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ail" sheetId="1" state="visible" r:id="rId1"/>
    <sheet xmlns:r="http://schemas.openxmlformats.org/officeDocument/2006/relationships" name="Board" sheetId="2" state="visible" r:id="rId2"/>
    <sheet xmlns:r="http://schemas.openxmlformats.org/officeDocument/2006/relationships" name="Mast" sheetId="3" state="visible" r:id="rId3"/>
    <sheet xmlns:r="http://schemas.openxmlformats.org/officeDocument/2006/relationships" name="Boom" sheetId="4" state="visible" r:id="rId4"/>
    <sheet xmlns:r="http://schemas.openxmlformats.org/officeDocument/2006/relationships" name="FullSet" sheetId="5" state="visible" r:id="rId5"/>
    <sheet xmlns:r="http://schemas.openxmlformats.org/officeDocument/2006/relationships" name="FullRig" sheetId="6" state="visible" r:id="rId6"/>
    <sheet xmlns:r="http://schemas.openxmlformats.org/officeDocument/2006/relationships" name="Accessory" sheetId="7" state="visible" r:id="rId7"/>
    <sheet xmlns:r="http://schemas.openxmlformats.org/officeDocument/2006/relationships" name="Uninteresting" sheetId="8" state="visible" r:id="rId8"/>
  </sheets>
  <definedNames>
    <definedName name="_xlnm._FilterDatabase" localSheetId="0" hidden="1">'Sail'!$A$1:$S$2219</definedName>
    <definedName name="_xlnm._FilterDatabase" localSheetId="1" hidden="1">'Board'!$A$1:$Q$2775</definedName>
    <definedName name="_xlnm._FilterDatabase" localSheetId="2" hidden="1">'Mast'!$A$1:$P$786</definedName>
    <definedName name="_xlnm._FilterDatabase" localSheetId="3" hidden="1">'Boom'!$A$1:$O$560</definedName>
    <definedName name="_xlnm._FilterDatabase" localSheetId="4" hidden="1">'FullSet'!$A$1:$M$628</definedName>
    <definedName name="_xlnm._FilterDatabase" localSheetId="5" hidden="1">'FullRig'!$A$1:$BJ$186</definedName>
    <definedName name="_xlnm._FilterDatabase" localSheetId="6" hidden="1">'Accessory'!$A$1:$M$883</definedName>
    <definedName name="_xlnm._FilterDatabase" localSheetId="7" hidden="1">'Uninteresting'!$A$1:$M$2926</definedName>
  </definedNames>
  <calcPr calcId="124519" fullCalcOnLoad="1"/>
</workbook>
</file>

<file path=xl/styles.xml><?xml version="1.0" encoding="utf-8"?>
<styleSheet xmlns="http://schemas.openxmlformats.org/spreadsheetml/2006/main">
  <numFmts count="7">
    <numFmt numFmtId="164" formatCode="#0 €"/>
    <numFmt numFmtId="165" formatCode="yyyy-mm-dd h:mm:ss"/>
    <numFmt numFmtId="166" formatCode="DD/MM/YYYY"/>
    <numFmt numFmtId="167" formatCode="DD/MM/YYYY HH:MM:SS"/>
    <numFmt numFmtId="168" formatCode="#0"/>
    <numFmt numFmtId="169" formatCode="#,#0.0"/>
    <numFmt numFmtId="170" formatCode="#.#0.0"/>
  </numFmts>
  <fonts count="3">
    <font>
      <name val="Calibri"/>
      <family val="2"/>
      <color theme="1"/>
      <sz val="11"/>
      <scheme val="minor"/>
    </font>
    <font>
      <b val="1"/>
    </font>
    <font>
      <color rgb="000000FF"/>
      <u val="single"/>
    </font>
  </fonts>
  <fills count="2">
    <fill>
      <patternFill/>
    </fill>
    <fill>
      <patternFill patternType="gray125"/>
    </fill>
  </fills>
  <borders count="1">
    <border>
      <left/>
      <right/>
      <top/>
      <bottom/>
      <diagonal/>
    </border>
  </borders>
  <cellStyleXfs count="1">
    <xf numFmtId="0" fontId="0" fillId="0" borderId="0"/>
  </cellStyleXfs>
  <cellXfs count="9">
    <xf numFmtId="0" fontId="0" fillId="0" borderId="0" pivotButton="0" quotePrefix="0" xfId="0"/>
    <xf numFmtId="0" fontId="1" fillId="0" borderId="0" pivotButton="0" quotePrefix="0" xfId="0"/>
    <xf numFmtId="169" fontId="0" fillId="0" borderId="0" pivotButton="0" quotePrefix="0" xfId="0"/>
    <xf numFmtId="168" fontId="0" fillId="0" borderId="0" pivotButton="0" quotePrefix="0" xfId="0"/>
    <xf numFmtId="164" fontId="0" fillId="0" borderId="0" pivotButton="0" quotePrefix="0" xfId="0"/>
    <xf numFmtId="166" fontId="0" fillId="0" borderId="0" pivotButton="0" quotePrefix="0" xfId="0"/>
    <xf numFmtId="0" fontId="2" fillId="0" borderId="0" pivotButton="0" quotePrefix="0" xfId="0"/>
    <xf numFmtId="167" fontId="0" fillId="0" borderId="0" pivotButton="0" quotePrefix="0" xfId="0"/>
    <xf numFmtId="17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219"/>
  <sheetViews>
    <sheetView workbookViewId="0">
      <selection activeCell="A1" sqref="A1"/>
    </sheetView>
  </sheetViews>
  <sheetFormatPr baseColWidth="8" defaultRowHeight="15"/>
  <cols>
    <col width="27" customWidth="1" min="1" max="1"/>
    <col width="44" customWidth="1" min="2" max="2"/>
    <col width="15" customWidth="1" min="3" max="3"/>
    <col width="14" customWidth="1" min="4" max="4"/>
    <col width="34" customWidth="1" min="5" max="5"/>
    <col width="16" customWidth="1" min="6" max="6"/>
    <col width="29" customWidth="1" min="7" max="7"/>
    <col width="28" customWidth="1" min="8" max="8"/>
    <col width="6" customWidth="1" min="9" max="9"/>
    <col width="77" customWidth="1" min="10" max="10"/>
    <col width="10" customWidth="1" min="11" max="11"/>
    <col width="8" customWidth="1" min="12" max="12"/>
    <col width="10" customWidth="1" min="13" max="13"/>
    <col width="10" customWidth="1" min="14" max="14"/>
    <col width="29" customWidth="1" min="15" max="15"/>
    <col width="20" customWidth="1" min="16" max="16"/>
    <col width="23" customWidth="1" min="17" max="17"/>
    <col width="21" customWidth="1" min="18" max="18"/>
    <col width="17" customWidth="1" min="19" max="19"/>
  </cols>
  <sheetData>
    <row r="1">
      <c r="A1" s="1" t="inlineStr">
        <is>
          <t>Size</t>
        </is>
      </c>
      <c r="B1" s="1" t="inlineStr">
        <is>
          <t>Brand</t>
        </is>
      </c>
      <c r="C1" s="1" t="inlineStr">
        <is>
          <t>Mast Length</t>
        </is>
      </c>
      <c r="D1" s="1" t="inlineStr">
        <is>
          <t>Boom Size</t>
        </is>
      </c>
      <c r="E1" s="1" t="inlineStr">
        <is>
          <t>Sail Type</t>
        </is>
      </c>
      <c r="F1" s="1" t="inlineStr">
        <is>
          <t>Year</t>
        </is>
      </c>
      <c r="G1" s="1" t="inlineStr">
        <is>
          <t>State</t>
        </is>
      </c>
      <c r="H1" s="1" t="inlineStr">
        <is>
          <t>Price</t>
        </is>
      </c>
      <c r="I1" s="1" t="inlineStr">
        <is>
          <t>VB</t>
        </is>
      </c>
      <c r="J1" s="1" t="inlineStr">
        <is>
          <t>Location</t>
        </is>
      </c>
      <c r="K1" s="1" t="inlineStr">
        <is>
          <t>Date</t>
        </is>
      </c>
      <c r="L1" s="1" t="inlineStr">
        <is>
          <t>Sold</t>
        </is>
      </c>
      <c r="M1" s="1" t="inlineStr">
        <is>
          <t>Link</t>
        </is>
      </c>
      <c r="N1" s="1" t="inlineStr">
        <is>
          <t>Images</t>
        </is>
      </c>
      <c r="O1" s="1" t="inlineStr">
        <is>
          <t>User name</t>
        </is>
      </c>
      <c r="P1" s="1" t="inlineStr">
        <is>
          <t>All other offers</t>
        </is>
      </c>
      <c r="Q1" s="1" t="inlineStr">
        <is>
          <t>Scraped on</t>
        </is>
      </c>
      <c r="R1" s="1" t="inlineStr">
        <is>
          <t>Min Distance (km)</t>
        </is>
      </c>
      <c r="S1" s="1" t="inlineStr">
        <is>
          <t>Closest place</t>
        </is>
      </c>
    </row>
    <row r="2">
      <c r="A2" s="2" t="n">
        <v>7.8</v>
      </c>
      <c r="B2" t="inlineStr">
        <is>
          <t>Severne Moto</t>
        </is>
      </c>
      <c r="C2" s="3" t="inlineStr"/>
      <c r="D2" s="3" t="inlineStr"/>
      <c r="E2" t="inlineStr"/>
      <c r="F2" t="inlineStr">
        <is>
          <t>2024</t>
        </is>
      </c>
      <c r="G2" t="inlineStr"/>
      <c r="H2" s="4" t="n">
        <v>699</v>
      </c>
      <c r="I2" t="inlineStr">
        <is>
          <t>VB</t>
        </is>
      </c>
      <c r="J2" t="inlineStr">
        <is>
          <t>49448 Huede</t>
        </is>
      </c>
      <c r="K2" s="5" t="n">
        <v>45568</v>
      </c>
      <c r="L2" t="inlineStr"/>
      <c r="M2" s="6">
        <f>HYPERLINK("https://www.dailydose.de/kleinanzeigen/detail.htm?ai=423543&amp;cf=kk&amp;pg=1&amp;ci=5", "Link")</f>
        <v/>
      </c>
      <c r="N2" s="6">
        <f>HYPERLINK("C:\Projects\Kleinanzeigen-Scraper\offer_images\423543", "Link")</f>
        <v/>
      </c>
      <c r="O2" t="inlineStr">
        <is>
          <t>fanaticVolker</t>
        </is>
      </c>
      <c r="P2" s="6">
        <f>HYPERLINK("https://www.dailydose.de/kleinanzeigen/user/8088", "Link")</f>
        <v/>
      </c>
      <c r="Q2" s="7" t="n">
        <v>45568.75740740741</v>
      </c>
      <c r="R2" s="3" t="inlineStr">
        <is>
          <t>195.68</t>
        </is>
      </c>
      <c r="S2" t="inlineStr">
        <is>
          <t>Köln</t>
        </is>
      </c>
    </row>
    <row r="3">
      <c r="A3" s="2" t="n">
        <v>7.2</v>
      </c>
      <c r="B3" t="inlineStr">
        <is>
          <t>Neil Pryde Hornet</t>
        </is>
      </c>
      <c r="C3" s="3" t="inlineStr"/>
      <c r="D3" s="3" t="inlineStr"/>
      <c r="E3" t="inlineStr"/>
      <c r="F3" t="inlineStr"/>
      <c r="G3" t="inlineStr">
        <is>
          <t>used</t>
        </is>
      </c>
      <c r="H3" s="4" t="n">
        <v>80</v>
      </c>
      <c r="I3" t="inlineStr"/>
      <c r="J3" t="inlineStr">
        <is>
          <t>67435 Neustadt</t>
        </is>
      </c>
      <c r="K3" s="5" t="n">
        <v>45568</v>
      </c>
      <c r="L3" t="inlineStr"/>
      <c r="M3" s="6">
        <f>HYPERLINK("https://www.dailydose.de/kleinanzeigen/detail.htm?ai=423541&amp;cf=kk&amp;pg=1&amp;ci=5", "Link")</f>
        <v/>
      </c>
      <c r="N3" s="6">
        <f>HYPERLINK("C:\Projects\Kleinanzeigen-Scraper\offer_images\423541", "Link")</f>
        <v/>
      </c>
      <c r="O3" t="inlineStr">
        <is>
          <t>Bernhard_77</t>
        </is>
      </c>
      <c r="P3" s="6">
        <f>HYPERLINK("https://www.dailydose.de/kleinanzeigen/user/6079", "Link")</f>
        <v/>
      </c>
      <c r="Q3" s="7" t="n">
        <v>45568.75709490741</v>
      </c>
      <c r="R3" s="3" t="inlineStr">
        <is>
          <t>38.14</t>
        </is>
      </c>
      <c r="S3" t="inlineStr">
        <is>
          <t>Karlsruhe</t>
        </is>
      </c>
    </row>
    <row r="4">
      <c r="A4" s="2" t="n">
        <v>6.8</v>
      </c>
      <c r="B4" t="inlineStr">
        <is>
          <t>Severne Moto</t>
        </is>
      </c>
      <c r="C4" s="3" t="n">
        <v>430</v>
      </c>
      <c r="D4" s="3" t="n">
        <v>187</v>
      </c>
      <c r="E4" t="inlineStr">
        <is>
          <t>Freerace</t>
        </is>
      </c>
      <c r="F4" t="inlineStr">
        <is>
          <t>2024</t>
        </is>
      </c>
      <c r="G4" t="inlineStr">
        <is>
          <t>used</t>
        </is>
      </c>
      <c r="H4" s="4" t="n">
        <v>649</v>
      </c>
      <c r="I4" t="inlineStr">
        <is>
          <t>VB</t>
        </is>
      </c>
      <c r="J4" t="inlineStr">
        <is>
          <t>49448 Huede</t>
        </is>
      </c>
      <c r="K4" s="5" t="n">
        <v>45568</v>
      </c>
      <c r="L4" t="inlineStr"/>
      <c r="M4" s="6">
        <f>HYPERLINK("https://www.dailydose.de/kleinanzeigen/detail.htm?ai=423542&amp;cf=kk&amp;pg=1&amp;ci=5", "Link")</f>
        <v/>
      </c>
      <c r="N4" s="6">
        <f>HYPERLINK("C:\Projects\Kleinanzeigen-Scraper\offer_images\423542", "Link")</f>
        <v/>
      </c>
      <c r="O4" t="inlineStr">
        <is>
          <t>fanaticVolker</t>
        </is>
      </c>
      <c r="P4" s="6">
        <f>HYPERLINK("https://www.dailydose.de/kleinanzeigen/user/8088", "Link")</f>
        <v/>
      </c>
      <c r="Q4" s="7" t="n">
        <v>45568.75702546296</v>
      </c>
      <c r="R4" s="3" t="inlineStr">
        <is>
          <t>195.68</t>
        </is>
      </c>
      <c r="S4" t="inlineStr">
        <is>
          <t>Köln</t>
        </is>
      </c>
    </row>
    <row r="5">
      <c r="A5" s="2" t="n">
        <v>4</v>
      </c>
      <c r="B5" t="inlineStr">
        <is>
          <t>Severne Freek</t>
        </is>
      </c>
      <c r="C5" s="3" t="inlineStr"/>
      <c r="D5" s="3" t="inlineStr"/>
      <c r="E5" t="inlineStr">
        <is>
          <t>Freestyle</t>
        </is>
      </c>
      <c r="F5" t="inlineStr">
        <is>
          <t>2022</t>
        </is>
      </c>
      <c r="G5" t="inlineStr">
        <is>
          <t>used</t>
        </is>
      </c>
      <c r="H5" s="4" t="n">
        <v>240</v>
      </c>
      <c r="I5" t="inlineStr"/>
      <c r="J5" t="inlineStr">
        <is>
          <t>Koblenz/Kiel</t>
        </is>
      </c>
      <c r="K5" s="5" t="n">
        <v>45567</v>
      </c>
      <c r="L5" t="inlineStr"/>
      <c r="M5" s="6">
        <f>HYPERLINK("https://www.dailydose.de/kleinanzeigen/detail.htm?ai=423526&amp;cf=kk&amp;pg=1&amp;ci=5", "Link")</f>
        <v/>
      </c>
      <c r="N5" s="6">
        <f>HYPERLINK("C:\Projects\Kleinanzeigen-Scraper\offer_images\423526", "Link")</f>
        <v/>
      </c>
      <c r="O5" t="inlineStr">
        <is>
          <t>Seb_28</t>
        </is>
      </c>
      <c r="P5" s="6">
        <f>HYPERLINK("https://www.dailydose.de/kleinanzeigen/user/5238", "Link")</f>
        <v/>
      </c>
      <c r="Q5" s="7" t="n">
        <v>45568.75658564815</v>
      </c>
      <c r="R5" s="3" t="inlineStr">
        <is>
          <t>78.89</t>
        </is>
      </c>
      <c r="S5" t="inlineStr">
        <is>
          <t>Köln</t>
        </is>
      </c>
    </row>
    <row r="6">
      <c r="A6" s="2" t="n">
        <v>4</v>
      </c>
      <c r="B6" t="inlineStr">
        <is>
          <t>Severne Blade</t>
        </is>
      </c>
      <c r="C6" s="3" t="n">
        <v>370</v>
      </c>
      <c r="D6" s="3" t="n">
        <v>154</v>
      </c>
      <c r="E6" t="inlineStr"/>
      <c r="F6" t="inlineStr"/>
      <c r="G6" t="inlineStr">
        <is>
          <t>new</t>
        </is>
      </c>
      <c r="H6" s="4" t="n">
        <v>150</v>
      </c>
      <c r="I6" t="inlineStr"/>
      <c r="J6" t="inlineStr">
        <is>
          <t>24369 Waabs</t>
        </is>
      </c>
      <c r="K6" s="5" t="n">
        <v>45568</v>
      </c>
      <c r="L6" t="inlineStr"/>
      <c r="M6" s="6">
        <f>HYPERLINK("https://www.dailydose.de/kleinanzeigen/detail.htm?ai=423572&amp;cf=kk&amp;pg=1&amp;ci=5", "Link")</f>
        <v/>
      </c>
      <c r="N6" s="6">
        <f>HYPERLINK("C:\Projects\Kleinanzeigen-Scraper\offer_images\423572", "Link")</f>
        <v/>
      </c>
      <c r="O6" t="inlineStr">
        <is>
          <t>tom61</t>
        </is>
      </c>
      <c r="P6" s="6">
        <f>HYPERLINK("https://www.dailydose.de/kleinanzeigen/user/2398", "Link")</f>
        <v/>
      </c>
      <c r="Q6" s="7" t="n">
        <v>45568.7565625</v>
      </c>
      <c r="R6" s="3" t="inlineStr">
        <is>
          <t>449.10</t>
        </is>
      </c>
      <c r="S6" t="inlineStr">
        <is>
          <t>Köln</t>
        </is>
      </c>
    </row>
    <row r="7">
      <c r="A7" s="2" t="n">
        <v>4.4</v>
      </c>
      <c r="B7" t="inlineStr">
        <is>
          <t>Severne Freek</t>
        </is>
      </c>
      <c r="C7" s="3" t="inlineStr"/>
      <c r="D7" s="3" t="inlineStr"/>
      <c r="E7" t="inlineStr"/>
      <c r="F7" t="inlineStr">
        <is>
          <t>2021</t>
        </is>
      </c>
      <c r="G7" t="inlineStr">
        <is>
          <t>used</t>
        </is>
      </c>
      <c r="H7" s="4" t="n">
        <v>140</v>
      </c>
      <c r="I7" t="inlineStr"/>
      <c r="J7" t="inlineStr">
        <is>
          <t>Koblenz/Kiel</t>
        </is>
      </c>
      <c r="K7" s="5" t="n">
        <v>45567</v>
      </c>
      <c r="L7" t="inlineStr"/>
      <c r="M7" s="6">
        <f>HYPERLINK("https://www.dailydose.de/kleinanzeigen/detail.htm?ai=423527&amp;cf=kk&amp;pg=1&amp;ci=5", "Link")</f>
        <v/>
      </c>
      <c r="N7" s="6">
        <f>HYPERLINK("C:\Projects\Kleinanzeigen-Scraper\offer_images\423527", "Link")</f>
        <v/>
      </c>
      <c r="O7" t="inlineStr">
        <is>
          <t>Seb_28</t>
        </is>
      </c>
      <c r="P7" s="6">
        <f>HYPERLINK("https://www.dailydose.de/kleinanzeigen/user/5238", "Link")</f>
        <v/>
      </c>
      <c r="Q7" s="7" t="n">
        <v>45568.75578703704</v>
      </c>
      <c r="R7" s="3" t="inlineStr">
        <is>
          <t>78.89</t>
        </is>
      </c>
      <c r="S7" t="inlineStr">
        <is>
          <t>Köln</t>
        </is>
      </c>
    </row>
    <row r="8">
      <c r="A8" s="2" t="n">
        <v>3.9</v>
      </c>
      <c r="B8" t="inlineStr">
        <is>
          <t>HOT SAILS MAUI QU4D</t>
        </is>
      </c>
      <c r="C8" s="3" t="n">
        <v>340</v>
      </c>
      <c r="D8" s="3" t="n">
        <v>142</v>
      </c>
      <c r="E8" t="inlineStr"/>
      <c r="F8" t="inlineStr"/>
      <c r="G8" t="inlineStr">
        <is>
          <t>used</t>
        </is>
      </c>
      <c r="H8" s="4" t="n">
        <v>195</v>
      </c>
      <c r="I8" t="inlineStr"/>
      <c r="J8" t="inlineStr">
        <is>
          <t>12587 Berlin</t>
        </is>
      </c>
      <c r="K8" s="5" t="n">
        <v>45567</v>
      </c>
      <c r="L8" t="inlineStr"/>
      <c r="M8" s="6">
        <f>HYPERLINK("https://www.dailydose.de/kleinanzeigen/detail.htm?ai=423531&amp;cf=kk&amp;pg=1&amp;ci=5", "Link")</f>
        <v/>
      </c>
      <c r="N8" s="6">
        <f>HYPERLINK("C:\Projects\Kleinanzeigen-Scraper\offer_images\423531", "Link")</f>
        <v/>
      </c>
      <c r="O8" t="inlineStr">
        <is>
          <t>Paul_117</t>
        </is>
      </c>
      <c r="P8" s="6">
        <f>HYPERLINK("https://www.dailydose.de/kleinanzeigen/user/25624", "Link")</f>
        <v/>
      </c>
      <c r="Q8" s="7" t="n">
        <v>45568.75546296296</v>
      </c>
      <c r="R8" s="3" t="inlineStr">
        <is>
          <t>490.72</t>
        </is>
      </c>
      <c r="S8" t="inlineStr">
        <is>
          <t>Köln</t>
        </is>
      </c>
    </row>
    <row r="9">
      <c r="A9" s="2" t="n">
        <v>9</v>
      </c>
      <c r="B9" t="inlineStr">
        <is>
          <t>Severne NXC pro</t>
        </is>
      </c>
      <c r="C9" s="3" t="n">
        <v>490</v>
      </c>
      <c r="D9" s="3" t="inlineStr"/>
      <c r="E9" t="inlineStr"/>
      <c r="F9" t="inlineStr">
        <is>
          <t>2012</t>
        </is>
      </c>
      <c r="G9" t="inlineStr">
        <is>
          <t>used</t>
        </is>
      </c>
      <c r="H9" s="4" t="inlineStr">
        <is>
          <t>Preisvorschlag erwünscht</t>
        </is>
      </c>
      <c r="I9" t="inlineStr"/>
      <c r="J9" t="inlineStr">
        <is>
          <t>69123 Heidelberg</t>
        </is>
      </c>
      <c r="K9" s="5" t="n">
        <v>45568</v>
      </c>
      <c r="L9" t="inlineStr"/>
      <c r="M9" s="6">
        <f>HYPERLINK("https://www.dailydose.de/kleinanzeigen/detail.htm?ai=423558&amp;cf=kk&amp;pg=1&amp;ci=5", "Link")</f>
        <v/>
      </c>
      <c r="N9" s="6">
        <f>HYPERLINK("C:\Projects\Kleinanzeigen-Scraper\offer_images\423558", "Link")</f>
        <v/>
      </c>
      <c r="O9" t="inlineStr">
        <is>
          <t>papple28</t>
        </is>
      </c>
      <c r="P9" s="6">
        <f>HYPERLINK("https://www.dailydose.de/kleinanzeigen/user/1712", "Link")</f>
        <v/>
      </c>
      <c r="Q9" s="7" t="n">
        <v>45568.75539351852</v>
      </c>
      <c r="R9" s="3" t="inlineStr">
        <is>
          <t>48.31</t>
        </is>
      </c>
      <c r="S9" t="inlineStr">
        <is>
          <t>Karlsruhe</t>
        </is>
      </c>
    </row>
    <row r="10">
      <c r="A10" s="2" t="n">
        <v>4</v>
      </c>
      <c r="B10" t="inlineStr">
        <is>
          <t>Naish Force V</t>
        </is>
      </c>
      <c r="C10" s="3" t="inlineStr"/>
      <c r="D10" s="3" t="inlineStr"/>
      <c r="E10" t="inlineStr"/>
      <c r="F10" t="inlineStr"/>
      <c r="G10" t="inlineStr">
        <is>
          <t>used</t>
        </is>
      </c>
      <c r="H10" s="4" t="n">
        <v>280</v>
      </c>
      <c r="I10" t="inlineStr"/>
      <c r="J10" t="inlineStr">
        <is>
          <t>17192  Waren (Müritz), Berlin</t>
        </is>
      </c>
      <c r="K10" s="5" t="n">
        <v>45568</v>
      </c>
      <c r="L10" t="inlineStr"/>
      <c r="M10" s="6">
        <f>HYPERLINK("https://www.dailydose.de/kleinanzeigen/detail.htm?ai=423576&amp;cf=kk&amp;pg=1&amp;ci=5", "Link")</f>
        <v/>
      </c>
      <c r="N10" s="6">
        <f>HYPERLINK("C:\Projects\Kleinanzeigen-Scraper\offer_images\423576", "Link")</f>
        <v/>
      </c>
      <c r="O10" t="inlineStr">
        <is>
          <t>Katja_119</t>
        </is>
      </c>
      <c r="P10" s="6">
        <f>HYPERLINK("https://www.dailydose.de/kleinanzeigen/user/13230", "Link")</f>
        <v/>
      </c>
      <c r="Q10" s="7" t="n">
        <v>45568.75475694444</v>
      </c>
      <c r="R10" s="3" t="inlineStr">
        <is>
          <t>486.42</t>
        </is>
      </c>
      <c r="S10" t="inlineStr">
        <is>
          <t>Köln</t>
        </is>
      </c>
    </row>
    <row r="11">
      <c r="A11" s="2" t="n">
        <v>3.7</v>
      </c>
      <c r="B11" t="inlineStr">
        <is>
          <t>Severne Blade</t>
        </is>
      </c>
      <c r="C11" s="3" t="n">
        <v>340</v>
      </c>
      <c r="D11" s="3" t="n">
        <v>147</v>
      </c>
      <c r="E11" t="inlineStr"/>
      <c r="F11" t="inlineStr"/>
      <c r="G11" t="inlineStr">
        <is>
          <t>used</t>
        </is>
      </c>
      <c r="H11" s="4" t="n">
        <v>120</v>
      </c>
      <c r="I11" t="inlineStr"/>
      <c r="J11" t="inlineStr">
        <is>
          <t>24369 Waabs</t>
        </is>
      </c>
      <c r="K11" s="5" t="n">
        <v>45568</v>
      </c>
      <c r="L11" t="inlineStr"/>
      <c r="M11" s="6">
        <f>HYPERLINK("https://www.dailydose.de/kleinanzeigen/detail.htm?ai=423570&amp;cf=kk&amp;pg=1&amp;ci=5", "Link")</f>
        <v/>
      </c>
      <c r="N11" s="6">
        <f>HYPERLINK("C:\Projects\Kleinanzeigen-Scraper\offer_images\423570", "Link")</f>
        <v/>
      </c>
      <c r="O11" t="inlineStr">
        <is>
          <t>tom61</t>
        </is>
      </c>
      <c r="P11" s="6">
        <f>HYPERLINK("https://www.dailydose.de/kleinanzeigen/user/2398", "Link")</f>
        <v/>
      </c>
      <c r="Q11" s="7" t="n">
        <v>45568.75458333334</v>
      </c>
      <c r="R11" s="3" t="inlineStr">
        <is>
          <t>449.10</t>
        </is>
      </c>
      <c r="S11" t="inlineStr">
        <is>
          <t>Köln</t>
        </is>
      </c>
    </row>
    <row r="12">
      <c r="A12" s="2" t="n">
        <v>5</v>
      </c>
      <c r="B12" t="inlineStr">
        <is>
          <t>Challenger K' onda</t>
        </is>
      </c>
      <c r="C12" s="3" t="inlineStr"/>
      <c r="D12" s="3" t="inlineStr"/>
      <c r="E12" t="inlineStr"/>
      <c r="F12" t="inlineStr">
        <is>
          <t>2019</t>
        </is>
      </c>
      <c r="G12" t="inlineStr">
        <is>
          <t>used</t>
        </is>
      </c>
      <c r="H12" s="4" t="n">
        <v>150</v>
      </c>
      <c r="I12" t="inlineStr"/>
      <c r="J12" t="inlineStr">
        <is>
          <t>76131 Karlsruhe</t>
        </is>
      </c>
      <c r="K12" s="5" t="n">
        <v>45568</v>
      </c>
      <c r="L12" t="inlineStr"/>
      <c r="M12" s="6">
        <f>HYPERLINK("https://www.dailydose.de/kleinanzeigen/detail.htm?ai=423545&amp;cf=kk&amp;pg=1&amp;ci=5", "Link")</f>
        <v/>
      </c>
      <c r="N12" s="6">
        <f>HYPERLINK("C:\Projects\Kleinanzeigen-Scraper\offer_images\423545", "Link")</f>
        <v/>
      </c>
      <c r="O12" t="inlineStr">
        <is>
          <t>Wilhelm Allgeier</t>
        </is>
      </c>
      <c r="P12" s="6">
        <f>HYPERLINK("https://www.dailydose.de/kleinanzeigen/user/5167", "Link")</f>
        <v/>
      </c>
      <c r="Q12" s="7" t="n">
        <v>45568.75452546297</v>
      </c>
      <c r="R12" s="3" t="inlineStr">
        <is>
          <t>2.72</t>
        </is>
      </c>
      <c r="S12" t="inlineStr">
        <is>
          <t>Karlsruhe</t>
        </is>
      </c>
    </row>
    <row r="13">
      <c r="A13" s="2" t="n">
        <v>8.4</v>
      </c>
      <c r="B13" t="inlineStr">
        <is>
          <t>North Sails S-Type</t>
        </is>
      </c>
      <c r="C13" s="3" t="inlineStr"/>
      <c r="D13" s="3" t="inlineStr"/>
      <c r="E13" t="inlineStr">
        <is>
          <t>Freerace</t>
        </is>
      </c>
      <c r="F13" t="inlineStr">
        <is>
          <t>2014</t>
        </is>
      </c>
      <c r="G13" t="inlineStr">
        <is>
          <t>used</t>
        </is>
      </c>
      <c r="H13" s="4" t="n">
        <v>200</v>
      </c>
      <c r="I13" t="inlineStr"/>
      <c r="J13" t="inlineStr">
        <is>
          <t>71032 Böblingen</t>
        </is>
      </c>
      <c r="K13" s="5" t="n">
        <v>45568</v>
      </c>
      <c r="L13" t="inlineStr"/>
      <c r="M13" s="6">
        <f>HYPERLINK("https://www.dailydose.de/kleinanzeigen/detail.htm?ai=423559&amp;cf=kk&amp;pg=1&amp;ci=5", "Link")</f>
        <v/>
      </c>
      <c r="N13" s="6">
        <f>HYPERLINK("C:\Projects\Kleinanzeigen-Scraper\offer_images\423559", "Link")</f>
        <v/>
      </c>
      <c r="O13" t="inlineStr">
        <is>
          <t>OliH</t>
        </is>
      </c>
      <c r="P13" s="6">
        <f>HYPERLINK("https://www.dailydose.de/kleinanzeigen/user/18114", "Link")</f>
        <v/>
      </c>
      <c r="Q13" s="7" t="n">
        <v>45568.75440972222</v>
      </c>
      <c r="R13" s="3" t="inlineStr">
        <is>
          <t>5.74</t>
        </is>
      </c>
      <c r="S13" t="inlineStr">
        <is>
          <t>Böblingen</t>
        </is>
      </c>
    </row>
    <row r="14">
      <c r="A14" s="2" t="n">
        <v>4.2</v>
      </c>
      <c r="B14" t="inlineStr">
        <is>
          <t>Naish Force V</t>
        </is>
      </c>
      <c r="C14" s="3" t="n">
        <v>370</v>
      </c>
      <c r="D14" s="3" t="n">
        <v>156</v>
      </c>
      <c r="E14" t="inlineStr"/>
      <c r="F14" t="inlineStr"/>
      <c r="G14" t="inlineStr">
        <is>
          <t>used</t>
        </is>
      </c>
      <c r="H14" s="4" t="n">
        <v>200</v>
      </c>
      <c r="I14" t="inlineStr"/>
      <c r="J14" t="inlineStr">
        <is>
          <t>17192  Waren (Müritz), Berlin</t>
        </is>
      </c>
      <c r="K14" s="5" t="n">
        <v>45568</v>
      </c>
      <c r="L14" t="inlineStr"/>
      <c r="M14" s="6">
        <f>HYPERLINK("https://www.dailydose.de/kleinanzeigen/detail.htm?ai=423575&amp;cf=kk&amp;pg=1&amp;ci=5", "Link")</f>
        <v/>
      </c>
      <c r="N14" s="6">
        <f>HYPERLINK("C:\Projects\Kleinanzeigen-Scraper\offer_images\423575", "Link")</f>
        <v/>
      </c>
      <c r="O14" t="inlineStr">
        <is>
          <t>Katja_119</t>
        </is>
      </c>
      <c r="P14" s="6">
        <f>HYPERLINK("https://www.dailydose.de/kleinanzeigen/user/13230", "Link")</f>
        <v/>
      </c>
      <c r="Q14" s="7" t="n">
        <v>45568.75423611111</v>
      </c>
      <c r="R14" s="3" t="inlineStr">
        <is>
          <t>486.42</t>
        </is>
      </c>
      <c r="S14" t="inlineStr">
        <is>
          <t>Köln</t>
        </is>
      </c>
    </row>
    <row r="15">
      <c r="A15" s="2" t="n">
        <v>4.8</v>
      </c>
      <c r="B15" t="inlineStr">
        <is>
          <t>Severne FoilFreek</t>
        </is>
      </c>
      <c r="C15" s="3" t="n">
        <v>400</v>
      </c>
      <c r="D15" s="3" t="inlineStr"/>
      <c r="E15" t="inlineStr"/>
      <c r="F15" t="inlineStr">
        <is>
          <t>2023</t>
        </is>
      </c>
      <c r="G15" t="inlineStr">
        <is>
          <t>damaged</t>
        </is>
      </c>
      <c r="H15" s="4" t="n">
        <v>330</v>
      </c>
      <c r="I15" t="inlineStr"/>
      <c r="J15" t="inlineStr">
        <is>
          <t>Koblenz/Kiel</t>
        </is>
      </c>
      <c r="K15" s="5" t="n">
        <v>45567</v>
      </c>
      <c r="L15" t="inlineStr"/>
      <c r="M15" s="6">
        <f>HYPERLINK("https://www.dailydose.de/kleinanzeigen/detail.htm?ai=423528&amp;cf=kk&amp;pg=1&amp;ci=5", "Link")</f>
        <v/>
      </c>
      <c r="N15" s="6">
        <f>HYPERLINK("C:\Projects\Kleinanzeigen-Scraper\offer_images\423528", "Link")</f>
        <v/>
      </c>
      <c r="O15" t="inlineStr">
        <is>
          <t>Seb_28</t>
        </is>
      </c>
      <c r="P15" s="6">
        <f>HYPERLINK("https://www.dailydose.de/kleinanzeigen/user/5238", "Link")</f>
        <v/>
      </c>
      <c r="Q15" s="7" t="n">
        <v>45568.75413194444</v>
      </c>
      <c r="R15" s="3" t="inlineStr">
        <is>
          <t>78.89</t>
        </is>
      </c>
      <c r="S15" t="inlineStr">
        <is>
          <t>Köln</t>
        </is>
      </c>
    </row>
    <row r="16">
      <c r="A16" s="2" t="n">
        <v>4</v>
      </c>
      <c r="B16" t="inlineStr">
        <is>
          <t>Duotone Superhero</t>
        </is>
      </c>
      <c r="C16" s="3" t="n">
        <v>370</v>
      </c>
      <c r="D16" s="3" t="inlineStr"/>
      <c r="E16" t="inlineStr"/>
      <c r="F16" t="inlineStr">
        <is>
          <t>2024</t>
        </is>
      </c>
      <c r="G16" t="inlineStr">
        <is>
          <t>new</t>
        </is>
      </c>
      <c r="H16" s="4" t="n">
        <v>499</v>
      </c>
      <c r="I16" t="inlineStr"/>
      <c r="J16" t="inlineStr">
        <is>
          <t>04157 Versand 20€ mit GLS</t>
        </is>
      </c>
      <c r="K16" s="5" t="n">
        <v>45568</v>
      </c>
      <c r="L16" t="inlineStr"/>
      <c r="M16" s="6">
        <f>HYPERLINK("https://www.dailydose.de/kleinanzeigen/detail.htm?ai=423535&amp;cf=kk&amp;pg=1&amp;ci=5", "Link")</f>
        <v/>
      </c>
      <c r="N16" s="6">
        <f>HYPERLINK("C:\Projects\Kleinanzeigen-Scraper\offer_images\423535", "Link")</f>
        <v/>
      </c>
      <c r="O16" t="inlineStr">
        <is>
          <t>WingDing</t>
        </is>
      </c>
      <c r="P16" s="6">
        <f>HYPERLINK("https://www.dailydose.de/kleinanzeigen/user/21852", "Link")</f>
        <v/>
      </c>
      <c r="Q16" s="7" t="n">
        <v>45568.75399305556</v>
      </c>
      <c r="R16" s="3" t="inlineStr">
        <is>
          <t>364.64</t>
        </is>
      </c>
      <c r="S16" t="inlineStr">
        <is>
          <t>München</t>
        </is>
      </c>
    </row>
    <row r="17">
      <c r="A17" s="2" t="n">
        <v>4.7</v>
      </c>
      <c r="B17" t="inlineStr">
        <is>
          <t>Gaastra IQ</t>
        </is>
      </c>
      <c r="C17" s="3" t="n">
        <v>4.71</v>
      </c>
      <c r="D17" s="3" t="n">
        <v>163</v>
      </c>
      <c r="E17" t="inlineStr"/>
      <c r="F17" t="inlineStr"/>
      <c r="G17" t="inlineStr">
        <is>
          <t>used</t>
        </is>
      </c>
      <c r="H17" s="4" t="n">
        <v>240</v>
      </c>
      <c r="I17" t="inlineStr">
        <is>
          <t>VB</t>
        </is>
      </c>
      <c r="J17" t="inlineStr">
        <is>
          <t>18182 Bentwisch</t>
        </is>
      </c>
      <c r="K17" s="5" t="n">
        <v>45568</v>
      </c>
      <c r="L17" t="inlineStr"/>
      <c r="M17" s="6">
        <f>HYPERLINK("https://www.dailydose.de/kleinanzeigen/detail.htm?ai=423533&amp;cf=kk&amp;pg=1&amp;ci=5", "Link")</f>
        <v/>
      </c>
      <c r="N17" s="6">
        <f>HYPERLINK("C:\Projects\Kleinanzeigen-Scraper\offer_images\423533", "Link")</f>
        <v/>
      </c>
      <c r="O17" t="inlineStr">
        <is>
          <t>Marko333</t>
        </is>
      </c>
      <c r="P17" s="6">
        <f>HYPERLINK("https://www.dailydose.de/kleinanzeigen/user/26327", "Link")</f>
        <v/>
      </c>
      <c r="Q17" s="7" t="n">
        <v>45568.75375</v>
      </c>
      <c r="R17" s="3" t="inlineStr">
        <is>
          <t>506.67</t>
        </is>
      </c>
      <c r="S17" t="inlineStr">
        <is>
          <t>Köln</t>
        </is>
      </c>
    </row>
    <row r="18">
      <c r="A18" s="2" t="n">
        <v>4.5</v>
      </c>
      <c r="B18" t="inlineStr">
        <is>
          <t>Duotone Super Hero</t>
        </is>
      </c>
      <c r="C18" s="3" t="inlineStr"/>
      <c r="D18" s="3" t="inlineStr"/>
      <c r="E18" t="inlineStr"/>
      <c r="F18" t="inlineStr">
        <is>
          <t>2022</t>
        </is>
      </c>
      <c r="G18" t="inlineStr">
        <is>
          <t>used</t>
        </is>
      </c>
      <c r="H18" s="4" t="n">
        <v>300</v>
      </c>
      <c r="I18" t="inlineStr"/>
      <c r="J18" t="inlineStr">
        <is>
          <t>23758 Ostholstein</t>
        </is>
      </c>
      <c r="K18" s="5" t="n">
        <v>45568</v>
      </c>
      <c r="L18" t="inlineStr"/>
      <c r="M18" s="6">
        <f>HYPERLINK("https://www.dailydose.de/kleinanzeigen/detail.htm?ai=423537&amp;cf=kk&amp;pg=1&amp;ci=5", "Link")</f>
        <v/>
      </c>
      <c r="N18" s="6">
        <f>HYPERLINK("C:\Projects\Kleinanzeigen-Scraper\offer_images\423537", "Link")</f>
        <v/>
      </c>
      <c r="O18" t="inlineStr">
        <is>
          <t>wellenkasper</t>
        </is>
      </c>
      <c r="P18" s="6">
        <f>HYPERLINK("https://www.dailydose.de/kleinanzeigen/user/512", "Link")</f>
        <v/>
      </c>
      <c r="Q18" s="7" t="n">
        <v>45568.75349537037</v>
      </c>
      <c r="R18" s="3" t="inlineStr">
        <is>
          <t>459.51</t>
        </is>
      </c>
      <c r="S18" t="inlineStr">
        <is>
          <t>Köln</t>
        </is>
      </c>
    </row>
    <row r="19">
      <c r="A19" s="2" t="n">
        <v>6.2</v>
      </c>
      <c r="B19" t="inlineStr">
        <is>
          <t>Naish Force 5</t>
        </is>
      </c>
      <c r="C19" s="3" t="inlineStr"/>
      <c r="D19" s="3" t="inlineStr"/>
      <c r="E19" t="inlineStr"/>
      <c r="F19" t="inlineStr">
        <is>
          <t>2023</t>
        </is>
      </c>
      <c r="G19" t="inlineStr">
        <is>
          <t>used</t>
        </is>
      </c>
      <c r="H19" s="4" t="n">
        <v>380</v>
      </c>
      <c r="I19" t="inlineStr">
        <is>
          <t>VB</t>
        </is>
      </c>
      <c r="J19" t="inlineStr">
        <is>
          <t>24229 Schleswig-Holstein - Schwedeneck</t>
        </is>
      </c>
      <c r="K19" s="5" t="n">
        <v>45568</v>
      </c>
      <c r="L19" t="inlineStr"/>
      <c r="M19" s="6">
        <f>HYPERLINK("https://www.kleinanzeigen.de/s-anzeige/naish-force-5-6-2-qm-2023-/2881304176-230-17470", "Link")</f>
        <v/>
      </c>
      <c r="N19" s="6">
        <f>HYPERLINK("C:\Projects\Kleinanzeigen-Scraper\offer_images\2881304176", "Link")</f>
        <v/>
      </c>
      <c r="O19" t="inlineStr">
        <is>
          <t>Bernd</t>
        </is>
      </c>
      <c r="P19" s="6">
        <f>HYPERLINK("https://www.kleinanzeigen.de/s-bestandsliste.html?userId=7833787", "Link")</f>
        <v/>
      </c>
      <c r="Q19" s="7" t="n">
        <v>45568.75267361111</v>
      </c>
      <c r="R19" s="3" t="inlineStr">
        <is>
          <t>445.58</t>
        </is>
      </c>
      <c r="S19" t="inlineStr">
        <is>
          <t>Köln</t>
        </is>
      </c>
    </row>
    <row r="20">
      <c r="A20" s="2" t="n">
        <v>7.5</v>
      </c>
      <c r="B20" t="inlineStr">
        <is>
          <t>Severne Mach 6</t>
        </is>
      </c>
      <c r="C20" s="3" t="inlineStr"/>
      <c r="D20" s="3" t="inlineStr"/>
      <c r="E20" t="inlineStr"/>
      <c r="F20" t="inlineStr"/>
      <c r="G20" t="inlineStr">
        <is>
          <t>used</t>
        </is>
      </c>
      <c r="H20" s="4" t="inlineStr"/>
      <c r="I20" t="inlineStr">
        <is>
          <t>VB</t>
        </is>
      </c>
      <c r="J20" t="inlineStr">
        <is>
          <t>20095 Hamburg-Mitte - Hamburg Altstadt</t>
        </is>
      </c>
      <c r="K20" s="5" t="n">
        <v>45567</v>
      </c>
      <c r="L20" t="inlineStr"/>
      <c r="M20" s="6">
        <f>HYPERLINK("https://www.kleinanzeigen.de/s-anzeige/severne-mach-6-7-5qm-windsurfen-slalom-segel/2880570123-230-9415", "Link")</f>
        <v/>
      </c>
      <c r="N20" s="6">
        <f>HYPERLINK("C:\Projects\Kleinanzeigen-Scraper\offer_images\2880570123", "Link")</f>
        <v/>
      </c>
      <c r="O20" t="inlineStr">
        <is>
          <t>Patrick</t>
        </is>
      </c>
      <c r="P20" s="6">
        <f>HYPERLINK("https://www.kleinanzeigen.de/s-bestandsliste.html?userId=2498566", "Link")</f>
        <v/>
      </c>
      <c r="Q20" s="7" t="n">
        <v>45568.75254629629</v>
      </c>
      <c r="R20" s="3" t="inlineStr">
        <is>
          <t>356.89</t>
        </is>
      </c>
      <c r="S20" t="inlineStr">
        <is>
          <t>Köln</t>
        </is>
      </c>
    </row>
    <row r="21">
      <c r="A21" s="2" t="n">
        <v>4.7</v>
      </c>
      <c r="B21" t="inlineStr">
        <is>
          <t>North Vertigo</t>
        </is>
      </c>
      <c r="C21" s="3" t="n">
        <v>4.25</v>
      </c>
      <c r="D21" s="3" t="n">
        <v>1.65</v>
      </c>
      <c r="E21" t="inlineStr"/>
      <c r="F21" t="inlineStr"/>
      <c r="G21" t="inlineStr">
        <is>
          <t>used</t>
        </is>
      </c>
      <c r="H21" s="4" t="n">
        <v>45</v>
      </c>
      <c r="I21" t="inlineStr">
        <is>
          <t>VB</t>
        </is>
      </c>
      <c r="J21" t="inlineStr">
        <is>
          <t>23999 Nordwestmecklenburg - Landkreis - Poel</t>
        </is>
      </c>
      <c r="K21" s="5" t="n">
        <v>45568</v>
      </c>
      <c r="L21" t="inlineStr"/>
      <c r="M21" s="6">
        <f>HYPERLINK("https://www.kleinanzeigen.de/s-anzeige/surfsegel-north-vertigo-4-7/2881429572-230-231", "Link")</f>
        <v/>
      </c>
      <c r="N21" s="6">
        <f>HYPERLINK("C:\Projects\Kleinanzeigen-Scraper\offer_images\2881429572", "Link")</f>
        <v/>
      </c>
      <c r="O21" t="inlineStr">
        <is>
          <t>Hartmut Frank</t>
        </is>
      </c>
      <c r="P21" s="6">
        <f>HYPERLINK("https://www.kleinanzeigen.de/s-bestandsliste.html?userId=7188611", "Link")</f>
        <v/>
      </c>
      <c r="Q21" s="7" t="n">
        <v>45568.75253472223</v>
      </c>
      <c r="R21" s="3" t="inlineStr">
        <is>
          <t>456.00</t>
        </is>
      </c>
      <c r="S21" t="inlineStr">
        <is>
          <t>Köln</t>
        </is>
      </c>
    </row>
    <row r="22">
      <c r="A22" s="2" t="n">
        <v>8.1</v>
      </c>
      <c r="B22" t="inlineStr">
        <is>
          <t>North Trans Am</t>
        </is>
      </c>
      <c r="C22" s="3" t="inlineStr"/>
      <c r="D22" s="3" t="inlineStr"/>
      <c r="E22" t="inlineStr"/>
      <c r="F22" t="inlineStr"/>
      <c r="G22" t="inlineStr">
        <is>
          <t>used</t>
        </is>
      </c>
      <c r="H22" s="4" t="n">
        <v>375</v>
      </c>
      <c r="I22" t="inlineStr">
        <is>
          <t>VB</t>
        </is>
      </c>
      <c r="J22" t="inlineStr">
        <is>
          <t>25451 Kreis Pinneberg - Quickborn</t>
        </is>
      </c>
      <c r="K22" s="5" t="n">
        <v>45568</v>
      </c>
      <c r="L22" t="inlineStr"/>
      <c r="M22" s="6">
        <f>HYPERLINK("https://www.kleinanzeigen.de/s-anzeige/north-trans-am-surfsegel-8-1-qm/2881728944-230-784", "Link")</f>
        <v/>
      </c>
      <c r="N22" s="6">
        <f>HYPERLINK("C:\Projects\Kleinanzeigen-Scraper\offer_images\2881728944", "Link")</f>
        <v/>
      </c>
      <c r="O22" t="inlineStr">
        <is>
          <t>D. H.</t>
        </is>
      </c>
      <c r="P22" s="6">
        <f>HYPERLINK("https://www.kleinanzeigen.de/s-bestandsliste.html?userId=8430234", "Link")</f>
        <v/>
      </c>
      <c r="Q22" s="7" t="n">
        <v>45568.7525</v>
      </c>
      <c r="R22" s="3" t="inlineStr">
        <is>
          <t>369.27</t>
        </is>
      </c>
      <c r="S22" t="inlineStr">
        <is>
          <t>Köln</t>
        </is>
      </c>
    </row>
    <row r="23">
      <c r="A23" s="2" t="n">
        <v>6.2</v>
      </c>
      <c r="B23" t="inlineStr">
        <is>
          <t>NeilPryde Tempo</t>
        </is>
      </c>
      <c r="C23" s="3" t="n">
        <v>430</v>
      </c>
      <c r="D23" s="3" t="n">
        <v>181</v>
      </c>
      <c r="E23" t="inlineStr"/>
      <c r="F23" t="inlineStr"/>
      <c r="G23" t="inlineStr">
        <is>
          <t>used</t>
        </is>
      </c>
      <c r="H23" s="4" t="n">
        <v>295</v>
      </c>
      <c r="I23" t="inlineStr">
        <is>
          <t>VB</t>
        </is>
      </c>
      <c r="J23" t="inlineStr">
        <is>
          <t>86972 Bayern - Altenstadt</t>
        </is>
      </c>
      <c r="K23" s="5" t="n">
        <v>45564</v>
      </c>
      <c r="L23" t="inlineStr"/>
      <c r="M23" s="6">
        <f>HYPERLINK("https://www.kleinanzeigen.de/s-anzeige/neilpryde-windsurfsegel-tempo-6-2-mit-mast-c30-430-cm/2877095769-230-6557", "Link")</f>
        <v/>
      </c>
      <c r="N23" s="6">
        <f>HYPERLINK("C:\Projects\Kleinanzeigen-Scraper\offer_images\2877095769", "Link")</f>
        <v/>
      </c>
      <c r="O23" t="inlineStr">
        <is>
          <t>Franziska</t>
        </is>
      </c>
      <c r="P23" s="6">
        <f>HYPERLINK("https://www.kleinanzeigen.de/s-bestandsliste.html?userId=30761904", "Link")</f>
        <v/>
      </c>
      <c r="Q23" s="7" t="n">
        <v>45568.75237268519</v>
      </c>
      <c r="R23" s="3" t="inlineStr">
        <is>
          <t>62.44</t>
        </is>
      </c>
      <c r="S23" t="inlineStr">
        <is>
          <t>München</t>
        </is>
      </c>
    </row>
    <row r="24">
      <c r="A24" s="2" t="n">
        <v>5.3</v>
      </c>
      <c r="B24" t="inlineStr">
        <is>
          <t>Simmer Style Blacktip</t>
        </is>
      </c>
      <c r="C24" s="3" t="n">
        <v>417</v>
      </c>
      <c r="D24" s="3" t="n">
        <v>172</v>
      </c>
      <c r="E24" t="inlineStr">
        <is>
          <t>Wave</t>
        </is>
      </c>
      <c r="F24" t="inlineStr">
        <is>
          <t>2024</t>
        </is>
      </c>
      <c r="G24" t="inlineStr">
        <is>
          <t>new</t>
        </is>
      </c>
      <c r="H24" s="4" t="n">
        <v>539</v>
      </c>
      <c r="I24" t="inlineStr">
        <is>
          <t>VB</t>
        </is>
      </c>
      <c r="J24" t="inlineStr">
        <is>
          <t>87490 Bayern - Haldenwang i. Allgäu</t>
        </is>
      </c>
      <c r="K24" s="5" t="n">
        <v>45568</v>
      </c>
      <c r="L24" t="inlineStr"/>
      <c r="M24" s="6">
        <f>HYPERLINK("https://www.kleinanzeigen.de/s-anzeige/2024er-windsurf-wave-segel-5-3-simmer-style-blacktip/2881251324-230-7635", "Link")</f>
        <v/>
      </c>
      <c r="N24" s="6">
        <f>HYPERLINK("C:\Projects\Kleinanzeigen-Scraper\offer_images\2881251324", "Link")</f>
        <v/>
      </c>
      <c r="O24" t="inlineStr">
        <is>
          <t>Stan</t>
        </is>
      </c>
      <c r="P24" s="6">
        <f>HYPERLINK("https://www.kleinanzeigen.de/s-bestandsliste.html?userId=14354082", "Link")</f>
        <v/>
      </c>
      <c r="Q24" s="7" t="n">
        <v>45568.75215277778</v>
      </c>
      <c r="R24" s="3" t="inlineStr">
        <is>
          <t>98.56</t>
        </is>
      </c>
      <c r="S24" t="inlineStr">
        <is>
          <t>München</t>
        </is>
      </c>
    </row>
    <row r="25">
      <c r="A25" s="2" t="n">
        <v>4.5</v>
      </c>
      <c r="B25" t="inlineStr">
        <is>
          <t>NORTH SAILS Hero Code</t>
        </is>
      </c>
      <c r="C25" s="3" t="inlineStr"/>
      <c r="D25" s="3" t="inlineStr"/>
      <c r="E25" t="inlineStr"/>
      <c r="F25" t="inlineStr"/>
      <c r="G25" t="inlineStr">
        <is>
          <t>used</t>
        </is>
      </c>
      <c r="H25" s="4" t="n">
        <v>120</v>
      </c>
      <c r="I25" t="inlineStr"/>
      <c r="J25" t="inlineStr">
        <is>
          <t>78532 Baden-Württemberg - Tuttlingen</t>
        </is>
      </c>
      <c r="K25" s="5" t="n">
        <v>45567</v>
      </c>
      <c r="L25" t="inlineStr"/>
      <c r="M25" s="6">
        <f>HYPERLINK("https://www.kleinanzeigen.de/s-anzeige/north-sails-hero-code-windsurf-segel-4-5-qm/2880543903-230-8511", "Link")</f>
        <v/>
      </c>
      <c r="N25" s="6">
        <f>HYPERLINK("C:\Projects\Kleinanzeigen-Scraper\offer_images\2880543903", "Link")</f>
        <v/>
      </c>
      <c r="O25" t="inlineStr">
        <is>
          <t>Anton</t>
        </is>
      </c>
      <c r="P25" s="6">
        <f>HYPERLINK("https://www.kleinanzeigen.de/s-bestandsliste.html?userId=33192786", "Link")</f>
        <v/>
      </c>
      <c r="Q25" s="7" t="n">
        <v>45568.75200231482</v>
      </c>
      <c r="R25" s="3" t="inlineStr">
        <is>
          <t>39.32</t>
        </is>
      </c>
      <c r="S25" t="inlineStr">
        <is>
          <t>Bonndorf</t>
        </is>
      </c>
    </row>
    <row r="26">
      <c r="A26" s="2" t="n">
        <v>4.7</v>
      </c>
      <c r="B26" t="inlineStr">
        <is>
          <t>Simmer Style Blacktip</t>
        </is>
      </c>
      <c r="C26" s="3" t="n">
        <v>370</v>
      </c>
      <c r="D26" s="3" t="n">
        <v>163</v>
      </c>
      <c r="E26" t="inlineStr"/>
      <c r="F26" t="inlineStr">
        <is>
          <t>2024</t>
        </is>
      </c>
      <c r="G26" t="inlineStr">
        <is>
          <t>used</t>
        </is>
      </c>
      <c r="H26" s="4" t="n">
        <v>490</v>
      </c>
      <c r="I26" t="inlineStr">
        <is>
          <t>VB</t>
        </is>
      </c>
      <c r="J26" t="inlineStr">
        <is>
          <t>87490 Bayern - Haldenwang i. Allgäu</t>
        </is>
      </c>
      <c r="K26" s="5" t="n">
        <v>45568</v>
      </c>
      <c r="L26" t="inlineStr"/>
      <c r="M26" s="6">
        <f>HYPERLINK("https://www.kleinanzeigen.de/s-anzeige/windsurf-segel-simmer-style-2024-blacktip-4-7/2881222806-230-7635", "Link")</f>
        <v/>
      </c>
      <c r="N26" s="6">
        <f>HYPERLINK("C:\Projects\Kleinanzeigen-Scraper\offer_images\2881222806", "Link")</f>
        <v/>
      </c>
      <c r="O26" t="inlineStr">
        <is>
          <t>Stan</t>
        </is>
      </c>
      <c r="P26" s="6">
        <f>HYPERLINK("https://www.kleinanzeigen.de/s-bestandsliste.html?userId=14354082", "Link")</f>
        <v/>
      </c>
      <c r="Q26" s="7" t="n">
        <v>45568.75149305556</v>
      </c>
      <c r="R26" s="3" t="inlineStr">
        <is>
          <t>98.56</t>
        </is>
      </c>
      <c r="S26" t="inlineStr">
        <is>
          <t>München</t>
        </is>
      </c>
    </row>
    <row r="27">
      <c r="A27" s="2" t="n">
        <v>8.6</v>
      </c>
      <c r="B27" t="inlineStr">
        <is>
          <t>Neilpryde RS EVo Racing</t>
        </is>
      </c>
      <c r="C27" s="3" t="n">
        <v>490</v>
      </c>
      <c r="D27" s="3" t="n">
        <v>193</v>
      </c>
      <c r="E27" t="inlineStr"/>
      <c r="F27" t="inlineStr"/>
      <c r="G27" t="inlineStr"/>
      <c r="H27" s="4" t="n">
        <v>400</v>
      </c>
      <c r="I27" t="inlineStr"/>
      <c r="J27" t="inlineStr">
        <is>
          <t>88400 Baden-Württemberg - Biberach an der Riß</t>
        </is>
      </c>
      <c r="K27" s="5" t="n">
        <v>45568</v>
      </c>
      <c r="L27" t="inlineStr"/>
      <c r="M27" s="6">
        <f>HYPERLINK("https://www.kleinanzeigen.de/s-anzeige/neilpryde-rs-evo-racing-8-6qm-490-fx100-carbon/2880915000-230-8706", "Link")</f>
        <v/>
      </c>
      <c r="N27" s="6">
        <f>HYPERLINK("C:\Projects\Kleinanzeigen-Scraper\offer_images\2880915000", "Link")</f>
        <v/>
      </c>
      <c r="O27" t="inlineStr">
        <is>
          <t>Schneider</t>
        </is>
      </c>
      <c r="P27" s="6">
        <f>HYPERLINK("https://www.kleinanzeigen.de/s-bestandsliste.html?userId=3638597", "Link")</f>
        <v/>
      </c>
      <c r="Q27" s="7" t="n">
        <v>45568.75078703704</v>
      </c>
      <c r="R27" s="3" t="inlineStr">
        <is>
          <t>89.53</t>
        </is>
      </c>
      <c r="S27" t="inlineStr">
        <is>
          <t>Böblingen</t>
        </is>
      </c>
    </row>
    <row r="28">
      <c r="A28" s="2" t="n">
        <v>3.7</v>
      </c>
      <c r="B28" t="inlineStr">
        <is>
          <t>Neilpryde Combat Pro</t>
        </is>
      </c>
      <c r="C28" s="3" t="inlineStr"/>
      <c r="D28" s="3" t="inlineStr"/>
      <c r="E28" t="inlineStr"/>
      <c r="F28" t="inlineStr">
        <is>
          <t>2023</t>
        </is>
      </c>
      <c r="G28" t="inlineStr">
        <is>
          <t>used</t>
        </is>
      </c>
      <c r="H28" s="4" t="n">
        <v>430</v>
      </c>
      <c r="I28" t="inlineStr">
        <is>
          <t>VB</t>
        </is>
      </c>
      <c r="J28" t="inlineStr">
        <is>
          <t>21035 Bergedorf - Hamburg Allermöhe</t>
        </is>
      </c>
      <c r="K28" s="5" t="n">
        <v>45563</v>
      </c>
      <c r="L28" t="inlineStr"/>
      <c r="M28" s="6">
        <f>HYPERLINK("https://www.kleinanzeigen.de/s-anzeige/neilpryde-combat-pro-3-7-2023/2876746767-230-9517", "Link")</f>
        <v/>
      </c>
      <c r="N28" s="6">
        <f>HYPERLINK("C:\Projects\Kleinanzeigen-Scraper\offer_images\2876746767", "Link")</f>
        <v/>
      </c>
      <c r="O28" t="inlineStr">
        <is>
          <t>Erik</t>
        </is>
      </c>
      <c r="P28" s="6">
        <f>HYPERLINK("https://www.kleinanzeigen.de/s-bestandsliste.html?userId=45943178", "Link")</f>
        <v/>
      </c>
      <c r="Q28" s="7" t="n">
        <v>45568.75070601852</v>
      </c>
      <c r="R28" s="3" t="inlineStr">
        <is>
          <t>357.47</t>
        </is>
      </c>
      <c r="S28" t="inlineStr">
        <is>
          <t>Köln</t>
        </is>
      </c>
    </row>
    <row r="29">
      <c r="A29" s="2" t="n">
        <v>4</v>
      </c>
      <c r="B29" t="inlineStr">
        <is>
          <t>Gaastra Netwave</t>
        </is>
      </c>
      <c r="C29" s="3" t="n">
        <v>3.92</v>
      </c>
      <c r="D29" s="3" t="inlineStr">
        <is>
          <t>151-155</t>
        </is>
      </c>
      <c r="E29" t="inlineStr"/>
      <c r="F29" t="inlineStr"/>
      <c r="G29" t="inlineStr">
        <is>
          <t>used</t>
        </is>
      </c>
      <c r="H29" s="4" t="n">
        <v>35</v>
      </c>
      <c r="I29" t="inlineStr">
        <is>
          <t>VB</t>
        </is>
      </c>
      <c r="J29" t="inlineStr">
        <is>
          <t>83109 Bayern - Großkarolinenfeld</t>
        </is>
      </c>
      <c r="K29" s="5" t="n">
        <v>45568</v>
      </c>
      <c r="L29" t="inlineStr"/>
      <c r="M29" s="6">
        <f>HYPERLINK("https://www.kleinanzeigen.de/s-anzeige/windsurfsegel-gaastra-netwave-4-0-qum/2881528587-230-6255", "Link")</f>
        <v/>
      </c>
      <c r="N29" s="6">
        <f>HYPERLINK("C:\Projects\Kleinanzeigen-Scraper\offer_images\2881528587", "Link")</f>
        <v/>
      </c>
      <c r="O29" t="inlineStr">
        <is>
          <t>Mayer Jutta</t>
        </is>
      </c>
      <c r="P29" s="6">
        <f>HYPERLINK("https://www.kleinanzeigen.de/s-bestandsliste.html?userId=9582607", "Link")</f>
        <v/>
      </c>
      <c r="Q29" s="7" t="n">
        <v>45568.75063657408</v>
      </c>
      <c r="R29" s="3" t="inlineStr">
        <is>
          <t>45.57</t>
        </is>
      </c>
      <c r="S29" t="inlineStr">
        <is>
          <t>München</t>
        </is>
      </c>
    </row>
    <row r="30">
      <c r="A30" s="2" t="n">
        <v>4.2</v>
      </c>
      <c r="B30" t="inlineStr">
        <is>
          <t>Naish Force V</t>
        </is>
      </c>
      <c r="C30" s="3" t="n">
        <v>370</v>
      </c>
      <c r="D30" s="3" t="n">
        <v>156</v>
      </c>
      <c r="E30" t="inlineStr">
        <is>
          <t>Wave</t>
        </is>
      </c>
      <c r="F30" t="inlineStr"/>
      <c r="G30" t="inlineStr">
        <is>
          <t>used</t>
        </is>
      </c>
      <c r="H30" s="4" t="n">
        <v>200</v>
      </c>
      <c r="I30" t="inlineStr"/>
      <c r="J30" t="inlineStr">
        <is>
          <t>17192 Müritz - Landkreis - Waren (Müritz)</t>
        </is>
      </c>
      <c r="K30" s="5" t="n">
        <v>45568</v>
      </c>
      <c r="L30" t="inlineStr"/>
      <c r="M30" s="6">
        <f>HYPERLINK("https://www.kleinanzeigen.de/s-anzeige/naish-force-v-4-2-m2-windsurf-segel-wave/2881733506-230-71", "Link")</f>
        <v/>
      </c>
      <c r="N30" s="6">
        <f>HYPERLINK("C:\Projects\Kleinanzeigen-Scraper\offer_images\2881733506", "Link")</f>
        <v/>
      </c>
      <c r="O30" t="inlineStr">
        <is>
          <t>Katja</t>
        </is>
      </c>
      <c r="P30" s="6">
        <f>HYPERLINK("https://www.kleinanzeigen.de/s-bestandsliste.html?userId=19459755", "Link")</f>
        <v/>
      </c>
      <c r="Q30" s="7" t="n">
        <v>45568.75033564815</v>
      </c>
      <c r="R30" s="3" t="inlineStr">
        <is>
          <t>486.42</t>
        </is>
      </c>
      <c r="S30" t="inlineStr">
        <is>
          <t>Köln</t>
        </is>
      </c>
    </row>
    <row r="31">
      <c r="A31" s="2" t="n">
        <v>7.5</v>
      </c>
      <c r="B31" t="inlineStr">
        <is>
          <t>Neilpryde</t>
        </is>
      </c>
      <c r="C31" s="3" t="inlineStr"/>
      <c r="D31" s="3" t="inlineStr"/>
      <c r="E31" t="inlineStr">
        <is>
          <t>Slalom</t>
        </is>
      </c>
      <c r="F31" t="inlineStr"/>
      <c r="G31" t="inlineStr">
        <is>
          <t>used</t>
        </is>
      </c>
      <c r="H31" s="4" t="inlineStr">
        <is>
          <t>Zu verschenken</t>
        </is>
      </c>
      <c r="I31" t="inlineStr"/>
      <c r="J31" t="inlineStr">
        <is>
          <t>63679 Hessen - Schotten</t>
        </is>
      </c>
      <c r="K31" s="5" t="n">
        <v>45563</v>
      </c>
      <c r="L31" t="inlineStr"/>
      <c r="M31" s="6">
        <f>HYPERLINK("https://www.kleinanzeigen.de/s-anzeige/surfsegel-neilpryde-7-5/2876768659-230-18628", "Link")</f>
        <v/>
      </c>
      <c r="N31" s="6">
        <f>HYPERLINK("C:\Projects\Kleinanzeigen-Scraper\offer_images\2876768659", "Link")</f>
        <v/>
      </c>
      <c r="O31" t="inlineStr">
        <is>
          <t>Anja</t>
        </is>
      </c>
      <c r="P31" s="6">
        <f>HYPERLINK("https://www.kleinanzeigen.de/s-bestandsliste.html?userId=45642513", "Link")</f>
        <v/>
      </c>
      <c r="Q31" s="7" t="n">
        <v>45568.75008101852</v>
      </c>
      <c r="R31" s="3" t="inlineStr">
        <is>
          <t>161.32</t>
        </is>
      </c>
      <c r="S31" t="inlineStr">
        <is>
          <t>Köln</t>
        </is>
      </c>
    </row>
    <row r="32">
      <c r="A32" s="2" t="n">
        <v>4.5</v>
      </c>
      <c r="B32" t="inlineStr">
        <is>
          <t>Naish Chopper 3X</t>
        </is>
      </c>
      <c r="C32" s="3" t="n">
        <v>370</v>
      </c>
      <c r="D32" s="3" t="n">
        <v>156</v>
      </c>
      <c r="E32" t="inlineStr"/>
      <c r="F32" t="inlineStr">
        <is>
          <t>2022</t>
        </is>
      </c>
      <c r="G32" t="inlineStr">
        <is>
          <t>used</t>
        </is>
      </c>
      <c r="H32" s="4" t="n">
        <v>380</v>
      </c>
      <c r="I32" t="inlineStr">
        <is>
          <t>VB</t>
        </is>
      </c>
      <c r="J32" t="inlineStr">
        <is>
          <t>24229 Schleswig-Holstein - Schwedeneck</t>
        </is>
      </c>
      <c r="K32" s="5" t="n">
        <v>45567</v>
      </c>
      <c r="L32" t="inlineStr"/>
      <c r="M32" s="6">
        <f>HYPERLINK("https://www.kleinanzeigen.de/s-anzeige/naish-chopper-3x-4-5-qm-2022-guter-zustand/2880517948-230-17470", "Link")</f>
        <v/>
      </c>
      <c r="N32" s="6">
        <f>HYPERLINK("C:\Projects\Kleinanzeigen-Scraper\offer_images\2880517948", "Link")</f>
        <v/>
      </c>
      <c r="O32" t="inlineStr">
        <is>
          <t>Bernd</t>
        </is>
      </c>
      <c r="P32" s="6">
        <f>HYPERLINK("https://www.kleinanzeigen.de/s-bestandsliste.html?userId=7833787", "Link")</f>
        <v/>
      </c>
      <c r="Q32" s="7" t="n">
        <v>45568.74998842592</v>
      </c>
      <c r="R32" s="3" t="inlineStr">
        <is>
          <t>445.58</t>
        </is>
      </c>
      <c r="S32" t="inlineStr">
        <is>
          <t>Köln</t>
        </is>
      </c>
    </row>
    <row r="33">
      <c r="A33" s="2" t="n">
        <v>6.6</v>
      </c>
      <c r="B33" t="inlineStr">
        <is>
          <t>Duotone E-TYPE</t>
        </is>
      </c>
      <c r="C33" s="3" t="n">
        <v>461</v>
      </c>
      <c r="D33" s="3" t="n">
        <v>194</v>
      </c>
      <c r="E33" t="inlineStr">
        <is>
          <t>Freeride</t>
        </is>
      </c>
      <c r="F33" t="inlineStr"/>
      <c r="G33" t="inlineStr">
        <is>
          <t>used</t>
        </is>
      </c>
      <c r="H33" s="4" t="n">
        <v>175</v>
      </c>
      <c r="I33" t="inlineStr">
        <is>
          <t>VB</t>
        </is>
      </c>
      <c r="J33" t="inlineStr">
        <is>
          <t>33129 Nordrhein-Westfalen - Delbrück</t>
        </is>
      </c>
      <c r="K33" s="5" t="n">
        <v>45568</v>
      </c>
      <c r="L33" t="inlineStr"/>
      <c r="M33" s="6">
        <f>HYPERLINK("https://www.kleinanzeigen.de/s-anzeige/duotone-e-type-6-6-windsurfsegel-freeride-windsurfen-segel/2881642508-230-1264", "Link")</f>
        <v/>
      </c>
      <c r="N33" s="6">
        <f>HYPERLINK("C:\Projects\Kleinanzeigen-Scraper\offer_images\2881642508", "Link")</f>
        <v/>
      </c>
      <c r="O33" t="inlineStr">
        <is>
          <t>A.M.</t>
        </is>
      </c>
      <c r="P33" s="6">
        <f>HYPERLINK("https://www.kleinanzeigen.de/s-bestandsliste.html?userId=1432701", "Link")</f>
        <v/>
      </c>
      <c r="Q33" s="7" t="n">
        <v>45568.749375</v>
      </c>
      <c r="R33" s="3" t="inlineStr">
        <is>
          <t>145.00</t>
        </is>
      </c>
      <c r="S33" t="inlineStr">
        <is>
          <t>Köln</t>
        </is>
      </c>
    </row>
    <row r="34">
      <c r="A34" s="2" t="n">
        <v>7.5</v>
      </c>
      <c r="B34" t="inlineStr">
        <is>
          <t>Severne Mach 6</t>
        </is>
      </c>
      <c r="C34" s="3" t="inlineStr"/>
      <c r="D34" s="3" t="inlineStr"/>
      <c r="E34" t="inlineStr"/>
      <c r="F34" t="inlineStr"/>
      <c r="G34" t="inlineStr">
        <is>
          <t>used</t>
        </is>
      </c>
      <c r="H34" s="4" t="inlineStr"/>
      <c r="I34" t="inlineStr">
        <is>
          <t>VB</t>
        </is>
      </c>
      <c r="J34" t="inlineStr">
        <is>
          <t>23769 Kreis Ostholstein - Fehmarn</t>
        </is>
      </c>
      <c r="K34" s="5" t="n">
        <v>45567</v>
      </c>
      <c r="L34" t="inlineStr"/>
      <c r="M34" s="6">
        <f>HYPERLINK("https://www.kleinanzeigen.de/s-anzeige/severne-mach-6-7-5qm-schnell-und-leicht-windsurfen-slalom-segel/2880023765-230-19951", "Link")</f>
        <v/>
      </c>
      <c r="N34" s="6">
        <f>HYPERLINK("C:\Projects\Kleinanzeigen-Scraper\offer_images\2880023765", "Link")</f>
        <v/>
      </c>
      <c r="O34" t="inlineStr">
        <is>
          <t>Patrick</t>
        </is>
      </c>
      <c r="P34" s="6">
        <f>HYPERLINK("https://www.kleinanzeigen.de/s-bestandsliste.html?userId=2498566", "Link")</f>
        <v/>
      </c>
      <c r="Q34" s="7" t="n">
        <v>45568.74929398148</v>
      </c>
      <c r="R34" s="3" t="inlineStr">
        <is>
          <t>483.01</t>
        </is>
      </c>
      <c r="S34" t="inlineStr">
        <is>
          <t>Köln</t>
        </is>
      </c>
    </row>
    <row r="35">
      <c r="A35" s="2" t="n">
        <v>6.5</v>
      </c>
      <c r="B35" t="inlineStr">
        <is>
          <t>Gaastra Matrix</t>
        </is>
      </c>
      <c r="C35" s="3" t="n">
        <v>4.5</v>
      </c>
      <c r="D35" s="3" t="n">
        <v>1.87</v>
      </c>
      <c r="E35" t="inlineStr">
        <is>
          <t>Freeride</t>
        </is>
      </c>
      <c r="F35" t="inlineStr"/>
      <c r="G35" t="inlineStr">
        <is>
          <t>used</t>
        </is>
      </c>
      <c r="H35" s="4" t="n">
        <v>140</v>
      </c>
      <c r="I35" t="inlineStr">
        <is>
          <t>VB</t>
        </is>
      </c>
      <c r="J35" t="inlineStr">
        <is>
          <t>33129 Nordrhein-Westfalen - Delbrück</t>
        </is>
      </c>
      <c r="K35" s="5" t="n">
        <v>45568</v>
      </c>
      <c r="L35" t="inlineStr"/>
      <c r="M35" s="6">
        <f>HYPERLINK("https://www.kleinanzeigen.de/s-anzeige/gaastra-matrix-6-5-windsurfsegel-segel-windsurfen-freeride/2881582066-230-1264", "Link")</f>
        <v/>
      </c>
      <c r="N35" s="6">
        <f>HYPERLINK("C:\Projects\Kleinanzeigen-Scraper\offer_images\2881582066", "Link")</f>
        <v/>
      </c>
      <c r="O35" t="inlineStr">
        <is>
          <t>A.M.</t>
        </is>
      </c>
      <c r="P35" s="6">
        <f>HYPERLINK("https://www.kleinanzeigen.de/s-bestandsliste.html?userId=1432701", "Link")</f>
        <v/>
      </c>
      <c r="Q35" s="7" t="n">
        <v>45568.74869212963</v>
      </c>
      <c r="R35" s="3" t="inlineStr">
        <is>
          <t>145.00</t>
        </is>
      </c>
      <c r="S35" t="inlineStr">
        <is>
          <t>Köln</t>
        </is>
      </c>
    </row>
    <row r="36">
      <c r="A36" s="2" t="n">
        <v>9.300000000000001</v>
      </c>
      <c r="B36" t="inlineStr">
        <is>
          <t>North Ram F14</t>
        </is>
      </c>
      <c r="C36" s="3" t="inlineStr"/>
      <c r="D36" s="3" t="inlineStr"/>
      <c r="E36" t="inlineStr"/>
      <c r="F36" t="inlineStr"/>
      <c r="G36" t="inlineStr">
        <is>
          <t>used</t>
        </is>
      </c>
      <c r="H36" s="4" t="n">
        <v>250</v>
      </c>
      <c r="I36" t="inlineStr"/>
      <c r="J36" t="inlineStr">
        <is>
          <t>20457 Hamburg-Mitte - Hamburg St. Pauli</t>
        </is>
      </c>
      <c r="K36" s="5" t="n">
        <v>45568</v>
      </c>
      <c r="L36" t="inlineStr"/>
      <c r="M36" s="6">
        <f>HYPERLINK("https://www.kleinanzeigen.de/s-anzeige/surfen-segel-north-ram-f14-freerace/2881206858-230-9496", "Link")</f>
        <v/>
      </c>
      <c r="N36" s="6">
        <f>HYPERLINK("C:\Projects\Kleinanzeigen-Scraper\offer_images\2881206858", "Link")</f>
        <v/>
      </c>
      <c r="O36" t="inlineStr">
        <is>
          <t>Martin</t>
        </is>
      </c>
      <c r="P36" s="6">
        <f>HYPERLINK("https://www.kleinanzeigen.de/s-bestandsliste.html?userId=24786405", "Link")</f>
        <v/>
      </c>
      <c r="Q36" s="7" t="n">
        <v>45568.7484375</v>
      </c>
      <c r="R36" s="3" t="inlineStr">
        <is>
          <t>354.54</t>
        </is>
      </c>
      <c r="S36" t="inlineStr">
        <is>
          <t>Köln</t>
        </is>
      </c>
    </row>
    <row r="37">
      <c r="A37" s="2" t="n">
        <v>6.6</v>
      </c>
      <c r="B37" t="inlineStr">
        <is>
          <t>North Sails</t>
        </is>
      </c>
      <c r="C37" s="3" t="inlineStr"/>
      <c r="D37" s="3" t="inlineStr"/>
      <c r="E37" t="inlineStr"/>
      <c r="F37" t="inlineStr"/>
      <c r="G37" t="inlineStr">
        <is>
          <t>used</t>
        </is>
      </c>
      <c r="H37" s="4" t="n">
        <v>155</v>
      </c>
      <c r="I37" t="inlineStr">
        <is>
          <t>VB</t>
        </is>
      </c>
      <c r="J37" t="inlineStr">
        <is>
          <t>74423 Baden-Württemberg - Obersontheim</t>
        </is>
      </c>
      <c r="K37" s="5" t="n">
        <v>45567</v>
      </c>
      <c r="L37" t="inlineStr"/>
      <c r="M37" s="6">
        <f>HYPERLINK("https://www.kleinanzeigen.de/s-anzeige/north-sails-6-6-segel-windsurfen/2880575131-230-9154", "Link")</f>
        <v/>
      </c>
      <c r="N37" s="6">
        <f>HYPERLINK("C:\Projects\Kleinanzeigen-Scraper\offer_images\2880575131", "Link")</f>
        <v/>
      </c>
      <c r="O37" t="inlineStr">
        <is>
          <t>Marcel</t>
        </is>
      </c>
      <c r="P37" s="6">
        <f>HYPERLINK("https://www.kleinanzeigen.de/s-bestandsliste.html?userId=22775485", "Link")</f>
        <v/>
      </c>
      <c r="Q37" s="7" t="n">
        <v>45568.74832175926</v>
      </c>
      <c r="R37" s="3" t="inlineStr">
        <is>
          <t>77.18</t>
        </is>
      </c>
      <c r="S37" t="inlineStr">
        <is>
          <t>Böblingen</t>
        </is>
      </c>
    </row>
    <row r="38">
      <c r="A38" s="2" t="n">
        <v>4.7</v>
      </c>
      <c r="B38" t="inlineStr">
        <is>
          <t>Naish Force 4</t>
        </is>
      </c>
      <c r="C38" s="3" t="inlineStr"/>
      <c r="D38" s="3" t="inlineStr"/>
      <c r="E38" t="inlineStr"/>
      <c r="F38" t="inlineStr">
        <is>
          <t>2022/23</t>
        </is>
      </c>
      <c r="G38" t="inlineStr">
        <is>
          <t>used</t>
        </is>
      </c>
      <c r="H38" s="4" t="n">
        <v>380</v>
      </c>
      <c r="I38" t="inlineStr">
        <is>
          <t>VB</t>
        </is>
      </c>
      <c r="J38" t="inlineStr">
        <is>
          <t>24229 Schleswig-Holstein - Schwedeneck</t>
        </is>
      </c>
      <c r="K38" s="5" t="n">
        <v>45568</v>
      </c>
      <c r="L38" t="inlineStr"/>
      <c r="M38" s="6">
        <f>HYPERLINK("https://www.kleinanzeigen.de/s-anzeige/naish-force-4-4-7-qm-2022-23-guter-zustand/2881324280-230-17470", "Link")</f>
        <v/>
      </c>
      <c r="N38" s="6">
        <f>HYPERLINK("C:\Projects\Kleinanzeigen-Scraper\offer_images\2881324280", "Link")</f>
        <v/>
      </c>
      <c r="O38" t="inlineStr">
        <is>
          <t>Bernd</t>
        </is>
      </c>
      <c r="P38" s="6">
        <f>HYPERLINK("https://www.kleinanzeigen.de/s-bestandsliste.html?userId=7833787", "Link")</f>
        <v/>
      </c>
      <c r="Q38" s="7" t="n">
        <v>45568.74747685185</v>
      </c>
      <c r="R38" s="3" t="inlineStr">
        <is>
          <t>445.58</t>
        </is>
      </c>
      <c r="S38" t="inlineStr">
        <is>
          <t>Köln</t>
        </is>
      </c>
    </row>
    <row r="39">
      <c r="A39" s="2" t="n">
        <v>5.3</v>
      </c>
      <c r="B39" t="inlineStr">
        <is>
          <t>Naish Force 5</t>
        </is>
      </c>
      <c r="C39" s="3" t="inlineStr"/>
      <c r="D39" s="3" t="inlineStr"/>
      <c r="E39" t="inlineStr"/>
      <c r="F39" t="inlineStr">
        <is>
          <t>2022</t>
        </is>
      </c>
      <c r="G39" t="inlineStr">
        <is>
          <t>used</t>
        </is>
      </c>
      <c r="H39" s="4" t="n">
        <v>380</v>
      </c>
      <c r="I39" t="inlineStr">
        <is>
          <t>VB</t>
        </is>
      </c>
      <c r="J39" t="inlineStr">
        <is>
          <t>24229 Schleswig-Holstein - Schwedeneck</t>
        </is>
      </c>
      <c r="K39" s="5" t="n">
        <v>45567</v>
      </c>
      <c r="L39" t="inlineStr"/>
      <c r="M39" s="6">
        <f>HYPERLINK("https://www.kleinanzeigen.de/s-anzeige/naish-force-5-5-latten-5-3-qm-2022-guter-zustand/2880514784-230-17470", "Link")</f>
        <v/>
      </c>
      <c r="N39" s="6">
        <f>HYPERLINK("C:\Projects\Kleinanzeigen-Scraper\offer_images\2880514784", "Link")</f>
        <v/>
      </c>
      <c r="O39" t="inlineStr">
        <is>
          <t>Bernd</t>
        </is>
      </c>
      <c r="P39" s="6">
        <f>HYPERLINK("https://www.kleinanzeigen.de/s-bestandsliste.html?userId=7833787", "Link")</f>
        <v/>
      </c>
      <c r="Q39" s="7" t="n">
        <v>45568.74712962963</v>
      </c>
      <c r="R39" s="3" t="inlineStr">
        <is>
          <t>445.58</t>
        </is>
      </c>
      <c r="S39" t="inlineStr">
        <is>
          <t>Köln</t>
        </is>
      </c>
    </row>
    <row r="40">
      <c r="A40" s="2" t="n">
        <v>7.2</v>
      </c>
      <c r="B40" t="inlineStr">
        <is>
          <t>Arrows Craze</t>
        </is>
      </c>
      <c r="C40" s="3" t="n">
        <v>460</v>
      </c>
      <c r="D40" s="3" t="inlineStr"/>
      <c r="E40" t="inlineStr"/>
      <c r="F40" t="inlineStr"/>
      <c r="G40" t="inlineStr">
        <is>
          <t>used</t>
        </is>
      </c>
      <c r="H40" s="4" t="n">
        <v>45</v>
      </c>
      <c r="I40" t="inlineStr"/>
      <c r="J40" t="inlineStr">
        <is>
          <t>13597 Berlin - Spandau</t>
        </is>
      </c>
      <c r="K40" s="5" t="n">
        <v>45568</v>
      </c>
      <c r="L40" t="inlineStr"/>
      <c r="M40" s="6">
        <f>HYPERLINK("https://www.kleinanzeigen.de/s-anzeige/windsurfsegel-freeride-segel-7-2-arrows-craze-windsurf/2881400408-230-3431", "Link")</f>
        <v/>
      </c>
      <c r="N40" s="6">
        <f>HYPERLINK("C:\Projects\Kleinanzeigen-Scraper\offer_images\2881400408", "Link")</f>
        <v/>
      </c>
      <c r="O40" t="inlineStr">
        <is>
          <t>Tobias</t>
        </is>
      </c>
      <c r="P40" s="6">
        <f>HYPERLINK("https://www.kleinanzeigen.de/s-bestandsliste.html?userId=33453558", "Link")</f>
        <v/>
      </c>
      <c r="Q40" s="7" t="n">
        <v>45568.74686342593</v>
      </c>
      <c r="R40" s="3" t="inlineStr">
        <is>
          <t>465.78</t>
        </is>
      </c>
      <c r="S40" t="inlineStr">
        <is>
          <t>Köln</t>
        </is>
      </c>
    </row>
    <row r="41">
      <c r="A41" s="2" t="n">
        <v>4</v>
      </c>
      <c r="B41" t="inlineStr">
        <is>
          <t>Neilpryde Combat HD</t>
        </is>
      </c>
      <c r="C41" s="3" t="n">
        <v>370</v>
      </c>
      <c r="D41" s="3" t="n">
        <v>150</v>
      </c>
      <c r="E41" t="inlineStr"/>
      <c r="F41" t="inlineStr">
        <is>
          <t>2016</t>
        </is>
      </c>
      <c r="G41" t="inlineStr">
        <is>
          <t>used</t>
        </is>
      </c>
      <c r="H41" s="4" t="n">
        <v>250</v>
      </c>
      <c r="I41" t="inlineStr">
        <is>
          <t>VB</t>
        </is>
      </c>
      <c r="J41" t="inlineStr">
        <is>
          <t>38100 Niedersachsen - Braunschweig</t>
        </is>
      </c>
      <c r="K41" s="5" t="n">
        <v>45568</v>
      </c>
      <c r="L41" t="inlineStr"/>
      <c r="M41" s="6">
        <f>HYPERLINK("https://www.kleinanzeigen.de/s-anzeige/neilpryde-combat-hd-4-0/2881319088-230-2462", "Link")</f>
        <v/>
      </c>
      <c r="N41" s="6">
        <f>HYPERLINK("C:\Projects\Kleinanzeigen-Scraper\offer_images\2881319088", "Link")</f>
        <v/>
      </c>
      <c r="O41" t="inlineStr">
        <is>
          <t>Patrice</t>
        </is>
      </c>
      <c r="P41" s="6">
        <f>HYPERLINK("https://www.kleinanzeigen.de/s-bestandsliste.html?userId=16234121", "Link")</f>
        <v/>
      </c>
      <c r="Q41" s="7" t="n">
        <v>45568.7462962963</v>
      </c>
      <c r="R41" s="3" t="inlineStr">
        <is>
          <t>287.00</t>
        </is>
      </c>
      <c r="S41" t="inlineStr">
        <is>
          <t>Köln</t>
        </is>
      </c>
    </row>
    <row r="42">
      <c r="A42" s="2" t="n">
        <v>4.2</v>
      </c>
      <c r="B42" t="inlineStr">
        <is>
          <t>Neilpryde Combat Pro</t>
        </is>
      </c>
      <c r="C42" s="3" t="inlineStr"/>
      <c r="D42" s="3" t="inlineStr"/>
      <c r="E42" t="inlineStr"/>
      <c r="F42" t="inlineStr">
        <is>
          <t>2023</t>
        </is>
      </c>
      <c r="G42" t="inlineStr">
        <is>
          <t>repaired</t>
        </is>
      </c>
      <c r="H42" s="4" t="n">
        <v>360</v>
      </c>
      <c r="I42" t="inlineStr">
        <is>
          <t>VB</t>
        </is>
      </c>
      <c r="J42" t="inlineStr">
        <is>
          <t>21035 Bergedorf - Hamburg Allermöhe</t>
        </is>
      </c>
      <c r="K42" s="5" t="n">
        <v>45563</v>
      </c>
      <c r="L42" t="inlineStr"/>
      <c r="M42" s="6">
        <f>HYPERLINK("https://www.kleinanzeigen.de/s-anzeige/neilpryde-combat-pro-4-2-2023/2876739699-230-9517", "Link")</f>
        <v/>
      </c>
      <c r="N42" s="6">
        <f>HYPERLINK("C:\Projects\Kleinanzeigen-Scraper\offer_images\2876739699", "Link")</f>
        <v/>
      </c>
      <c r="O42" t="inlineStr">
        <is>
          <t>Erik</t>
        </is>
      </c>
      <c r="P42" s="6">
        <f>HYPERLINK("https://www.kleinanzeigen.de/s-bestandsliste.html?userId=45943178", "Link")</f>
        <v/>
      </c>
      <c r="Q42" s="7" t="n">
        <v>45568.74590277778</v>
      </c>
      <c r="R42" s="3" t="inlineStr">
        <is>
          <t>357.47</t>
        </is>
      </c>
      <c r="S42" t="inlineStr">
        <is>
          <t>Köln</t>
        </is>
      </c>
    </row>
    <row r="43">
      <c r="A43" s="2" t="n">
        <v>5.4</v>
      </c>
      <c r="B43" t="inlineStr">
        <is>
          <t>NORTH SAILS X-Type</t>
        </is>
      </c>
      <c r="C43" s="3" t="inlineStr"/>
      <c r="D43" s="3" t="inlineStr"/>
      <c r="E43" t="inlineStr"/>
      <c r="F43" t="inlineStr"/>
      <c r="G43" t="inlineStr">
        <is>
          <t>used</t>
        </is>
      </c>
      <c r="H43" s="4" t="n">
        <v>90</v>
      </c>
      <c r="I43" t="inlineStr"/>
      <c r="J43" t="inlineStr">
        <is>
          <t>78532 Baden-Württemberg - Tuttlingen</t>
        </is>
      </c>
      <c r="K43" s="5" t="n">
        <v>45567</v>
      </c>
      <c r="L43" t="inlineStr"/>
      <c r="M43" s="6">
        <f>HYPERLINK("https://www.kleinanzeigen.de/s-anzeige/north-sails-x-type-windsurf-segel-5-4-qm/2880536053-230-8511", "Link")</f>
        <v/>
      </c>
      <c r="N43" s="6">
        <f>HYPERLINK("C:\Projects\Kleinanzeigen-Scraper\offer_images\2880536053", "Link")</f>
        <v/>
      </c>
      <c r="O43" t="inlineStr">
        <is>
          <t>Anton</t>
        </is>
      </c>
      <c r="P43" s="6">
        <f>HYPERLINK("https://www.kleinanzeigen.de/s-bestandsliste.html?userId=33192786", "Link")</f>
        <v/>
      </c>
      <c r="Q43" s="7" t="n">
        <v>45568.74579861111</v>
      </c>
      <c r="R43" s="3" t="inlineStr">
        <is>
          <t>39.32</t>
        </is>
      </c>
      <c r="S43" t="inlineStr">
        <is>
          <t>Bonndorf</t>
        </is>
      </c>
    </row>
    <row r="44">
      <c r="A44" s="2" t="n">
        <v>6.8</v>
      </c>
      <c r="B44" t="inlineStr">
        <is>
          <t>Severne Moto</t>
        </is>
      </c>
      <c r="C44" s="3" t="n">
        <v>430</v>
      </c>
      <c r="D44" s="3" t="n">
        <v>187</v>
      </c>
      <c r="E44" t="inlineStr"/>
      <c r="F44" t="inlineStr">
        <is>
          <t>2024</t>
        </is>
      </c>
      <c r="G44" t="inlineStr">
        <is>
          <t>used</t>
        </is>
      </c>
      <c r="H44" s="4" t="n">
        <v>649</v>
      </c>
      <c r="I44" t="inlineStr">
        <is>
          <t>VB</t>
        </is>
      </c>
      <c r="J44" t="inlineStr">
        <is>
          <t>49448 Niedersachsen - Lemförde</t>
        </is>
      </c>
      <c r="K44" s="5" t="n">
        <v>45567</v>
      </c>
      <c r="L44" t="inlineStr"/>
      <c r="M44" s="6">
        <f>HYPERLINK("https://www.kleinanzeigen.de/s-anzeige/severne-moto-2024-6-8/2880601758-230-18843", "Link")</f>
        <v/>
      </c>
      <c r="N44" s="6">
        <f>HYPERLINK("C:\Projects\Kleinanzeigen-Scraper\offer_images\2880601758", "Link")</f>
        <v/>
      </c>
      <c r="O44" t="inlineStr">
        <is>
          <t>Volker Jungeblut</t>
        </is>
      </c>
      <c r="P44" s="6">
        <f>HYPERLINK("https://www.kleinanzeigen.de/s-bestandsliste.html?userId=5856973", "Link")</f>
        <v/>
      </c>
      <c r="Q44" s="7" t="n">
        <v>45568.74516203703</v>
      </c>
      <c r="R44" s="3" t="inlineStr">
        <is>
          <t>195.68</t>
        </is>
      </c>
      <c r="S44" t="inlineStr">
        <is>
          <t>Köln</t>
        </is>
      </c>
    </row>
    <row r="45">
      <c r="A45" s="2" t="n">
        <v>5</v>
      </c>
      <c r="B45" t="inlineStr">
        <is>
          <t>Naish Force 5</t>
        </is>
      </c>
      <c r="C45" s="3" t="n">
        <v>400</v>
      </c>
      <c r="D45" s="3" t="n">
        <v>162</v>
      </c>
      <c r="E45" t="inlineStr"/>
      <c r="F45" t="inlineStr">
        <is>
          <t>2022/23</t>
        </is>
      </c>
      <c r="G45" t="inlineStr">
        <is>
          <t>used</t>
        </is>
      </c>
      <c r="H45" s="4" t="n">
        <v>380</v>
      </c>
      <c r="I45" t="inlineStr">
        <is>
          <t>VB</t>
        </is>
      </c>
      <c r="J45" t="inlineStr">
        <is>
          <t>24229 Schleswig-Holstein - Schwedeneck</t>
        </is>
      </c>
      <c r="K45" s="5" t="n">
        <v>45568</v>
      </c>
      <c r="L45" t="inlineStr"/>
      <c r="M45" s="6">
        <f>HYPERLINK("https://www.kleinanzeigen.de/s-anzeige/naish-force-5-5-0-qm-2022-23-/2881316345-230-17470", "Link")</f>
        <v/>
      </c>
      <c r="N45" s="6">
        <f>HYPERLINK("C:\Projects\Kleinanzeigen-Scraper\offer_images\2881316345", "Link")</f>
        <v/>
      </c>
      <c r="O45" t="inlineStr">
        <is>
          <t>Bernd</t>
        </is>
      </c>
      <c r="P45" s="6">
        <f>HYPERLINK("https://www.kleinanzeigen.de/s-bestandsliste.html?userId=7833787", "Link")</f>
        <v/>
      </c>
      <c r="Q45" s="7" t="n">
        <v>45568.74510416666</v>
      </c>
      <c r="R45" s="3" t="inlineStr">
        <is>
          <t>445.58</t>
        </is>
      </c>
      <c r="S45" t="inlineStr">
        <is>
          <t>Köln</t>
        </is>
      </c>
    </row>
    <row r="46">
      <c r="A46" s="2" t="n">
        <v>4.2</v>
      </c>
      <c r="B46" t="inlineStr">
        <is>
          <t>Neilpryde Combat Pro</t>
        </is>
      </c>
      <c r="C46" s="3" t="inlineStr"/>
      <c r="D46" s="3" t="inlineStr"/>
      <c r="E46" t="inlineStr"/>
      <c r="F46" t="inlineStr">
        <is>
          <t>2022</t>
        </is>
      </c>
      <c r="G46" t="inlineStr">
        <is>
          <t>used</t>
        </is>
      </c>
      <c r="H46" s="4" t="n">
        <v>360</v>
      </c>
      <c r="I46" t="inlineStr">
        <is>
          <t>VB</t>
        </is>
      </c>
      <c r="J46" t="inlineStr">
        <is>
          <t>21035 Bergedorf - Hamburg Allermöhe</t>
        </is>
      </c>
      <c r="K46" s="5" t="n">
        <v>45563</v>
      </c>
      <c r="L46" t="inlineStr"/>
      <c r="M46" s="6">
        <f>HYPERLINK("https://www.kleinanzeigen.de/s-anzeige/neilpryde-combat-pro-4-2-2022/2876741479-230-9517", "Link")</f>
        <v/>
      </c>
      <c r="N46" s="6">
        <f>HYPERLINK("C:\Projects\Kleinanzeigen-Scraper\offer_images\2876741479", "Link")</f>
        <v/>
      </c>
      <c r="O46" t="inlineStr">
        <is>
          <t>Erik</t>
        </is>
      </c>
      <c r="P46" s="6">
        <f>HYPERLINK("https://www.kleinanzeigen.de/s-bestandsliste.html?userId=45943178", "Link")</f>
        <v/>
      </c>
      <c r="Q46" s="7" t="n">
        <v>45568.74490740741</v>
      </c>
      <c r="R46" s="3" t="inlineStr">
        <is>
          <t>357.47</t>
        </is>
      </c>
      <c r="S46" t="inlineStr">
        <is>
          <t>Köln</t>
        </is>
      </c>
    </row>
    <row r="47">
      <c r="A47" s="2" t="n">
        <v>4</v>
      </c>
      <c r="B47" t="inlineStr">
        <is>
          <t>ART Attack Wave/Slalom</t>
        </is>
      </c>
      <c r="C47" s="3" t="n">
        <v>405</v>
      </c>
      <c r="D47" s="3" t="n">
        <v>155</v>
      </c>
      <c r="E47" t="inlineStr"/>
      <c r="F47" t="inlineStr"/>
      <c r="G47" t="inlineStr">
        <is>
          <t>used</t>
        </is>
      </c>
      <c r="H47" s="4" t="n">
        <v>70</v>
      </c>
      <c r="I47" t="inlineStr">
        <is>
          <t>VB</t>
        </is>
      </c>
      <c r="J47" t="inlineStr">
        <is>
          <t>74321 Baden-Württemberg - Bietigheim-Bissingen</t>
        </is>
      </c>
      <c r="K47" s="5" t="n">
        <v>45568</v>
      </c>
      <c r="L47" t="inlineStr"/>
      <c r="M47" s="6">
        <f>HYPERLINK("https://www.kleinanzeigen.de/s-anzeige/windsurf-segel-4-0-qm/2881360747-230-8681", "Link")</f>
        <v/>
      </c>
      <c r="N47" s="6">
        <f>HYPERLINK("C:\Projects\Kleinanzeigen-Scraper\offer_images\2881360747", "Link")</f>
        <v/>
      </c>
      <c r="O47" t="inlineStr">
        <is>
          <t>Andreas Jung</t>
        </is>
      </c>
      <c r="P47" s="6">
        <f>HYPERLINK("https://www.kleinanzeigen.de/s-bestandsliste.html?userId=12454431", "Link")</f>
        <v/>
      </c>
      <c r="Q47" s="7" t="n">
        <v>45568.74478009259</v>
      </c>
      <c r="R47" s="3" t="inlineStr">
        <is>
          <t>32.66</t>
        </is>
      </c>
      <c r="S47" t="inlineStr">
        <is>
          <t>Böblingen</t>
        </is>
      </c>
    </row>
    <row r="48">
      <c r="A48" s="2" t="n">
        <v>7.5</v>
      </c>
      <c r="B48" t="inlineStr">
        <is>
          <t>Severne Mach 6</t>
        </is>
      </c>
      <c r="C48" s="3" t="inlineStr"/>
      <c r="D48" s="3" t="inlineStr"/>
      <c r="E48" t="inlineStr"/>
      <c r="F48" t="inlineStr"/>
      <c r="G48" t="inlineStr">
        <is>
          <t>new</t>
        </is>
      </c>
      <c r="H48" s="4" t="n">
        <v>660</v>
      </c>
      <c r="I48" t="inlineStr"/>
      <c r="J48" t="inlineStr">
        <is>
          <t>Fehmarn Hamburg Kiel</t>
        </is>
      </c>
      <c r="K48" s="5" t="n">
        <v>45567</v>
      </c>
      <c r="L48" t="inlineStr"/>
      <c r="M48" s="6">
        <f>HYPERLINK("https://www.dailydose.de/kleinanzeigen/detail.htm?ai=423515&amp;cf=kk&amp;pg=1&amp;ci=5", "Link")</f>
        <v/>
      </c>
      <c r="N48" s="6">
        <f>HYPERLINK("C:\Projects\Kleinanzeigen-Scraper\offer_images\423515", "Link")</f>
        <v/>
      </c>
      <c r="O48" t="inlineStr">
        <is>
          <t>Patrick_SOK</t>
        </is>
      </c>
      <c r="P48" s="6">
        <f>HYPERLINK("https://www.dailydose.de/kleinanzeigen/user/915", "Link")</f>
        <v/>
      </c>
      <c r="Q48" s="7" t="n">
        <v>45567.758125</v>
      </c>
      <c r="R48" s="3" t="inlineStr">
        <is>
          <t>18.48</t>
        </is>
      </c>
      <c r="S48" t="inlineStr">
        <is>
          <t>Köln</t>
        </is>
      </c>
    </row>
    <row r="49">
      <c r="A49" s="2" t="n">
        <v>5.8</v>
      </c>
      <c r="B49" t="inlineStr">
        <is>
          <t>Duotone Warp Fin</t>
        </is>
      </c>
      <c r="C49" s="3" t="inlineStr"/>
      <c r="D49" s="3" t="inlineStr"/>
      <c r="E49" t="inlineStr"/>
      <c r="F49" t="inlineStr">
        <is>
          <t>2024</t>
        </is>
      </c>
      <c r="G49" t="inlineStr">
        <is>
          <t>used</t>
        </is>
      </c>
      <c r="H49" s="4" t="n">
        <v>680</v>
      </c>
      <c r="I49" t="inlineStr">
        <is>
          <t>VB</t>
        </is>
      </c>
      <c r="J49" t="inlineStr">
        <is>
          <t>47669 Wachtendonk</t>
        </is>
      </c>
      <c r="K49" s="5" t="n">
        <v>45567</v>
      </c>
      <c r="L49" t="inlineStr"/>
      <c r="M49" s="6">
        <f>HYPERLINK("https://www.dailydose.de/kleinanzeigen/detail.htm?ai=423511&amp;cf=kk&amp;pg=1&amp;ci=5", "Link")</f>
        <v/>
      </c>
      <c r="N49" s="6">
        <f>HYPERLINK("C:\Projects\Kleinanzeigen-Scraper\offer_images\423511", "Link")</f>
        <v/>
      </c>
      <c r="O49" t="inlineStr">
        <is>
          <t>Boarder-Mika</t>
        </is>
      </c>
      <c r="P49" s="6">
        <f>HYPERLINK("https://www.dailydose.de/kleinanzeigen/user/2582", "Link")</f>
        <v/>
      </c>
      <c r="Q49" s="7" t="n">
        <v>45567.75795138889</v>
      </c>
      <c r="R49" s="3" t="inlineStr">
        <is>
          <t>67.11</t>
        </is>
      </c>
      <c r="S49" t="inlineStr">
        <is>
          <t>Köln</t>
        </is>
      </c>
    </row>
    <row r="50">
      <c r="A50" s="2" t="inlineStr"/>
      <c r="B50" t="inlineStr">
        <is>
          <t>Severne Blade Pro</t>
        </is>
      </c>
      <c r="C50" s="3" t="inlineStr"/>
      <c r="D50" s="3" t="inlineStr"/>
      <c r="E50" t="inlineStr"/>
      <c r="F50" t="inlineStr">
        <is>
          <t>2022</t>
        </is>
      </c>
      <c r="G50" t="inlineStr">
        <is>
          <t>new</t>
        </is>
      </c>
      <c r="H50" s="4" t="n">
        <v>650</v>
      </c>
      <c r="I50" t="inlineStr">
        <is>
          <t>VB</t>
        </is>
      </c>
      <c r="J50" t="inlineStr">
        <is>
          <t>78315 Radolfzell</t>
        </is>
      </c>
      <c r="K50" s="5" t="n">
        <v>45567</v>
      </c>
      <c r="L50" t="inlineStr"/>
      <c r="M50" s="6">
        <f>HYPERLINK("https://www.dailydose.de/kleinanzeigen/detail.htm?ai=423513&amp;cf=kk&amp;pg=1&amp;ci=5", "Link")</f>
        <v/>
      </c>
      <c r="N50" s="6">
        <f>HYPERLINK("C:\Projects\Kleinanzeigen-Scraper\offer_images\423513", "Link")</f>
        <v/>
      </c>
      <c r="O50" t="inlineStr">
        <is>
          <t>Lorch G</t>
        </is>
      </c>
      <c r="P50" s="6">
        <f>HYPERLINK("https://www.dailydose.de/kleinanzeigen/user/10943", "Link")</f>
        <v/>
      </c>
      <c r="Q50" s="7" t="n">
        <v>45567.75791666667</v>
      </c>
      <c r="R50" s="3" t="inlineStr">
        <is>
          <t>48.46</t>
        </is>
      </c>
      <c r="S50" t="inlineStr">
        <is>
          <t>Bonndorf</t>
        </is>
      </c>
    </row>
    <row r="51">
      <c r="A51" s="2" t="n">
        <v>5.3</v>
      </c>
      <c r="B51" t="inlineStr">
        <is>
          <t>Simmer Style Black Tip</t>
        </is>
      </c>
      <c r="C51" s="3" t="inlineStr"/>
      <c r="D51" s="3" t="inlineStr"/>
      <c r="E51" t="inlineStr"/>
      <c r="F51" t="inlineStr">
        <is>
          <t>2017</t>
        </is>
      </c>
      <c r="G51" t="inlineStr">
        <is>
          <t>used</t>
        </is>
      </c>
      <c r="H51" s="4" t="n">
        <v>249</v>
      </c>
      <c r="I51" t="inlineStr"/>
      <c r="J51" t="inlineStr">
        <is>
          <t>24107 Kiel</t>
        </is>
      </c>
      <c r="K51" s="5" t="n">
        <v>45567</v>
      </c>
      <c r="L51" t="inlineStr"/>
      <c r="M51" s="6">
        <f>HYPERLINK("https://www.dailydose.de/kleinanzeigen/detail.htm?ai=423514&amp;cf=kk&amp;pg=1&amp;ci=5", "Link")</f>
        <v/>
      </c>
      <c r="N51" s="6">
        <f>HYPERLINK("C:\Projects\Kleinanzeigen-Scraper\offer_images\423514", "Link")</f>
        <v/>
      </c>
      <c r="O51" t="inlineStr">
        <is>
          <t>libtech</t>
        </is>
      </c>
      <c r="P51" s="6">
        <f>HYPERLINK("https://www.dailydose.de/kleinanzeigen/user/24692", "Link")</f>
        <v/>
      </c>
      <c r="Q51" s="7" t="n">
        <v>45567.7575462963</v>
      </c>
      <c r="R51" s="3" t="inlineStr">
        <is>
          <t>432.01</t>
        </is>
      </c>
      <c r="S51" t="inlineStr">
        <is>
          <t>Köln</t>
        </is>
      </c>
    </row>
    <row r="52">
      <c r="A52" s="2" t="n">
        <v>7.9</v>
      </c>
      <c r="B52" t="inlineStr">
        <is>
          <t>Point-7 AC-X</t>
        </is>
      </c>
      <c r="C52" s="3" t="n">
        <v>4.6</v>
      </c>
      <c r="D52" s="3" t="n">
        <v>216</v>
      </c>
      <c r="E52" t="inlineStr"/>
      <c r="F52" t="inlineStr">
        <is>
          <t>2022</t>
        </is>
      </c>
      <c r="G52" t="inlineStr">
        <is>
          <t>used</t>
        </is>
      </c>
      <c r="H52" s="4" t="n">
        <v>390</v>
      </c>
      <c r="I52" t="inlineStr"/>
      <c r="J52" t="inlineStr">
        <is>
          <t>5201 Seekirchen</t>
        </is>
      </c>
      <c r="K52" s="5" t="n">
        <v>45567</v>
      </c>
      <c r="L52" t="inlineStr"/>
      <c r="M52" s="6">
        <f>HYPERLINK("https://www.dailydose.de/kleinanzeigen/detail.htm?ai=423523&amp;cf=kk&amp;pg=1&amp;ci=5", "Link")</f>
        <v/>
      </c>
      <c r="N52" s="6">
        <f>HYPERLINK("C:\Projects\Kleinanzeigen-Scraper\offer_images\423523", "Link")</f>
        <v/>
      </c>
      <c r="O52" t="inlineStr">
        <is>
          <t>Blackbrother_P7</t>
        </is>
      </c>
      <c r="P52" s="6">
        <f>HYPERLINK("https://www.dailydose.de/kleinanzeigen/user/24158", "Link")</f>
        <v/>
      </c>
      <c r="Q52" s="7" t="n">
        <v>45567.75596064814</v>
      </c>
      <c r="R52" s="3" t="inlineStr">
        <is>
          <t>118.03</t>
        </is>
      </c>
      <c r="S52" t="inlineStr">
        <is>
          <t>München</t>
        </is>
      </c>
    </row>
    <row r="53">
      <c r="A53" s="2" t="n">
        <v>4.8</v>
      </c>
      <c r="B53" t="inlineStr">
        <is>
          <t>Duotone IDOL LTD</t>
        </is>
      </c>
      <c r="C53" s="3" t="inlineStr"/>
      <c r="D53" s="3" t="inlineStr"/>
      <c r="E53" t="inlineStr"/>
      <c r="F53" t="inlineStr">
        <is>
          <t>2024</t>
        </is>
      </c>
      <c r="G53" t="inlineStr">
        <is>
          <t>new</t>
        </is>
      </c>
      <c r="H53" s="4" t="n">
        <v>480</v>
      </c>
      <c r="I53" t="inlineStr"/>
      <c r="J53" t="inlineStr">
        <is>
          <t>52459 Inden</t>
        </is>
      </c>
      <c r="K53" s="5" t="n">
        <v>45566</v>
      </c>
      <c r="L53" t="inlineStr"/>
      <c r="M53" s="6">
        <f>HYPERLINK("https://www.dailydose.de/kleinanzeigen/detail.htm?ai=423506&amp;cf=kk&amp;pg=1&amp;ci=5", "Link")</f>
        <v/>
      </c>
      <c r="N53" s="6">
        <f>HYPERLINK("C:\Projects\Kleinanzeigen-Scraper\offer_images\423506", "Link")</f>
        <v/>
      </c>
      <c r="O53" t="inlineStr">
        <is>
          <t>TomBrendt</t>
        </is>
      </c>
      <c r="P53" s="6">
        <f>HYPERLINK("https://www.dailydose.de/kleinanzeigen/user/1368", "Link")</f>
        <v/>
      </c>
      <c r="Q53" s="7" t="n">
        <v>45567.7549074074</v>
      </c>
      <c r="R53" s="3" t="inlineStr">
        <is>
          <t>43.04</t>
        </is>
      </c>
      <c r="S53" t="inlineStr">
        <is>
          <t>Köln</t>
        </is>
      </c>
    </row>
    <row r="54">
      <c r="A54" s="2" t="n">
        <v>5.3</v>
      </c>
      <c r="B54" t="inlineStr">
        <is>
          <t>North Instinct</t>
        </is>
      </c>
      <c r="C54" s="3" t="n">
        <v>4.44</v>
      </c>
      <c r="D54" s="3" t="inlineStr">
        <is>
          <t>1.73-1.78</t>
        </is>
      </c>
      <c r="E54" t="inlineStr"/>
      <c r="F54" t="inlineStr"/>
      <c r="G54" t="inlineStr">
        <is>
          <t>new</t>
        </is>
      </c>
      <c r="H54" s="4" t="n">
        <v>110</v>
      </c>
      <c r="I54" t="inlineStr">
        <is>
          <t>VB</t>
        </is>
      </c>
      <c r="J54" t="inlineStr">
        <is>
          <t>82296 Bayern - Schöngeising</t>
        </is>
      </c>
      <c r="K54" s="5" t="n">
        <v>45559</v>
      </c>
      <c r="L54" t="inlineStr"/>
      <c r="M54" s="6">
        <f>HYPERLINK("https://www.kleinanzeigen.de/s-anzeige/north-segel-instinct-5-3qm-fast-neu/2873068511-230-6318", "Link")</f>
        <v/>
      </c>
      <c r="N54" s="6">
        <f>HYPERLINK("C:\Projects\Kleinanzeigen-Scraper\offer_images\2873068511", "Link")</f>
        <v/>
      </c>
      <c r="O54" t="inlineStr">
        <is>
          <t>Mühlbauer</t>
        </is>
      </c>
      <c r="P54" s="6">
        <f>HYPERLINK("https://www.kleinanzeigen.de/s-bestandsliste.html?userId=40922065", "Link")</f>
        <v/>
      </c>
      <c r="Q54" s="7" t="n">
        <v>45567.75388888889</v>
      </c>
      <c r="R54" s="3" t="inlineStr">
        <is>
          <t>27.63</t>
        </is>
      </c>
      <c r="S54" t="inlineStr">
        <is>
          <t>München</t>
        </is>
      </c>
    </row>
    <row r="55">
      <c r="A55" s="2" t="n">
        <v>7</v>
      </c>
      <c r="B55" t="inlineStr">
        <is>
          <t>Severne Mach3</t>
        </is>
      </c>
      <c r="C55" s="3" t="n">
        <v>430</v>
      </c>
      <c r="D55" s="3" t="n">
        <v>200</v>
      </c>
      <c r="E55" t="inlineStr"/>
      <c r="F55" t="inlineStr"/>
      <c r="G55" t="inlineStr">
        <is>
          <t>used</t>
        </is>
      </c>
      <c r="H55" s="4" t="n">
        <v>380</v>
      </c>
      <c r="I55" t="inlineStr"/>
      <c r="J55" t="inlineStr">
        <is>
          <t>37154 Niedersachsen - Northeim</t>
        </is>
      </c>
      <c r="K55" s="5" t="n">
        <v>45567</v>
      </c>
      <c r="L55" t="inlineStr"/>
      <c r="M55" s="6">
        <f>HYPERLINK("https://www.kleinanzeigen.de/s-anzeige/severne-slalom-speedsegel-7-0-mach3-guter-zustand/2880431224-230-2790", "Link")</f>
        <v/>
      </c>
      <c r="N55" s="6">
        <f>HYPERLINK("C:\Projects\Kleinanzeigen-Scraper\offer_images\2880431224", "Link")</f>
        <v/>
      </c>
      <c r="O55" t="inlineStr">
        <is>
          <t>H.pressel</t>
        </is>
      </c>
      <c r="P55" s="6">
        <f>HYPERLINK("https://www.kleinanzeigen.de/s-bestandsliste.html?userId=2650648", "Link")</f>
        <v/>
      </c>
      <c r="Q55" s="7" t="n">
        <v>45567.75387731481</v>
      </c>
      <c r="R55" s="3" t="inlineStr">
        <is>
          <t>227.92</t>
        </is>
      </c>
      <c r="S55" t="inlineStr">
        <is>
          <t>Köln</t>
        </is>
      </c>
    </row>
    <row r="56">
      <c r="A56" s="2" t="n">
        <v>7.9</v>
      </c>
      <c r="B56" t="inlineStr">
        <is>
          <t>Point-7 AC-X</t>
        </is>
      </c>
      <c r="C56" s="3" t="n">
        <v>460</v>
      </c>
      <c r="D56" s="3" t="n">
        <v>216</v>
      </c>
      <c r="E56" t="inlineStr"/>
      <c r="F56" t="inlineStr">
        <is>
          <t>2022</t>
        </is>
      </c>
      <c r="G56" t="inlineStr">
        <is>
          <t>used</t>
        </is>
      </c>
      <c r="H56" s="4" t="n">
        <v>380</v>
      </c>
      <c r="I56" t="inlineStr"/>
      <c r="J56" t="inlineStr">
        <is>
          <t>83395 Bayern - Freilassing</t>
        </is>
      </c>
      <c r="K56" s="5" t="n">
        <v>45567</v>
      </c>
      <c r="L56" t="inlineStr"/>
      <c r="M56" s="6">
        <f>HYPERLINK("https://www.kleinanzeigen.de/s-anzeige/point-7-ac-x-7-9-2022/2880209575-230-6273", "Link")</f>
        <v/>
      </c>
      <c r="N56" s="6">
        <f>HYPERLINK("C:\Projects\Kleinanzeigen-Scraper\offer_images\2880209575", "Link")</f>
        <v/>
      </c>
      <c r="O56" t="inlineStr">
        <is>
          <t>Rouven Türk</t>
        </is>
      </c>
      <c r="P56" s="6">
        <f>HYPERLINK("https://www.kleinanzeigen.de/s-bestandsliste.html?userId=49630109", "Link")</f>
        <v/>
      </c>
      <c r="Q56" s="7" t="n">
        <v>45567.75371527778</v>
      </c>
      <c r="R56" s="3" t="inlineStr">
        <is>
          <t>108.85</t>
        </is>
      </c>
      <c r="S56" t="inlineStr">
        <is>
          <t>München</t>
        </is>
      </c>
    </row>
    <row r="57">
      <c r="A57" s="2" t="n">
        <v>5.3</v>
      </c>
      <c r="B57" t="inlineStr">
        <is>
          <t>Severne Blade</t>
        </is>
      </c>
      <c r="C57" s="3" t="n">
        <v>400</v>
      </c>
      <c r="D57" s="3" t="n">
        <v>168</v>
      </c>
      <c r="E57" t="inlineStr"/>
      <c r="F57" t="inlineStr">
        <is>
          <t>2023</t>
        </is>
      </c>
      <c r="G57" t="inlineStr">
        <is>
          <t>new</t>
        </is>
      </c>
      <c r="H57" s="4" t="n">
        <v>500</v>
      </c>
      <c r="I57" t="inlineStr">
        <is>
          <t>VB</t>
        </is>
      </c>
      <c r="J57" t="inlineStr">
        <is>
          <t>23769 Kreis Ostholstein - Fehmarn</t>
        </is>
      </c>
      <c r="K57" s="5" t="n">
        <v>45567</v>
      </c>
      <c r="L57" t="inlineStr">
        <is>
          <t>Sold</t>
        </is>
      </c>
      <c r="M57" s="6">
        <f>HYPERLINK("https://www.kleinanzeigen.de/s-anzeige/severne-blade-5-3/2880440395-230-19951", "Link")</f>
        <v/>
      </c>
      <c r="N57" s="6">
        <f>HYPERLINK("C:\Projects\Kleinanzeigen-Scraper\offer_images\2880440395", "Link")</f>
        <v/>
      </c>
      <c r="O57" t="inlineStr">
        <is>
          <t>J. Friedrich</t>
        </is>
      </c>
      <c r="P57" s="6">
        <f>HYPERLINK("https://www.kleinanzeigen.de/s-bestandsliste.html?userId=763243", "Link")</f>
        <v/>
      </c>
      <c r="Q57" s="7" t="n">
        <v>45567.75340277778</v>
      </c>
      <c r="R57" s="3" t="inlineStr">
        <is>
          <t>483.01</t>
        </is>
      </c>
      <c r="S57" t="inlineStr">
        <is>
          <t>Köln</t>
        </is>
      </c>
    </row>
    <row r="58">
      <c r="A58" s="2" t="n">
        <v>5</v>
      </c>
      <c r="B58" t="inlineStr">
        <is>
          <t>NEILPRYDE Combat</t>
        </is>
      </c>
      <c r="C58" s="3" t="n">
        <v>400</v>
      </c>
      <c r="D58" s="3" t="n">
        <v>20</v>
      </c>
      <c r="E58" t="inlineStr"/>
      <c r="F58" t="inlineStr"/>
      <c r="G58" t="inlineStr">
        <is>
          <t>used, repaired</t>
        </is>
      </c>
      <c r="H58" s="4" t="n">
        <v>39</v>
      </c>
      <c r="I58" t="inlineStr"/>
      <c r="J58" t="inlineStr">
        <is>
          <t>24226 Schleswig-Holstein - Heikendorf</t>
        </is>
      </c>
      <c r="K58" s="5" t="n">
        <v>45563</v>
      </c>
      <c r="L58" t="inlineStr"/>
      <c r="M58" s="6">
        <f>HYPERLINK("https://www.kleinanzeigen.de/s-anzeige/neilpryde-combat-5-0qm-windsurfsegel/2876683706-230-672", "Link")</f>
        <v/>
      </c>
      <c r="N58" s="6">
        <f>HYPERLINK("C:\Projects\Kleinanzeigen-Scraper\offer_images\2876683706", "Link")</f>
        <v/>
      </c>
      <c r="O58" t="inlineStr">
        <is>
          <t>Familie Thon</t>
        </is>
      </c>
      <c r="P58" s="6">
        <f>HYPERLINK("https://www.kleinanzeigen.de/s-bestandsliste.html?userId=44474235", "Link")</f>
        <v/>
      </c>
      <c r="Q58" s="7" t="n">
        <v>45567.75195601852</v>
      </c>
      <c r="R58" s="3" t="inlineStr">
        <is>
          <t>441.08</t>
        </is>
      </c>
      <c r="S58" t="inlineStr">
        <is>
          <t>Köln</t>
        </is>
      </c>
    </row>
    <row r="59">
      <c r="A59" s="2" t="n">
        <v>7.5</v>
      </c>
      <c r="B59" t="inlineStr">
        <is>
          <t>Point 7ACX</t>
        </is>
      </c>
      <c r="C59" s="3" t="inlineStr"/>
      <c r="D59" s="3" t="inlineStr">
        <is>
          <t>180-210</t>
        </is>
      </c>
      <c r="E59" t="inlineStr"/>
      <c r="F59" t="inlineStr"/>
      <c r="G59" t="inlineStr">
        <is>
          <t>used</t>
        </is>
      </c>
      <c r="H59" s="4" t="n">
        <v>320</v>
      </c>
      <c r="I59" t="inlineStr">
        <is>
          <t>VB</t>
        </is>
      </c>
      <c r="J59" t="inlineStr">
        <is>
          <t>99755 Thüringen - Ellrich</t>
        </is>
      </c>
      <c r="K59" s="5" t="n">
        <v>45567</v>
      </c>
      <c r="L59" t="inlineStr"/>
      <c r="M59" s="6">
        <f>HYPERLINK("https://www.kleinanzeigen.de/s-anzeige/windsurfsegel-point-7/2880297474-230-3584", "Link")</f>
        <v/>
      </c>
      <c r="N59" s="6">
        <f>HYPERLINK("C:\Projects\Kleinanzeigen-Scraper\offer_images\2880297474", "Link")</f>
        <v/>
      </c>
      <c r="O59" t="inlineStr">
        <is>
          <t>frank schäfer</t>
        </is>
      </c>
      <c r="P59" s="6">
        <f>HYPERLINK("https://www.kleinanzeigen.de/s-bestandsliste.html?userId=30667028", "Link")</f>
        <v/>
      </c>
      <c r="Q59" s="7" t="n">
        <v>45567.75118055556</v>
      </c>
      <c r="R59" s="3" t="inlineStr">
        <is>
          <t>263.67</t>
        </is>
      </c>
      <c r="S59" t="inlineStr">
        <is>
          <t>Köln</t>
        </is>
      </c>
    </row>
    <row r="60">
      <c r="A60" s="2" t="n">
        <v>6.4</v>
      </c>
      <c r="B60" t="inlineStr">
        <is>
          <t>Gaastra</t>
        </is>
      </c>
      <c r="C60" s="3" t="n">
        <v>4.54</v>
      </c>
      <c r="D60" s="3" t="n">
        <v>1.93</v>
      </c>
      <c r="E60" t="inlineStr"/>
      <c r="F60" t="inlineStr"/>
      <c r="G60" t="inlineStr">
        <is>
          <t>used</t>
        </is>
      </c>
      <c r="H60" s="4" t="n">
        <v>125</v>
      </c>
      <c r="I60" t="inlineStr">
        <is>
          <t>VB</t>
        </is>
      </c>
      <c r="J60" t="inlineStr">
        <is>
          <t>15517 Brandenburg - Fürstenwalde (Spree)</t>
        </is>
      </c>
      <c r="K60" s="5" t="n">
        <v>45567</v>
      </c>
      <c r="L60" t="inlineStr"/>
      <c r="M60" s="6">
        <f>HYPERLINK("https://www.kleinanzeigen.de/s-anzeige/surfsegel-segel-gaastra-6-4-qm-windsurfen/2880050103-230-7768", "Link")</f>
        <v/>
      </c>
      <c r="N60" s="6">
        <f>HYPERLINK("C:\Projects\Kleinanzeigen-Scraper\offer_images\2880050103", "Link")</f>
        <v/>
      </c>
      <c r="O60" t="inlineStr">
        <is>
          <t>Daniel</t>
        </is>
      </c>
      <c r="P60" s="6">
        <f>HYPERLINK("https://www.kleinanzeigen.de/s-bestandsliste.html?userId=43173109", "Link")</f>
        <v/>
      </c>
      <c r="Q60" s="7" t="n">
        <v>45567.74944444445</v>
      </c>
      <c r="R60" s="3" t="inlineStr">
        <is>
          <t>502.59</t>
        </is>
      </c>
      <c r="S60" t="inlineStr">
        <is>
          <t>München</t>
        </is>
      </c>
    </row>
    <row r="61">
      <c r="A61" s="2" t="n">
        <v>4</v>
      </c>
      <c r="B61" t="inlineStr">
        <is>
          <t>Goya Storm</t>
        </is>
      </c>
      <c r="C61" s="3" t="n">
        <v>250</v>
      </c>
      <c r="D61" s="3" t="n">
        <v>145</v>
      </c>
      <c r="E61" t="inlineStr"/>
      <c r="F61" t="inlineStr"/>
      <c r="G61" t="inlineStr">
        <is>
          <t>used</t>
        </is>
      </c>
      <c r="H61" s="4" t="n">
        <v>100</v>
      </c>
      <c r="I61" t="inlineStr"/>
      <c r="J61" t="inlineStr">
        <is>
          <t>86150 Bayern - Augsburg</t>
        </is>
      </c>
      <c r="K61" s="5" t="n">
        <v>45566</v>
      </c>
      <c r="L61" t="inlineStr"/>
      <c r="M61" s="6">
        <f>HYPERLINK("https://www.kleinanzeigen.de/s-anzeige/goya-storm-4-0-windsurf-segel/2879821238-230-7522", "Link")</f>
        <v/>
      </c>
      <c r="N61" s="6">
        <f>HYPERLINK("C:\Projects\Kleinanzeigen-Scraper\offer_images\2879821238", "Link")</f>
        <v/>
      </c>
      <c r="O61" t="inlineStr">
        <is>
          <t>Jürgen</t>
        </is>
      </c>
      <c r="P61" s="6">
        <f>HYPERLINK("https://www.kleinanzeigen.de/s-bestandsliste.html?userId=36057654", "Link")</f>
        <v/>
      </c>
      <c r="Q61" s="7" t="n">
        <v>45567.7487962963</v>
      </c>
      <c r="R61" s="3" t="inlineStr">
        <is>
          <t>56.35</t>
        </is>
      </c>
      <c r="S61" t="inlineStr">
        <is>
          <t>München</t>
        </is>
      </c>
    </row>
    <row r="62">
      <c r="A62" s="2" t="n">
        <v>9.300000000000001</v>
      </c>
      <c r="B62" t="inlineStr">
        <is>
          <t>Sailloft Mission</t>
        </is>
      </c>
      <c r="C62" s="3" t="n">
        <v>519</v>
      </c>
      <c r="D62" s="3" t="n">
        <v>241</v>
      </c>
      <c r="E62" t="inlineStr">
        <is>
          <t>Freerace</t>
        </is>
      </c>
      <c r="F62" t="inlineStr">
        <is>
          <t>2021</t>
        </is>
      </c>
      <c r="G62" t="inlineStr">
        <is>
          <t>used</t>
        </is>
      </c>
      <c r="H62" s="4" t="n">
        <v>288</v>
      </c>
      <c r="I62" t="inlineStr">
        <is>
          <t>VB</t>
        </is>
      </c>
      <c r="J62" t="inlineStr">
        <is>
          <t>21629 Niedersachsen - Neu Wulmstorf</t>
        </is>
      </c>
      <c r="K62" s="5" t="n">
        <v>45567</v>
      </c>
      <c r="L62" t="inlineStr"/>
      <c r="M62" s="6">
        <f>HYPERLINK("https://www.kleinanzeigen.de/s-anzeige/sailloft-mission-9-3m-freeracesegel-windsurfen/2880167271-230-2807", "Link")</f>
        <v/>
      </c>
      <c r="N62" s="6">
        <f>HYPERLINK("C:\Projects\Kleinanzeigen-Scraper\offer_images\2880167271", "Link")</f>
        <v/>
      </c>
      <c r="O62" t="inlineStr">
        <is>
          <t>Familie Rahlf</t>
        </is>
      </c>
      <c r="P62" s="6">
        <f>HYPERLINK("https://www.kleinanzeigen.de/s-bestandsliste.html?userId=16189628", "Link")</f>
        <v/>
      </c>
      <c r="Q62" s="7" t="n">
        <v>45567.74825231481</v>
      </c>
      <c r="R62" s="3" t="inlineStr">
        <is>
          <t>339.04</t>
        </is>
      </c>
      <c r="S62" t="inlineStr">
        <is>
          <t>Köln</t>
        </is>
      </c>
    </row>
    <row r="63">
      <c r="A63" s="2" t="n">
        <v>5.3</v>
      </c>
      <c r="B63" t="inlineStr">
        <is>
          <t>Simmer Style Black Tip</t>
        </is>
      </c>
      <c r="C63" s="3" t="inlineStr"/>
      <c r="D63" s="3" t="inlineStr"/>
      <c r="E63" t="inlineStr"/>
      <c r="F63" t="inlineStr"/>
      <c r="G63" t="inlineStr">
        <is>
          <t>used</t>
        </is>
      </c>
      <c r="H63" s="4" t="n">
        <v>249</v>
      </c>
      <c r="I63" t="inlineStr"/>
      <c r="J63" t="inlineStr">
        <is>
          <t>24113 Schleswig-Holstein - Molfsee</t>
        </is>
      </c>
      <c r="K63" s="5" t="n">
        <v>45567</v>
      </c>
      <c r="L63" t="inlineStr"/>
      <c r="M63" s="6">
        <f>HYPERLINK("https://www.kleinanzeigen.de/s-anzeige/simmer-style-black-tip-5-3/2879986591-230-21250", "Link")</f>
        <v/>
      </c>
      <c r="N63" s="6">
        <f>HYPERLINK("C:\Projects\Kleinanzeigen-Scraper\offer_images\2879986591", "Link")</f>
        <v/>
      </c>
      <c r="O63" t="inlineStr">
        <is>
          <t>Bente</t>
        </is>
      </c>
      <c r="P63" s="6">
        <f>HYPERLINK("https://www.kleinanzeigen.de/s-bestandsliste.html?userId=118958893", "Link")</f>
        <v/>
      </c>
      <c r="Q63" s="7" t="n">
        <v>45567.74701388889</v>
      </c>
      <c r="R63" s="3" t="inlineStr">
        <is>
          <t>427.37</t>
        </is>
      </c>
      <c r="S63" t="inlineStr">
        <is>
          <t>Köln</t>
        </is>
      </c>
    </row>
    <row r="64">
      <c r="A64" s="2" t="n">
        <v>6.5</v>
      </c>
      <c r="B64" t="inlineStr">
        <is>
          <t>VANDAL</t>
        </is>
      </c>
      <c r="C64" s="3" t="inlineStr"/>
      <c r="D64" s="3" t="inlineStr"/>
      <c r="E64" t="inlineStr">
        <is>
          <t>Freeride</t>
        </is>
      </c>
      <c r="F64" t="inlineStr"/>
      <c r="G64" t="inlineStr">
        <is>
          <t>used</t>
        </is>
      </c>
      <c r="H64" s="4" t="n">
        <v>150</v>
      </c>
      <c r="I64" t="inlineStr">
        <is>
          <t>VB</t>
        </is>
      </c>
      <c r="J64" t="inlineStr">
        <is>
          <t>30419 Hannover - Herrenhausen-Stöcken</t>
        </is>
      </c>
      <c r="K64" s="5" t="n">
        <v>45566</v>
      </c>
      <c r="L64" t="inlineStr">
        <is>
          <t>Sold</t>
        </is>
      </c>
      <c r="M64" s="6">
        <f>HYPERLINK("https://www.kleinanzeigen.de/s-anzeige/vandal-windsurfsegel-6-5/2879662102-230-3178", "Link")</f>
        <v/>
      </c>
      <c r="N64" s="6">
        <f>HYPERLINK("C:\Projects\Kleinanzeigen-Scraper\offer_images\2879662102", "Link")</f>
        <v/>
      </c>
      <c r="O64" t="inlineStr">
        <is>
          <t>Roxy</t>
        </is>
      </c>
      <c r="P64" s="6">
        <f>HYPERLINK("https://www.kleinanzeigen.de/s-bestandsliste.html?userId=83974897", "Link")</f>
        <v/>
      </c>
      <c r="Q64" s="7" t="n">
        <v>45567.74697916667</v>
      </c>
      <c r="R64" s="3" t="inlineStr">
        <is>
          <t>248.55</t>
        </is>
      </c>
      <c r="S64" t="inlineStr">
        <is>
          <t>Köln</t>
        </is>
      </c>
    </row>
    <row r="65">
      <c r="A65" s="2" t="n">
        <v>7</v>
      </c>
      <c r="B65" t="inlineStr">
        <is>
          <t>Duotone Warp</t>
        </is>
      </c>
      <c r="C65" s="3" t="n">
        <v>430</v>
      </c>
      <c r="D65" s="3" t="inlineStr">
        <is>
          <t>205-210</t>
        </is>
      </c>
      <c r="E65" t="inlineStr">
        <is>
          <t>Race</t>
        </is>
      </c>
      <c r="F65" t="inlineStr">
        <is>
          <t>2020</t>
        </is>
      </c>
      <c r="G65" t="inlineStr">
        <is>
          <t>used</t>
        </is>
      </c>
      <c r="H65" s="4" t="n">
        <v>199</v>
      </c>
      <c r="I65" t="inlineStr"/>
      <c r="J65" t="inlineStr">
        <is>
          <t>61350 Bad Homburg</t>
        </is>
      </c>
      <c r="K65" s="5" t="n">
        <v>45566</v>
      </c>
      <c r="L65" t="inlineStr"/>
      <c r="M65" s="6">
        <f>HYPERLINK("https://www.dailydose.de/kleinanzeigen/detail.htm?ai=423501&amp;cf=kk&amp;pg=2&amp;ci=5", "Link")</f>
        <v/>
      </c>
      <c r="N65" s="6">
        <f>HYPERLINK("C:\Projects\Kleinanzeigen-Scraper\offer_images\423501", "Link")</f>
        <v/>
      </c>
      <c r="O65" t="inlineStr">
        <is>
          <t>andi855</t>
        </is>
      </c>
      <c r="P65" s="6">
        <f>HYPERLINK("https://www.dailydose.de/kleinanzeigen/user/3438", "Link")</f>
        <v/>
      </c>
      <c r="Q65" s="7" t="n">
        <v>45566.74488425926</v>
      </c>
      <c r="R65" s="3" t="inlineStr">
        <is>
          <t>137.08</t>
        </is>
      </c>
      <c r="S65" t="inlineStr">
        <is>
          <t>Köln</t>
        </is>
      </c>
    </row>
    <row r="66">
      <c r="A66" s="2" t="n">
        <v>7</v>
      </c>
      <c r="B66" t="inlineStr">
        <is>
          <t>Severne Gator</t>
        </is>
      </c>
      <c r="C66" s="3" t="n">
        <v>4.94</v>
      </c>
      <c r="D66" s="3" t="n">
        <v>193</v>
      </c>
      <c r="E66" t="inlineStr"/>
      <c r="F66" t="inlineStr">
        <is>
          <t>2023</t>
        </is>
      </c>
      <c r="G66" t="inlineStr">
        <is>
          <t>new</t>
        </is>
      </c>
      <c r="H66" s="4" t="n">
        <v>470</v>
      </c>
      <c r="I66" t="inlineStr"/>
      <c r="J66" t="inlineStr">
        <is>
          <t>57078 Siegen</t>
        </is>
      </c>
      <c r="K66" s="5" t="n">
        <v>45566</v>
      </c>
      <c r="L66" t="inlineStr"/>
      <c r="M66" s="6">
        <f>HYPERLINK("https://www.dailydose.de/kleinanzeigen/detail.htm?ai=423479&amp;cf=kk&amp;pg=2&amp;ci=5", "Link")</f>
        <v/>
      </c>
      <c r="N66" s="6">
        <f>HYPERLINK("C:\Projects\Kleinanzeigen-Scraper\offer_images\423479", "Link")</f>
        <v/>
      </c>
      <c r="O66" t="inlineStr">
        <is>
          <t>Rudolf Sinz</t>
        </is>
      </c>
      <c r="P66" s="6">
        <f>HYPERLINK("https://www.dailydose.de/kleinanzeigen/user/20432", "Link")</f>
        <v/>
      </c>
      <c r="Q66" s="7" t="n">
        <v>45566.74436342593</v>
      </c>
      <c r="R66" s="3" t="inlineStr">
        <is>
          <t>72.53</t>
        </is>
      </c>
      <c r="S66" t="inlineStr">
        <is>
          <t>Köln</t>
        </is>
      </c>
    </row>
    <row r="67">
      <c r="A67" s="2" t="n">
        <v>9.4</v>
      </c>
      <c r="B67" t="inlineStr">
        <is>
          <t>Sailloft Ultimate</t>
        </is>
      </c>
      <c r="C67" s="3" t="inlineStr">
        <is>
          <t>490 or 520</t>
        </is>
      </c>
      <c r="D67" s="3" t="inlineStr"/>
      <c r="E67" t="inlineStr"/>
      <c r="F67" t="inlineStr"/>
      <c r="G67" t="inlineStr">
        <is>
          <t>new</t>
        </is>
      </c>
      <c r="H67" s="4" t="n">
        <v>250</v>
      </c>
      <c r="I67" t="inlineStr"/>
      <c r="J67" t="inlineStr">
        <is>
          <t>47803 Krefeld &amp; Übergabe</t>
        </is>
      </c>
      <c r="K67" s="5" t="n">
        <v>45566</v>
      </c>
      <c r="L67" t="inlineStr"/>
      <c r="M67" s="6">
        <f>HYPERLINK("https://www.dailydose.de/kleinanzeigen/detail.htm?ai=423450&amp;cf=kk&amp;pg=2&amp;ci=5", "Link")</f>
        <v/>
      </c>
      <c r="N67" s="6">
        <f>HYPERLINK("C:\Projects\Kleinanzeigen-Scraper\offer_images\423450", "Link")</f>
        <v/>
      </c>
      <c r="O67" t="inlineStr">
        <is>
          <t>Matthias_4</t>
        </is>
      </c>
      <c r="P67" s="6">
        <f>HYPERLINK("https://www.dailydose.de/kleinanzeigen/user/25579", "Link")</f>
        <v/>
      </c>
      <c r="Q67" s="7" t="n">
        <v>45566.74416666666</v>
      </c>
      <c r="R67" s="3" t="inlineStr">
        <is>
          <t>53.61</t>
        </is>
      </c>
      <c r="S67" t="inlineStr">
        <is>
          <t>Köln</t>
        </is>
      </c>
    </row>
    <row r="68">
      <c r="A68" s="2" t="n">
        <v>4.8</v>
      </c>
      <c r="B68" t="inlineStr">
        <is>
          <t>Sailloft AIR</t>
        </is>
      </c>
      <c r="C68" s="3" t="n">
        <v>400</v>
      </c>
      <c r="D68" s="3" t="n">
        <v>157</v>
      </c>
      <c r="E68" t="inlineStr"/>
      <c r="F68" t="inlineStr">
        <is>
          <t>2021</t>
        </is>
      </c>
      <c r="G68" t="inlineStr">
        <is>
          <t>repaired</t>
        </is>
      </c>
      <c r="H68" s="4" t="n">
        <v>200</v>
      </c>
      <c r="I68" t="inlineStr"/>
      <c r="J68" t="inlineStr">
        <is>
          <t>88287 Grünkraut / Innsbruck</t>
        </is>
      </c>
      <c r="K68" s="5" t="n">
        <v>45565</v>
      </c>
      <c r="L68" t="inlineStr"/>
      <c r="M68" s="6">
        <f>HYPERLINK("https://www.dailydose.de/kleinanzeigen/detail.htm?ai=423442&amp;cf=kk&amp;pg=2&amp;ci=5", "Link")</f>
        <v/>
      </c>
      <c r="N68" s="6">
        <f>HYPERLINK("C:\Projects\Kleinanzeigen-Scraper\offer_images\423442", "Link")</f>
        <v/>
      </c>
      <c r="O68" t="inlineStr">
        <is>
          <t>Manu_163</t>
        </is>
      </c>
      <c r="P68" s="6">
        <f>HYPERLINK("https://www.dailydose.de/kleinanzeigen/user/15250", "Link")</f>
        <v/>
      </c>
      <c r="Q68" s="7" t="n">
        <v>45566.7433912037</v>
      </c>
      <c r="R68" s="3" t="inlineStr">
        <is>
          <t>98.85</t>
        </is>
      </c>
      <c r="S68" t="inlineStr">
        <is>
          <t>Bonndorf</t>
        </is>
      </c>
    </row>
    <row r="69">
      <c r="A69" s="2" t="n">
        <v>7.1</v>
      </c>
      <c r="B69" t="inlineStr">
        <is>
          <t>Gun Sails Vector</t>
        </is>
      </c>
      <c r="C69" s="3" t="n">
        <v>456</v>
      </c>
      <c r="D69" s="3" t="inlineStr">
        <is>
          <t>204-197</t>
        </is>
      </c>
      <c r="E69" t="inlineStr"/>
      <c r="F69" t="inlineStr">
        <is>
          <t>2020</t>
        </is>
      </c>
      <c r="G69" t="inlineStr">
        <is>
          <t>used</t>
        </is>
      </c>
      <c r="H69" s="4" t="n">
        <v>250</v>
      </c>
      <c r="I69" t="inlineStr"/>
      <c r="J69" t="inlineStr">
        <is>
          <t>53757 Sankt Augustin</t>
        </is>
      </c>
      <c r="K69" s="5" t="n">
        <v>45566</v>
      </c>
      <c r="L69" t="inlineStr"/>
      <c r="M69" s="6">
        <f>HYPERLINK("https://www.dailydose.de/kleinanzeigen/detail.htm?ai=423477&amp;cf=kk&amp;pg=2&amp;ci=5", "Link")</f>
        <v/>
      </c>
      <c r="N69" s="6">
        <f>HYPERLINK("C:\Projects\Kleinanzeigen-Scraper\offer_images\423477", "Link")</f>
        <v/>
      </c>
      <c r="O69" t="inlineStr">
        <is>
          <t>to481</t>
        </is>
      </c>
      <c r="P69" s="6">
        <f>HYPERLINK("https://www.dailydose.de/kleinanzeigen/user/1517", "Link")</f>
        <v/>
      </c>
      <c r="Q69" s="7" t="n">
        <v>45566.74321759259</v>
      </c>
      <c r="R69" s="3" t="inlineStr">
        <is>
          <t>26.47</t>
        </is>
      </c>
      <c r="S69" t="inlineStr">
        <is>
          <t>Köln</t>
        </is>
      </c>
    </row>
    <row r="70">
      <c r="A70" s="2" t="n">
        <v>4.5</v>
      </c>
      <c r="B70" t="inlineStr">
        <is>
          <t>Gaastra GA Manic</t>
        </is>
      </c>
      <c r="C70" s="3" t="inlineStr"/>
      <c r="D70" s="3" t="inlineStr"/>
      <c r="E70" t="inlineStr"/>
      <c r="F70" t="inlineStr">
        <is>
          <t>2020</t>
        </is>
      </c>
      <c r="G70" t="inlineStr">
        <is>
          <t>used</t>
        </is>
      </c>
      <c r="H70" s="4" t="n">
        <v>150</v>
      </c>
      <c r="I70" t="inlineStr"/>
      <c r="J70" t="inlineStr">
        <is>
          <t>51149  Köln</t>
        </is>
      </c>
      <c r="K70" s="5" t="n">
        <v>45566</v>
      </c>
      <c r="L70" t="inlineStr"/>
      <c r="M70" s="6">
        <f>HYPERLINK("https://www.dailydose.de/kleinanzeigen/detail.htm?ai=423452&amp;cf=kk&amp;pg=2&amp;ci=5", "Link")</f>
        <v/>
      </c>
      <c r="N70" s="6">
        <f>HYPERLINK("C:\Projects\Kleinanzeigen-Scraper\offer_images\423452", "Link")</f>
        <v/>
      </c>
      <c r="O70" t="inlineStr">
        <is>
          <t>joJo62</t>
        </is>
      </c>
      <c r="P70" s="6">
        <f>HYPERLINK("https://www.dailydose.de/kleinanzeigen/user/2725", "Link")</f>
        <v/>
      </c>
      <c r="Q70" s="7" t="n">
        <v>45566.74315972222</v>
      </c>
      <c r="R70" s="3" t="inlineStr">
        <is>
          <t>7.40</t>
        </is>
      </c>
      <c r="S70" t="inlineStr">
        <is>
          <t>Köln</t>
        </is>
      </c>
    </row>
    <row r="71">
      <c r="A71" s="2" t="n">
        <v>6.3</v>
      </c>
      <c r="B71" t="inlineStr">
        <is>
          <t>Gun Sail Vector</t>
        </is>
      </c>
      <c r="C71" s="3" t="n">
        <v>446</v>
      </c>
      <c r="D71" s="3" t="inlineStr">
        <is>
          <t>184-191</t>
        </is>
      </c>
      <c r="E71" t="inlineStr"/>
      <c r="F71" t="inlineStr">
        <is>
          <t>2022</t>
        </is>
      </c>
      <c r="G71" t="inlineStr">
        <is>
          <t>new</t>
        </is>
      </c>
      <c r="H71" s="4" t="n">
        <v>400</v>
      </c>
      <c r="I71" t="inlineStr"/>
      <c r="J71" t="inlineStr">
        <is>
          <t>53757 Sankt Augustin</t>
        </is>
      </c>
      <c r="K71" s="5" t="n">
        <v>45566</v>
      </c>
      <c r="L71" t="inlineStr"/>
      <c r="M71" s="6">
        <f>HYPERLINK("https://www.dailydose.de/kleinanzeigen/detail.htm?ai=423475&amp;cf=kk&amp;pg=2&amp;ci=5", "Link")</f>
        <v/>
      </c>
      <c r="N71" s="6">
        <f>HYPERLINK("C:\Projects\Kleinanzeigen-Scraper\offer_images\423475", "Link")</f>
        <v/>
      </c>
      <c r="O71" t="inlineStr">
        <is>
          <t>to481</t>
        </is>
      </c>
      <c r="P71" s="6">
        <f>HYPERLINK("https://www.dailydose.de/kleinanzeigen/user/1517", "Link")</f>
        <v/>
      </c>
      <c r="Q71" s="7" t="n">
        <v>45566.74291666667</v>
      </c>
      <c r="R71" s="3" t="inlineStr">
        <is>
          <t>26.47</t>
        </is>
      </c>
      <c r="S71" t="inlineStr">
        <is>
          <t>Köln</t>
        </is>
      </c>
    </row>
    <row r="72">
      <c r="A72" s="2" t="n">
        <v>5.9</v>
      </c>
      <c r="B72" t="inlineStr">
        <is>
          <t>Neil Pryde EXCESS</t>
        </is>
      </c>
      <c r="C72" s="3" t="n">
        <v>452</v>
      </c>
      <c r="D72" s="3" t="n">
        <v>186</v>
      </c>
      <c r="E72" t="inlineStr">
        <is>
          <t>Freeride</t>
        </is>
      </c>
      <c r="F72" t="inlineStr"/>
      <c r="G72" t="inlineStr">
        <is>
          <t>used</t>
        </is>
      </c>
      <c r="H72" s="4" t="n">
        <v>120</v>
      </c>
      <c r="I72" t="inlineStr">
        <is>
          <t>VB</t>
        </is>
      </c>
      <c r="J72" t="inlineStr">
        <is>
          <t>23909 Ratzeburg</t>
        </is>
      </c>
      <c r="K72" s="5" t="n">
        <v>45566</v>
      </c>
      <c r="L72" t="inlineStr"/>
      <c r="M72" s="6">
        <f>HYPERLINK("https://www.dailydose.de/kleinanzeigen/detail.htm?ai=423489&amp;cf=kk&amp;pg=2&amp;ci=5", "Link")</f>
        <v/>
      </c>
      <c r="N72" s="6">
        <f>HYPERLINK("C:\Projects\Kleinanzeigen-Scraper\offer_images\423489", "Link")</f>
        <v/>
      </c>
      <c r="O72" t="inlineStr">
        <is>
          <t>Insider</t>
        </is>
      </c>
      <c r="P72" s="6">
        <f>HYPERLINK("https://www.dailydose.de/kleinanzeigen/user/20603", "Link")</f>
        <v/>
      </c>
      <c r="Q72" s="7" t="n">
        <v>45566.74263888889</v>
      </c>
      <c r="R72" s="3" t="inlineStr">
        <is>
          <t>401.75</t>
        </is>
      </c>
      <c r="S72" t="inlineStr">
        <is>
          <t>Köln</t>
        </is>
      </c>
    </row>
    <row r="73">
      <c r="A73" s="2" t="n">
        <v>5.4</v>
      </c>
      <c r="B73" t="inlineStr">
        <is>
          <t>Duotone E Pace</t>
        </is>
      </c>
      <c r="C73" s="3" t="n">
        <v>430</v>
      </c>
      <c r="D73" s="3" t="inlineStr"/>
      <c r="E73" t="inlineStr"/>
      <c r="F73" t="inlineStr"/>
      <c r="G73" t="inlineStr">
        <is>
          <t>new</t>
        </is>
      </c>
      <c r="H73" s="4" t="n">
        <v>400</v>
      </c>
      <c r="I73" t="inlineStr"/>
      <c r="J73" t="inlineStr">
        <is>
          <t>53757 Sankt Augustin</t>
        </is>
      </c>
      <c r="K73" s="5" t="n">
        <v>45566</v>
      </c>
      <c r="L73" t="inlineStr"/>
      <c r="M73" s="6">
        <f>HYPERLINK("https://www.dailydose.de/kleinanzeigen/detail.htm?ai=423474&amp;cf=kk&amp;pg=2&amp;ci=5", "Link")</f>
        <v/>
      </c>
      <c r="N73" s="6">
        <f>HYPERLINK("C:\Projects\Kleinanzeigen-Scraper\offer_images\423474", "Link")</f>
        <v/>
      </c>
      <c r="O73" t="inlineStr">
        <is>
          <t>to481</t>
        </is>
      </c>
      <c r="P73" s="6">
        <f>HYPERLINK("https://www.dailydose.de/kleinanzeigen/user/1517", "Link")</f>
        <v/>
      </c>
      <c r="Q73" s="7" t="n">
        <v>45566.74229166667</v>
      </c>
      <c r="R73" s="3" t="inlineStr">
        <is>
          <t>26.47</t>
        </is>
      </c>
      <c r="S73" t="inlineStr">
        <is>
          <t>Köln</t>
        </is>
      </c>
    </row>
    <row r="74">
      <c r="A74" s="2" t="n">
        <v>7.8</v>
      </c>
      <c r="B74" t="inlineStr">
        <is>
          <t>Duotone Warp</t>
        </is>
      </c>
      <c r="C74" s="3" t="n">
        <v>4.6</v>
      </c>
      <c r="D74" s="3" t="inlineStr"/>
      <c r="E74" t="inlineStr"/>
      <c r="F74" t="inlineStr">
        <is>
          <t>2023</t>
        </is>
      </c>
      <c r="G74" t="inlineStr">
        <is>
          <t>used</t>
        </is>
      </c>
      <c r="H74" s="4" t="n">
        <v>550</v>
      </c>
      <c r="I74" t="inlineStr">
        <is>
          <t>VB</t>
        </is>
      </c>
      <c r="J74" t="inlineStr">
        <is>
          <t>82256 FFB / Gardasee</t>
        </is>
      </c>
      <c r="K74" s="5" t="n">
        <v>45566</v>
      </c>
      <c r="L74" t="inlineStr"/>
      <c r="M74" s="6">
        <f>HYPERLINK("https://www.dailydose.de/kleinanzeigen/detail.htm?ai=423470&amp;cf=kk&amp;pg=2&amp;ci=5", "Link")</f>
        <v/>
      </c>
      <c r="N74" s="6">
        <f>HYPERLINK("C:\Projects\Kleinanzeigen-Scraper\offer_images\423470", "Link")</f>
        <v/>
      </c>
      <c r="O74" t="inlineStr">
        <is>
          <t>Lars_133</t>
        </is>
      </c>
      <c r="P74" s="6">
        <f>HYPERLINK("https://www.dailydose.de/kleinanzeigen/user/14091", "Link")</f>
        <v/>
      </c>
      <c r="Q74" s="7" t="n">
        <v>45566.7421875</v>
      </c>
      <c r="R74" s="3" t="inlineStr">
        <is>
          <t>25.37</t>
        </is>
      </c>
      <c r="S74" t="inlineStr">
        <is>
          <t>München</t>
        </is>
      </c>
    </row>
    <row r="75">
      <c r="A75" s="2" t="n">
        <v>4.5</v>
      </c>
      <c r="B75" t="inlineStr">
        <is>
          <t>Neilpryde Combat HD</t>
        </is>
      </c>
      <c r="C75" s="3" t="n">
        <v>370</v>
      </c>
      <c r="D75" s="3" t="n">
        <v>160</v>
      </c>
      <c r="E75" t="inlineStr"/>
      <c r="F75" t="inlineStr">
        <is>
          <t>2017</t>
        </is>
      </c>
      <c r="G75" t="inlineStr">
        <is>
          <t>used</t>
        </is>
      </c>
      <c r="H75" s="4" t="n">
        <v>200</v>
      </c>
      <c r="I75" t="inlineStr"/>
      <c r="J75" t="inlineStr">
        <is>
          <t>6212 Maurach am Achensee</t>
        </is>
      </c>
      <c r="K75" s="5" t="n">
        <v>45566</v>
      </c>
      <c r="L75" t="inlineStr"/>
      <c r="M75" s="6">
        <f>HYPERLINK("https://www.dailydose.de/kleinanzeigen/detail.htm?ai=423460&amp;cf=kk&amp;pg=2&amp;ci=5", "Link")</f>
        <v/>
      </c>
      <c r="N75" s="6">
        <f>HYPERLINK("C:\Projects\Kleinanzeigen-Scraper\offer_images\423460", "Link")</f>
        <v/>
      </c>
      <c r="O75" t="inlineStr">
        <is>
          <t>Patrick_66</t>
        </is>
      </c>
      <c r="P75" s="6">
        <f>HYPERLINK("https://www.dailydose.de/kleinanzeigen/user/18672", "Link")</f>
        <v/>
      </c>
      <c r="Q75" s="7" t="n">
        <v>45566.74216435185</v>
      </c>
      <c r="R75" s="3" t="inlineStr">
        <is>
          <t>80.30</t>
        </is>
      </c>
      <c r="S75" t="inlineStr">
        <is>
          <t>München</t>
        </is>
      </c>
    </row>
    <row r="76">
      <c r="A76" s="2" t="n">
        <v>4</v>
      </c>
      <c r="B76" t="inlineStr">
        <is>
          <t>Sailloft AIR</t>
        </is>
      </c>
      <c r="C76" s="3" t="inlineStr"/>
      <c r="D76" s="3" t="inlineStr"/>
      <c r="E76" t="inlineStr"/>
      <c r="F76" t="inlineStr">
        <is>
          <t>2021</t>
        </is>
      </c>
      <c r="G76" t="inlineStr">
        <is>
          <t>used</t>
        </is>
      </c>
      <c r="H76" s="4" t="n">
        <v>220</v>
      </c>
      <c r="I76" t="inlineStr"/>
      <c r="J76" t="inlineStr">
        <is>
          <t>88287 Grünkraut / Innsbruck</t>
        </is>
      </c>
      <c r="K76" s="5" t="n">
        <v>45565</v>
      </c>
      <c r="L76" t="inlineStr"/>
      <c r="M76" s="6">
        <f>HYPERLINK("https://www.dailydose.de/kleinanzeigen/detail.htm?ai=423443&amp;cf=kk&amp;pg=2&amp;ci=5", "Link")</f>
        <v/>
      </c>
      <c r="N76" s="6">
        <f>HYPERLINK("C:\Projects\Kleinanzeigen-Scraper\offer_images\423443", "Link")</f>
        <v/>
      </c>
      <c r="O76" t="inlineStr">
        <is>
          <t>Manu_163</t>
        </is>
      </c>
      <c r="P76" s="6">
        <f>HYPERLINK("https://www.dailydose.de/kleinanzeigen/user/15250", "Link")</f>
        <v/>
      </c>
      <c r="Q76" s="7" t="n">
        <v>45566.74188657408</v>
      </c>
      <c r="R76" s="3" t="inlineStr">
        <is>
          <t>98.85</t>
        </is>
      </c>
      <c r="S76" t="inlineStr">
        <is>
          <t>Bonndorf</t>
        </is>
      </c>
    </row>
    <row r="77">
      <c r="A77" s="2" t="n">
        <v>9.5</v>
      </c>
      <c r="B77" t="inlineStr">
        <is>
          <t>Loftsails</t>
        </is>
      </c>
      <c r="C77" s="3" t="inlineStr"/>
      <c r="D77" s="3" t="inlineStr"/>
      <c r="E77" t="inlineStr">
        <is>
          <t>Raceboard</t>
        </is>
      </c>
      <c r="F77" t="inlineStr">
        <is>
          <t>2023</t>
        </is>
      </c>
      <c r="G77" t="inlineStr">
        <is>
          <t>used</t>
        </is>
      </c>
      <c r="H77" s="4" t="n">
        <v>590</v>
      </c>
      <c r="I77" t="inlineStr"/>
      <c r="J77" t="inlineStr">
        <is>
          <t>24159 Kiel</t>
        </is>
      </c>
      <c r="K77" s="5" t="n">
        <v>45566</v>
      </c>
      <c r="L77" t="inlineStr"/>
      <c r="M77" s="6">
        <f>HYPERLINK("https://www.dailydose.de/kleinanzeigen/detail.htm?ai=423504&amp;cf=kk&amp;pg=1&amp;ci=5", "Link")</f>
        <v/>
      </c>
      <c r="N77" s="6">
        <f>HYPERLINK("C:\Projects\Kleinanzeigen-Scraper\offer_images\423504", "Link")</f>
        <v/>
      </c>
      <c r="O77" t="inlineStr">
        <is>
          <t>Helmut_108</t>
        </is>
      </c>
      <c r="P77" s="6">
        <f>HYPERLINK("https://www.dailydose.de/kleinanzeigen/user/10257", "Link")</f>
        <v/>
      </c>
      <c r="Q77" s="7" t="n">
        <v>45566.741875</v>
      </c>
      <c r="R77" s="3" t="inlineStr">
        <is>
          <t>440.84</t>
        </is>
      </c>
      <c r="S77" t="inlineStr">
        <is>
          <t>Köln</t>
        </is>
      </c>
    </row>
    <row r="78">
      <c r="A78" s="2" t="n">
        <v>4.5</v>
      </c>
      <c r="B78" t="inlineStr">
        <is>
          <t>Neilpryde Combat HD</t>
        </is>
      </c>
      <c r="C78" s="3" t="n">
        <v>4.7</v>
      </c>
      <c r="D78" s="3" t="n">
        <v>1.59</v>
      </c>
      <c r="E78" t="inlineStr"/>
      <c r="F78" t="inlineStr">
        <is>
          <t>2010</t>
        </is>
      </c>
      <c r="G78" t="inlineStr">
        <is>
          <t>used</t>
        </is>
      </c>
      <c r="H78" s="4" t="n">
        <v>80</v>
      </c>
      <c r="I78" t="inlineStr"/>
      <c r="J78" t="inlineStr">
        <is>
          <t>6212 Maurach am Achensee</t>
        </is>
      </c>
      <c r="K78" s="5" t="n">
        <v>45566</v>
      </c>
      <c r="L78" t="inlineStr"/>
      <c r="M78" s="6">
        <f>HYPERLINK("https://www.dailydose.de/kleinanzeigen/detail.htm?ai=423462&amp;cf=kk&amp;pg=2&amp;ci=5", "Link")</f>
        <v/>
      </c>
      <c r="N78" s="6">
        <f>HYPERLINK("C:\Projects\Kleinanzeigen-Scraper\offer_images\423462", "Link")</f>
        <v/>
      </c>
      <c r="O78" t="inlineStr">
        <is>
          <t>Patrick_66</t>
        </is>
      </c>
      <c r="P78" s="6">
        <f>HYPERLINK("https://www.dailydose.de/kleinanzeigen/user/18672", "Link")</f>
        <v/>
      </c>
      <c r="Q78" s="7" t="n">
        <v>45566.74164351852</v>
      </c>
      <c r="R78" s="3" t="inlineStr">
        <is>
          <t>80.30</t>
        </is>
      </c>
      <c r="S78" t="inlineStr">
        <is>
          <t>München</t>
        </is>
      </c>
    </row>
    <row r="79">
      <c r="A79" s="2" t="n">
        <v>5.4</v>
      </c>
      <c r="B79" t="inlineStr">
        <is>
          <t>Neilpryde Wizard</t>
        </is>
      </c>
      <c r="C79" s="3" t="inlineStr"/>
      <c r="D79" s="3" t="inlineStr"/>
      <c r="E79" t="inlineStr"/>
      <c r="F79" t="inlineStr">
        <is>
          <t>2018</t>
        </is>
      </c>
      <c r="G79" t="inlineStr">
        <is>
          <t>used</t>
        </is>
      </c>
      <c r="H79" s="4" t="n">
        <v>180</v>
      </c>
      <c r="I79" t="inlineStr"/>
      <c r="J79" t="inlineStr">
        <is>
          <t>6212 Maurach am Achensee</t>
        </is>
      </c>
      <c r="K79" s="5" t="n">
        <v>45566</v>
      </c>
      <c r="L79" t="inlineStr"/>
      <c r="M79" s="6">
        <f>HYPERLINK("https://www.dailydose.de/kleinanzeigen/detail.htm?ai=423461&amp;cf=kk&amp;pg=2&amp;ci=5", "Link")</f>
        <v/>
      </c>
      <c r="N79" s="6">
        <f>HYPERLINK("C:\Projects\Kleinanzeigen-Scraper\offer_images\423461", "Link")</f>
        <v/>
      </c>
      <c r="O79" t="inlineStr">
        <is>
          <t>Patrick_66</t>
        </is>
      </c>
      <c r="P79" s="6">
        <f>HYPERLINK("https://www.dailydose.de/kleinanzeigen/user/18672", "Link")</f>
        <v/>
      </c>
      <c r="Q79" s="7" t="n">
        <v>45566.74105324074</v>
      </c>
      <c r="R79" s="3" t="inlineStr">
        <is>
          <t>80.30</t>
        </is>
      </c>
      <c r="S79" t="inlineStr">
        <is>
          <t>München</t>
        </is>
      </c>
    </row>
    <row r="80">
      <c r="A80" s="2" t="n">
        <v>7.8</v>
      </c>
      <c r="B80" t="inlineStr">
        <is>
          <t>Gun Sail Vectot</t>
        </is>
      </c>
      <c r="C80" s="3" t="n">
        <v>484</v>
      </c>
      <c r="D80" s="3" t="inlineStr">
        <is>
          <t>210-217</t>
        </is>
      </c>
      <c r="E80" t="inlineStr"/>
      <c r="F80" t="inlineStr">
        <is>
          <t>2021</t>
        </is>
      </c>
      <c r="G80" t="inlineStr">
        <is>
          <t>new</t>
        </is>
      </c>
      <c r="H80" s="4" t="n">
        <v>350</v>
      </c>
      <c r="I80" t="inlineStr"/>
      <c r="J80" t="inlineStr">
        <is>
          <t>53757 Sankt Augustin</t>
        </is>
      </c>
      <c r="K80" s="5" t="n">
        <v>45566</v>
      </c>
      <c r="L80" t="inlineStr"/>
      <c r="M80" s="6">
        <f>HYPERLINK("https://www.dailydose.de/kleinanzeigen/detail.htm?ai=423476&amp;cf=kk&amp;pg=2&amp;ci=5", "Link")</f>
        <v/>
      </c>
      <c r="N80" s="6">
        <f>HYPERLINK("C:\Projects\Kleinanzeigen-Scraper\offer_images\423476", "Link")</f>
        <v/>
      </c>
      <c r="O80" t="inlineStr">
        <is>
          <t>to481</t>
        </is>
      </c>
      <c r="P80" s="6">
        <f>HYPERLINK("https://www.dailydose.de/kleinanzeigen/user/1517", "Link")</f>
        <v/>
      </c>
      <c r="Q80" s="7" t="n">
        <v>45566.74099537037</v>
      </c>
      <c r="R80" s="3" t="inlineStr">
        <is>
          <t>26.47</t>
        </is>
      </c>
      <c r="S80" t="inlineStr">
        <is>
          <t>Köln</t>
        </is>
      </c>
    </row>
    <row r="81">
      <c r="A81" s="2" t="n">
        <v>5.2</v>
      </c>
      <c r="B81" t="inlineStr">
        <is>
          <t>Sailloft Quad</t>
        </is>
      </c>
      <c r="C81" s="3" t="inlineStr"/>
      <c r="D81" s="3" t="inlineStr"/>
      <c r="E81" t="inlineStr"/>
      <c r="F81" t="inlineStr">
        <is>
          <t>2024</t>
        </is>
      </c>
      <c r="G81" t="inlineStr">
        <is>
          <t>new</t>
        </is>
      </c>
      <c r="H81" s="4" t="inlineStr">
        <is>
          <t>gegen Angebot</t>
        </is>
      </c>
      <c r="I81" t="inlineStr"/>
      <c r="J81" t="inlineStr">
        <is>
          <t>24239 Achterwehr</t>
        </is>
      </c>
      <c r="K81" s="5" t="n">
        <v>45565</v>
      </c>
      <c r="L81" t="inlineStr"/>
      <c r="M81" s="6">
        <f>HYPERLINK("https://www.dailydose.de/kleinanzeigen/detail.htm?ai=423441&amp;cf=kk&amp;pg=2&amp;ci=5", "Link")</f>
        <v/>
      </c>
      <c r="N81" s="6">
        <f>HYPERLINK("C:\Projects\Kleinanzeigen-Scraper\offer_images\423441", "Link")</f>
        <v/>
      </c>
      <c r="O81" t="inlineStr">
        <is>
          <t>Jojo44</t>
        </is>
      </c>
      <c r="P81" s="6">
        <f>HYPERLINK("https://www.dailydose.de/kleinanzeigen/user/2580", "Link")</f>
        <v/>
      </c>
      <c r="Q81" s="7" t="n">
        <v>45566.74099537037</v>
      </c>
      <c r="R81" s="3" t="inlineStr">
        <is>
          <t>425.93</t>
        </is>
      </c>
      <c r="S81" t="inlineStr">
        <is>
          <t>Köln</t>
        </is>
      </c>
    </row>
    <row r="82">
      <c r="A82" s="2" t="n">
        <v>5.8</v>
      </c>
      <c r="B82" t="inlineStr">
        <is>
          <t>North Sails</t>
        </is>
      </c>
      <c r="C82" s="3" t="inlineStr"/>
      <c r="D82" s="3" t="inlineStr"/>
      <c r="E82" t="inlineStr">
        <is>
          <t>Wave</t>
        </is>
      </c>
      <c r="F82" t="inlineStr">
        <is>
          <t>2017</t>
        </is>
      </c>
      <c r="G82" t="inlineStr">
        <is>
          <t>used</t>
        </is>
      </c>
      <c r="H82" s="4" t="n">
        <v>150</v>
      </c>
      <c r="I82" t="inlineStr"/>
      <c r="J82" t="inlineStr">
        <is>
          <t>41352 Nordrhein-Westfalen - Korschenbroich</t>
        </is>
      </c>
      <c r="K82" s="5" t="n">
        <v>45566</v>
      </c>
      <c r="L82" t="inlineStr"/>
      <c r="M82" s="6">
        <f>HYPERLINK("https://www.kleinanzeigen.de/s-anzeige/windsurfsegel-north-sails-5-8-2017/2879044671-230-1188", "Link")</f>
        <v/>
      </c>
      <c r="N82" s="6">
        <f>HYPERLINK("C:\Projects\Kleinanzeigen-Scraper\offer_images\2879044671", "Link")</f>
        <v/>
      </c>
      <c r="O82" t="inlineStr">
        <is>
          <t>Ingo</t>
        </is>
      </c>
      <c r="P82" s="6">
        <f>HYPERLINK("https://www.kleinanzeigen.de/s-bestandsliste.html?userId=144774371", "Link")</f>
        <v/>
      </c>
      <c r="Q82" s="7" t="n">
        <v>45566.74042824074</v>
      </c>
      <c r="R82" s="3" t="inlineStr">
        <is>
          <t>40.41</t>
        </is>
      </c>
      <c r="S82" t="inlineStr">
        <is>
          <t>Köln</t>
        </is>
      </c>
    </row>
    <row r="83">
      <c r="A83" s="2" t="n">
        <v>4.8</v>
      </c>
      <c r="B83" t="inlineStr">
        <is>
          <t>Sailloft AIR</t>
        </is>
      </c>
      <c r="C83" s="3" t="n">
        <v>416</v>
      </c>
      <c r="D83" s="3" t="inlineStr"/>
      <c r="E83" t="inlineStr"/>
      <c r="F83" t="inlineStr">
        <is>
          <t>2021</t>
        </is>
      </c>
      <c r="G83" t="inlineStr">
        <is>
          <t>repaired</t>
        </is>
      </c>
      <c r="H83" s="4" t="n">
        <v>200</v>
      </c>
      <c r="I83" t="inlineStr"/>
      <c r="J83" t="inlineStr">
        <is>
          <t>88287 Baden-Württemberg - Grünkraut</t>
        </is>
      </c>
      <c r="K83" s="5" t="n">
        <v>45565</v>
      </c>
      <c r="L83" t="inlineStr"/>
      <c r="M83" s="6">
        <f>HYPERLINK("https://www.kleinanzeigen.de/s-anzeige/sailloft-air-4-8-qm-2021-/2878765413-230-9227", "Link")</f>
        <v/>
      </c>
      <c r="N83" s="6">
        <f>HYPERLINK("C:\Projects\Kleinanzeigen-Scraper\offer_images\2878765413", "Link")</f>
        <v/>
      </c>
      <c r="O83" t="inlineStr">
        <is>
          <t>Manu</t>
        </is>
      </c>
      <c r="P83" s="6">
        <f>HYPERLINK("https://www.kleinanzeigen.de/s-bestandsliste.html?userId=64452921", "Link")</f>
        <v/>
      </c>
      <c r="Q83" s="7" t="n">
        <v>45566.7400462963</v>
      </c>
      <c r="R83" s="3" t="inlineStr">
        <is>
          <t>98.85</t>
        </is>
      </c>
      <c r="S83" t="inlineStr">
        <is>
          <t>Bonndorf</t>
        </is>
      </c>
    </row>
    <row r="84">
      <c r="A84" s="2" t="n">
        <v>6</v>
      </c>
      <c r="B84" t="inlineStr">
        <is>
          <t>Naish Moto</t>
        </is>
      </c>
      <c r="C84" s="3" t="n">
        <v>430</v>
      </c>
      <c r="D84" s="3" t="n">
        <v>183</v>
      </c>
      <c r="E84" t="inlineStr">
        <is>
          <t>Freeride</t>
        </is>
      </c>
      <c r="F84" t="inlineStr"/>
      <c r="G84" t="inlineStr">
        <is>
          <t>used</t>
        </is>
      </c>
      <c r="H84" s="4" t="n">
        <v>190</v>
      </c>
      <c r="I84" t="inlineStr"/>
      <c r="J84" t="inlineStr">
        <is>
          <t>24226 Schleswig-Holstein - Heikendorf</t>
        </is>
      </c>
      <c r="K84" s="5" t="n">
        <v>45566</v>
      </c>
      <c r="L84" t="inlineStr"/>
      <c r="M84" s="6">
        <f>HYPERLINK("https://www.kleinanzeigen.de/s-anzeige/naish-moto-6-0-windsurfsegel/2879369919-242-672", "Link")</f>
        <v/>
      </c>
      <c r="N84" s="6">
        <f>HYPERLINK("C:\Projects\Kleinanzeigen-Scraper\offer_images\2879369919", "Link")</f>
        <v/>
      </c>
      <c r="O84" t="inlineStr">
        <is>
          <t>Nils</t>
        </is>
      </c>
      <c r="P84" s="6">
        <f>HYPERLINK("https://www.kleinanzeigen.de/s-bestandsliste.html?userId=9520341", "Link")</f>
        <v/>
      </c>
      <c r="Q84" s="7" t="n">
        <v>45566.73967592593</v>
      </c>
      <c r="R84" s="3" t="inlineStr">
        <is>
          <t>441.08</t>
        </is>
      </c>
      <c r="S84" t="inlineStr">
        <is>
          <t>Köln</t>
        </is>
      </c>
    </row>
    <row r="85">
      <c r="A85" s="2" t="n">
        <v>9.4</v>
      </c>
      <c r="B85" t="inlineStr">
        <is>
          <t>Sailloft Ultimate</t>
        </is>
      </c>
      <c r="C85" s="3" t="inlineStr">
        <is>
          <t>490 or 520</t>
        </is>
      </c>
      <c r="D85" s="3" t="inlineStr"/>
      <c r="E85" t="inlineStr"/>
      <c r="F85" t="inlineStr"/>
      <c r="G85" t="inlineStr">
        <is>
          <t>new</t>
        </is>
      </c>
      <c r="H85" s="4" t="n">
        <v>250</v>
      </c>
      <c r="I85" t="inlineStr"/>
      <c r="J85" t="inlineStr">
        <is>
          <t>47803 Nordrhein-Westfalen - Krefeld</t>
        </is>
      </c>
      <c r="K85" s="5" t="n">
        <v>45566</v>
      </c>
      <c r="L85" t="inlineStr"/>
      <c r="M85" s="6">
        <f>HYPERLINK("https://www.kleinanzeigen.de/s-anzeige/sailloft-ultimate-9-4-windsurf-segel-neuwertig-/2878998426-230-1978", "Link")</f>
        <v/>
      </c>
      <c r="N85" s="6">
        <f>HYPERLINK("C:\Projects\Kleinanzeigen-Scraper\offer_images\2878998426", "Link")</f>
        <v/>
      </c>
      <c r="O85" t="inlineStr">
        <is>
          <t>Zeitgeist.82</t>
        </is>
      </c>
      <c r="P85" s="6">
        <f>HYPERLINK("https://www.kleinanzeigen.de/s-bestandsliste.html?userId=47357640", "Link")</f>
        <v/>
      </c>
      <c r="Q85" s="7" t="n">
        <v>45566.73909722222</v>
      </c>
      <c r="R85" s="3" t="inlineStr">
        <is>
          <t>53.61</t>
        </is>
      </c>
      <c r="S85" t="inlineStr">
        <is>
          <t>Köln</t>
        </is>
      </c>
    </row>
    <row r="86">
      <c r="A86" s="2" t="n">
        <v>5.6</v>
      </c>
      <c r="B86" t="inlineStr">
        <is>
          <t>Sail Works Race</t>
        </is>
      </c>
      <c r="C86" s="3" t="n">
        <v>150</v>
      </c>
      <c r="D86" s="3" t="n">
        <v>150</v>
      </c>
      <c r="E86" t="inlineStr"/>
      <c r="F86" t="inlineStr"/>
      <c r="G86" t="inlineStr">
        <is>
          <t>used</t>
        </is>
      </c>
      <c r="H86" s="4" t="n">
        <v>40</v>
      </c>
      <c r="I86" t="inlineStr">
        <is>
          <t>VB</t>
        </is>
      </c>
      <c r="J86" t="inlineStr">
        <is>
          <t>14089 Berlin - Kladow</t>
        </is>
      </c>
      <c r="K86" s="5" t="n">
        <v>45566</v>
      </c>
      <c r="L86" t="inlineStr"/>
      <c r="M86" s="6">
        <f>HYPERLINK("https://www.kleinanzeigen.de/s-anzeige/sail-works-race-surfsegel-windsurfen-segel-5-6-m-tasche/2879200128-230-23977", "Link")</f>
        <v/>
      </c>
      <c r="N86" s="6">
        <f>HYPERLINK("C:\Projects\Kleinanzeigen-Scraper\offer_images\2879200128", "Link")</f>
        <v/>
      </c>
      <c r="O86" t="inlineStr">
        <is>
          <t>Kruse</t>
        </is>
      </c>
      <c r="P86" s="6">
        <f>HYPERLINK("https://www.kleinanzeigen.de/s-bestandsliste.html?userId=17140955", "Link")</f>
        <v/>
      </c>
      <c r="Q86" s="7" t="n">
        <v>45566.73873842593</v>
      </c>
      <c r="R86" s="3" t="inlineStr">
        <is>
          <t>459.79</t>
        </is>
      </c>
      <c r="S86" t="inlineStr">
        <is>
          <t>Köln</t>
        </is>
      </c>
    </row>
    <row r="87">
      <c r="A87" s="2" t="n">
        <v>7</v>
      </c>
      <c r="B87" t="inlineStr">
        <is>
          <t>Neilpryde RS Slalom MK 4</t>
        </is>
      </c>
      <c r="C87" s="3" t="n">
        <v>448</v>
      </c>
      <c r="D87" s="3" t="n">
        <v>200</v>
      </c>
      <c r="E87" t="inlineStr">
        <is>
          <t>Slalom</t>
        </is>
      </c>
      <c r="F87" t="inlineStr"/>
      <c r="G87" t="inlineStr">
        <is>
          <t>repaired</t>
        </is>
      </c>
      <c r="H87" s="4" t="n">
        <v>99</v>
      </c>
      <c r="I87" t="inlineStr">
        <is>
          <t>VB</t>
        </is>
      </c>
      <c r="J87" t="inlineStr">
        <is>
          <t>18211 Bad Doberan - Landkreis - Bargeshagen</t>
        </is>
      </c>
      <c r="K87" s="5" t="n">
        <v>45566</v>
      </c>
      <c r="L87" t="inlineStr"/>
      <c r="M87" s="6">
        <f>HYPERLINK("https://www.kleinanzeigen.de/s-anzeige/neilpryde-7-0qm-rs-slalom-mk-4-windsurfsegel/2879300220-230-16583", "Link")</f>
        <v/>
      </c>
      <c r="N87" s="6">
        <f>HYPERLINK("C:\Projects\Kleinanzeigen-Scraper\offer_images\2879300220", "Link")</f>
        <v/>
      </c>
      <c r="O87" t="inlineStr">
        <is>
          <t>Dirk</t>
        </is>
      </c>
      <c r="P87" s="6">
        <f>HYPERLINK("https://www.kleinanzeigen.de/s-bestandsliste.html?userId=141661148", "Link")</f>
        <v/>
      </c>
      <c r="Q87" s="7" t="n">
        <v>45566.73854166667</v>
      </c>
      <c r="R87" s="3" t="inlineStr">
        <is>
          <t>490.50</t>
        </is>
      </c>
      <c r="S87" t="inlineStr">
        <is>
          <t>Köln</t>
        </is>
      </c>
    </row>
    <row r="88">
      <c r="A88" s="2" t="n">
        <v>5</v>
      </c>
      <c r="B88" t="inlineStr">
        <is>
          <t>Neilpryde Atlas</t>
        </is>
      </c>
      <c r="C88" s="3" t="n">
        <v>407</v>
      </c>
      <c r="D88" s="3" t="n">
        <v>172</v>
      </c>
      <c r="E88" t="inlineStr"/>
      <c r="F88" t="inlineStr"/>
      <c r="G88" t="inlineStr">
        <is>
          <t>used</t>
        </is>
      </c>
      <c r="H88" s="4" t="n">
        <v>250</v>
      </c>
      <c r="I88" t="inlineStr">
        <is>
          <t>VB</t>
        </is>
      </c>
      <c r="J88" t="inlineStr">
        <is>
          <t>18211 Bad Doberan - Landkreis - Bargeshagen</t>
        </is>
      </c>
      <c r="K88" s="5" t="n">
        <v>45566</v>
      </c>
      <c r="L88" t="inlineStr"/>
      <c r="M88" s="6">
        <f>HYPERLINK("https://www.kleinanzeigen.de/s-anzeige/neilpryde-atlas-5-0qm-windsurfsegel/2879344856-230-16583", "Link")</f>
        <v/>
      </c>
      <c r="N88" s="6">
        <f>HYPERLINK("C:\Projects\Kleinanzeigen-Scraper\offer_images\2879344856", "Link")</f>
        <v/>
      </c>
      <c r="O88" t="inlineStr">
        <is>
          <t>Dirk</t>
        </is>
      </c>
      <c r="P88" s="6">
        <f>HYPERLINK("https://www.kleinanzeigen.de/s-bestandsliste.html?userId=141661148", "Link")</f>
        <v/>
      </c>
      <c r="Q88" s="7" t="n">
        <v>45566.7384375</v>
      </c>
      <c r="R88" s="3" t="inlineStr">
        <is>
          <t>490.50</t>
        </is>
      </c>
      <c r="S88" t="inlineStr">
        <is>
          <t>Köln</t>
        </is>
      </c>
    </row>
    <row r="89">
      <c r="A89" s="2" t="n">
        <v>5</v>
      </c>
      <c r="B89" t="inlineStr">
        <is>
          <t>Simmer Style Black Tip</t>
        </is>
      </c>
      <c r="C89" s="3" t="inlineStr"/>
      <c r="D89" s="3" t="inlineStr"/>
      <c r="E89" t="inlineStr"/>
      <c r="F89" t="inlineStr"/>
      <c r="G89" t="inlineStr">
        <is>
          <t>used</t>
        </is>
      </c>
      <c r="H89" s="4" t="n">
        <v>199</v>
      </c>
      <c r="I89" t="inlineStr"/>
      <c r="J89" t="inlineStr">
        <is>
          <t>24113 Schleswig-Holstein - Molfsee</t>
        </is>
      </c>
      <c r="K89" s="5" t="n">
        <v>45566</v>
      </c>
      <c r="L89" t="inlineStr"/>
      <c r="M89" s="6">
        <f>HYPERLINK("https://www.kleinanzeigen.de/s-anzeige/simmer-style-black-tip-5-0-qm/2879102329-230-21250", "Link")</f>
        <v/>
      </c>
      <c r="N89" s="6">
        <f>HYPERLINK("C:\Projects\Kleinanzeigen-Scraper\offer_images\2879102329", "Link")</f>
        <v/>
      </c>
      <c r="O89" t="inlineStr">
        <is>
          <t>Bente</t>
        </is>
      </c>
      <c r="P89" s="6">
        <f>HYPERLINK("https://www.kleinanzeigen.de/s-bestandsliste.html?userId=118958893", "Link")</f>
        <v/>
      </c>
      <c r="Q89" s="7" t="n">
        <v>45566.73820601852</v>
      </c>
      <c r="R89" s="3" t="inlineStr">
        <is>
          <t>427.37</t>
        </is>
      </c>
      <c r="S89" t="inlineStr">
        <is>
          <t>Köln</t>
        </is>
      </c>
    </row>
    <row r="90">
      <c r="A90" s="2" t="n">
        <v>6</v>
      </c>
      <c r="B90" t="inlineStr">
        <is>
          <t>FANATIC Slalom CAM</t>
        </is>
      </c>
      <c r="C90" s="3" t="n">
        <v>465</v>
      </c>
      <c r="D90" s="3" t="n">
        <v>185</v>
      </c>
      <c r="E90" t="inlineStr">
        <is>
          <t>Slalom</t>
        </is>
      </c>
      <c r="F90" t="inlineStr"/>
      <c r="G90" t="inlineStr">
        <is>
          <t>repaired</t>
        </is>
      </c>
      <c r="H90" s="4" t="n">
        <v>20</v>
      </c>
      <c r="I90" t="inlineStr"/>
      <c r="J90" t="inlineStr">
        <is>
          <t>14129 Berlin - Zehlendorf</t>
        </is>
      </c>
      <c r="K90" s="5" t="n">
        <v>45566</v>
      </c>
      <c r="L90" t="inlineStr"/>
      <c r="M90" s="6">
        <f>HYPERLINK("https://www.kleinanzeigen.de/s-anzeige/windsurfsegel-fanatic-6-0-qm-slalom-cam/2879089657-230-3530", "Link")</f>
        <v/>
      </c>
      <c r="N90" s="6">
        <f>HYPERLINK("C:\Projects\Kleinanzeigen-Scraper\offer_images\2879089657", "Link")</f>
        <v/>
      </c>
      <c r="O90" t="inlineStr">
        <is>
          <t>Thomas Kleisch</t>
        </is>
      </c>
      <c r="P90" s="6">
        <f>HYPERLINK("https://www.kleinanzeigen.de/s-bestandsliste.html?userId=48516926", "Link")</f>
        <v/>
      </c>
      <c r="Q90" s="7" t="n">
        <v>45566.73818287037</v>
      </c>
      <c r="R90" s="3" t="inlineStr">
        <is>
          <t>461.31</t>
        </is>
      </c>
      <c r="S90" t="inlineStr">
        <is>
          <t>Köln</t>
        </is>
      </c>
    </row>
    <row r="91">
      <c r="A91" s="2" t="n">
        <v>6.4</v>
      </c>
      <c r="B91" t="inlineStr">
        <is>
          <t>Neilpryde RS Slalom MK6</t>
        </is>
      </c>
      <c r="C91" s="3" t="n">
        <v>448</v>
      </c>
      <c r="D91" s="3" t="n">
        <v>195</v>
      </c>
      <c r="E91" t="inlineStr"/>
      <c r="F91" t="inlineStr"/>
      <c r="G91" t="inlineStr">
        <is>
          <t>used</t>
        </is>
      </c>
      <c r="H91" s="4" t="n">
        <v>150</v>
      </c>
      <c r="I91" t="inlineStr">
        <is>
          <t>VB</t>
        </is>
      </c>
      <c r="J91" t="inlineStr">
        <is>
          <t>18211 Bad Doberan - Landkreis - Bargeshagen</t>
        </is>
      </c>
      <c r="K91" s="5" t="n">
        <v>45566</v>
      </c>
      <c r="L91" t="inlineStr"/>
      <c r="M91" s="6">
        <f>HYPERLINK("https://www.kleinanzeigen.de/s-anzeige/neilpryde-rs-slalom-mk6-6-4qm/2879316518-230-16583", "Link")</f>
        <v/>
      </c>
      <c r="N91" s="6">
        <f>HYPERLINK("C:\Projects\Kleinanzeigen-Scraper\offer_images\2879316518", "Link")</f>
        <v/>
      </c>
      <c r="O91" t="inlineStr">
        <is>
          <t>Dirk</t>
        </is>
      </c>
      <c r="P91" s="6">
        <f>HYPERLINK("https://www.kleinanzeigen.de/s-bestandsliste.html?userId=141661148", "Link")</f>
        <v/>
      </c>
      <c r="Q91" s="7" t="n">
        <v>45566.73813657407</v>
      </c>
      <c r="R91" s="3" t="inlineStr">
        <is>
          <t>490.50</t>
        </is>
      </c>
      <c r="S91" t="inlineStr">
        <is>
          <t>Köln</t>
        </is>
      </c>
    </row>
    <row r="92">
      <c r="A92" s="2" t="n">
        <v>4.3</v>
      </c>
      <c r="B92" t="inlineStr">
        <is>
          <t>Hotsails Quad</t>
        </is>
      </c>
      <c r="C92" s="3" t="inlineStr"/>
      <c r="D92" s="3" t="inlineStr"/>
      <c r="E92" t="inlineStr"/>
      <c r="F92" t="inlineStr"/>
      <c r="G92" t="inlineStr">
        <is>
          <t>used</t>
        </is>
      </c>
      <c r="H92" s="4" t="n">
        <v>200</v>
      </c>
      <c r="I92" t="inlineStr"/>
      <c r="J92" t="inlineStr">
        <is>
          <t>22145 Hamburg - Hamburg-Nord</t>
        </is>
      </c>
      <c r="K92" s="5" t="n">
        <v>45566</v>
      </c>
      <c r="L92" t="inlineStr"/>
      <c r="M92" s="6">
        <f>HYPERLINK("https://www.kleinanzeigen.de/s-anzeige/hotsails-quad-4-3-kein-duotone-severne-ga-neil-pryde-hot-sails/2879049959-230-17006", "Link")</f>
        <v/>
      </c>
      <c r="N92" s="6">
        <f>HYPERLINK("C:\Projects\Kleinanzeigen-Scraper\offer_images\2879049959", "Link")</f>
        <v/>
      </c>
      <c r="O92" t="inlineStr">
        <is>
          <t>Ulf</t>
        </is>
      </c>
      <c r="P92" s="6">
        <f>HYPERLINK("https://www.kleinanzeigen.de/s-bestandsliste.html?userId=50449475", "Link")</f>
        <v/>
      </c>
      <c r="Q92" s="7" t="n">
        <v>45566.738125</v>
      </c>
      <c r="R92" s="3" t="inlineStr">
        <is>
          <t>371.39</t>
        </is>
      </c>
      <c r="S92" t="inlineStr">
        <is>
          <t>Köln</t>
        </is>
      </c>
    </row>
    <row r="93">
      <c r="A93" s="2" t="n">
        <v>4.8</v>
      </c>
      <c r="B93" t="inlineStr">
        <is>
          <t>Severne S1</t>
        </is>
      </c>
      <c r="C93" s="3" t="n">
        <v>400</v>
      </c>
      <c r="D93" s="3" t="n">
        <v>165</v>
      </c>
      <c r="E93" t="inlineStr"/>
      <c r="F93" t="inlineStr"/>
      <c r="G93" t="inlineStr">
        <is>
          <t>used</t>
        </is>
      </c>
      <c r="H93" s="4" t="n">
        <v>120</v>
      </c>
      <c r="I93" t="inlineStr"/>
      <c r="J93" t="inlineStr">
        <is>
          <t>24226 Schleswig-Holstein - Heikendorf</t>
        </is>
      </c>
      <c r="K93" s="5" t="n">
        <v>45566</v>
      </c>
      <c r="L93" t="inlineStr"/>
      <c r="M93" s="6">
        <f>HYPERLINK("https://www.kleinanzeigen.de/s-anzeige/severne-s1-4-8qm/2879373064-230-672", "Link")</f>
        <v/>
      </c>
      <c r="N93" s="6">
        <f>HYPERLINK("C:\Projects\Kleinanzeigen-Scraper\offer_images\2879373064", "Link")</f>
        <v/>
      </c>
      <c r="O93" t="inlineStr">
        <is>
          <t>Nils</t>
        </is>
      </c>
      <c r="P93" s="6">
        <f>HYPERLINK("https://www.kleinanzeigen.de/s-bestandsliste.html?userId=9520341", "Link")</f>
        <v/>
      </c>
      <c r="Q93" s="7" t="n">
        <v>45566.73810185185</v>
      </c>
      <c r="R93" s="3" t="inlineStr">
        <is>
          <t>441.08</t>
        </is>
      </c>
      <c r="S93" t="inlineStr">
        <is>
          <t>Köln</t>
        </is>
      </c>
    </row>
    <row r="94">
      <c r="A94" s="2" t="n">
        <v>4.2</v>
      </c>
      <c r="B94" t="inlineStr">
        <is>
          <t>North Sails Volt</t>
        </is>
      </c>
      <c r="C94" s="3" t="n">
        <v>4</v>
      </c>
      <c r="D94" s="3" t="n">
        <v>1.56</v>
      </c>
      <c r="E94" t="inlineStr"/>
      <c r="F94" t="inlineStr">
        <is>
          <t>2016</t>
        </is>
      </c>
      <c r="G94" t="inlineStr">
        <is>
          <t>used</t>
        </is>
      </c>
      <c r="H94" s="4" t="n">
        <v>165</v>
      </c>
      <c r="I94" t="inlineStr"/>
      <c r="J94" t="inlineStr">
        <is>
          <t>41352 Nordrhein-Westfalen - Korschenbroich</t>
        </is>
      </c>
      <c r="K94" s="5" t="n">
        <v>45565</v>
      </c>
      <c r="L94" t="inlineStr"/>
      <c r="M94" s="6">
        <f>HYPERLINK("https://www.kleinanzeigen.de/s-anzeige/windsurfsegel-north-sails-volt-4-2-2016/2878813396-230-1188", "Link")</f>
        <v/>
      </c>
      <c r="N94" s="6">
        <f>HYPERLINK("C:\Projects\Kleinanzeigen-Scraper\offer_images\2878813396", "Link")</f>
        <v/>
      </c>
      <c r="O94" t="inlineStr">
        <is>
          <t>Ingo</t>
        </is>
      </c>
      <c r="P94" s="6">
        <f>HYPERLINK("https://www.kleinanzeigen.de/s-bestandsliste.html?userId=144774371", "Link")</f>
        <v/>
      </c>
      <c r="Q94" s="7" t="n">
        <v>45566.73740740741</v>
      </c>
      <c r="R94" s="3" t="inlineStr">
        <is>
          <t>40.41</t>
        </is>
      </c>
      <c r="S94" t="inlineStr">
        <is>
          <t>Köln</t>
        </is>
      </c>
    </row>
    <row r="95">
      <c r="A95" s="2" t="n">
        <v>4.7</v>
      </c>
      <c r="B95" t="inlineStr">
        <is>
          <t>Hotsails Quad</t>
        </is>
      </c>
      <c r="C95" s="3" t="inlineStr"/>
      <c r="D95" s="3" t="inlineStr"/>
      <c r="E95" t="inlineStr"/>
      <c r="F95" t="inlineStr"/>
      <c r="G95" t="inlineStr">
        <is>
          <t>used</t>
        </is>
      </c>
      <c r="H95" s="4" t="n">
        <v>180</v>
      </c>
      <c r="I95" t="inlineStr"/>
      <c r="J95" t="inlineStr">
        <is>
          <t>22145 Hamburg - Hamburg-Nord</t>
        </is>
      </c>
      <c r="K95" s="5" t="n">
        <v>45566</v>
      </c>
      <c r="L95" t="inlineStr"/>
      <c r="M95" s="6">
        <f>HYPERLINK("https://www.kleinanzeigen.de/s-anzeige/hotsails-quad-4-7-kein-duotone-severne-ga-neil-pryde-hot-sails/2879054105-230-17006", "Link")</f>
        <v/>
      </c>
      <c r="N95" s="6">
        <f>HYPERLINK("C:\Projects\Kleinanzeigen-Scraper\offer_images\2879054105", "Link")</f>
        <v/>
      </c>
      <c r="O95" t="inlineStr">
        <is>
          <t>Ulf</t>
        </is>
      </c>
      <c r="P95" s="6">
        <f>HYPERLINK("https://www.kleinanzeigen.de/s-bestandsliste.html?userId=50449475", "Link")</f>
        <v/>
      </c>
      <c r="Q95" s="7" t="n">
        <v>45566.73674768519</v>
      </c>
      <c r="R95" s="3" t="inlineStr">
        <is>
          <t>371.39</t>
        </is>
      </c>
      <c r="S95" t="inlineStr">
        <is>
          <t>Köln</t>
        </is>
      </c>
    </row>
    <row r="96">
      <c r="A96" s="2" t="n">
        <v>4</v>
      </c>
      <c r="B96" t="inlineStr">
        <is>
          <t>Sailloft AIR</t>
        </is>
      </c>
      <c r="C96" s="3" t="n">
        <v>370</v>
      </c>
      <c r="D96" s="3" t="inlineStr"/>
      <c r="E96" t="inlineStr"/>
      <c r="F96" t="inlineStr">
        <is>
          <t>2021</t>
        </is>
      </c>
      <c r="G96" t="inlineStr">
        <is>
          <t>used</t>
        </is>
      </c>
      <c r="H96" s="4" t="n">
        <v>220</v>
      </c>
      <c r="I96" t="inlineStr"/>
      <c r="J96" t="inlineStr">
        <is>
          <t>88287 Baden-Württemberg - Grünkraut</t>
        </is>
      </c>
      <c r="K96" s="5" t="n">
        <v>45565</v>
      </c>
      <c r="L96" t="inlineStr"/>
      <c r="M96" s="6">
        <f>HYPERLINK("https://www.kleinanzeigen.de/s-anzeige/sailloft-air-4-0-qm-2021-/2878767649-230-9227", "Link")</f>
        <v/>
      </c>
      <c r="N96" s="6">
        <f>HYPERLINK("C:\Projects\Kleinanzeigen-Scraper\offer_images\2878767649", "Link")</f>
        <v/>
      </c>
      <c r="O96" t="inlineStr">
        <is>
          <t>Manu</t>
        </is>
      </c>
      <c r="P96" s="6">
        <f>HYPERLINK("https://www.kleinanzeigen.de/s-bestandsliste.html?userId=64452921", "Link")</f>
        <v/>
      </c>
      <c r="Q96" s="7" t="n">
        <v>45566.73644675926</v>
      </c>
      <c r="R96" s="3" t="inlineStr">
        <is>
          <t>98.85</t>
        </is>
      </c>
      <c r="S96" t="inlineStr">
        <is>
          <t>Bonndorf</t>
        </is>
      </c>
    </row>
    <row r="97">
      <c r="A97" s="2" t="n">
        <v>9.6</v>
      </c>
      <c r="B97" t="inlineStr">
        <is>
          <t>Neilpryde VX</t>
        </is>
      </c>
      <c r="C97" s="3" t="inlineStr"/>
      <c r="D97" s="3" t="inlineStr"/>
      <c r="E97" t="inlineStr"/>
      <c r="F97" t="inlineStr"/>
      <c r="G97" t="inlineStr">
        <is>
          <t>used</t>
        </is>
      </c>
      <c r="H97" s="4" t="n">
        <v>25</v>
      </c>
      <c r="I97" t="inlineStr"/>
      <c r="J97" t="inlineStr">
        <is>
          <t>18211 Bad Doberan - Landkreis - Bargeshagen</t>
        </is>
      </c>
      <c r="K97" s="5" t="n">
        <v>45566</v>
      </c>
      <c r="L97" t="inlineStr"/>
      <c r="M97" s="6">
        <f>HYPERLINK("https://www.kleinanzeigen.de/s-anzeige/neilpryde-vx-9-6qm-windsurfsegel/2879325717-230-16583", "Link")</f>
        <v/>
      </c>
      <c r="N97" s="6">
        <f>HYPERLINK("C:\Projects\Kleinanzeigen-Scraper\offer_images\2879325717", "Link")</f>
        <v/>
      </c>
      <c r="O97" t="inlineStr">
        <is>
          <t>Dirk</t>
        </is>
      </c>
      <c r="P97" s="6">
        <f>HYPERLINK("https://www.kleinanzeigen.de/s-bestandsliste.html?userId=141661148", "Link")</f>
        <v/>
      </c>
      <c r="Q97" s="7" t="n">
        <v>45566.73623842592</v>
      </c>
      <c r="R97" s="3" t="inlineStr">
        <is>
          <t>490.50</t>
        </is>
      </c>
      <c r="S97" t="inlineStr">
        <is>
          <t>Köln</t>
        </is>
      </c>
    </row>
    <row r="98">
      <c r="A98" s="2" t="n">
        <v>7.3</v>
      </c>
      <c r="B98" t="inlineStr">
        <is>
          <t>NORTH SAIL PRISMA</t>
        </is>
      </c>
      <c r="C98" s="3" t="n">
        <v>4.95</v>
      </c>
      <c r="D98" s="3" t="n">
        <v>2.3</v>
      </c>
      <c r="E98" t="inlineStr"/>
      <c r="F98" t="inlineStr"/>
      <c r="G98" t="inlineStr">
        <is>
          <t>used</t>
        </is>
      </c>
      <c r="H98" s="4" t="n">
        <v>20</v>
      </c>
      <c r="I98" t="inlineStr"/>
      <c r="J98" t="inlineStr">
        <is>
          <t>14089 Berlin - Kladow</t>
        </is>
      </c>
      <c r="K98" s="5" t="n">
        <v>45566</v>
      </c>
      <c r="L98" t="inlineStr"/>
      <c r="M98" s="6">
        <f>HYPERLINK("https://www.kleinanzeigen.de/s-anzeige/north-sail-prisma-surfsegel-windsurfen-segel-7-3-m-tasche/2879221314-230-23977", "Link")</f>
        <v/>
      </c>
      <c r="N98" s="6">
        <f>HYPERLINK("C:\Projects\Kleinanzeigen-Scraper\offer_images\2879221314", "Link")</f>
        <v/>
      </c>
      <c r="O98" t="inlineStr">
        <is>
          <t>Kruse</t>
        </is>
      </c>
      <c r="P98" s="6">
        <f>HYPERLINK("https://www.kleinanzeigen.de/s-bestandsliste.html?userId=17140955", "Link")</f>
        <v/>
      </c>
      <c r="Q98" s="7" t="n">
        <v>45566.73569444445</v>
      </c>
      <c r="R98" s="3" t="inlineStr">
        <is>
          <t>459.79</t>
        </is>
      </c>
      <c r="S98" t="inlineStr">
        <is>
          <t>Köln</t>
        </is>
      </c>
    </row>
    <row r="99">
      <c r="A99" s="2" t="n">
        <v>7.5</v>
      </c>
      <c r="B99" t="inlineStr">
        <is>
          <t>Neilpryde V8</t>
        </is>
      </c>
      <c r="C99" s="3" t="inlineStr"/>
      <c r="D99" s="3" t="inlineStr"/>
      <c r="E99" t="inlineStr"/>
      <c r="F99" t="inlineStr"/>
      <c r="G99" t="inlineStr">
        <is>
          <t>damaged</t>
        </is>
      </c>
      <c r="H99" s="4" t="n">
        <v>10</v>
      </c>
      <c r="I99" t="inlineStr"/>
      <c r="J99" t="inlineStr">
        <is>
          <t>18211 Bad Doberan - Landkreis - Bargeshagen</t>
        </is>
      </c>
      <c r="K99" s="5" t="n">
        <v>45566</v>
      </c>
      <c r="L99" t="inlineStr"/>
      <c r="M99" s="6">
        <f>HYPERLINK("https://www.kleinanzeigen.de/s-anzeige/neilpryde-v8-7-5qm/2879305911-230-16583", "Link")</f>
        <v/>
      </c>
      <c r="N99" s="6">
        <f>HYPERLINK("C:\Projects\Kleinanzeigen-Scraper\offer_images\2879305911", "Link")</f>
        <v/>
      </c>
      <c r="O99" t="inlineStr">
        <is>
          <t>Dirk</t>
        </is>
      </c>
      <c r="P99" s="6">
        <f>HYPERLINK("https://www.kleinanzeigen.de/s-bestandsliste.html?userId=141661148", "Link")</f>
        <v/>
      </c>
      <c r="Q99" s="7" t="n">
        <v>45566.73546296296</v>
      </c>
      <c r="R99" s="3" t="inlineStr">
        <is>
          <t>490.50</t>
        </is>
      </c>
      <c r="S99" t="inlineStr">
        <is>
          <t>Köln</t>
        </is>
      </c>
    </row>
    <row r="100">
      <c r="A100" s="2" t="n">
        <v>7.2</v>
      </c>
      <c r="B100" t="inlineStr">
        <is>
          <t>Kontrol</t>
        </is>
      </c>
      <c r="C100" s="3" t="n">
        <v>460</v>
      </c>
      <c r="D100" s="3" t="n">
        <v>213</v>
      </c>
      <c r="E100" t="inlineStr"/>
      <c r="F100" t="inlineStr"/>
      <c r="G100" t="inlineStr">
        <is>
          <t>used</t>
        </is>
      </c>
      <c r="H100" s="4" t="n">
        <v>20</v>
      </c>
      <c r="I100" t="inlineStr"/>
      <c r="J100" t="inlineStr">
        <is>
          <t>99510 Thüringen - Apolda</t>
        </is>
      </c>
      <c r="K100" s="5" t="n">
        <v>45563</v>
      </c>
      <c r="L100" t="inlineStr"/>
      <c r="M100" s="6">
        <f>HYPERLINK("https://www.kleinanzeigen.de/s-anzeige/segel-windsurfen-7-2/2876121967-230-3626", "Link")</f>
        <v/>
      </c>
      <c r="N100" s="6">
        <f>HYPERLINK("C:\Projects\Kleinanzeigen-Scraper\offer_images\2876121967", "Link")</f>
        <v/>
      </c>
      <c r="O100" t="inlineStr">
        <is>
          <t>Töpleb</t>
        </is>
      </c>
      <c r="P100" s="6">
        <f>HYPERLINK("https://www.kleinanzeigen.de/s-bestandsliste.html?userId=3282356", "Link")</f>
        <v/>
      </c>
      <c r="Q100" s="7" t="n">
        <v>45566.73521990741</v>
      </c>
      <c r="R100" s="3" t="inlineStr">
        <is>
          <t>314.52</t>
        </is>
      </c>
      <c r="S100" t="inlineStr">
        <is>
          <t>Karlsruhe</t>
        </is>
      </c>
    </row>
    <row r="101">
      <c r="A101" s="2" t="n">
        <v>6</v>
      </c>
      <c r="B101" t="inlineStr">
        <is>
          <t>Gun Sails Cannonball</t>
        </is>
      </c>
      <c r="C101" s="3" t="n">
        <v>435</v>
      </c>
      <c r="D101" s="3" t="n">
        <v>191</v>
      </c>
      <c r="E101" t="inlineStr"/>
      <c r="F101" t="inlineStr"/>
      <c r="G101" t="inlineStr"/>
      <c r="H101" s="4" t="n">
        <v>150</v>
      </c>
      <c r="I101" t="inlineStr">
        <is>
          <t>VB</t>
        </is>
      </c>
      <c r="J101" t="inlineStr">
        <is>
          <t>18211 Bad Doberan - Landkreis - Bargeshagen</t>
        </is>
      </c>
      <c r="K101" s="5" t="n">
        <v>45566</v>
      </c>
      <c r="L101" t="inlineStr"/>
      <c r="M101" s="6">
        <f>HYPERLINK("https://www.kleinanzeigen.de/s-anzeige/gun-sails-cannonball-6-0qm-windsurfsegel/2879322977-230-16583", "Link")</f>
        <v/>
      </c>
      <c r="N101" s="6">
        <f>HYPERLINK("C:\Projects\Kleinanzeigen-Scraper\offer_images\2879322977", "Link")</f>
        <v/>
      </c>
      <c r="O101" t="inlineStr">
        <is>
          <t>Dirk</t>
        </is>
      </c>
      <c r="P101" s="6">
        <f>HYPERLINK("https://www.kleinanzeigen.de/s-bestandsliste.html?userId=141661148", "Link")</f>
        <v/>
      </c>
      <c r="Q101" s="7" t="n">
        <v>45566.73516203704</v>
      </c>
      <c r="R101" s="3" t="inlineStr">
        <is>
          <t>490.50</t>
        </is>
      </c>
      <c r="S101" t="inlineStr">
        <is>
          <t>Köln</t>
        </is>
      </c>
    </row>
    <row r="102">
      <c r="A102" s="2" t="n">
        <v>8.699999999999999</v>
      </c>
      <c r="B102" t="inlineStr">
        <is>
          <t>NeilPryde V8</t>
        </is>
      </c>
      <c r="C102" s="3" t="inlineStr"/>
      <c r="D102" s="3" t="inlineStr"/>
      <c r="E102" t="inlineStr"/>
      <c r="F102" t="inlineStr">
        <is>
          <t>2017</t>
        </is>
      </c>
      <c r="G102" t="inlineStr">
        <is>
          <t>used</t>
        </is>
      </c>
      <c r="H102" s="4" t="n">
        <v>300</v>
      </c>
      <c r="I102" t="inlineStr">
        <is>
          <t>VB</t>
        </is>
      </c>
      <c r="J102" t="inlineStr">
        <is>
          <t>71083 Baden-Württemberg - Herrenberg</t>
        </is>
      </c>
      <c r="K102" s="5" t="n">
        <v>45529</v>
      </c>
      <c r="L102" t="inlineStr">
        <is>
          <t>Sold</t>
        </is>
      </c>
      <c r="M102" s="6">
        <f>HYPERLINK("https://www.kleinanzeigen.de/s-anzeige/neilpryde-segel-8-7-v8-2017/2846105347-230-8097", "Link")</f>
        <v/>
      </c>
      <c r="N102" s="6">
        <f>HYPERLINK("C:\Projects\Kleinanzeigen-Scraper\offer_images\2846105347", "Link")</f>
        <v/>
      </c>
      <c r="O102" t="inlineStr">
        <is>
          <t>Freitag Hans Peter</t>
        </is>
      </c>
      <c r="P102" s="6">
        <f>HYPERLINK("https://www.kleinanzeigen.de/s-bestandsliste.html?userId=29412546", "Link")</f>
        <v/>
      </c>
      <c r="Q102" s="7" t="n">
        <v>45566.73505787037</v>
      </c>
      <c r="R102" s="3" t="inlineStr">
        <is>
          <t>12.18</t>
        </is>
      </c>
      <c r="S102" t="inlineStr">
        <is>
          <t>Böblingen</t>
        </is>
      </c>
    </row>
    <row r="103">
      <c r="A103" s="2" t="n">
        <v>5.3</v>
      </c>
      <c r="B103" t="inlineStr">
        <is>
          <t>North Sails Volt</t>
        </is>
      </c>
      <c r="C103" s="3" t="inlineStr"/>
      <c r="D103" s="3" t="inlineStr"/>
      <c r="E103" t="inlineStr"/>
      <c r="F103" t="inlineStr">
        <is>
          <t>2016</t>
        </is>
      </c>
      <c r="G103" t="inlineStr">
        <is>
          <t>repaired</t>
        </is>
      </c>
      <c r="H103" s="4" t="n">
        <v>115</v>
      </c>
      <c r="I103" t="inlineStr"/>
      <c r="J103" t="inlineStr">
        <is>
          <t>41352 Nordrhein-Westfalen - Korschenbroich</t>
        </is>
      </c>
      <c r="K103" s="5" t="n">
        <v>45565</v>
      </c>
      <c r="L103" t="inlineStr"/>
      <c r="M103" s="6">
        <f>HYPERLINK("https://www.kleinanzeigen.de/s-anzeige/windsurfsegel-north-sails-volt-5-3-2016/2878821157-230-1188", "Link")</f>
        <v/>
      </c>
      <c r="N103" s="6">
        <f>HYPERLINK("C:\Projects\Kleinanzeigen-Scraper\offer_images\2878821157", "Link")</f>
        <v/>
      </c>
      <c r="O103" t="inlineStr">
        <is>
          <t>Ingo</t>
        </is>
      </c>
      <c r="P103" s="6">
        <f>HYPERLINK("https://www.kleinanzeigen.de/s-bestandsliste.html?userId=144774371", "Link")</f>
        <v/>
      </c>
      <c r="Q103" s="7" t="n">
        <v>45566.735</v>
      </c>
      <c r="R103" s="3" t="inlineStr">
        <is>
          <t>40.41</t>
        </is>
      </c>
      <c r="S103" t="inlineStr">
        <is>
          <t>Köln</t>
        </is>
      </c>
    </row>
    <row r="104">
      <c r="A104" s="2" t="n">
        <v>12.5</v>
      </c>
      <c r="B104" t="inlineStr">
        <is>
          <t>Neilpryde RS-Racing</t>
        </is>
      </c>
      <c r="C104" s="3" t="inlineStr"/>
      <c r="D104" s="3" t="inlineStr"/>
      <c r="E104" t="inlineStr">
        <is>
          <t>Camber</t>
        </is>
      </c>
      <c r="F104" t="inlineStr"/>
      <c r="G104" t="inlineStr"/>
      <c r="H104" s="4" t="n">
        <v>150</v>
      </c>
      <c r="I104" t="inlineStr">
        <is>
          <t>VB</t>
        </is>
      </c>
      <c r="J104" t="inlineStr">
        <is>
          <t>18211 Bad Doberan - Landkreis - Bargeshagen</t>
        </is>
      </c>
      <c r="K104" s="5" t="n">
        <v>45566</v>
      </c>
      <c r="L104" t="inlineStr"/>
      <c r="M104" s="6">
        <f>HYPERLINK("https://www.kleinanzeigen.de/s-anzeige/neilpryde-rs-racing-12-5qm-windsurfsegel/2879354469-230-16583", "Link")</f>
        <v/>
      </c>
      <c r="N104" s="6">
        <f>HYPERLINK("C:\Projects\Kleinanzeigen-Scraper\offer_images\2879354469", "Link")</f>
        <v/>
      </c>
      <c r="O104" t="inlineStr">
        <is>
          <t>Dirk</t>
        </is>
      </c>
      <c r="P104" s="6">
        <f>HYPERLINK("https://www.kleinanzeigen.de/s-bestandsliste.html?userId=141661148", "Link")</f>
        <v/>
      </c>
      <c r="Q104" s="7" t="n">
        <v>45566.73452546296</v>
      </c>
      <c r="R104" s="3" t="inlineStr">
        <is>
          <t>490.50</t>
        </is>
      </c>
      <c r="S104" t="inlineStr">
        <is>
          <t>Köln</t>
        </is>
      </c>
    </row>
    <row r="105">
      <c r="A105" s="2" t="n">
        <v>7.4</v>
      </c>
      <c r="B105" t="inlineStr">
        <is>
          <t>Neilpryde VX3</t>
        </is>
      </c>
      <c r="C105" s="3" t="n">
        <v>4.9</v>
      </c>
      <c r="D105" s="3" t="inlineStr"/>
      <c r="E105" t="inlineStr"/>
      <c r="F105" t="inlineStr"/>
      <c r="G105" t="inlineStr">
        <is>
          <t>repaired</t>
        </is>
      </c>
      <c r="H105" s="4" t="n">
        <v>20</v>
      </c>
      <c r="I105" t="inlineStr"/>
      <c r="J105" t="inlineStr">
        <is>
          <t>51597 Nordrhein-Westfalen - Morsbach</t>
        </is>
      </c>
      <c r="K105" s="5" t="n">
        <v>45529</v>
      </c>
      <c r="L105" t="inlineStr">
        <is>
          <t>Sold</t>
        </is>
      </c>
      <c r="M105" s="6">
        <f>HYPERLINK("https://www.kleinanzeigen.de/s-anzeige/windsurfsegel-neilpryde-vx3-7-4/2846050547-230-1536", "Link")</f>
        <v/>
      </c>
      <c r="N105" s="6">
        <f>HYPERLINK("C:\Projects\Kleinanzeigen-Scraper\offer_images\2846050547", "Link")</f>
        <v/>
      </c>
      <c r="O105" t="inlineStr">
        <is>
          <t>Herr Schuh</t>
        </is>
      </c>
      <c r="P105" s="6">
        <f>HYPERLINK("https://www.kleinanzeigen.de/s-bestandsliste.html?userId=26921719", "Link")</f>
        <v/>
      </c>
      <c r="Q105" s="7" t="n">
        <v>45566.73440972222</v>
      </c>
      <c r="R105" s="3" t="inlineStr">
        <is>
          <t>53.41</t>
        </is>
      </c>
      <c r="S105" t="inlineStr">
        <is>
          <t>Köln</t>
        </is>
      </c>
    </row>
    <row r="106">
      <c r="A106" s="2" t="n">
        <v>5.4</v>
      </c>
      <c r="B106" t="inlineStr">
        <is>
          <t>Gaastra Poson</t>
        </is>
      </c>
      <c r="C106" s="3" t="inlineStr"/>
      <c r="D106" s="3" t="inlineStr"/>
      <c r="E106" t="inlineStr"/>
      <c r="F106" t="inlineStr"/>
      <c r="G106" t="inlineStr">
        <is>
          <t>used</t>
        </is>
      </c>
      <c r="H106" s="4" t="n">
        <v>45</v>
      </c>
      <c r="I106" t="inlineStr">
        <is>
          <t>VB</t>
        </is>
      </c>
      <c r="J106" t="inlineStr">
        <is>
          <t>73760 Baden-Württemberg - Ostfildern</t>
        </is>
      </c>
      <c r="K106" s="5" t="n">
        <v>45566</v>
      </c>
      <c r="L106" t="inlineStr">
        <is>
          <t>Sold</t>
        </is>
      </c>
      <c r="M106" s="6">
        <f>HYPERLINK("https://www.kleinanzeigen.de/s-anzeige/gaastra-poson-5-4er-segel/2879415257-230-8437", "Link")</f>
        <v/>
      </c>
      <c r="N106" s="6">
        <f>HYPERLINK("C:\Projects\Kleinanzeigen-Scraper\offer_images\2879415257", "Link")</f>
        <v/>
      </c>
      <c r="O106" t="inlineStr">
        <is>
          <t>Guenni</t>
        </is>
      </c>
      <c r="P106" s="6">
        <f>HYPERLINK("https://www.kleinanzeigen.de/s-bestandsliste.html?userId=37615423", "Link")</f>
        <v/>
      </c>
      <c r="Q106" s="7" t="n">
        <v>45566.73421296296</v>
      </c>
      <c r="R106" s="3" t="inlineStr">
        <is>
          <t>21.07</t>
        </is>
      </c>
      <c r="S106" t="inlineStr">
        <is>
          <t>Böblingen</t>
        </is>
      </c>
    </row>
    <row r="107">
      <c r="A107" s="2" t="n">
        <v>9</v>
      </c>
      <c r="B107" t="inlineStr">
        <is>
          <t>Neilpryde V8</t>
        </is>
      </c>
      <c r="C107" s="3" t="n">
        <v>490</v>
      </c>
      <c r="D107" s="3" t="n">
        <v>245</v>
      </c>
      <c r="E107" t="inlineStr"/>
      <c r="F107" t="inlineStr"/>
      <c r="G107" t="inlineStr">
        <is>
          <t>used</t>
        </is>
      </c>
      <c r="H107" s="4" t="n">
        <v>100</v>
      </c>
      <c r="I107" t="inlineStr">
        <is>
          <t>VB</t>
        </is>
      </c>
      <c r="J107" t="inlineStr">
        <is>
          <t>25469 Kreis Pinneberg - Halstenbek</t>
        </is>
      </c>
      <c r="K107" s="5" t="n">
        <v>45529</v>
      </c>
      <c r="L107" t="inlineStr">
        <is>
          <t>Sold</t>
        </is>
      </c>
      <c r="M107" s="6">
        <f>HYPERLINK("https://www.kleinanzeigen.de/s-anzeige/neilpryde-v8-9-0-sehr-wenig-gefahren/2845848609-230-617", "Link")</f>
        <v/>
      </c>
      <c r="N107" s="6">
        <f>HYPERLINK("C:\Projects\Kleinanzeigen-Scraper\offer_images\2845848609", "Link")</f>
        <v/>
      </c>
      <c r="O107" t="inlineStr">
        <is>
          <t>Stephan</t>
        </is>
      </c>
      <c r="P107" s="6">
        <f>HYPERLINK("https://www.kleinanzeigen.de/s-bestandsliste.html?userId=29277367", "Link")</f>
        <v/>
      </c>
      <c r="Q107" s="7" t="n">
        <v>45566.73420138889</v>
      </c>
      <c r="R107" s="3" t="inlineStr">
        <is>
          <t>356.43</t>
        </is>
      </c>
      <c r="S107" t="inlineStr">
        <is>
          <t>Köln</t>
        </is>
      </c>
    </row>
    <row r="108">
      <c r="A108" s="2" t="n">
        <v>9.5</v>
      </c>
      <c r="B108" t="inlineStr">
        <is>
          <t>Loftsails ULW</t>
        </is>
      </c>
      <c r="C108" s="3" t="inlineStr"/>
      <c r="D108" s="3" t="inlineStr"/>
      <c r="E108" t="inlineStr"/>
      <c r="F108" t="inlineStr"/>
      <c r="G108" t="inlineStr">
        <is>
          <t>used</t>
        </is>
      </c>
      <c r="H108" s="4" t="n">
        <v>590</v>
      </c>
      <c r="I108" t="inlineStr"/>
      <c r="J108" t="inlineStr">
        <is>
          <t>24159 Kiel - Pries-Friedrichsort</t>
        </is>
      </c>
      <c r="K108" s="5" t="n">
        <v>45565</v>
      </c>
      <c r="L108" t="inlineStr"/>
      <c r="M108" s="6">
        <f>HYPERLINK("https://www.kleinanzeigen.de/s-anzeige/loftsails-9-5-ulw/2878929860-230-695", "Link")</f>
        <v/>
      </c>
      <c r="N108" s="6">
        <f>HYPERLINK("C:\Projects\Kleinanzeigen-Scraper\offer_images\2878929860", "Link")</f>
        <v/>
      </c>
      <c r="O108" t="inlineStr">
        <is>
          <t>Helmut</t>
        </is>
      </c>
      <c r="P108" s="6">
        <f>HYPERLINK("https://www.kleinanzeigen.de/s-bestandsliste.html?userId=16119811", "Link")</f>
        <v/>
      </c>
      <c r="Q108" s="7" t="n">
        <v>45566.7341087963</v>
      </c>
      <c r="R108" s="3" t="inlineStr">
        <is>
          <t>440.84</t>
        </is>
      </c>
      <c r="S108" t="inlineStr">
        <is>
          <t>Köln</t>
        </is>
      </c>
    </row>
    <row r="109">
      <c r="A109" s="2" t="n">
        <v>6.7</v>
      </c>
      <c r="B109" t="inlineStr">
        <is>
          <t>Neilpryde Hellcat</t>
        </is>
      </c>
      <c r="C109" s="3" t="inlineStr"/>
      <c r="D109" s="3" t="inlineStr"/>
      <c r="E109" t="inlineStr"/>
      <c r="F109" t="inlineStr">
        <is>
          <t>2009</t>
        </is>
      </c>
      <c r="G109" t="inlineStr">
        <is>
          <t>used</t>
        </is>
      </c>
      <c r="H109" s="4" t="n">
        <v>150</v>
      </c>
      <c r="I109" t="inlineStr"/>
      <c r="J109" t="inlineStr">
        <is>
          <t>82178 Bayern - Puchheim</t>
        </is>
      </c>
      <c r="K109" s="5" t="n">
        <v>45566</v>
      </c>
      <c r="L109" t="inlineStr"/>
      <c r="M109" s="6">
        <f>HYPERLINK("https://www.kleinanzeigen.de/s-anzeige/windsurf-segel-neilpryde-hellcat-6-7-qm/2879288637-230-5599", "Link")</f>
        <v/>
      </c>
      <c r="N109" s="6">
        <f>HYPERLINK("C:\Projects\Kleinanzeigen-Scraper\offer_images\2879288637", "Link")</f>
        <v/>
      </c>
      <c r="O109" t="inlineStr">
        <is>
          <t>Michael Nanini</t>
        </is>
      </c>
      <c r="P109" s="6">
        <f>HYPERLINK("https://www.kleinanzeigen.de/s-bestandsliste.html?userId=11859414", "Link")</f>
        <v/>
      </c>
      <c r="Q109" s="7" t="n">
        <v>45566.73402777778</v>
      </c>
      <c r="R109" s="3" t="inlineStr">
        <is>
          <t>17.38</t>
        </is>
      </c>
      <c r="S109" t="inlineStr">
        <is>
          <t>München</t>
        </is>
      </c>
    </row>
    <row r="110">
      <c r="A110" s="2" t="n">
        <v>4</v>
      </c>
      <c r="B110" t="inlineStr">
        <is>
          <t>Severne S1</t>
        </is>
      </c>
      <c r="C110" s="3" t="n">
        <v>370</v>
      </c>
      <c r="D110" s="3" t="n">
        <v>154</v>
      </c>
      <c r="E110" t="inlineStr"/>
      <c r="F110" t="inlineStr"/>
      <c r="G110" t="inlineStr">
        <is>
          <t>used</t>
        </is>
      </c>
      <c r="H110" s="4" t="n">
        <v>150</v>
      </c>
      <c r="I110" t="inlineStr"/>
      <c r="J110" t="inlineStr">
        <is>
          <t>24226 Schleswig-Holstein - Heikendorf</t>
        </is>
      </c>
      <c r="K110" s="5" t="n">
        <v>45566</v>
      </c>
      <c r="L110" t="inlineStr"/>
      <c r="M110" s="6">
        <f>HYPERLINK("https://www.kleinanzeigen.de/s-anzeige/severne-s1-4-0qm/2879374806-230-672", "Link")</f>
        <v/>
      </c>
      <c r="N110" s="6">
        <f>HYPERLINK("C:\Projects\Kleinanzeigen-Scraper\offer_images\2879374806", "Link")</f>
        <v/>
      </c>
      <c r="O110" t="inlineStr">
        <is>
          <t>Nils</t>
        </is>
      </c>
      <c r="P110" s="6">
        <f>HYPERLINK("https://www.kleinanzeigen.de/s-bestandsliste.html?userId=9520341", "Link")</f>
        <v/>
      </c>
      <c r="Q110" s="7" t="n">
        <v>45566.73361111111</v>
      </c>
      <c r="R110" s="3" t="inlineStr">
        <is>
          <t>441.08</t>
        </is>
      </c>
      <c r="S110" t="inlineStr">
        <is>
          <t>Köln</t>
        </is>
      </c>
    </row>
    <row r="111">
      <c r="A111" s="2" t="n">
        <v>4.7</v>
      </c>
      <c r="B111" t="inlineStr">
        <is>
          <t>Neilpryde Zone</t>
        </is>
      </c>
      <c r="C111" s="3" t="inlineStr"/>
      <c r="D111" s="3" t="inlineStr"/>
      <c r="E111" t="inlineStr"/>
      <c r="F111" t="inlineStr"/>
      <c r="G111" t="inlineStr">
        <is>
          <t>repaired</t>
        </is>
      </c>
      <c r="H111" s="4" t="n">
        <v>75</v>
      </c>
      <c r="I111" t="inlineStr"/>
      <c r="J111" t="inlineStr">
        <is>
          <t>88048 Baden-Württemberg - Friedrichshafen</t>
        </is>
      </c>
      <c r="K111" s="5" t="n">
        <v>45566</v>
      </c>
      <c r="L111" t="inlineStr"/>
      <c r="M111" s="6">
        <f>HYPERLINK("https://www.kleinanzeigen.de/s-anzeige/neilpryde-zone-4-7-segel-windsurfen-pryde-sail-4-7/2879091690-230-9212", "Link")</f>
        <v/>
      </c>
      <c r="N111" s="6">
        <f>HYPERLINK("C:\Projects\Kleinanzeigen-Scraper\offer_images\2879091690", "Link")</f>
        <v/>
      </c>
      <c r="O111" t="inlineStr">
        <is>
          <t>Christian Scherer</t>
        </is>
      </c>
      <c r="P111" s="6">
        <f>HYPERLINK("https://www.kleinanzeigen.de/s-bestandsliste.html?userId=15734331", "Link")</f>
        <v/>
      </c>
      <c r="Q111" s="7" t="n">
        <v>45566.73361111111</v>
      </c>
      <c r="R111" s="3" t="inlineStr">
        <is>
          <t>87.69</t>
        </is>
      </c>
      <c r="S111" t="inlineStr">
        <is>
          <t>Bonndorf</t>
        </is>
      </c>
    </row>
    <row r="112">
      <c r="A112" s="2" t="n">
        <v>4.5</v>
      </c>
      <c r="B112" t="inlineStr">
        <is>
          <t>Neilpryde Combat</t>
        </is>
      </c>
      <c r="C112" s="3" t="n">
        <v>391</v>
      </c>
      <c r="D112" s="3" t="n">
        <v>156</v>
      </c>
      <c r="E112" t="inlineStr"/>
      <c r="F112" t="inlineStr"/>
      <c r="G112" t="inlineStr">
        <is>
          <t>new</t>
        </is>
      </c>
      <c r="H112" s="4" t="n">
        <v>250</v>
      </c>
      <c r="I112" t="inlineStr">
        <is>
          <t>VB</t>
        </is>
      </c>
      <c r="J112" t="inlineStr">
        <is>
          <t>18211 Bad Doberan - Landkreis - Bargeshagen</t>
        </is>
      </c>
      <c r="K112" s="5" t="n">
        <v>45566</v>
      </c>
      <c r="L112" t="inlineStr"/>
      <c r="M112" s="6">
        <f>HYPERLINK("https://www.kleinanzeigen.de/s-anzeige/neilpryde-combat-4-5qm-windsurfsegel/2879336374-230-16583", "Link")</f>
        <v/>
      </c>
      <c r="N112" s="6">
        <f>HYPERLINK("C:\Projects\Kleinanzeigen-Scraper\offer_images\2879336374", "Link")</f>
        <v/>
      </c>
      <c r="O112" t="inlineStr">
        <is>
          <t>Dirk</t>
        </is>
      </c>
      <c r="P112" s="6">
        <f>HYPERLINK("https://www.kleinanzeigen.de/s-bestandsliste.html?userId=141661148", "Link")</f>
        <v/>
      </c>
      <c r="Q112" s="7" t="n">
        <v>45566.73347222222</v>
      </c>
      <c r="R112" s="3" t="inlineStr">
        <is>
          <t>490.50</t>
        </is>
      </c>
      <c r="S112" t="inlineStr">
        <is>
          <t>Köln</t>
        </is>
      </c>
    </row>
    <row r="113">
      <c r="A113" s="2" t="n">
        <v>7.8</v>
      </c>
      <c r="B113" t="inlineStr">
        <is>
          <t>Gunsails GS-R</t>
        </is>
      </c>
      <c r="C113" s="3" t="inlineStr"/>
      <c r="D113" s="3" t="inlineStr"/>
      <c r="E113" t="inlineStr"/>
      <c r="F113" t="inlineStr">
        <is>
          <t>2022</t>
        </is>
      </c>
      <c r="G113" t="inlineStr">
        <is>
          <t>used</t>
        </is>
      </c>
      <c r="H113" s="4" t="n">
        <v>200</v>
      </c>
      <c r="I113" t="inlineStr"/>
      <c r="J113" t="inlineStr">
        <is>
          <t>46485 Wesel</t>
        </is>
      </c>
      <c r="K113" s="5" t="n">
        <v>45565</v>
      </c>
      <c r="L113" t="inlineStr"/>
      <c r="M113" s="6">
        <f>HYPERLINK("https://www.dailydose.de/kleinanzeigen/detail.htm?ai=423427&amp;cf=kk&amp;pg=2&amp;ci=5", "Link")</f>
        <v/>
      </c>
      <c r="N113" s="6">
        <f>HYPERLINK("C:\Projects\Kleinanzeigen-Scraper\offer_images\423427", "Link")</f>
        <v/>
      </c>
      <c r="O113" t="inlineStr">
        <is>
          <t>Daniel M_99</t>
        </is>
      </c>
      <c r="P113" s="6">
        <f>HYPERLINK("https://www.dailydose.de/kleinanzeigen/user/22540", "Link")</f>
        <v/>
      </c>
      <c r="Q113" s="7" t="n">
        <v>45565.74846064814</v>
      </c>
      <c r="R113" s="3" t="inlineStr">
        <is>
          <t>82.18</t>
        </is>
      </c>
      <c r="S113" t="inlineStr">
        <is>
          <t>Köln</t>
        </is>
      </c>
    </row>
    <row r="114">
      <c r="A114" s="2" t="n">
        <v>4</v>
      </c>
      <c r="B114" t="inlineStr">
        <is>
          <t>DUOTONE Superhero</t>
        </is>
      </c>
      <c r="C114" s="3" t="inlineStr"/>
      <c r="D114" s="3" t="inlineStr"/>
      <c r="E114" t="inlineStr"/>
      <c r="F114" t="inlineStr">
        <is>
          <t>2024</t>
        </is>
      </c>
      <c r="G114" t="inlineStr">
        <is>
          <t>new</t>
        </is>
      </c>
      <c r="H114" s="4" t="n">
        <v>500</v>
      </c>
      <c r="I114" t="inlineStr"/>
      <c r="J114" t="inlineStr">
        <is>
          <t>04157 Versand 20€</t>
        </is>
      </c>
      <c r="K114" s="5" t="n">
        <v>45565</v>
      </c>
      <c r="L114" t="inlineStr">
        <is>
          <t>Sold</t>
        </is>
      </c>
      <c r="M114" s="6">
        <f>HYPERLINK("https://www.dailydose.de/kleinanzeigen/detail.htm?ai=423409&amp;cf=kk&amp;pg=2&amp;ci=5", "Link")</f>
        <v/>
      </c>
      <c r="N114" s="6">
        <f>HYPERLINK("C:\Projects\Kleinanzeigen-Scraper\offer_images\423409", "Link")</f>
        <v/>
      </c>
      <c r="O114" t="inlineStr">
        <is>
          <t>WingDing</t>
        </is>
      </c>
      <c r="P114" s="6">
        <f>HYPERLINK("https://www.dailydose.de/kleinanzeigen/user/21852", "Link")</f>
        <v/>
      </c>
      <c r="Q114" s="7" t="n">
        <v>45565.74753472222</v>
      </c>
      <c r="R114" s="3" t="inlineStr">
        <is>
          <t>364.64</t>
        </is>
      </c>
      <c r="S114" t="inlineStr">
        <is>
          <t>München</t>
        </is>
      </c>
    </row>
    <row r="115">
      <c r="A115" s="2" t="n">
        <v>6</v>
      </c>
      <c r="B115" t="inlineStr">
        <is>
          <t>Naish Moto</t>
        </is>
      </c>
      <c r="C115" s="3" t="n">
        <v>430</v>
      </c>
      <c r="D115" s="3" t="n">
        <v>183</v>
      </c>
      <c r="E115" t="inlineStr"/>
      <c r="F115" t="inlineStr"/>
      <c r="G115" t="inlineStr">
        <is>
          <t>used</t>
        </is>
      </c>
      <c r="H115" s="4" t="n">
        <v>190</v>
      </c>
      <c r="I115" t="inlineStr"/>
      <c r="J115" t="inlineStr">
        <is>
          <t>24226 Heikendorf  Kiel</t>
        </is>
      </c>
      <c r="K115" s="5" t="n">
        <v>45565</v>
      </c>
      <c r="L115" t="inlineStr"/>
      <c r="M115" s="6">
        <f>HYPERLINK("https://www.dailydose.de/kleinanzeigen/detail.htm?ai=423438&amp;cf=kk&amp;pg=2&amp;ci=5", "Link")</f>
        <v/>
      </c>
      <c r="N115" s="6">
        <f>HYPERLINK("C:\Projects\Kleinanzeigen-Scraper\offer_images\423438", "Link")</f>
        <v/>
      </c>
      <c r="O115" t="inlineStr">
        <is>
          <t>Nils_146</t>
        </is>
      </c>
      <c r="P115" s="6">
        <f>HYPERLINK("https://www.dailydose.de/kleinanzeigen/user/17856", "Link")</f>
        <v/>
      </c>
      <c r="Q115" s="7" t="n">
        <v>45565.74744212963</v>
      </c>
      <c r="R115" s="3" t="inlineStr">
        <is>
          <t>441.08</t>
        </is>
      </c>
      <c r="S115" t="inlineStr">
        <is>
          <t>Köln</t>
        </is>
      </c>
    </row>
    <row r="116">
      <c r="A116" s="2" t="n">
        <v>4</v>
      </c>
      <c r="B116" t="inlineStr">
        <is>
          <t>Severne S1</t>
        </is>
      </c>
      <c r="C116" s="3" t="n">
        <v>370</v>
      </c>
      <c r="D116" s="3" t="n">
        <v>156</v>
      </c>
      <c r="E116" t="inlineStr"/>
      <c r="F116" t="inlineStr"/>
      <c r="G116" t="inlineStr">
        <is>
          <t>used</t>
        </is>
      </c>
      <c r="H116" s="4" t="n">
        <v>150</v>
      </c>
      <c r="I116" t="inlineStr"/>
      <c r="J116" t="inlineStr">
        <is>
          <t>24226 Heikendorf / Kiel</t>
        </is>
      </c>
      <c r="K116" s="5" t="n">
        <v>45565</v>
      </c>
      <c r="L116" t="inlineStr"/>
      <c r="M116" s="6">
        <f>HYPERLINK("https://www.dailydose.de/kleinanzeigen/detail.htm?ai=423436&amp;cf=kk&amp;pg=2&amp;ci=5", "Link")</f>
        <v/>
      </c>
      <c r="N116" s="6">
        <f>HYPERLINK("C:\Projects\Kleinanzeigen-Scraper\offer_images\423436", "Link")</f>
        <v/>
      </c>
      <c r="O116" t="inlineStr">
        <is>
          <t>Nils_146</t>
        </is>
      </c>
      <c r="P116" s="6">
        <f>HYPERLINK("https://www.dailydose.de/kleinanzeigen/user/17856", "Link")</f>
        <v/>
      </c>
      <c r="Q116" s="7" t="n">
        <v>45565.74717592593</v>
      </c>
      <c r="R116" s="3" t="inlineStr">
        <is>
          <t>441.08</t>
        </is>
      </c>
      <c r="S116" t="inlineStr">
        <is>
          <t>Köln</t>
        </is>
      </c>
    </row>
    <row r="117">
      <c r="A117" s="2" t="n">
        <v>7.8</v>
      </c>
      <c r="B117" t="inlineStr">
        <is>
          <t>Point-7 AC-Z</t>
        </is>
      </c>
      <c r="C117" s="3" t="inlineStr"/>
      <c r="D117" s="3" t="inlineStr"/>
      <c r="E117" t="inlineStr">
        <is>
          <t>Free Race</t>
        </is>
      </c>
      <c r="F117" t="inlineStr">
        <is>
          <t>2021</t>
        </is>
      </c>
      <c r="G117" t="inlineStr">
        <is>
          <t>used</t>
        </is>
      </c>
      <c r="H117" s="4" t="n">
        <v>290</v>
      </c>
      <c r="I117" t="inlineStr"/>
      <c r="J117" t="inlineStr">
        <is>
          <t>5201 Seekirchen am Wallersee</t>
        </is>
      </c>
      <c r="K117" s="5" t="n">
        <v>45565</v>
      </c>
      <c r="L117" t="inlineStr"/>
      <c r="M117" s="6">
        <f>HYPERLINK("https://www.dailydose.de/kleinanzeigen/detail.htm?ai=423426&amp;cf=kk&amp;pg=2&amp;ci=5", "Link")</f>
        <v/>
      </c>
      <c r="N117" s="6">
        <f>HYPERLINK("C:\Projects\Kleinanzeigen-Scraper\offer_images\423426", "Link")</f>
        <v/>
      </c>
      <c r="O117" t="inlineStr">
        <is>
          <t>Blackbrother_P7</t>
        </is>
      </c>
      <c r="P117" s="6">
        <f>HYPERLINK("https://www.dailydose.de/kleinanzeigen/user/24158", "Link")</f>
        <v/>
      </c>
      <c r="Q117" s="7" t="n">
        <v>45565.74665509259</v>
      </c>
      <c r="R117" s="3" t="inlineStr">
        <is>
          <t>118.03</t>
        </is>
      </c>
      <c r="S117" t="inlineStr">
        <is>
          <t>München</t>
        </is>
      </c>
    </row>
    <row r="118">
      <c r="A118" s="2" t="n">
        <v>9</v>
      </c>
      <c r="B118" t="inlineStr">
        <is>
          <t>Gunsails GS-F</t>
        </is>
      </c>
      <c r="C118" s="3" t="inlineStr"/>
      <c r="D118" s="3" t="inlineStr"/>
      <c r="E118" t="inlineStr"/>
      <c r="F118" t="inlineStr">
        <is>
          <t>2023</t>
        </is>
      </c>
      <c r="G118" t="inlineStr">
        <is>
          <t>used</t>
        </is>
      </c>
      <c r="H118" s="4" t="n">
        <v>360</v>
      </c>
      <c r="I118" t="inlineStr"/>
      <c r="J118" t="inlineStr">
        <is>
          <t>46485 Wesel</t>
        </is>
      </c>
      <c r="K118" s="5" t="n">
        <v>45565</v>
      </c>
      <c r="L118" t="inlineStr"/>
      <c r="M118" s="6">
        <f>HYPERLINK("https://www.dailydose.de/kleinanzeigen/detail.htm?ai=423428&amp;cf=kk&amp;pg=2&amp;ci=5", "Link")</f>
        <v/>
      </c>
      <c r="N118" s="6">
        <f>HYPERLINK("C:\Projects\Kleinanzeigen-Scraper\offer_images\423428", "Link")</f>
        <v/>
      </c>
      <c r="O118" t="inlineStr">
        <is>
          <t>Daniel M_99</t>
        </is>
      </c>
      <c r="P118" s="6">
        <f>HYPERLINK("https://www.dailydose.de/kleinanzeigen/user/22540", "Link")</f>
        <v/>
      </c>
      <c r="Q118" s="7" t="n">
        <v>45565.74640046297</v>
      </c>
      <c r="R118" s="3" t="inlineStr">
        <is>
          <t>82.18</t>
        </is>
      </c>
      <c r="S118" t="inlineStr">
        <is>
          <t>Köln</t>
        </is>
      </c>
    </row>
    <row r="119">
      <c r="A119" s="2" t="n">
        <v>4.8</v>
      </c>
      <c r="B119" t="inlineStr">
        <is>
          <t>Severne S1</t>
        </is>
      </c>
      <c r="C119" s="3" t="n">
        <v>400</v>
      </c>
      <c r="D119" s="3" t="n">
        <v>165</v>
      </c>
      <c r="E119" t="inlineStr"/>
      <c r="F119" t="inlineStr"/>
      <c r="G119" t="inlineStr">
        <is>
          <t>used</t>
        </is>
      </c>
      <c r="H119" s="4" t="n">
        <v>120</v>
      </c>
      <c r="I119" t="inlineStr"/>
      <c r="J119" t="inlineStr">
        <is>
          <t>24226 Heikendorf / Kiel</t>
        </is>
      </c>
      <c r="K119" s="5" t="n">
        <v>45565</v>
      </c>
      <c r="L119" t="inlineStr"/>
      <c r="M119" s="6">
        <f>HYPERLINK("https://www.dailydose.de/kleinanzeigen/detail.htm?ai=423437&amp;cf=kk&amp;pg=2&amp;ci=5", "Link")</f>
        <v/>
      </c>
      <c r="N119" s="6">
        <f>HYPERLINK("C:\Projects\Kleinanzeigen-Scraper\offer_images\423437", "Link")</f>
        <v/>
      </c>
      <c r="O119" t="inlineStr">
        <is>
          <t>Nils_146</t>
        </is>
      </c>
      <c r="P119" s="6">
        <f>HYPERLINK("https://www.dailydose.de/kleinanzeigen/user/17856", "Link")</f>
        <v/>
      </c>
      <c r="Q119" s="7" t="n">
        <v>45565.74599537037</v>
      </c>
      <c r="R119" s="3" t="inlineStr">
        <is>
          <t>441.08</t>
        </is>
      </c>
      <c r="S119" t="inlineStr">
        <is>
          <t>Köln</t>
        </is>
      </c>
    </row>
    <row r="120">
      <c r="A120" s="2" t="n">
        <v>3.7</v>
      </c>
      <c r="B120" t="inlineStr">
        <is>
          <t>Goya Banzaii</t>
        </is>
      </c>
      <c r="C120" s="3" t="inlineStr"/>
      <c r="D120" s="3" t="inlineStr"/>
      <c r="E120" t="inlineStr"/>
      <c r="F120" t="inlineStr"/>
      <c r="G120" t="inlineStr">
        <is>
          <t>new</t>
        </is>
      </c>
      <c r="H120" s="4" t="n">
        <v>570</v>
      </c>
      <c r="I120" t="inlineStr"/>
      <c r="J120" t="inlineStr">
        <is>
          <t>HH, B, HRO, KI, HB</t>
        </is>
      </c>
      <c r="K120" s="5" t="n">
        <v>45564</v>
      </c>
      <c r="L120" t="inlineStr"/>
      <c r="M120" s="6">
        <f>HYPERLINK("https://www.dailydose.de/kleinanzeigen/detail.htm?ai=423392&amp;cf=kk&amp;pg=3&amp;ci=5", "Link")</f>
        <v/>
      </c>
      <c r="N120" s="6">
        <f>HYPERLINK("C:\Projects\Kleinanzeigen-Scraper\offer_images\423392", "Link")</f>
        <v/>
      </c>
      <c r="O120" t="inlineStr">
        <is>
          <t>windmuehle</t>
        </is>
      </c>
      <c r="P120" s="6">
        <f>HYPERLINK("https://www.dailydose.de/kleinanzeigen/user/26379", "Link")</f>
        <v/>
      </c>
      <c r="Q120" s="7" t="n">
        <v>45565.74547453703</v>
      </c>
      <c r="R120" s="3" t="inlineStr">
        <is>
          <t>136.34</t>
        </is>
      </c>
      <c r="S120" t="inlineStr">
        <is>
          <t>Köln</t>
        </is>
      </c>
    </row>
    <row r="121">
      <c r="A121" s="2" t="n">
        <v>7.3</v>
      </c>
      <c r="B121" t="inlineStr">
        <is>
          <t>Attack</t>
        </is>
      </c>
      <c r="C121" s="3" t="n">
        <v>490</v>
      </c>
      <c r="D121" s="3" t="n">
        <v>230</v>
      </c>
      <c r="E121" t="inlineStr"/>
      <c r="F121" t="inlineStr"/>
      <c r="G121" t="inlineStr">
        <is>
          <t>used</t>
        </is>
      </c>
      <c r="H121" s="4" t="n">
        <v>100</v>
      </c>
      <c r="I121" t="inlineStr"/>
      <c r="J121" t="inlineStr">
        <is>
          <t>40221 Düsseldorf</t>
        </is>
      </c>
      <c r="K121" s="5" t="n">
        <v>45564</v>
      </c>
      <c r="L121" t="inlineStr"/>
      <c r="M121" s="6">
        <f>HYPERLINK("https://www.dailydose.de/kleinanzeigen/detail.htm?ai=423393&amp;cf=kk&amp;pg=3&amp;ci=5", "Link")</f>
        <v/>
      </c>
      <c r="N121" s="6">
        <f>HYPERLINK("C:\Projects\Kleinanzeigen-Scraper\offer_images\423393", "Link")</f>
        <v/>
      </c>
      <c r="O121" t="inlineStr">
        <is>
          <t>surftkaum</t>
        </is>
      </c>
      <c r="P121" s="6">
        <f>HYPERLINK("https://www.dailydose.de/kleinanzeigen/user/20057", "Link")</f>
        <v/>
      </c>
      <c r="Q121" s="7" t="n">
        <v>45565.7453125</v>
      </c>
      <c r="R121" s="3" t="inlineStr">
        <is>
          <t>32.31</t>
        </is>
      </c>
      <c r="S121" t="inlineStr">
        <is>
          <t>Köln</t>
        </is>
      </c>
    </row>
    <row r="122">
      <c r="A122" s="2" t="n">
        <v>8.1</v>
      </c>
      <c r="B122" t="inlineStr">
        <is>
          <t>North Natural</t>
        </is>
      </c>
      <c r="C122" s="3" t="n">
        <v>490</v>
      </c>
      <c r="D122" s="3" t="inlineStr"/>
      <c r="E122" t="inlineStr"/>
      <c r="F122" t="inlineStr"/>
      <c r="G122" t="inlineStr">
        <is>
          <t>used</t>
        </is>
      </c>
      <c r="H122" s="4" t="n">
        <v>150</v>
      </c>
      <c r="I122" t="inlineStr"/>
      <c r="J122" t="inlineStr">
        <is>
          <t>40221 Düsseldorf</t>
        </is>
      </c>
      <c r="K122" s="5" t="n">
        <v>45564</v>
      </c>
      <c r="L122" t="inlineStr"/>
      <c r="M122" s="6">
        <f>HYPERLINK("https://www.dailydose.de/kleinanzeigen/detail.htm?ai=423395&amp;cf=kk&amp;pg=3&amp;ci=5", "Link")</f>
        <v/>
      </c>
      <c r="N122" s="6">
        <f>HYPERLINK("C:\Projects\Kleinanzeigen-Scraper\offer_images\423395", "Link")</f>
        <v/>
      </c>
      <c r="O122" t="inlineStr">
        <is>
          <t>surftkaum</t>
        </is>
      </c>
      <c r="P122" s="6">
        <f>HYPERLINK("https://www.dailydose.de/kleinanzeigen/user/20057", "Link")</f>
        <v/>
      </c>
      <c r="Q122" s="7" t="n">
        <v>45565.7450462963</v>
      </c>
      <c r="R122" s="3" t="inlineStr">
        <is>
          <t>32.31</t>
        </is>
      </c>
      <c r="S122" t="inlineStr">
        <is>
          <t>Köln</t>
        </is>
      </c>
    </row>
    <row r="123">
      <c r="A123" s="2" t="n">
        <v>7.2</v>
      </c>
      <c r="B123" t="inlineStr">
        <is>
          <t>Neil Pryde Hornet</t>
        </is>
      </c>
      <c r="C123" s="3" t="n">
        <v>460</v>
      </c>
      <c r="D123" s="3" t="n">
        <v>196</v>
      </c>
      <c r="E123" t="inlineStr">
        <is>
          <t>Freeride</t>
        </is>
      </c>
      <c r="F123" t="inlineStr">
        <is>
          <t>2013</t>
        </is>
      </c>
      <c r="G123" t="inlineStr">
        <is>
          <t>repaired</t>
        </is>
      </c>
      <c r="H123" s="4" t="n">
        <v>80</v>
      </c>
      <c r="I123" t="inlineStr"/>
      <c r="J123" t="inlineStr">
        <is>
          <t>67435 Rheinland-Pfalz - Neustadt an der Weinstraße</t>
        </is>
      </c>
      <c r="K123" s="5" t="n">
        <v>45563</v>
      </c>
      <c r="L123" t="inlineStr"/>
      <c r="M123" s="6">
        <f>HYPERLINK("https://www.kleinanzeigen.de/s-anzeige/neil-pryde-hornet-7-2-m-neilpryde/2876645794-230-5374", "Link")</f>
        <v/>
      </c>
      <c r="N123" s="6">
        <f>HYPERLINK("C:\Projects\Kleinanzeigen-Scraper\offer_images\2876645794", "Link")</f>
        <v/>
      </c>
      <c r="O123" t="inlineStr">
        <is>
          <t>bernhard</t>
        </is>
      </c>
      <c r="P123" s="6">
        <f>HYPERLINK("https://www.kleinanzeigen.de/s-bestandsliste.html?userId=119894634", "Link")</f>
        <v/>
      </c>
      <c r="Q123" s="7" t="n">
        <v>45565.74425925926</v>
      </c>
      <c r="R123" s="3" t="inlineStr">
        <is>
          <t>38.14</t>
        </is>
      </c>
      <c r="S123" t="inlineStr">
        <is>
          <t>Karlsruhe</t>
        </is>
      </c>
    </row>
    <row r="124">
      <c r="A124" s="2" t="n">
        <v>7.8</v>
      </c>
      <c r="B124" t="inlineStr">
        <is>
          <t>Point-7 AC-Z</t>
        </is>
      </c>
      <c r="C124" s="3" t="n">
        <v>460</v>
      </c>
      <c r="D124" s="3" t="n">
        <v>210</v>
      </c>
      <c r="E124" t="inlineStr"/>
      <c r="F124" t="inlineStr">
        <is>
          <t>2021</t>
        </is>
      </c>
      <c r="G124" t="inlineStr">
        <is>
          <t>used</t>
        </is>
      </c>
      <c r="H124" s="4" t="n">
        <v>290</v>
      </c>
      <c r="I124" t="inlineStr"/>
      <c r="J124" t="inlineStr">
        <is>
          <t>83395 Bayern - Freilassing</t>
        </is>
      </c>
      <c r="K124" s="5" t="n">
        <v>45565</v>
      </c>
      <c r="L124" t="inlineStr"/>
      <c r="M124" s="6">
        <f>HYPERLINK("https://www.kleinanzeigen.de/s-anzeige/point-7-ac-z-7-8-qm-2021/2878244794-230-6273", "Link")</f>
        <v/>
      </c>
      <c r="N124" s="6">
        <f>HYPERLINK("C:\Projects\Kleinanzeigen-Scraper\offer_images\2878244794", "Link")</f>
        <v/>
      </c>
      <c r="O124" t="inlineStr">
        <is>
          <t>Rouven Türk</t>
        </is>
      </c>
      <c r="P124" s="6">
        <f>HYPERLINK("https://www.kleinanzeigen.de/s-bestandsliste.html?userId=49630109", "Link")</f>
        <v/>
      </c>
      <c r="Q124" s="7" t="n">
        <v>45565.74416666666</v>
      </c>
      <c r="R124" s="3" t="inlineStr">
        <is>
          <t>108.85</t>
        </is>
      </c>
      <c r="S124" t="inlineStr">
        <is>
          <t>München</t>
        </is>
      </c>
    </row>
    <row r="125">
      <c r="A125" s="2" t="n">
        <v>4.2</v>
      </c>
      <c r="B125" t="inlineStr">
        <is>
          <t>Goya Banzai</t>
        </is>
      </c>
      <c r="C125" s="3" t="inlineStr"/>
      <c r="D125" s="3" t="inlineStr"/>
      <c r="E125" t="inlineStr"/>
      <c r="F125" t="inlineStr"/>
      <c r="G125" t="inlineStr">
        <is>
          <t>used</t>
        </is>
      </c>
      <c r="H125" s="4" t="n">
        <v>390</v>
      </c>
      <c r="I125" t="inlineStr"/>
      <c r="J125" t="inlineStr">
        <is>
          <t>47551 Nordrhein-Westfalen - Bedburg-Hau</t>
        </is>
      </c>
      <c r="K125" s="5" t="n">
        <v>45565</v>
      </c>
      <c r="L125" t="inlineStr"/>
      <c r="M125" s="6">
        <f>HYPERLINK("https://www.kleinanzeigen.de/s-anzeige/goya-banzai-4-2/2878154676-230-1123", "Link")</f>
        <v/>
      </c>
      <c r="N125" s="6">
        <f>HYPERLINK("C:\Projects\Kleinanzeigen-Scraper\offer_images\2878154676", "Link")</f>
        <v/>
      </c>
      <c r="O125" t="inlineStr">
        <is>
          <t>Peter Garzke</t>
        </is>
      </c>
      <c r="P125" s="6">
        <f>HYPERLINK("https://www.kleinanzeigen.de/s-bestandsliste.html?userId=8499569", "Link")</f>
        <v/>
      </c>
      <c r="Q125" s="7" t="n">
        <v>45565.7440625</v>
      </c>
      <c r="R125" s="3" t="inlineStr">
        <is>
          <t>105.65</t>
        </is>
      </c>
      <c r="S125" t="inlineStr">
        <is>
          <t>Köln</t>
        </is>
      </c>
    </row>
    <row r="126">
      <c r="A126" s="2" t="n">
        <v>6.4</v>
      </c>
      <c r="B126" t="inlineStr">
        <is>
          <t>North Sails Quattro</t>
        </is>
      </c>
      <c r="C126" s="3" t="n">
        <v>470</v>
      </c>
      <c r="D126" s="3" t="inlineStr"/>
      <c r="E126" t="inlineStr"/>
      <c r="F126" t="inlineStr"/>
      <c r="G126" t="inlineStr">
        <is>
          <t>used</t>
        </is>
      </c>
      <c r="H126" s="4" t="n">
        <v>30</v>
      </c>
      <c r="I126" t="inlineStr"/>
      <c r="J126" t="inlineStr">
        <is>
          <t>23669 Kreis Ostholstein - Timmendorfer Strand</t>
        </is>
      </c>
      <c r="K126" s="5" t="n">
        <v>45565</v>
      </c>
      <c r="L126" t="inlineStr"/>
      <c r="M126" s="6">
        <f>HYPERLINK("https://www.kleinanzeigen.de/s-anzeige/north-sails-quattro-6-4/2878150895-230-442", "Link")</f>
        <v/>
      </c>
      <c r="N126" s="6">
        <f>HYPERLINK("C:\Projects\Kleinanzeigen-Scraper\offer_images\2878150895", "Link")</f>
        <v/>
      </c>
      <c r="O126" t="inlineStr">
        <is>
          <t>Clint</t>
        </is>
      </c>
      <c r="P126" s="6">
        <f>HYPERLINK("https://www.kleinanzeigen.de/s-bestandsliste.html?userId=33408440", "Link")</f>
        <v/>
      </c>
      <c r="Q126" s="7" t="n">
        <v>45565.7437037037</v>
      </c>
      <c r="R126" s="3" t="inlineStr">
        <is>
          <t>425.88</t>
        </is>
      </c>
      <c r="S126" t="inlineStr">
        <is>
          <t>Köln</t>
        </is>
      </c>
    </row>
    <row r="127">
      <c r="A127" s="2" t="n">
        <v>5</v>
      </c>
      <c r="B127" t="inlineStr">
        <is>
          <t>Goya Banzai</t>
        </is>
      </c>
      <c r="C127" s="3" t="inlineStr"/>
      <c r="D127" s="3" t="inlineStr"/>
      <c r="E127" t="inlineStr"/>
      <c r="F127" t="inlineStr"/>
      <c r="G127" t="inlineStr">
        <is>
          <t>used</t>
        </is>
      </c>
      <c r="H127" s="4" t="n">
        <v>430</v>
      </c>
      <c r="I127" t="inlineStr"/>
      <c r="J127" t="inlineStr">
        <is>
          <t>47551 Nordrhein-Westfalen - Bedburg-Hau</t>
        </is>
      </c>
      <c r="K127" s="5" t="n">
        <v>45565</v>
      </c>
      <c r="L127" t="inlineStr"/>
      <c r="M127" s="6">
        <f>HYPERLINK("https://www.kleinanzeigen.de/s-anzeige/goya-banzai-5-0/2878153204-230-1123", "Link")</f>
        <v/>
      </c>
      <c r="N127" s="6">
        <f>HYPERLINK("C:\Projects\Kleinanzeigen-Scraper\offer_images\2878153204", "Link")</f>
        <v/>
      </c>
      <c r="O127" t="inlineStr">
        <is>
          <t>Peter Garzke</t>
        </is>
      </c>
      <c r="P127" s="6">
        <f>HYPERLINK("https://www.kleinanzeigen.de/s-bestandsliste.html?userId=8499569", "Link")</f>
        <v/>
      </c>
      <c r="Q127" s="7" t="n">
        <v>45565.74350694445</v>
      </c>
      <c r="R127" s="3" t="inlineStr">
        <is>
          <t>105.65</t>
        </is>
      </c>
      <c r="S127" t="inlineStr">
        <is>
          <t>Köln</t>
        </is>
      </c>
    </row>
    <row r="128">
      <c r="A128" s="2" t="n">
        <v>7.3</v>
      </c>
      <c r="B128" t="inlineStr">
        <is>
          <t>North E type</t>
        </is>
      </c>
      <c r="C128" s="3" t="inlineStr"/>
      <c r="D128" s="3" t="inlineStr"/>
      <c r="E128" t="inlineStr">
        <is>
          <t>Speed</t>
        </is>
      </c>
      <c r="F128" t="inlineStr">
        <is>
          <t>2015</t>
        </is>
      </c>
      <c r="G128" t="inlineStr">
        <is>
          <t>used</t>
        </is>
      </c>
      <c r="H128" s="4" t="n">
        <v>175</v>
      </c>
      <c r="I128" t="inlineStr"/>
      <c r="J128" t="inlineStr">
        <is>
          <t>23769 Kreis Ostholstein - Fehmarn</t>
        </is>
      </c>
      <c r="K128" s="5" t="n">
        <v>45565</v>
      </c>
      <c r="L128" t="inlineStr"/>
      <c r="M128" s="6">
        <f>HYPERLINK("https://www.kleinanzeigen.de/s-anzeige/north-surfsegel-7-3/2878495132-230-19951", "Link")</f>
        <v/>
      </c>
      <c r="N128" s="6">
        <f>HYPERLINK("C:\Projects\Kleinanzeigen-Scraper\offer_images\2878495132", "Link")</f>
        <v/>
      </c>
      <c r="O128" t="inlineStr">
        <is>
          <t>M.Borchardt</t>
        </is>
      </c>
      <c r="P128" s="6">
        <f>HYPERLINK("https://www.kleinanzeigen.de/s-bestandsliste.html?userId=72607769", "Link")</f>
        <v/>
      </c>
      <c r="Q128" s="7" t="n">
        <v>45565.74290509259</v>
      </c>
      <c r="R128" s="3" t="inlineStr">
        <is>
          <t>483.01</t>
        </is>
      </c>
      <c r="S128" t="inlineStr">
        <is>
          <t>Köln</t>
        </is>
      </c>
    </row>
    <row r="129">
      <c r="A129" s="2" t="n">
        <v>7.8</v>
      </c>
      <c r="B129" t="inlineStr">
        <is>
          <t>Point-7 AC-Z</t>
        </is>
      </c>
      <c r="C129" s="3" t="n">
        <v>460</v>
      </c>
      <c r="D129" s="3" t="inlineStr"/>
      <c r="E129" t="inlineStr"/>
      <c r="F129" t="inlineStr">
        <is>
          <t>2022</t>
        </is>
      </c>
      <c r="G129" t="inlineStr">
        <is>
          <t>used</t>
        </is>
      </c>
      <c r="H129" s="4" t="n">
        <v>500</v>
      </c>
      <c r="I129" t="inlineStr"/>
      <c r="J129" t="inlineStr">
        <is>
          <t>53909 Nordrhein-Westfalen - Zülpich</t>
        </is>
      </c>
      <c r="K129" s="5" t="n">
        <v>45550</v>
      </c>
      <c r="L129" t="inlineStr"/>
      <c r="M129" s="6">
        <f>HYPERLINK("https://www.kleinanzeigen.de/s-anzeige/point-7-ac-z-7-8/2864888777-230-1394", "Link")</f>
        <v/>
      </c>
      <c r="N129" s="6">
        <f>HYPERLINK("C:\Projects\Kleinanzeigen-Scraper\offer_images\2864888777", "Link")</f>
        <v/>
      </c>
      <c r="O129" t="inlineStr">
        <is>
          <t>Nifi</t>
        </is>
      </c>
      <c r="P129" s="6">
        <f>HYPERLINK("https://www.kleinanzeigen.de/s-bestandsliste.html?userId=15739909", "Link")</f>
        <v/>
      </c>
      <c r="Q129" s="7" t="n">
        <v>45565.74282407408</v>
      </c>
      <c r="R129" s="3" t="inlineStr">
        <is>
          <t>36.28</t>
        </is>
      </c>
      <c r="S129" t="inlineStr">
        <is>
          <t>Köln</t>
        </is>
      </c>
    </row>
    <row r="130">
      <c r="A130" s="2" t="n">
        <v>7.2</v>
      </c>
      <c r="B130" t="inlineStr">
        <is>
          <t>GA Sails Gaastra Matrix</t>
        </is>
      </c>
      <c r="C130" s="3" t="n">
        <v>460</v>
      </c>
      <c r="D130" s="3" t="n">
        <v>210</v>
      </c>
      <c r="E130" t="inlineStr"/>
      <c r="F130" t="inlineStr"/>
      <c r="G130" t="inlineStr">
        <is>
          <t>used</t>
        </is>
      </c>
      <c r="H130" s="4" t="n">
        <v>250</v>
      </c>
      <c r="I130" t="inlineStr">
        <is>
          <t>VB</t>
        </is>
      </c>
      <c r="J130" t="inlineStr">
        <is>
          <t>21640 Niedersachsen - Nottensdorf</t>
        </is>
      </c>
      <c r="K130" s="5" t="n">
        <v>45565</v>
      </c>
      <c r="L130" t="inlineStr"/>
      <c r="M130" s="6">
        <f>HYPERLINK("https://www.kleinanzeigen.de/s-anzeige/ga-sails-gaastra-matrix-wie-duotone-windsurf-7-2-qm-wie-neilpryde/2878469212-230-3290", "Link")</f>
        <v/>
      </c>
      <c r="N130" s="6">
        <f>HYPERLINK("C:\Projects\Kleinanzeigen-Scraper\offer_images\2878469212", "Link")</f>
        <v/>
      </c>
      <c r="O130" t="inlineStr">
        <is>
          <t>hendrik</t>
        </is>
      </c>
      <c r="P130" s="6">
        <f>HYPERLINK("https://www.kleinanzeigen.de/s-bestandsliste.html?userId=25772848", "Link")</f>
        <v/>
      </c>
      <c r="Q130" s="7" t="n">
        <v>45565.74126157408</v>
      </c>
      <c r="R130" s="3" t="inlineStr">
        <is>
          <t>337.05</t>
        </is>
      </c>
      <c r="S130" t="inlineStr">
        <is>
          <t>Köln</t>
        </is>
      </c>
    </row>
    <row r="131">
      <c r="A131" s="2" t="n">
        <v>3.7</v>
      </c>
      <c r="B131" t="inlineStr">
        <is>
          <t>Goya Banzai</t>
        </is>
      </c>
      <c r="C131" s="3" t="inlineStr"/>
      <c r="D131" s="3" t="inlineStr"/>
      <c r="E131" t="inlineStr"/>
      <c r="F131" t="inlineStr"/>
      <c r="G131" t="inlineStr">
        <is>
          <t>used</t>
        </is>
      </c>
      <c r="H131" s="4" t="n">
        <v>390</v>
      </c>
      <c r="I131" t="inlineStr"/>
      <c r="J131" t="inlineStr">
        <is>
          <t>47551 Nordrhein-Westfalen - Bedburg-Hau</t>
        </is>
      </c>
      <c r="K131" s="5" t="n">
        <v>45565</v>
      </c>
      <c r="L131" t="inlineStr"/>
      <c r="M131" s="6">
        <f>HYPERLINK("https://www.kleinanzeigen.de/s-anzeige/goya-banzai-3-7/2878155999-230-1123", "Link")</f>
        <v/>
      </c>
      <c r="N131" s="6">
        <f>HYPERLINK("C:\Projects\Kleinanzeigen-Scraper\offer_images\2878155999", "Link")</f>
        <v/>
      </c>
      <c r="O131" t="inlineStr">
        <is>
          <t>Peter Garzke</t>
        </is>
      </c>
      <c r="P131" s="6">
        <f>HYPERLINK("https://www.kleinanzeigen.de/s-bestandsliste.html?userId=8499569", "Link")</f>
        <v/>
      </c>
      <c r="Q131" s="7" t="n">
        <v>45565.74116898148</v>
      </c>
      <c r="R131" s="3" t="inlineStr">
        <is>
          <t>105.65</t>
        </is>
      </c>
      <c r="S131" t="inlineStr">
        <is>
          <t>Köln</t>
        </is>
      </c>
    </row>
    <row r="132">
      <c r="A132" s="2" t="n">
        <v>5.4</v>
      </c>
      <c r="B132" t="inlineStr">
        <is>
          <t>Naish Session</t>
        </is>
      </c>
      <c r="C132" s="3" t="n">
        <v>444</v>
      </c>
      <c r="D132" s="3" t="n">
        <v>175</v>
      </c>
      <c r="E132" t="inlineStr"/>
      <c r="F132" t="inlineStr"/>
      <c r="G132" t="inlineStr">
        <is>
          <t>used</t>
        </is>
      </c>
      <c r="H132" s="4" t="n">
        <v>75</v>
      </c>
      <c r="I132" t="inlineStr"/>
      <c r="J132" t="inlineStr">
        <is>
          <t>30657 Bothfeld-Vahrenheide - Isernhagen-Süd</t>
        </is>
      </c>
      <c r="K132" s="5" t="n">
        <v>45489</v>
      </c>
      <c r="L132" t="inlineStr">
        <is>
          <t>Sold</t>
        </is>
      </c>
      <c r="M132" s="6">
        <f>HYPERLINK("https://www.kleinanzeigen.de/s-anzeige/surfsegel-naish-session-5-4/2813450605-230-20888", "Link")</f>
        <v/>
      </c>
      <c r="N132" s="6">
        <f>HYPERLINK("C:\Projects\Kleinanzeigen-Scraper\offer_images\2813450605", "Link")</f>
        <v/>
      </c>
      <c r="O132" t="inlineStr">
        <is>
          <t>Philipp</t>
        </is>
      </c>
      <c r="P132" s="6">
        <f>HYPERLINK("https://www.kleinanzeigen.de/s-bestandsliste.html?userId=15027314", "Link")</f>
        <v/>
      </c>
      <c r="Q132" s="7" t="n">
        <v>45565.74096064815</v>
      </c>
      <c r="R132" s="3" t="inlineStr">
        <is>
          <t>254.88</t>
        </is>
      </c>
      <c r="S132" t="inlineStr">
        <is>
          <t>Köln</t>
        </is>
      </c>
    </row>
    <row r="133">
      <c r="A133" s="2" t="n">
        <v>4.7</v>
      </c>
      <c r="B133" t="inlineStr">
        <is>
          <t>Goya Banzai</t>
        </is>
      </c>
      <c r="C133" s="3" t="inlineStr"/>
      <c r="D133" s="3" t="inlineStr"/>
      <c r="E133" t="inlineStr"/>
      <c r="F133" t="inlineStr"/>
      <c r="G133" t="inlineStr">
        <is>
          <t>used</t>
        </is>
      </c>
      <c r="H133" s="4" t="n">
        <v>420</v>
      </c>
      <c r="I133" t="inlineStr"/>
      <c r="J133" t="inlineStr">
        <is>
          <t>47551 Nordrhein-Westfalen - Bedburg-Hau</t>
        </is>
      </c>
      <c r="K133" s="5" t="n">
        <v>45565</v>
      </c>
      <c r="L133" t="inlineStr"/>
      <c r="M133" s="6">
        <f>HYPERLINK("https://www.kleinanzeigen.de/s-anzeige/goya-banzai-4-7/2878153955-230-1123", "Link")</f>
        <v/>
      </c>
      <c r="N133" s="6">
        <f>HYPERLINK("C:\Projects\Kleinanzeigen-Scraper\offer_images\2878153955", "Link")</f>
        <v/>
      </c>
      <c r="O133" t="inlineStr">
        <is>
          <t>Peter Garzke</t>
        </is>
      </c>
      <c r="P133" s="6">
        <f>HYPERLINK("https://www.kleinanzeigen.de/s-bestandsliste.html?userId=8499569", "Link")</f>
        <v/>
      </c>
      <c r="Q133" s="7" t="n">
        <v>45565.74087962963</v>
      </c>
      <c r="R133" s="3" t="inlineStr">
        <is>
          <t>105.65</t>
        </is>
      </c>
      <c r="S133" t="inlineStr">
        <is>
          <t>Köln</t>
        </is>
      </c>
    </row>
    <row r="134">
      <c r="A134" s="2" t="n">
        <v>4.7</v>
      </c>
      <c r="B134" t="inlineStr">
        <is>
          <t>Goya Fringe</t>
        </is>
      </c>
      <c r="C134" s="3" t="inlineStr"/>
      <c r="D134" s="3" t="inlineStr"/>
      <c r="E134" t="inlineStr"/>
      <c r="F134" t="inlineStr"/>
      <c r="G134" t="inlineStr">
        <is>
          <t>used</t>
        </is>
      </c>
      <c r="H134" s="4" t="n">
        <v>430</v>
      </c>
      <c r="I134" t="inlineStr"/>
      <c r="J134" t="inlineStr">
        <is>
          <t>47551 Nordrhein-Westfalen - Bedburg-Hau</t>
        </is>
      </c>
      <c r="K134" s="5" t="n">
        <v>45565</v>
      </c>
      <c r="L134" t="inlineStr"/>
      <c r="M134" s="6">
        <f>HYPERLINK("https://www.kleinanzeigen.de/s-anzeige/goya-fringe-4-7/2878151791-230-1123", "Link")</f>
        <v/>
      </c>
      <c r="N134" s="6">
        <f>HYPERLINK("C:\Projects\Kleinanzeigen-Scraper\offer_images\2878151791", "Link")</f>
        <v/>
      </c>
      <c r="O134" t="inlineStr">
        <is>
          <t>Peter Garzke</t>
        </is>
      </c>
      <c r="P134" s="6">
        <f>HYPERLINK("https://www.kleinanzeigen.de/s-bestandsliste.html?userId=8499569", "Link")</f>
        <v/>
      </c>
      <c r="Q134" s="7" t="n">
        <v>45565.74082175926</v>
      </c>
      <c r="R134" s="3" t="inlineStr">
        <is>
          <t>105.65</t>
        </is>
      </c>
      <c r="S134" t="inlineStr">
        <is>
          <t>Köln</t>
        </is>
      </c>
    </row>
    <row r="135">
      <c r="A135" s="2" t="n">
        <v>9.5</v>
      </c>
      <c r="B135" t="inlineStr">
        <is>
          <t>Gaastra Vapor</t>
        </is>
      </c>
      <c r="C135" s="3" t="n">
        <v>490</v>
      </c>
      <c r="D135" s="3" t="n">
        <v>238</v>
      </c>
      <c r="E135" t="inlineStr">
        <is>
          <t>Race</t>
        </is>
      </c>
      <c r="F135" t="inlineStr"/>
      <c r="G135" t="inlineStr">
        <is>
          <t>used</t>
        </is>
      </c>
      <c r="H135" s="4" t="inlineStr"/>
      <c r="I135" t="inlineStr">
        <is>
          <t>VB</t>
        </is>
      </c>
      <c r="J135" t="inlineStr">
        <is>
          <t>79100 Freiburg im Breisgau - Wiehre</t>
        </is>
      </c>
      <c r="K135" s="5" t="n">
        <v>45565</v>
      </c>
      <c r="L135" t="inlineStr">
        <is>
          <t>Sold</t>
        </is>
      </c>
      <c r="M135" s="6">
        <f>HYPERLINK("https://www.kleinanzeigen.de/s-anzeige/verkaufe-gaastra-vapor-9-5m-race-segel-in-sehr-gutem-zustand/2878324581-230-9368", "Link")</f>
        <v/>
      </c>
      <c r="N135" s="6">
        <f>HYPERLINK("C:\Projects\Kleinanzeigen-Scraper\offer_images\2878324581", "Link")</f>
        <v/>
      </c>
      <c r="O135" t="inlineStr">
        <is>
          <t>MLF</t>
        </is>
      </c>
      <c r="P135" s="6">
        <f>HYPERLINK("https://www.kleinanzeigen.de/s-bestandsliste.html?userId=15574759", "Link")</f>
        <v/>
      </c>
      <c r="Q135" s="7" t="n">
        <v>45565.74041666667</v>
      </c>
      <c r="R135" s="3" t="inlineStr">
        <is>
          <t>39.95</t>
        </is>
      </c>
      <c r="S135" t="inlineStr">
        <is>
          <t>Bonndorf</t>
        </is>
      </c>
    </row>
    <row r="136">
      <c r="A136" s="2" t="n">
        <v>5.7</v>
      </c>
      <c r="B136" t="inlineStr">
        <is>
          <t>Vertigo</t>
        </is>
      </c>
      <c r="C136" s="3" t="n">
        <v>4.65</v>
      </c>
      <c r="D136" s="3" t="n">
        <v>2.3</v>
      </c>
      <c r="E136" t="inlineStr"/>
      <c r="F136" t="inlineStr"/>
      <c r="G136" t="inlineStr">
        <is>
          <t>used</t>
        </is>
      </c>
      <c r="H136" s="4" t="n">
        <v>60</v>
      </c>
      <c r="I136" t="inlineStr">
        <is>
          <t>VB</t>
        </is>
      </c>
      <c r="J136" t="inlineStr">
        <is>
          <t>03130 Brandenburg - Spremberg</t>
        </is>
      </c>
      <c r="K136" s="5" t="n">
        <v>45564</v>
      </c>
      <c r="L136" t="inlineStr"/>
      <c r="M136" s="6">
        <f>HYPERLINK("https://www.kleinanzeigen.de/s-anzeige/diverse-windsurf-segel/2826816400-230-7837", "Link")</f>
        <v/>
      </c>
      <c r="N136" s="6">
        <f>HYPERLINK("C:\Projects\Kleinanzeigen-Scraper\offer_images\2826816400", "Link")</f>
        <v/>
      </c>
      <c r="O136" t="inlineStr">
        <is>
          <t>Ringo Enghardt</t>
        </is>
      </c>
      <c r="P136" s="6">
        <f>HYPERLINK("https://www.kleinanzeigen.de/s-bestandsliste.html?userId=48799678", "Link")</f>
        <v/>
      </c>
      <c r="Q136" s="7" t="n">
        <v>45565.73991898148</v>
      </c>
      <c r="R136" s="3" t="inlineStr">
        <is>
          <t>432.74</t>
        </is>
      </c>
      <c r="S136" t="inlineStr">
        <is>
          <t>München</t>
        </is>
      </c>
    </row>
    <row r="137">
      <c r="A137" s="2" t="n">
        <v>5</v>
      </c>
      <c r="B137" t="inlineStr">
        <is>
          <t>Simmerstyle Blacktip</t>
        </is>
      </c>
      <c r="C137" s="3" t="n">
        <v>407</v>
      </c>
      <c r="D137" s="3" t="n">
        <v>165</v>
      </c>
      <c r="E137" t="inlineStr">
        <is>
          <t>Wave</t>
        </is>
      </c>
      <c r="F137" t="inlineStr"/>
      <c r="G137" t="inlineStr">
        <is>
          <t>repaired</t>
        </is>
      </c>
      <c r="H137" s="4" t="n">
        <v>130</v>
      </c>
      <c r="I137" t="inlineStr">
        <is>
          <t>VB</t>
        </is>
      </c>
      <c r="J137" t="inlineStr">
        <is>
          <t>24106 Schleswig-Holstein - Kiel</t>
        </is>
      </c>
      <c r="K137" s="5" t="n">
        <v>45564</v>
      </c>
      <c r="L137" t="inlineStr"/>
      <c r="M137" s="6">
        <f>HYPERLINK("https://www.kleinanzeigen.de/s-anzeige/simmerstyle-blacktip-5-0-windsurf-segel-sail-kein-goya-ga-/2878028773-230-707", "Link")</f>
        <v/>
      </c>
      <c r="N137" s="6">
        <f>HYPERLINK("C:\Projects\Kleinanzeigen-Scraper\offer_images\2878028773", "Link")</f>
        <v/>
      </c>
      <c r="O137" t="inlineStr">
        <is>
          <t>Joshua Noetzel</t>
        </is>
      </c>
      <c r="P137" s="6">
        <f>HYPERLINK("https://www.kleinanzeigen.de/s-bestandsliste.html?userId=130357255", "Link")</f>
        <v/>
      </c>
      <c r="Q137" s="7" t="n">
        <v>45565.73989583334</v>
      </c>
      <c r="R137" s="3" t="inlineStr">
        <is>
          <t>436.03</t>
        </is>
      </c>
      <c r="S137" t="inlineStr">
        <is>
          <t>Köln</t>
        </is>
      </c>
    </row>
    <row r="138">
      <c r="A138" s="2" t="n">
        <v>4</v>
      </c>
      <c r="B138" t="inlineStr">
        <is>
          <t>Goya Banzai</t>
        </is>
      </c>
      <c r="C138" s="3" t="inlineStr"/>
      <c r="D138" s="3" t="inlineStr"/>
      <c r="E138" t="inlineStr"/>
      <c r="F138" t="inlineStr"/>
      <c r="G138" t="inlineStr">
        <is>
          <t>used</t>
        </is>
      </c>
      <c r="H138" s="4" t="n">
        <v>390</v>
      </c>
      <c r="I138" t="inlineStr"/>
      <c r="J138" t="inlineStr">
        <is>
          <t>47551 Nordrhein-Westfalen - Bedburg-Hau</t>
        </is>
      </c>
      <c r="K138" s="5" t="n">
        <v>45565</v>
      </c>
      <c r="L138" t="inlineStr"/>
      <c r="M138" s="6">
        <f>HYPERLINK("https://www.kleinanzeigen.de/s-anzeige/goya-banzai-4-0/2878155322-230-1123", "Link")</f>
        <v/>
      </c>
      <c r="N138" s="6">
        <f>HYPERLINK("C:\Projects\Kleinanzeigen-Scraper\offer_images\2878155322", "Link")</f>
        <v/>
      </c>
      <c r="O138" t="inlineStr">
        <is>
          <t>Peter Garzke</t>
        </is>
      </c>
      <c r="P138" s="6">
        <f>HYPERLINK("https://www.kleinanzeigen.de/s-bestandsliste.html?userId=8499569", "Link")</f>
        <v/>
      </c>
      <c r="Q138" s="7" t="n">
        <v>45565.73796296296</v>
      </c>
      <c r="R138" s="3" t="inlineStr">
        <is>
          <t>105.65</t>
        </is>
      </c>
      <c r="S138" t="inlineStr">
        <is>
          <t>Köln</t>
        </is>
      </c>
    </row>
    <row r="139">
      <c r="A139" s="2" t="n">
        <v>4.8</v>
      </c>
      <c r="B139" t="inlineStr">
        <is>
          <t>f2 Rodeo</t>
        </is>
      </c>
      <c r="C139" s="3" t="inlineStr"/>
      <c r="D139" s="3" t="inlineStr"/>
      <c r="E139" t="inlineStr"/>
      <c r="F139" t="inlineStr"/>
      <c r="G139" t="inlineStr"/>
      <c r="H139" s="4" t="n">
        <v>120</v>
      </c>
      <c r="I139" t="inlineStr"/>
      <c r="J139" t="inlineStr">
        <is>
          <t>81541 München</t>
        </is>
      </c>
      <c r="K139" s="5" t="n">
        <v>45564</v>
      </c>
      <c r="L139" t="inlineStr"/>
      <c r="M139" s="6">
        <f>HYPERLINK("https://www.dailydose.de/kleinanzeigen/detail.htm?ai=423355&amp;cf=kk&amp;pg=3&amp;ci=5", "Link")</f>
        <v/>
      </c>
      <c r="N139" s="6">
        <f>HYPERLINK("C:\Projects\Kleinanzeigen-Scraper\offer_images\423355", "Link")</f>
        <v/>
      </c>
      <c r="O139" t="inlineStr">
        <is>
          <t>jonas_171</t>
        </is>
      </c>
      <c r="P139" s="6">
        <f>HYPERLINK("https://www.dailydose.de/kleinanzeigen/user/12457", "Link")</f>
        <v/>
      </c>
      <c r="Q139" s="7" t="n">
        <v>45564.87575231482</v>
      </c>
      <c r="R139" s="3" t="inlineStr">
        <is>
          <t>1.89</t>
        </is>
      </c>
      <c r="S139" t="inlineStr">
        <is>
          <t>München</t>
        </is>
      </c>
    </row>
    <row r="140">
      <c r="A140" s="2" t="n">
        <v>4.4</v>
      </c>
      <c r="B140" t="inlineStr">
        <is>
          <t>Simmer Style ACE</t>
        </is>
      </c>
      <c r="C140" s="3" t="inlineStr"/>
      <c r="D140" s="3" t="inlineStr"/>
      <c r="E140" t="inlineStr"/>
      <c r="F140" t="inlineStr">
        <is>
          <t>2019</t>
        </is>
      </c>
      <c r="G140" t="inlineStr">
        <is>
          <t>damaged</t>
        </is>
      </c>
      <c r="H140" s="4" t="n">
        <v>1</v>
      </c>
      <c r="I140" t="inlineStr"/>
      <c r="J140" t="inlineStr">
        <is>
          <t>81541 München</t>
        </is>
      </c>
      <c r="K140" s="5" t="n">
        <v>45564</v>
      </c>
      <c r="L140" t="inlineStr"/>
      <c r="M140" s="6">
        <f>HYPERLINK("https://www.dailydose.de/kleinanzeigen/detail.htm?ai=423343&amp;cf=kk&amp;pg=3&amp;ci=5", "Link")</f>
        <v/>
      </c>
      <c r="N140" s="6">
        <f>HYPERLINK("C:\Projects\Kleinanzeigen-Scraper\offer_images\423343", "Link")</f>
        <v/>
      </c>
      <c r="O140" t="inlineStr">
        <is>
          <t>jonas_171</t>
        </is>
      </c>
      <c r="P140" s="6">
        <f>HYPERLINK("https://www.dailydose.de/kleinanzeigen/user/12457", "Link")</f>
        <v/>
      </c>
      <c r="Q140" s="7" t="n">
        <v>45564.87540509259</v>
      </c>
      <c r="R140" s="3" t="inlineStr">
        <is>
          <t>1.89</t>
        </is>
      </c>
      <c r="S140" t="inlineStr">
        <is>
          <t>München</t>
        </is>
      </c>
    </row>
    <row r="141">
      <c r="A141" s="2" t="n">
        <v>6.2</v>
      </c>
      <c r="B141" t="inlineStr">
        <is>
          <t>Gun Sail Rapid</t>
        </is>
      </c>
      <c r="C141" s="3" t="n">
        <v>4.5</v>
      </c>
      <c r="D141" s="3" t="n">
        <v>1.6</v>
      </c>
      <c r="E141" t="inlineStr"/>
      <c r="F141" t="inlineStr"/>
      <c r="G141" t="inlineStr"/>
      <c r="H141" s="4" t="n">
        <v>99</v>
      </c>
      <c r="I141" t="inlineStr"/>
      <c r="J141" t="inlineStr">
        <is>
          <t>Versand 45772</t>
        </is>
      </c>
      <c r="K141" s="5" t="n">
        <v>45564</v>
      </c>
      <c r="L141" t="inlineStr"/>
      <c r="M141" s="6">
        <f>HYPERLINK("https://www.dailydose.de/kleinanzeigen/detail.htm?ai=423380&amp;cf=kk&amp;pg=3&amp;ci=5", "Link")</f>
        <v/>
      </c>
      <c r="N141" s="6">
        <f>HYPERLINK("C:\Projects\Kleinanzeigen-Scraper\offer_images\423380", "Link")</f>
        <v/>
      </c>
      <c r="O141" t="inlineStr">
        <is>
          <t>margarethe_22</t>
        </is>
      </c>
      <c r="P141" s="6">
        <f>HYPERLINK("https://www.dailydose.de/kleinanzeigen/user/15510", "Link")</f>
        <v/>
      </c>
      <c r="Q141" s="7" t="n">
        <v>45564.87498842592</v>
      </c>
      <c r="R141" s="3" t="inlineStr">
        <is>
          <t>84.29</t>
        </is>
      </c>
      <c r="S141" t="inlineStr">
        <is>
          <t>Köln</t>
        </is>
      </c>
    </row>
    <row r="142">
      <c r="A142" s="2" t="n">
        <v>7</v>
      </c>
      <c r="B142" t="inlineStr">
        <is>
          <t>Loftsails Switchblade</t>
        </is>
      </c>
      <c r="C142" s="3" t="n">
        <v>468</v>
      </c>
      <c r="D142" s="3" t="inlineStr">
        <is>
          <t>204-202</t>
        </is>
      </c>
      <c r="E142" t="inlineStr"/>
      <c r="F142" t="inlineStr">
        <is>
          <t>2022</t>
        </is>
      </c>
      <c r="G142" t="inlineStr">
        <is>
          <t>used</t>
        </is>
      </c>
      <c r="H142" s="4" t="inlineStr">
        <is>
          <t>500 EUR</t>
        </is>
      </c>
      <c r="I142" t="inlineStr"/>
      <c r="J142" t="inlineStr">
        <is>
          <t>42781 Haan</t>
        </is>
      </c>
      <c r="K142" s="5" t="n">
        <v>45564</v>
      </c>
      <c r="L142" t="inlineStr"/>
      <c r="M142" s="6">
        <f>HYPERLINK("https://www.dailydose.de/kleinanzeigen/detail.htm?ai=423371&amp;cf=kk&amp;pg=3&amp;ci=5", "Link")</f>
        <v/>
      </c>
      <c r="N142" s="6">
        <f>HYPERLINK("C:\Projects\Kleinanzeigen-Scraper\offer_images\423371", "Link")</f>
        <v/>
      </c>
      <c r="O142" t="inlineStr">
        <is>
          <t>mastera</t>
        </is>
      </c>
      <c r="P142" s="6">
        <f>HYPERLINK("https://www.dailydose.de/kleinanzeigen/user/3850", "Link")</f>
        <v/>
      </c>
      <c r="Q142" s="7" t="n">
        <v>45564.8749537037</v>
      </c>
      <c r="R142" s="3" t="inlineStr">
        <is>
          <t>29.91</t>
        </is>
      </c>
      <c r="S142" t="inlineStr">
        <is>
          <t>Köln</t>
        </is>
      </c>
    </row>
    <row r="143">
      <c r="A143" s="2" t="n">
        <v>5.2</v>
      </c>
      <c r="B143" t="inlineStr">
        <is>
          <t>f2 Rodeo</t>
        </is>
      </c>
      <c r="C143" s="3" t="inlineStr"/>
      <c r="D143" s="3" t="inlineStr"/>
      <c r="E143" t="inlineStr"/>
      <c r="F143" t="inlineStr"/>
      <c r="G143" t="inlineStr">
        <is>
          <t>used</t>
        </is>
      </c>
      <c r="H143" s="4" t="n">
        <v>150</v>
      </c>
      <c r="I143" t="inlineStr"/>
      <c r="J143" t="inlineStr">
        <is>
          <t>81541 München</t>
        </is>
      </c>
      <c r="K143" s="5" t="n">
        <v>45564</v>
      </c>
      <c r="L143" t="inlineStr"/>
      <c r="M143" s="6">
        <f>HYPERLINK("https://www.dailydose.de/kleinanzeigen/detail.htm?ai=423356&amp;cf=kk&amp;pg=3&amp;ci=5", "Link")</f>
        <v/>
      </c>
      <c r="N143" s="6">
        <f>HYPERLINK("C:\Projects\Kleinanzeigen-Scraper\offer_images\423356", "Link")</f>
        <v/>
      </c>
      <c r="O143" t="inlineStr">
        <is>
          <t>jonas_171</t>
        </is>
      </c>
      <c r="P143" s="6">
        <f>HYPERLINK("https://www.dailydose.de/kleinanzeigen/user/12457", "Link")</f>
        <v/>
      </c>
      <c r="Q143" s="7" t="n">
        <v>45564.8747337963</v>
      </c>
      <c r="R143" s="3" t="inlineStr">
        <is>
          <t>1.89</t>
        </is>
      </c>
      <c r="S143" t="inlineStr">
        <is>
          <t>München</t>
        </is>
      </c>
    </row>
    <row r="144">
      <c r="A144" s="2" t="n">
        <v>6.3</v>
      </c>
      <c r="B144" t="inlineStr">
        <is>
          <t>Loftsails Switchblade</t>
        </is>
      </c>
      <c r="C144" s="3" t="n">
        <v>438</v>
      </c>
      <c r="D144" s="3" t="inlineStr">
        <is>
          <t>196-194</t>
        </is>
      </c>
      <c r="E144" t="inlineStr"/>
      <c r="F144" t="inlineStr">
        <is>
          <t>2022</t>
        </is>
      </c>
      <c r="G144" t="inlineStr">
        <is>
          <t>used</t>
        </is>
      </c>
      <c r="H144" s="4" t="inlineStr">
        <is>
          <t>490 EUR</t>
        </is>
      </c>
      <c r="I144" t="inlineStr"/>
      <c r="J144" t="inlineStr">
        <is>
          <t>42781 Haan</t>
        </is>
      </c>
      <c r="K144" s="5" t="n">
        <v>45564</v>
      </c>
      <c r="L144" t="inlineStr"/>
      <c r="M144" s="6">
        <f>HYPERLINK("https://www.dailydose.de/kleinanzeigen/detail.htm?ai=423370&amp;cf=kk&amp;pg=3&amp;ci=5", "Link")</f>
        <v/>
      </c>
      <c r="N144" s="6">
        <f>HYPERLINK("C:\Projects\Kleinanzeigen-Scraper\offer_images\423370", "Link")</f>
        <v/>
      </c>
      <c r="O144" t="inlineStr">
        <is>
          <t>mastera</t>
        </is>
      </c>
      <c r="P144" s="6">
        <f>HYPERLINK("https://www.dailydose.de/kleinanzeigen/user/3850", "Link")</f>
        <v/>
      </c>
      <c r="Q144" s="7" t="n">
        <v>45564.87457175926</v>
      </c>
      <c r="R144" s="3" t="inlineStr">
        <is>
          <t>29.91</t>
        </is>
      </c>
      <c r="S144" t="inlineStr">
        <is>
          <t>Köln</t>
        </is>
      </c>
    </row>
    <row r="145">
      <c r="A145" s="2" t="n">
        <v>4</v>
      </c>
      <c r="B145" t="inlineStr">
        <is>
          <t>Simmer Style Ace</t>
        </is>
      </c>
      <c r="C145" s="3" t="inlineStr"/>
      <c r="D145" s="3" t="inlineStr"/>
      <c r="E145" t="inlineStr"/>
      <c r="F145" t="inlineStr">
        <is>
          <t>2019</t>
        </is>
      </c>
      <c r="G145" t="inlineStr">
        <is>
          <t>defective</t>
        </is>
      </c>
      <c r="H145" s="4" t="n">
        <v>1</v>
      </c>
      <c r="I145" t="inlineStr"/>
      <c r="J145" t="inlineStr">
        <is>
          <t>81541 München</t>
        </is>
      </c>
      <c r="K145" s="5" t="n">
        <v>45564</v>
      </c>
      <c r="L145" t="inlineStr"/>
      <c r="M145" s="6">
        <f>HYPERLINK("https://www.dailydose.de/kleinanzeigen/detail.htm?ai=423320&amp;cf=kk&amp;pg=3&amp;ci=5", "Link")</f>
        <v/>
      </c>
      <c r="N145" s="6">
        <f>HYPERLINK("C:\Projects\Kleinanzeigen-Scraper\offer_images\423320", "Link")</f>
        <v/>
      </c>
      <c r="O145" t="inlineStr">
        <is>
          <t>jonas_171</t>
        </is>
      </c>
      <c r="P145" s="6">
        <f>HYPERLINK("https://www.dailydose.de/kleinanzeigen/user/12457", "Link")</f>
        <v/>
      </c>
      <c r="Q145" s="7" t="n">
        <v>45564.874375</v>
      </c>
      <c r="R145" s="3" t="inlineStr">
        <is>
          <t>1.89</t>
        </is>
      </c>
      <c r="S145" t="inlineStr">
        <is>
          <t>München</t>
        </is>
      </c>
    </row>
    <row r="146">
      <c r="A146" s="2" t="n">
        <v>9</v>
      </c>
      <c r="B146" t="inlineStr">
        <is>
          <t>Gaastra Cosmic</t>
        </is>
      </c>
      <c r="C146" s="3" t="inlineStr"/>
      <c r="D146" s="3" t="inlineStr"/>
      <c r="E146" t="inlineStr"/>
      <c r="F146" t="inlineStr">
        <is>
          <t>2</t>
        </is>
      </c>
      <c r="G146" t="inlineStr">
        <is>
          <t>used</t>
        </is>
      </c>
      <c r="H146" s="4" t="n">
        <v>390</v>
      </c>
      <c r="I146" t="inlineStr">
        <is>
          <t>VB</t>
        </is>
      </c>
      <c r="J146" t="inlineStr">
        <is>
          <t>83236 Chiemsee</t>
        </is>
      </c>
      <c r="K146" s="5" t="n">
        <v>45564</v>
      </c>
      <c r="L146" t="inlineStr"/>
      <c r="M146" s="6">
        <f>HYPERLINK("https://www.dailydose.de/kleinanzeigen/detail.htm?ai=423375&amp;cf=kk&amp;pg=3&amp;ci=5", "Link")</f>
        <v/>
      </c>
      <c r="N146" s="6">
        <f>HYPERLINK("C:\Projects\Kleinanzeigen-Scraper\offer_images\423375", "Link")</f>
        <v/>
      </c>
      <c r="O146" t="inlineStr">
        <is>
          <t>Markus Buchner</t>
        </is>
      </c>
      <c r="P146" s="6">
        <f>HYPERLINK("https://www.dailydose.de/kleinanzeigen/user/19350", "Link")</f>
        <v/>
      </c>
      <c r="Q146" s="7" t="n">
        <v>45564.87428240741</v>
      </c>
      <c r="R146" s="3" t="inlineStr">
        <is>
          <t>76.24</t>
        </is>
      </c>
      <c r="S146" t="inlineStr">
        <is>
          <t>München</t>
        </is>
      </c>
    </row>
    <row r="147">
      <c r="A147" s="2" t="n">
        <v>4.8</v>
      </c>
      <c r="B147" t="inlineStr">
        <is>
          <t>Simmer Style Ace</t>
        </is>
      </c>
      <c r="C147" s="3" t="inlineStr"/>
      <c r="D147" s="3" t="inlineStr"/>
      <c r="E147" t="inlineStr"/>
      <c r="F147" t="inlineStr"/>
      <c r="G147" t="inlineStr">
        <is>
          <t>repaired</t>
        </is>
      </c>
      <c r="H147" s="4" t="n">
        <v>1</v>
      </c>
      <c r="I147" t="inlineStr"/>
      <c r="J147" t="inlineStr">
        <is>
          <t>81541 München</t>
        </is>
      </c>
      <c r="K147" s="5" t="n">
        <v>45564</v>
      </c>
      <c r="L147" t="inlineStr"/>
      <c r="M147" s="6">
        <f>HYPERLINK("https://www.dailydose.de/kleinanzeigen/detail.htm?ai=423344&amp;cf=kk&amp;pg=3&amp;ci=5", "Link")</f>
        <v/>
      </c>
      <c r="N147" s="6">
        <f>HYPERLINK("C:\Projects\Kleinanzeigen-Scraper\offer_images\423344", "Link")</f>
        <v/>
      </c>
      <c r="O147" t="inlineStr">
        <is>
          <t>jonas_171</t>
        </is>
      </c>
      <c r="P147" s="6">
        <f>HYPERLINK("https://www.dailydose.de/kleinanzeigen/user/12457", "Link")</f>
        <v/>
      </c>
      <c r="Q147" s="7" t="n">
        <v>45564.87380787037</v>
      </c>
      <c r="R147" s="3" t="inlineStr">
        <is>
          <t>1.89</t>
        </is>
      </c>
      <c r="S147" t="inlineStr">
        <is>
          <t>München</t>
        </is>
      </c>
    </row>
    <row r="148">
      <c r="A148" s="2" t="n">
        <v>7.9</v>
      </c>
      <c r="B148" t="inlineStr">
        <is>
          <t>Gun Sails Rapid</t>
        </is>
      </c>
      <c r="C148" s="3" t="inlineStr"/>
      <c r="D148" s="3" t="inlineStr"/>
      <c r="E148" t="inlineStr"/>
      <c r="F148" t="inlineStr">
        <is>
          <t>2021</t>
        </is>
      </c>
      <c r="G148" t="inlineStr">
        <is>
          <t>used</t>
        </is>
      </c>
      <c r="H148" s="4" t="n">
        <v>260</v>
      </c>
      <c r="I148" t="inlineStr">
        <is>
          <t>VB</t>
        </is>
      </c>
      <c r="J148" t="inlineStr">
        <is>
          <t>58640 Iserlohn</t>
        </is>
      </c>
      <c r="K148" s="5" t="n">
        <v>45563</v>
      </c>
      <c r="L148" t="inlineStr"/>
      <c r="M148" s="6">
        <f>HYPERLINK("https://www.dailydose.de/kleinanzeigen/detail.htm?ai=423313&amp;cf=kk&amp;pg=3&amp;ci=5", "Link")</f>
        <v/>
      </c>
      <c r="N148" s="6">
        <f>HYPERLINK("C:\Projects\Kleinanzeigen-Scraper\offer_images\423313", "Link")</f>
        <v/>
      </c>
      <c r="O148" t="inlineStr">
        <is>
          <t>dschubi</t>
        </is>
      </c>
      <c r="P148" s="6">
        <f>HYPERLINK("https://www.dailydose.de/kleinanzeigen/user/7335", "Link")</f>
        <v/>
      </c>
      <c r="Q148" s="7" t="n">
        <v>45564.87355324074</v>
      </c>
      <c r="R148" s="3" t="inlineStr">
        <is>
          <t>73.45</t>
        </is>
      </c>
      <c r="S148" t="inlineStr">
        <is>
          <t>Köln</t>
        </is>
      </c>
    </row>
    <row r="149">
      <c r="A149" s="2" t="n">
        <v>7.8</v>
      </c>
      <c r="B149" t="inlineStr">
        <is>
          <t>Loftsails Switchblade</t>
        </is>
      </c>
      <c r="C149" s="3" t="n">
        <v>490</v>
      </c>
      <c r="D149" s="3" t="inlineStr">
        <is>
          <t>218-216</t>
        </is>
      </c>
      <c r="E149" t="inlineStr"/>
      <c r="F149" t="inlineStr">
        <is>
          <t>2022</t>
        </is>
      </c>
      <c r="G149" t="inlineStr">
        <is>
          <t>used</t>
        </is>
      </c>
      <c r="H149" s="4" t="inlineStr">
        <is>
          <t>510 EUR</t>
        </is>
      </c>
      <c r="I149" t="inlineStr"/>
      <c r="J149" t="inlineStr">
        <is>
          <t>42781 Haan</t>
        </is>
      </c>
      <c r="K149" s="5" t="n">
        <v>45564</v>
      </c>
      <c r="L149" t="inlineStr"/>
      <c r="M149" s="6">
        <f>HYPERLINK("https://www.dailydose.de/kleinanzeigen/detail.htm?ai=423372&amp;cf=kk&amp;pg=3&amp;ci=5", "Link")</f>
        <v/>
      </c>
      <c r="N149" s="6">
        <f>HYPERLINK("C:\Projects\Kleinanzeigen-Scraper\offer_images\423372", "Link")</f>
        <v/>
      </c>
      <c r="O149" t="inlineStr">
        <is>
          <t>mastera</t>
        </is>
      </c>
      <c r="P149" s="6">
        <f>HYPERLINK("https://www.dailydose.de/kleinanzeigen/user/3850", "Link")</f>
        <v/>
      </c>
      <c r="Q149" s="7" t="n">
        <v>45564.87322916667</v>
      </c>
      <c r="R149" s="3" t="inlineStr">
        <is>
          <t>29.91</t>
        </is>
      </c>
      <c r="S149" t="inlineStr">
        <is>
          <t>Köln</t>
        </is>
      </c>
    </row>
    <row r="150">
      <c r="A150" s="2" t="n">
        <v>5.2</v>
      </c>
      <c r="B150" t="inlineStr">
        <is>
          <t>Simmer Style Ace</t>
        </is>
      </c>
      <c r="C150" s="3" t="inlineStr"/>
      <c r="D150" s="3" t="inlineStr"/>
      <c r="E150" t="inlineStr"/>
      <c r="F150" t="inlineStr"/>
      <c r="G150" t="inlineStr">
        <is>
          <t>used</t>
        </is>
      </c>
      <c r="H150" s="4" t="n">
        <v>150</v>
      </c>
      <c r="I150" t="inlineStr"/>
      <c r="J150" t="inlineStr">
        <is>
          <t>81541 München</t>
        </is>
      </c>
      <c r="K150" s="5" t="n">
        <v>45564</v>
      </c>
      <c r="L150" t="inlineStr"/>
      <c r="M150" s="6">
        <f>HYPERLINK("https://www.dailydose.de/kleinanzeigen/detail.htm?ai=423348&amp;cf=kk&amp;pg=3&amp;ci=5", "Link")</f>
        <v/>
      </c>
      <c r="N150" s="6">
        <f>HYPERLINK("C:\Projects\Kleinanzeigen-Scraper\offer_images\423348", "Link")</f>
        <v/>
      </c>
      <c r="O150" t="inlineStr">
        <is>
          <t>jonas_171</t>
        </is>
      </c>
      <c r="P150" s="6">
        <f>HYPERLINK("https://www.dailydose.de/kleinanzeigen/user/12457", "Link")</f>
        <v/>
      </c>
      <c r="Q150" s="7" t="n">
        <v>45564.8731712963</v>
      </c>
      <c r="R150" s="3" t="inlineStr">
        <is>
          <t>1.89</t>
        </is>
      </c>
      <c r="S150" t="inlineStr">
        <is>
          <t>München</t>
        </is>
      </c>
    </row>
    <row r="151">
      <c r="A151" s="2" t="n">
        <v>4.7</v>
      </c>
      <c r="B151" t="inlineStr">
        <is>
          <t>Goya Banzai</t>
        </is>
      </c>
      <c r="C151" s="3" t="inlineStr"/>
      <c r="D151" s="3" t="inlineStr"/>
      <c r="E151" t="inlineStr"/>
      <c r="F151" t="inlineStr"/>
      <c r="G151" t="inlineStr"/>
      <c r="H151" s="4" t="n">
        <v>190</v>
      </c>
      <c r="I151" t="inlineStr"/>
      <c r="J151" t="inlineStr">
        <is>
          <t>18233 Moitin</t>
        </is>
      </c>
      <c r="K151" s="5" t="n">
        <v>45564</v>
      </c>
      <c r="L151" t="inlineStr"/>
      <c r="M151" s="6">
        <f>HYPERLINK("https://www.dailydose.de/kleinanzeigen/detail.htm?ai=423367&amp;cf=kk&amp;pg=3&amp;ci=5", "Link")</f>
        <v/>
      </c>
      <c r="N151" s="6">
        <f>HYPERLINK("C:\Projects\Kleinanzeigen-Scraper\offer_images\423367", "Link")</f>
        <v/>
      </c>
      <c r="O151" t="inlineStr">
        <is>
          <t>Andreas Wier</t>
        </is>
      </c>
      <c r="P151" s="6">
        <f>HYPERLINK("https://www.dailydose.de/kleinanzeigen/user/25026", "Link")</f>
        <v/>
      </c>
      <c r="Q151" s="7" t="n">
        <v>45564.87266203704</v>
      </c>
      <c r="R151" s="3" t="inlineStr">
        <is>
          <t>469.32</t>
        </is>
      </c>
      <c r="S151" t="inlineStr">
        <is>
          <t>Köln</t>
        </is>
      </c>
    </row>
    <row r="152">
      <c r="A152" s="2" t="n">
        <v>4.4</v>
      </c>
      <c r="B152" t="inlineStr">
        <is>
          <t>f2 rodeo</t>
        </is>
      </c>
      <c r="C152" s="3" t="inlineStr"/>
      <c r="D152" s="3" t="inlineStr"/>
      <c r="E152" t="inlineStr"/>
      <c r="F152" t="inlineStr"/>
      <c r="G152" t="inlineStr"/>
      <c r="H152" s="4" t="n">
        <v>120</v>
      </c>
      <c r="I152" t="inlineStr"/>
      <c r="J152" t="inlineStr">
        <is>
          <t>81541 München</t>
        </is>
      </c>
      <c r="K152" s="5" t="n">
        <v>45564</v>
      </c>
      <c r="L152" t="inlineStr"/>
      <c r="M152" s="6">
        <f>HYPERLINK("https://www.dailydose.de/kleinanzeigen/detail.htm?ai=423354&amp;cf=kk&amp;pg=3&amp;ci=5", "Link")</f>
        <v/>
      </c>
      <c r="N152" s="6">
        <f>HYPERLINK("C:\Projects\Kleinanzeigen-Scraper\offer_images\423354", "Link")</f>
        <v/>
      </c>
      <c r="O152" t="inlineStr">
        <is>
          <t>jonas_171</t>
        </is>
      </c>
      <c r="P152" s="6">
        <f>HYPERLINK("https://www.dailydose.de/kleinanzeigen/user/12457", "Link")</f>
        <v/>
      </c>
      <c r="Q152" s="7" t="n">
        <v>45564.87252314815</v>
      </c>
      <c r="R152" s="3" t="inlineStr">
        <is>
          <t>1.89</t>
        </is>
      </c>
      <c r="S152" t="inlineStr">
        <is>
          <t>München</t>
        </is>
      </c>
    </row>
    <row r="153">
      <c r="A153" s="2" t="n">
        <v>4.7</v>
      </c>
      <c r="B153" t="inlineStr">
        <is>
          <t>North Ice Code Green</t>
        </is>
      </c>
      <c r="C153" s="3" t="inlineStr"/>
      <c r="D153" s="3" t="inlineStr"/>
      <c r="E153" t="inlineStr"/>
      <c r="F153" t="inlineStr"/>
      <c r="G153" t="inlineStr">
        <is>
          <t>used</t>
        </is>
      </c>
      <c r="H153" s="4" t="n">
        <v>40</v>
      </c>
      <c r="I153" t="inlineStr">
        <is>
          <t>VB</t>
        </is>
      </c>
      <c r="J153" t="inlineStr">
        <is>
          <t>30900 Wedemark</t>
        </is>
      </c>
      <c r="K153" s="5" t="n">
        <v>45564</v>
      </c>
      <c r="L153" t="inlineStr"/>
      <c r="M153" s="6">
        <f>HYPERLINK("https://www.dailydose.de/kleinanzeigen/detail.htm?ai=423357&amp;cf=kk&amp;pg=3&amp;ci=5", "Link")</f>
        <v/>
      </c>
      <c r="N153" s="6">
        <f>HYPERLINK("C:\Projects\Kleinanzeigen-Scraper\offer_images\423357", "Link")</f>
        <v/>
      </c>
      <c r="O153" t="inlineStr">
        <is>
          <t>MikeTai</t>
        </is>
      </c>
      <c r="P153" s="6">
        <f>HYPERLINK("https://www.dailydose.de/kleinanzeigen/user/1686", "Link")</f>
        <v/>
      </c>
      <c r="Q153" s="7" t="n">
        <v>45564.87246527777</v>
      </c>
      <c r="R153" s="3" t="inlineStr">
        <is>
          <t>260.77</t>
        </is>
      </c>
      <c r="S153" t="inlineStr">
        <is>
          <t>Köln</t>
        </is>
      </c>
    </row>
    <row r="154">
      <c r="A154" s="2" t="n">
        <v>12</v>
      </c>
      <c r="B154" t="inlineStr">
        <is>
          <t>Naish Torch</t>
        </is>
      </c>
      <c r="C154" s="3" t="inlineStr"/>
      <c r="D154" s="3" t="inlineStr"/>
      <c r="E154" t="inlineStr"/>
      <c r="F154" t="inlineStr">
        <is>
          <t>2019</t>
        </is>
      </c>
      <c r="G154" t="inlineStr">
        <is>
          <t>used</t>
        </is>
      </c>
      <c r="H154" s="4" t="n">
        <v>490</v>
      </c>
      <c r="I154" t="inlineStr">
        <is>
          <t>VB</t>
        </is>
      </c>
      <c r="J154" t="inlineStr">
        <is>
          <t>87452 Bayern - Altusried</t>
        </is>
      </c>
      <c r="K154" s="5" t="n">
        <v>45564</v>
      </c>
      <c r="L154" t="inlineStr"/>
      <c r="M154" s="6">
        <f>HYPERLINK("https://www.kleinanzeigen.de/s-anzeige/naish-torch-12-aus-2019-in-rot/2877952801-230-7621", "Link")</f>
        <v/>
      </c>
      <c r="N154" s="6">
        <f>HYPERLINK("C:\Projects\Kleinanzeigen-Scraper\offer_images\2877952801", "Link")</f>
        <v/>
      </c>
      <c r="O154" t="inlineStr">
        <is>
          <t>René</t>
        </is>
      </c>
      <c r="P154" s="6">
        <f>HYPERLINK("https://www.kleinanzeigen.de/s-bestandsliste.html?userId=34852100", "Link")</f>
        <v/>
      </c>
      <c r="Q154" s="7" t="n">
        <v>45564.87168981481</v>
      </c>
      <c r="R154" s="3" t="inlineStr">
        <is>
          <t>109.83</t>
        </is>
      </c>
      <c r="S154" t="inlineStr">
        <is>
          <t>München</t>
        </is>
      </c>
    </row>
    <row r="155">
      <c r="A155" s="2" t="n">
        <v>10</v>
      </c>
      <c r="B155" t="inlineStr">
        <is>
          <t>Naish Torch</t>
        </is>
      </c>
      <c r="C155" s="3" t="inlineStr"/>
      <c r="D155" s="3" t="inlineStr"/>
      <c r="E155" t="inlineStr"/>
      <c r="F155" t="inlineStr">
        <is>
          <t>2019</t>
        </is>
      </c>
      <c r="G155" t="inlineStr">
        <is>
          <t>new</t>
        </is>
      </c>
      <c r="H155" s="4" t="n">
        <v>590</v>
      </c>
      <c r="I155" t="inlineStr">
        <is>
          <t>VB</t>
        </is>
      </c>
      <c r="J155" t="inlineStr">
        <is>
          <t>87452 Bayern - Altusried</t>
        </is>
      </c>
      <c r="K155" s="5" t="n">
        <v>45564</v>
      </c>
      <c r="L155" t="inlineStr"/>
      <c r="M155" s="6">
        <f>HYPERLINK("https://www.kleinanzeigen.de/s-anzeige/naish-torch-8-aus-2019-in-rot-neu/2877957716-230-7621", "Link")</f>
        <v/>
      </c>
      <c r="N155" s="6">
        <f>HYPERLINK("C:\Projects\Kleinanzeigen-Scraper\offer_images\2877957716", "Link")</f>
        <v/>
      </c>
      <c r="O155" t="inlineStr">
        <is>
          <t>René</t>
        </is>
      </c>
      <c r="P155" s="6">
        <f>HYPERLINK("https://www.kleinanzeigen.de/s-bestandsliste.html?userId=34852100", "Link")</f>
        <v/>
      </c>
      <c r="Q155" s="7" t="n">
        <v>45564.87125</v>
      </c>
      <c r="R155" s="3" t="inlineStr">
        <is>
          <t>109.83</t>
        </is>
      </c>
      <c r="S155" t="inlineStr">
        <is>
          <t>München</t>
        </is>
      </c>
    </row>
    <row r="156">
      <c r="A156" s="2" t="n">
        <v>6</v>
      </c>
      <c r="B156" t="inlineStr">
        <is>
          <t>North Sails Spectro</t>
        </is>
      </c>
      <c r="C156" s="3" t="n">
        <v>4.77</v>
      </c>
      <c r="D156" s="3" t="n">
        <v>182</v>
      </c>
      <c r="E156" t="inlineStr"/>
      <c r="F156" t="inlineStr"/>
      <c r="G156" t="inlineStr">
        <is>
          <t>used</t>
        </is>
      </c>
      <c r="H156" s="4" t="n">
        <v>100</v>
      </c>
      <c r="I156" t="inlineStr">
        <is>
          <t>VB</t>
        </is>
      </c>
      <c r="J156" t="inlineStr">
        <is>
          <t>17489 Mecklenburg-Vorpommern - Greifswald</t>
        </is>
      </c>
      <c r="K156" s="5" t="n">
        <v>45564</v>
      </c>
      <c r="L156" t="inlineStr"/>
      <c r="M156" s="6">
        <f>HYPERLINK("https://www.kleinanzeigen.de/s-anzeige/windsurfsegel-north-sails-spectro-6-m-/2877344857-230-243", "Link")</f>
        <v/>
      </c>
      <c r="N156" s="6">
        <f>HYPERLINK("C:\Projects\Kleinanzeigen-Scraper\offer_images\2877344857", "Link")</f>
        <v/>
      </c>
      <c r="O156" t="inlineStr">
        <is>
          <t>Niklas Große</t>
        </is>
      </c>
      <c r="P156" s="6">
        <f>HYPERLINK("https://www.kleinanzeigen.de/s-bestandsliste.html?userId=55088309", "Link")</f>
        <v/>
      </c>
      <c r="Q156" s="7" t="n">
        <v>45564.87121527778</v>
      </c>
      <c r="R156" s="3" t="inlineStr">
        <is>
          <t>557.31</t>
        </is>
      </c>
      <c r="S156" t="inlineStr">
        <is>
          <t>Köln</t>
        </is>
      </c>
    </row>
    <row r="157">
      <c r="A157" s="2" t="n">
        <v>5.5</v>
      </c>
      <c r="B157" t="inlineStr"/>
      <c r="C157" s="3" t="inlineStr"/>
      <c r="D157" s="3" t="inlineStr"/>
      <c r="E157" t="inlineStr">
        <is>
          <t>allround</t>
        </is>
      </c>
      <c r="F157" t="inlineStr"/>
      <c r="G157" t="inlineStr">
        <is>
          <t>used</t>
        </is>
      </c>
      <c r="H157" s="4" t="inlineStr"/>
      <c r="I157" t="inlineStr">
        <is>
          <t>VB</t>
        </is>
      </c>
      <c r="J157" t="inlineStr">
        <is>
          <t>83313 Bayern - Siegsdorf</t>
        </is>
      </c>
      <c r="K157" s="5" t="n">
        <v>45563</v>
      </c>
      <c r="L157" t="inlineStr"/>
      <c r="M157" s="6">
        <f>HYPERLINK("https://www.kleinanzeigen.de/s-anzeige/windsurf-segel-5-5-allround/2876629051-230-5721", "Link")</f>
        <v/>
      </c>
      <c r="N157" s="6">
        <f>HYPERLINK("C:\Projects\Kleinanzeigen-Scraper\offer_images\2876629051", "Link")</f>
        <v/>
      </c>
      <c r="O157" t="inlineStr">
        <is>
          <t>Eva Traumann</t>
        </is>
      </c>
      <c r="P157" s="6">
        <f>HYPERLINK("https://www.kleinanzeigen.de/s-bestandsliste.html?userId=12998189", "Link")</f>
        <v/>
      </c>
      <c r="Q157" s="7" t="n">
        <v>45564.87094907407</v>
      </c>
      <c r="R157" s="3" t="inlineStr">
        <is>
          <t>89.13</t>
        </is>
      </c>
      <c r="S157" t="inlineStr">
        <is>
          <t>München</t>
        </is>
      </c>
    </row>
    <row r="158">
      <c r="A158" s="2" t="n">
        <v>7.5</v>
      </c>
      <c r="B158" t="inlineStr">
        <is>
          <t>Vandal Addict</t>
        </is>
      </c>
      <c r="C158" s="3" t="n">
        <v>4.28</v>
      </c>
      <c r="D158" s="3" t="n">
        <v>2.17</v>
      </c>
      <c r="E158" t="inlineStr">
        <is>
          <t>Freeride</t>
        </is>
      </c>
      <c r="F158" t="inlineStr">
        <is>
          <t>2013</t>
        </is>
      </c>
      <c r="G158" t="inlineStr">
        <is>
          <t>used</t>
        </is>
      </c>
      <c r="H158" s="4" t="n">
        <v>65</v>
      </c>
      <c r="I158" t="inlineStr">
        <is>
          <t>VB</t>
        </is>
      </c>
      <c r="J158" t="inlineStr">
        <is>
          <t>84034 Bayern - Landshut</t>
        </is>
      </c>
      <c r="K158" s="5" t="n">
        <v>45564</v>
      </c>
      <c r="L158" t="inlineStr"/>
      <c r="M158" s="6">
        <f>HYPERLINK("https://www.kleinanzeigen.de/s-anzeige/windsurfsegel-vandal-addict-7-5/2877273841-230-6396", "Link")</f>
        <v/>
      </c>
      <c r="N158" s="6">
        <f>HYPERLINK("C:\Projects\Kleinanzeigen-Scraper\offer_images\2877273841", "Link")</f>
        <v/>
      </c>
      <c r="O158" t="inlineStr">
        <is>
          <t>Marco</t>
        </is>
      </c>
      <c r="P158" s="6">
        <f>HYPERLINK("https://www.kleinanzeigen.de/s-bestandsliste.html?userId=46389110", "Link")</f>
        <v/>
      </c>
      <c r="Q158" s="7" t="n">
        <v>45564.87087962963</v>
      </c>
      <c r="R158" s="3" t="inlineStr">
        <is>
          <t>58.35</t>
        </is>
      </c>
      <c r="S158" t="inlineStr">
        <is>
          <t>München</t>
        </is>
      </c>
    </row>
    <row r="159">
      <c r="A159" s="2" t="n">
        <v>4.7</v>
      </c>
      <c r="B159" t="inlineStr">
        <is>
          <t>North Sails Ice</t>
        </is>
      </c>
      <c r="C159" s="3" t="inlineStr"/>
      <c r="D159" s="3" t="inlineStr"/>
      <c r="E159" t="inlineStr"/>
      <c r="F159" t="inlineStr"/>
      <c r="G159" t="inlineStr">
        <is>
          <t>used</t>
        </is>
      </c>
      <c r="H159" s="4" t="n">
        <v>160</v>
      </c>
      <c r="I159" t="inlineStr">
        <is>
          <t>VB</t>
        </is>
      </c>
      <c r="J159" t="inlineStr">
        <is>
          <t>21035 Bergedorf - Hamburg Allermöhe</t>
        </is>
      </c>
      <c r="K159" s="5" t="n">
        <v>45563</v>
      </c>
      <c r="L159" t="inlineStr"/>
      <c r="M159" s="6">
        <f>HYPERLINK("https://www.kleinanzeigen.de/s-anzeige/north-sails-ice-4-7/2876750604-230-9517", "Link")</f>
        <v/>
      </c>
      <c r="N159" s="6">
        <f>HYPERLINK("C:\Projects\Kleinanzeigen-Scraper\offer_images\2876750604", "Link")</f>
        <v/>
      </c>
      <c r="O159" t="inlineStr">
        <is>
          <t>Erik</t>
        </is>
      </c>
      <c r="P159" s="6">
        <f>HYPERLINK("https://www.kleinanzeigen.de/s-bestandsliste.html?userId=45943178", "Link")</f>
        <v/>
      </c>
      <c r="Q159" s="7" t="n">
        <v>45564.87074074074</v>
      </c>
      <c r="R159" s="3" t="inlineStr">
        <is>
          <t>357.47</t>
        </is>
      </c>
      <c r="S159" t="inlineStr">
        <is>
          <t>Köln</t>
        </is>
      </c>
    </row>
    <row r="160">
      <c r="A160" s="2" t="n">
        <v>5.1</v>
      </c>
      <c r="B160" t="inlineStr">
        <is>
          <t>North Nails</t>
        </is>
      </c>
      <c r="C160" s="3" t="inlineStr"/>
      <c r="D160" s="3" t="inlineStr"/>
      <c r="E160" t="inlineStr"/>
      <c r="F160" t="inlineStr"/>
      <c r="G160" t="inlineStr"/>
      <c r="H160" s="4" t="n">
        <v>75</v>
      </c>
      <c r="I160" t="inlineStr">
        <is>
          <t>VB</t>
        </is>
      </c>
      <c r="J160" t="inlineStr">
        <is>
          <t>86911 Bayern - Dießen</t>
        </is>
      </c>
      <c r="K160" s="5" t="n">
        <v>45564</v>
      </c>
      <c r="L160" t="inlineStr"/>
      <c r="M160" s="6">
        <f>HYPERLINK("https://www.kleinanzeigen.de/s-anzeige/segel-windsurfen/2877246282-230-5566", "Link")</f>
        <v/>
      </c>
      <c r="N160" s="6">
        <f>HYPERLINK("C:\Projects\Kleinanzeigen-Scraper\offer_images\2877246282", "Link")</f>
        <v/>
      </c>
      <c r="O160" t="inlineStr">
        <is>
          <t>Alexander Seibold</t>
        </is>
      </c>
      <c r="P160" s="6">
        <f>HYPERLINK("https://www.kleinanzeigen.de/s-bestandsliste.html?userId=24071720", "Link")</f>
        <v/>
      </c>
      <c r="Q160" s="7" t="n">
        <v>45564.87028935185</v>
      </c>
      <c r="R160" s="3" t="inlineStr">
        <is>
          <t>41.04</t>
        </is>
      </c>
      <c r="S160" t="inlineStr">
        <is>
          <t>München</t>
        </is>
      </c>
    </row>
    <row r="161">
      <c r="A161" s="2" t="n">
        <v>9.300000000000001</v>
      </c>
      <c r="B161" t="inlineStr">
        <is>
          <t>Point 7 AC1</t>
        </is>
      </c>
      <c r="C161" s="3" t="inlineStr"/>
      <c r="D161" s="3" t="inlineStr"/>
      <c r="E161" t="inlineStr"/>
      <c r="F161" t="inlineStr"/>
      <c r="G161" t="inlineStr">
        <is>
          <t>used</t>
        </is>
      </c>
      <c r="H161" s="4" t="n">
        <v>250</v>
      </c>
      <c r="I161" t="inlineStr">
        <is>
          <t>VB</t>
        </is>
      </c>
      <c r="J161" t="inlineStr">
        <is>
          <t>68723 Baden-Württemberg - Oftersheim</t>
        </is>
      </c>
      <c r="K161" s="5" t="n">
        <v>45564</v>
      </c>
      <c r="L161" t="inlineStr"/>
      <c r="M161" s="6">
        <f>HYPERLINK("https://www.kleinanzeigen.de/s-anzeige/point-7-ac1-9-3qm/2877128784-230-16913", "Link")</f>
        <v/>
      </c>
      <c r="N161" s="6">
        <f>HYPERLINK("C:\Projects\Kleinanzeigen-Scraper\offer_images\2877128784", "Link")</f>
        <v/>
      </c>
      <c r="O161" t="inlineStr">
        <is>
          <t>Niclas Brunke</t>
        </is>
      </c>
      <c r="P161" s="6">
        <f>HYPERLINK("https://www.kleinanzeigen.de/s-bestandsliste.html?userId=67431873", "Link")</f>
        <v/>
      </c>
      <c r="Q161" s="7" t="n">
        <v>45564.87012731482</v>
      </c>
      <c r="R161" s="3" t="inlineStr">
        <is>
          <t>44.08</t>
        </is>
      </c>
      <c r="S161" t="inlineStr">
        <is>
          <t>Karlsruhe</t>
        </is>
      </c>
    </row>
    <row r="162">
      <c r="A162" s="2" t="n">
        <v>7.5</v>
      </c>
      <c r="B162" t="inlineStr">
        <is>
          <t>Severne Overdrive</t>
        </is>
      </c>
      <c r="C162" s="3" t="n">
        <v>460</v>
      </c>
      <c r="D162" s="3" t="n">
        <v>208</v>
      </c>
      <c r="E162" t="inlineStr"/>
      <c r="F162" t="inlineStr"/>
      <c r="G162" t="inlineStr">
        <is>
          <t>used</t>
        </is>
      </c>
      <c r="H162" s="4" t="n">
        <v>130</v>
      </c>
      <c r="I162" t="inlineStr">
        <is>
          <t>VB</t>
        </is>
      </c>
      <c r="J162" t="inlineStr">
        <is>
          <t>49074 Niedersachsen - Osnabrück</t>
        </is>
      </c>
      <c r="K162" s="5" t="n">
        <v>45564</v>
      </c>
      <c r="L162" t="inlineStr"/>
      <c r="M162" s="6">
        <f>HYPERLINK("https://www.kleinanzeigen.de/s-anzeige/severne-overdrive/2877308897-230-3120", "Link")</f>
        <v/>
      </c>
      <c r="N162" s="6">
        <f>HYPERLINK("C:\Projects\Kleinanzeigen-Scraper\offer_images\2877308897", "Link")</f>
        <v/>
      </c>
      <c r="O162" t="inlineStr">
        <is>
          <t>FL</t>
        </is>
      </c>
      <c r="P162" s="6">
        <f>HYPERLINK("https://www.kleinanzeigen.de/s-bestandsliste.html?userId=10421792", "Link")</f>
        <v/>
      </c>
      <c r="Q162" s="7" t="n">
        <v>45564.86991898148</v>
      </c>
      <c r="R162" s="3" t="inlineStr">
        <is>
          <t>167.04</t>
        </is>
      </c>
      <c r="S162" t="inlineStr">
        <is>
          <t>Köln</t>
        </is>
      </c>
    </row>
    <row r="163">
      <c r="A163" s="2" t="n">
        <v>6.5</v>
      </c>
      <c r="B163" t="inlineStr">
        <is>
          <t>NORTH SAILS Infinity</t>
        </is>
      </c>
      <c r="C163" s="3" t="n">
        <v>4.9</v>
      </c>
      <c r="D163" s="3" t="n">
        <v>1.95</v>
      </c>
      <c r="E163" t="inlineStr"/>
      <c r="F163" t="inlineStr"/>
      <c r="G163" t="inlineStr">
        <is>
          <t>used</t>
        </is>
      </c>
      <c r="H163" s="4" t="n">
        <v>25</v>
      </c>
      <c r="I163" t="inlineStr"/>
      <c r="J163" t="inlineStr">
        <is>
          <t>24226 Schleswig-Holstein - Heikendorf</t>
        </is>
      </c>
      <c r="K163" s="5" t="n">
        <v>45563</v>
      </c>
      <c r="L163" t="inlineStr"/>
      <c r="M163" s="6">
        <f>HYPERLINK("https://www.kleinanzeigen.de/s-anzeige/north-sails-infinity-6-5m-windsurfsegel/2876667564-230-672", "Link")</f>
        <v/>
      </c>
      <c r="N163" s="6">
        <f>HYPERLINK("C:\Projects\Kleinanzeigen-Scraper\offer_images\2876667564", "Link")</f>
        <v/>
      </c>
      <c r="O163" t="inlineStr">
        <is>
          <t>Familie Thon</t>
        </is>
      </c>
      <c r="P163" s="6">
        <f>HYPERLINK("https://www.kleinanzeigen.de/s-bestandsliste.html?userId=44474235", "Link")</f>
        <v/>
      </c>
      <c r="Q163" s="7" t="n">
        <v>45564.86971064815</v>
      </c>
      <c r="R163" s="3" t="inlineStr">
        <is>
          <t>441.08</t>
        </is>
      </c>
      <c r="S163" t="inlineStr">
        <is>
          <t>Köln</t>
        </is>
      </c>
    </row>
    <row r="164">
      <c r="A164" s="2" t="n">
        <v>4</v>
      </c>
      <c r="B164" t="inlineStr">
        <is>
          <t>Goya Banzai X Pro</t>
        </is>
      </c>
      <c r="C164" s="3" t="inlineStr"/>
      <c r="D164" s="3" t="inlineStr"/>
      <c r="E164" t="inlineStr"/>
      <c r="F164" t="inlineStr">
        <is>
          <t>2023</t>
        </is>
      </c>
      <c r="G164" t="inlineStr">
        <is>
          <t>used</t>
        </is>
      </c>
      <c r="H164" s="4" t="n">
        <v>380</v>
      </c>
      <c r="I164" t="inlineStr"/>
      <c r="J164" t="inlineStr">
        <is>
          <t>58239 Nordrhein-Westfalen - Schwerte</t>
        </is>
      </c>
      <c r="K164" s="5" t="n">
        <v>45563</v>
      </c>
      <c r="L164" t="inlineStr"/>
      <c r="M164" s="6">
        <f>HYPERLINK("https://www.kleinanzeigen.de/s-anzeige/goya-banzai-x-pro-4-0-2023/2876641214-230-1916", "Link")</f>
        <v/>
      </c>
      <c r="N164" s="6">
        <f>HYPERLINK("C:\Projects\Kleinanzeigen-Scraper\offer_images\2876641214", "Link")</f>
        <v/>
      </c>
      <c r="O164" t="inlineStr">
        <is>
          <t>Marcus</t>
        </is>
      </c>
      <c r="P164" s="6">
        <f>HYPERLINK("https://www.kleinanzeigen.de/s-bestandsliste.html?userId=11593888", "Link")</f>
        <v/>
      </c>
      <c r="Q164" s="7" t="n">
        <v>45564.86923611111</v>
      </c>
      <c r="R164" s="3" t="inlineStr">
        <is>
          <t>69.21</t>
        </is>
      </c>
      <c r="S164" t="inlineStr">
        <is>
          <t>Köln</t>
        </is>
      </c>
    </row>
    <row r="165">
      <c r="A165" s="2" t="n">
        <v>8.4</v>
      </c>
      <c r="B165" t="inlineStr">
        <is>
          <t>North Sail Daytona</t>
        </is>
      </c>
      <c r="C165" s="3" t="inlineStr"/>
      <c r="D165" s="3" t="inlineStr"/>
      <c r="E165" t="inlineStr"/>
      <c r="F165" t="inlineStr"/>
      <c r="G165" t="inlineStr">
        <is>
          <t>repaired</t>
        </is>
      </c>
      <c r="H165" s="4" t="n">
        <v>70</v>
      </c>
      <c r="I165" t="inlineStr">
        <is>
          <t>VB</t>
        </is>
      </c>
      <c r="J165" t="inlineStr">
        <is>
          <t>84034 Bayern - Landshut</t>
        </is>
      </c>
      <c r="K165" s="5" t="n">
        <v>45564</v>
      </c>
      <c r="L165" t="inlineStr">
        <is>
          <t>Sold</t>
        </is>
      </c>
      <c r="M165" s="6">
        <f>HYPERLINK("https://www.kleinanzeigen.de/s-anzeige/windsurfsegel-north-sail-daytona-8-4/2876896366-230-6396", "Link")</f>
        <v/>
      </c>
      <c r="N165" s="6">
        <f>HYPERLINK("C:\Projects\Kleinanzeigen-Scraper\offer_images\2876896366", "Link")</f>
        <v/>
      </c>
      <c r="O165" t="inlineStr">
        <is>
          <t>Marco</t>
        </is>
      </c>
      <c r="P165" s="6">
        <f>HYPERLINK("https://www.kleinanzeigen.de/s-bestandsliste.html?userId=46389110", "Link")</f>
        <v/>
      </c>
      <c r="Q165" s="7" t="n">
        <v>45564.86865740741</v>
      </c>
      <c r="R165" s="3" t="inlineStr">
        <is>
          <t>58.35</t>
        </is>
      </c>
      <c r="S165" t="inlineStr">
        <is>
          <t>München</t>
        </is>
      </c>
    </row>
    <row r="166">
      <c r="A166" s="2" t="n">
        <v>5.5</v>
      </c>
      <c r="B166" t="inlineStr">
        <is>
          <t>Neilpryde Fly II Pro</t>
        </is>
      </c>
      <c r="C166" s="3" t="inlineStr"/>
      <c r="D166" s="3" t="inlineStr"/>
      <c r="E166" t="inlineStr"/>
      <c r="F166" t="inlineStr">
        <is>
          <t>2024</t>
        </is>
      </c>
      <c r="G166" t="inlineStr">
        <is>
          <t>used</t>
        </is>
      </c>
      <c r="H166" s="4" t="n">
        <v>949</v>
      </c>
      <c r="I166" t="inlineStr">
        <is>
          <t>VB</t>
        </is>
      </c>
      <c r="J166" t="inlineStr">
        <is>
          <t>13595 Berlin - Spandau</t>
        </is>
      </c>
      <c r="K166" s="5" t="n">
        <v>45564</v>
      </c>
      <c r="L166" t="inlineStr"/>
      <c r="M166" s="6">
        <f>HYPERLINK("https://www.kleinanzeigen.de/s-anzeige/neilpryde-fly-ii-pro-5-5qm-aluula-24-kaum-benutzt/2877785078-230-3433", "Link")</f>
        <v/>
      </c>
      <c r="N166" s="6">
        <f>HYPERLINK("C:\Projects\Kleinanzeigen-Scraper\offer_images\2877785078", "Link")</f>
        <v/>
      </c>
      <c r="O166" t="inlineStr">
        <is>
          <t>Johannes</t>
        </is>
      </c>
      <c r="P166" s="6">
        <f>HYPERLINK("https://www.kleinanzeigen.de/s-bestandsliste.html?userId=127312421", "Link")</f>
        <v/>
      </c>
      <c r="Q166" s="7" t="n">
        <v>45564.86864583333</v>
      </c>
      <c r="R166" s="3" t="inlineStr">
        <is>
          <t>463.54</t>
        </is>
      </c>
      <c r="S166" t="inlineStr">
        <is>
          <t>Köln</t>
        </is>
      </c>
    </row>
    <row r="167">
      <c r="A167" s="2" t="n">
        <v>5.2</v>
      </c>
      <c r="B167" t="inlineStr">
        <is>
          <t>Sailloft Quad+</t>
        </is>
      </c>
      <c r="C167" s="3" t="inlineStr"/>
      <c r="D167" s="3" t="inlineStr"/>
      <c r="E167" t="inlineStr"/>
      <c r="F167" t="inlineStr"/>
      <c r="G167" t="inlineStr">
        <is>
          <t>used</t>
        </is>
      </c>
      <c r="H167" s="4" t="n">
        <v>120</v>
      </c>
      <c r="I167" t="inlineStr"/>
      <c r="J167" t="inlineStr">
        <is>
          <t>22607 Altona - Hamburg Bahrenfeld</t>
        </is>
      </c>
      <c r="K167" s="5" t="n">
        <v>45564</v>
      </c>
      <c r="L167" t="inlineStr"/>
      <c r="M167" s="6">
        <f>HYPERLINK("https://www.kleinanzeigen.de/s-anzeige/sailloft-quad-5-2/2877766820-230-16490", "Link")</f>
        <v/>
      </c>
      <c r="N167" s="6">
        <f>HYPERLINK("C:\Projects\Kleinanzeigen-Scraper\offer_images\2877766820", "Link")</f>
        <v/>
      </c>
      <c r="O167" t="inlineStr">
        <is>
          <t>Melf Behrend</t>
        </is>
      </c>
      <c r="P167" s="6">
        <f>HYPERLINK("https://www.kleinanzeigen.de/s-bestandsliste.html?userId=10106854", "Link")</f>
        <v/>
      </c>
      <c r="Q167" s="7" t="n">
        <v>45564.86813657408</v>
      </c>
      <c r="R167" s="3" t="inlineStr">
        <is>
          <t>354.01</t>
        </is>
      </c>
      <c r="S167" t="inlineStr">
        <is>
          <t>Köln</t>
        </is>
      </c>
    </row>
    <row r="168">
      <c r="A168" s="2" t="n">
        <v>5.6</v>
      </c>
      <c r="B168" t="inlineStr">
        <is>
          <t>Sailloft Ultimate</t>
        </is>
      </c>
      <c r="C168" s="3" t="n">
        <v>400</v>
      </c>
      <c r="D168" s="3" t="inlineStr"/>
      <c r="E168" t="inlineStr"/>
      <c r="F168" t="inlineStr">
        <is>
          <t>2023</t>
        </is>
      </c>
      <c r="G168" t="inlineStr">
        <is>
          <t>new</t>
        </is>
      </c>
      <c r="H168" s="4" t="n">
        <v>429</v>
      </c>
      <c r="I168" t="inlineStr"/>
      <c r="J168" t="inlineStr">
        <is>
          <t>13127 Berlin - Pankow</t>
        </is>
      </c>
      <c r="K168" s="5" t="n">
        <v>45564</v>
      </c>
      <c r="L168" t="inlineStr"/>
      <c r="M168" s="6">
        <f>HYPERLINK("https://www.kleinanzeigen.de/s-anzeige/-sailloft-ultimate-5-6-m-2-segel-neuwertig-camber-rdm-2023/2877289404-230-3465", "Link")</f>
        <v/>
      </c>
      <c r="N168" s="6">
        <f>HYPERLINK("C:\Projects\Kleinanzeigen-Scraper\offer_images\2877289404", "Link")</f>
        <v/>
      </c>
      <c r="O168" t="inlineStr">
        <is>
          <t>Daniel Düsentrieb</t>
        </is>
      </c>
      <c r="P168" s="6">
        <f>HYPERLINK("https://www.kleinanzeigen.de/s-bestandsliste.html?userId=5840406", "Link")</f>
        <v/>
      </c>
      <c r="Q168" s="7" t="n">
        <v>45564.86802083333</v>
      </c>
      <c r="R168" s="3" t="inlineStr">
        <is>
          <t>482.48</t>
        </is>
      </c>
      <c r="S168" t="inlineStr">
        <is>
          <t>Köln</t>
        </is>
      </c>
    </row>
    <row r="169">
      <c r="A169" s="2" t="n">
        <v>6</v>
      </c>
      <c r="B169" t="inlineStr">
        <is>
          <t>Neilpryde V6</t>
        </is>
      </c>
      <c r="C169" s="3" t="n">
        <v>460</v>
      </c>
      <c r="D169" s="3" t="inlineStr"/>
      <c r="E169" t="inlineStr"/>
      <c r="F169" t="inlineStr"/>
      <c r="G169" t="inlineStr">
        <is>
          <t>used</t>
        </is>
      </c>
      <c r="H169" s="4" t="n">
        <v>90</v>
      </c>
      <c r="I169" t="inlineStr"/>
      <c r="J169" t="inlineStr">
        <is>
          <t>12169 Berlin - Steglitz</t>
        </is>
      </c>
      <c r="K169" s="5" t="n">
        <v>45564</v>
      </c>
      <c r="L169" t="inlineStr">
        <is>
          <t>Sold</t>
        </is>
      </c>
      <c r="M169" s="6">
        <f>HYPERLINK("https://www.kleinanzeigen.de/s-anzeige/neilpryde-neil-pryde-v6-6-0-segel-windsurfen/2877261456-230-3420", "Link")</f>
        <v/>
      </c>
      <c r="N169" s="6">
        <f>HYPERLINK("C:\Projects\Kleinanzeigen-Scraper\offer_images\2877261456", "Link")</f>
        <v/>
      </c>
      <c r="O169" t="inlineStr">
        <is>
          <t>Privat</t>
        </is>
      </c>
      <c r="P169" s="6">
        <f>HYPERLINK("https://www.kleinanzeigen.de/s-bestandsliste.html?userId=58928440", "Link")</f>
        <v/>
      </c>
      <c r="Q169" s="7" t="n">
        <v>45564.86791666667</v>
      </c>
      <c r="R169" s="3" t="inlineStr">
        <is>
          <t>471.13</t>
        </is>
      </c>
      <c r="S169" t="inlineStr">
        <is>
          <t>Köln</t>
        </is>
      </c>
    </row>
    <row r="170">
      <c r="A170" s="2" t="n">
        <v>6.5</v>
      </c>
      <c r="B170" t="inlineStr">
        <is>
          <t>Fanatic Ride</t>
        </is>
      </c>
      <c r="C170" s="3" t="n">
        <v>468</v>
      </c>
      <c r="D170" s="3" t="n">
        <v>195</v>
      </c>
      <c r="E170" t="inlineStr"/>
      <c r="F170" t="inlineStr"/>
      <c r="G170" t="inlineStr">
        <is>
          <t>used</t>
        </is>
      </c>
      <c r="H170" s="4" t="n">
        <v>180</v>
      </c>
      <c r="I170" t="inlineStr">
        <is>
          <t>VB</t>
        </is>
      </c>
      <c r="J170" t="inlineStr">
        <is>
          <t>29410 Sachsen-Anhalt - Salzwedel</t>
        </is>
      </c>
      <c r="K170" s="5" t="n">
        <v>45564</v>
      </c>
      <c r="L170" t="inlineStr"/>
      <c r="M170" s="6">
        <f>HYPERLINK("https://www.kleinanzeigen.de/s-anzeige/windsurf-segel-fanatic-ride-6-5-qm/2877786220-230-2352", "Link")</f>
        <v/>
      </c>
      <c r="N170" s="6">
        <f>HYPERLINK("C:\Projects\Kleinanzeigen-Scraper\offer_images\2877786220", "Link")</f>
        <v/>
      </c>
      <c r="O170" t="inlineStr">
        <is>
          <t>Robert</t>
        </is>
      </c>
      <c r="P170" s="6">
        <f>HYPERLINK("https://www.kleinanzeigen.de/s-bestandsliste.html?userId=107913025", "Link")</f>
        <v/>
      </c>
      <c r="Q170" s="7" t="n">
        <v>45564.86780092592</v>
      </c>
      <c r="R170" s="3" t="inlineStr">
        <is>
          <t>359.91</t>
        </is>
      </c>
      <c r="S170" t="inlineStr">
        <is>
          <t>Köln</t>
        </is>
      </c>
    </row>
    <row r="171">
      <c r="A171" s="2" t="n">
        <v>4.5</v>
      </c>
      <c r="B171" t="inlineStr">
        <is>
          <t>North Sails Wave Spider</t>
        </is>
      </c>
      <c r="C171" s="3" t="n">
        <v>4.65</v>
      </c>
      <c r="D171" s="3" t="n">
        <v>1.5</v>
      </c>
      <c r="E171" t="inlineStr"/>
      <c r="F171" t="inlineStr"/>
      <c r="G171" t="inlineStr">
        <is>
          <t>used</t>
        </is>
      </c>
      <c r="H171" s="4" t="inlineStr">
        <is>
          <t>Zu verschenken</t>
        </is>
      </c>
      <c r="I171" t="inlineStr"/>
      <c r="J171" t="inlineStr">
        <is>
          <t>49074 Niedersachsen - Osnabrück</t>
        </is>
      </c>
      <c r="K171" s="5" t="n">
        <v>45564</v>
      </c>
      <c r="L171" t="inlineStr">
        <is>
          <t>Sold</t>
        </is>
      </c>
      <c r="M171" s="6">
        <f>HYPERLINK("https://www.kleinanzeigen.de/s-anzeige/north-sails-wave-spider-4-65/2877321944-230-3120", "Link")</f>
        <v/>
      </c>
      <c r="N171" s="6">
        <f>HYPERLINK("C:\Projects\Kleinanzeigen-Scraper\offer_images\2877321944", "Link")</f>
        <v/>
      </c>
      <c r="O171" t="inlineStr">
        <is>
          <t>FL</t>
        </is>
      </c>
      <c r="P171" s="6">
        <f>HYPERLINK("https://www.kleinanzeigen.de/s-bestandsliste.html?userId=10421792", "Link")</f>
        <v/>
      </c>
      <c r="Q171" s="7" t="n">
        <v>45564.86752314815</v>
      </c>
      <c r="R171" s="3" t="inlineStr">
        <is>
          <t>167.04</t>
        </is>
      </c>
      <c r="S171" t="inlineStr">
        <is>
          <t>Köln</t>
        </is>
      </c>
    </row>
    <row r="172">
      <c r="A172" s="2" t="n">
        <v>7</v>
      </c>
      <c r="B172" t="inlineStr">
        <is>
          <t>Gaastra Charger</t>
        </is>
      </c>
      <c r="C172" s="3" t="inlineStr"/>
      <c r="D172" s="3" t="inlineStr"/>
      <c r="E172" t="inlineStr"/>
      <c r="F172" t="inlineStr"/>
      <c r="G172" t="inlineStr">
        <is>
          <t>new</t>
        </is>
      </c>
      <c r="H172" s="4" t="n">
        <v>69</v>
      </c>
      <c r="I172" t="inlineStr"/>
      <c r="J172" t="inlineStr">
        <is>
          <t>13187 Berlin - Pankow</t>
        </is>
      </c>
      <c r="K172" s="5" t="n">
        <v>45564</v>
      </c>
      <c r="L172" t="inlineStr">
        <is>
          <t>Sold</t>
        </is>
      </c>
      <c r="M172" s="6">
        <f>HYPERLINK("https://www.kleinanzeigen.de/s-anzeige/gaastra-charger-freeride-7m2-surf-segel-neuwertig-/2877748488-230-3473", "Link")</f>
        <v/>
      </c>
      <c r="N172" s="6">
        <f>HYPERLINK("C:\Projects\Kleinanzeigen-Scraper\offer_images\2877748488", "Link")</f>
        <v/>
      </c>
      <c r="O172" t="inlineStr">
        <is>
          <t>Maret SzW</t>
        </is>
      </c>
      <c r="P172" s="6">
        <f>HYPERLINK("https://www.kleinanzeigen.de/s-bestandsliste.html?userId=6206255", "Link")</f>
        <v/>
      </c>
      <c r="Q172" s="7" t="n">
        <v>45564.86728009259</v>
      </c>
      <c r="R172" s="3" t="inlineStr">
        <is>
          <t>480.03</t>
        </is>
      </c>
      <c r="S172" t="inlineStr">
        <is>
          <t>Köln</t>
        </is>
      </c>
    </row>
    <row r="173">
      <c r="A173" s="2" t="n">
        <v>6.2</v>
      </c>
      <c r="B173" t="inlineStr">
        <is>
          <t>Gun Sails Rapid</t>
        </is>
      </c>
      <c r="C173" s="3" t="inlineStr"/>
      <c r="D173" s="3" t="inlineStr"/>
      <c r="E173" t="inlineStr"/>
      <c r="F173" t="inlineStr"/>
      <c r="G173" t="inlineStr">
        <is>
          <t>used</t>
        </is>
      </c>
      <c r="H173" s="4" t="n">
        <v>99</v>
      </c>
      <c r="I173" t="inlineStr"/>
      <c r="J173" t="inlineStr">
        <is>
          <t>45772 Nordrhein-Westfalen - Marl</t>
        </is>
      </c>
      <c r="K173" s="5" t="n">
        <v>45564</v>
      </c>
      <c r="L173" t="inlineStr"/>
      <c r="M173" s="6">
        <f>HYPERLINK("https://www.kleinanzeigen.de/s-anzeige/gun-sail-rapid-6-2/2877910783-230-1772", "Link")</f>
        <v/>
      </c>
      <c r="N173" s="6">
        <f>HYPERLINK("C:\Projects\Kleinanzeigen-Scraper\offer_images\2877910783", "Link")</f>
        <v/>
      </c>
      <c r="O173" t="inlineStr">
        <is>
          <t>RRD</t>
        </is>
      </c>
      <c r="P173" s="6">
        <f>HYPERLINK("https://www.kleinanzeigen.de/s-bestandsliste.html?userId=13661901", "Link")</f>
        <v/>
      </c>
      <c r="Q173" s="7" t="n">
        <v>45564.86728009259</v>
      </c>
      <c r="R173" s="3" t="inlineStr">
        <is>
          <t>84.29</t>
        </is>
      </c>
      <c r="S173" t="inlineStr">
        <is>
          <t>Köln</t>
        </is>
      </c>
    </row>
    <row r="174">
      <c r="A174" s="2" t="n">
        <v>4.7</v>
      </c>
      <c r="B174" t="inlineStr">
        <is>
          <t>Severne Gator</t>
        </is>
      </c>
      <c r="C174" s="3" t="inlineStr"/>
      <c r="D174" s="3" t="inlineStr"/>
      <c r="E174" t="inlineStr"/>
      <c r="F174" t="inlineStr"/>
      <c r="G174" t="inlineStr">
        <is>
          <t>new</t>
        </is>
      </c>
      <c r="H174" s="4" t="n">
        <v>460</v>
      </c>
      <c r="I174" t="inlineStr">
        <is>
          <t>VB</t>
        </is>
      </c>
      <c r="J174" t="inlineStr">
        <is>
          <t>82335 Bayern - Berg</t>
        </is>
      </c>
      <c r="K174" s="5" t="n">
        <v>45563</v>
      </c>
      <c r="L174" t="inlineStr"/>
      <c r="M174" s="6">
        <f>HYPERLINK("https://www.kleinanzeigen.de/s-anzeige/severne-gator-4-7/2876679848-230-5521", "Link")</f>
        <v/>
      </c>
      <c r="N174" s="6">
        <f>HYPERLINK("C:\Projects\Kleinanzeigen-Scraper\offer_images\2876679848", "Link")</f>
        <v/>
      </c>
      <c r="O174" t="inlineStr">
        <is>
          <t>Stephan</t>
        </is>
      </c>
      <c r="P174" s="6">
        <f>HYPERLINK("https://www.kleinanzeigen.de/s-bestandsliste.html?userId=7597398", "Link")</f>
        <v/>
      </c>
      <c r="Q174" s="7" t="n">
        <v>45564.86724537037</v>
      </c>
      <c r="R174" s="3" t="inlineStr">
        <is>
          <t>24.93</t>
        </is>
      </c>
      <c r="S174" t="inlineStr">
        <is>
          <t>München</t>
        </is>
      </c>
    </row>
    <row r="175">
      <c r="A175" s="2" t="n">
        <v>6</v>
      </c>
      <c r="B175" t="inlineStr">
        <is>
          <t>North Sails Tonic</t>
        </is>
      </c>
      <c r="C175" s="3" t="inlineStr"/>
      <c r="D175" s="3" t="inlineStr"/>
      <c r="E175" t="inlineStr"/>
      <c r="F175" t="inlineStr"/>
      <c r="G175" t="inlineStr">
        <is>
          <t>used</t>
        </is>
      </c>
      <c r="H175" s="4" t="n">
        <v>65</v>
      </c>
      <c r="I175" t="inlineStr"/>
      <c r="J175" t="inlineStr">
        <is>
          <t>22607 Altona - Hamburg Bahrenfeld</t>
        </is>
      </c>
      <c r="K175" s="5" t="n">
        <v>45564</v>
      </c>
      <c r="L175" t="inlineStr"/>
      <c r="M175" s="6">
        <f>HYPERLINK("https://www.kleinanzeigen.de/s-anzeige/north-sails-tonic-6-0/2877747851-230-16490", "Link")</f>
        <v/>
      </c>
      <c r="N175" s="6">
        <f>HYPERLINK("C:\Projects\Kleinanzeigen-Scraper\offer_images\2877747851", "Link")</f>
        <v/>
      </c>
      <c r="O175" t="inlineStr">
        <is>
          <t>Melf Behrend</t>
        </is>
      </c>
      <c r="P175" s="6">
        <f>HYPERLINK("https://www.kleinanzeigen.de/s-bestandsliste.html?userId=10106854", "Link")</f>
        <v/>
      </c>
      <c r="Q175" s="7" t="n">
        <v>45564.86719907408</v>
      </c>
      <c r="R175" s="3" t="inlineStr">
        <is>
          <t>354.01</t>
        </is>
      </c>
      <c r="S175" t="inlineStr">
        <is>
          <t>Köln</t>
        </is>
      </c>
    </row>
    <row r="176">
      <c r="A176" s="2" t="n">
        <v>5.7</v>
      </c>
      <c r="B176" t="inlineStr">
        <is>
          <t>Gun Sails Seal</t>
        </is>
      </c>
      <c r="C176" s="3" t="inlineStr"/>
      <c r="D176" s="3" t="inlineStr"/>
      <c r="E176" t="inlineStr"/>
      <c r="F176" t="inlineStr">
        <is>
          <t>2023</t>
        </is>
      </c>
      <c r="G176" t="inlineStr">
        <is>
          <t>new</t>
        </is>
      </c>
      <c r="H176" s="4" t="n">
        <v>300</v>
      </c>
      <c r="I176" t="inlineStr">
        <is>
          <t>VB</t>
        </is>
      </c>
      <c r="J176" t="inlineStr">
        <is>
          <t>04177 Leipzig - Altlindenau</t>
        </is>
      </c>
      <c r="K176" s="5" t="n">
        <v>45564</v>
      </c>
      <c r="L176" t="inlineStr"/>
      <c r="M176" s="6">
        <f>HYPERLINK("https://www.kleinanzeigen.de/s-anzeige/gun-sails-seal-2023-5-7er-neuwertig/2877181656-230-4234", "Link")</f>
        <v/>
      </c>
      <c r="N176" s="6">
        <f>HYPERLINK("C:\Projects\Kleinanzeigen-Scraper\offer_images\2877181656", "Link")</f>
        <v/>
      </c>
      <c r="O176" t="inlineStr">
        <is>
          <t>Philipp Siedenburg</t>
        </is>
      </c>
      <c r="P176" s="6">
        <f>HYPERLINK("https://www.kleinanzeigen.de/s-bestandsliste.html?userId=52063312", "Link")</f>
        <v/>
      </c>
      <c r="Q176" s="7" t="n">
        <v>45564.86717592592</v>
      </c>
      <c r="R176" s="3" t="inlineStr">
        <is>
          <t>360.58</t>
        </is>
      </c>
      <c r="S176" t="inlineStr">
        <is>
          <t>München</t>
        </is>
      </c>
    </row>
    <row r="177">
      <c r="A177" s="2" t="n">
        <v>4.7</v>
      </c>
      <c r="B177" t="inlineStr">
        <is>
          <t>North Sails Ice</t>
        </is>
      </c>
      <c r="C177" s="3" t="n">
        <v>4.16</v>
      </c>
      <c r="D177" s="3" t="n">
        <v>162</v>
      </c>
      <c r="E177" t="inlineStr"/>
      <c r="F177" t="inlineStr"/>
      <c r="G177" t="inlineStr">
        <is>
          <t>used</t>
        </is>
      </c>
      <c r="H177" s="4" t="n">
        <v>40</v>
      </c>
      <c r="I177" t="inlineStr">
        <is>
          <t>VB</t>
        </is>
      </c>
      <c r="J177" t="inlineStr">
        <is>
          <t>30900 Niedersachsen - Wedemark</t>
        </is>
      </c>
      <c r="K177" s="5" t="n">
        <v>45564</v>
      </c>
      <c r="L177" t="inlineStr"/>
      <c r="M177" s="6">
        <f>HYPERLINK("https://www.kleinanzeigen.de/s-anzeige/windsurf-segel-north-sails-ice-4-7/2877695702-230-2918", "Link")</f>
        <v/>
      </c>
      <c r="N177" s="6">
        <f>HYPERLINK("C:\Projects\Kleinanzeigen-Scraper\offer_images\2877695702", "Link")</f>
        <v/>
      </c>
      <c r="O177" t="inlineStr">
        <is>
          <t>Mike</t>
        </is>
      </c>
      <c r="P177" s="6">
        <f>HYPERLINK("https://www.kleinanzeigen.de/s-bestandsliste.html?userId=128929998", "Link")</f>
        <v/>
      </c>
      <c r="Q177" s="7" t="n">
        <v>45564.86675925926</v>
      </c>
      <c r="R177" s="3" t="inlineStr">
        <is>
          <t>260.77</t>
        </is>
      </c>
      <c r="S177" t="inlineStr">
        <is>
          <t>Köln</t>
        </is>
      </c>
    </row>
    <row r="178">
      <c r="A178" s="2" t="n">
        <v>4.2</v>
      </c>
      <c r="B178" t="inlineStr">
        <is>
          <t>North Sails Voodoo</t>
        </is>
      </c>
      <c r="C178" s="3" t="inlineStr"/>
      <c r="D178" s="3" t="inlineStr"/>
      <c r="E178" t="inlineStr"/>
      <c r="F178" t="inlineStr"/>
      <c r="G178" t="inlineStr">
        <is>
          <t>used</t>
        </is>
      </c>
      <c r="H178" s="4" t="n">
        <v>90</v>
      </c>
      <c r="I178" t="inlineStr">
        <is>
          <t>VB</t>
        </is>
      </c>
      <c r="J178" t="inlineStr">
        <is>
          <t>21035 Bergedorf - Hamburg Allermöhe</t>
        </is>
      </c>
      <c r="K178" s="5" t="n">
        <v>45563</v>
      </c>
      <c r="L178" t="inlineStr"/>
      <c r="M178" s="6">
        <f>HYPERLINK("https://www.kleinanzeigen.de/s-anzeige/north-sails-voodoo-4-2/2876752962-230-9517", "Link")</f>
        <v/>
      </c>
      <c r="N178" s="6">
        <f>HYPERLINK("C:\Projects\Kleinanzeigen-Scraper\offer_images\2876752962", "Link")</f>
        <v/>
      </c>
      <c r="O178" t="inlineStr">
        <is>
          <t>Erik</t>
        </is>
      </c>
      <c r="P178" s="6">
        <f>HYPERLINK("https://www.kleinanzeigen.de/s-bestandsliste.html?userId=45943178", "Link")</f>
        <v/>
      </c>
      <c r="Q178" s="7" t="n">
        <v>45564.86673611111</v>
      </c>
      <c r="R178" s="3" t="inlineStr">
        <is>
          <t>357.47</t>
        </is>
      </c>
      <c r="S178" t="inlineStr">
        <is>
          <t>Köln</t>
        </is>
      </c>
    </row>
    <row r="179">
      <c r="A179" s="2" t="n">
        <v>7.5</v>
      </c>
      <c r="B179" t="inlineStr">
        <is>
          <t>North Katana</t>
        </is>
      </c>
      <c r="C179" s="3" t="inlineStr"/>
      <c r="D179" s="3" t="inlineStr"/>
      <c r="E179" t="inlineStr"/>
      <c r="F179" t="inlineStr"/>
      <c r="G179" t="inlineStr">
        <is>
          <t>damaged</t>
        </is>
      </c>
      <c r="H179" s="4" t="n">
        <v>5</v>
      </c>
      <c r="I179" t="inlineStr"/>
      <c r="J179" t="inlineStr">
        <is>
          <t>50823 Köln - Ehrenfeld</t>
        </is>
      </c>
      <c r="K179" s="5" t="n">
        <v>45564</v>
      </c>
      <c r="L179" t="inlineStr"/>
      <c r="M179" s="6">
        <f>HYPERLINK("https://www.kleinanzeigen.de/s-anzeige/north-katana-7-5m-windsurf-segel-latte-defekt-/2877927295-230-981", "Link")</f>
        <v/>
      </c>
      <c r="N179" s="6">
        <f>HYPERLINK("C:\Projects\Kleinanzeigen-Scraper\offer_images\2877927295", "Link")</f>
        <v/>
      </c>
      <c r="O179" t="inlineStr">
        <is>
          <t>Hendryk</t>
        </is>
      </c>
      <c r="P179" s="6">
        <f>HYPERLINK("https://www.kleinanzeigen.de/s-bestandsliste.html?userId=88292869", "Link")</f>
        <v/>
      </c>
      <c r="Q179" s="7" t="n">
        <v>45564.86670138889</v>
      </c>
      <c r="R179" s="3" t="inlineStr">
        <is>
          <t>2.50</t>
        </is>
      </c>
      <c r="S179" t="inlineStr">
        <is>
          <t>Köln</t>
        </is>
      </c>
    </row>
    <row r="180">
      <c r="A180" s="2" t="n">
        <v>4</v>
      </c>
      <c r="B180" t="inlineStr">
        <is>
          <t>ART Attack Wave/Slalom</t>
        </is>
      </c>
      <c r="C180" s="3" t="n">
        <v>405</v>
      </c>
      <c r="D180" s="3" t="n">
        <v>155</v>
      </c>
      <c r="E180" t="inlineStr">
        <is>
          <t>Slalom</t>
        </is>
      </c>
      <c r="F180" t="inlineStr"/>
      <c r="G180" t="inlineStr">
        <is>
          <t>used</t>
        </is>
      </c>
      <c r="H180" s="4" t="n">
        <v>70</v>
      </c>
      <c r="I180" t="inlineStr">
        <is>
          <t>VB</t>
        </is>
      </c>
      <c r="J180" t="inlineStr">
        <is>
          <t>74321 Baden-Württemberg - Bietigheim-Bissingen</t>
        </is>
      </c>
      <c r="K180" s="5" t="n">
        <v>45564</v>
      </c>
      <c r="L180" t="inlineStr"/>
      <c r="M180" s="6">
        <f>HYPERLINK("https://www.kleinanzeigen.de/s-anzeige/windsurf-segel-4-0-qm/2876910701-230-8681", "Link")</f>
        <v/>
      </c>
      <c r="N180" s="6">
        <f>HYPERLINK("C:\Projects\Kleinanzeigen-Scraper\offer_images\2876910701", "Link")</f>
        <v/>
      </c>
      <c r="O180" t="inlineStr">
        <is>
          <t>Andreas Jung</t>
        </is>
      </c>
      <c r="P180" s="6">
        <f>HYPERLINK("https://www.kleinanzeigen.de/s-bestandsliste.html?userId=12454431", "Link")</f>
        <v/>
      </c>
      <c r="Q180" s="7" t="n">
        <v>45564.86670138889</v>
      </c>
      <c r="R180" s="3" t="inlineStr">
        <is>
          <t>32.66</t>
        </is>
      </c>
      <c r="S180" t="inlineStr">
        <is>
          <t>Böblingen</t>
        </is>
      </c>
    </row>
    <row r="181">
      <c r="A181" s="2" t="n">
        <v>6.8</v>
      </c>
      <c r="B181" t="inlineStr">
        <is>
          <t>Point-7 AC-Z</t>
        </is>
      </c>
      <c r="C181" s="3" t="n">
        <v>430</v>
      </c>
      <c r="D181" s="3" t="inlineStr"/>
      <c r="E181" t="inlineStr"/>
      <c r="F181" t="inlineStr">
        <is>
          <t>2022</t>
        </is>
      </c>
      <c r="G181" t="inlineStr">
        <is>
          <t>new</t>
        </is>
      </c>
      <c r="H181" s="4" t="n">
        <v>480</v>
      </c>
      <c r="I181" t="inlineStr"/>
      <c r="J181" t="inlineStr">
        <is>
          <t>53909 Nordrhein-Westfalen - Zülpich</t>
        </is>
      </c>
      <c r="K181" s="5" t="n">
        <v>45550</v>
      </c>
      <c r="L181" t="inlineStr"/>
      <c r="M181" s="6">
        <f>HYPERLINK("https://www.kleinanzeigen.de/s-anzeige/point-7-ac-z-6-8-2022/2864887694-230-1394", "Link")</f>
        <v/>
      </c>
      <c r="N181" s="6">
        <f>HYPERLINK("C:\Projects\Kleinanzeigen-Scraper\offer_images\2864887694", "Link")</f>
        <v/>
      </c>
      <c r="O181" t="inlineStr">
        <is>
          <t>Nifi</t>
        </is>
      </c>
      <c r="P181" s="6">
        <f>HYPERLINK("https://www.kleinanzeigen.de/s-bestandsliste.html?userId=15739909", "Link")</f>
        <v/>
      </c>
      <c r="Q181" s="7" t="n">
        <v>45564.86659722222</v>
      </c>
      <c r="R181" s="3" t="inlineStr">
        <is>
          <t>36.28</t>
        </is>
      </c>
      <c r="S181" t="inlineStr">
        <is>
          <t>Köln</t>
        </is>
      </c>
    </row>
    <row r="182">
      <c r="A182" s="2" t="n">
        <v>4</v>
      </c>
      <c r="B182" t="inlineStr">
        <is>
          <t>Naish Matador</t>
        </is>
      </c>
      <c r="C182" s="3" t="inlineStr"/>
      <c r="D182" s="3" t="inlineStr"/>
      <c r="E182" t="inlineStr"/>
      <c r="F182" t="inlineStr"/>
      <c r="G182" t="inlineStr">
        <is>
          <t>used</t>
        </is>
      </c>
      <c r="H182" s="4" t="n">
        <v>200</v>
      </c>
      <c r="I182" t="inlineStr">
        <is>
          <t>VB</t>
        </is>
      </c>
      <c r="J182" t="inlineStr">
        <is>
          <t>80331 München - Altstadt-Lehel</t>
        </is>
      </c>
      <c r="K182" s="5" t="n">
        <v>45564</v>
      </c>
      <c r="L182" t="inlineStr"/>
      <c r="M182" s="6">
        <f>HYPERLINK("https://www.kleinanzeigen.de/s-anzeige/naish-matador-4m2/2877890840-230-6443", "Link")</f>
        <v/>
      </c>
      <c r="N182" s="6">
        <f>HYPERLINK("C:\Projects\Kleinanzeigen-Scraper\offer_images\2877890840", "Link")</f>
        <v/>
      </c>
      <c r="O182" t="inlineStr">
        <is>
          <t>Stefan Marker</t>
        </is>
      </c>
      <c r="P182" s="6">
        <f>HYPERLINK("https://www.kleinanzeigen.de/s-bestandsliste.html?userId=41424187", "Link")</f>
        <v/>
      </c>
      <c r="Q182" s="7" t="n">
        <v>45564.86645833333</v>
      </c>
      <c r="R182" s="3" t="inlineStr">
        <is>
          <t>0.00</t>
        </is>
      </c>
      <c r="S182" t="inlineStr">
        <is>
          <t>München</t>
        </is>
      </c>
    </row>
    <row r="183">
      <c r="A183" s="2" t="n">
        <v>5.3</v>
      </c>
      <c r="B183" t="inlineStr">
        <is>
          <t>Gunsails Transwave</t>
        </is>
      </c>
      <c r="C183" s="3" t="inlineStr"/>
      <c r="D183" s="3" t="inlineStr"/>
      <c r="E183" t="inlineStr"/>
      <c r="F183" t="inlineStr"/>
      <c r="G183" t="inlineStr">
        <is>
          <t>used</t>
        </is>
      </c>
      <c r="H183" s="4" t="n">
        <v>120</v>
      </c>
      <c r="I183" t="inlineStr">
        <is>
          <t>VB</t>
        </is>
      </c>
      <c r="J183" t="inlineStr">
        <is>
          <t>22941 Schleswig-Holstein - Bargteheide</t>
        </is>
      </c>
      <c r="K183" s="5" t="n">
        <v>45564</v>
      </c>
      <c r="L183" t="inlineStr"/>
      <c r="M183" s="6">
        <f>HYPERLINK("https://www.kleinanzeigen.de/s-anzeige/gunsails-gun-sails-trans-wave-5-3-5-3-surfsegel-windsurf-segel/2877647113-230-903", "Link")</f>
        <v/>
      </c>
      <c r="N183" s="6">
        <f>HYPERLINK("C:\Projects\Kleinanzeigen-Scraper\offer_images\2877647113", "Link")</f>
        <v/>
      </c>
      <c r="O183" t="inlineStr">
        <is>
          <t>C.B.</t>
        </is>
      </c>
      <c r="P183" s="6">
        <f>HYPERLINK("https://www.kleinanzeigen.de/s-bestandsliste.html?userId=18637507", "Link")</f>
        <v/>
      </c>
      <c r="Q183" s="7" t="n">
        <v>45564.86612268518</v>
      </c>
      <c r="R183" s="3" t="inlineStr">
        <is>
          <t>382.34</t>
        </is>
      </c>
      <c r="S183" t="inlineStr">
        <is>
          <t>Köln</t>
        </is>
      </c>
    </row>
    <row r="184">
      <c r="A184" s="2" t="n">
        <v>5</v>
      </c>
      <c r="B184" t="inlineStr">
        <is>
          <t>North Sails Spectro</t>
        </is>
      </c>
      <c r="C184" s="3" t="n">
        <v>4.4</v>
      </c>
      <c r="D184" s="3" t="inlineStr"/>
      <c r="E184" t="inlineStr"/>
      <c r="F184" t="inlineStr"/>
      <c r="G184" t="inlineStr">
        <is>
          <t>used</t>
        </is>
      </c>
      <c r="H184" s="4" t="n">
        <v>100</v>
      </c>
      <c r="I184" t="inlineStr">
        <is>
          <t>VB</t>
        </is>
      </c>
      <c r="J184" t="inlineStr">
        <is>
          <t>17489 Mecklenburg-Vorpommern - Greifswald</t>
        </is>
      </c>
      <c r="K184" s="5" t="n">
        <v>45564</v>
      </c>
      <c r="L184" t="inlineStr"/>
      <c r="M184" s="6">
        <f>HYPERLINK("https://www.kleinanzeigen.de/s-anzeige/windsurfsegel-north-sails-spectro-5-m-/2877347409-230-243", "Link")</f>
        <v/>
      </c>
      <c r="N184" s="6">
        <f>HYPERLINK("C:\Projects\Kleinanzeigen-Scraper\offer_images\2877347409", "Link")</f>
        <v/>
      </c>
      <c r="O184" t="inlineStr">
        <is>
          <t>Niklas Große</t>
        </is>
      </c>
      <c r="P184" s="6">
        <f>HYPERLINK("https://www.kleinanzeigen.de/s-bestandsliste.html?userId=55088309", "Link")</f>
        <v/>
      </c>
      <c r="Q184" s="7" t="n">
        <v>45564.86533564814</v>
      </c>
      <c r="R184" s="3" t="inlineStr">
        <is>
          <t>557.31</t>
        </is>
      </c>
      <c r="S184" t="inlineStr">
        <is>
          <t>Köln</t>
        </is>
      </c>
    </row>
    <row r="185">
      <c r="A185" s="2" t="n">
        <v>3.7</v>
      </c>
      <c r="B185" t="inlineStr">
        <is>
          <t>Sailloft Curve</t>
        </is>
      </c>
      <c r="C185" s="3" t="inlineStr"/>
      <c r="D185" s="3" t="inlineStr"/>
      <c r="E185" t="inlineStr"/>
      <c r="F185" t="inlineStr">
        <is>
          <t>2012</t>
        </is>
      </c>
      <c r="G185" t="inlineStr">
        <is>
          <t>used</t>
        </is>
      </c>
      <c r="H185" s="4" t="n">
        <v>60</v>
      </c>
      <c r="I185" t="inlineStr"/>
      <c r="J185" t="inlineStr">
        <is>
          <t>31515 Niedersachsen - Wunstorf</t>
        </is>
      </c>
      <c r="K185" s="5" t="n">
        <v>45564</v>
      </c>
      <c r="L185" t="inlineStr"/>
      <c r="M185" s="6">
        <f>HYPERLINK("https://www.kleinanzeigen.de/s-anzeige/sailloft-curve-3-7qm/2877094670-230-2930", "Link")</f>
        <v/>
      </c>
      <c r="N185" s="6">
        <f>HYPERLINK("C:\Projects\Kleinanzeigen-Scraper\offer_images\2877094670", "Link")</f>
        <v/>
      </c>
      <c r="O185" t="inlineStr">
        <is>
          <t>Familie Sieverling</t>
        </is>
      </c>
      <c r="P185" s="6">
        <f>HYPERLINK("https://www.kleinanzeigen.de/s-bestandsliste.html?userId=23345927", "Link")</f>
        <v/>
      </c>
      <c r="Q185" s="7" t="n">
        <v>45564.8653125</v>
      </c>
      <c r="R185" s="3" t="inlineStr">
        <is>
          <t>236.47</t>
        </is>
      </c>
      <c r="S185" t="inlineStr">
        <is>
          <t>Köln</t>
        </is>
      </c>
    </row>
    <row r="186">
      <c r="A186" s="2" t="n">
        <v>7</v>
      </c>
      <c r="B186" t="inlineStr">
        <is>
          <t>North Sails Spectro</t>
        </is>
      </c>
      <c r="C186" s="3" t="inlineStr"/>
      <c r="D186" s="3" t="inlineStr"/>
      <c r="E186" t="inlineStr"/>
      <c r="F186" t="inlineStr"/>
      <c r="G186" t="inlineStr">
        <is>
          <t>used</t>
        </is>
      </c>
      <c r="H186" s="4" t="n">
        <v>100</v>
      </c>
      <c r="I186" t="inlineStr">
        <is>
          <t>VB</t>
        </is>
      </c>
      <c r="J186" t="inlineStr">
        <is>
          <t>17489 Mecklenburg-Vorpommern - Greifswald</t>
        </is>
      </c>
      <c r="K186" s="5" t="n">
        <v>45564</v>
      </c>
      <c r="L186" t="inlineStr"/>
      <c r="M186" s="6">
        <f>HYPERLINK("https://www.kleinanzeigen.de/s-anzeige/windsurfsegel-north-sails-spectro-7-m-/2877339610-230-243", "Link")</f>
        <v/>
      </c>
      <c r="N186" s="6">
        <f>HYPERLINK("C:\Projects\Kleinanzeigen-Scraper\offer_images\2877339610", "Link")</f>
        <v/>
      </c>
      <c r="O186" t="inlineStr">
        <is>
          <t>Niklas Große</t>
        </is>
      </c>
      <c r="P186" s="6">
        <f>HYPERLINK("https://www.kleinanzeigen.de/s-bestandsliste.html?userId=55088309", "Link")</f>
        <v/>
      </c>
      <c r="Q186" s="7" t="n">
        <v>45564.86525462963</v>
      </c>
      <c r="R186" s="3" t="inlineStr">
        <is>
          <t>557.31</t>
        </is>
      </c>
      <c r="S186" t="inlineStr">
        <is>
          <t>Köln</t>
        </is>
      </c>
    </row>
    <row r="187">
      <c r="A187" s="2" t="n">
        <v>13</v>
      </c>
      <c r="B187" t="inlineStr">
        <is>
          <t>North Reach</t>
        </is>
      </c>
      <c r="C187" s="3" t="inlineStr"/>
      <c r="D187" s="3" t="inlineStr"/>
      <c r="E187" t="inlineStr">
        <is>
          <t>freeride, allrounder</t>
        </is>
      </c>
      <c r="F187" t="inlineStr">
        <is>
          <t>2023</t>
        </is>
      </c>
      <c r="G187" t="inlineStr">
        <is>
          <t>new</t>
        </is>
      </c>
      <c r="H187" s="4" t="n">
        <v>750</v>
      </c>
      <c r="I187" t="inlineStr">
        <is>
          <t>VB</t>
        </is>
      </c>
      <c r="J187" t="inlineStr">
        <is>
          <t>24943 Schleswig-Holstein - Flensburg</t>
        </is>
      </c>
      <c r="K187" s="5" t="n">
        <v>45564</v>
      </c>
      <c r="L187" t="inlineStr">
        <is>
          <t>Sold</t>
        </is>
      </c>
      <c r="M187" s="6">
        <f>HYPERLINK("https://www.kleinanzeigen.de/s-anzeige/north-reach-13-2023-blau-neuwertig/2877267682-230-17392", "Link")</f>
        <v/>
      </c>
      <c r="N187" s="6">
        <f>HYPERLINK("C:\Projects\Kleinanzeigen-Scraper\offer_images\2877267682", "Link")</f>
        <v/>
      </c>
      <c r="O187" t="inlineStr">
        <is>
          <t>sh</t>
        </is>
      </c>
      <c r="P187" s="6">
        <f>HYPERLINK("https://www.kleinanzeigen.de/s-bestandsliste.html?userId=12337613", "Link")</f>
        <v/>
      </c>
      <c r="Q187" s="7" t="n">
        <v>45564.8650462963</v>
      </c>
      <c r="R187" s="3" t="inlineStr">
        <is>
          <t>459.78</t>
        </is>
      </c>
      <c r="S187" t="inlineStr">
        <is>
          <t>Köln</t>
        </is>
      </c>
    </row>
    <row r="188">
      <c r="A188" s="2" t="inlineStr"/>
      <c r="B188" t="inlineStr">
        <is>
          <t>Delira</t>
        </is>
      </c>
      <c r="C188" s="3" t="inlineStr"/>
      <c r="D188" s="3" t="inlineStr"/>
      <c r="E188" t="inlineStr"/>
      <c r="F188" t="inlineStr"/>
      <c r="G188" t="inlineStr">
        <is>
          <t>damaged</t>
        </is>
      </c>
      <c r="H188" s="4" t="n">
        <v>75</v>
      </c>
      <c r="I188" t="inlineStr">
        <is>
          <t>VB</t>
        </is>
      </c>
      <c r="J188" t="inlineStr">
        <is>
          <t>86911 Bayern - Dießen</t>
        </is>
      </c>
      <c r="K188" s="5" t="n">
        <v>45564</v>
      </c>
      <c r="L188" t="inlineStr"/>
      <c r="M188" s="6">
        <f>HYPERLINK("https://www.kleinanzeigen.de/s-anzeige/segel-windsurfen/2877239329-230-5566", "Link")</f>
        <v/>
      </c>
      <c r="N188" s="6">
        <f>HYPERLINK("C:\Projects\Kleinanzeigen-Scraper\offer_images\2877239329", "Link")</f>
        <v/>
      </c>
      <c r="O188" t="inlineStr">
        <is>
          <t>Alexander Seibold</t>
        </is>
      </c>
      <c r="P188" s="6">
        <f>HYPERLINK("https://www.kleinanzeigen.de/s-bestandsliste.html?userId=24071720", "Link")</f>
        <v/>
      </c>
      <c r="Q188" s="7" t="n">
        <v>45564.86490740741</v>
      </c>
      <c r="R188" s="3" t="inlineStr">
        <is>
          <t>41.04</t>
        </is>
      </c>
      <c r="S188" t="inlineStr">
        <is>
          <t>München</t>
        </is>
      </c>
    </row>
    <row r="189">
      <c r="A189" s="2" t="n">
        <v>6.7</v>
      </c>
      <c r="B189" t="inlineStr">
        <is>
          <t>Neilpryde Spirit</t>
        </is>
      </c>
      <c r="C189" s="3" t="n">
        <v>460</v>
      </c>
      <c r="D189" s="3" t="inlineStr"/>
      <c r="E189" t="inlineStr"/>
      <c r="F189" t="inlineStr"/>
      <c r="G189" t="inlineStr">
        <is>
          <t>used</t>
        </is>
      </c>
      <c r="H189" s="4" t="n">
        <v>100</v>
      </c>
      <c r="I189" t="inlineStr"/>
      <c r="J189" t="inlineStr">
        <is>
          <t>12169 Berlin - Steglitz</t>
        </is>
      </c>
      <c r="K189" s="5" t="n">
        <v>45564</v>
      </c>
      <c r="L189" t="inlineStr">
        <is>
          <t>Sold</t>
        </is>
      </c>
      <c r="M189" s="6">
        <f>HYPERLINK("https://www.kleinanzeigen.de/s-anzeige/neilpryde-neil-pryde-spirit-6-7-freerace-ride-windsurfen/2877266701-230-3420", "Link")</f>
        <v/>
      </c>
      <c r="N189" s="6">
        <f>HYPERLINK("C:\Projects\Kleinanzeigen-Scraper\offer_images\2877266701", "Link")</f>
        <v/>
      </c>
      <c r="O189" t="inlineStr">
        <is>
          <t>Privat</t>
        </is>
      </c>
      <c r="P189" s="6">
        <f>HYPERLINK("https://www.kleinanzeigen.de/s-bestandsliste.html?userId=58928440", "Link")</f>
        <v/>
      </c>
      <c r="Q189" s="7" t="n">
        <v>45564.864375</v>
      </c>
      <c r="R189" s="3" t="inlineStr">
        <is>
          <t>471.13</t>
        </is>
      </c>
      <c r="S189" t="inlineStr">
        <is>
          <t>Köln</t>
        </is>
      </c>
    </row>
    <row r="190">
      <c r="A190" s="2" t="n">
        <v>4</v>
      </c>
      <c r="B190" t="inlineStr">
        <is>
          <t>Duotone Super Hero</t>
        </is>
      </c>
      <c r="C190" s="3" t="inlineStr"/>
      <c r="D190" s="3" t="inlineStr"/>
      <c r="E190" t="inlineStr"/>
      <c r="F190" t="inlineStr"/>
      <c r="G190" t="inlineStr">
        <is>
          <t>new</t>
        </is>
      </c>
      <c r="H190" s="4" t="n">
        <v>270</v>
      </c>
      <c r="I190" t="inlineStr">
        <is>
          <t>VB</t>
        </is>
      </c>
      <c r="J190" t="inlineStr">
        <is>
          <t>85386 Eching</t>
        </is>
      </c>
      <c r="K190" s="5" t="n">
        <v>45563</v>
      </c>
      <c r="L190" t="inlineStr"/>
      <c r="M190" s="6">
        <f>HYPERLINK("https://www.dailydose.de/kleinanzeigen/detail.htm?ai=423299&amp;cf=kk&amp;pg=3&amp;ci=5", "Link")</f>
        <v/>
      </c>
      <c r="N190" s="6">
        <f>HYPERLINK("C:\Projects\Kleinanzeigen-Scraper\offer_images\423299", "Link")</f>
        <v/>
      </c>
      <c r="O190" t="inlineStr">
        <is>
          <t>Joe_Monty</t>
        </is>
      </c>
      <c r="P190" s="6">
        <f>HYPERLINK("https://www.dailydose.de/kleinanzeigen/user/15677", "Link")</f>
        <v/>
      </c>
      <c r="Q190" s="7" t="n">
        <v>45563.7392824074</v>
      </c>
      <c r="R190" s="3" t="inlineStr">
        <is>
          <t>18.75</t>
        </is>
      </c>
      <c r="S190" t="inlineStr">
        <is>
          <t>München</t>
        </is>
      </c>
    </row>
    <row r="191">
      <c r="A191" s="2" t="n">
        <v>4</v>
      </c>
      <c r="B191" t="inlineStr">
        <is>
          <t>Goya Banzai</t>
        </is>
      </c>
      <c r="C191" s="3" t="inlineStr"/>
      <c r="D191" s="3" t="inlineStr"/>
      <c r="E191" t="inlineStr"/>
      <c r="F191" t="inlineStr"/>
      <c r="G191" t="inlineStr">
        <is>
          <t>used</t>
        </is>
      </c>
      <c r="H191" s="4" t="n">
        <v>390</v>
      </c>
      <c r="I191" t="inlineStr"/>
      <c r="J191" t="inlineStr">
        <is>
          <t>47533 kleve</t>
        </is>
      </c>
      <c r="K191" s="5" t="n">
        <v>45563</v>
      </c>
      <c r="L191" t="inlineStr"/>
      <c r="M191" s="6">
        <f>HYPERLINK("https://www.dailydose.de/kleinanzeigen/detail.htm?ai=423289&amp;cf=kk&amp;pg=3&amp;ci=5", "Link")</f>
        <v/>
      </c>
      <c r="N191" s="6">
        <f>HYPERLINK("C:\Projects\Kleinanzeigen-Scraper\offer_images\423289", "Link")</f>
        <v/>
      </c>
      <c r="O191" t="inlineStr">
        <is>
          <t>peter garzke</t>
        </is>
      </c>
      <c r="P191" s="6">
        <f>HYPERLINK("https://www.dailydose.de/kleinanzeigen/user/18980", "Link")</f>
        <v/>
      </c>
      <c r="Q191" s="7" t="n">
        <v>45563.73921296297</v>
      </c>
      <c r="R191" s="3" t="inlineStr">
        <is>
          <t>112.50</t>
        </is>
      </c>
      <c r="S191" t="inlineStr">
        <is>
          <t>Köln</t>
        </is>
      </c>
    </row>
    <row r="192">
      <c r="A192" s="2" t="n">
        <v>4.7</v>
      </c>
      <c r="B192" t="inlineStr">
        <is>
          <t>Goya Banzai</t>
        </is>
      </c>
      <c r="C192" s="3" t="inlineStr"/>
      <c r="D192" s="3" t="inlineStr"/>
      <c r="E192" t="inlineStr"/>
      <c r="F192" t="inlineStr"/>
      <c r="G192" t="inlineStr">
        <is>
          <t>used</t>
        </is>
      </c>
      <c r="H192" s="4" t="n">
        <v>410</v>
      </c>
      <c r="I192" t="inlineStr"/>
      <c r="J192" t="inlineStr">
        <is>
          <t>47533 kleve</t>
        </is>
      </c>
      <c r="K192" s="5" t="n">
        <v>45563</v>
      </c>
      <c r="L192" t="inlineStr"/>
      <c r="M192" s="6">
        <f>HYPERLINK("https://www.dailydose.de/kleinanzeigen/detail.htm?ai=423292&amp;cf=kk&amp;pg=3&amp;ci=5", "Link")</f>
        <v/>
      </c>
      <c r="N192" s="6">
        <f>HYPERLINK("C:\Projects\Kleinanzeigen-Scraper\offer_images\423292", "Link")</f>
        <v/>
      </c>
      <c r="O192" t="inlineStr">
        <is>
          <t>peter garzke</t>
        </is>
      </c>
      <c r="P192" s="6">
        <f>HYPERLINK("https://www.dailydose.de/kleinanzeigen/user/18980", "Link")</f>
        <v/>
      </c>
      <c r="Q192" s="7" t="n">
        <v>45563.7381712963</v>
      </c>
      <c r="R192" s="3" t="inlineStr">
        <is>
          <t>112.50</t>
        </is>
      </c>
      <c r="S192" t="inlineStr">
        <is>
          <t>Köln</t>
        </is>
      </c>
    </row>
    <row r="193">
      <c r="A193" s="2" t="n">
        <v>4.2</v>
      </c>
      <c r="B193" t="inlineStr">
        <is>
          <t>Goya Banzai</t>
        </is>
      </c>
      <c r="C193" s="3" t="inlineStr"/>
      <c r="D193" s="3" t="inlineStr"/>
      <c r="E193" t="inlineStr"/>
      <c r="F193" t="inlineStr"/>
      <c r="G193" t="inlineStr">
        <is>
          <t>used</t>
        </is>
      </c>
      <c r="H193" s="4" t="n">
        <v>390</v>
      </c>
      <c r="I193" t="inlineStr"/>
      <c r="J193" t="inlineStr">
        <is>
          <t>47533 kleve</t>
        </is>
      </c>
      <c r="K193" s="5" t="n">
        <v>45563</v>
      </c>
      <c r="L193" t="inlineStr"/>
      <c r="M193" s="6">
        <f>HYPERLINK("https://www.dailydose.de/kleinanzeigen/detail.htm?ai=423291&amp;cf=kk&amp;pg=3&amp;ci=5", "Link")</f>
        <v/>
      </c>
      <c r="N193" s="6">
        <f>HYPERLINK("C:\Projects\Kleinanzeigen-Scraper\offer_images\423291", "Link")</f>
        <v/>
      </c>
      <c r="O193" t="inlineStr">
        <is>
          <t>peter garzke</t>
        </is>
      </c>
      <c r="P193" s="6">
        <f>HYPERLINK("https://www.dailydose.de/kleinanzeigen/user/18980", "Link")</f>
        <v/>
      </c>
      <c r="Q193" s="7" t="n">
        <v>45563.73797453703</v>
      </c>
      <c r="R193" s="3" t="inlineStr">
        <is>
          <t>112.50</t>
        </is>
      </c>
      <c r="S193" t="inlineStr">
        <is>
          <t>Köln</t>
        </is>
      </c>
    </row>
    <row r="194">
      <c r="A194" s="2" t="n">
        <v>5</v>
      </c>
      <c r="B194" t="inlineStr">
        <is>
          <t>Goya Banzai</t>
        </is>
      </c>
      <c r="C194" s="3" t="inlineStr"/>
      <c r="D194" s="3" t="inlineStr"/>
      <c r="E194" t="inlineStr"/>
      <c r="F194" t="inlineStr"/>
      <c r="G194" t="inlineStr">
        <is>
          <t>used</t>
        </is>
      </c>
      <c r="H194" s="4" t="n">
        <v>430</v>
      </c>
      <c r="I194" t="inlineStr"/>
      <c r="J194" t="inlineStr">
        <is>
          <t>47533 kleve</t>
        </is>
      </c>
      <c r="K194" s="5" t="n">
        <v>45563</v>
      </c>
      <c r="L194" t="inlineStr"/>
      <c r="M194" s="6">
        <f>HYPERLINK("https://www.dailydose.de/kleinanzeigen/detail.htm?ai=423293&amp;cf=kk&amp;pg=3&amp;ci=5", "Link")</f>
        <v/>
      </c>
      <c r="N194" s="6">
        <f>HYPERLINK("C:\Projects\Kleinanzeigen-Scraper\offer_images\423293", "Link")</f>
        <v/>
      </c>
      <c r="O194" t="inlineStr">
        <is>
          <t>peter garzke</t>
        </is>
      </c>
      <c r="P194" s="6">
        <f>HYPERLINK("https://www.dailydose.de/kleinanzeigen/user/18980", "Link")</f>
        <v/>
      </c>
      <c r="Q194" s="7" t="n">
        <v>45563.73768518519</v>
      </c>
      <c r="R194" s="3" t="inlineStr">
        <is>
          <t>112.50</t>
        </is>
      </c>
      <c r="S194" t="inlineStr">
        <is>
          <t>Köln</t>
        </is>
      </c>
    </row>
    <row r="195">
      <c r="A195" s="2" t="n">
        <v>4.7</v>
      </c>
      <c r="B195" t="inlineStr">
        <is>
          <t>Goya Fringe</t>
        </is>
      </c>
      <c r="C195" s="3" t="inlineStr"/>
      <c r="D195" s="3" t="inlineStr"/>
      <c r="E195" t="inlineStr"/>
      <c r="F195" t="inlineStr"/>
      <c r="G195" t="inlineStr">
        <is>
          <t>used</t>
        </is>
      </c>
      <c r="H195" s="4" t="n">
        <v>430</v>
      </c>
      <c r="I195" t="inlineStr"/>
      <c r="J195" t="inlineStr">
        <is>
          <t>47533 kleve</t>
        </is>
      </c>
      <c r="K195" s="5" t="n">
        <v>45563</v>
      </c>
      <c r="L195" t="inlineStr"/>
      <c r="M195" s="6">
        <f>HYPERLINK("https://www.dailydose.de/kleinanzeigen/detail.htm?ai=423294&amp;cf=kk&amp;pg=3&amp;ci=5", "Link")</f>
        <v/>
      </c>
      <c r="N195" s="6">
        <f>HYPERLINK("C:\Projects\Kleinanzeigen-Scraper\offer_images\423294", "Link")</f>
        <v/>
      </c>
      <c r="O195" t="inlineStr">
        <is>
          <t>peter garzke</t>
        </is>
      </c>
      <c r="P195" s="6">
        <f>HYPERLINK("https://www.dailydose.de/kleinanzeigen/user/18980", "Link")</f>
        <v/>
      </c>
      <c r="Q195" s="7" t="n">
        <v>45563.73697916666</v>
      </c>
      <c r="R195" s="3" t="inlineStr">
        <is>
          <t>112.50</t>
        </is>
      </c>
      <c r="S195" t="inlineStr">
        <is>
          <t>Köln</t>
        </is>
      </c>
    </row>
    <row r="196">
      <c r="A196" s="2" t="n">
        <v>3.7</v>
      </c>
      <c r="B196" t="inlineStr">
        <is>
          <t>Goya Banzai</t>
        </is>
      </c>
      <c r="C196" s="3" t="inlineStr"/>
      <c r="D196" s="3" t="inlineStr"/>
      <c r="E196" t="inlineStr"/>
      <c r="F196" t="inlineStr"/>
      <c r="G196" t="inlineStr">
        <is>
          <t>used</t>
        </is>
      </c>
      <c r="H196" s="4" t="n">
        <v>390</v>
      </c>
      <c r="I196" t="inlineStr"/>
      <c r="J196" t="inlineStr">
        <is>
          <t>47533 kleve</t>
        </is>
      </c>
      <c r="K196" s="5" t="n">
        <v>45563</v>
      </c>
      <c r="L196" t="inlineStr"/>
      <c r="M196" s="6">
        <f>HYPERLINK("https://www.dailydose.de/kleinanzeigen/detail.htm?ai=423288&amp;cf=kk&amp;pg=3&amp;ci=5", "Link")</f>
        <v/>
      </c>
      <c r="N196" s="6">
        <f>HYPERLINK("C:\Projects\Kleinanzeigen-Scraper\offer_images\423288", "Link")</f>
        <v/>
      </c>
      <c r="O196" t="inlineStr">
        <is>
          <t>peter garzke</t>
        </is>
      </c>
      <c r="P196" s="6">
        <f>HYPERLINK("https://www.dailydose.de/kleinanzeigen/user/18980", "Link")</f>
        <v/>
      </c>
      <c r="Q196" s="7" t="n">
        <v>45563.736875</v>
      </c>
      <c r="R196" s="3" t="inlineStr">
        <is>
          <t>112.50</t>
        </is>
      </c>
      <c r="S196" t="inlineStr">
        <is>
          <t>Köln</t>
        </is>
      </c>
    </row>
    <row r="197">
      <c r="A197" s="2" t="n">
        <v>6.2</v>
      </c>
      <c r="B197" t="inlineStr">
        <is>
          <t>Neilpryde Speedster</t>
        </is>
      </c>
      <c r="C197" s="3" t="n">
        <v>432</v>
      </c>
      <c r="D197" s="3" t="inlineStr">
        <is>
          <t>187-193</t>
        </is>
      </c>
      <c r="E197" t="inlineStr"/>
      <c r="F197" t="inlineStr">
        <is>
          <t>2023</t>
        </is>
      </c>
      <c r="G197" t="inlineStr">
        <is>
          <t>new</t>
        </is>
      </c>
      <c r="H197" s="4" t="n">
        <v>499</v>
      </c>
      <c r="I197" t="inlineStr"/>
      <c r="J197" t="inlineStr">
        <is>
          <t>55128 Rheinland-Pfalz - Mainz</t>
        </is>
      </c>
      <c r="K197" s="5" t="n">
        <v>45563</v>
      </c>
      <c r="L197" t="inlineStr"/>
      <c r="M197" s="6">
        <f>HYPERLINK("https://www.kleinanzeigen.de/s-anzeige/neilpryde-speedster-6-2-2023-neu-/2875921190-230-5321", "Link")</f>
        <v/>
      </c>
      <c r="N197" s="6">
        <f>HYPERLINK("C:\Projects\Kleinanzeigen-Scraper\offer_images\2875921190", "Link")</f>
        <v/>
      </c>
      <c r="O197" t="inlineStr">
        <is>
          <t>Felix</t>
        </is>
      </c>
      <c r="P197" s="6">
        <f>HYPERLINK("https://www.kleinanzeigen.de/s-bestandsliste.html?userId=31967178", "Link")</f>
        <v/>
      </c>
      <c r="Q197" s="7" t="n">
        <v>45563.73534722222</v>
      </c>
      <c r="R197" s="3" t="inlineStr">
        <is>
          <t>108.61</t>
        </is>
      </c>
      <c r="S197" t="inlineStr">
        <is>
          <t>Karlsruhe</t>
        </is>
      </c>
    </row>
    <row r="198">
      <c r="A198" s="2" t="n">
        <v>7.5</v>
      </c>
      <c r="B198" t="inlineStr">
        <is>
          <t>Point 7 AC-X</t>
        </is>
      </c>
      <c r="C198" s="3" t="n">
        <v>477</v>
      </c>
      <c r="D198" s="3" t="n">
        <v>206</v>
      </c>
      <c r="E198" t="inlineStr"/>
      <c r="F198" t="inlineStr"/>
      <c r="G198" t="inlineStr">
        <is>
          <t>used</t>
        </is>
      </c>
      <c r="H198" s="4" t="n">
        <v>345</v>
      </c>
      <c r="I198" t="inlineStr"/>
      <c r="J198" t="inlineStr">
        <is>
          <t>81476 München - Thalk.Obersendl.-Forsten-Fürstenr.-Solln</t>
        </is>
      </c>
      <c r="K198" s="5" t="n">
        <v>45563</v>
      </c>
      <c r="L198" t="inlineStr"/>
      <c r="M198" s="6">
        <f>HYPERLINK("https://www.kleinanzeigen.de/s-anzeige/windsurf-segel-point-7-ac-x-7-5-qm/2876117583-230-6436", "Link")</f>
        <v/>
      </c>
      <c r="N198" s="6">
        <f>HYPERLINK("C:\Projects\Kleinanzeigen-Scraper\offer_images\2876117583", "Link")</f>
        <v/>
      </c>
      <c r="O198" t="inlineStr">
        <is>
          <t>Mike</t>
        </is>
      </c>
      <c r="P198" s="6">
        <f>HYPERLINK("https://www.kleinanzeigen.de/s-bestandsliste.html?userId=27971111", "Link")</f>
        <v/>
      </c>
      <c r="Q198" s="7" t="n">
        <v>45563.73521990741</v>
      </c>
      <c r="R198" s="3" t="inlineStr">
        <is>
          <t>8.19</t>
        </is>
      </c>
      <c r="S198" t="inlineStr">
        <is>
          <t>München</t>
        </is>
      </c>
    </row>
    <row r="199">
      <c r="A199" s="2" t="n">
        <v>3.5</v>
      </c>
      <c r="B199" t="inlineStr">
        <is>
          <t>North Salis</t>
        </is>
      </c>
      <c r="C199" s="3" t="inlineStr"/>
      <c r="D199" s="3" t="inlineStr"/>
      <c r="E199" t="inlineStr"/>
      <c r="F199" t="inlineStr"/>
      <c r="G199" t="inlineStr">
        <is>
          <t>new</t>
        </is>
      </c>
      <c r="H199" s="4" t="n">
        <v>50</v>
      </c>
      <c r="I199" t="inlineStr"/>
      <c r="J199" t="inlineStr">
        <is>
          <t>65205 Wiesbaden - Nordenstadt</t>
        </is>
      </c>
      <c r="K199" s="5" t="n">
        <v>45562</v>
      </c>
      <c r="L199" t="inlineStr"/>
      <c r="M199" s="6">
        <f>HYPERLINK("https://www.kleinanzeigen.de/s-anzeige/3-5-m-north-salis-neuwertig-auch-fuer-sup-gut-geeignet/2875630658-230-4913", "Link")</f>
        <v/>
      </c>
      <c r="N199" s="6">
        <f>HYPERLINK("C:\Projects\Kleinanzeigen-Scraper\offer_images\2875630658", "Link")</f>
        <v/>
      </c>
      <c r="O199" t="inlineStr">
        <is>
          <t>Stefan Eisenacher</t>
        </is>
      </c>
      <c r="P199" s="6">
        <f>HYPERLINK("https://www.kleinanzeigen.de/s-bestandsliste.html?userId=2668414", "Link")</f>
        <v/>
      </c>
      <c r="Q199" s="7" t="n">
        <v>45563.73510416667</v>
      </c>
      <c r="R199" s="3" t="inlineStr">
        <is>
          <t>116.77</t>
        </is>
      </c>
      <c r="S199" t="inlineStr">
        <is>
          <t>Karlsruhe</t>
        </is>
      </c>
    </row>
    <row r="200">
      <c r="A200" s="2" t="n">
        <v>10</v>
      </c>
      <c r="B200" t="inlineStr">
        <is>
          <t>North Orbit</t>
        </is>
      </c>
      <c r="C200" s="3" t="inlineStr"/>
      <c r="D200" s="3" t="inlineStr"/>
      <c r="E200" t="inlineStr"/>
      <c r="F200" t="inlineStr">
        <is>
          <t>2023</t>
        </is>
      </c>
      <c r="G200" t="inlineStr">
        <is>
          <t>new</t>
        </is>
      </c>
      <c r="H200" s="4" t="n">
        <v>800</v>
      </c>
      <c r="I200" t="inlineStr"/>
      <c r="J200" t="inlineStr">
        <is>
          <t>80339 München - Schwanthalerhöhe</t>
        </is>
      </c>
      <c r="K200" s="5" t="n">
        <v>45563</v>
      </c>
      <c r="L200" t="inlineStr"/>
      <c r="M200" s="6">
        <f>HYPERLINK("https://www.kleinanzeigen.de/s-anzeige/north-orbit-10-2023/2876070188-230-6444", "Link")</f>
        <v/>
      </c>
      <c r="N200" s="6">
        <f>HYPERLINK("C:\Projects\Kleinanzeigen-Scraper\offer_images\2876070188", "Link")</f>
        <v/>
      </c>
      <c r="O200" t="inlineStr">
        <is>
          <t>Jakob E.</t>
        </is>
      </c>
      <c r="P200" s="6">
        <f>HYPERLINK("https://www.kleinanzeigen.de/s-bestandsliste.html?userId=1698402", "Link")</f>
        <v/>
      </c>
      <c r="Q200" s="7" t="n">
        <v>45563.73498842592</v>
      </c>
      <c r="R200" s="3" t="inlineStr">
        <is>
          <t>2.57</t>
        </is>
      </c>
      <c r="S200" t="inlineStr">
        <is>
          <t>München</t>
        </is>
      </c>
    </row>
    <row r="201">
      <c r="A201" s="2" t="n">
        <v>5.4</v>
      </c>
      <c r="B201" t="inlineStr">
        <is>
          <t>Challenger Sail</t>
        </is>
      </c>
      <c r="C201" s="3" t="inlineStr"/>
      <c r="D201" s="3" t="inlineStr"/>
      <c r="E201" t="inlineStr"/>
      <c r="F201" t="inlineStr"/>
      <c r="G201" t="inlineStr">
        <is>
          <t>used</t>
        </is>
      </c>
      <c r="H201" s="4" t="n">
        <v>129</v>
      </c>
      <c r="I201" t="inlineStr">
        <is>
          <t>VB</t>
        </is>
      </c>
      <c r="J201" t="inlineStr">
        <is>
          <t>79359 Baden-Württemberg - Riegel</t>
        </is>
      </c>
      <c r="K201" s="5" t="n">
        <v>45529</v>
      </c>
      <c r="L201" t="inlineStr">
        <is>
          <t>Sold</t>
        </is>
      </c>
      <c r="M201" s="6">
        <f>HYPERLINK("https://www.kleinanzeigen.de/s-anzeige/challenger-sail-5-4-qm-north-neilpryde-top/2845810515-230-8911", "Link")</f>
        <v/>
      </c>
      <c r="N201" s="6">
        <f>HYPERLINK("C:\Projects\Kleinanzeigen-Scraper\offer_images\2845810515", "Link")</f>
        <v/>
      </c>
      <c r="O201" t="inlineStr">
        <is>
          <t>Oliver Hartmann</t>
        </is>
      </c>
      <c r="P201" s="6">
        <f>HYPERLINK("https://www.kleinanzeigen.de/s-bestandsliste.html?userId=32870287", "Link")</f>
        <v/>
      </c>
      <c r="Q201" s="7" t="n">
        <v>45563.73476851852</v>
      </c>
      <c r="R201" s="3" t="inlineStr">
        <is>
          <t>57.55</t>
        </is>
      </c>
      <c r="S201" t="inlineStr">
        <is>
          <t>Bonndorf</t>
        </is>
      </c>
    </row>
    <row r="202">
      <c r="A202" s="2" t="n">
        <v>5.7</v>
      </c>
      <c r="B202" t="inlineStr">
        <is>
          <t>Neilpryde</t>
        </is>
      </c>
      <c r="C202" s="3" t="n">
        <v>447</v>
      </c>
      <c r="D202" s="3" t="n">
        <v>178</v>
      </c>
      <c r="E202" t="inlineStr"/>
      <c r="F202" t="inlineStr"/>
      <c r="G202" t="inlineStr">
        <is>
          <t>used</t>
        </is>
      </c>
      <c r="H202" s="4" t="n">
        <v>100</v>
      </c>
      <c r="I202" t="inlineStr"/>
      <c r="J202" t="inlineStr">
        <is>
          <t>22303 Hamburg-Nord - Hamburg Winterhude</t>
        </is>
      </c>
      <c r="K202" s="5" t="n">
        <v>45563</v>
      </c>
      <c r="L202" t="inlineStr"/>
      <c r="M202" s="6">
        <f>HYPERLINK("https://www.kleinanzeigen.de/s-anzeige/neilpryde-segel-5-7-qm-windsurfsegel/2876342492-230-9482", "Link")</f>
        <v/>
      </c>
      <c r="N202" s="6">
        <f>HYPERLINK("C:\Projects\Kleinanzeigen-Scraper\offer_images\2876342492", "Link")</f>
        <v/>
      </c>
      <c r="O202" t="inlineStr">
        <is>
          <t>Daniel</t>
        </is>
      </c>
      <c r="P202" s="6">
        <f>HYPERLINK("https://www.kleinanzeigen.de/s-bestandsliste.html?userId=33396736", "Link")</f>
        <v/>
      </c>
      <c r="Q202" s="7" t="n">
        <v>45563.73436342592</v>
      </c>
      <c r="R202" s="3" t="inlineStr">
        <is>
          <t>361.45</t>
        </is>
      </c>
      <c r="S202" t="inlineStr">
        <is>
          <t>Köln</t>
        </is>
      </c>
    </row>
    <row r="203">
      <c r="A203" s="2" t="n">
        <v>6</v>
      </c>
      <c r="B203" t="inlineStr">
        <is>
          <t>Pacific Fun Slalom</t>
        </is>
      </c>
      <c r="C203" s="3" t="n">
        <v>4.65</v>
      </c>
      <c r="D203" s="3" t="n">
        <v>1.85</v>
      </c>
      <c r="E203" t="inlineStr"/>
      <c r="F203" t="inlineStr"/>
      <c r="G203" t="inlineStr">
        <is>
          <t>used</t>
        </is>
      </c>
      <c r="H203" s="4" t="n">
        <v>40</v>
      </c>
      <c r="I203" t="inlineStr"/>
      <c r="J203" t="inlineStr">
        <is>
          <t>72800 Baden-Württemberg - Eningen</t>
        </is>
      </c>
      <c r="K203" s="5" t="n">
        <v>45550</v>
      </c>
      <c r="L203" t="inlineStr">
        <is>
          <t>Sold</t>
        </is>
      </c>
      <c r="M203" s="6">
        <f>HYPERLINK("https://www.kleinanzeigen.de/s-anzeige/windsurf-segel-pacific-fun-slalom-6-0/2864888253-230-9352", "Link")</f>
        <v/>
      </c>
      <c r="N203" s="6">
        <f>HYPERLINK("C:\Projects\Kleinanzeigen-Scraper\offer_images\2864888253", "Link")</f>
        <v/>
      </c>
      <c r="O203" t="inlineStr">
        <is>
          <t>Dani</t>
        </is>
      </c>
      <c r="P203" s="6">
        <f>HYPERLINK("https://www.kleinanzeigen.de/s-bestandsliste.html?userId=26319259", "Link")</f>
        <v/>
      </c>
      <c r="Q203" s="7" t="n">
        <v>45563.73420138889</v>
      </c>
      <c r="R203" s="3" t="inlineStr">
        <is>
          <t>31.30</t>
        </is>
      </c>
      <c r="S203" t="inlineStr">
        <is>
          <t>Böblingen</t>
        </is>
      </c>
    </row>
    <row r="204">
      <c r="A204" s="2" t="n">
        <v>6</v>
      </c>
      <c r="B204" t="inlineStr">
        <is>
          <t>Neilpryde GYBE</t>
        </is>
      </c>
      <c r="C204" s="3" t="inlineStr"/>
      <c r="D204" s="3" t="inlineStr"/>
      <c r="E204" t="inlineStr"/>
      <c r="F204" t="inlineStr"/>
      <c r="G204" t="inlineStr">
        <is>
          <t>used</t>
        </is>
      </c>
      <c r="H204" s="4" t="inlineStr"/>
      <c r="I204" t="inlineStr">
        <is>
          <t>VB</t>
        </is>
      </c>
      <c r="J204" t="inlineStr">
        <is>
          <t>95213 Bayern - Münchberg</t>
        </is>
      </c>
      <c r="K204" s="5" t="n">
        <v>45529</v>
      </c>
      <c r="L204" t="inlineStr"/>
      <c r="M204" s="6">
        <f>HYPERLINK("https://www.kleinanzeigen.de/s-anzeige/surfsegel-gybe-6-0-neilpryde/2845612222-230-7228", "Link")</f>
        <v/>
      </c>
      <c r="N204" s="6">
        <f>HYPERLINK("C:\Projects\Kleinanzeigen-Scraper\offer_images\2845612222", "Link")</f>
        <v/>
      </c>
      <c r="O204" t="inlineStr">
        <is>
          <t>Familie Pohl</t>
        </is>
      </c>
      <c r="P204" s="6">
        <f>HYPERLINK("https://www.kleinanzeigen.de/s-bestandsliste.html?userId=15363276", "Link")</f>
        <v/>
      </c>
      <c r="Q204" s="7" t="n">
        <v>45563.73407407408</v>
      </c>
      <c r="R204" s="3" t="inlineStr">
        <is>
          <t>229.50</t>
        </is>
      </c>
      <c r="S204" t="inlineStr">
        <is>
          <t>München</t>
        </is>
      </c>
    </row>
    <row r="205">
      <c r="A205" s="2" t="n">
        <v>6.7</v>
      </c>
      <c r="B205" t="inlineStr">
        <is>
          <t>Neilpryde V8</t>
        </is>
      </c>
      <c r="C205" s="3" t="n">
        <v>448</v>
      </c>
      <c r="D205" s="3" t="inlineStr">
        <is>
          <t>193-199</t>
        </is>
      </c>
      <c r="E205" t="inlineStr"/>
      <c r="F205" t="inlineStr">
        <is>
          <t>2023</t>
        </is>
      </c>
      <c r="G205" t="inlineStr">
        <is>
          <t>new</t>
        </is>
      </c>
      <c r="H205" s="4" t="n">
        <v>475</v>
      </c>
      <c r="I205" t="inlineStr"/>
      <c r="J205" t="inlineStr">
        <is>
          <t>55128 Rheinland-Pfalz - Mainz</t>
        </is>
      </c>
      <c r="K205" s="5" t="n">
        <v>45563</v>
      </c>
      <c r="L205" t="inlineStr"/>
      <c r="M205" s="6">
        <f>HYPERLINK("https://www.kleinanzeigen.de/s-anzeige/neilpryde-v8-6-7-2023-top-wie-neu-/2876155668-230-5321", "Link")</f>
        <v/>
      </c>
      <c r="N205" s="6">
        <f>HYPERLINK("C:\Projects\Kleinanzeigen-Scraper\offer_images\2876155668", "Link")</f>
        <v/>
      </c>
      <c r="O205" t="inlineStr">
        <is>
          <t>Felix</t>
        </is>
      </c>
      <c r="P205" s="6">
        <f>HYPERLINK("https://www.kleinanzeigen.de/s-bestandsliste.html?userId=31967178", "Link")</f>
        <v/>
      </c>
      <c r="Q205" s="7" t="n">
        <v>45563.73364583333</v>
      </c>
      <c r="R205" s="3" t="inlineStr">
        <is>
          <t>108.61</t>
        </is>
      </c>
      <c r="S205" t="inlineStr">
        <is>
          <t>Karlsruhe</t>
        </is>
      </c>
    </row>
    <row r="206">
      <c r="A206" s="2" t="n">
        <v>9.5</v>
      </c>
      <c r="B206" t="inlineStr">
        <is>
          <t>Gaastra Vapor</t>
        </is>
      </c>
      <c r="C206" s="3" t="n">
        <v>490</v>
      </c>
      <c r="D206" s="3" t="n">
        <v>238</v>
      </c>
      <c r="E206" t="inlineStr">
        <is>
          <t>Race</t>
        </is>
      </c>
      <c r="F206" t="inlineStr"/>
      <c r="G206" t="inlineStr">
        <is>
          <t>used</t>
        </is>
      </c>
      <c r="H206" s="4" t="inlineStr"/>
      <c r="I206" t="inlineStr">
        <is>
          <t>VB</t>
        </is>
      </c>
      <c r="J206" t="inlineStr">
        <is>
          <t>79100 Freiburg im Breisgau - Wiehre</t>
        </is>
      </c>
      <c r="K206" s="5" t="n">
        <v>45563</v>
      </c>
      <c r="L206" t="inlineStr">
        <is>
          <t>Sold</t>
        </is>
      </c>
      <c r="M206" s="6">
        <f>HYPERLINK("https://www.kleinanzeigen.de/s-anzeige/verkaufe-gaastra-vapor-9-5m-race-segel-in-sehr-gutem-zustand/2876092902-230-9368", "Link")</f>
        <v/>
      </c>
      <c r="N206" s="6">
        <f>HYPERLINK("C:\Projects\Kleinanzeigen-Scraper\offer_images\2876092902", "Link")</f>
        <v/>
      </c>
      <c r="O206" t="inlineStr">
        <is>
          <t>MLF</t>
        </is>
      </c>
      <c r="P206" s="6">
        <f>HYPERLINK("https://www.kleinanzeigen.de/s-bestandsliste.html?userId=15574759", "Link")</f>
        <v/>
      </c>
      <c r="Q206" s="7" t="n">
        <v>45563.73327546296</v>
      </c>
      <c r="R206" s="3" t="inlineStr">
        <is>
          <t>39.95</t>
        </is>
      </c>
      <c r="S206" t="inlineStr">
        <is>
          <t>Bonndorf</t>
        </is>
      </c>
    </row>
    <row r="207">
      <c r="A207" s="2" t="inlineStr"/>
      <c r="B207" t="inlineStr">
        <is>
          <t>Hifly</t>
        </is>
      </c>
      <c r="C207" s="3" t="inlineStr"/>
      <c r="D207" s="3" t="inlineStr"/>
      <c r="E207" t="inlineStr"/>
      <c r="F207" t="inlineStr"/>
      <c r="G207" t="inlineStr">
        <is>
          <t>used</t>
        </is>
      </c>
      <c r="H207" s="4" t="n">
        <v>15</v>
      </c>
      <c r="I207" t="inlineStr"/>
      <c r="J207" t="inlineStr">
        <is>
          <t>99510 Thüringen - Apolda</t>
        </is>
      </c>
      <c r="K207" s="5" t="n">
        <v>45563</v>
      </c>
      <c r="L207" t="inlineStr"/>
      <c r="M207" s="6">
        <f>HYPERLINK("https://www.kleinanzeigen.de/s-anzeige/segel-windsurf-retro-hifly/2876274047-230-3626", "Link")</f>
        <v/>
      </c>
      <c r="N207" s="6">
        <f>HYPERLINK("C:\Projects\Kleinanzeigen-Scraper\offer_images\2876274047", "Link")</f>
        <v/>
      </c>
      <c r="O207" t="inlineStr">
        <is>
          <t>Töpleb</t>
        </is>
      </c>
      <c r="P207" s="6">
        <f>HYPERLINK("https://www.kleinanzeigen.de/s-bestandsliste.html?userId=3282356", "Link")</f>
        <v/>
      </c>
      <c r="Q207" s="7" t="n">
        <v>45563.73207175926</v>
      </c>
      <c r="R207" s="3" t="inlineStr">
        <is>
          <t>314.52</t>
        </is>
      </c>
      <c r="S207" t="inlineStr">
        <is>
          <t>Karlsruhe</t>
        </is>
      </c>
    </row>
    <row r="208">
      <c r="A208" s="2" t="n">
        <v>5.3</v>
      </c>
      <c r="B208" t="inlineStr">
        <is>
          <t>Goya Banzai</t>
        </is>
      </c>
      <c r="C208" s="3" t="n">
        <v>430</v>
      </c>
      <c r="D208" s="3" t="inlineStr"/>
      <c r="E208" t="inlineStr"/>
      <c r="F208" t="inlineStr">
        <is>
          <t>2016</t>
        </is>
      </c>
      <c r="G208" t="inlineStr">
        <is>
          <t>used</t>
        </is>
      </c>
      <c r="H208" s="4" t="n">
        <v>99</v>
      </c>
      <c r="I208" t="inlineStr">
        <is>
          <t>VB</t>
        </is>
      </c>
      <c r="J208" t="inlineStr">
        <is>
          <t>22927 Schleswig-Holstein - Großhansdorf</t>
        </is>
      </c>
      <c r="K208" s="5" t="n">
        <v>45553</v>
      </c>
      <c r="L208" t="inlineStr"/>
      <c r="M208" s="6">
        <f>HYPERLINK("https://www.kleinanzeigen.de/s-anzeige/goya-banzai-5-3-gut-gebraucht-segel/2866863826-230-921", "Link")</f>
        <v/>
      </c>
      <c r="N208" s="6">
        <f>HYPERLINK("C:\Projects\Kleinanzeigen-Scraper\offer_images\2866863826", "Link")</f>
        <v/>
      </c>
      <c r="O208" t="inlineStr">
        <is>
          <t>Engler-Sass</t>
        </is>
      </c>
      <c r="P208" s="6">
        <f>HYPERLINK("https://www.kleinanzeigen.de/s-bestandsliste.html?userId=17887848", "Link")</f>
        <v/>
      </c>
      <c r="Q208" s="7" t="n">
        <v>45563.73197916667</v>
      </c>
      <c r="R208" s="3" t="inlineStr">
        <is>
          <t>378.07</t>
        </is>
      </c>
      <c r="S208" t="inlineStr">
        <is>
          <t>Köln</t>
        </is>
      </c>
    </row>
    <row r="209">
      <c r="A209" s="2" t="n">
        <v>6.2</v>
      </c>
      <c r="B209" t="inlineStr">
        <is>
          <t>Neilpryde X Ryde</t>
        </is>
      </c>
      <c r="C209" s="3" t="n">
        <v>430</v>
      </c>
      <c r="D209" s="3" t="n">
        <v>190</v>
      </c>
      <c r="E209" t="inlineStr">
        <is>
          <t>Freeride</t>
        </is>
      </c>
      <c r="F209" t="inlineStr">
        <is>
          <t>2019</t>
        </is>
      </c>
      <c r="G209" t="inlineStr">
        <is>
          <t>new</t>
        </is>
      </c>
      <c r="H209" s="4" t="n">
        <v>280</v>
      </c>
      <c r="I209" t="inlineStr">
        <is>
          <t>VB</t>
        </is>
      </c>
      <c r="J209" t="inlineStr">
        <is>
          <t>24105 Schleswig-Holstein - Kiel</t>
        </is>
      </c>
      <c r="K209" s="5" t="n">
        <v>45563</v>
      </c>
      <c r="L209" t="inlineStr"/>
      <c r="M209" s="6">
        <f>HYPERLINK("https://www.kleinanzeigen.de/s-anzeige/neilpryde-x-ryde-freeride-segel-6-2/2876111643-230-708", "Link")</f>
        <v/>
      </c>
      <c r="N209" s="6">
        <f>HYPERLINK("C:\Projects\Kleinanzeigen-Scraper\offer_images\2876111643", "Link")</f>
        <v/>
      </c>
      <c r="O209" t="inlineStr">
        <is>
          <t>Per Schwall</t>
        </is>
      </c>
      <c r="P209" s="6">
        <f>HYPERLINK("https://www.kleinanzeigen.de/s-bestandsliste.html?userId=91093838", "Link")</f>
        <v/>
      </c>
      <c r="Q209" s="7" t="n">
        <v>45563.73190972222</v>
      </c>
      <c r="R209" s="3" t="inlineStr">
        <is>
          <t>435.05</t>
        </is>
      </c>
      <c r="S209" t="inlineStr">
        <is>
          <t>Köln</t>
        </is>
      </c>
    </row>
    <row r="210">
      <c r="A210" s="2" t="n">
        <v>3.6</v>
      </c>
      <c r="B210" t="inlineStr">
        <is>
          <t>Vandal</t>
        </is>
      </c>
      <c r="C210" s="3" t="inlineStr"/>
      <c r="D210" s="3" t="inlineStr"/>
      <c r="E210" t="inlineStr"/>
      <c r="F210" t="inlineStr"/>
      <c r="G210" t="inlineStr">
        <is>
          <t>used</t>
        </is>
      </c>
      <c r="H210" s="4" t="n">
        <v>90</v>
      </c>
      <c r="I210" t="inlineStr"/>
      <c r="J210" t="inlineStr">
        <is>
          <t>25436 Kreis Pinneberg - Tornesch</t>
        </is>
      </c>
      <c r="K210" s="5" t="n">
        <v>45563</v>
      </c>
      <c r="L210" t="inlineStr"/>
      <c r="M210" s="6">
        <f>HYPERLINK("https://www.kleinanzeigen.de/s-anzeige/surfsegel-vandal-ca-3-6-m2/2876042975-230-16679", "Link")</f>
        <v/>
      </c>
      <c r="N210" s="6">
        <f>HYPERLINK("C:\Projects\Kleinanzeigen-Scraper\offer_images\2876042975", "Link")</f>
        <v/>
      </c>
      <c r="O210" t="inlineStr">
        <is>
          <t>Mittelstein</t>
        </is>
      </c>
      <c r="P210" s="6">
        <f>HYPERLINK("https://www.kleinanzeigen.de/s-bestandsliste.html?userId=5737874", "Link")</f>
        <v/>
      </c>
      <c r="Q210" s="7" t="n">
        <v>45563.73174768518</v>
      </c>
      <c r="R210" s="3" t="inlineStr">
        <is>
          <t>356.69</t>
        </is>
      </c>
      <c r="S210" t="inlineStr">
        <is>
          <t>Köln</t>
        </is>
      </c>
    </row>
    <row r="211">
      <c r="A211" s="2" t="n">
        <v>8.199999999999999</v>
      </c>
      <c r="B211" t="inlineStr">
        <is>
          <t>Neilpryde Hellcat</t>
        </is>
      </c>
      <c r="C211" s="3" t="inlineStr"/>
      <c r="D211" s="3" t="inlineStr"/>
      <c r="E211" t="inlineStr"/>
      <c r="F211" t="inlineStr"/>
      <c r="G211" t="inlineStr">
        <is>
          <t>used</t>
        </is>
      </c>
      <c r="H211" s="4" t="n">
        <v>195</v>
      </c>
      <c r="I211" t="inlineStr"/>
      <c r="J211" t="inlineStr">
        <is>
          <t>83059 Bayern - Kolbermoor</t>
        </is>
      </c>
      <c r="K211" s="5" t="n">
        <v>45487</v>
      </c>
      <c r="L211" t="inlineStr">
        <is>
          <t>Sold</t>
        </is>
      </c>
      <c r="M211" s="6">
        <f>HYPERLINK("https://www.kleinanzeigen.de/s-anzeige/neilpryde-hellcat-8-2-segel-windsurfsegel-speedster/2811809500-230-6257", "Link")</f>
        <v/>
      </c>
      <c r="N211" s="6">
        <f>HYPERLINK("C:\Projects\Kleinanzeigen-Scraper\offer_images\2811809500", "Link")</f>
        <v/>
      </c>
      <c r="O211" t="inlineStr">
        <is>
          <t>Bergen</t>
        </is>
      </c>
      <c r="P211" s="6">
        <f>HYPERLINK("https://www.kleinanzeigen.de/s-bestandsliste.html?userId=5982314", "Link")</f>
        <v/>
      </c>
      <c r="Q211" s="7" t="n">
        <v>45563.7315162037</v>
      </c>
      <c r="R211" s="3" t="inlineStr">
        <is>
          <t>48.45</t>
        </is>
      </c>
      <c r="S211" t="inlineStr">
        <is>
          <t>München</t>
        </is>
      </c>
    </row>
    <row r="212">
      <c r="A212" s="2" t="n">
        <v>5.8</v>
      </c>
      <c r="B212" t="inlineStr">
        <is>
          <t>Neilpryde Atlas</t>
        </is>
      </c>
      <c r="C212" s="3" t="inlineStr"/>
      <c r="D212" s="3" t="inlineStr"/>
      <c r="E212" t="inlineStr"/>
      <c r="F212" t="inlineStr">
        <is>
          <t>2013</t>
        </is>
      </c>
      <c r="G212" t="inlineStr">
        <is>
          <t>defective</t>
        </is>
      </c>
      <c r="H212" s="4" t="n">
        <v>50</v>
      </c>
      <c r="I212" t="inlineStr">
        <is>
          <t>VB</t>
        </is>
      </c>
      <c r="J212" t="inlineStr">
        <is>
          <t>21502 Herzogtum Lauenburg - Geesthacht</t>
        </is>
      </c>
      <c r="K212" s="5" t="n">
        <v>45487</v>
      </c>
      <c r="L212" t="inlineStr">
        <is>
          <t>Sold</t>
        </is>
      </c>
      <c r="M212" s="6">
        <f>HYPERLINK("https://www.kleinanzeigen.de/s-anzeige/neilpryde-atlas-5-8-neil-pryde/2812383663-230-612", "Link")</f>
        <v/>
      </c>
      <c r="N212" s="6">
        <f>HYPERLINK("C:\Projects\Kleinanzeigen-Scraper\offer_images\2812383663", "Link")</f>
        <v/>
      </c>
      <c r="O212" t="inlineStr">
        <is>
          <t>Thomas Quetschke</t>
        </is>
      </c>
      <c r="P212" s="6">
        <f>HYPERLINK("https://www.kleinanzeigen.de/s-bestandsliste.html?userId=10589732", "Link")</f>
        <v/>
      </c>
      <c r="Q212" s="7" t="n">
        <v>45563.73099537037</v>
      </c>
      <c r="R212" s="3" t="inlineStr">
        <is>
          <t>364.52</t>
        </is>
      </c>
      <c r="S212" t="inlineStr">
        <is>
          <t>Köln</t>
        </is>
      </c>
    </row>
    <row r="213">
      <c r="A213" s="2" t="n">
        <v>4.7</v>
      </c>
      <c r="B213" t="inlineStr">
        <is>
          <t>Gun Sails Steel</t>
        </is>
      </c>
      <c r="C213" s="3" t="n">
        <v>415</v>
      </c>
      <c r="D213" s="3" t="n">
        <v>164</v>
      </c>
      <c r="E213" t="inlineStr"/>
      <c r="F213" t="inlineStr"/>
      <c r="G213" t="inlineStr">
        <is>
          <t>used</t>
        </is>
      </c>
      <c r="H213" s="4" t="n">
        <v>35</v>
      </c>
      <c r="I213" t="inlineStr"/>
      <c r="J213" t="inlineStr">
        <is>
          <t>47198 Duisburg - Homberg/Ruhrort/Baerl</t>
        </is>
      </c>
      <c r="K213" s="5" t="n">
        <v>45562</v>
      </c>
      <c r="L213" t="inlineStr">
        <is>
          <t>Sold</t>
        </is>
      </c>
      <c r="M213" s="6">
        <f>HYPERLINK("https://www.kleinanzeigen.de/s-anzeige/gun-sails-steel-4-7-surfsegel-windsurfen/2875749176-230-2140", "Link")</f>
        <v/>
      </c>
      <c r="N213" s="6">
        <f>HYPERLINK("C:\Projects\Kleinanzeigen-Scraper\offer_images\2875749176", "Link")</f>
        <v/>
      </c>
      <c r="O213" t="inlineStr">
        <is>
          <t>Stephan Kalbertod</t>
        </is>
      </c>
      <c r="P213" s="6">
        <f>HYPERLINK("https://www.kleinanzeigen.de/s-bestandsliste.html?userId=8064073", "Link")</f>
        <v/>
      </c>
      <c r="Q213" s="7" t="n">
        <v>45563.73061342593</v>
      </c>
      <c r="R213" s="3" t="inlineStr">
        <is>
          <t>59.95</t>
        </is>
      </c>
      <c r="S213" t="inlineStr">
        <is>
          <t>Köln</t>
        </is>
      </c>
    </row>
    <row r="214">
      <c r="A214" s="2" t="n">
        <v>5.3</v>
      </c>
      <c r="B214" t="inlineStr">
        <is>
          <t>Simmer Style Mission</t>
        </is>
      </c>
      <c r="C214" s="3" t="n">
        <v>430</v>
      </c>
      <c r="D214" s="3" t="n">
        <v>170</v>
      </c>
      <c r="E214" t="inlineStr">
        <is>
          <t>Wave</t>
        </is>
      </c>
      <c r="F214" t="inlineStr"/>
      <c r="G214" t="inlineStr">
        <is>
          <t>used</t>
        </is>
      </c>
      <c r="H214" s="4" t="n">
        <v>150</v>
      </c>
      <c r="I214" t="inlineStr">
        <is>
          <t>VB</t>
        </is>
      </c>
      <c r="J214" t="inlineStr">
        <is>
          <t>23611 Kreis Ostholstein - Bad Schwartau</t>
        </is>
      </c>
      <c r="K214" s="5" t="n">
        <v>45563</v>
      </c>
      <c r="L214" t="inlineStr"/>
      <c r="M214" s="6">
        <f>HYPERLINK("https://www.kleinanzeigen.de/s-anzeige/windsurfsegel-simmer-style-mission-x-5-3qm/2876175799-230-464", "Link")</f>
        <v/>
      </c>
      <c r="N214" s="6">
        <f>HYPERLINK("C:\Projects\Kleinanzeigen-Scraper\offer_images\2876175799", "Link")</f>
        <v/>
      </c>
      <c r="O214" t="inlineStr">
        <is>
          <t>Frank Bauer</t>
        </is>
      </c>
      <c r="P214" s="6">
        <f>HYPERLINK("https://www.kleinanzeigen.de/s-bestandsliste.html?userId=6746893", "Link")</f>
        <v/>
      </c>
      <c r="Q214" s="7" t="n">
        <v>45563.7304050926</v>
      </c>
      <c r="R214" s="3" t="inlineStr">
        <is>
          <t>417.93</t>
        </is>
      </c>
      <c r="S214" t="inlineStr">
        <is>
          <t>Köln</t>
        </is>
      </c>
    </row>
    <row r="215">
      <c r="A215" s="2" t="n">
        <v>7</v>
      </c>
      <c r="B215" t="inlineStr">
        <is>
          <t>North Sails Warp</t>
        </is>
      </c>
      <c r="C215" s="3" t="inlineStr"/>
      <c r="D215" s="3" t="inlineStr"/>
      <c r="E215" t="inlineStr"/>
      <c r="F215" t="inlineStr"/>
      <c r="G215" t="inlineStr">
        <is>
          <t>used, repaired</t>
        </is>
      </c>
      <c r="H215" s="4" t="n">
        <v>80</v>
      </c>
      <c r="I215" t="inlineStr"/>
      <c r="J215" t="inlineStr">
        <is>
          <t>78532 Baden-Württemberg - Tuttlingen</t>
        </is>
      </c>
      <c r="K215" s="5" t="n">
        <v>45562</v>
      </c>
      <c r="L215" t="inlineStr"/>
      <c r="M215" s="6">
        <f>HYPERLINK("https://www.kleinanzeigen.de/s-anzeige/north-sails-warp-windsurf-segel-in-7-0-qm/2875676660-230-8511", "Link")</f>
        <v/>
      </c>
      <c r="N215" s="6">
        <f>HYPERLINK("C:\Projects\Kleinanzeigen-Scraper\offer_images\2875676660", "Link")</f>
        <v/>
      </c>
      <c r="O215" t="inlineStr">
        <is>
          <t>Anton</t>
        </is>
      </c>
      <c r="P215" s="6">
        <f>HYPERLINK("https://www.kleinanzeigen.de/s-bestandsliste.html?userId=33192786", "Link")</f>
        <v/>
      </c>
      <c r="Q215" s="7" t="n">
        <v>45563.72976851852</v>
      </c>
      <c r="R215" s="3" t="inlineStr">
        <is>
          <t>39.32</t>
        </is>
      </c>
      <c r="S215" t="inlineStr">
        <is>
          <t>Bonndorf</t>
        </is>
      </c>
    </row>
    <row r="216">
      <c r="A216" s="2" t="n">
        <v>8</v>
      </c>
      <c r="B216" t="inlineStr">
        <is>
          <t>North Orbit</t>
        </is>
      </c>
      <c r="C216" s="3" t="inlineStr"/>
      <c r="D216" s="3" t="inlineStr"/>
      <c r="E216" t="inlineStr"/>
      <c r="F216" t="inlineStr">
        <is>
          <t>2023</t>
        </is>
      </c>
      <c r="G216" t="inlineStr">
        <is>
          <t>used</t>
        </is>
      </c>
      <c r="H216" s="4" t="n">
        <v>750</v>
      </c>
      <c r="I216" t="inlineStr"/>
      <c r="J216" t="inlineStr">
        <is>
          <t>80339 München - Schwanthalerhöhe</t>
        </is>
      </c>
      <c r="K216" s="5" t="n">
        <v>45563</v>
      </c>
      <c r="L216" t="inlineStr">
        <is>
          <t>Sold</t>
        </is>
      </c>
      <c r="M216" s="6">
        <f>HYPERLINK("https://www.kleinanzeigen.de/s-anzeige/north-orbit-8-2023/2876075083-230-6444", "Link")</f>
        <v/>
      </c>
      <c r="N216" s="6">
        <f>HYPERLINK("C:\Projects\Kleinanzeigen-Scraper\offer_images\2876075083", "Link")</f>
        <v/>
      </c>
      <c r="O216" t="inlineStr">
        <is>
          <t>Jakob E.</t>
        </is>
      </c>
      <c r="P216" s="6">
        <f>HYPERLINK("https://www.kleinanzeigen.de/s-bestandsliste.html?userId=1698402", "Link")</f>
        <v/>
      </c>
      <c r="Q216" s="7" t="n">
        <v>45563.72974537037</v>
      </c>
      <c r="R216" s="3" t="inlineStr">
        <is>
          <t>2.57</t>
        </is>
      </c>
      <c r="S216" t="inlineStr">
        <is>
          <t>München</t>
        </is>
      </c>
    </row>
    <row r="217">
      <c r="A217" s="2" t="n">
        <v>6.2</v>
      </c>
      <c r="B217" t="inlineStr">
        <is>
          <t>North Natural</t>
        </is>
      </c>
      <c r="C217" s="3" t="n">
        <v>4.58</v>
      </c>
      <c r="D217" s="3" t="inlineStr">
        <is>
          <t>1.92-1.95</t>
        </is>
      </c>
      <c r="E217" t="inlineStr"/>
      <c r="F217" t="inlineStr"/>
      <c r="G217" t="inlineStr">
        <is>
          <t>used</t>
        </is>
      </c>
      <c r="H217" s="4" t="n">
        <v>269</v>
      </c>
      <c r="I217" t="inlineStr">
        <is>
          <t>VB</t>
        </is>
      </c>
      <c r="J217" t="inlineStr">
        <is>
          <t>37124 Niedersachsen - Rosdorf</t>
        </is>
      </c>
      <c r="K217" s="5" t="n">
        <v>45556</v>
      </c>
      <c r="L217" t="inlineStr"/>
      <c r="M217" s="6">
        <f>HYPERLINK("https://www.kleinanzeigen.de/s-anzeige/surf-segel-north-natural-6-2qm-nur-3-4-x-benutzt-1273-/1695308620-230-3133", "Link")</f>
        <v/>
      </c>
      <c r="N217" s="6">
        <f>HYPERLINK("C:\Projects\Kleinanzeigen-Scraper\offer_images\1695308620", "Link")</f>
        <v/>
      </c>
      <c r="O217" t="inlineStr">
        <is>
          <t>No user name</t>
        </is>
      </c>
      <c r="P217" s="6">
        <f>HYPERLINK("https://www.kleinanzeigen.deNo user link", "Link")</f>
        <v/>
      </c>
      <c r="Q217" s="7" t="n">
        <v>45563.72972222222</v>
      </c>
      <c r="R217" s="3" t="inlineStr">
        <is>
          <t>214.72</t>
        </is>
      </c>
      <c r="S217" t="inlineStr">
        <is>
          <t>Köln</t>
        </is>
      </c>
    </row>
    <row r="218">
      <c r="A218" s="2" t="n">
        <v>5.3</v>
      </c>
      <c r="B218" t="inlineStr">
        <is>
          <t>Neilpryde</t>
        </is>
      </c>
      <c r="C218" s="3" t="inlineStr"/>
      <c r="D218" s="3" t="inlineStr"/>
      <c r="E218" t="inlineStr"/>
      <c r="F218" t="inlineStr"/>
      <c r="G218" t="inlineStr">
        <is>
          <t>used</t>
        </is>
      </c>
      <c r="H218" s="4" t="n">
        <v>70</v>
      </c>
      <c r="I218" t="inlineStr">
        <is>
          <t>VB</t>
        </is>
      </c>
      <c r="J218" t="inlineStr">
        <is>
          <t>22297 Hamburg-Nord - Hamburg Alsterdorf</t>
        </is>
      </c>
      <c r="K218" s="5" t="n">
        <v>45563</v>
      </c>
      <c r="L218" t="inlineStr"/>
      <c r="M218" s="6">
        <f>HYPERLINK("https://www.kleinanzeigen.de/s-anzeige/neilpryde-surf-segel-5-3m2-aelter/2876107486-230-16438", "Link")</f>
        <v/>
      </c>
      <c r="N218" s="6">
        <f>HYPERLINK("C:\Projects\Kleinanzeigen-Scraper\offer_images\2876107486", "Link")</f>
        <v/>
      </c>
      <c r="O218" t="inlineStr">
        <is>
          <t>RH</t>
        </is>
      </c>
      <c r="P218" s="6">
        <f>HYPERLINK("https://www.kleinanzeigen.de/s-bestandsliste.html?userId=26372159", "Link")</f>
        <v/>
      </c>
      <c r="Q218" s="7" t="n">
        <v>45563.72966435185</v>
      </c>
      <c r="R218" s="3" t="inlineStr">
        <is>
          <t>362.41</t>
        </is>
      </c>
      <c r="S218" t="inlineStr">
        <is>
          <t>Köln</t>
        </is>
      </c>
    </row>
    <row r="219">
      <c r="A219" s="2" t="n">
        <v>8.6</v>
      </c>
      <c r="B219" t="inlineStr">
        <is>
          <t>Severne Mach 4</t>
        </is>
      </c>
      <c r="C219" s="3" t="inlineStr"/>
      <c r="D219" s="3" t="inlineStr"/>
      <c r="E219" t="inlineStr"/>
      <c r="F219" t="inlineStr"/>
      <c r="G219" t="inlineStr">
        <is>
          <t>used</t>
        </is>
      </c>
      <c r="H219" s="4" t="n">
        <v>320</v>
      </c>
      <c r="I219" t="inlineStr"/>
      <c r="J219" t="inlineStr">
        <is>
          <t>21493 Herzogtum Lauenburg - Schwarzenbek</t>
        </is>
      </c>
      <c r="K219" s="5" t="n">
        <v>45563</v>
      </c>
      <c r="L219" t="inlineStr"/>
      <c r="M219" s="6">
        <f>HYPERLINK("https://www.kleinanzeigen.de/s-anzeige/severne-mach-4-8-6er-slalom-segel-kein-warp-evo-ac1/2876504516-242-746", "Link")</f>
        <v/>
      </c>
      <c r="N219" s="6">
        <f>HYPERLINK("C:\Projects\Kleinanzeigen-Scraper\offer_images\2876504516", "Link")</f>
        <v/>
      </c>
      <c r="O219" t="inlineStr">
        <is>
          <t>Sebastian</t>
        </is>
      </c>
      <c r="P219" s="6">
        <f>HYPERLINK("https://www.kleinanzeigen.de/s-bestandsliste.html?userId=141573193", "Link")</f>
        <v/>
      </c>
      <c r="Q219" s="7" t="n">
        <v>45563.72940972223</v>
      </c>
      <c r="R219" s="3" t="inlineStr">
        <is>
          <t>378.85</t>
        </is>
      </c>
      <c r="S219" t="inlineStr">
        <is>
          <t>Köln</t>
        </is>
      </c>
    </row>
    <row r="220">
      <c r="A220" s="2" t="n">
        <v>7.8</v>
      </c>
      <c r="B220" t="inlineStr">
        <is>
          <t>Gaastra Savage</t>
        </is>
      </c>
      <c r="C220" s="3" t="n">
        <v>470</v>
      </c>
      <c r="D220" s="3" t="n">
        <v>208</v>
      </c>
      <c r="E220" t="inlineStr"/>
      <c r="F220" t="inlineStr"/>
      <c r="G220" t="inlineStr">
        <is>
          <t>repaired</t>
        </is>
      </c>
      <c r="H220" s="4" t="n">
        <v>120</v>
      </c>
      <c r="I220" t="inlineStr">
        <is>
          <t>VB</t>
        </is>
      </c>
      <c r="J220" t="inlineStr">
        <is>
          <t>80804 München - Schwabing-Freimann</t>
        </is>
      </c>
      <c r="K220" s="5" t="n">
        <v>45563</v>
      </c>
      <c r="L220" t="inlineStr"/>
      <c r="M220" s="6">
        <f>HYPERLINK("https://www.kleinanzeigen.de/s-anzeige/surfsegel-gaastra-savage-7-8/2876152668-230-16378", "Link")</f>
        <v/>
      </c>
      <c r="N220" s="6">
        <f>HYPERLINK("C:\Projects\Kleinanzeigen-Scraper\offer_images\2876152668", "Link")</f>
        <v/>
      </c>
      <c r="O220" t="inlineStr">
        <is>
          <t>Volkmar Erben</t>
        </is>
      </c>
      <c r="P220" s="6">
        <f>HYPERLINK("https://www.kleinanzeigen.de/s-bestandsliste.html?userId=29421772", "Link")</f>
        <v/>
      </c>
      <c r="Q220" s="7" t="n">
        <v>45563.72938657407</v>
      </c>
      <c r="R220" s="3" t="inlineStr">
        <is>
          <t>3.78</t>
        </is>
      </c>
      <c r="S220" t="inlineStr">
        <is>
          <t>München</t>
        </is>
      </c>
    </row>
    <row r="221">
      <c r="A221" s="2" t="n">
        <v>4.7</v>
      </c>
      <c r="B221" t="inlineStr">
        <is>
          <t>Goya Banzai</t>
        </is>
      </c>
      <c r="C221" s="3" t="n">
        <v>370</v>
      </c>
      <c r="D221" s="3" t="inlineStr">
        <is>
          <t>155-158</t>
        </is>
      </c>
      <c r="E221" t="inlineStr"/>
      <c r="F221" t="inlineStr"/>
      <c r="G221" t="inlineStr">
        <is>
          <t>used</t>
        </is>
      </c>
      <c r="H221" s="4" t="n">
        <v>170</v>
      </c>
      <c r="I221" t="inlineStr">
        <is>
          <t>VB</t>
        </is>
      </c>
      <c r="J221" t="inlineStr">
        <is>
          <t>82395 Obersöchering - Reinthal</t>
        </is>
      </c>
      <c r="K221" s="5" t="n">
        <v>45563</v>
      </c>
      <c r="L221" t="inlineStr"/>
      <c r="M221" s="6">
        <f>HYPERLINK("https://www.kleinanzeigen.de/s-anzeige/goya-banzai-4-7-windsurfsegel/2876146583-230-5617", "Link")</f>
        <v/>
      </c>
      <c r="N221" s="6">
        <f>HYPERLINK("C:\Projects\Kleinanzeigen-Scraper\offer_images\2876146583", "Link")</f>
        <v/>
      </c>
      <c r="O221" t="inlineStr">
        <is>
          <t>Jochen</t>
        </is>
      </c>
      <c r="P221" s="6">
        <f>HYPERLINK("https://www.kleinanzeigen.de/s-bestandsliste.html?userId=12651021", "Link")</f>
        <v/>
      </c>
      <c r="Q221" s="7" t="n">
        <v>45563.72922453703</v>
      </c>
      <c r="R221" s="3" t="inlineStr">
        <is>
          <t>50.71</t>
        </is>
      </c>
      <c r="S221" t="inlineStr">
        <is>
          <t>München</t>
        </is>
      </c>
    </row>
    <row r="222">
      <c r="A222" s="2" t="n">
        <v>8.699999999999999</v>
      </c>
      <c r="B222" t="inlineStr">
        <is>
          <t>Neilpryde H2 Racing</t>
        </is>
      </c>
      <c r="C222" s="3" t="inlineStr"/>
      <c r="D222" s="3" t="inlineStr"/>
      <c r="E222" t="inlineStr"/>
      <c r="F222" t="inlineStr"/>
      <c r="G222" t="inlineStr">
        <is>
          <t>used</t>
        </is>
      </c>
      <c r="H222" s="4" t="n">
        <v>350</v>
      </c>
      <c r="I222" t="inlineStr">
        <is>
          <t>VB</t>
        </is>
      </c>
      <c r="J222" t="inlineStr">
        <is>
          <t>51375 Nordrhein-Westfalen - Leverkusen</t>
        </is>
      </c>
      <c r="K222" s="5" t="n">
        <v>45531</v>
      </c>
      <c r="L222" t="inlineStr"/>
      <c r="M222" s="6">
        <f>HYPERLINK("https://www.kleinanzeigen.de/s-anzeige/neilpryde-h2-racing-8-7/2847891051-230-1995", "Link")</f>
        <v/>
      </c>
      <c r="N222" s="6">
        <f>HYPERLINK("C:\Projects\Kleinanzeigen-Scraper\offer_images\2847891051", "Link")</f>
        <v/>
      </c>
      <c r="O222" t="inlineStr">
        <is>
          <t>Härtel</t>
        </is>
      </c>
      <c r="P222" s="6">
        <f>HYPERLINK("https://www.kleinanzeigen.de/s-bestandsliste.html?userId=8543099", "Link")</f>
        <v/>
      </c>
      <c r="Q222" s="7" t="n">
        <v>45563.72894675926</v>
      </c>
      <c r="R222" s="3" t="inlineStr">
        <is>
          <t>12.78</t>
        </is>
      </c>
      <c r="S222" t="inlineStr">
        <is>
          <t>Köln</t>
        </is>
      </c>
    </row>
    <row r="223">
      <c r="A223" s="2" t="inlineStr">
        <is>
          <t>5.3, 5.7</t>
        </is>
      </c>
      <c r="B223" t="inlineStr">
        <is>
          <t>Goya Banzai X Pro Edition</t>
        </is>
      </c>
      <c r="C223" s="3" t="inlineStr"/>
      <c r="D223" s="3" t="inlineStr"/>
      <c r="E223" t="inlineStr"/>
      <c r="F223" t="inlineStr"/>
      <c r="G223" t="inlineStr">
        <is>
          <t>used</t>
        </is>
      </c>
      <c r="H223" s="4" t="n">
        <v>230</v>
      </c>
      <c r="I223" t="inlineStr"/>
      <c r="J223" t="inlineStr">
        <is>
          <t>81476 München - Thalk.Obersendl.-Forsten-Fürstenr.-Solln</t>
        </is>
      </c>
      <c r="K223" s="5" t="n">
        <v>45563</v>
      </c>
      <c r="L223" t="inlineStr">
        <is>
          <t>Sold</t>
        </is>
      </c>
      <c r="M223" s="6">
        <f>HYPERLINK("https://www.kleinanzeigen.de/s-anzeige/goya-banzai-x-pro-edition-5-3-u-5-7-qm-powerwave-windsurf-segel/2876126490-230-6436", "Link")</f>
        <v/>
      </c>
      <c r="N223" s="6">
        <f>HYPERLINK("C:\Projects\Kleinanzeigen-Scraper\offer_images\2876126490", "Link")</f>
        <v/>
      </c>
      <c r="O223" t="inlineStr">
        <is>
          <t>Mike</t>
        </is>
      </c>
      <c r="P223" s="6">
        <f>HYPERLINK("https://www.kleinanzeigen.de/s-bestandsliste.html?userId=27971111", "Link")</f>
        <v/>
      </c>
      <c r="Q223" s="7" t="n">
        <v>45563.72833333333</v>
      </c>
      <c r="R223" s="3" t="inlineStr">
        <is>
          <t>8.19</t>
        </is>
      </c>
      <c r="S223" t="inlineStr">
        <is>
          <t>München</t>
        </is>
      </c>
    </row>
    <row r="224">
      <c r="A224" s="2" t="n">
        <v>5.2</v>
      </c>
      <c r="B224" t="inlineStr">
        <is>
          <t>Severne Freek</t>
        </is>
      </c>
      <c r="C224" s="3" t="inlineStr"/>
      <c r="D224" s="3" t="inlineStr"/>
      <c r="E224" t="inlineStr"/>
      <c r="F224" t="inlineStr">
        <is>
          <t>2022</t>
        </is>
      </c>
      <c r="G224" t="inlineStr">
        <is>
          <t>used</t>
        </is>
      </c>
      <c r="H224" s="4" t="n">
        <v>295</v>
      </c>
      <c r="I224" t="inlineStr"/>
      <c r="J224" t="inlineStr">
        <is>
          <t>69198 Baden-Württemberg - Schriesheim</t>
        </is>
      </c>
      <c r="K224" s="5" t="n">
        <v>45563</v>
      </c>
      <c r="L224" t="inlineStr"/>
      <c r="M224" s="6">
        <f>HYPERLINK("https://www.kleinanzeigen.de/s-anzeige/freestyle-segel-severne-freek-5-2-weiss-windsurfen/2875863816-230-8270", "Link")</f>
        <v/>
      </c>
      <c r="N224" s="6">
        <f>HYPERLINK("C:\Projects\Kleinanzeigen-Scraper\offer_images\2875863816", "Link")</f>
        <v/>
      </c>
      <c r="O224" t="inlineStr">
        <is>
          <t>Sven</t>
        </is>
      </c>
      <c r="P224" s="6">
        <f>HYPERLINK("https://www.kleinanzeigen.de/s-bestandsliste.html?userId=15271620", "Link")</f>
        <v/>
      </c>
      <c r="Q224" s="7" t="n">
        <v>45563.72796296296</v>
      </c>
      <c r="R224" s="3" t="inlineStr">
        <is>
          <t>57.18</t>
        </is>
      </c>
      <c r="S224" t="inlineStr">
        <is>
          <t>Karlsruhe</t>
        </is>
      </c>
    </row>
    <row r="225">
      <c r="A225" s="2" t="n">
        <v>7</v>
      </c>
      <c r="B225" t="inlineStr">
        <is>
          <t>Gun Sails Future</t>
        </is>
      </c>
      <c r="C225" s="3" t="n">
        <v>460</v>
      </c>
      <c r="D225" s="3" t="n">
        <v>210</v>
      </c>
      <c r="E225" t="inlineStr"/>
      <c r="F225" t="inlineStr"/>
      <c r="G225" t="inlineStr">
        <is>
          <t>used</t>
        </is>
      </c>
      <c r="H225" s="4" t="n">
        <v>45</v>
      </c>
      <c r="I225" t="inlineStr"/>
      <c r="J225" t="inlineStr">
        <is>
          <t>47198 Duisburg - Homberg/Ruhrort/Baerl</t>
        </is>
      </c>
      <c r="K225" s="5" t="n">
        <v>45563</v>
      </c>
      <c r="L225" t="inlineStr">
        <is>
          <t>Sold</t>
        </is>
      </c>
      <c r="M225" s="6">
        <f>HYPERLINK("https://www.kleinanzeigen.de/s-anzeige/gun-sails-future-7-0/2875834387-230-2140", "Link")</f>
        <v/>
      </c>
      <c r="N225" s="6">
        <f>HYPERLINK("C:\Projects\Kleinanzeigen-Scraper\offer_images\2875834387", "Link")</f>
        <v/>
      </c>
      <c r="O225" t="inlineStr">
        <is>
          <t>Stephan Kalbertod</t>
        </is>
      </c>
      <c r="P225" s="6">
        <f>HYPERLINK("https://www.kleinanzeigen.de/s-bestandsliste.html?userId=8064073", "Link")</f>
        <v/>
      </c>
      <c r="Q225" s="7" t="n">
        <v>45563.72789351852</v>
      </c>
      <c r="R225" s="3" t="inlineStr">
        <is>
          <t>59.95</t>
        </is>
      </c>
      <c r="S225" t="inlineStr">
        <is>
          <t>Köln</t>
        </is>
      </c>
    </row>
    <row r="226">
      <c r="A226" s="2" t="n">
        <v>6</v>
      </c>
      <c r="B226" t="inlineStr">
        <is>
          <t>EZZY Lion</t>
        </is>
      </c>
      <c r="C226" s="3" t="n">
        <v>430</v>
      </c>
      <c r="D226" s="3" t="inlineStr">
        <is>
          <t>183-193</t>
        </is>
      </c>
      <c r="E226" t="inlineStr"/>
      <c r="F226" t="inlineStr"/>
      <c r="G226" t="inlineStr">
        <is>
          <t>new</t>
        </is>
      </c>
      <c r="H226" s="4" t="n">
        <v>390</v>
      </c>
      <c r="I226" t="inlineStr"/>
      <c r="J226" t="inlineStr">
        <is>
          <t>Versand 45772</t>
        </is>
      </c>
      <c r="K226" s="5" t="n">
        <v>45561</v>
      </c>
      <c r="L226" t="inlineStr">
        <is>
          <t>Sold</t>
        </is>
      </c>
      <c r="M226" s="6">
        <f>HYPERLINK("https://www.dailydose.de/kleinanzeigen/detail.htm?ai=423220&amp;cf=kk&amp;pg=1&amp;ci=5", "Link")</f>
        <v/>
      </c>
      <c r="N226" s="6">
        <f>HYPERLINK("C:\Projects\Kleinanzeigen-Scraper\offer_images\423220", "Link")</f>
        <v/>
      </c>
      <c r="O226" t="inlineStr">
        <is>
          <t>Margarethe</t>
        </is>
      </c>
      <c r="P226" s="6">
        <f>HYPERLINK("https://www.dailydose.de/kleinanzeigen/user/9256", "Link")</f>
        <v/>
      </c>
      <c r="Q226" s="7" t="n">
        <v>45562.74949074074</v>
      </c>
      <c r="R226" s="3" t="inlineStr">
        <is>
          <t>84.29</t>
        </is>
      </c>
      <c r="S226" t="inlineStr">
        <is>
          <t>Köln</t>
        </is>
      </c>
    </row>
    <row r="227">
      <c r="A227" s="2" t="n">
        <v>8.4</v>
      </c>
      <c r="B227" t="inlineStr">
        <is>
          <t>Patrik Foil S2</t>
        </is>
      </c>
      <c r="C227" s="3" t="n">
        <v>520</v>
      </c>
      <c r="D227" s="3" t="n">
        <v>213</v>
      </c>
      <c r="E227" t="inlineStr">
        <is>
          <t>Foil</t>
        </is>
      </c>
      <c r="F227" t="inlineStr"/>
      <c r="G227" t="inlineStr">
        <is>
          <t>new</t>
        </is>
      </c>
      <c r="H227" s="4" t="n">
        <v>600</v>
      </c>
      <c r="I227" t="inlineStr"/>
      <c r="J227" t="inlineStr">
        <is>
          <t>Salzburg/Linz</t>
        </is>
      </c>
      <c r="K227" s="5" t="n">
        <v>45562</v>
      </c>
      <c r="L227" t="inlineStr"/>
      <c r="M227" s="6">
        <f>HYPERLINK("https://www.dailydose.de/kleinanzeigen/detail.htm?ai=423258&amp;cf=kk&amp;pg=4&amp;ci=5", "Link")</f>
        <v/>
      </c>
      <c r="N227" s="6">
        <f>HYPERLINK("C:\Projects\Kleinanzeigen-Scraper\offer_images\423258", "Link")</f>
        <v/>
      </c>
      <c r="O227" t="inlineStr">
        <is>
          <t>Alex_109</t>
        </is>
      </c>
      <c r="P227" s="6">
        <f>HYPERLINK("https://www.dailydose.de/kleinanzeigen/user/21202", "Link")</f>
        <v/>
      </c>
      <c r="Q227" s="7" t="n">
        <v>45562.74932870371</v>
      </c>
      <c r="R227" s="3" t="inlineStr">
        <is>
          <t>260.33</t>
        </is>
      </c>
      <c r="S227" t="inlineStr">
        <is>
          <t>Köln</t>
        </is>
      </c>
    </row>
    <row r="228">
      <c r="A228" s="2" t="n">
        <v>4.5</v>
      </c>
      <c r="B228" t="inlineStr">
        <is>
          <t>Gaastra GA Sails Manic HD</t>
        </is>
      </c>
      <c r="C228" s="3" t="inlineStr"/>
      <c r="D228" s="3" t="inlineStr"/>
      <c r="E228" t="inlineStr"/>
      <c r="F228" t="inlineStr">
        <is>
          <t>2024</t>
        </is>
      </c>
      <c r="G228" t="inlineStr">
        <is>
          <t>used</t>
        </is>
      </c>
      <c r="H228" s="4" t="n">
        <v>379</v>
      </c>
      <c r="I228" t="inlineStr"/>
      <c r="J228" t="inlineStr">
        <is>
          <t>46147 Oberhausen</t>
        </is>
      </c>
      <c r="K228" s="5" t="n">
        <v>45562</v>
      </c>
      <c r="L228" t="inlineStr"/>
      <c r="M228" s="6">
        <f>HYPERLINK("https://www.dailydose.de/kleinanzeigen/detail.htm?ai=423250&amp;cf=kk&amp;pg=4&amp;ci=5", "Link")</f>
        <v/>
      </c>
      <c r="N228" s="6">
        <f>HYPERLINK("C:\Projects\Kleinanzeigen-Scraper\offer_images\423250", "Link")</f>
        <v/>
      </c>
      <c r="O228" t="inlineStr">
        <is>
          <t>Claudio Koch 543</t>
        </is>
      </c>
      <c r="P228" s="6">
        <f>HYPERLINK("https://www.dailydose.de/kleinanzeigen/user/43", "Link")</f>
        <v/>
      </c>
      <c r="Q228" s="7" t="n">
        <v>45562.74896990741</v>
      </c>
      <c r="R228" s="3" t="inlineStr">
        <is>
          <t>67.87</t>
        </is>
      </c>
      <c r="S228" t="inlineStr">
        <is>
          <t>Köln</t>
        </is>
      </c>
    </row>
    <row r="229">
      <c r="A229" s="2" t="n">
        <v>4.7</v>
      </c>
      <c r="B229" t="inlineStr">
        <is>
          <t>Gaastra GA Sails Manic HD</t>
        </is>
      </c>
      <c r="C229" s="3" t="inlineStr"/>
      <c r="D229" s="3" t="inlineStr"/>
      <c r="E229" t="inlineStr"/>
      <c r="F229" t="inlineStr">
        <is>
          <t>2024</t>
        </is>
      </c>
      <c r="G229" t="inlineStr">
        <is>
          <t>used</t>
        </is>
      </c>
      <c r="H229" s="4" t="n">
        <v>379</v>
      </c>
      <c r="I229" t="inlineStr"/>
      <c r="J229" t="inlineStr">
        <is>
          <t>46147 Oberhausen</t>
        </is>
      </c>
      <c r="K229" s="5" t="n">
        <v>45562</v>
      </c>
      <c r="L229" t="inlineStr"/>
      <c r="M229" s="6">
        <f>HYPERLINK("https://www.dailydose.de/kleinanzeigen/detail.htm?ai=423253&amp;cf=kk&amp;pg=4&amp;ci=5", "Link")</f>
        <v/>
      </c>
      <c r="N229" s="6">
        <f>HYPERLINK("C:\Projects\Kleinanzeigen-Scraper\offer_images\423253", "Link")</f>
        <v/>
      </c>
      <c r="O229" t="inlineStr">
        <is>
          <t>Claudio Koch 543</t>
        </is>
      </c>
      <c r="P229" s="6">
        <f>HYPERLINK("https://www.dailydose.de/kleinanzeigen/user/43", "Link")</f>
        <v/>
      </c>
      <c r="Q229" s="7" t="n">
        <v>45562.74891203704</v>
      </c>
      <c r="R229" s="3" t="inlineStr">
        <is>
          <t>67.87</t>
        </is>
      </c>
      <c r="S229" t="inlineStr">
        <is>
          <t>Köln</t>
        </is>
      </c>
    </row>
    <row r="230">
      <c r="A230" s="2" t="n">
        <v>4.9</v>
      </c>
      <c r="B230" t="inlineStr">
        <is>
          <t>s2 maui dragon</t>
        </is>
      </c>
      <c r="C230" s="3" t="inlineStr"/>
      <c r="D230" s="3" t="inlineStr"/>
      <c r="E230" t="inlineStr"/>
      <c r="F230" t="inlineStr">
        <is>
          <t>2021</t>
        </is>
      </c>
      <c r="G230" t="inlineStr">
        <is>
          <t>used</t>
        </is>
      </c>
      <c r="H230" s="4" t="n">
        <v>199</v>
      </c>
      <c r="I230" t="inlineStr"/>
      <c r="J230" t="inlineStr">
        <is>
          <t>24944 Flensburg</t>
        </is>
      </c>
      <c r="K230" s="5" t="n">
        <v>45562</v>
      </c>
      <c r="L230" t="inlineStr"/>
      <c r="M230" s="6">
        <f>HYPERLINK("https://www.dailydose.de/kleinanzeigen/detail.htm?ai=423260&amp;cf=kk&amp;pg=4&amp;ci=5", "Link")</f>
        <v/>
      </c>
      <c r="N230" s="6">
        <f>HYPERLINK("C:\Projects\Kleinanzeigen-Scraper\offer_images\423260", "Link")</f>
        <v/>
      </c>
      <c r="O230" t="inlineStr">
        <is>
          <t>marc_133</t>
        </is>
      </c>
      <c r="P230" s="6">
        <f>HYPERLINK("https://www.dailydose.de/kleinanzeigen/user/15302", "Link")</f>
        <v/>
      </c>
      <c r="Q230" s="7" t="n">
        <v>45562.74820601852</v>
      </c>
      <c r="R230" s="3" t="inlineStr">
        <is>
          <t>462.42</t>
        </is>
      </c>
      <c r="S230" t="inlineStr">
        <is>
          <t>Köln</t>
        </is>
      </c>
    </row>
    <row r="231">
      <c r="A231" s="2" t="n">
        <v>3.6</v>
      </c>
      <c r="B231" t="inlineStr">
        <is>
          <t>Sailloft Quad</t>
        </is>
      </c>
      <c r="C231" s="3" t="inlineStr"/>
      <c r="D231" s="3" t="inlineStr"/>
      <c r="E231" t="inlineStr"/>
      <c r="F231" t="inlineStr">
        <is>
          <t>2016-2018</t>
        </is>
      </c>
      <c r="G231" t="inlineStr">
        <is>
          <t>used</t>
        </is>
      </c>
      <c r="H231" s="4" t="n">
        <v>222</v>
      </c>
      <c r="I231" t="inlineStr"/>
      <c r="J231" t="inlineStr">
        <is>
          <t>22299 Hamburg -Winterhude</t>
        </is>
      </c>
      <c r="K231" s="5" t="n">
        <v>45561</v>
      </c>
      <c r="L231" t="inlineStr"/>
      <c r="M231" s="6">
        <f>HYPERLINK("https://www.dailydose.de/kleinanzeigen/detail.htm?ai=423227&amp;cf=kk&amp;pg=4&amp;ci=5", "Link")</f>
        <v/>
      </c>
      <c r="N231" s="6">
        <f>HYPERLINK("C:\Projects\Kleinanzeigen-Scraper\offer_images\423227", "Link")</f>
        <v/>
      </c>
      <c r="O231" t="inlineStr">
        <is>
          <t>ole_60</t>
        </is>
      </c>
      <c r="P231" s="6">
        <f>HYPERLINK("https://www.dailydose.de/kleinanzeigen/user/13373", "Link")</f>
        <v/>
      </c>
      <c r="Q231" s="7" t="n">
        <v>45562.7481712963</v>
      </c>
      <c r="R231" s="3" t="inlineStr">
        <is>
          <t>360.73</t>
        </is>
      </c>
      <c r="S231" t="inlineStr">
        <is>
          <t>Köln</t>
        </is>
      </c>
    </row>
    <row r="232">
      <c r="A232" s="2" t="n">
        <v>8.199999999999999</v>
      </c>
      <c r="B232" t="inlineStr">
        <is>
          <t>Neilpryde Diablo</t>
        </is>
      </c>
      <c r="C232" s="3" t="n">
        <v>496</v>
      </c>
      <c r="D232" s="3" t="n">
        <v>235</v>
      </c>
      <c r="E232" t="inlineStr">
        <is>
          <t>FreeRace, FreeRide</t>
        </is>
      </c>
      <c r="F232" t="inlineStr"/>
      <c r="G232" t="inlineStr">
        <is>
          <t>used</t>
        </is>
      </c>
      <c r="H232" s="4" t="n">
        <v>135</v>
      </c>
      <c r="I232" t="inlineStr"/>
      <c r="J232" t="inlineStr">
        <is>
          <t>12527 Berlin</t>
        </is>
      </c>
      <c r="K232" s="5" t="n">
        <v>45562</v>
      </c>
      <c r="L232" t="inlineStr"/>
      <c r="M232" s="6">
        <f>HYPERLINK("https://www.dailydose.de/kleinanzeigen/detail.htm?ai=423249&amp;cf=kk&amp;pg=4&amp;ci=5", "Link")</f>
        <v/>
      </c>
      <c r="N232" s="6">
        <f>HYPERLINK("C:\Projects\Kleinanzeigen-Scraper\offer_images\423249", "Link")</f>
        <v/>
      </c>
      <c r="O232" t="inlineStr">
        <is>
          <t>newt3</t>
        </is>
      </c>
      <c r="P232" s="6">
        <f>HYPERLINK("https://www.dailydose.de/kleinanzeigen/user/22148", "Link")</f>
        <v/>
      </c>
      <c r="Q232" s="7" t="n">
        <v>45562.74800925926</v>
      </c>
      <c r="R232" s="3" t="inlineStr">
        <is>
          <t>487.71</t>
        </is>
      </c>
      <c r="S232" t="inlineStr">
        <is>
          <t>Köln</t>
        </is>
      </c>
    </row>
    <row r="233">
      <c r="A233" s="2" t="n">
        <v>3.7</v>
      </c>
      <c r="B233" t="inlineStr">
        <is>
          <t>Duotone Superhero</t>
        </is>
      </c>
      <c r="C233" s="3" t="inlineStr"/>
      <c r="D233" s="3" t="inlineStr"/>
      <c r="E233" t="inlineStr"/>
      <c r="F233" t="inlineStr">
        <is>
          <t>2023</t>
        </is>
      </c>
      <c r="G233" t="inlineStr"/>
      <c r="H233" s="4" t="n">
        <v>399</v>
      </c>
      <c r="I233" t="inlineStr"/>
      <c r="J233" t="inlineStr">
        <is>
          <t>45711 Datteln</t>
        </is>
      </c>
      <c r="K233" s="5" t="n">
        <v>45562</v>
      </c>
      <c r="L233" t="inlineStr"/>
      <c r="M233" s="6">
        <f>HYPERLINK("https://www.dailydose.de/kleinanzeigen/detail.htm?ai=423277&amp;cf=kk&amp;pg=4&amp;ci=5", "Link")</f>
        <v/>
      </c>
      <c r="N233" s="6">
        <f>HYPERLINK("C:\Projects\Kleinanzeigen-Scraper\offer_images\423277", "Link")</f>
        <v/>
      </c>
      <c r="O233" t="inlineStr">
        <is>
          <t>Dom_40</t>
        </is>
      </c>
      <c r="P233" s="6">
        <f>HYPERLINK("https://www.dailydose.de/kleinanzeigen/user/7179", "Link")</f>
        <v/>
      </c>
      <c r="Q233" s="7" t="n">
        <v>45562.74784722222</v>
      </c>
      <c r="R233" s="3" t="inlineStr">
        <is>
          <t>83.86</t>
        </is>
      </c>
      <c r="S233" t="inlineStr">
        <is>
          <t>Köln</t>
        </is>
      </c>
    </row>
    <row r="234">
      <c r="A234" s="2" t="n">
        <v>4</v>
      </c>
      <c r="B234" t="inlineStr">
        <is>
          <t>Gaastra GA Sails Manic HD</t>
        </is>
      </c>
      <c r="C234" s="3" t="inlineStr"/>
      <c r="D234" s="3" t="inlineStr"/>
      <c r="E234" t="inlineStr"/>
      <c r="F234" t="inlineStr">
        <is>
          <t>2024</t>
        </is>
      </c>
      <c r="G234" t="inlineStr">
        <is>
          <t>used</t>
        </is>
      </c>
      <c r="H234" s="4" t="n">
        <v>350</v>
      </c>
      <c r="I234" t="inlineStr"/>
      <c r="J234" t="inlineStr">
        <is>
          <t>46147 Oberhausen</t>
        </is>
      </c>
      <c r="K234" s="5" t="n">
        <v>45562</v>
      </c>
      <c r="L234" t="inlineStr"/>
      <c r="M234" s="6">
        <f>HYPERLINK("https://www.dailydose.de/kleinanzeigen/detail.htm?ai=423247&amp;cf=kk&amp;pg=4&amp;ci=5", "Link")</f>
        <v/>
      </c>
      <c r="N234" s="6">
        <f>HYPERLINK("C:\Projects\Kleinanzeigen-Scraper\offer_images\423247", "Link")</f>
        <v/>
      </c>
      <c r="O234" t="inlineStr">
        <is>
          <t>Claudio Koch 543</t>
        </is>
      </c>
      <c r="P234" s="6">
        <f>HYPERLINK("https://www.dailydose.de/kleinanzeigen/user/43", "Link")</f>
        <v/>
      </c>
      <c r="Q234" s="7" t="n">
        <v>45562.74753472222</v>
      </c>
      <c r="R234" s="3" t="inlineStr">
        <is>
          <t>67.87</t>
        </is>
      </c>
      <c r="S234" t="inlineStr">
        <is>
          <t>Köln</t>
        </is>
      </c>
    </row>
    <row r="235">
      <c r="A235" s="2" t="n">
        <v>5</v>
      </c>
      <c r="B235" t="inlineStr">
        <is>
          <t>Severne Blade</t>
        </is>
      </c>
      <c r="C235" s="3" t="inlineStr"/>
      <c r="D235" s="3" t="inlineStr"/>
      <c r="E235" t="inlineStr">
        <is>
          <t>Power Wave</t>
        </is>
      </c>
      <c r="F235" t="inlineStr">
        <is>
          <t>2021</t>
        </is>
      </c>
      <c r="G235" t="inlineStr">
        <is>
          <t>used</t>
        </is>
      </c>
      <c r="H235" s="4" t="n">
        <v>270</v>
      </c>
      <c r="I235" t="inlineStr"/>
      <c r="J235" t="inlineStr">
        <is>
          <t>87629 Füssen</t>
        </is>
      </c>
      <c r="K235" s="5" t="n">
        <v>45562</v>
      </c>
      <c r="L235" t="inlineStr"/>
      <c r="M235" s="6">
        <f>HYPERLINK("https://www.dailydose.de/kleinanzeigen/detail.htm?ai=423232&amp;cf=kk&amp;pg=4&amp;ci=5", "Link")</f>
        <v/>
      </c>
      <c r="N235" s="6">
        <f>HYPERLINK("C:\Projects\Kleinanzeigen-Scraper\offer_images\423232", "Link")</f>
        <v/>
      </c>
      <c r="O235" t="inlineStr">
        <is>
          <t>J_198</t>
        </is>
      </c>
      <c r="P235" s="6">
        <f>HYPERLINK("https://www.dailydose.de/kleinanzeigen/user/12670", "Link")</f>
        <v/>
      </c>
      <c r="Q235" s="7" t="n">
        <v>45562.74743055556</v>
      </c>
      <c r="R235" s="3" t="inlineStr">
        <is>
          <t>92.19</t>
        </is>
      </c>
      <c r="S235" t="inlineStr">
        <is>
          <t>München</t>
        </is>
      </c>
    </row>
    <row r="236">
      <c r="A236" s="2" t="n">
        <v>9.4</v>
      </c>
      <c r="B236" t="inlineStr">
        <is>
          <t>Neilpryde V8</t>
        </is>
      </c>
      <c r="C236" s="3" t="inlineStr">
        <is>
          <t>490-520</t>
        </is>
      </c>
      <c r="D236" s="3" t="inlineStr">
        <is>
          <t>221-226</t>
        </is>
      </c>
      <c r="E236" t="inlineStr"/>
      <c r="F236" t="inlineStr">
        <is>
          <t>2027</t>
        </is>
      </c>
      <c r="G236" t="inlineStr">
        <is>
          <t>new</t>
        </is>
      </c>
      <c r="H236" s="4" t="n">
        <v>320</v>
      </c>
      <c r="I236" t="inlineStr"/>
      <c r="J236" t="inlineStr">
        <is>
          <t>46499 Hamminkeln</t>
        </is>
      </c>
      <c r="K236" s="5" t="n">
        <v>45562</v>
      </c>
      <c r="L236" t="inlineStr"/>
      <c r="M236" s="6">
        <f>HYPERLINK("https://www.dailydose.de/kleinanzeigen/detail.htm?ai=423270&amp;cf=kk&amp;pg=4&amp;ci=5", "Link")</f>
        <v/>
      </c>
      <c r="N236" s="6">
        <f>HYPERLINK("C:\Projects\Kleinanzeigen-Scraper\offer_images\423270", "Link")</f>
        <v/>
      </c>
      <c r="O236" t="inlineStr">
        <is>
          <t>G Becker</t>
        </is>
      </c>
      <c r="P236" s="6">
        <f>HYPERLINK("https://www.dailydose.de/kleinanzeigen/user/8994", "Link")</f>
        <v/>
      </c>
      <c r="Q236" s="7" t="n">
        <v>45562.74743055556</v>
      </c>
      <c r="R236" s="3" t="inlineStr">
        <is>
          <t>90.67</t>
        </is>
      </c>
      <c r="S236" t="inlineStr">
        <is>
          <t>Köln</t>
        </is>
      </c>
    </row>
    <row r="237">
      <c r="A237" s="2" t="n">
        <v>7.2</v>
      </c>
      <c r="B237" t="inlineStr">
        <is>
          <t>Gaastra Cosmic C1</t>
        </is>
      </c>
      <c r="C237" s="3" t="inlineStr"/>
      <c r="D237" s="3" t="inlineStr"/>
      <c r="E237" t="inlineStr"/>
      <c r="F237" t="inlineStr">
        <is>
          <t>2023</t>
        </is>
      </c>
      <c r="G237" t="inlineStr">
        <is>
          <t>new</t>
        </is>
      </c>
      <c r="H237" s="4" t="n">
        <v>529</v>
      </c>
      <c r="I237" t="inlineStr">
        <is>
          <t>VB</t>
        </is>
      </c>
      <c r="J237" t="inlineStr">
        <is>
          <t>26125 Niedersachsen - Oldenburg</t>
        </is>
      </c>
      <c r="K237" s="5" t="n">
        <v>45561</v>
      </c>
      <c r="L237" t="inlineStr"/>
      <c r="M237" s="6">
        <f>HYPERLINK("https://www.kleinanzeigen.de/s-anzeige/gaastra-windsurf-segel-cosmic-c1-blue-2023-7-2-qm/2874594599-230-3111", "Link")</f>
        <v/>
      </c>
      <c r="N237" s="6">
        <f>HYPERLINK("C:\Projects\Kleinanzeigen-Scraper\offer_images\2874594599", "Link")</f>
        <v/>
      </c>
      <c r="O237" t="inlineStr">
        <is>
          <t>No user name</t>
        </is>
      </c>
      <c r="P237" s="6">
        <f>HYPERLINK("https://www.kleinanzeigen.deNo user link", "Link")</f>
        <v/>
      </c>
      <c r="Q237" s="7" t="n">
        <v>45562.74665509259</v>
      </c>
      <c r="R237" s="3" t="inlineStr">
        <is>
          <t>264.10</t>
        </is>
      </c>
      <c r="S237" t="inlineStr">
        <is>
          <t>Köln</t>
        </is>
      </c>
    </row>
    <row r="238">
      <c r="A238" s="2" t="n">
        <v>4.5</v>
      </c>
      <c r="B238" t="inlineStr">
        <is>
          <t>Gaastra Manic C3-Red</t>
        </is>
      </c>
      <c r="C238" s="3" t="inlineStr"/>
      <c r="D238" s="3" t="inlineStr"/>
      <c r="E238" t="inlineStr">
        <is>
          <t>Wave</t>
        </is>
      </c>
      <c r="F238" t="inlineStr">
        <is>
          <t>2022</t>
        </is>
      </c>
      <c r="G238" t="inlineStr">
        <is>
          <t>new</t>
        </is>
      </c>
      <c r="H238" s="4" t="n">
        <v>319</v>
      </c>
      <c r="I238" t="inlineStr">
        <is>
          <t>VB</t>
        </is>
      </c>
      <c r="J238" t="inlineStr">
        <is>
          <t>26125 Niedersachsen - Oldenburg</t>
        </is>
      </c>
      <c r="K238" s="5" t="n">
        <v>45561</v>
      </c>
      <c r="L238" t="inlineStr"/>
      <c r="M238" s="6">
        <f>HYPERLINK("https://www.kleinanzeigen.de/s-anzeige/gaastra-windsurf-segel-manic-c3-red-2022-4-5-qm/2874592523-230-3111", "Link")</f>
        <v/>
      </c>
      <c r="N238" s="6">
        <f>HYPERLINK("C:\Projects\Kleinanzeigen-Scraper\offer_images\2874592523", "Link")</f>
        <v/>
      </c>
      <c r="O238" t="inlineStr">
        <is>
          <t>No user name</t>
        </is>
      </c>
      <c r="P238" s="6">
        <f>HYPERLINK("https://www.kleinanzeigen.deNo user link", "Link")</f>
        <v/>
      </c>
      <c r="Q238" s="7" t="n">
        <v>45562.74614583333</v>
      </c>
      <c r="R238" s="3" t="inlineStr">
        <is>
          <t>264.10</t>
        </is>
      </c>
      <c r="S238" t="inlineStr">
        <is>
          <t>Köln</t>
        </is>
      </c>
    </row>
    <row r="239">
      <c r="A239" s="2" t="n">
        <v>6.5</v>
      </c>
      <c r="B239" t="inlineStr">
        <is>
          <t>Neilpryde Ryde HD</t>
        </is>
      </c>
      <c r="C239" s="3" t="n">
        <v>430</v>
      </c>
      <c r="D239" s="3" t="n">
        <v>190</v>
      </c>
      <c r="E239" t="inlineStr"/>
      <c r="F239" t="inlineStr"/>
      <c r="G239" t="inlineStr">
        <is>
          <t>used</t>
        </is>
      </c>
      <c r="H239" s="4" t="n">
        <v>350</v>
      </c>
      <c r="I239" t="inlineStr">
        <is>
          <t>VB</t>
        </is>
      </c>
      <c r="J239" t="inlineStr">
        <is>
          <t>47447 Nordrhein-Westfalen - Moers</t>
        </is>
      </c>
      <c r="K239" s="5" t="n">
        <v>45562</v>
      </c>
      <c r="L239" t="inlineStr">
        <is>
          <t>Sold</t>
        </is>
      </c>
      <c r="M239" s="6">
        <f>HYPERLINK("https://www.kleinanzeigen.de/s-anzeige/ryde-hd-6-5m-neilpryde-segel-windsurfen/2875265759-230-2130", "Link")</f>
        <v/>
      </c>
      <c r="N239" s="6">
        <f>HYPERLINK("C:\Projects\Kleinanzeigen-Scraper\offer_images\2875265759", "Link")</f>
        <v/>
      </c>
      <c r="O239" t="inlineStr">
        <is>
          <t>Ralf</t>
        </is>
      </c>
      <c r="P239" s="6">
        <f>HYPERLINK("https://www.kleinanzeigen.de/s-bestandsliste.html?userId=2499087", "Link")</f>
        <v/>
      </c>
      <c r="Q239" s="7" t="n">
        <v>45562.74605324074</v>
      </c>
      <c r="R239" s="3" t="inlineStr">
        <is>
          <t>58.22</t>
        </is>
      </c>
      <c r="S239" t="inlineStr">
        <is>
          <t>Köln</t>
        </is>
      </c>
    </row>
    <row r="240">
      <c r="A240" s="2" t="n">
        <v>6.2</v>
      </c>
      <c r="B240" t="inlineStr">
        <is>
          <t>Gaastra Cosmic C1-Blue</t>
        </is>
      </c>
      <c r="C240" s="3" t="inlineStr"/>
      <c r="D240" s="3" t="inlineStr"/>
      <c r="E240" t="inlineStr">
        <is>
          <t>Freerace</t>
        </is>
      </c>
      <c r="F240" t="inlineStr">
        <is>
          <t>2022</t>
        </is>
      </c>
      <c r="G240" t="inlineStr"/>
      <c r="H240" s="4" t="n">
        <v>949</v>
      </c>
      <c r="I240" t="inlineStr">
        <is>
          <t>VB</t>
        </is>
      </c>
      <c r="J240" t="inlineStr">
        <is>
          <t>26125 Niedersachsen - Oldenburg</t>
        </is>
      </c>
      <c r="K240" s="5" t="n">
        <v>45561</v>
      </c>
      <c r="L240" t="inlineStr"/>
      <c r="M240" s="6">
        <f>HYPERLINK("https://www.kleinanzeigen.de/s-anzeige/gaastra-windsurf-segel-cosmic-c1-blue-2022-6-2-qm/2874592851-230-3111", "Link")</f>
        <v/>
      </c>
      <c r="N240" s="6">
        <f>HYPERLINK("C:\Projects\Kleinanzeigen-Scraper\offer_images\2874592851", "Link")</f>
        <v/>
      </c>
      <c r="O240" t="inlineStr">
        <is>
          <t>No user name</t>
        </is>
      </c>
      <c r="P240" s="6">
        <f>HYPERLINK("https://www.kleinanzeigen.deNo user link", "Link")</f>
        <v/>
      </c>
      <c r="Q240" s="7" t="n">
        <v>45562.74575231481</v>
      </c>
      <c r="R240" s="3" t="inlineStr">
        <is>
          <t>264.10</t>
        </is>
      </c>
      <c r="S240" t="inlineStr">
        <is>
          <t>Köln</t>
        </is>
      </c>
    </row>
    <row r="241">
      <c r="A241" s="2" t="n">
        <v>7.2</v>
      </c>
      <c r="B241" t="inlineStr">
        <is>
          <t>Gaastra Poison</t>
        </is>
      </c>
      <c r="C241" s="3" t="inlineStr"/>
      <c r="D241" s="3" t="inlineStr"/>
      <c r="E241" t="inlineStr"/>
      <c r="F241" t="inlineStr">
        <is>
          <t>2022</t>
        </is>
      </c>
      <c r="G241" t="inlineStr">
        <is>
          <t>new</t>
        </is>
      </c>
      <c r="H241" s="4" t="n">
        <v>250</v>
      </c>
      <c r="I241" t="inlineStr"/>
      <c r="J241" t="inlineStr">
        <is>
          <t>74821 Baden-Württemberg - Mosbach</t>
        </is>
      </c>
      <c r="K241" s="5" t="n">
        <v>45551</v>
      </c>
      <c r="L241" t="inlineStr">
        <is>
          <t>Sold</t>
        </is>
      </c>
      <c r="M241" s="6">
        <f>HYPERLINK("https://www.kleinanzeigen.de/s-anzeige/gaastra-poison-2022-fluegel-neuwertig/2865210374-230-8021", "Link")</f>
        <v/>
      </c>
      <c r="N241" s="6">
        <f>HYPERLINK("C:\Projects\Kleinanzeigen-Scraper\offer_images\2865210374", "Link")</f>
        <v/>
      </c>
      <c r="O241" t="inlineStr">
        <is>
          <t>Wolfgang</t>
        </is>
      </c>
      <c r="P241" s="6">
        <f>HYPERLINK("https://www.kleinanzeigen.de/s-bestandsliste.html?userId=11709032", "Link")</f>
        <v/>
      </c>
      <c r="Q241" s="7" t="n">
        <v>45562.74559027778</v>
      </c>
      <c r="R241" s="3" t="inlineStr">
        <is>
          <t>67.98</t>
        </is>
      </c>
      <c r="S241" t="inlineStr">
        <is>
          <t>Karlsruhe</t>
        </is>
      </c>
    </row>
    <row r="242">
      <c r="A242" s="2" t="n">
        <v>6.7</v>
      </c>
      <c r="B242" t="inlineStr">
        <is>
          <t>Gaastra Cosmic C2</t>
        </is>
      </c>
      <c r="C242" s="3" t="inlineStr"/>
      <c r="D242" s="3" t="inlineStr"/>
      <c r="E242" t="inlineStr"/>
      <c r="F242" t="inlineStr">
        <is>
          <t>2023</t>
        </is>
      </c>
      <c r="G242" t="inlineStr"/>
      <c r="H242" s="4" t="n">
        <v>519</v>
      </c>
      <c r="I242" t="inlineStr">
        <is>
          <t>VB</t>
        </is>
      </c>
      <c r="J242" t="inlineStr">
        <is>
          <t>26125 Niedersachsen - Oldenburg</t>
        </is>
      </c>
      <c r="K242" s="5" t="n">
        <v>45561</v>
      </c>
      <c r="L242" t="inlineStr"/>
      <c r="M242" s="6">
        <f>HYPERLINK("https://www.kleinanzeigen.de/s-anzeige/gaastra-windsurf-segel-cosmic-c2-red-2023-6-7-qm/2874594285-230-3111", "Link")</f>
        <v/>
      </c>
      <c r="N242" s="6">
        <f>HYPERLINK("C:\Projects\Kleinanzeigen-Scraper\offer_images\2874594285", "Link")</f>
        <v/>
      </c>
      <c r="O242" t="inlineStr">
        <is>
          <t>No user name</t>
        </is>
      </c>
      <c r="P242" s="6">
        <f>HYPERLINK("https://www.kleinanzeigen.deNo user link", "Link")</f>
        <v/>
      </c>
      <c r="Q242" s="7" t="n">
        <v>45562.74548611111</v>
      </c>
      <c r="R242" s="3" t="inlineStr">
        <is>
          <t>264.10</t>
        </is>
      </c>
      <c r="S242" t="inlineStr">
        <is>
          <t>Köln</t>
        </is>
      </c>
    </row>
    <row r="243">
      <c r="A243" s="2" t="n">
        <v>5.8</v>
      </c>
      <c r="B243" t="inlineStr">
        <is>
          <t>Gaastra Grind</t>
        </is>
      </c>
      <c r="C243" s="3" t="inlineStr"/>
      <c r="D243" s="3" t="inlineStr"/>
      <c r="E243" t="inlineStr">
        <is>
          <t>Wave / Freeride</t>
        </is>
      </c>
      <c r="F243" t="inlineStr"/>
      <c r="G243" t="inlineStr">
        <is>
          <t>used</t>
        </is>
      </c>
      <c r="H243" s="4" t="n">
        <v>40</v>
      </c>
      <c r="I243" t="inlineStr">
        <is>
          <t>VB</t>
        </is>
      </c>
      <c r="J243" t="inlineStr">
        <is>
          <t>25469 Kreis Pinneberg - Halstenbek</t>
        </is>
      </c>
      <c r="K243" s="5" t="n">
        <v>45551</v>
      </c>
      <c r="L243" t="inlineStr"/>
      <c r="M243" s="6">
        <f>HYPERLINK("https://www.kleinanzeigen.de/s-anzeige/gaastra-grind-windsurfsegel-5-8/2865124250-230-617", "Link")</f>
        <v/>
      </c>
      <c r="N243" s="6">
        <f>HYPERLINK("C:\Projects\Kleinanzeigen-Scraper\offer_images\2865124250", "Link")</f>
        <v/>
      </c>
      <c r="O243" t="inlineStr">
        <is>
          <t>Christian</t>
        </is>
      </c>
      <c r="P243" s="6">
        <f>HYPERLINK("https://www.kleinanzeigen.de/s-bestandsliste.html?userId=10684572", "Link")</f>
        <v/>
      </c>
      <c r="Q243" s="7" t="n">
        <v>45562.74512731482</v>
      </c>
      <c r="R243" s="3" t="inlineStr">
        <is>
          <t>356.43</t>
        </is>
      </c>
      <c r="S243" t="inlineStr">
        <is>
          <t>Köln</t>
        </is>
      </c>
    </row>
    <row r="244">
      <c r="A244" s="2" t="n">
        <v>8.300000000000001</v>
      </c>
      <c r="B244" t="inlineStr">
        <is>
          <t>Gaastra Swift</t>
        </is>
      </c>
      <c r="C244" s="3" t="n">
        <v>490</v>
      </c>
      <c r="D244" s="3" t="n">
        <v>198</v>
      </c>
      <c r="E244" t="inlineStr">
        <is>
          <t>Leichtwind</t>
        </is>
      </c>
      <c r="F244" t="inlineStr"/>
      <c r="G244" t="inlineStr"/>
      <c r="H244" s="4" t="n">
        <v>90</v>
      </c>
      <c r="I244" t="inlineStr"/>
      <c r="J244" t="inlineStr">
        <is>
          <t>75233 Baden-Württemberg - Tiefenbronn</t>
        </is>
      </c>
      <c r="K244" s="5" t="n">
        <v>45551</v>
      </c>
      <c r="L244" t="inlineStr"/>
      <c r="M244" s="6">
        <f>HYPERLINK("https://www.kleinanzeigen.de/s-anzeige/windsurfsegel-gaastra-8-3/2865814156-230-9276", "Link")</f>
        <v/>
      </c>
      <c r="N244" s="6">
        <f>HYPERLINK("C:\Projects\Kleinanzeigen-Scraper\offer_images\2865814156", "Link")</f>
        <v/>
      </c>
      <c r="O244" t="inlineStr">
        <is>
          <t>Oliver</t>
        </is>
      </c>
      <c r="P244" s="6">
        <f>HYPERLINK("https://www.kleinanzeigen.de/s-bestandsliste.html?userId=124770291", "Link")</f>
        <v/>
      </c>
      <c r="Q244" s="7" t="n">
        <v>45562.74490740741</v>
      </c>
      <c r="R244" s="3" t="inlineStr">
        <is>
          <t>19.79</t>
        </is>
      </c>
      <c r="S244" t="inlineStr">
        <is>
          <t>Böblingen</t>
        </is>
      </c>
    </row>
    <row r="245">
      <c r="A245" s="2" t="n">
        <v>4.7</v>
      </c>
      <c r="B245" t="inlineStr">
        <is>
          <t>Gaastra IQ</t>
        </is>
      </c>
      <c r="C245" s="3" t="n">
        <v>370</v>
      </c>
      <c r="D245" s="3" t="n">
        <v>162</v>
      </c>
      <c r="E245" t="inlineStr"/>
      <c r="F245" t="inlineStr"/>
      <c r="G245" t="inlineStr">
        <is>
          <t>used</t>
        </is>
      </c>
      <c r="H245" s="4" t="n">
        <v>170</v>
      </c>
      <c r="I245" t="inlineStr">
        <is>
          <t>VB</t>
        </is>
      </c>
      <c r="J245" t="inlineStr">
        <is>
          <t>22547 Altona - Hamburg Lurup</t>
        </is>
      </c>
      <c r="K245" s="5" t="n">
        <v>45562</v>
      </c>
      <c r="L245" t="inlineStr"/>
      <c r="M245" s="6">
        <f>HYPERLINK("https://www.kleinanzeigen.de/s-anzeige/gaastra-segel-iq-4-7/2875382676-230-9439", "Link")</f>
        <v/>
      </c>
      <c r="N245" s="6">
        <f>HYPERLINK("C:\Projects\Kleinanzeigen-Scraper\offer_images\2875382676", "Link")</f>
        <v/>
      </c>
      <c r="O245" t="inlineStr">
        <is>
          <t>Dil</t>
        </is>
      </c>
      <c r="P245" s="6">
        <f>HYPERLINK("https://www.kleinanzeigen.de/s-bestandsliste.html?userId=24992595", "Link")</f>
        <v/>
      </c>
      <c r="Q245" s="7" t="n">
        <v>45562.74423611111</v>
      </c>
      <c r="R245" s="3" t="inlineStr">
        <is>
          <t>356.34</t>
        </is>
      </c>
      <c r="S245" t="inlineStr">
        <is>
          <t>Köln</t>
        </is>
      </c>
    </row>
    <row r="246">
      <c r="A246" s="2" t="n">
        <v>6.7</v>
      </c>
      <c r="B246" t="inlineStr">
        <is>
          <t>Gaastra Cosmic C1-Blue</t>
        </is>
      </c>
      <c r="C246" s="3" t="inlineStr"/>
      <c r="D246" s="3" t="inlineStr"/>
      <c r="E246" t="inlineStr">
        <is>
          <t>Freerace</t>
        </is>
      </c>
      <c r="F246" t="inlineStr">
        <is>
          <t>2022</t>
        </is>
      </c>
      <c r="G246" t="inlineStr"/>
      <c r="H246" s="4" t="n">
        <v>979</v>
      </c>
      <c r="I246" t="inlineStr">
        <is>
          <t>VB</t>
        </is>
      </c>
      <c r="J246" t="inlineStr">
        <is>
          <t>26125 Niedersachsen - Oldenburg</t>
        </is>
      </c>
      <c r="K246" s="5" t="n">
        <v>45561</v>
      </c>
      <c r="L246" t="inlineStr"/>
      <c r="M246" s="6">
        <f>HYPERLINK("https://www.kleinanzeigen.de/s-anzeige/gaastra-windsurf-segel-cosmic-c1-blue-2022-6-7-qm/2874594114-230-3111", "Link")</f>
        <v/>
      </c>
      <c r="N246" s="6">
        <f>HYPERLINK("C:\Projects\Kleinanzeigen-Scraper\offer_images\2874594114", "Link")</f>
        <v/>
      </c>
      <c r="O246" t="inlineStr">
        <is>
          <t>No user name</t>
        </is>
      </c>
      <c r="P246" s="6">
        <f>HYPERLINK("https://www.kleinanzeigen.deNo user link", "Link")</f>
        <v/>
      </c>
      <c r="Q246" s="7" t="n">
        <v>45562.74418981482</v>
      </c>
      <c r="R246" s="3" t="inlineStr">
        <is>
          <t>264.10</t>
        </is>
      </c>
      <c r="S246" t="inlineStr">
        <is>
          <t>Köln</t>
        </is>
      </c>
    </row>
    <row r="247">
      <c r="A247" s="2" t="n">
        <v>4.4</v>
      </c>
      <c r="B247" t="inlineStr">
        <is>
          <t>Sailloft Air</t>
        </is>
      </c>
      <c r="C247" s="3" t="inlineStr"/>
      <c r="D247" s="3" t="inlineStr"/>
      <c r="E247" t="inlineStr"/>
      <c r="F247" t="inlineStr"/>
      <c r="G247" t="inlineStr">
        <is>
          <t>repaired</t>
        </is>
      </c>
      <c r="H247" s="4" t="n">
        <v>299</v>
      </c>
      <c r="I247" t="inlineStr">
        <is>
          <t>VB</t>
        </is>
      </c>
      <c r="J247" t="inlineStr">
        <is>
          <t>22607 Altona - Hamburg Groß Flottbek</t>
        </is>
      </c>
      <c r="K247" s="5" t="n">
        <v>45561</v>
      </c>
      <c r="L247" t="inlineStr"/>
      <c r="M247" s="6">
        <f>HYPERLINK("https://www.kleinanzeigen.de/s-anzeige/sailloft-air-4-4/2874719654-230-9500", "Link")</f>
        <v/>
      </c>
      <c r="N247" s="6">
        <f>HYPERLINK("C:\Projects\Kleinanzeigen-Scraper\offer_images\2874719654", "Link")</f>
        <v/>
      </c>
      <c r="O247" t="inlineStr">
        <is>
          <t>Arne</t>
        </is>
      </c>
      <c r="P247" s="6">
        <f>HYPERLINK("https://www.kleinanzeigen.de/s-bestandsliste.html?userId=92328429", "Link")</f>
        <v/>
      </c>
      <c r="Q247" s="7" t="n">
        <v>45562.74413194445</v>
      </c>
      <c r="R247" s="3" t="inlineStr">
        <is>
          <t>354.01</t>
        </is>
      </c>
      <c r="S247" t="inlineStr">
        <is>
          <t>Köln</t>
        </is>
      </c>
    </row>
    <row r="248">
      <c r="A248" s="2" t="n">
        <v>7.2</v>
      </c>
      <c r="B248" t="inlineStr">
        <is>
          <t>Gaastra Cosmic C2-Red</t>
        </is>
      </c>
      <c r="C248" s="3" t="inlineStr"/>
      <c r="D248" s="3" t="inlineStr"/>
      <c r="E248" t="inlineStr">
        <is>
          <t>Freerace</t>
        </is>
      </c>
      <c r="F248" t="inlineStr">
        <is>
          <t>2022</t>
        </is>
      </c>
      <c r="G248" t="inlineStr">
        <is>
          <t>new</t>
        </is>
      </c>
      <c r="H248" s="4" t="n">
        <v>989</v>
      </c>
      <c r="I248" t="inlineStr">
        <is>
          <t>VB</t>
        </is>
      </c>
      <c r="J248" t="inlineStr">
        <is>
          <t>26125 Niedersachsen - Oldenburg</t>
        </is>
      </c>
      <c r="K248" s="5" t="n">
        <v>45561</v>
      </c>
      <c r="L248" t="inlineStr"/>
      <c r="M248" s="6">
        <f>HYPERLINK("https://www.kleinanzeigen.de/s-anzeige/gaastra-windsurf-segel-cosmic-c2-red-2022-7-2-qm/2874593778-230-3111", "Link")</f>
        <v/>
      </c>
      <c r="N248" s="6">
        <f>HYPERLINK("C:\Projects\Kleinanzeigen-Scraper\offer_images\2874593778", "Link")</f>
        <v/>
      </c>
      <c r="O248" t="inlineStr">
        <is>
          <t>No user name</t>
        </is>
      </c>
      <c r="P248" s="6">
        <f>HYPERLINK("https://www.kleinanzeigen.deNo user link", "Link")</f>
        <v/>
      </c>
      <c r="Q248" s="7" t="n">
        <v>45562.74344907407</v>
      </c>
      <c r="R248" s="3" t="inlineStr">
        <is>
          <t>264.10</t>
        </is>
      </c>
      <c r="S248" t="inlineStr">
        <is>
          <t>Köln</t>
        </is>
      </c>
    </row>
    <row r="249">
      <c r="A249" s="2" t="n">
        <v>5.9</v>
      </c>
      <c r="B249" t="inlineStr">
        <is>
          <t>NEILPRYDE Excess</t>
        </is>
      </c>
      <c r="C249" s="3" t="inlineStr"/>
      <c r="D249" s="3" t="inlineStr"/>
      <c r="E249" t="inlineStr">
        <is>
          <t>Freeride</t>
        </is>
      </c>
      <c r="F249" t="inlineStr"/>
      <c r="G249" t="inlineStr">
        <is>
          <t>used, damaged</t>
        </is>
      </c>
      <c r="H249" s="4" t="n">
        <v>35</v>
      </c>
      <c r="I249" t="inlineStr">
        <is>
          <t>VB</t>
        </is>
      </c>
      <c r="J249" t="inlineStr">
        <is>
          <t>81547 Obergiesing-Fasangarten - Obergiesing</t>
        </is>
      </c>
      <c r="K249" s="5" t="n">
        <v>45561</v>
      </c>
      <c r="L249" t="inlineStr">
        <is>
          <t>Sold</t>
        </is>
      </c>
      <c r="M249" s="6">
        <f>HYPERLINK("https://www.kleinanzeigen.de/s-anzeige/neilpryde-excess-5-9-windsurf-freeride-segel/2874914310-230-16364", "Link")</f>
        <v/>
      </c>
      <c r="N249" s="6">
        <f>HYPERLINK("C:\Projects\Kleinanzeigen-Scraper\offer_images\2874914310", "Link")</f>
        <v/>
      </c>
      <c r="O249" t="inlineStr">
        <is>
          <t>Jens</t>
        </is>
      </c>
      <c r="P249" s="6">
        <f>HYPERLINK("https://www.kleinanzeigen.de/s-bestandsliste.html?userId=22091316", "Link")</f>
        <v/>
      </c>
      <c r="Q249" s="7" t="n">
        <v>45562.7434375</v>
      </c>
      <c r="R249" s="3" t="inlineStr">
        <is>
          <t>3.83</t>
        </is>
      </c>
      <c r="S249" t="inlineStr">
        <is>
          <t>München</t>
        </is>
      </c>
    </row>
    <row r="250">
      <c r="A250" s="2" t="n">
        <v>5.8</v>
      </c>
      <c r="B250" t="inlineStr">
        <is>
          <t>NAISH BOXER</t>
        </is>
      </c>
      <c r="C250" s="3" t="n">
        <v>400</v>
      </c>
      <c r="D250" s="3" t="n">
        <v>176</v>
      </c>
      <c r="E250" t="inlineStr"/>
      <c r="F250" t="inlineStr"/>
      <c r="G250" t="inlineStr">
        <is>
          <t>used</t>
        </is>
      </c>
      <c r="H250" s="4" t="n">
        <v>79</v>
      </c>
      <c r="I250" t="inlineStr"/>
      <c r="J250" t="inlineStr">
        <is>
          <t>33428 Nordrhein-Westfalen - Harsewinkel</t>
        </is>
      </c>
      <c r="K250" s="5" t="n">
        <v>45562</v>
      </c>
      <c r="L250" t="inlineStr"/>
      <c r="M250" s="6">
        <f>HYPERLINK("https://www.kleinanzeigen.de/s-anzeige/naish-boxer-windsurfsegel-5-8qm/2875244407-230-16286", "Link")</f>
        <v/>
      </c>
      <c r="N250" s="6">
        <f>HYPERLINK("C:\Projects\Kleinanzeigen-Scraper\offer_images\2875244407", "Link")</f>
        <v/>
      </c>
      <c r="O250" t="inlineStr">
        <is>
          <t>Privat</t>
        </is>
      </c>
      <c r="P250" s="6">
        <f>HYPERLINK("https://www.kleinanzeigen.de/s-bestandsliste.html?userId=1285129", "Link")</f>
        <v/>
      </c>
      <c r="Q250" s="7" t="n">
        <v>45562.74336805556</v>
      </c>
      <c r="R250" s="3" t="inlineStr">
        <is>
          <t>142.54</t>
        </is>
      </c>
      <c r="S250" t="inlineStr">
        <is>
          <t>Köln</t>
        </is>
      </c>
    </row>
    <row r="251">
      <c r="A251" s="2" t="n">
        <v>9.4</v>
      </c>
      <c r="B251" t="inlineStr">
        <is>
          <t>Neil Pryde Neilpryde V8</t>
        </is>
      </c>
      <c r="C251" s="3" t="inlineStr">
        <is>
          <t>520/490</t>
        </is>
      </c>
      <c r="D251" s="3" t="n">
        <v>210</v>
      </c>
      <c r="E251" t="inlineStr"/>
      <c r="F251" t="inlineStr">
        <is>
          <t>2017</t>
        </is>
      </c>
      <c r="G251" t="inlineStr">
        <is>
          <t>used</t>
        </is>
      </c>
      <c r="H251" s="4" t="n">
        <v>299</v>
      </c>
      <c r="I251" t="inlineStr">
        <is>
          <t>VB</t>
        </is>
      </c>
      <c r="J251" t="inlineStr">
        <is>
          <t>82396 Bayern - Pähl</t>
        </is>
      </c>
      <c r="K251" s="5" t="n">
        <v>45562</v>
      </c>
      <c r="L251" t="inlineStr"/>
      <c r="M251" s="6">
        <f>HYPERLINK("https://www.kleinanzeigen.de/s-anzeige/neil-pryde-neilpryde-v8-9-4-2017/2875409989-230-5569", "Link")</f>
        <v/>
      </c>
      <c r="N251" s="6">
        <f>HYPERLINK("C:\Projects\Kleinanzeigen-Scraper\offer_images\2875409989", "Link")</f>
        <v/>
      </c>
      <c r="O251" t="inlineStr">
        <is>
          <t>Daniel</t>
        </is>
      </c>
      <c r="P251" s="6">
        <f>HYPERLINK("https://www.kleinanzeigen.de/s-bestandsliste.html?userId=121477358", "Link")</f>
        <v/>
      </c>
      <c r="Q251" s="7" t="n">
        <v>45562.74324074074</v>
      </c>
      <c r="R251" s="3" t="inlineStr">
        <is>
          <t>38.54</t>
        </is>
      </c>
      <c r="S251" t="inlineStr">
        <is>
          <t>München</t>
        </is>
      </c>
    </row>
    <row r="252">
      <c r="A252" s="2" t="n">
        <v>3.6</v>
      </c>
      <c r="B252" t="inlineStr">
        <is>
          <t>NEILPRYDE Fly</t>
        </is>
      </c>
      <c r="C252" s="3" t="inlineStr"/>
      <c r="D252" s="3" t="inlineStr"/>
      <c r="E252" t="inlineStr">
        <is>
          <t>Wave-Freestyle</t>
        </is>
      </c>
      <c r="F252" t="inlineStr"/>
      <c r="G252" t="inlineStr">
        <is>
          <t>used</t>
        </is>
      </c>
      <c r="H252" s="4" t="n">
        <v>50</v>
      </c>
      <c r="I252" t="inlineStr">
        <is>
          <t>VB</t>
        </is>
      </c>
      <c r="J252" t="inlineStr">
        <is>
          <t>81547 Obergiesing-Fasangarten - Obergiesing</t>
        </is>
      </c>
      <c r="K252" s="5" t="n">
        <v>45561</v>
      </c>
      <c r="L252" t="inlineStr">
        <is>
          <t>Sold</t>
        </is>
      </c>
      <c r="M252" s="6">
        <f>HYPERLINK("https://www.kleinanzeigen.de/s-anzeige/neilpryde-fly-3-6-wave-freestyle-windsurf-segel/2874915746-230-16364", "Link")</f>
        <v/>
      </c>
      <c r="N252" s="6">
        <f>HYPERLINK("C:\Projects\Kleinanzeigen-Scraper\offer_images\2874915746", "Link")</f>
        <v/>
      </c>
      <c r="O252" t="inlineStr">
        <is>
          <t>Jens</t>
        </is>
      </c>
      <c r="P252" s="6">
        <f>HYPERLINK("https://www.kleinanzeigen.de/s-bestandsliste.html?userId=22091316", "Link")</f>
        <v/>
      </c>
      <c r="Q252" s="7" t="n">
        <v>45562.74303240741</v>
      </c>
      <c r="R252" s="3" t="inlineStr">
        <is>
          <t>3.83</t>
        </is>
      </c>
      <c r="S252" t="inlineStr">
        <is>
          <t>München</t>
        </is>
      </c>
    </row>
    <row r="253">
      <c r="A253" s="2" t="n">
        <v>4.8</v>
      </c>
      <c r="B253" t="inlineStr">
        <is>
          <t>Neilpryde Wizard</t>
        </is>
      </c>
      <c r="C253" s="3" t="n">
        <v>400</v>
      </c>
      <c r="D253" s="3" t="n">
        <v>158</v>
      </c>
      <c r="E253" t="inlineStr"/>
      <c r="F253" t="inlineStr"/>
      <c r="G253" t="inlineStr">
        <is>
          <t>used</t>
        </is>
      </c>
      <c r="H253" s="4" t="n">
        <v>200</v>
      </c>
      <c r="I253" t="inlineStr">
        <is>
          <t>VB</t>
        </is>
      </c>
      <c r="J253" t="inlineStr">
        <is>
          <t>80469 Ludwigsvorstadt-Isarvorstadt - Isarvorstadt</t>
        </is>
      </c>
      <c r="K253" s="5" t="n">
        <v>45561</v>
      </c>
      <c r="L253" t="inlineStr"/>
      <c r="M253" s="6">
        <f>HYPERLINK("https://www.kleinanzeigen.de/s-anzeige/neilpryde-wizard-4-8-windsurfsegel/2874866547-230-6434", "Link")</f>
        <v/>
      </c>
      <c r="N253" s="6">
        <f>HYPERLINK("C:\Projects\Kleinanzeigen-Scraper\offer_images\2874866547", "Link")</f>
        <v/>
      </c>
      <c r="O253" t="inlineStr">
        <is>
          <t>Jan</t>
        </is>
      </c>
      <c r="P253" s="6">
        <f>HYPERLINK("https://www.kleinanzeigen.de/s-bestandsliste.html?userId=31343566", "Link")</f>
        <v/>
      </c>
      <c r="Q253" s="7" t="n">
        <v>45562.74295138889</v>
      </c>
      <c r="R253" s="3" t="inlineStr">
        <is>
          <t>0.84</t>
        </is>
      </c>
      <c r="S253" t="inlineStr">
        <is>
          <t>München</t>
        </is>
      </c>
    </row>
    <row r="254">
      <c r="A254" s="2" t="n">
        <v>6.4</v>
      </c>
      <c r="B254" t="inlineStr">
        <is>
          <t>Gaastra Remedy</t>
        </is>
      </c>
      <c r="C254" s="3" t="n">
        <v>430</v>
      </c>
      <c r="D254" s="3" t="n">
        <v>199</v>
      </c>
      <c r="E254" t="inlineStr"/>
      <c r="F254" t="inlineStr">
        <is>
          <t>2008</t>
        </is>
      </c>
      <c r="G254" t="inlineStr">
        <is>
          <t>used</t>
        </is>
      </c>
      <c r="H254" s="4" t="n">
        <v>85</v>
      </c>
      <c r="I254" t="inlineStr">
        <is>
          <t>VB</t>
        </is>
      </c>
      <c r="J254" t="inlineStr">
        <is>
          <t>13187 Berlin - Pankow</t>
        </is>
      </c>
      <c r="K254" s="5" t="n">
        <v>45562</v>
      </c>
      <c r="L254" t="inlineStr">
        <is>
          <t>Sold</t>
        </is>
      </c>
      <c r="M254" s="6">
        <f>HYPERLINK("https://www.kleinanzeigen.de/s-anzeige/windsurfsegel-gaastra-remedy-6-4-qm/2875153864-230-3473", "Link")</f>
        <v/>
      </c>
      <c r="N254" s="6">
        <f>HYPERLINK("C:\Projects\Kleinanzeigen-Scraper\offer_images\2875153864", "Link")</f>
        <v/>
      </c>
      <c r="O254" t="inlineStr">
        <is>
          <t>Rene</t>
        </is>
      </c>
      <c r="P254" s="6">
        <f>HYPERLINK("https://www.kleinanzeigen.de/s-bestandsliste.html?userId=40813070", "Link")</f>
        <v/>
      </c>
      <c r="Q254" s="7" t="n">
        <v>45562.7425</v>
      </c>
      <c r="R254" s="3" t="inlineStr">
        <is>
          <t>480.03</t>
        </is>
      </c>
      <c r="S254" t="inlineStr">
        <is>
          <t>Köln</t>
        </is>
      </c>
    </row>
    <row r="255">
      <c r="A255" s="2" t="n">
        <v>8.6</v>
      </c>
      <c r="B255" t="inlineStr">
        <is>
          <t>Neilpryde RS EVo Racing</t>
        </is>
      </c>
      <c r="C255" s="3" t="n">
        <v>490</v>
      </c>
      <c r="D255" s="3" t="n">
        <v>193</v>
      </c>
      <c r="E255" t="inlineStr"/>
      <c r="F255" t="inlineStr"/>
      <c r="G255" t="inlineStr"/>
      <c r="H255" s="4" t="n">
        <v>399</v>
      </c>
      <c r="I255" t="inlineStr"/>
      <c r="J255" t="inlineStr">
        <is>
          <t>88400 Baden-Württemberg - Biberach an der Riß</t>
        </is>
      </c>
      <c r="K255" s="5" t="n">
        <v>45562</v>
      </c>
      <c r="L255" t="inlineStr">
        <is>
          <t>Sold</t>
        </is>
      </c>
      <c r="M255" s="6">
        <f>HYPERLINK("https://www.kleinanzeigen.de/s-anzeige/neilpryde-rs-evo-racing-8-6qm-490-fx100-carbon/2875013320-230-8706", "Link")</f>
        <v/>
      </c>
      <c r="N255" s="6">
        <f>HYPERLINK("C:\Projects\Kleinanzeigen-Scraper\offer_images\2875013320", "Link")</f>
        <v/>
      </c>
      <c r="O255" t="inlineStr">
        <is>
          <t>Schneider</t>
        </is>
      </c>
      <c r="P255" s="6">
        <f>HYPERLINK("https://www.kleinanzeigen.de/s-bestandsliste.html?userId=3638597", "Link")</f>
        <v/>
      </c>
      <c r="Q255" s="7" t="n">
        <v>45562.7415625</v>
      </c>
      <c r="R255" s="3" t="inlineStr">
        <is>
          <t>89.53</t>
        </is>
      </c>
      <c r="S255" t="inlineStr">
        <is>
          <t>Böblingen</t>
        </is>
      </c>
    </row>
    <row r="256">
      <c r="A256" s="2" t="n">
        <v>5</v>
      </c>
      <c r="B256" t="inlineStr">
        <is>
          <t>Gaastra Manic C3-Red</t>
        </is>
      </c>
      <c r="C256" s="3" t="inlineStr"/>
      <c r="D256" s="3" t="inlineStr"/>
      <c r="E256" t="inlineStr">
        <is>
          <t>Wave</t>
        </is>
      </c>
      <c r="F256" t="inlineStr">
        <is>
          <t>2022</t>
        </is>
      </c>
      <c r="G256" t="inlineStr"/>
      <c r="H256" s="4" t="n">
        <v>339</v>
      </c>
      <c r="I256" t="inlineStr">
        <is>
          <t>VB</t>
        </is>
      </c>
      <c r="J256" t="inlineStr">
        <is>
          <t>26125 Niedersachsen - Oldenburg</t>
        </is>
      </c>
      <c r="K256" s="5" t="n">
        <v>45561</v>
      </c>
      <c r="L256" t="inlineStr"/>
      <c r="M256" s="6">
        <f>HYPERLINK("https://www.kleinanzeigen.de/s-anzeige/gaastra-windsurf-segel-manic-c3-red-2022-5-0-qm/2874592689-230-3111", "Link")</f>
        <v/>
      </c>
      <c r="N256" s="6">
        <f>HYPERLINK("C:\Projects\Kleinanzeigen-Scraper\offer_images\2874592689", "Link")</f>
        <v/>
      </c>
      <c r="O256" t="inlineStr">
        <is>
          <t>No user name</t>
        </is>
      </c>
      <c r="P256" s="6">
        <f>HYPERLINK("https://www.kleinanzeigen.deNo user link", "Link")</f>
        <v/>
      </c>
      <c r="Q256" s="7" t="n">
        <v>45562.74108796296</v>
      </c>
      <c r="R256" s="3" t="inlineStr">
        <is>
          <t>264.10</t>
        </is>
      </c>
      <c r="S256" t="inlineStr">
        <is>
          <t>Köln</t>
        </is>
      </c>
    </row>
    <row r="257">
      <c r="A257" s="2" t="n">
        <v>5.7</v>
      </c>
      <c r="B257" t="inlineStr">
        <is>
          <t>Duotone Super Hero SLS</t>
        </is>
      </c>
      <c r="C257" s="3" t="inlineStr"/>
      <c r="D257" s="3" t="inlineStr"/>
      <c r="E257" t="inlineStr"/>
      <c r="F257" t="inlineStr">
        <is>
          <t>2023</t>
        </is>
      </c>
      <c r="G257" t="inlineStr">
        <is>
          <t>new</t>
        </is>
      </c>
      <c r="H257" s="4" t="n">
        <v>965</v>
      </c>
      <c r="I257" t="inlineStr">
        <is>
          <t>VB</t>
        </is>
      </c>
      <c r="J257" t="inlineStr">
        <is>
          <t>82319 Bayern - Starnberg</t>
        </is>
      </c>
      <c r="K257" s="5" t="n">
        <v>45562</v>
      </c>
      <c r="L257" t="inlineStr"/>
      <c r="M257" s="6">
        <f>HYPERLINK("https://www.kleinanzeigen.de/s-anzeige/duotone-super-hero-sls-5-7qm-windsurf-segel-neu-2023/2848680765-230-5525", "Link")</f>
        <v/>
      </c>
      <c r="N257" s="6">
        <f>HYPERLINK("C:\Projects\Kleinanzeigen-Scraper\offer_images\2848680765", "Link")</f>
        <v/>
      </c>
      <c r="O257" t="inlineStr">
        <is>
          <t>No user name</t>
        </is>
      </c>
      <c r="P257" s="6">
        <f>HYPERLINK("https://www.kleinanzeigen.deNo user link", "Link")</f>
        <v/>
      </c>
      <c r="Q257" s="7" t="n">
        <v>45562.74100694444</v>
      </c>
      <c r="R257" s="3" t="inlineStr">
        <is>
          <t>23.17</t>
        </is>
      </c>
      <c r="S257" t="inlineStr">
        <is>
          <t>München</t>
        </is>
      </c>
    </row>
    <row r="258">
      <c r="A258" s="2" t="n">
        <v>7.2</v>
      </c>
      <c r="B258" t="inlineStr">
        <is>
          <t>Gaastra Cosmic C1-Blue</t>
        </is>
      </c>
      <c r="C258" s="3" t="inlineStr"/>
      <c r="D258" s="3" t="inlineStr"/>
      <c r="E258" t="inlineStr">
        <is>
          <t>Freerace</t>
        </is>
      </c>
      <c r="F258" t="inlineStr">
        <is>
          <t>2022</t>
        </is>
      </c>
      <c r="G258" t="inlineStr">
        <is>
          <t>new</t>
        </is>
      </c>
      <c r="H258" s="4" t="n">
        <v>989</v>
      </c>
      <c r="I258" t="inlineStr">
        <is>
          <t>VB</t>
        </is>
      </c>
      <c r="J258" t="inlineStr">
        <is>
          <t>26125 Niedersachsen - Oldenburg</t>
        </is>
      </c>
      <c r="K258" s="5" t="n">
        <v>45561</v>
      </c>
      <c r="L258" t="inlineStr"/>
      <c r="M258" s="6">
        <f>HYPERLINK("https://www.kleinanzeigen.de/s-anzeige/gaastra-windsurf-segel-cosmic-c1-blue-2022-7-2-qm/2874593955-230-3111", "Link")</f>
        <v/>
      </c>
      <c r="N258" s="6">
        <f>HYPERLINK("C:\Projects\Kleinanzeigen-Scraper\offer_images\2874593955", "Link")</f>
        <v/>
      </c>
      <c r="O258" t="inlineStr">
        <is>
          <t>No user name</t>
        </is>
      </c>
      <c r="P258" s="6">
        <f>HYPERLINK("https://www.kleinanzeigen.deNo user link", "Link")</f>
        <v/>
      </c>
      <c r="Q258" s="7" t="n">
        <v>45562.74091435185</v>
      </c>
      <c r="R258" s="3" t="inlineStr">
        <is>
          <t>264.10</t>
        </is>
      </c>
      <c r="S258" t="inlineStr">
        <is>
          <t>Köln</t>
        </is>
      </c>
    </row>
    <row r="259">
      <c r="A259" s="2" t="n">
        <v>7.5</v>
      </c>
      <c r="B259" t="inlineStr">
        <is>
          <t>Maui</t>
        </is>
      </c>
      <c r="C259" s="3" t="inlineStr"/>
      <c r="D259" s="3" t="inlineStr"/>
      <c r="E259" t="inlineStr"/>
      <c r="F259" t="inlineStr"/>
      <c r="G259" t="inlineStr">
        <is>
          <t>used</t>
        </is>
      </c>
      <c r="H259" s="4" t="n">
        <v>100</v>
      </c>
      <c r="I259" t="inlineStr">
        <is>
          <t>VB</t>
        </is>
      </c>
      <c r="J259" t="inlineStr">
        <is>
          <t>93053 Bayern - Regensburg</t>
        </is>
      </c>
      <c r="K259" s="5" t="n">
        <v>45562</v>
      </c>
      <c r="L259" t="inlineStr">
        <is>
          <t>Sold</t>
        </is>
      </c>
      <c r="M259" s="6">
        <f>HYPERLINK("https://www.kleinanzeigen.de/s-anzeige/windsurf-segel-maui-7-5qm/2875357349-230-7656", "Link")</f>
        <v/>
      </c>
      <c r="N259" s="6">
        <f>HYPERLINK("C:\Projects\Kleinanzeigen-Scraper\offer_images\2875357349", "Link")</f>
        <v/>
      </c>
      <c r="O259" t="inlineStr">
        <is>
          <t>Michael B.</t>
        </is>
      </c>
      <c r="P259" s="6">
        <f>HYPERLINK("https://www.kleinanzeigen.de/s-bestandsliste.html?userId=25752083", "Link")</f>
        <v/>
      </c>
      <c r="Q259" s="7" t="n">
        <v>45562.74085648148</v>
      </c>
      <c r="R259" s="3" t="inlineStr">
        <is>
          <t>102.43</t>
        </is>
      </c>
      <c r="S259" t="inlineStr">
        <is>
          <t>München</t>
        </is>
      </c>
    </row>
    <row r="260">
      <c r="A260" s="2" t="n">
        <v>6</v>
      </c>
      <c r="B260" t="inlineStr">
        <is>
          <t>Gaastra Remedy</t>
        </is>
      </c>
      <c r="C260" s="3" t="n">
        <v>430</v>
      </c>
      <c r="D260" s="3" t="n">
        <v>185</v>
      </c>
      <c r="E260" t="inlineStr"/>
      <c r="F260" t="inlineStr"/>
      <c r="G260" t="inlineStr">
        <is>
          <t>used</t>
        </is>
      </c>
      <c r="H260" s="4" t="n">
        <v>85</v>
      </c>
      <c r="I260" t="inlineStr">
        <is>
          <t>VB</t>
        </is>
      </c>
      <c r="J260" t="inlineStr">
        <is>
          <t>13187 Berlin - Pankow</t>
        </is>
      </c>
      <c r="K260" s="5" t="n">
        <v>45562</v>
      </c>
      <c r="L260" t="inlineStr"/>
      <c r="M260" s="6">
        <f>HYPERLINK("https://www.kleinanzeigen.de/s-anzeige/windsurfsegel-gaastra-remedy-6-0-qm/2875184738-230-3473", "Link")</f>
        <v/>
      </c>
      <c r="N260" s="6">
        <f>HYPERLINK("C:\Projects\Kleinanzeigen-Scraper\offer_images\2875184738", "Link")</f>
        <v/>
      </c>
      <c r="O260" t="inlineStr">
        <is>
          <t>Rene</t>
        </is>
      </c>
      <c r="P260" s="6">
        <f>HYPERLINK("https://www.kleinanzeigen.de/s-bestandsliste.html?userId=40813070", "Link")</f>
        <v/>
      </c>
      <c r="Q260" s="7" t="n">
        <v>45562.74081018518</v>
      </c>
      <c r="R260" s="3" t="inlineStr">
        <is>
          <t>480.03</t>
        </is>
      </c>
      <c r="S260" t="inlineStr">
        <is>
          <t>Köln</t>
        </is>
      </c>
    </row>
    <row r="261">
      <c r="A261" s="2" t="n">
        <v>5.4</v>
      </c>
      <c r="B261" t="inlineStr">
        <is>
          <t>Gaastra Poisen</t>
        </is>
      </c>
      <c r="C261" s="3" t="n">
        <v>430</v>
      </c>
      <c r="D261" s="3" t="n">
        <v>175</v>
      </c>
      <c r="E261" t="inlineStr"/>
      <c r="F261" t="inlineStr">
        <is>
          <t>2008</t>
        </is>
      </c>
      <c r="G261" t="inlineStr">
        <is>
          <t>used</t>
        </is>
      </c>
      <c r="H261" s="4" t="n">
        <v>85</v>
      </c>
      <c r="I261" t="inlineStr">
        <is>
          <t>VB</t>
        </is>
      </c>
      <c r="J261" t="inlineStr">
        <is>
          <t>13187 Berlin - Pankow</t>
        </is>
      </c>
      <c r="K261" s="5" t="n">
        <v>45562</v>
      </c>
      <c r="L261" t="inlineStr">
        <is>
          <t>Sold</t>
        </is>
      </c>
      <c r="M261" s="6">
        <f>HYPERLINK("https://www.kleinanzeigen.de/s-anzeige/windsurfsegel-gaastra-poisen-5-4-qm/2875190903-230-3473", "Link")</f>
        <v/>
      </c>
      <c r="N261" s="6">
        <f>HYPERLINK("C:\Projects\Kleinanzeigen-Scraper\offer_images\2875190903", "Link")</f>
        <v/>
      </c>
      <c r="O261" t="inlineStr">
        <is>
          <t>Rene</t>
        </is>
      </c>
      <c r="P261" s="6">
        <f>HYPERLINK("https://www.kleinanzeigen.de/s-bestandsliste.html?userId=40813070", "Link")</f>
        <v/>
      </c>
      <c r="Q261" s="7" t="n">
        <v>45562.74048611111</v>
      </c>
      <c r="R261" s="3" t="inlineStr">
        <is>
          <t>480.03</t>
        </is>
      </c>
      <c r="S261" t="inlineStr">
        <is>
          <t>Köln</t>
        </is>
      </c>
    </row>
    <row r="262">
      <c r="A262" s="2" t="n">
        <v>7.2</v>
      </c>
      <c r="B262" t="inlineStr">
        <is>
          <t>Gaastra Hybrid C4</t>
        </is>
      </c>
      <c r="C262" s="3" t="inlineStr"/>
      <c r="D262" s="3" t="inlineStr"/>
      <c r="E262" t="inlineStr"/>
      <c r="F262" t="inlineStr">
        <is>
          <t>2023</t>
        </is>
      </c>
      <c r="G262" t="inlineStr"/>
      <c r="H262" s="4" t="n">
        <v>459</v>
      </c>
      <c r="I262" t="inlineStr">
        <is>
          <t>VB</t>
        </is>
      </c>
      <c r="J262" t="inlineStr">
        <is>
          <t>26125 Niedersachsen - Oldenburg</t>
        </is>
      </c>
      <c r="K262" s="5" t="n">
        <v>45561</v>
      </c>
      <c r="L262" t="inlineStr"/>
      <c r="M262" s="6">
        <f>HYPERLINK("https://www.kleinanzeigen.de/s-anzeige/gaastra-windsurf-segel-hybrid-c4-white-2023-7-2-qm/2874594444-230-3111", "Link")</f>
        <v/>
      </c>
      <c r="N262" s="6">
        <f>HYPERLINK("C:\Projects\Kleinanzeigen-Scraper\offer_images\2874594444", "Link")</f>
        <v/>
      </c>
      <c r="O262" t="inlineStr">
        <is>
          <t>No user name</t>
        </is>
      </c>
      <c r="P262" s="6">
        <f>HYPERLINK("https://www.kleinanzeigen.deNo user link", "Link")</f>
        <v/>
      </c>
      <c r="Q262" s="7" t="n">
        <v>45562.74038194444</v>
      </c>
      <c r="R262" s="3" t="inlineStr">
        <is>
          <t>264.10</t>
        </is>
      </c>
      <c r="S262" t="inlineStr">
        <is>
          <t>Köln</t>
        </is>
      </c>
    </row>
    <row r="263">
      <c r="A263" s="2" t="n">
        <v>6.2</v>
      </c>
      <c r="B263" t="inlineStr">
        <is>
          <t>Gaastra Cosmic C2-Red</t>
        </is>
      </c>
      <c r="C263" s="3" t="inlineStr"/>
      <c r="D263" s="3" t="inlineStr"/>
      <c r="E263" t="inlineStr">
        <is>
          <t>Freerace</t>
        </is>
      </c>
      <c r="F263" t="inlineStr">
        <is>
          <t>2022</t>
        </is>
      </c>
      <c r="G263" t="inlineStr">
        <is>
          <t>new</t>
        </is>
      </c>
      <c r="H263" s="4" t="n">
        <v>949</v>
      </c>
      <c r="I263" t="inlineStr">
        <is>
          <t>VB</t>
        </is>
      </c>
      <c r="J263" t="inlineStr">
        <is>
          <t>26125 Niedersachsen - Oldenburg</t>
        </is>
      </c>
      <c r="K263" s="5" t="n">
        <v>45561</v>
      </c>
      <c r="L263" t="inlineStr"/>
      <c r="M263" s="6">
        <f>HYPERLINK("https://www.kleinanzeigen.de/s-anzeige/gaastra-windsurf-segel-cosmic-c2-red-2022-6-2-qm/2874593015-230-3111", "Link")</f>
        <v/>
      </c>
      <c r="N263" s="6">
        <f>HYPERLINK("C:\Projects\Kleinanzeigen-Scraper\offer_images\2874593015", "Link")</f>
        <v/>
      </c>
      <c r="O263" t="inlineStr">
        <is>
          <t>No user name</t>
        </is>
      </c>
      <c r="P263" s="6">
        <f>HYPERLINK("https://www.kleinanzeigen.deNo user link", "Link")</f>
        <v/>
      </c>
      <c r="Q263" s="7" t="n">
        <v>45562.73958333334</v>
      </c>
      <c r="R263" s="3" t="inlineStr">
        <is>
          <t>264.10</t>
        </is>
      </c>
      <c r="S263" t="inlineStr">
        <is>
          <t>Köln</t>
        </is>
      </c>
    </row>
    <row r="264">
      <c r="A264" s="2" t="n">
        <v>5.3</v>
      </c>
      <c r="B264" t="inlineStr">
        <is>
          <t>NEILPRYDE Combat HD</t>
        </is>
      </c>
      <c r="C264" s="3" t="inlineStr"/>
      <c r="D264" s="3" t="inlineStr"/>
      <c r="E264" t="inlineStr">
        <is>
          <t>Wave</t>
        </is>
      </c>
      <c r="F264" t="inlineStr"/>
      <c r="G264" t="inlineStr">
        <is>
          <t>used, damaged</t>
        </is>
      </c>
      <c r="H264" s="4" t="n">
        <v>50</v>
      </c>
      <c r="I264" t="inlineStr">
        <is>
          <t>VB</t>
        </is>
      </c>
      <c r="J264" t="inlineStr">
        <is>
          <t>81547 Obergiesing-Fasangarten - Obergiesing</t>
        </is>
      </c>
      <c r="K264" s="5" t="n">
        <v>45561</v>
      </c>
      <c r="L264" t="inlineStr">
        <is>
          <t>Sold</t>
        </is>
      </c>
      <c r="M264" s="6">
        <f>HYPERLINK("https://www.kleinanzeigen.de/s-anzeige/neilpryde-combat-hd-5-3-wave-windsurf-segel/2874915262-230-16364", "Link")</f>
        <v/>
      </c>
      <c r="N264" s="6">
        <f>HYPERLINK("C:\Projects\Kleinanzeigen-Scraper\offer_images\2874915262", "Link")</f>
        <v/>
      </c>
      <c r="O264" t="inlineStr">
        <is>
          <t>Jens</t>
        </is>
      </c>
      <c r="P264" s="6">
        <f>HYPERLINK("https://www.kleinanzeigen.de/s-bestandsliste.html?userId=22091316", "Link")</f>
        <v/>
      </c>
      <c r="Q264" s="7" t="n">
        <v>45562.73950231481</v>
      </c>
      <c r="R264" s="3" t="inlineStr">
        <is>
          <t>3.83</t>
        </is>
      </c>
      <c r="S264" t="inlineStr">
        <is>
          <t>München</t>
        </is>
      </c>
    </row>
    <row r="265">
      <c r="A265" s="2" t="n">
        <v>4.5</v>
      </c>
      <c r="B265" t="inlineStr">
        <is>
          <t>Gaastra / GA Manic HD</t>
        </is>
      </c>
      <c r="C265" s="3" t="inlineStr"/>
      <c r="D265" s="3" t="inlineStr"/>
      <c r="E265" t="inlineStr"/>
      <c r="F265" t="inlineStr">
        <is>
          <t>2020</t>
        </is>
      </c>
      <c r="G265" t="inlineStr">
        <is>
          <t>used</t>
        </is>
      </c>
      <c r="H265" s="4" t="n">
        <v>160</v>
      </c>
      <c r="I265" t="inlineStr"/>
      <c r="J265" t="inlineStr">
        <is>
          <t>51149 Köln - Porz</t>
        </is>
      </c>
      <c r="K265" s="5" t="n">
        <v>45552</v>
      </c>
      <c r="L265" t="inlineStr">
        <is>
          <t>Sold</t>
        </is>
      </c>
      <c r="M265" s="6">
        <f>HYPERLINK("https://www.kleinanzeigen.de/s-anzeige/gaastra-ga-manic-hd-4-5-von-2020/2865993692-230-962", "Link")</f>
        <v/>
      </c>
      <c r="N265" s="6">
        <f>HYPERLINK("C:\Projects\Kleinanzeigen-Scraper\offer_images\2865993692", "Link")</f>
        <v/>
      </c>
      <c r="O265" t="inlineStr">
        <is>
          <t>Jürgen</t>
        </is>
      </c>
      <c r="P265" s="6">
        <f>HYPERLINK("https://www.kleinanzeigen.de/s-bestandsliste.html?userId=7171967", "Link")</f>
        <v/>
      </c>
      <c r="Q265" s="7" t="n">
        <v>45562.73940972222</v>
      </c>
      <c r="R265" s="3" t="inlineStr">
        <is>
          <t>7.40</t>
        </is>
      </c>
      <c r="S265" t="inlineStr">
        <is>
          <t>Köln</t>
        </is>
      </c>
    </row>
    <row r="266">
      <c r="A266" s="2" t="n">
        <v>4</v>
      </c>
      <c r="B266" t="inlineStr">
        <is>
          <t>Duotone Idol</t>
        </is>
      </c>
      <c r="C266" s="3" t="inlineStr"/>
      <c r="D266" s="3" t="inlineStr"/>
      <c r="E266" t="inlineStr"/>
      <c r="F266" t="inlineStr">
        <is>
          <t>2022</t>
        </is>
      </c>
      <c r="G266" t="inlineStr">
        <is>
          <t>used</t>
        </is>
      </c>
      <c r="H266" s="4" t="n">
        <v>300</v>
      </c>
      <c r="I266" t="inlineStr"/>
      <c r="J266" t="inlineStr">
        <is>
          <t>88634 Herdwangen-Schönach</t>
        </is>
      </c>
      <c r="K266" s="5" t="n">
        <v>45560</v>
      </c>
      <c r="L266" t="inlineStr"/>
      <c r="M266" s="6">
        <f>HYPERLINK("https://www.dailydose.de/kleinanzeigen/detail.htm?ai=423183&amp;cf=kk&amp;pg=4&amp;ci=5", "Link")</f>
        <v/>
      </c>
      <c r="N266" s="6">
        <f>HYPERLINK("C:\Projects\Kleinanzeigen-Scraper\offer_images\423183", "Link")</f>
        <v/>
      </c>
      <c r="O266" t="inlineStr">
        <is>
          <t>IvanFrb</t>
        </is>
      </c>
      <c r="P266" s="6">
        <f>HYPERLINK("https://www.dailydose.de/kleinanzeigen/user/25918", "Link")</f>
        <v/>
      </c>
      <c r="Q266" s="7" t="n">
        <v>45561.68114583333</v>
      </c>
      <c r="R266" s="3" t="inlineStr">
        <is>
          <t>62.58</t>
        </is>
      </c>
      <c r="S266" t="inlineStr">
        <is>
          <t>Bonndorf</t>
        </is>
      </c>
    </row>
    <row r="267">
      <c r="A267" s="2" t="n">
        <v>7.8</v>
      </c>
      <c r="B267" t="inlineStr">
        <is>
          <t>Point 7 F1</t>
        </is>
      </c>
      <c r="C267" s="3" t="inlineStr"/>
      <c r="D267" s="3" t="inlineStr"/>
      <c r="E267" t="inlineStr">
        <is>
          <t>Foil</t>
        </is>
      </c>
      <c r="F267" t="inlineStr">
        <is>
          <t>2023</t>
        </is>
      </c>
      <c r="G267" t="inlineStr">
        <is>
          <t>used</t>
        </is>
      </c>
      <c r="H267" s="4" t="n">
        <v>450</v>
      </c>
      <c r="I267" t="inlineStr"/>
      <c r="J267" t="inlineStr">
        <is>
          <t>71720 Oberstenfeld</t>
        </is>
      </c>
      <c r="K267" s="5" t="n">
        <v>45560</v>
      </c>
      <c r="L267" t="inlineStr">
        <is>
          <t>Sold</t>
        </is>
      </c>
      <c r="M267" s="6">
        <f>HYPERLINK("https://www.dailydose.de/kleinanzeigen/detail.htm?ai=423169&amp;cf=kk&amp;pg=3&amp;ci=5", "Link")</f>
        <v/>
      </c>
      <c r="N267" s="6">
        <f>HYPERLINK("C:\Projects\Kleinanzeigen-Scraper\offer_images\423169", "Link")</f>
        <v/>
      </c>
      <c r="O267" t="inlineStr">
        <is>
          <t>Tim Kr_79</t>
        </is>
      </c>
      <c r="P267" s="6">
        <f>HYPERLINK("https://www.dailydose.de/kleinanzeigen/user/23612", "Link")</f>
        <v/>
      </c>
      <c r="Q267" s="7" t="n">
        <v>45561.68112268519</v>
      </c>
      <c r="R267" s="3" t="inlineStr">
        <is>
          <t>48.50</t>
        </is>
      </c>
      <c r="S267" t="inlineStr">
        <is>
          <t>Böblingen</t>
        </is>
      </c>
    </row>
    <row r="268">
      <c r="A268" s="2" t="n">
        <v>9.4</v>
      </c>
      <c r="B268" t="inlineStr">
        <is>
          <t>Sailloft Ultimate</t>
        </is>
      </c>
      <c r="C268" s="3" t="inlineStr">
        <is>
          <t>490 or 520</t>
        </is>
      </c>
      <c r="D268" s="3" t="inlineStr"/>
      <c r="E268" t="inlineStr"/>
      <c r="F268" t="inlineStr"/>
      <c r="G268" t="inlineStr">
        <is>
          <t>new</t>
        </is>
      </c>
      <c r="H268" s="4" t="n">
        <v>260</v>
      </c>
      <c r="I268" t="inlineStr"/>
      <c r="J268" t="inlineStr">
        <is>
          <t>47803 Krefeld &amp; Übergabe</t>
        </is>
      </c>
      <c r="K268" s="5" t="n">
        <v>45561</v>
      </c>
      <c r="L268" t="inlineStr">
        <is>
          <t>Sold</t>
        </is>
      </c>
      <c r="M268" s="6">
        <f>HYPERLINK("https://www.dailydose.de/kleinanzeigen/detail.htm?ai=423205&amp;cf=kk&amp;pg=1&amp;ci=5", "Link")</f>
        <v/>
      </c>
      <c r="N268" s="6">
        <f>HYPERLINK("C:\Projects\Kleinanzeigen-Scraper\offer_images\423205", "Link")</f>
        <v/>
      </c>
      <c r="O268" t="inlineStr">
        <is>
          <t>Matthias_4</t>
        </is>
      </c>
      <c r="P268" s="6">
        <f>HYPERLINK("https://www.dailydose.de/kleinanzeigen/user/25579", "Link")</f>
        <v/>
      </c>
      <c r="Q268" s="7" t="n">
        <v>45561.68099537037</v>
      </c>
      <c r="R268" s="3" t="inlineStr">
        <is>
          <t>53.61</t>
        </is>
      </c>
      <c r="S268" t="inlineStr">
        <is>
          <t>Köln</t>
        </is>
      </c>
    </row>
    <row r="269">
      <c r="A269" s="2" t="n">
        <v>6</v>
      </c>
      <c r="B269" t="inlineStr">
        <is>
          <t>Gaastra Pulse</t>
        </is>
      </c>
      <c r="C269" s="3" t="n">
        <v>430</v>
      </c>
      <c r="D269" s="3" t="n">
        <v>190</v>
      </c>
      <c r="E269" t="inlineStr">
        <is>
          <t>Wave</t>
        </is>
      </c>
      <c r="F269" t="inlineStr"/>
      <c r="G269" t="inlineStr">
        <is>
          <t>used, repaired</t>
        </is>
      </c>
      <c r="H269" s="4" t="n">
        <v>45</v>
      </c>
      <c r="I269" t="inlineStr">
        <is>
          <t>VB</t>
        </is>
      </c>
      <c r="J269" t="inlineStr">
        <is>
          <t>22143 Hamburg</t>
        </is>
      </c>
      <c r="K269" s="5" t="n">
        <v>45560</v>
      </c>
      <c r="L269" t="inlineStr"/>
      <c r="M269" s="6">
        <f>HYPERLINK("https://www.dailydose.de/kleinanzeigen/detail.htm?ai=423188&amp;cf=kk&amp;pg=4&amp;ci=5", "Link")</f>
        <v/>
      </c>
      <c r="N269" s="6">
        <f>HYPERLINK("C:\Projects\Kleinanzeigen-Scraper\offer_images\423188", "Link")</f>
        <v/>
      </c>
      <c r="O269" t="inlineStr">
        <is>
          <t>JohannesHH</t>
        </is>
      </c>
      <c r="P269" s="6">
        <f>HYPERLINK("https://www.dailydose.de/kleinanzeigen/user/26449", "Link")</f>
        <v/>
      </c>
      <c r="Q269" s="7" t="n">
        <v>45561.68086805556</v>
      </c>
      <c r="R269" s="3" t="inlineStr">
        <is>
          <t>368.45</t>
        </is>
      </c>
      <c r="S269" t="inlineStr">
        <is>
          <t>Köln</t>
        </is>
      </c>
    </row>
    <row r="270">
      <c r="A270" s="2" t="n">
        <v>7.5</v>
      </c>
      <c r="B270" t="inlineStr">
        <is>
          <t>Gaastra Matrix</t>
        </is>
      </c>
      <c r="C270" s="3" t="n">
        <v>460</v>
      </c>
      <c r="D270" s="3" t="n">
        <v>218</v>
      </c>
      <c r="E270" t="inlineStr">
        <is>
          <t>Freeride</t>
        </is>
      </c>
      <c r="F270" t="inlineStr"/>
      <c r="G270" t="inlineStr">
        <is>
          <t>repaired</t>
        </is>
      </c>
      <c r="H270" s="4" t="n">
        <v>75</v>
      </c>
      <c r="I270" t="inlineStr"/>
      <c r="J270" t="inlineStr">
        <is>
          <t>26802 Moormerland</t>
        </is>
      </c>
      <c r="K270" s="5" t="n">
        <v>45560</v>
      </c>
      <c r="L270" t="inlineStr"/>
      <c r="M270" s="6">
        <f>HYPERLINK("https://www.dailydose.de/kleinanzeigen/detail.htm?ai=423194&amp;cf=kk&amp;pg=4&amp;ci=5", "Link")</f>
        <v/>
      </c>
      <c r="N270" s="6">
        <f>HYPERLINK("C:\Projects\Kleinanzeigen-Scraper\offer_images\423194", "Link")</f>
        <v/>
      </c>
      <c r="O270" t="inlineStr">
        <is>
          <t>Rainer Karl Lederle</t>
        </is>
      </c>
      <c r="P270" s="6">
        <f>HYPERLINK("https://www.dailydose.de/kleinanzeigen/user/19573", "Link")</f>
        <v/>
      </c>
      <c r="Q270" s="7" t="n">
        <v>45561.68064814815</v>
      </c>
      <c r="R270" s="3" t="inlineStr">
        <is>
          <t>265.85</t>
        </is>
      </c>
      <c r="S270" t="inlineStr">
        <is>
          <t>Köln</t>
        </is>
      </c>
    </row>
    <row r="271">
      <c r="A271" s="2" t="n">
        <v>5</v>
      </c>
      <c r="B271" t="inlineStr">
        <is>
          <t>Gun Sails Wave MC</t>
        </is>
      </c>
      <c r="C271" s="3" t="n">
        <v>422</v>
      </c>
      <c r="D271" s="3" t="n">
        <v>175</v>
      </c>
      <c r="E271" t="inlineStr"/>
      <c r="F271" t="inlineStr"/>
      <c r="G271" t="inlineStr">
        <is>
          <t>used, repaired</t>
        </is>
      </c>
      <c r="H271" s="4" t="n">
        <v>40</v>
      </c>
      <c r="I271" t="inlineStr">
        <is>
          <t>VB</t>
        </is>
      </c>
      <c r="J271" t="inlineStr">
        <is>
          <t>22143 Hamburg</t>
        </is>
      </c>
      <c r="K271" s="5" t="n">
        <v>45560</v>
      </c>
      <c r="L271" t="inlineStr"/>
      <c r="M271" s="6">
        <f>HYPERLINK("https://www.dailydose.de/kleinanzeigen/detail.htm?ai=423189&amp;cf=kk&amp;pg=4&amp;ci=5", "Link")</f>
        <v/>
      </c>
      <c r="N271" s="6">
        <f>HYPERLINK("C:\Projects\Kleinanzeigen-Scraper\offer_images\423189", "Link")</f>
        <v/>
      </c>
      <c r="O271" t="inlineStr">
        <is>
          <t>JohannesHH</t>
        </is>
      </c>
      <c r="P271" s="6">
        <f>HYPERLINK("https://www.dailydose.de/kleinanzeigen/user/26449", "Link")</f>
        <v/>
      </c>
      <c r="Q271" s="7" t="n">
        <v>45561.68045138889</v>
      </c>
      <c r="R271" s="3" t="inlineStr">
        <is>
          <t>368.45</t>
        </is>
      </c>
      <c r="S271" t="inlineStr">
        <is>
          <t>Köln</t>
        </is>
      </c>
    </row>
    <row r="272">
      <c r="A272" s="2" t="n">
        <v>6.2</v>
      </c>
      <c r="B272" t="inlineStr">
        <is>
          <t>Neilpryde Ryde HD</t>
        </is>
      </c>
      <c r="C272" s="3" t="n">
        <v>432</v>
      </c>
      <c r="D272" s="3" t="n">
        <v>184</v>
      </c>
      <c r="E272" t="inlineStr"/>
      <c r="F272" t="inlineStr">
        <is>
          <t>2022</t>
        </is>
      </c>
      <c r="G272" t="inlineStr">
        <is>
          <t>used</t>
        </is>
      </c>
      <c r="H272" s="4" t="n">
        <v>320</v>
      </c>
      <c r="I272" t="inlineStr"/>
      <c r="J272" t="inlineStr">
        <is>
          <t>24589 Nortorf</t>
        </is>
      </c>
      <c r="K272" s="5" t="n">
        <v>45561</v>
      </c>
      <c r="L272" t="inlineStr"/>
      <c r="M272" s="6">
        <f>HYPERLINK("https://www.dailydose.de/kleinanzeigen/detail.htm?ai=423211&amp;cf=kk&amp;pg=4&amp;ci=5", "Link")</f>
        <v/>
      </c>
      <c r="N272" s="6">
        <f>HYPERLINK("C:\Projects\Kleinanzeigen-Scraper\offer_images\423211", "Link")</f>
        <v/>
      </c>
      <c r="O272" t="inlineStr">
        <is>
          <t>Soenke_167</t>
        </is>
      </c>
      <c r="P272" s="6">
        <f>HYPERLINK("https://www.dailydose.de/kleinanzeigen/user/21582", "Link")</f>
        <v/>
      </c>
      <c r="Q272" s="7" t="n">
        <v>45561.67979166667</v>
      </c>
      <c r="R272" s="3" t="inlineStr">
        <is>
          <t>408.91</t>
        </is>
      </c>
      <c r="S272" t="inlineStr">
        <is>
          <t>Köln</t>
        </is>
      </c>
    </row>
    <row r="273">
      <c r="A273" s="2" t="n">
        <v>4.7</v>
      </c>
      <c r="B273" t="inlineStr">
        <is>
          <t>Neil Pryde Wave NR</t>
        </is>
      </c>
      <c r="C273" s="3" t="n">
        <v>400</v>
      </c>
      <c r="D273" s="3" t="n">
        <v>165</v>
      </c>
      <c r="E273" t="inlineStr"/>
      <c r="F273" t="inlineStr"/>
      <c r="G273" t="inlineStr">
        <is>
          <t>new</t>
        </is>
      </c>
      <c r="H273" s="4" t="n">
        <v>125</v>
      </c>
      <c r="I273" t="inlineStr"/>
      <c r="J273" t="inlineStr">
        <is>
          <t>26802 Moormerland</t>
        </is>
      </c>
      <c r="K273" s="5" t="n">
        <v>45560</v>
      </c>
      <c r="L273" t="inlineStr"/>
      <c r="M273" s="6">
        <f>HYPERLINK("https://www.dailydose.de/kleinanzeigen/detail.htm?ai=423186&amp;cf=kk&amp;pg=4&amp;ci=5", "Link")</f>
        <v/>
      </c>
      <c r="N273" s="6">
        <f>HYPERLINK("C:\Projects\Kleinanzeigen-Scraper\offer_images\423186", "Link")</f>
        <v/>
      </c>
      <c r="O273" t="inlineStr">
        <is>
          <t>Rainer Karl Lederle</t>
        </is>
      </c>
      <c r="P273" s="6">
        <f>HYPERLINK("https://www.dailydose.de/kleinanzeigen/user/19573", "Link")</f>
        <v/>
      </c>
      <c r="Q273" s="7" t="n">
        <v>45561.67953703704</v>
      </c>
      <c r="R273" s="3" t="inlineStr">
        <is>
          <t>265.85</t>
        </is>
      </c>
      <c r="S273" t="inlineStr">
        <is>
          <t>Köln</t>
        </is>
      </c>
    </row>
    <row r="274">
      <c r="A274" s="2" t="n">
        <v>4.9</v>
      </c>
      <c r="B274" t="inlineStr">
        <is>
          <t>s2 maui dragon</t>
        </is>
      </c>
      <c r="C274" s="3" t="inlineStr"/>
      <c r="D274" s="3" t="inlineStr"/>
      <c r="E274" t="inlineStr"/>
      <c r="F274" t="inlineStr">
        <is>
          <t>2021</t>
        </is>
      </c>
      <c r="G274" t="inlineStr">
        <is>
          <t>used</t>
        </is>
      </c>
      <c r="H274" s="4" t="n">
        <v>240</v>
      </c>
      <c r="I274" t="inlineStr"/>
      <c r="J274" t="inlineStr">
        <is>
          <t>24944 Flensburg</t>
        </is>
      </c>
      <c r="K274" s="5" t="n">
        <v>45560</v>
      </c>
      <c r="L274" t="inlineStr">
        <is>
          <t>Sold</t>
        </is>
      </c>
      <c r="M274" s="6">
        <f>HYPERLINK("https://www.dailydose.de/kleinanzeigen/detail.htm?ai=423166&amp;cf=kk&amp;pg=1&amp;ci=5", "Link")</f>
        <v/>
      </c>
      <c r="N274" s="6">
        <f>HYPERLINK("C:\Projects\Kleinanzeigen-Scraper\offer_images\423166", "Link")</f>
        <v/>
      </c>
      <c r="O274" t="inlineStr">
        <is>
          <t>marc_133</t>
        </is>
      </c>
      <c r="P274" s="6">
        <f>HYPERLINK("https://www.dailydose.de/kleinanzeigen/user/15302", "Link")</f>
        <v/>
      </c>
      <c r="Q274" s="7" t="n">
        <v>45561.67929398148</v>
      </c>
      <c r="R274" s="3" t="inlineStr">
        <is>
          <t>462.42</t>
        </is>
      </c>
      <c r="S274" t="inlineStr">
        <is>
          <t>Köln</t>
        </is>
      </c>
    </row>
    <row r="275">
      <c r="A275" s="2" t="n">
        <v>6.8</v>
      </c>
      <c r="B275" t="inlineStr">
        <is>
          <t>Point 7 F1 Sl</t>
        </is>
      </c>
      <c r="C275" s="3" t="inlineStr"/>
      <c r="D275" s="3" t="inlineStr"/>
      <c r="E275" t="inlineStr">
        <is>
          <t>Foil</t>
        </is>
      </c>
      <c r="F275" t="inlineStr">
        <is>
          <t>2024</t>
        </is>
      </c>
      <c r="G275" t="inlineStr">
        <is>
          <t>repaired</t>
        </is>
      </c>
      <c r="H275" s="4" t="n">
        <v>400</v>
      </c>
      <c r="I275" t="inlineStr"/>
      <c r="J275" t="inlineStr">
        <is>
          <t>71720 Oberstenfeld</t>
        </is>
      </c>
      <c r="K275" s="5" t="n">
        <v>45560</v>
      </c>
      <c r="L275" t="inlineStr">
        <is>
          <t>Sold</t>
        </is>
      </c>
      <c r="M275" s="6">
        <f>HYPERLINK("https://www.dailydose.de/kleinanzeigen/detail.htm?ai=423170&amp;cf=kk&amp;pg=3&amp;ci=5", "Link")</f>
        <v/>
      </c>
      <c r="N275" s="6">
        <f>HYPERLINK("C:\Projects\Kleinanzeigen-Scraper\offer_images\423170", "Link")</f>
        <v/>
      </c>
      <c r="O275" t="inlineStr">
        <is>
          <t>Tim Kr_79</t>
        </is>
      </c>
      <c r="P275" s="6">
        <f>HYPERLINK("https://www.dailydose.de/kleinanzeigen/user/23612", "Link")</f>
        <v/>
      </c>
      <c r="Q275" s="7" t="n">
        <v>45561.67920138889</v>
      </c>
      <c r="R275" s="3" t="inlineStr">
        <is>
          <t>48.50</t>
        </is>
      </c>
      <c r="S275" t="inlineStr">
        <is>
          <t>Böblingen</t>
        </is>
      </c>
    </row>
    <row r="276">
      <c r="A276" s="2" t="n">
        <v>5.7</v>
      </c>
      <c r="B276" t="inlineStr">
        <is>
          <t>Severne Blade</t>
        </is>
      </c>
      <c r="C276" s="3" t="inlineStr"/>
      <c r="D276" s="3" t="inlineStr"/>
      <c r="E276" t="inlineStr"/>
      <c r="F276" t="inlineStr">
        <is>
          <t>2017</t>
        </is>
      </c>
      <c r="G276" t="inlineStr">
        <is>
          <t>used</t>
        </is>
      </c>
      <c r="H276" s="4" t="n">
        <v>150</v>
      </c>
      <c r="I276" t="inlineStr">
        <is>
          <t>VB</t>
        </is>
      </c>
      <c r="J276" t="inlineStr">
        <is>
          <t>75173 Pforzheim</t>
        </is>
      </c>
      <c r="K276" s="5" t="n">
        <v>45560</v>
      </c>
      <c r="L276" t="inlineStr"/>
      <c r="M276" s="6">
        <f>HYPERLINK("https://www.dailydose.de/kleinanzeigen/detail.htm?ai=423163&amp;cf=kk&amp;pg=4&amp;ci=5", "Link")</f>
        <v/>
      </c>
      <c r="N276" s="6">
        <f>HYPERLINK("C:\Projects\Kleinanzeigen-Scraper\offer_images\423163", "Link")</f>
        <v/>
      </c>
      <c r="O276" t="inlineStr">
        <is>
          <t>Ludwig_97</t>
        </is>
      </c>
      <c r="P276" s="6">
        <f>HYPERLINK("https://www.dailydose.de/kleinanzeigen/user/14416", "Link")</f>
        <v/>
      </c>
      <c r="Q276" s="7" t="n">
        <v>45561.67909722222</v>
      </c>
      <c r="R276" s="3" t="inlineStr">
        <is>
          <t>25.53</t>
        </is>
      </c>
      <c r="S276" t="inlineStr">
        <is>
          <t>Karlsruhe</t>
        </is>
      </c>
    </row>
    <row r="277">
      <c r="A277" s="2" t="n">
        <v>5.6</v>
      </c>
      <c r="B277" t="inlineStr">
        <is>
          <t>NeilPryde Wizard Pro</t>
        </is>
      </c>
      <c r="C277" s="3" t="n">
        <v>430</v>
      </c>
      <c r="D277" s="3" t="n">
        <v>169</v>
      </c>
      <c r="E277" t="inlineStr">
        <is>
          <t>Freestyle</t>
        </is>
      </c>
      <c r="F277" t="inlineStr">
        <is>
          <t>2021</t>
        </is>
      </c>
      <c r="G277" t="inlineStr">
        <is>
          <t>used</t>
        </is>
      </c>
      <c r="H277" s="4" t="n">
        <v>270</v>
      </c>
      <c r="I277" t="inlineStr"/>
      <c r="J277" t="inlineStr">
        <is>
          <t>6080 Innsbruck</t>
        </is>
      </c>
      <c r="K277" s="5" t="n">
        <v>45560</v>
      </c>
      <c r="L277" t="inlineStr"/>
      <c r="M277" s="6">
        <f>HYPERLINK("https://www.dailydose.de/kleinanzeigen/detail.htm?ai=423155&amp;cf=kk&amp;pg=4&amp;ci=5", "Link")</f>
        <v/>
      </c>
      <c r="N277" s="6">
        <f>HYPERLINK("C:\Projects\Kleinanzeigen-Scraper\offer_images\423155", "Link")</f>
        <v/>
      </c>
      <c r="O277" t="inlineStr">
        <is>
          <t>Michael_64</t>
        </is>
      </c>
      <c r="P277" s="6">
        <f>HYPERLINK("https://www.dailydose.de/kleinanzeigen/user/9928", "Link")</f>
        <v/>
      </c>
      <c r="Q277" s="7" t="n">
        <v>45561.67884259259</v>
      </c>
      <c r="R277" s="3" t="inlineStr">
        <is>
          <t>101.35</t>
        </is>
      </c>
      <c r="S277" t="inlineStr">
        <is>
          <t>München</t>
        </is>
      </c>
    </row>
    <row r="278">
      <c r="A278" s="2" t="n">
        <v>5</v>
      </c>
      <c r="B278" t="inlineStr">
        <is>
          <t>Severne Blade</t>
        </is>
      </c>
      <c r="C278" s="3" t="inlineStr"/>
      <c r="D278" s="3" t="inlineStr"/>
      <c r="E278" t="inlineStr"/>
      <c r="F278" t="inlineStr">
        <is>
          <t>2017</t>
        </is>
      </c>
      <c r="G278" t="inlineStr">
        <is>
          <t>used</t>
        </is>
      </c>
      <c r="H278" s="4" t="n">
        <v>150</v>
      </c>
      <c r="I278" t="inlineStr">
        <is>
          <t>VB</t>
        </is>
      </c>
      <c r="J278" t="inlineStr">
        <is>
          <t>75173 Pforzheim</t>
        </is>
      </c>
      <c r="K278" s="5" t="n">
        <v>45560</v>
      </c>
      <c r="L278" t="inlineStr">
        <is>
          <t>Sold</t>
        </is>
      </c>
      <c r="M278" s="6">
        <f>HYPERLINK("https://www.dailydose.de/kleinanzeigen/detail.htm?ai=423164&amp;cf=kk&amp;pg=3&amp;ci=5", "Link")</f>
        <v/>
      </c>
      <c r="N278" s="6">
        <f>HYPERLINK("C:\Projects\Kleinanzeigen-Scraper\offer_images\423164", "Link")</f>
        <v/>
      </c>
      <c r="O278" t="inlineStr">
        <is>
          <t>Ludwig_97</t>
        </is>
      </c>
      <c r="P278" s="6">
        <f>HYPERLINK("https://www.dailydose.de/kleinanzeigen/user/14416", "Link")</f>
        <v/>
      </c>
      <c r="Q278" s="7" t="n">
        <v>45561.67864583333</v>
      </c>
      <c r="R278" s="3" t="inlineStr">
        <is>
          <t>25.53</t>
        </is>
      </c>
      <c r="S278" t="inlineStr">
        <is>
          <t>Karlsruhe</t>
        </is>
      </c>
    </row>
    <row r="279">
      <c r="A279" s="2" t="n">
        <v>4</v>
      </c>
      <c r="B279" t="inlineStr">
        <is>
          <t>NP</t>
        </is>
      </c>
      <c r="C279" s="3" t="inlineStr"/>
      <c r="D279" s="3" t="inlineStr"/>
      <c r="E279" t="inlineStr"/>
      <c r="F279" t="inlineStr"/>
      <c r="G279" t="inlineStr">
        <is>
          <t>used</t>
        </is>
      </c>
      <c r="H279" s="4" t="n">
        <v>80</v>
      </c>
      <c r="I279" t="inlineStr"/>
      <c r="J279" t="inlineStr">
        <is>
          <t>75173 Pforzheim</t>
        </is>
      </c>
      <c r="K279" s="5" t="n">
        <v>45560</v>
      </c>
      <c r="L279" t="inlineStr"/>
      <c r="M279" s="6">
        <f>HYPERLINK("https://www.dailydose.de/kleinanzeigen/detail.htm?ai=423161&amp;cf=kk&amp;pg=4&amp;ci=5", "Link")</f>
        <v/>
      </c>
      <c r="N279" s="6">
        <f>HYPERLINK("C:\Projects\Kleinanzeigen-Scraper\offer_images\423161", "Link")</f>
        <v/>
      </c>
      <c r="O279" t="inlineStr">
        <is>
          <t>Ludwig_97</t>
        </is>
      </c>
      <c r="P279" s="6">
        <f>HYPERLINK("https://www.dailydose.de/kleinanzeigen/user/14416", "Link")</f>
        <v/>
      </c>
      <c r="Q279" s="7" t="n">
        <v>45561.67861111111</v>
      </c>
      <c r="R279" s="3" t="inlineStr">
        <is>
          <t>25.53</t>
        </is>
      </c>
      <c r="S279" t="inlineStr">
        <is>
          <t>Karlsruhe</t>
        </is>
      </c>
    </row>
    <row r="280">
      <c r="A280" s="2" t="n">
        <v>5.6</v>
      </c>
      <c r="B280" t="inlineStr">
        <is>
          <t>Sailloft Air</t>
        </is>
      </c>
      <c r="C280" s="3" t="inlineStr"/>
      <c r="D280" s="3" t="inlineStr"/>
      <c r="E280" t="inlineStr"/>
      <c r="F280" t="inlineStr">
        <is>
          <t>2021</t>
        </is>
      </c>
      <c r="G280" t="inlineStr">
        <is>
          <t>repaired</t>
        </is>
      </c>
      <c r="H280" s="4" t="n">
        <v>250</v>
      </c>
      <c r="I280" t="inlineStr"/>
      <c r="J280" t="inlineStr">
        <is>
          <t>22769 Hamburg</t>
        </is>
      </c>
      <c r="K280" s="5" t="n">
        <v>45561</v>
      </c>
      <c r="L280" t="inlineStr"/>
      <c r="M280" s="6">
        <f>HYPERLINK("https://www.dailydose.de/kleinanzeigen/detail.htm?ai=423214&amp;cf=kk&amp;pg=4&amp;ci=5", "Link")</f>
        <v/>
      </c>
      <c r="N280" s="6">
        <f>HYPERLINK("C:\Projects\Kleinanzeigen-Scraper\offer_images\423214", "Link")</f>
        <v/>
      </c>
      <c r="O280" t="inlineStr">
        <is>
          <t>tobs73</t>
        </is>
      </c>
      <c r="P280" s="6">
        <f>HYPERLINK("https://www.dailydose.de/kleinanzeigen/user/23814", "Link")</f>
        <v/>
      </c>
      <c r="Q280" s="7" t="n">
        <v>45561.67839120371</v>
      </c>
      <c r="R280" s="3" t="inlineStr">
        <is>
          <t>356.14</t>
        </is>
      </c>
      <c r="S280" t="inlineStr">
        <is>
          <t>Köln</t>
        </is>
      </c>
    </row>
    <row r="281">
      <c r="A281" s="2" t="n">
        <v>4.4</v>
      </c>
      <c r="B281" t="inlineStr">
        <is>
          <t>Duotone Idol</t>
        </is>
      </c>
      <c r="C281" s="3" t="inlineStr"/>
      <c r="D281" s="3" t="inlineStr"/>
      <c r="E281" t="inlineStr"/>
      <c r="F281" t="inlineStr">
        <is>
          <t>2022</t>
        </is>
      </c>
      <c r="G281" t="inlineStr">
        <is>
          <t>used</t>
        </is>
      </c>
      <c r="H281" s="4" t="n">
        <v>300</v>
      </c>
      <c r="I281" t="inlineStr"/>
      <c r="J281" t="inlineStr">
        <is>
          <t>88634 Herdwangen-Schönach</t>
        </is>
      </c>
      <c r="K281" s="5" t="n">
        <v>45560</v>
      </c>
      <c r="L281" t="inlineStr"/>
      <c r="M281" s="6">
        <f>HYPERLINK("https://www.dailydose.de/kleinanzeigen/detail.htm?ai=423185&amp;cf=kk&amp;pg=4&amp;ci=5", "Link")</f>
        <v/>
      </c>
      <c r="N281" s="6">
        <f>HYPERLINK("C:\Projects\Kleinanzeigen-Scraper\offer_images\423185", "Link")</f>
        <v/>
      </c>
      <c r="O281" t="inlineStr">
        <is>
          <t>IvanFrb</t>
        </is>
      </c>
      <c r="P281" s="6">
        <f>HYPERLINK("https://www.dailydose.de/kleinanzeigen/user/25918", "Link")</f>
        <v/>
      </c>
      <c r="Q281" s="7" t="n">
        <v>45561.67832175926</v>
      </c>
      <c r="R281" s="3" t="inlineStr">
        <is>
          <t>62.58</t>
        </is>
      </c>
      <c r="S281" t="inlineStr">
        <is>
          <t>Bonndorf</t>
        </is>
      </c>
    </row>
    <row r="282">
      <c r="A282" s="2" t="n">
        <v>8.199999999999999</v>
      </c>
      <c r="B282" t="inlineStr">
        <is>
          <t>Neilpryde Ryde</t>
        </is>
      </c>
      <c r="C282" s="3" t="n">
        <v>490</v>
      </c>
      <c r="D282" s="3" t="n">
        <v>218</v>
      </c>
      <c r="E282" t="inlineStr"/>
      <c r="F282" t="inlineStr">
        <is>
          <t>2021</t>
        </is>
      </c>
      <c r="G282" t="inlineStr">
        <is>
          <t>used</t>
        </is>
      </c>
      <c r="H282" s="4" t="n">
        <v>320</v>
      </c>
      <c r="I282" t="inlineStr"/>
      <c r="J282" t="inlineStr">
        <is>
          <t>24589 Nortorf</t>
        </is>
      </c>
      <c r="K282" s="5" t="n">
        <v>45561</v>
      </c>
      <c r="L282" t="inlineStr"/>
      <c r="M282" s="6">
        <f>HYPERLINK("https://www.dailydose.de/kleinanzeigen/detail.htm?ai=423210&amp;cf=kk&amp;pg=4&amp;ci=5", "Link")</f>
        <v/>
      </c>
      <c r="N282" s="6">
        <f>HYPERLINK("C:\Projects\Kleinanzeigen-Scraper\offer_images\423210", "Link")</f>
        <v/>
      </c>
      <c r="O282" t="inlineStr">
        <is>
          <t>Soenke_167</t>
        </is>
      </c>
      <c r="P282" s="6">
        <f>HYPERLINK("https://www.dailydose.de/kleinanzeigen/user/21582", "Link")</f>
        <v/>
      </c>
      <c r="Q282" s="7" t="n">
        <v>45561.67815972222</v>
      </c>
      <c r="R282" s="3" t="inlineStr">
        <is>
          <t>408.91</t>
        </is>
      </c>
      <c r="S282" t="inlineStr">
        <is>
          <t>Köln</t>
        </is>
      </c>
    </row>
    <row r="283">
      <c r="A283" s="2" t="n">
        <v>6.8</v>
      </c>
      <c r="B283" t="inlineStr">
        <is>
          <t>Point 7 F1 Sl</t>
        </is>
      </c>
      <c r="C283" s="3" t="inlineStr"/>
      <c r="D283" s="3" t="inlineStr"/>
      <c r="E283" t="inlineStr"/>
      <c r="F283" t="inlineStr">
        <is>
          <t>2023</t>
        </is>
      </c>
      <c r="G283" t="inlineStr">
        <is>
          <t>repaired</t>
        </is>
      </c>
      <c r="H283" s="4" t="n">
        <v>300</v>
      </c>
      <c r="I283" t="inlineStr"/>
      <c r="J283" t="inlineStr">
        <is>
          <t>71720 Oberstenfeld</t>
        </is>
      </c>
      <c r="K283" s="5" t="n">
        <v>45560</v>
      </c>
      <c r="L283" t="inlineStr"/>
      <c r="M283" s="6">
        <f>HYPERLINK("https://www.dailydose.de/kleinanzeigen/detail.htm?ai=423172&amp;cf=kk&amp;pg=4&amp;ci=5", "Link")</f>
        <v/>
      </c>
      <c r="N283" s="6">
        <f>HYPERLINK("C:\Projects\Kleinanzeigen-Scraper\offer_images\423172", "Link")</f>
        <v/>
      </c>
      <c r="O283" t="inlineStr">
        <is>
          <t>Tim Kr_79</t>
        </is>
      </c>
      <c r="P283" s="6">
        <f>HYPERLINK("https://www.dailydose.de/kleinanzeigen/user/23612", "Link")</f>
        <v/>
      </c>
      <c r="Q283" s="7" t="n">
        <v>45561.67803240741</v>
      </c>
      <c r="R283" s="3" t="inlineStr">
        <is>
          <t>48.50</t>
        </is>
      </c>
      <c r="S283" t="inlineStr">
        <is>
          <t>Böblingen</t>
        </is>
      </c>
    </row>
    <row r="284">
      <c r="A284" s="2" t="n">
        <v>4.1</v>
      </c>
      <c r="B284" t="inlineStr">
        <is>
          <t>Goya Eclipse</t>
        </is>
      </c>
      <c r="C284" s="3" t="n">
        <v>387</v>
      </c>
      <c r="D284" s="3" t="n">
        <v>155</v>
      </c>
      <c r="E284" t="inlineStr"/>
      <c r="F284" t="inlineStr">
        <is>
          <t>2010</t>
        </is>
      </c>
      <c r="G284" t="inlineStr">
        <is>
          <t>used</t>
        </is>
      </c>
      <c r="H284" s="4" t="n">
        <v>100</v>
      </c>
      <c r="I284" t="inlineStr"/>
      <c r="J284" t="inlineStr">
        <is>
          <t>50226 Nordrhein-Westfalen - Frechen</t>
        </is>
      </c>
      <c r="K284" s="5" t="n">
        <v>45560</v>
      </c>
      <c r="L284" t="inlineStr">
        <is>
          <t>Sold</t>
        </is>
      </c>
      <c r="M284" s="6">
        <f>HYPERLINK("https://www.kleinanzeigen.de/s-anzeige/goya-eclipse-4-1-windsurf-segel-sehr-gut-2010/2873661213-230-1160", "Link")</f>
        <v/>
      </c>
      <c r="N284" s="6">
        <f>HYPERLINK("C:\Projects\Kleinanzeigen-Scraper\offer_images\2873661213", "Link")</f>
        <v/>
      </c>
      <c r="O284" t="inlineStr">
        <is>
          <t>Christoph</t>
        </is>
      </c>
      <c r="P284" s="6">
        <f>HYPERLINK("https://www.kleinanzeigen.de/s-bestandsliste.html?userId=38595175", "Link")</f>
        <v/>
      </c>
      <c r="Q284" s="7" t="n">
        <v>45561.67738425926</v>
      </c>
      <c r="R284" s="3" t="inlineStr">
        <is>
          <t>11.81</t>
        </is>
      </c>
      <c r="S284" t="inlineStr">
        <is>
          <t>Köln</t>
        </is>
      </c>
    </row>
    <row r="285">
      <c r="A285" s="2" t="n">
        <v>7</v>
      </c>
      <c r="B285" t="inlineStr">
        <is>
          <t>Severne Foilglide2</t>
        </is>
      </c>
      <c r="C285" s="3" t="inlineStr"/>
      <c r="D285" s="3" t="inlineStr"/>
      <c r="E285" t="inlineStr"/>
      <c r="F285" t="inlineStr">
        <is>
          <t>2024</t>
        </is>
      </c>
      <c r="G285" t="inlineStr">
        <is>
          <t>used</t>
        </is>
      </c>
      <c r="H285" s="4" t="n">
        <v>300</v>
      </c>
      <c r="I285" t="inlineStr"/>
      <c r="J285" t="inlineStr">
        <is>
          <t>82467 Bayern - Garmisch-Partenkirchen</t>
        </is>
      </c>
      <c r="K285" s="5" t="n">
        <v>45561</v>
      </c>
      <c r="L285" t="inlineStr">
        <is>
          <t>Sold</t>
        </is>
      </c>
      <c r="M285" s="6">
        <f>HYPERLINK("https://www.kleinanzeigen.de/s-anzeige/surfsegel-severne-7qm/2874372153-230-6338", "Link")</f>
        <v/>
      </c>
      <c r="N285" s="6">
        <f>HYPERLINK("C:\Projects\Kleinanzeigen-Scraper\offer_images\2874372153", "Link")</f>
        <v/>
      </c>
      <c r="O285" t="inlineStr">
        <is>
          <t>Stephan</t>
        </is>
      </c>
      <c r="P285" s="6">
        <f>HYPERLINK("https://www.kleinanzeigen.de/s-bestandsliste.html?userId=24549656", "Link")</f>
        <v/>
      </c>
      <c r="Q285" s="7" t="n">
        <v>45561.67673611111</v>
      </c>
      <c r="R285" s="3" t="inlineStr">
        <is>
          <t>80.76</t>
        </is>
      </c>
      <c r="S285" t="inlineStr">
        <is>
          <t>München</t>
        </is>
      </c>
    </row>
    <row r="286">
      <c r="A286" s="2" t="n">
        <v>7</v>
      </c>
      <c r="B286" t="inlineStr">
        <is>
          <t>Gaastra</t>
        </is>
      </c>
      <c r="C286" s="3" t="n">
        <v>460</v>
      </c>
      <c r="D286" s="3" t="n">
        <v>212</v>
      </c>
      <c r="E286" t="inlineStr"/>
      <c r="F286" t="inlineStr"/>
      <c r="G286" t="inlineStr">
        <is>
          <t>repaired</t>
        </is>
      </c>
      <c r="H286" s="4" t="n">
        <v>90</v>
      </c>
      <c r="I286" t="inlineStr"/>
      <c r="J286" t="inlineStr">
        <is>
          <t>15569 Brandenburg - Woltersdorf</t>
        </is>
      </c>
      <c r="K286" s="5" t="n">
        <v>45560</v>
      </c>
      <c r="L286" t="inlineStr"/>
      <c r="M286" s="6">
        <f>HYPERLINK("https://www.kleinanzeigen.de/s-anzeige/gaastra-surfsegel-7-0qm/2873945986-230-7888", "Link")</f>
        <v/>
      </c>
      <c r="N286" s="6">
        <f>HYPERLINK("C:\Projects\Kleinanzeigen-Scraper\offer_images\2873945986", "Link")</f>
        <v/>
      </c>
      <c r="O286" t="inlineStr">
        <is>
          <t>Schulze</t>
        </is>
      </c>
      <c r="P286" s="6">
        <f>HYPERLINK("https://www.kleinanzeigen.de/s-bestandsliste.html?userId=22874933", "Link")</f>
        <v/>
      </c>
      <c r="Q286" s="7" t="n">
        <v>45561.67452546296</v>
      </c>
      <c r="R286" s="3" t="inlineStr">
        <is>
          <t>497.73</t>
        </is>
      </c>
      <c r="S286" t="inlineStr">
        <is>
          <t>Köln</t>
        </is>
      </c>
    </row>
    <row r="287">
      <c r="A287" s="2" t="n">
        <v>5.5</v>
      </c>
      <c r="B287" t="inlineStr">
        <is>
          <t>Mauisails Pursuit</t>
        </is>
      </c>
      <c r="C287" s="3" t="n">
        <v>430</v>
      </c>
      <c r="D287" s="3" t="n">
        <v>175</v>
      </c>
      <c r="E287" t="inlineStr">
        <is>
          <t>Freeride</t>
        </is>
      </c>
      <c r="F287" t="inlineStr"/>
      <c r="G287" t="inlineStr">
        <is>
          <t>demaged</t>
        </is>
      </c>
      <c r="H287" s="4" t="inlineStr">
        <is>
          <t>Zu verschenken</t>
        </is>
      </c>
      <c r="I287" t="inlineStr"/>
      <c r="J287" t="inlineStr">
        <is>
          <t>81541 München - Au-Haidhausen</t>
        </is>
      </c>
      <c r="K287" s="5" t="n">
        <v>45561</v>
      </c>
      <c r="L287" t="inlineStr"/>
      <c r="M287" s="6">
        <f>HYPERLINK("https://www.kleinanzeigen.de/s-anzeige/windsurf-segel-mauisails-pursuit-5-5-qm/2874545150-230-6426", "Link")</f>
        <v/>
      </c>
      <c r="N287" s="6">
        <f>HYPERLINK("C:\Projects\Kleinanzeigen-Scraper\offer_images\2874545150", "Link")</f>
        <v/>
      </c>
      <c r="O287" t="inlineStr">
        <is>
          <t>Markus</t>
        </is>
      </c>
      <c r="P287" s="6">
        <f>HYPERLINK("https://www.kleinanzeigen.de/s-bestandsliste.html?userId=15326183", "Link")</f>
        <v/>
      </c>
      <c r="Q287" s="7" t="n">
        <v>45561.67438657407</v>
      </c>
      <c r="R287" s="3" t="inlineStr">
        <is>
          <t>1.89</t>
        </is>
      </c>
      <c r="S287" t="inlineStr">
        <is>
          <t>München</t>
        </is>
      </c>
    </row>
    <row r="288">
      <c r="A288" s="2" t="n">
        <v>3.5</v>
      </c>
      <c r="B288" t="inlineStr">
        <is>
          <t>F2</t>
        </is>
      </c>
      <c r="C288" s="3" t="inlineStr"/>
      <c r="D288" s="3" t="inlineStr"/>
      <c r="E288" t="inlineStr"/>
      <c r="F288" t="inlineStr"/>
      <c r="G288" t="inlineStr">
        <is>
          <t>used</t>
        </is>
      </c>
      <c r="H288" s="4" t="n">
        <v>400</v>
      </c>
      <c r="I288" t="inlineStr">
        <is>
          <t>VB</t>
        </is>
      </c>
      <c r="J288" t="inlineStr">
        <is>
          <t>84036 Bayern - Landshut</t>
        </is>
      </c>
      <c r="K288" s="5" t="n">
        <v>45561</v>
      </c>
      <c r="L288" t="inlineStr"/>
      <c r="M288" s="6">
        <f>HYPERLINK("https://www.kleinanzeigen.de/s-anzeige/f2-sup-windsurf-segel-3-5/2874299730-230-20549", "Link")</f>
        <v/>
      </c>
      <c r="N288" s="6">
        <f>HYPERLINK("C:\Projects\Kleinanzeigen-Scraper\offer_images\2874299730", "Link")</f>
        <v/>
      </c>
      <c r="O288" t="inlineStr">
        <is>
          <t>Shari</t>
        </is>
      </c>
      <c r="P288" s="6">
        <f>HYPERLINK("https://www.kleinanzeigen.de/s-bestandsliste.html?userId=71735261", "Link")</f>
        <v/>
      </c>
      <c r="Q288" s="7" t="n">
        <v>45561.67434027778</v>
      </c>
      <c r="R288" s="3" t="inlineStr">
        <is>
          <t>63.58</t>
        </is>
      </c>
      <c r="S288" t="inlineStr">
        <is>
          <t>München</t>
        </is>
      </c>
    </row>
    <row r="289">
      <c r="A289" s="2" t="n">
        <v>7</v>
      </c>
      <c r="B289" t="inlineStr">
        <is>
          <t>Point7 ACX</t>
        </is>
      </c>
      <c r="C289" s="3" t="inlineStr"/>
      <c r="D289" s="3" t="inlineStr"/>
      <c r="E289" t="inlineStr"/>
      <c r="F289" t="inlineStr"/>
      <c r="G289" t="inlineStr">
        <is>
          <t>repaired</t>
        </is>
      </c>
      <c r="H289" s="4" t="n">
        <v>40</v>
      </c>
      <c r="I289" t="inlineStr">
        <is>
          <t>VB</t>
        </is>
      </c>
      <c r="J289" t="inlineStr">
        <is>
          <t>70197 Stuttgart - Stuttgart-West</t>
        </is>
      </c>
      <c r="K289" s="5" t="n">
        <v>45550</v>
      </c>
      <c r="L289" t="inlineStr"/>
      <c r="M289" s="6">
        <f>HYPERLINK("https://www.kleinanzeigen.de/s-anzeige/point7-acx-7-0-windsurf-segel/2864645916-230-9290", "Link")</f>
        <v/>
      </c>
      <c r="N289" s="6">
        <f>HYPERLINK("C:\Projects\Kleinanzeigen-Scraper\offer_images\2864645916", "Link")</f>
        <v/>
      </c>
      <c r="O289" t="inlineStr">
        <is>
          <t>Simon</t>
        </is>
      </c>
      <c r="P289" s="6">
        <f>HYPERLINK("https://www.kleinanzeigen.de/s-bestandsliste.html?userId=27002084", "Link")</f>
        <v/>
      </c>
      <c r="Q289" s="7" t="n">
        <v>45561.67407407407</v>
      </c>
      <c r="R289" s="3" t="inlineStr">
        <is>
          <t>16.49</t>
        </is>
      </c>
      <c r="S289" t="inlineStr">
        <is>
          <t>Böblingen</t>
        </is>
      </c>
    </row>
    <row r="290">
      <c r="A290" s="2" t="n">
        <v>9.4</v>
      </c>
      <c r="B290" t="inlineStr">
        <is>
          <t>Sailloft Ultimate</t>
        </is>
      </c>
      <c r="C290" s="3" t="inlineStr">
        <is>
          <t>490 or 520</t>
        </is>
      </c>
      <c r="D290" s="3" t="inlineStr"/>
      <c r="E290" t="inlineStr"/>
      <c r="F290" t="inlineStr"/>
      <c r="G290" t="inlineStr">
        <is>
          <t>new</t>
        </is>
      </c>
      <c r="H290" s="4" t="n">
        <v>250</v>
      </c>
      <c r="I290" t="inlineStr"/>
      <c r="J290" t="inlineStr">
        <is>
          <t>47803 Nordrhein-Westfalen - Krefeld</t>
        </is>
      </c>
      <c r="K290" s="5" t="n">
        <v>45561</v>
      </c>
      <c r="L290" t="inlineStr">
        <is>
          <t>Sold</t>
        </is>
      </c>
      <c r="M290" s="6">
        <f>HYPERLINK("https://www.kleinanzeigen.de/s-anzeige/sailloft-ultimate-9-4-windsurf-segel-neuwertig-/2874092452-230-1978", "Link")</f>
        <v/>
      </c>
      <c r="N290" s="6">
        <f>HYPERLINK("C:\Projects\Kleinanzeigen-Scraper\offer_images\2874092452", "Link")</f>
        <v/>
      </c>
      <c r="O290" t="inlineStr">
        <is>
          <t>Zeitgeist.82</t>
        </is>
      </c>
      <c r="P290" s="6">
        <f>HYPERLINK("https://www.kleinanzeigen.de/s-bestandsliste.html?userId=47357640", "Link")</f>
        <v/>
      </c>
      <c r="Q290" s="7" t="n">
        <v>45561.67391203704</v>
      </c>
      <c r="R290" s="3" t="inlineStr">
        <is>
          <t>53.61</t>
        </is>
      </c>
      <c r="S290" t="inlineStr">
        <is>
          <t>Köln</t>
        </is>
      </c>
    </row>
    <row r="291">
      <c r="A291" s="2" t="n">
        <v>6.4</v>
      </c>
      <c r="B291" t="inlineStr">
        <is>
          <t>Point 7 ACK</t>
        </is>
      </c>
      <c r="C291" s="3" t="n">
        <v>430</v>
      </c>
      <c r="D291" s="3" t="inlineStr"/>
      <c r="E291" t="inlineStr"/>
      <c r="F291" t="inlineStr"/>
      <c r="G291" t="inlineStr">
        <is>
          <t>used</t>
        </is>
      </c>
      <c r="H291" s="4" t="n">
        <v>200</v>
      </c>
      <c r="I291" t="inlineStr"/>
      <c r="J291" t="inlineStr">
        <is>
          <t>82467 Bayern - Garmisch-Partenkirchen</t>
        </is>
      </c>
      <c r="K291" s="5" t="n">
        <v>45561</v>
      </c>
      <c r="L291" t="inlineStr">
        <is>
          <t>Sold</t>
        </is>
      </c>
      <c r="M291" s="6">
        <f>HYPERLINK("https://www.kleinanzeigen.de/s-anzeige/windsurfsegel-point-7-ack-6-4/2874319678-230-6338", "Link")</f>
        <v/>
      </c>
      <c r="N291" s="6">
        <f>HYPERLINK("C:\Projects\Kleinanzeigen-Scraper\offer_images\2874319678", "Link")</f>
        <v/>
      </c>
      <c r="O291" t="inlineStr">
        <is>
          <t>Stephan</t>
        </is>
      </c>
      <c r="P291" s="6">
        <f>HYPERLINK("https://www.kleinanzeigen.de/s-bestandsliste.html?userId=24549656", "Link")</f>
        <v/>
      </c>
      <c r="Q291" s="7" t="n">
        <v>45561.67380787037</v>
      </c>
      <c r="R291" s="3" t="inlineStr">
        <is>
          <t>80.76</t>
        </is>
      </c>
      <c r="S291" t="inlineStr">
        <is>
          <t>München</t>
        </is>
      </c>
    </row>
    <row r="292">
      <c r="A292" s="2" t="n">
        <v>8.6</v>
      </c>
      <c r="B292" t="inlineStr">
        <is>
          <t>Point 7 AC 1</t>
        </is>
      </c>
      <c r="C292" s="3" t="n">
        <v>524</v>
      </c>
      <c r="D292" s="3" t="n">
        <v>230</v>
      </c>
      <c r="E292" t="inlineStr"/>
      <c r="F292" t="inlineStr">
        <is>
          <t>2022</t>
        </is>
      </c>
      <c r="G292" t="inlineStr">
        <is>
          <t>used</t>
        </is>
      </c>
      <c r="H292" s="4" t="n">
        <v>350</v>
      </c>
      <c r="I292" t="inlineStr">
        <is>
          <t>VB</t>
        </is>
      </c>
      <c r="J292" t="inlineStr">
        <is>
          <t>73431 Baden-Württemberg - Aalen</t>
        </is>
      </c>
      <c r="K292" s="5" t="n">
        <v>45560</v>
      </c>
      <c r="L292" t="inlineStr">
        <is>
          <t>Sold</t>
        </is>
      </c>
      <c r="M292" s="6">
        <f>HYPERLINK("https://www.kleinanzeigen.de/s-anzeige/point-7-ac-1-p7-ac-one-neuwertig/2873928929-230-9076", "Link")</f>
        <v/>
      </c>
      <c r="N292" s="6">
        <f>HYPERLINK("C:\Projects\Kleinanzeigen-Scraper\offer_images\2873928929", "Link")</f>
        <v/>
      </c>
      <c r="O292" t="inlineStr">
        <is>
          <t>AB</t>
        </is>
      </c>
      <c r="P292" s="6">
        <f>HYPERLINK("https://www.kleinanzeigen.de/s-bestandsliste.html?userId=16078794", "Link")</f>
        <v/>
      </c>
      <c r="Q292" s="7" t="n">
        <v>45561.67309027778</v>
      </c>
      <c r="R292" s="3" t="inlineStr">
        <is>
          <t>84.01</t>
        </is>
      </c>
      <c r="S292" t="inlineStr">
        <is>
          <t>Böblingen</t>
        </is>
      </c>
    </row>
    <row r="293">
      <c r="A293" s="2" t="n">
        <v>5.7</v>
      </c>
      <c r="B293" t="inlineStr">
        <is>
          <t>Severne Blade</t>
        </is>
      </c>
      <c r="C293" s="3" t="inlineStr"/>
      <c r="D293" s="3" t="inlineStr"/>
      <c r="E293" t="inlineStr"/>
      <c r="F293" t="inlineStr">
        <is>
          <t>2017</t>
        </is>
      </c>
      <c r="G293" t="inlineStr">
        <is>
          <t>used</t>
        </is>
      </c>
      <c r="H293" s="4" t="n">
        <v>150</v>
      </c>
      <c r="I293" t="inlineStr">
        <is>
          <t>VB</t>
        </is>
      </c>
      <c r="J293" t="inlineStr">
        <is>
          <t>75173 Baden-Württemberg - Pforzheim</t>
        </is>
      </c>
      <c r="K293" s="5" t="n">
        <v>45560</v>
      </c>
      <c r="L293" t="inlineStr"/>
      <c r="M293" s="6">
        <f>HYPERLINK("https://www.kleinanzeigen.de/s-anzeige/windsurfsegel-severne-blade-5-7/2873669323-230-9268", "Link")</f>
        <v/>
      </c>
      <c r="N293" s="6">
        <f>HYPERLINK("C:\Projects\Kleinanzeigen-Scraper\offer_images\2873669323", "Link")</f>
        <v/>
      </c>
      <c r="O293" t="inlineStr">
        <is>
          <t>Ludwig Hecht</t>
        </is>
      </c>
      <c r="P293" s="6">
        <f>HYPERLINK("https://www.kleinanzeigen.de/s-bestandsliste.html?userId=63621686", "Link")</f>
        <v/>
      </c>
      <c r="Q293" s="7" t="n">
        <v>45561.67297453704</v>
      </c>
      <c r="R293" s="3" t="inlineStr">
        <is>
          <t>25.53</t>
        </is>
      </c>
      <c r="S293" t="inlineStr">
        <is>
          <t>Karlsruhe</t>
        </is>
      </c>
    </row>
    <row r="294">
      <c r="A294" s="2" t="n">
        <v>5</v>
      </c>
      <c r="B294" t="inlineStr">
        <is>
          <t>Severne Blade</t>
        </is>
      </c>
      <c r="C294" s="3" t="inlineStr"/>
      <c r="D294" s="3" t="inlineStr"/>
      <c r="E294" t="inlineStr"/>
      <c r="F294" t="inlineStr">
        <is>
          <t>2017</t>
        </is>
      </c>
      <c r="G294" t="inlineStr">
        <is>
          <t>used</t>
        </is>
      </c>
      <c r="H294" s="4" t="n">
        <v>150</v>
      </c>
      <c r="I294" t="inlineStr"/>
      <c r="J294" t="inlineStr">
        <is>
          <t>75173 Baden-Württemberg - Pforzheim</t>
        </is>
      </c>
      <c r="K294" s="5" t="n">
        <v>45560</v>
      </c>
      <c r="L294" t="inlineStr">
        <is>
          <t>Sold</t>
        </is>
      </c>
      <c r="M294" s="6">
        <f>HYPERLINK("https://www.kleinanzeigen.de/s-anzeige/windsurfsegel-severne-blade-5-0/2873664492-230-9268", "Link")</f>
        <v/>
      </c>
      <c r="N294" s="6">
        <f>HYPERLINK("C:\Projects\Kleinanzeigen-Scraper\offer_images\2873664492", "Link")</f>
        <v/>
      </c>
      <c r="O294" t="inlineStr">
        <is>
          <t>Ludwig Hecht</t>
        </is>
      </c>
      <c r="P294" s="6">
        <f>HYPERLINK("https://www.kleinanzeigen.de/s-bestandsliste.html?userId=63621686", "Link")</f>
        <v/>
      </c>
      <c r="Q294" s="7" t="n">
        <v>45561.67266203704</v>
      </c>
      <c r="R294" s="3" t="inlineStr">
        <is>
          <t>25.53</t>
        </is>
      </c>
      <c r="S294" t="inlineStr">
        <is>
          <t>Karlsruhe</t>
        </is>
      </c>
    </row>
    <row r="295">
      <c r="A295" s="2" t="n">
        <v>4.4</v>
      </c>
      <c r="B295" t="inlineStr">
        <is>
          <t>Point-7 Slash</t>
        </is>
      </c>
      <c r="C295" s="3" t="inlineStr"/>
      <c r="D295" s="3" t="inlineStr"/>
      <c r="E295" t="inlineStr"/>
      <c r="F295" t="inlineStr">
        <is>
          <t>2023</t>
        </is>
      </c>
      <c r="G295" t="inlineStr">
        <is>
          <t>new</t>
        </is>
      </c>
      <c r="H295" s="4" t="n">
        <v>420</v>
      </c>
      <c r="I295" t="inlineStr"/>
      <c r="J295" t="inlineStr">
        <is>
          <t>53909 Nordrhein-Westfalen - Zülpich</t>
        </is>
      </c>
      <c r="K295" s="5" t="n">
        <v>45550</v>
      </c>
      <c r="L295" t="inlineStr"/>
      <c r="M295" s="6">
        <f>HYPERLINK("https://www.kleinanzeigen.de/s-anzeige/point-7-slash-4-4-2023/2864880607-230-1394", "Link")</f>
        <v/>
      </c>
      <c r="N295" s="6">
        <f>HYPERLINK("C:\Projects\Kleinanzeigen-Scraper\offer_images\2864880607", "Link")</f>
        <v/>
      </c>
      <c r="O295" t="inlineStr">
        <is>
          <t>Nifi</t>
        </is>
      </c>
      <c r="P295" s="6">
        <f>HYPERLINK("https://www.kleinanzeigen.de/s-bestandsliste.html?userId=15739909", "Link")</f>
        <v/>
      </c>
      <c r="Q295" s="7" t="n">
        <v>45561.67215277778</v>
      </c>
      <c r="R295" s="3" t="inlineStr">
        <is>
          <t>36.28</t>
        </is>
      </c>
      <c r="S295" t="inlineStr">
        <is>
          <t>Köln</t>
        </is>
      </c>
    </row>
    <row r="296">
      <c r="A296" s="2" t="n">
        <v>5</v>
      </c>
      <c r="B296" t="inlineStr">
        <is>
          <t>Point 7 AC1</t>
        </is>
      </c>
      <c r="C296" s="3" t="inlineStr"/>
      <c r="D296" s="3" t="inlineStr"/>
      <c r="E296" t="inlineStr"/>
      <c r="F296" t="inlineStr"/>
      <c r="G296" t="inlineStr">
        <is>
          <t>used</t>
        </is>
      </c>
      <c r="H296" s="4" t="n">
        <v>200</v>
      </c>
      <c r="I296" t="inlineStr"/>
      <c r="J296" t="inlineStr">
        <is>
          <t>82467 Bayern - Garmisch-Partenkirchen</t>
        </is>
      </c>
      <c r="K296" s="5" t="n">
        <v>45561</v>
      </c>
      <c r="L296" t="inlineStr">
        <is>
          <t>Sold</t>
        </is>
      </c>
      <c r="M296" s="6">
        <f>HYPERLINK("https://www.kleinanzeigen.de/s-anzeige/windsurfsegel-point-7-ac1-5-0/2874323264-230-6338", "Link")</f>
        <v/>
      </c>
      <c r="N296" s="6">
        <f>HYPERLINK("C:\Projects\Kleinanzeigen-Scraper\offer_images\2874323264", "Link")</f>
        <v/>
      </c>
      <c r="O296" t="inlineStr">
        <is>
          <t>Stephan</t>
        </is>
      </c>
      <c r="P296" s="6">
        <f>HYPERLINK("https://www.kleinanzeigen.de/s-bestandsliste.html?userId=24549656", "Link")</f>
        <v/>
      </c>
      <c r="Q296" s="7" t="n">
        <v>45561.67210648148</v>
      </c>
      <c r="R296" s="3" t="inlineStr">
        <is>
          <t>80.76</t>
        </is>
      </c>
      <c r="S296" t="inlineStr">
        <is>
          <t>München</t>
        </is>
      </c>
    </row>
    <row r="297">
      <c r="A297" s="2" t="n">
        <v>7.8</v>
      </c>
      <c r="B297" t="inlineStr">
        <is>
          <t>XO Sails</t>
        </is>
      </c>
      <c r="C297" s="3" t="inlineStr"/>
      <c r="D297" s="3" t="inlineStr"/>
      <c r="E297" t="inlineStr"/>
      <c r="F297" t="inlineStr"/>
      <c r="G297" t="inlineStr">
        <is>
          <t>used</t>
        </is>
      </c>
      <c r="H297" s="4" t="n">
        <v>180</v>
      </c>
      <c r="I297" t="inlineStr"/>
      <c r="J297" t="inlineStr">
        <is>
          <t>99448 Thüringen - Kranichfeld</t>
        </is>
      </c>
      <c r="K297" s="5" t="n">
        <v>45560</v>
      </c>
      <c r="L297" t="inlineStr"/>
      <c r="M297" s="6">
        <f>HYPERLINK("https://www.kleinanzeigen.de/s-anzeige/windsurf-segel-7-8-2-camber/2873889905-230-20898", "Link")</f>
        <v/>
      </c>
      <c r="N297" s="6">
        <f>HYPERLINK("C:\Projects\Kleinanzeigen-Scraper\offer_images\2873889905", "Link")</f>
        <v/>
      </c>
      <c r="O297" t="inlineStr">
        <is>
          <t>Tim</t>
        </is>
      </c>
      <c r="P297" s="6">
        <f>HYPERLINK("https://www.kleinanzeigen.de/s-bestandsliste.html?userId=23017205", "Link")</f>
        <v/>
      </c>
      <c r="Q297" s="7" t="n">
        <v>45561.67158564815</v>
      </c>
      <c r="R297" s="3" t="inlineStr">
        <is>
          <t>285.68</t>
        </is>
      </c>
      <c r="S297" t="inlineStr">
        <is>
          <t>Karlsruhe</t>
        </is>
      </c>
    </row>
    <row r="298">
      <c r="A298" s="2" t="n">
        <v>6.5</v>
      </c>
      <c r="B298" t="inlineStr">
        <is>
          <t>Neil Pryde V6</t>
        </is>
      </c>
      <c r="C298" s="3" t="inlineStr"/>
      <c r="D298" s="3" t="inlineStr"/>
      <c r="E298" t="inlineStr"/>
      <c r="F298" t="inlineStr"/>
      <c r="G298" t="inlineStr">
        <is>
          <t>used</t>
        </is>
      </c>
      <c r="H298" s="4" t="inlineStr">
        <is>
          <t>Zu verschenken</t>
        </is>
      </c>
      <c r="I298" t="inlineStr"/>
      <c r="J298" t="inlineStr">
        <is>
          <t>82538 Bayern - Geretsried</t>
        </is>
      </c>
      <c r="K298" s="5" t="n">
        <v>45560</v>
      </c>
      <c r="L298" t="inlineStr"/>
      <c r="M298" s="6">
        <f>HYPERLINK("https://www.kleinanzeigen.de/s-anzeige/windsurf-segel-neil-pryde-v6-6-5-m-/2873900360-230-6330", "Link")</f>
        <v/>
      </c>
      <c r="N298" s="6">
        <f>HYPERLINK("C:\Projects\Kleinanzeigen-Scraper\offer_images\2873900360", "Link")</f>
        <v/>
      </c>
      <c r="O298" t="inlineStr">
        <is>
          <t>Matthias Klemt</t>
        </is>
      </c>
      <c r="P298" s="6">
        <f>HYPERLINK("https://www.kleinanzeigen.de/s-bestandsliste.html?userId=21177727", "Link")</f>
        <v/>
      </c>
      <c r="Q298" s="7" t="n">
        <v>45561.67135416667</v>
      </c>
      <c r="R298" s="3" t="inlineStr">
        <is>
          <t>30.25</t>
        </is>
      </c>
      <c r="S298" t="inlineStr">
        <is>
          <t>München</t>
        </is>
      </c>
    </row>
    <row r="299">
      <c r="A299" s="2" t="n">
        <v>4.8</v>
      </c>
      <c r="B299" t="inlineStr">
        <is>
          <t>Point-7 Slash</t>
        </is>
      </c>
      <c r="C299" s="3" t="inlineStr"/>
      <c r="D299" s="3" t="inlineStr"/>
      <c r="E299" t="inlineStr"/>
      <c r="F299" t="inlineStr">
        <is>
          <t>2023</t>
        </is>
      </c>
      <c r="G299" t="inlineStr">
        <is>
          <t>new</t>
        </is>
      </c>
      <c r="H299" s="4" t="n">
        <v>429</v>
      </c>
      <c r="I299" t="inlineStr"/>
      <c r="J299" t="inlineStr">
        <is>
          <t>53909 Nordrhein-Westfalen - Zülpich</t>
        </is>
      </c>
      <c r="K299" s="5" t="n">
        <v>45550</v>
      </c>
      <c r="L299" t="inlineStr">
        <is>
          <t>Sold</t>
        </is>
      </c>
      <c r="M299" s="6">
        <f>HYPERLINK("https://www.kleinanzeigen.de/s-anzeige/point-7-slash-4-8-2023/2864881643-230-1394", "Link")</f>
        <v/>
      </c>
      <c r="N299" s="6">
        <f>HYPERLINK("C:\Projects\Kleinanzeigen-Scraper\offer_images\2864881643", "Link")</f>
        <v/>
      </c>
      <c r="O299" t="inlineStr">
        <is>
          <t>Nifi</t>
        </is>
      </c>
      <c r="P299" s="6">
        <f>HYPERLINK("https://www.kleinanzeigen.de/s-bestandsliste.html?userId=15739909", "Link")</f>
        <v/>
      </c>
      <c r="Q299" s="7" t="n">
        <v>45561.67092592592</v>
      </c>
      <c r="R299" s="3" t="inlineStr">
        <is>
          <t>36.28</t>
        </is>
      </c>
      <c r="S299" t="inlineStr">
        <is>
          <t>Köln</t>
        </is>
      </c>
    </row>
    <row r="300">
      <c r="A300" s="2" t="n">
        <v>3.6</v>
      </c>
      <c r="B300" t="inlineStr">
        <is>
          <t>Point-7 Slash</t>
        </is>
      </c>
      <c r="C300" s="3" t="inlineStr"/>
      <c r="D300" s="3" t="inlineStr"/>
      <c r="E300" t="inlineStr"/>
      <c r="F300" t="inlineStr">
        <is>
          <t>2023</t>
        </is>
      </c>
      <c r="G300" t="inlineStr">
        <is>
          <t>new</t>
        </is>
      </c>
      <c r="H300" s="4" t="n">
        <v>400</v>
      </c>
      <c r="I300" t="inlineStr"/>
      <c r="J300" t="inlineStr">
        <is>
          <t>53909 Nordrhein-Westfalen - Zülpich</t>
        </is>
      </c>
      <c r="K300" s="5" t="n">
        <v>45550</v>
      </c>
      <c r="L300" t="inlineStr"/>
      <c r="M300" s="6">
        <f>HYPERLINK("https://www.kleinanzeigen.de/s-anzeige/point-7-slash-3-6-2023/2864878459-230-1394", "Link")</f>
        <v/>
      </c>
      <c r="N300" s="6">
        <f>HYPERLINK("C:\Projects\Kleinanzeigen-Scraper\offer_images\2864878459", "Link")</f>
        <v/>
      </c>
      <c r="O300" t="inlineStr">
        <is>
          <t>Nifi</t>
        </is>
      </c>
      <c r="P300" s="6">
        <f>HYPERLINK("https://www.kleinanzeigen.de/s-bestandsliste.html?userId=15739909", "Link")</f>
        <v/>
      </c>
      <c r="Q300" s="7" t="n">
        <v>45561.67084490741</v>
      </c>
      <c r="R300" s="3" t="inlineStr">
        <is>
          <t>36.28</t>
        </is>
      </c>
      <c r="S300" t="inlineStr">
        <is>
          <t>Köln</t>
        </is>
      </c>
    </row>
    <row r="301">
      <c r="A301" s="2" t="n">
        <v>7</v>
      </c>
      <c r="B301" t="inlineStr">
        <is>
          <t>North Sails Match Race</t>
        </is>
      </c>
      <c r="C301" s="3" t="n">
        <v>4.79</v>
      </c>
      <c r="D301" s="3" t="inlineStr">
        <is>
          <t>2.04-2.07</t>
        </is>
      </c>
      <c r="E301" t="inlineStr"/>
      <c r="F301" t="inlineStr"/>
      <c r="G301" t="inlineStr">
        <is>
          <t>used</t>
        </is>
      </c>
      <c r="H301" s="4" t="n">
        <v>35</v>
      </c>
      <c r="I301" t="inlineStr"/>
      <c r="J301" t="inlineStr">
        <is>
          <t>47198 Duisburg - Homberg/Ruhrort/Baerl</t>
        </is>
      </c>
      <c r="K301" s="5" t="n">
        <v>45560</v>
      </c>
      <c r="L301" t="inlineStr">
        <is>
          <t>Sold</t>
        </is>
      </c>
      <c r="M301" s="6">
        <f>HYPERLINK("https://www.kleinanzeigen.de/s-anzeige/north-sails-match-race-7-0-surfsegel-windsurfen/2873624216-230-2140", "Link")</f>
        <v/>
      </c>
      <c r="N301" s="6">
        <f>HYPERLINK("C:\Projects\Kleinanzeigen-Scraper\offer_images\2873624216", "Link")</f>
        <v/>
      </c>
      <c r="O301" t="inlineStr">
        <is>
          <t>Stephan Kalbertod</t>
        </is>
      </c>
      <c r="P301" s="6">
        <f>HYPERLINK("https://www.kleinanzeigen.de/s-bestandsliste.html?userId=8064073", "Link")</f>
        <v/>
      </c>
      <c r="Q301" s="7" t="n">
        <v>45561.67077546296</v>
      </c>
      <c r="R301" s="3" t="inlineStr">
        <is>
          <t>59.95</t>
        </is>
      </c>
      <c r="S301" t="inlineStr">
        <is>
          <t>Köln</t>
        </is>
      </c>
    </row>
    <row r="302">
      <c r="A302" s="2" t="n">
        <v>4.2</v>
      </c>
      <c r="B302" t="inlineStr">
        <is>
          <t>Gaastra Manic</t>
        </is>
      </c>
      <c r="C302" s="3" t="n">
        <v>370</v>
      </c>
      <c r="D302" s="3" t="n">
        <v>157</v>
      </c>
      <c r="E302" t="inlineStr"/>
      <c r="F302" t="inlineStr"/>
      <c r="G302" t="inlineStr">
        <is>
          <t>used</t>
        </is>
      </c>
      <c r="H302" s="4" t="n">
        <v>149</v>
      </c>
      <c r="I302" t="inlineStr">
        <is>
          <t>VB</t>
        </is>
      </c>
      <c r="J302" t="inlineStr">
        <is>
          <t>29487 Niedersachsen - Luckau (Wendland)</t>
        </is>
      </c>
      <c r="K302" s="5" t="n">
        <v>45560</v>
      </c>
      <c r="L302" t="inlineStr"/>
      <c r="M302" s="6">
        <f>HYPERLINK("https://www.kleinanzeigen.de/s-anzeige/gaastra-manic-surfsegel-4-2-qm-guter-gebrauchter-zustand/2873649167-230-2363", "Link")</f>
        <v/>
      </c>
      <c r="N302" s="6">
        <f>HYPERLINK("C:\Projects\Kleinanzeigen-Scraper\offer_images\2873649167", "Link")</f>
        <v/>
      </c>
      <c r="O302" t="inlineStr">
        <is>
          <t>tom berg</t>
        </is>
      </c>
      <c r="P302" s="6">
        <f>HYPERLINK("https://www.kleinanzeigen.de/s-bestandsliste.html?userId=125686350", "Link")</f>
        <v/>
      </c>
      <c r="Q302" s="7" t="n">
        <v>45561.67059027778</v>
      </c>
      <c r="R302" s="3" t="inlineStr">
        <is>
          <t>357.24</t>
        </is>
      </c>
      <c r="S302" t="inlineStr">
        <is>
          <t>Köln</t>
        </is>
      </c>
    </row>
    <row r="303">
      <c r="A303" s="2" t="n">
        <v>4</v>
      </c>
      <c r="B303" t="inlineStr">
        <is>
          <t>Point-7 Slash</t>
        </is>
      </c>
      <c r="C303" s="3" t="inlineStr"/>
      <c r="D303" s="3" t="inlineStr"/>
      <c r="E303" t="inlineStr"/>
      <c r="F303" t="inlineStr">
        <is>
          <t>2023</t>
        </is>
      </c>
      <c r="G303" t="inlineStr">
        <is>
          <t>new</t>
        </is>
      </c>
      <c r="H303" s="4" t="n">
        <v>410</v>
      </c>
      <c r="I303" t="inlineStr"/>
      <c r="J303" t="inlineStr">
        <is>
          <t>53909 Nordrhein-Westfalen - Zülpich</t>
        </is>
      </c>
      <c r="K303" s="5" t="n">
        <v>45550</v>
      </c>
      <c r="L303" t="inlineStr"/>
      <c r="M303" s="6">
        <f>HYPERLINK("https://www.kleinanzeigen.de/s-anzeige/point-7-slash-4-0-2023/2864879501-230-1394", "Link")</f>
        <v/>
      </c>
      <c r="N303" s="6">
        <f>HYPERLINK("C:\Projects\Kleinanzeigen-Scraper\offer_images\2864879501", "Link")</f>
        <v/>
      </c>
      <c r="O303" t="inlineStr">
        <is>
          <t>Nifi</t>
        </is>
      </c>
      <c r="P303" s="6">
        <f>HYPERLINK("https://www.kleinanzeigen.de/s-bestandsliste.html?userId=15739909", "Link")</f>
        <v/>
      </c>
      <c r="Q303" s="7" t="n">
        <v>45561.67019675926</v>
      </c>
      <c r="R303" s="3" t="inlineStr">
        <is>
          <t>36.28</t>
        </is>
      </c>
      <c r="S303" t="inlineStr">
        <is>
          <t>Köln</t>
        </is>
      </c>
    </row>
    <row r="304">
      <c r="A304" s="2" t="n">
        <v>6.8</v>
      </c>
      <c r="B304" t="inlineStr">
        <is>
          <t>Point 7 F1 Sl</t>
        </is>
      </c>
      <c r="C304" s="3" t="inlineStr"/>
      <c r="D304" s="3" t="inlineStr"/>
      <c r="E304" t="inlineStr"/>
      <c r="F304" t="inlineStr">
        <is>
          <t>2023</t>
        </is>
      </c>
      <c r="G304" t="inlineStr">
        <is>
          <t>repaired</t>
        </is>
      </c>
      <c r="H304" s="4" t="n">
        <v>300</v>
      </c>
      <c r="I304" t="inlineStr"/>
      <c r="J304" t="inlineStr">
        <is>
          <t>71720 Baden-Württemberg - Oberstenfeld</t>
        </is>
      </c>
      <c r="K304" s="5" t="n">
        <v>45560</v>
      </c>
      <c r="L304" t="inlineStr">
        <is>
          <t>Sold</t>
        </is>
      </c>
      <c r="M304" s="6">
        <f>HYPERLINK("https://www.kleinanzeigen.de/s-anzeige/point-7-f1-sl-6-8-2023-foilsegel/2873686950-230-19390", "Link")</f>
        <v/>
      </c>
      <c r="N304" s="6">
        <f>HYPERLINK("C:\Projects\Kleinanzeigen-Scraper\offer_images\2873686950", "Link")</f>
        <v/>
      </c>
      <c r="O304" t="inlineStr">
        <is>
          <t>Tim Kröner</t>
        </is>
      </c>
      <c r="P304" s="6">
        <f>HYPERLINK("https://www.kleinanzeigen.de/s-bestandsliste.html?userId=70765658", "Link")</f>
        <v/>
      </c>
      <c r="Q304" s="7" t="n">
        <v>45561.67008101852</v>
      </c>
      <c r="R304" s="3" t="inlineStr">
        <is>
          <t>48.50</t>
        </is>
      </c>
      <c r="S304" t="inlineStr">
        <is>
          <t>Böblingen</t>
        </is>
      </c>
    </row>
    <row r="305">
      <c r="A305" s="2" t="n">
        <v>7.5</v>
      </c>
      <c r="B305" t="inlineStr">
        <is>
          <t>Neilpryde Ryde</t>
        </is>
      </c>
      <c r="C305" s="3" t="inlineStr"/>
      <c r="D305" s="3" t="inlineStr"/>
      <c r="E305" t="inlineStr"/>
      <c r="F305" t="inlineStr"/>
      <c r="G305" t="inlineStr">
        <is>
          <t>used</t>
        </is>
      </c>
      <c r="H305" s="4" t="n">
        <v>60</v>
      </c>
      <c r="I305" t="inlineStr"/>
      <c r="J305" t="inlineStr">
        <is>
          <t>82418 Bayern - Murnau am Staffelsee</t>
        </is>
      </c>
      <c r="K305" s="5" t="n">
        <v>45560</v>
      </c>
      <c r="L305" t="inlineStr">
        <is>
          <t>Sold</t>
        </is>
      </c>
      <c r="M305" s="6">
        <f>HYPERLINK("https://www.kleinanzeigen.de/s-anzeige/windsurf-segel-neilpryde-ryde-7-5/2873746851-230-10648", "Link")</f>
        <v/>
      </c>
      <c r="N305" s="6">
        <f>HYPERLINK("C:\Projects\Kleinanzeigen-Scraper\offer_images\2873746851", "Link")</f>
        <v/>
      </c>
      <c r="O305" t="inlineStr">
        <is>
          <t>KR</t>
        </is>
      </c>
      <c r="P305" s="6">
        <f>HYPERLINK("https://www.kleinanzeigen.de/s-bestandsliste.html?userId=12685113", "Link")</f>
        <v/>
      </c>
      <c r="Q305" s="7" t="n">
        <v>45561.66966435185</v>
      </c>
      <c r="R305" s="3" t="inlineStr">
        <is>
          <t>57.83</t>
        </is>
      </c>
      <c r="S305" t="inlineStr">
        <is>
          <t>München</t>
        </is>
      </c>
    </row>
    <row r="306">
      <c r="A306" s="2" t="n">
        <v>9.5</v>
      </c>
      <c r="B306" t="inlineStr">
        <is>
          <t>Gaastra Vapor</t>
        </is>
      </c>
      <c r="C306" s="3" t="n">
        <v>490</v>
      </c>
      <c r="D306" s="3" t="n">
        <v>238</v>
      </c>
      <c r="E306" t="inlineStr">
        <is>
          <t>Race</t>
        </is>
      </c>
      <c r="F306" t="inlineStr"/>
      <c r="G306" t="inlineStr">
        <is>
          <t>used</t>
        </is>
      </c>
      <c r="H306" s="4" t="inlineStr"/>
      <c r="I306" t="inlineStr">
        <is>
          <t>VB</t>
        </is>
      </c>
      <c r="J306" t="inlineStr">
        <is>
          <t>79100 Freiburg im Breisgau - Wiehre</t>
        </is>
      </c>
      <c r="K306" s="5" t="n">
        <v>45560</v>
      </c>
      <c r="L306" t="inlineStr">
        <is>
          <t>Sold</t>
        </is>
      </c>
      <c r="M306" s="6">
        <f>HYPERLINK("https://www.kleinanzeigen.de/s-anzeige/verkaufe-gaastra-vapor-9-5m-race-segel-in-sehr-gutem-zustand/2874068097-230-9368", "Link")</f>
        <v/>
      </c>
      <c r="N306" s="6">
        <f>HYPERLINK("C:\Projects\Kleinanzeigen-Scraper\offer_images\2874068097", "Link")</f>
        <v/>
      </c>
      <c r="O306" t="inlineStr">
        <is>
          <t>MLF</t>
        </is>
      </c>
      <c r="P306" s="6">
        <f>HYPERLINK("https://www.kleinanzeigen.de/s-bestandsliste.html?userId=15574759", "Link")</f>
        <v/>
      </c>
      <c r="Q306" s="7" t="n">
        <v>45561.66952546296</v>
      </c>
      <c r="R306" s="3" t="inlineStr">
        <is>
          <t>39.95</t>
        </is>
      </c>
      <c r="S306" t="inlineStr">
        <is>
          <t>Bonndorf</t>
        </is>
      </c>
    </row>
    <row r="307">
      <c r="A307" s="2" t="n">
        <v>7.6</v>
      </c>
      <c r="B307" t="inlineStr">
        <is>
          <t>Point 7 F1 Hybrid</t>
        </is>
      </c>
      <c r="C307" s="3" t="n">
        <v>460</v>
      </c>
      <c r="D307" s="3" t="inlineStr"/>
      <c r="E307" t="inlineStr"/>
      <c r="F307" t="inlineStr"/>
      <c r="G307" t="inlineStr"/>
      <c r="H307" s="4" t="n">
        <v>700</v>
      </c>
      <c r="I307" t="inlineStr"/>
      <c r="J307" t="inlineStr">
        <is>
          <t>88400 Baden-Württemberg - Biberach an der Riß</t>
        </is>
      </c>
      <c r="K307" s="5" t="n">
        <v>45560</v>
      </c>
      <c r="L307" t="inlineStr">
        <is>
          <t>Sold</t>
        </is>
      </c>
      <c r="M307" s="6">
        <f>HYPERLINK("https://www.kleinanzeigen.de/s-anzeige/point-7-f1-hybrid-7-6-mast-460/2873933582-230-8706", "Link")</f>
        <v/>
      </c>
      <c r="N307" s="6">
        <f>HYPERLINK("C:\Projects\Kleinanzeigen-Scraper\offer_images\2873933582", "Link")</f>
        <v/>
      </c>
      <c r="O307" t="inlineStr">
        <is>
          <t>Schneider</t>
        </is>
      </c>
      <c r="P307" s="6">
        <f>HYPERLINK("https://www.kleinanzeigen.de/s-bestandsliste.html?userId=3638597", "Link")</f>
        <v/>
      </c>
      <c r="Q307" s="7" t="n">
        <v>45561.66925925926</v>
      </c>
      <c r="R307" s="3" t="inlineStr">
        <is>
          <t>89.53</t>
        </is>
      </c>
      <c r="S307" t="inlineStr">
        <is>
          <t>Böblingen</t>
        </is>
      </c>
    </row>
    <row r="308">
      <c r="A308" s="2" t="n">
        <v>3.7</v>
      </c>
      <c r="B308" t="inlineStr">
        <is>
          <t>Gaastra Manic HD</t>
        </is>
      </c>
      <c r="C308" s="3" t="inlineStr"/>
      <c r="D308" s="3" t="inlineStr"/>
      <c r="E308" t="inlineStr"/>
      <c r="F308" t="inlineStr"/>
      <c r="G308" t="inlineStr">
        <is>
          <t>used</t>
        </is>
      </c>
      <c r="H308" s="4" t="n">
        <v>170</v>
      </c>
      <c r="I308" t="inlineStr"/>
      <c r="J308" t="inlineStr">
        <is>
          <t>81679 München - Bogenhausen</t>
        </is>
      </c>
      <c r="K308" s="5" t="n">
        <v>45560</v>
      </c>
      <c r="L308" t="inlineStr">
        <is>
          <t>Sold</t>
        </is>
      </c>
      <c r="M308" s="6">
        <f>HYPERLINK("https://www.kleinanzeigen.de/s-anzeige/gaastra-manic-hd-3-7-m2/2873533656-230-6457", "Link")</f>
        <v/>
      </c>
      <c r="N308" s="6">
        <f>HYPERLINK("C:\Projects\Kleinanzeigen-Scraper\offer_images\2873533656", "Link")</f>
        <v/>
      </c>
      <c r="O308" t="inlineStr">
        <is>
          <t>Rolf Bletschacher</t>
        </is>
      </c>
      <c r="P308" s="6">
        <f>HYPERLINK("https://www.kleinanzeigen.de/s-bestandsliste.html?userId=119014462", "Link")</f>
        <v/>
      </c>
      <c r="Q308" s="7" t="n">
        <v>45561.66922453704</v>
      </c>
      <c r="R308" s="3" t="inlineStr">
        <is>
          <t>2.71</t>
        </is>
      </c>
      <c r="S308" t="inlineStr">
        <is>
          <t>München</t>
        </is>
      </c>
    </row>
    <row r="309">
      <c r="A309" s="2" t="n">
        <v>5.2</v>
      </c>
      <c r="B309" t="inlineStr">
        <is>
          <t>Point-7 Slash</t>
        </is>
      </c>
      <c r="C309" s="3" t="inlineStr"/>
      <c r="D309" s="3" t="inlineStr"/>
      <c r="E309" t="inlineStr"/>
      <c r="F309" t="inlineStr">
        <is>
          <t>2023</t>
        </is>
      </c>
      <c r="G309" t="inlineStr">
        <is>
          <t>new</t>
        </is>
      </c>
      <c r="H309" s="4" t="n">
        <v>439</v>
      </c>
      <c r="I309" t="inlineStr"/>
      <c r="J309" t="inlineStr">
        <is>
          <t>53909 Nordrhein-Westfalen - Zülpich</t>
        </is>
      </c>
      <c r="K309" s="5" t="n">
        <v>45550</v>
      </c>
      <c r="L309" t="inlineStr">
        <is>
          <t>Sold</t>
        </is>
      </c>
      <c r="M309" s="6">
        <f>HYPERLINK("https://www.kleinanzeigen.de/s-anzeige/point-7-slash-5-2/2864882632-230-1394", "Link")</f>
        <v/>
      </c>
      <c r="N309" s="6">
        <f>HYPERLINK("C:\Projects\Kleinanzeigen-Scraper\offer_images\2864882632", "Link")</f>
        <v/>
      </c>
      <c r="O309" t="inlineStr">
        <is>
          <t>Nifi</t>
        </is>
      </c>
      <c r="P309" s="6">
        <f>HYPERLINK("https://www.kleinanzeigen.de/s-bestandsliste.html?userId=15739909", "Link")</f>
        <v/>
      </c>
      <c r="Q309" s="7" t="n">
        <v>45561.6691087963</v>
      </c>
      <c r="R309" s="3" t="inlineStr">
        <is>
          <t>36.28</t>
        </is>
      </c>
      <c r="S309" t="inlineStr">
        <is>
          <t>Köln</t>
        </is>
      </c>
    </row>
    <row r="310">
      <c r="A310" s="2" t="n">
        <v>4.7</v>
      </c>
      <c r="B310" t="inlineStr">
        <is>
          <t>Goya Banzai</t>
        </is>
      </c>
      <c r="C310" s="3" t="inlineStr"/>
      <c r="D310" s="3" t="inlineStr"/>
      <c r="E310" t="inlineStr"/>
      <c r="F310" t="inlineStr">
        <is>
          <t>2023</t>
        </is>
      </c>
      <c r="G310" t="inlineStr">
        <is>
          <t>used</t>
        </is>
      </c>
      <c r="H310" s="4" t="n">
        <v>390</v>
      </c>
      <c r="I310" t="inlineStr"/>
      <c r="J310" t="inlineStr">
        <is>
          <t>37154 Northeim</t>
        </is>
      </c>
      <c r="K310" s="5" t="n">
        <v>45560</v>
      </c>
      <c r="L310" t="inlineStr"/>
      <c r="M310" s="6">
        <f>HYPERLINK("https://www.dailydose.de/kleinanzeigen/detail.htm?ai=423147&amp;cf=kk&amp;pg=4&amp;ci=5", "Link")</f>
        <v/>
      </c>
      <c r="N310" s="6">
        <f>HYPERLINK("C:\Projects\Kleinanzeigen-Scraper\offer_images\423147", "Link")</f>
        <v/>
      </c>
      <c r="O310" t="inlineStr">
        <is>
          <t>Timo_45</t>
        </is>
      </c>
      <c r="P310" s="6">
        <f>HYPERLINK("https://www.dailydose.de/kleinanzeigen/user/23662", "Link")</f>
        <v/>
      </c>
      <c r="Q310" s="7" t="n">
        <v>45560.56637731481</v>
      </c>
      <c r="R310" s="3" t="inlineStr">
        <is>
          <t>227.92</t>
        </is>
      </c>
      <c r="S310" t="inlineStr">
        <is>
          <t>Köln</t>
        </is>
      </c>
    </row>
    <row r="311">
      <c r="A311" s="2" t="n">
        <v>4.9</v>
      </c>
      <c r="B311" t="inlineStr">
        <is>
          <t>S2 Maui Dragon</t>
        </is>
      </c>
      <c r="C311" s="3" t="inlineStr"/>
      <c r="D311" s="3" t="inlineStr"/>
      <c r="E311" t="inlineStr"/>
      <c r="F311" t="inlineStr">
        <is>
          <t>2024</t>
        </is>
      </c>
      <c r="G311" t="inlineStr">
        <is>
          <t>used</t>
        </is>
      </c>
      <c r="H311" s="4" t="n">
        <v>350</v>
      </c>
      <c r="I311" t="inlineStr"/>
      <c r="J311" t="inlineStr">
        <is>
          <t>22453 Hamburg</t>
        </is>
      </c>
      <c r="K311" s="5" t="n">
        <v>45560</v>
      </c>
      <c r="L311" t="inlineStr">
        <is>
          <t>Sold</t>
        </is>
      </c>
      <c r="M311" s="6">
        <f>HYPERLINK("https://www.dailydose.de/kleinanzeigen/detail.htm?ai=423148&amp;cf=kk&amp;pg=1&amp;ci=5", "Link")</f>
        <v/>
      </c>
      <c r="N311" s="6">
        <f>HYPERLINK("C:\Projects\Kleinanzeigen-Scraper\offer_images\423148", "Link")</f>
        <v/>
      </c>
      <c r="O311" t="inlineStr">
        <is>
          <t>DiHart</t>
        </is>
      </c>
      <c r="P311" s="6">
        <f>HYPERLINK("https://www.dailydose.de/kleinanzeigen/user/7066", "Link")</f>
        <v/>
      </c>
      <c r="Q311" s="7" t="n">
        <v>45560.56627314815</v>
      </c>
      <c r="R311" s="3" t="inlineStr">
        <is>
          <t>361.03</t>
        </is>
      </c>
      <c r="S311" t="inlineStr">
        <is>
          <t>Köln</t>
        </is>
      </c>
    </row>
    <row r="312">
      <c r="A312" s="2" t="n">
        <v>7.3</v>
      </c>
      <c r="B312" t="inlineStr">
        <is>
          <t>Gaastra Phantom AIR</t>
        </is>
      </c>
      <c r="C312" s="3" t="n">
        <v>490</v>
      </c>
      <c r="D312" s="3" t="n">
        <v>215</v>
      </c>
      <c r="E312" t="inlineStr"/>
      <c r="F312" t="inlineStr">
        <is>
          <t>2023</t>
        </is>
      </c>
      <c r="G312" t="inlineStr">
        <is>
          <t>used</t>
        </is>
      </c>
      <c r="H312" s="4" t="inlineStr">
        <is>
          <t>430 EUR</t>
        </is>
      </c>
      <c r="I312" t="inlineStr">
        <is>
          <t>VB</t>
        </is>
      </c>
      <c r="J312" t="inlineStr">
        <is>
          <t>Berlin</t>
        </is>
      </c>
      <c r="K312" s="5" t="n">
        <v>45560</v>
      </c>
      <c r="L312" t="inlineStr"/>
      <c r="M312" s="6">
        <f>HYPERLINK("https://www.dailydose.de/kleinanzeigen/detail.htm?ai=423150&amp;cf=kk&amp;pg=4&amp;ci=5", "Link")</f>
        <v/>
      </c>
      <c r="N312" s="6">
        <f>HYPERLINK("C:\Projects\Kleinanzeigen-Scraper\offer_images\423150", "Link")</f>
        <v/>
      </c>
      <c r="O312" t="inlineStr">
        <is>
          <t>Sven</t>
        </is>
      </c>
      <c r="P312" s="6">
        <f>HYPERLINK("https://www.dailydose.de/kleinanzeigen/user/505", "Link")</f>
        <v/>
      </c>
      <c r="Q312" s="7" t="n">
        <v>45560.56504629629</v>
      </c>
      <c r="R312" s="3" t="inlineStr">
        <is>
          <t>476.48</t>
        </is>
      </c>
      <c r="S312" t="inlineStr">
        <is>
          <t>Köln</t>
        </is>
      </c>
    </row>
    <row r="313">
      <c r="A313" s="2" t="n">
        <v>4.5</v>
      </c>
      <c r="B313" t="inlineStr">
        <is>
          <t>Goya Banzai</t>
        </is>
      </c>
      <c r="C313" s="3" t="inlineStr"/>
      <c r="D313" s="3" t="inlineStr"/>
      <c r="E313" t="inlineStr"/>
      <c r="F313" t="inlineStr">
        <is>
          <t>2017</t>
        </is>
      </c>
      <c r="G313" t="inlineStr">
        <is>
          <t>new</t>
        </is>
      </c>
      <c r="H313" s="4" t="n">
        <v>360</v>
      </c>
      <c r="I313" t="inlineStr"/>
      <c r="J313" t="inlineStr">
        <is>
          <t>37154 Northeim</t>
        </is>
      </c>
      <c r="K313" s="5" t="n">
        <v>45560</v>
      </c>
      <c r="L313" t="inlineStr"/>
      <c r="M313" s="6">
        <f>HYPERLINK("https://www.dailydose.de/kleinanzeigen/detail.htm?ai=423152&amp;cf=kk&amp;pg=4&amp;ci=5", "Link")</f>
        <v/>
      </c>
      <c r="N313" s="6">
        <f>HYPERLINK("C:\Projects\Kleinanzeigen-Scraper\offer_images\423152", "Link")</f>
        <v/>
      </c>
      <c r="O313" t="inlineStr">
        <is>
          <t>Timo_45</t>
        </is>
      </c>
      <c r="P313" s="6">
        <f>HYPERLINK("https://www.dailydose.de/kleinanzeigen/user/23662", "Link")</f>
        <v/>
      </c>
      <c r="Q313" s="7" t="n">
        <v>45560.56481481482</v>
      </c>
      <c r="R313" s="3" t="inlineStr">
        <is>
          <t>227.92</t>
        </is>
      </c>
      <c r="S313" t="inlineStr">
        <is>
          <t>Köln</t>
        </is>
      </c>
    </row>
    <row r="314">
      <c r="A314" s="2" t="n">
        <v>4.7</v>
      </c>
      <c r="B314" t="inlineStr">
        <is>
          <t>North Sails Dr. X</t>
        </is>
      </c>
      <c r="C314" s="3" t="n">
        <v>4.7</v>
      </c>
      <c r="D314" s="3" t="n">
        <v>1.6</v>
      </c>
      <c r="E314" t="inlineStr"/>
      <c r="F314" t="inlineStr"/>
      <c r="G314" t="inlineStr">
        <is>
          <t>used</t>
        </is>
      </c>
      <c r="H314" s="4" t="n">
        <v>30</v>
      </c>
      <c r="I314" t="inlineStr"/>
      <c r="J314" t="inlineStr">
        <is>
          <t>47198 Duisburg - Homberg/Ruhrort/Baerl</t>
        </is>
      </c>
      <c r="K314" s="5" t="n">
        <v>45560</v>
      </c>
      <c r="L314" t="inlineStr">
        <is>
          <t>Sold</t>
        </is>
      </c>
      <c r="M314" s="6">
        <f>HYPERLINK("https://www.kleinanzeigen.de/s-anzeige/north-sails-dr-x-4-7-surfsegel-windsurfen/2873445730-230-2140", "Link")</f>
        <v/>
      </c>
      <c r="N314" s="6">
        <f>HYPERLINK("C:\Projects\Kleinanzeigen-Scraper\offer_images\2873445730", "Link")</f>
        <v/>
      </c>
      <c r="O314" t="inlineStr">
        <is>
          <t>Stephan Kalbertod</t>
        </is>
      </c>
      <c r="P314" s="6">
        <f>HYPERLINK("https://www.kleinanzeigen.de/s-bestandsliste.html?userId=8064073", "Link")</f>
        <v/>
      </c>
      <c r="Q314" s="7" t="n">
        <v>45560.56041666667</v>
      </c>
      <c r="R314" s="3" t="inlineStr">
        <is>
          <t>59.95</t>
        </is>
      </c>
      <c r="S314" t="inlineStr">
        <is>
          <t>Köln</t>
        </is>
      </c>
    </row>
    <row r="315">
      <c r="A315" s="2" t="n">
        <v>4.7</v>
      </c>
      <c r="B315" t="inlineStr">
        <is>
          <t>Gaastra Heat Wave</t>
        </is>
      </c>
      <c r="C315" s="3" t="n">
        <v>430</v>
      </c>
      <c r="D315" s="3" t="n">
        <v>125</v>
      </c>
      <c r="E315" t="inlineStr"/>
      <c r="F315" t="inlineStr"/>
      <c r="G315" t="inlineStr">
        <is>
          <t>used</t>
        </is>
      </c>
      <c r="H315" s="4" t="n">
        <v>25</v>
      </c>
      <c r="I315" t="inlineStr"/>
      <c r="J315" t="inlineStr">
        <is>
          <t>47198 Duisburg - Homberg/Ruhrort/Baerl</t>
        </is>
      </c>
      <c r="K315" s="5" t="n">
        <v>45560</v>
      </c>
      <c r="L315" t="inlineStr">
        <is>
          <t>Sold</t>
        </is>
      </c>
      <c r="M315" s="6">
        <f>HYPERLINK("https://www.kleinanzeigen.de/s-anzeige/gaastra-heat-wave-4-7-surfsegel-windsurfen/2873447717-230-2140", "Link")</f>
        <v/>
      </c>
      <c r="N315" s="6">
        <f>HYPERLINK("C:\Projects\Kleinanzeigen-Scraper\offer_images\2873447717", "Link")</f>
        <v/>
      </c>
      <c r="O315" t="inlineStr">
        <is>
          <t>Stephan Kalbertod</t>
        </is>
      </c>
      <c r="P315" s="6">
        <f>HYPERLINK("https://www.kleinanzeigen.de/s-bestandsliste.html?userId=8064073", "Link")</f>
        <v/>
      </c>
      <c r="Q315" s="7" t="n">
        <v>45560.55984953704</v>
      </c>
      <c r="R315" s="3" t="inlineStr">
        <is>
          <t>59.95</t>
        </is>
      </c>
      <c r="S315" t="inlineStr">
        <is>
          <t>Köln</t>
        </is>
      </c>
    </row>
    <row r="316">
      <c r="A316" s="2" t="n">
        <v>7</v>
      </c>
      <c r="B316" t="inlineStr">
        <is>
          <t>Ezzy Hydra</t>
        </is>
      </c>
      <c r="C316" s="3" t="n">
        <v>430</v>
      </c>
      <c r="D316" s="3" t="n">
        <v>199</v>
      </c>
      <c r="E316" t="inlineStr"/>
      <c r="F316" t="inlineStr"/>
      <c r="G316" t="inlineStr">
        <is>
          <t>used</t>
        </is>
      </c>
      <c r="H316" s="4" t="n">
        <v>488</v>
      </c>
      <c r="I316" t="inlineStr">
        <is>
          <t>VB</t>
        </is>
      </c>
      <c r="J316" t="inlineStr">
        <is>
          <t>33184 Nordrhein-Westfalen - Altenbeken</t>
        </is>
      </c>
      <c r="K316" s="5" t="n">
        <v>45560</v>
      </c>
      <c r="L316" t="inlineStr"/>
      <c r="M316" s="6">
        <f>HYPERLINK("https://www.kleinanzeigen.de/s-anzeige/ezzy-hydra-7-0-foilsegel-windsurf-segel/2873366300-230-1247", "Link")</f>
        <v/>
      </c>
      <c r="N316" s="6">
        <f>HYPERLINK("C:\Projects\Kleinanzeigen-Scraper\offer_images\2873366300", "Link")</f>
        <v/>
      </c>
      <c r="O316" t="inlineStr">
        <is>
          <t>Jörg hanfland</t>
        </is>
      </c>
      <c r="P316" s="6">
        <f>HYPERLINK("https://www.kleinanzeigen.de/s-bestandsliste.html?userId=3276446", "Link")</f>
        <v/>
      </c>
      <c r="Q316" s="7" t="n">
        <v>45560.55846064815</v>
      </c>
      <c r="R316" s="3" t="inlineStr">
        <is>
          <t>164.52</t>
        </is>
      </c>
      <c r="S316" t="inlineStr">
        <is>
          <t>Köln</t>
        </is>
      </c>
    </row>
    <row r="317">
      <c r="A317" s="2" t="n">
        <v>6.5</v>
      </c>
      <c r="B317" t="inlineStr">
        <is>
          <t>Gaastra GTX</t>
        </is>
      </c>
      <c r="C317" s="3" t="inlineStr"/>
      <c r="D317" s="3" t="inlineStr"/>
      <c r="E317" t="inlineStr"/>
      <c r="F317" t="inlineStr"/>
      <c r="G317" t="inlineStr">
        <is>
          <t>used</t>
        </is>
      </c>
      <c r="H317" s="4" t="n">
        <v>50</v>
      </c>
      <c r="I317" t="inlineStr">
        <is>
          <t>VB</t>
        </is>
      </c>
      <c r="J317" t="inlineStr">
        <is>
          <t>21335 Niedersachsen - Lüneburg</t>
        </is>
      </c>
      <c r="K317" s="5" t="n">
        <v>45557</v>
      </c>
      <c r="L317" t="inlineStr">
        <is>
          <t>Sold</t>
        </is>
      </c>
      <c r="M317" s="6">
        <f>HYPERLINK("https://www.kleinanzeigen.de/s-anzeige/gaastra-gtx-6-5-surfsegel/2870640002-230-3260", "Link")</f>
        <v/>
      </c>
      <c r="N317" s="6">
        <f>HYPERLINK("C:\Projects\Kleinanzeigen-Scraper\offer_images\2870640002", "Link")</f>
        <v/>
      </c>
      <c r="O317" t="inlineStr">
        <is>
          <t>Avé- Lallemant</t>
        </is>
      </c>
      <c r="P317" s="6">
        <f>HYPERLINK("https://www.kleinanzeigen.de/s-bestandsliste.html?userId=71416844", "Link")</f>
        <v/>
      </c>
      <c r="Q317" s="7" t="n">
        <v>45560.55689814815</v>
      </c>
      <c r="R317" s="3" t="inlineStr">
        <is>
          <t>345.15</t>
        </is>
      </c>
      <c r="S317" t="inlineStr">
        <is>
          <t>Köln</t>
        </is>
      </c>
    </row>
    <row r="318">
      <c r="A318" s="2" t="n">
        <v>9.199999999999999</v>
      </c>
      <c r="B318" t="inlineStr">
        <is>
          <t>Point-7 AC One</t>
        </is>
      </c>
      <c r="C318" s="3" t="n">
        <v>490</v>
      </c>
      <c r="D318" s="3" t="n">
        <v>240</v>
      </c>
      <c r="E318" t="inlineStr"/>
      <c r="F318" t="inlineStr"/>
      <c r="G318" t="inlineStr">
        <is>
          <t>used</t>
        </is>
      </c>
      <c r="H318" s="4" t="n">
        <v>170</v>
      </c>
      <c r="I318" t="inlineStr">
        <is>
          <t>VB</t>
        </is>
      </c>
      <c r="J318" t="inlineStr">
        <is>
          <t>80469 München - Altstadt-Lehel</t>
        </is>
      </c>
      <c r="K318" s="5" t="n">
        <v>45560</v>
      </c>
      <c r="L318" t="inlineStr">
        <is>
          <t>Sold</t>
        </is>
      </c>
      <c r="M318" s="6">
        <f>HYPERLINK("https://www.kleinanzeigen.de/s-anzeige/point-7-windsurf-segel-ac-one-9-2-qm/2873454794-230-16340", "Link")</f>
        <v/>
      </c>
      <c r="N318" s="6">
        <f>HYPERLINK("C:\Projects\Kleinanzeigen-Scraper\offer_images\2873454794", "Link")</f>
        <v/>
      </c>
      <c r="O318" t="inlineStr">
        <is>
          <t>Sebastian</t>
        </is>
      </c>
      <c r="P318" s="6">
        <f>HYPERLINK("https://www.kleinanzeigen.de/s-bestandsliste.html?userId=39594424", "Link")</f>
        <v/>
      </c>
      <c r="Q318" s="7" t="n">
        <v>45560.55659722222</v>
      </c>
      <c r="R318" s="3" t="inlineStr">
        <is>
          <t>0.84</t>
        </is>
      </c>
      <c r="S318" t="inlineStr">
        <is>
          <t>München</t>
        </is>
      </c>
    </row>
    <row r="319">
      <c r="A319" s="2" t="n">
        <v>7.8</v>
      </c>
      <c r="B319" t="inlineStr">
        <is>
          <t>GA-Sails Vapor</t>
        </is>
      </c>
      <c r="C319" s="3" t="n">
        <v>489</v>
      </c>
      <c r="D319" s="3" t="n">
        <v>215</v>
      </c>
      <c r="E319" t="inlineStr"/>
      <c r="F319" t="inlineStr">
        <is>
          <t>2022</t>
        </is>
      </c>
      <c r="G319" t="inlineStr">
        <is>
          <t>used</t>
        </is>
      </c>
      <c r="H319" s="4" t="n">
        <v>475</v>
      </c>
      <c r="I319" t="inlineStr">
        <is>
          <t>VB</t>
        </is>
      </c>
      <c r="J319" t="inlineStr">
        <is>
          <t>24943 Flensburg</t>
        </is>
      </c>
      <c r="K319" s="5" t="n">
        <v>45559</v>
      </c>
      <c r="L319" t="inlineStr"/>
      <c r="M319" s="6">
        <f>HYPERLINK("https://www.dailydose.de/kleinanzeigen/detail.htm?ai=423104&amp;cf=kk&amp;pg=5&amp;ci=5", "Link")</f>
        <v/>
      </c>
      <c r="N319" s="6">
        <f>HYPERLINK("C:\Projects\Kleinanzeigen-Scraper\offer_images\423104", "Link")</f>
        <v/>
      </c>
      <c r="O319" t="inlineStr">
        <is>
          <t>Studti</t>
        </is>
      </c>
      <c r="P319" s="6">
        <f>HYPERLINK("https://www.dailydose.de/kleinanzeigen/user/4906", "Link")</f>
        <v/>
      </c>
      <c r="Q319" s="7" t="n">
        <v>45559.88475694445</v>
      </c>
      <c r="R319" s="3" t="inlineStr">
        <is>
          <t>459.78</t>
        </is>
      </c>
      <c r="S319" t="inlineStr">
        <is>
          <t>Köln</t>
        </is>
      </c>
    </row>
    <row r="320">
      <c r="A320" s="2" t="n">
        <v>6.2</v>
      </c>
      <c r="B320" t="inlineStr">
        <is>
          <t>Point 7 AC K</t>
        </is>
      </c>
      <c r="C320" s="3" t="n">
        <v>4</v>
      </c>
      <c r="D320" s="3" t="inlineStr"/>
      <c r="E320" t="inlineStr"/>
      <c r="F320" t="inlineStr">
        <is>
          <t>2021</t>
        </is>
      </c>
      <c r="G320" t="inlineStr">
        <is>
          <t>used</t>
        </is>
      </c>
      <c r="H320" s="4" t="n">
        <v>280</v>
      </c>
      <c r="I320" t="inlineStr"/>
      <c r="J320" t="inlineStr">
        <is>
          <t>47506</t>
        </is>
      </c>
      <c r="K320" s="5" t="n">
        <v>45559</v>
      </c>
      <c r="L320" t="inlineStr"/>
      <c r="M320" s="6">
        <f>HYPERLINK("https://www.dailydose.de/kleinanzeigen/detail.htm?ai=423123&amp;cf=kk&amp;pg=5&amp;ci=5", "Link")</f>
        <v/>
      </c>
      <c r="N320" s="6">
        <f>HYPERLINK("C:\Projects\Kleinanzeigen-Scraper\offer_images\423123", "Link")</f>
        <v/>
      </c>
      <c r="O320" t="inlineStr">
        <is>
          <t>Stephan_128</t>
        </is>
      </c>
      <c r="P320" s="6">
        <f>HYPERLINK("https://www.dailydose.de/kleinanzeigen/user/20569", "Link")</f>
        <v/>
      </c>
      <c r="Q320" s="7" t="n">
        <v>45559.88452546296</v>
      </c>
      <c r="R320" s="3" t="inlineStr">
        <is>
          <t>63.19</t>
        </is>
      </c>
      <c r="S320" t="inlineStr">
        <is>
          <t>Köln</t>
        </is>
      </c>
    </row>
    <row r="321">
      <c r="A321" s="2" t="n">
        <v>4.1</v>
      </c>
      <c r="B321" t="inlineStr">
        <is>
          <t>Point 7 Swell</t>
        </is>
      </c>
      <c r="C321" s="3" t="inlineStr"/>
      <c r="D321" s="3" t="inlineStr"/>
      <c r="E321" t="inlineStr"/>
      <c r="F321" t="inlineStr"/>
      <c r="G321" t="inlineStr">
        <is>
          <t>used</t>
        </is>
      </c>
      <c r="H321" s="4" t="n">
        <v>125</v>
      </c>
      <c r="I321" t="inlineStr">
        <is>
          <t>VB</t>
        </is>
      </c>
      <c r="J321" t="inlineStr">
        <is>
          <t>25489 Haselau</t>
        </is>
      </c>
      <c r="K321" s="5" t="n">
        <v>45559</v>
      </c>
      <c r="L321" t="inlineStr"/>
      <c r="M321" s="6">
        <f>HYPERLINK("https://www.dailydose.de/kleinanzeigen/detail.htm?ai=423103&amp;cf=kk&amp;pg=5&amp;ci=5", "Link")</f>
        <v/>
      </c>
      <c r="N321" s="6">
        <f>HYPERLINK("C:\Projects\Kleinanzeigen-Scraper\offer_images\423103", "Link")</f>
        <v/>
      </c>
      <c r="O321" t="inlineStr">
        <is>
          <t>werner_53</t>
        </is>
      </c>
      <c r="P321" s="6">
        <f>HYPERLINK("https://www.dailydose.de/kleinanzeigen/user/24738", "Link")</f>
        <v/>
      </c>
      <c r="Q321" s="7" t="n">
        <v>45559.8837037037</v>
      </c>
      <c r="R321" s="3" t="inlineStr">
        <is>
          <t>349.68</t>
        </is>
      </c>
      <c r="S321" t="inlineStr">
        <is>
          <t>Köln</t>
        </is>
      </c>
    </row>
    <row r="322">
      <c r="A322" s="2" t="n">
        <v>6.9</v>
      </c>
      <c r="B322" t="inlineStr">
        <is>
          <t>GA-Sails Vapor</t>
        </is>
      </c>
      <c r="C322" s="3" t="inlineStr"/>
      <c r="D322" s="3" t="inlineStr"/>
      <c r="E322" t="inlineStr"/>
      <c r="F322" t="inlineStr">
        <is>
          <t>2022</t>
        </is>
      </c>
      <c r="G322" t="inlineStr">
        <is>
          <t>repaired</t>
        </is>
      </c>
      <c r="H322" s="4" t="n">
        <v>420</v>
      </c>
      <c r="I322" t="inlineStr">
        <is>
          <t>VB</t>
        </is>
      </c>
      <c r="J322" t="inlineStr">
        <is>
          <t>24943 Flensburg</t>
        </is>
      </c>
      <c r="K322" s="5" t="n">
        <v>45559</v>
      </c>
      <c r="L322" t="inlineStr"/>
      <c r="M322" s="6">
        <f>HYPERLINK("https://www.dailydose.de/kleinanzeigen/detail.htm?ai=423102&amp;cf=kk&amp;pg=5&amp;ci=5", "Link")</f>
        <v/>
      </c>
      <c r="N322" s="6">
        <f>HYPERLINK("C:\Projects\Kleinanzeigen-Scraper\offer_images\423102", "Link")</f>
        <v/>
      </c>
      <c r="O322" t="inlineStr">
        <is>
          <t>Studti</t>
        </is>
      </c>
      <c r="P322" s="6">
        <f>HYPERLINK("https://www.dailydose.de/kleinanzeigen/user/4906", "Link")</f>
        <v/>
      </c>
      <c r="Q322" s="7" t="n">
        <v>45559.88357638889</v>
      </c>
      <c r="R322" s="3" t="inlineStr">
        <is>
          <t>459.78</t>
        </is>
      </c>
      <c r="S322" t="inlineStr">
        <is>
          <t>Köln</t>
        </is>
      </c>
    </row>
    <row r="323">
      <c r="A323" s="2" t="n">
        <v>7.1</v>
      </c>
      <c r="B323" t="inlineStr">
        <is>
          <t>Point 7 AC</t>
        </is>
      </c>
      <c r="C323" s="3" t="n">
        <v>430</v>
      </c>
      <c r="D323" s="3" t="inlineStr"/>
      <c r="E323" t="inlineStr"/>
      <c r="F323" t="inlineStr">
        <is>
          <t>2021</t>
        </is>
      </c>
      <c r="G323" t="inlineStr">
        <is>
          <t>new</t>
        </is>
      </c>
      <c r="H323" s="4" t="n">
        <v>280</v>
      </c>
      <c r="I323" t="inlineStr"/>
      <c r="J323" t="inlineStr">
        <is>
          <t>47506</t>
        </is>
      </c>
      <c r="K323" s="5" t="n">
        <v>45559</v>
      </c>
      <c r="L323" t="inlineStr"/>
      <c r="M323" s="6">
        <f>HYPERLINK("https://www.dailydose.de/kleinanzeigen/detail.htm?ai=423122&amp;cf=kk&amp;pg=5&amp;ci=5", "Link")</f>
        <v/>
      </c>
      <c r="N323" s="6">
        <f>HYPERLINK("C:\Projects\Kleinanzeigen-Scraper\offer_images\423122", "Link")</f>
        <v/>
      </c>
      <c r="O323" t="inlineStr">
        <is>
          <t>Stephan_128</t>
        </is>
      </c>
      <c r="P323" s="6">
        <f>HYPERLINK("https://www.dailydose.de/kleinanzeigen/user/20569", "Link")</f>
        <v/>
      </c>
      <c r="Q323" s="7" t="n">
        <v>45559.88292824074</v>
      </c>
      <c r="R323" s="3" t="inlineStr">
        <is>
          <t>63.19</t>
        </is>
      </c>
      <c r="S323" t="inlineStr">
        <is>
          <t>Köln</t>
        </is>
      </c>
    </row>
    <row r="324">
      <c r="A324" s="2" t="n">
        <v>5</v>
      </c>
      <c r="B324" t="inlineStr">
        <is>
          <t>Simmerstyle Blacktip</t>
        </is>
      </c>
      <c r="C324" s="3" t="n">
        <v>400</v>
      </c>
      <c r="D324" s="3" t="n">
        <v>165</v>
      </c>
      <c r="E324" t="inlineStr">
        <is>
          <t>Wave</t>
        </is>
      </c>
      <c r="F324" t="inlineStr"/>
      <c r="G324" t="inlineStr">
        <is>
          <t>repaired</t>
        </is>
      </c>
      <c r="H324" s="4" t="n">
        <v>130</v>
      </c>
      <c r="I324" t="inlineStr"/>
      <c r="J324" t="inlineStr">
        <is>
          <t>24106 Kiel</t>
        </is>
      </c>
      <c r="K324" s="5" t="n">
        <v>45559</v>
      </c>
      <c r="L324" t="inlineStr"/>
      <c r="M324" s="6">
        <f>HYPERLINK("https://www.dailydose.de/kleinanzeigen/detail.htm?ai=423097&amp;cf=kk&amp;pg=5&amp;ci=5", "Link")</f>
        <v/>
      </c>
      <c r="N324" s="6">
        <f>HYPERLINK("C:\Projects\Kleinanzeigen-Scraper\offer_images\423097", "Link")</f>
        <v/>
      </c>
      <c r="O324" t="inlineStr">
        <is>
          <t>Josh_33</t>
        </is>
      </c>
      <c r="P324" s="6">
        <f>HYPERLINK("https://www.dailydose.de/kleinanzeigen/user/25824", "Link")</f>
        <v/>
      </c>
      <c r="Q324" s="7" t="n">
        <v>45559.88277777778</v>
      </c>
      <c r="R324" s="3" t="inlineStr">
        <is>
          <t>436.03</t>
        </is>
      </c>
      <c r="S324" t="inlineStr">
        <is>
          <t>Köln</t>
        </is>
      </c>
    </row>
    <row r="325">
      <c r="A325" s="2" t="n">
        <v>5.9</v>
      </c>
      <c r="B325" t="inlineStr">
        <is>
          <t>GA-Sails Vapor</t>
        </is>
      </c>
      <c r="C325" s="3" t="n">
        <v>420</v>
      </c>
      <c r="D325" s="3" t="n">
        <v>187</v>
      </c>
      <c r="E325" t="inlineStr"/>
      <c r="F325" t="inlineStr">
        <is>
          <t>2022</t>
        </is>
      </c>
      <c r="G325" t="inlineStr">
        <is>
          <t>used</t>
        </is>
      </c>
      <c r="H325" s="4" t="n">
        <v>475</v>
      </c>
      <c r="I325" t="inlineStr">
        <is>
          <t>VB</t>
        </is>
      </c>
      <c r="J325" t="inlineStr">
        <is>
          <t>24943 Flensburg</t>
        </is>
      </c>
      <c r="K325" s="5" t="n">
        <v>45559</v>
      </c>
      <c r="L325" t="inlineStr"/>
      <c r="M325" s="6">
        <f>HYPERLINK("https://www.dailydose.de/kleinanzeigen/detail.htm?ai=423100&amp;cf=kk&amp;pg=5&amp;ci=5", "Link")</f>
        <v/>
      </c>
      <c r="N325" s="6">
        <f>HYPERLINK("C:\Projects\Kleinanzeigen-Scraper\offer_images\423100", "Link")</f>
        <v/>
      </c>
      <c r="O325" t="inlineStr">
        <is>
          <t>Studti</t>
        </is>
      </c>
      <c r="P325" s="6">
        <f>HYPERLINK("https://www.dailydose.de/kleinanzeigen/user/4906", "Link")</f>
        <v/>
      </c>
      <c r="Q325" s="7" t="n">
        <v>45559.88274305555</v>
      </c>
      <c r="R325" s="3" t="inlineStr">
        <is>
          <t>459.78</t>
        </is>
      </c>
      <c r="S325" t="inlineStr">
        <is>
          <t>Köln</t>
        </is>
      </c>
    </row>
    <row r="326">
      <c r="A326" s="2" t="n">
        <v>5.2</v>
      </c>
      <c r="B326" t="inlineStr">
        <is>
          <t>EZZY TIGER</t>
        </is>
      </c>
      <c r="C326" s="3" t="n">
        <v>4.24</v>
      </c>
      <c r="D326" s="3" t="n">
        <v>1.73</v>
      </c>
      <c r="E326" t="inlineStr"/>
      <c r="F326" t="inlineStr"/>
      <c r="G326" t="inlineStr">
        <is>
          <t>used</t>
        </is>
      </c>
      <c r="H326" s="4" t="n">
        <v>100</v>
      </c>
      <c r="I326" t="inlineStr"/>
      <c r="J326" t="inlineStr">
        <is>
          <t>4322cg Scharendijke Holland</t>
        </is>
      </c>
      <c r="K326" s="5" t="n">
        <v>45558</v>
      </c>
      <c r="L326" t="inlineStr">
        <is>
          <t>Sold</t>
        </is>
      </c>
      <c r="M326" s="6">
        <f>HYPERLINK("https://www.dailydose.de/kleinanzeigen/detail.htm?ai=423077&amp;cf=kk&amp;pg=2&amp;ci=5", "Link")</f>
        <v/>
      </c>
      <c r="N326" s="6">
        <f>HYPERLINK("C:\Projects\Kleinanzeigen-Scraper\offer_images\423077", "Link")</f>
        <v/>
      </c>
      <c r="O326" t="inlineStr">
        <is>
          <t>leosurfer</t>
        </is>
      </c>
      <c r="P326" s="6">
        <f>HYPERLINK("https://www.dailydose.de/kleinanzeigen/user/13966", "Link")</f>
        <v/>
      </c>
      <c r="Q326" s="7" t="n">
        <v>45559.88241898148</v>
      </c>
      <c r="R326" s="3" t="inlineStr">
        <is>
          <t>233.35</t>
        </is>
      </c>
      <c r="S326" t="inlineStr">
        <is>
          <t>Köln</t>
        </is>
      </c>
    </row>
    <row r="327">
      <c r="A327" s="2" t="n">
        <v>4.5</v>
      </c>
      <c r="B327" t="inlineStr">
        <is>
          <t>Gaastra GA Poison</t>
        </is>
      </c>
      <c r="C327" s="3" t="n">
        <v>370</v>
      </c>
      <c r="D327" s="3" t="n">
        <v>190</v>
      </c>
      <c r="E327" t="inlineStr"/>
      <c r="F327" t="inlineStr"/>
      <c r="G327" t="inlineStr">
        <is>
          <t>used</t>
        </is>
      </c>
      <c r="H327" s="4" t="n">
        <v>135</v>
      </c>
      <c r="I327" t="inlineStr">
        <is>
          <t>VB</t>
        </is>
      </c>
      <c r="J327" t="inlineStr">
        <is>
          <t>25489 Haselau</t>
        </is>
      </c>
      <c r="K327" s="5" t="n">
        <v>45559</v>
      </c>
      <c r="L327" t="inlineStr"/>
      <c r="M327" s="6">
        <f>HYPERLINK("https://www.dailydose.de/kleinanzeigen/detail.htm?ai=423101&amp;cf=kk&amp;pg=5&amp;ci=5", "Link")</f>
        <v/>
      </c>
      <c r="N327" s="6">
        <f>HYPERLINK("C:\Projects\Kleinanzeigen-Scraper\offer_images\423101", "Link")</f>
        <v/>
      </c>
      <c r="O327" t="inlineStr">
        <is>
          <t>werner_53</t>
        </is>
      </c>
      <c r="P327" s="6">
        <f>HYPERLINK("https://www.dailydose.de/kleinanzeigen/user/24738", "Link")</f>
        <v/>
      </c>
      <c r="Q327" s="7" t="n">
        <v>45559.88236111111</v>
      </c>
      <c r="R327" s="3" t="inlineStr">
        <is>
          <t>349.68</t>
        </is>
      </c>
      <c r="S327" t="inlineStr">
        <is>
          <t>Köln</t>
        </is>
      </c>
    </row>
    <row r="328">
      <c r="A328" s="2" t="n">
        <v>8.800000000000001</v>
      </c>
      <c r="B328" t="inlineStr">
        <is>
          <t>GA Vapor</t>
        </is>
      </c>
      <c r="C328" s="3" t="inlineStr"/>
      <c r="D328" s="3" t="inlineStr"/>
      <c r="E328" t="inlineStr"/>
      <c r="F328" t="inlineStr">
        <is>
          <t>2021</t>
        </is>
      </c>
      <c r="G328" t="inlineStr"/>
      <c r="H328" s="4" t="n">
        <v>300</v>
      </c>
      <c r="I328" t="inlineStr"/>
      <c r="J328" t="inlineStr">
        <is>
          <t>51069 Köln</t>
        </is>
      </c>
      <c r="K328" s="5" t="n">
        <v>45559</v>
      </c>
      <c r="L328" t="inlineStr"/>
      <c r="M328" s="6">
        <f>HYPERLINK("https://www.dailydose.de/kleinanzeigen/detail.htm?ai=423136&amp;cf=kk&amp;pg=4&amp;ci=5", "Link")</f>
        <v/>
      </c>
      <c r="N328" s="6">
        <f>HYPERLINK("C:\Projects\Kleinanzeigen-Scraper\offer_images\423136", "Link")</f>
        <v/>
      </c>
      <c r="O328" t="inlineStr">
        <is>
          <t>Bj_37</t>
        </is>
      </c>
      <c r="P328" s="6">
        <f>HYPERLINK("https://www.dailydose.de/kleinanzeigen/user/4920", "Link")</f>
        <v/>
      </c>
      <c r="Q328" s="7" t="n">
        <v>45559.88231481481</v>
      </c>
      <c r="R328" s="3" t="inlineStr">
        <is>
          <t>9.37</t>
        </is>
      </c>
      <c r="S328" t="inlineStr">
        <is>
          <t>Köln</t>
        </is>
      </c>
    </row>
    <row r="329">
      <c r="A329" s="2" t="n">
        <v>4.2</v>
      </c>
      <c r="B329" t="inlineStr">
        <is>
          <t>GA Manic</t>
        </is>
      </c>
      <c r="C329" s="3" t="inlineStr"/>
      <c r="D329" s="3" t="inlineStr"/>
      <c r="E329" t="inlineStr"/>
      <c r="F329" t="inlineStr">
        <is>
          <t>2023</t>
        </is>
      </c>
      <c r="G329" t="inlineStr">
        <is>
          <t>used</t>
        </is>
      </c>
      <c r="H329" s="4" t="n">
        <v>350</v>
      </c>
      <c r="I329" t="inlineStr"/>
      <c r="J329" t="inlineStr">
        <is>
          <t>51069 Köln-&gt;Sylt</t>
        </is>
      </c>
      <c r="K329" s="5" t="n">
        <v>45559</v>
      </c>
      <c r="L329" t="inlineStr"/>
      <c r="M329" s="6">
        <f>HYPERLINK("https://www.dailydose.de/kleinanzeigen/detail.htm?ai=423133&amp;cf=kk&amp;pg=5&amp;ci=5", "Link")</f>
        <v/>
      </c>
      <c r="N329" s="6">
        <f>HYPERLINK("C:\Projects\Kleinanzeigen-Scraper\offer_images\423133", "Link")</f>
        <v/>
      </c>
      <c r="O329" t="inlineStr">
        <is>
          <t>Bj_37</t>
        </is>
      </c>
      <c r="P329" s="6">
        <f>HYPERLINK("https://www.dailydose.de/kleinanzeigen/user/4920", "Link")</f>
        <v/>
      </c>
      <c r="Q329" s="7" t="n">
        <v>45559.88216435185</v>
      </c>
      <c r="R329" s="3" t="inlineStr">
        <is>
          <t>9.37</t>
        </is>
      </c>
      <c r="S329" t="inlineStr">
        <is>
          <t>Köln</t>
        </is>
      </c>
    </row>
    <row r="330">
      <c r="A330" s="2" t="n">
        <v>5.4</v>
      </c>
      <c r="B330" t="inlineStr">
        <is>
          <t>GA Manic</t>
        </is>
      </c>
      <c r="C330" s="3" t="inlineStr"/>
      <c r="D330" s="3" t="inlineStr"/>
      <c r="E330" t="inlineStr"/>
      <c r="F330" t="inlineStr">
        <is>
          <t>2023</t>
        </is>
      </c>
      <c r="G330" t="inlineStr">
        <is>
          <t>new</t>
        </is>
      </c>
      <c r="H330" s="4" t="n">
        <v>350</v>
      </c>
      <c r="I330" t="inlineStr"/>
      <c r="J330" t="inlineStr">
        <is>
          <t>51069  Köln</t>
        </is>
      </c>
      <c r="K330" s="5" t="n">
        <v>45559</v>
      </c>
      <c r="L330" t="inlineStr"/>
      <c r="M330" s="6">
        <f>HYPERLINK("https://www.dailydose.de/kleinanzeigen/detail.htm?ai=423132&amp;cf=kk&amp;pg=5&amp;ci=5", "Link")</f>
        <v/>
      </c>
      <c r="N330" s="6">
        <f>HYPERLINK("C:\Projects\Kleinanzeigen-Scraper\offer_images\423132", "Link")</f>
        <v/>
      </c>
      <c r="O330" t="inlineStr">
        <is>
          <t>Bj_37</t>
        </is>
      </c>
      <c r="P330" s="6">
        <f>HYPERLINK("https://www.dailydose.de/kleinanzeigen/user/4920", "Link")</f>
        <v/>
      </c>
      <c r="Q330" s="7" t="n">
        <v>45559.88151620371</v>
      </c>
      <c r="R330" s="3" t="inlineStr">
        <is>
          <t>9.37</t>
        </is>
      </c>
      <c r="S330" t="inlineStr">
        <is>
          <t>Köln</t>
        </is>
      </c>
    </row>
    <row r="331">
      <c r="A331" s="2" t="n">
        <v>9.199999999999999</v>
      </c>
      <c r="B331" t="inlineStr">
        <is>
          <t>The Loft Switchblade</t>
        </is>
      </c>
      <c r="C331" s="3" t="inlineStr"/>
      <c r="D331" s="3" t="inlineStr"/>
      <c r="E331" t="inlineStr"/>
      <c r="F331" t="inlineStr"/>
      <c r="G331" t="inlineStr">
        <is>
          <t>used</t>
        </is>
      </c>
      <c r="H331" s="4" t="n">
        <v>220</v>
      </c>
      <c r="I331" t="inlineStr"/>
      <c r="J331" t="inlineStr">
        <is>
          <t>66798 Wallerfangen</t>
        </is>
      </c>
      <c r="K331" s="5" t="n">
        <v>45559</v>
      </c>
      <c r="L331" t="inlineStr"/>
      <c r="M331" s="6">
        <f>HYPERLINK("https://www.dailydose.de/kleinanzeigen/detail.htm?ai=423112&amp;cf=kk&amp;pg=5&amp;ci=5", "Link")</f>
        <v/>
      </c>
      <c r="N331" s="6">
        <f>HYPERLINK("C:\Projects\Kleinanzeigen-Scraper\offer_images\423112", "Link")</f>
        <v/>
      </c>
      <c r="O331" t="inlineStr">
        <is>
          <t>Seaspray</t>
        </is>
      </c>
      <c r="P331" s="6">
        <f>HYPERLINK("https://www.dailydose.de/kleinanzeigen/user/26268", "Link")</f>
        <v/>
      </c>
      <c r="Q331" s="7" t="n">
        <v>45559.88143518518</v>
      </c>
      <c r="R331" s="3" t="inlineStr">
        <is>
          <t>132.15</t>
        </is>
      </c>
      <c r="S331" t="inlineStr">
        <is>
          <t>Karlsruhe</t>
        </is>
      </c>
    </row>
    <row r="332">
      <c r="A332" s="2" t="n">
        <v>4.7</v>
      </c>
      <c r="B332" t="inlineStr">
        <is>
          <t>GA Sails Manic</t>
        </is>
      </c>
      <c r="C332" s="3" t="inlineStr"/>
      <c r="D332" s="3" t="inlineStr"/>
      <c r="E332" t="inlineStr"/>
      <c r="F332" t="inlineStr"/>
      <c r="G332" t="inlineStr">
        <is>
          <t>used</t>
        </is>
      </c>
      <c r="H332" s="4" t="n">
        <v>170</v>
      </c>
      <c r="I332" t="inlineStr"/>
      <c r="J332" t="inlineStr">
        <is>
          <t>Kiel, HH, DK</t>
        </is>
      </c>
      <c r="K332" s="5" t="n">
        <v>45559</v>
      </c>
      <c r="L332" t="inlineStr"/>
      <c r="M332" s="6">
        <f>HYPERLINK("https://www.dailydose.de/kleinanzeigen/detail.htm?ai=423109&amp;cf=kk&amp;pg=5&amp;ci=5", "Link")</f>
        <v/>
      </c>
      <c r="N332" s="6">
        <f>HYPERLINK("C:\Projects\Kleinanzeigen-Scraper\offer_images\423109", "Link")</f>
        <v/>
      </c>
      <c r="O332" t="inlineStr">
        <is>
          <t>Strand</t>
        </is>
      </c>
      <c r="P332" s="6">
        <f>HYPERLINK("https://www.dailydose.de/kleinanzeigen/user/2078", "Link")</f>
        <v/>
      </c>
      <c r="Q332" s="7" t="n">
        <v>45559.88143518518</v>
      </c>
      <c r="R332" s="3" t="inlineStr">
        <is>
          <t>435.55</t>
        </is>
      </c>
      <c r="S332" t="inlineStr">
        <is>
          <t>Köln</t>
        </is>
      </c>
    </row>
    <row r="333">
      <c r="A333" s="2" t="n">
        <v>5.9</v>
      </c>
      <c r="B333" t="inlineStr">
        <is>
          <t>North Sails Volt</t>
        </is>
      </c>
      <c r="C333" s="3" t="inlineStr"/>
      <c r="D333" s="3" t="inlineStr"/>
      <c r="E333" t="inlineStr">
        <is>
          <t>Bump &amp; Jump</t>
        </is>
      </c>
      <c r="F333" t="inlineStr"/>
      <c r="G333" t="inlineStr">
        <is>
          <t>used</t>
        </is>
      </c>
      <c r="H333" s="4" t="n">
        <v>139</v>
      </c>
      <c r="I333" t="inlineStr"/>
      <c r="J333" t="inlineStr">
        <is>
          <t>57080 Siegen</t>
        </is>
      </c>
      <c r="K333" s="5" t="n">
        <v>45558</v>
      </c>
      <c r="L333" t="inlineStr"/>
      <c r="M333" s="6">
        <f>HYPERLINK("https://www.dailydose.de/kleinanzeigen/detail.htm?ai=423084&amp;cf=kk&amp;pg=5&amp;ci=5", "Link")</f>
        <v/>
      </c>
      <c r="N333" s="6">
        <f>HYPERLINK("C:\Projects\Kleinanzeigen-Scraper\offer_images\423084", "Link")</f>
        <v/>
      </c>
      <c r="O333" t="inlineStr">
        <is>
          <t>thorti</t>
        </is>
      </c>
      <c r="P333" s="6">
        <f>HYPERLINK("https://www.dailydose.de/kleinanzeigen/user/23454", "Link")</f>
        <v/>
      </c>
      <c r="Q333" s="7" t="n">
        <v>45559.88118055555</v>
      </c>
      <c r="R333" s="3" t="inlineStr">
        <is>
          <t>75.54</t>
        </is>
      </c>
      <c r="S333" t="inlineStr">
        <is>
          <t>Köln</t>
        </is>
      </c>
    </row>
    <row r="334">
      <c r="A334" s="2" t="n">
        <v>4.7</v>
      </c>
      <c r="B334" t="inlineStr">
        <is>
          <t>Gun Sails Future</t>
        </is>
      </c>
      <c r="C334" s="3" t="n">
        <v>411</v>
      </c>
      <c r="D334" s="3" t="inlineStr"/>
      <c r="E334" t="inlineStr"/>
      <c r="F334" t="inlineStr"/>
      <c r="G334" t="inlineStr">
        <is>
          <t>used</t>
        </is>
      </c>
      <c r="H334" s="4" t="n">
        <v>120</v>
      </c>
      <c r="I334" t="inlineStr">
        <is>
          <t>VB</t>
        </is>
      </c>
      <c r="J334" t="inlineStr">
        <is>
          <t>24119 Kiel - Kronshagen</t>
        </is>
      </c>
      <c r="K334" s="5" t="n">
        <v>45558</v>
      </c>
      <c r="L334" t="inlineStr"/>
      <c r="M334" s="6">
        <f>HYPERLINK("https://www.kleinanzeigen.de/s-anzeige/gun-sails-future-4-7-windsurf-segel/2872204664-230-705", "Link")</f>
        <v/>
      </c>
      <c r="N334" s="6">
        <f>HYPERLINK("C:\Projects\Kleinanzeigen-Scraper\offer_images\2872204664", "Link")</f>
        <v/>
      </c>
      <c r="O334" t="inlineStr">
        <is>
          <t>Denis</t>
        </is>
      </c>
      <c r="P334" s="6">
        <f>HYPERLINK("https://www.kleinanzeigen.de/s-bestandsliste.html?userId=14237400", "Link")</f>
        <v/>
      </c>
      <c r="Q334" s="7" t="n">
        <v>45559.88099537037</v>
      </c>
      <c r="R334" s="3" t="inlineStr">
        <is>
          <t>432.46</t>
        </is>
      </c>
      <c r="S334" t="inlineStr">
        <is>
          <t>Köln</t>
        </is>
      </c>
    </row>
    <row r="335">
      <c r="A335" s="2" t="n">
        <v>5.6</v>
      </c>
      <c r="B335" t="inlineStr">
        <is>
          <t>NorthSails Infinity</t>
        </is>
      </c>
      <c r="C335" s="3" t="n">
        <v>4.55</v>
      </c>
      <c r="D335" s="3" t="n">
        <v>1.8</v>
      </c>
      <c r="E335" t="inlineStr"/>
      <c r="F335" t="inlineStr"/>
      <c r="G335" t="inlineStr">
        <is>
          <t>used</t>
        </is>
      </c>
      <c r="H335" s="4" t="n">
        <v>50</v>
      </c>
      <c r="I335" t="inlineStr"/>
      <c r="J335" t="inlineStr">
        <is>
          <t>71254 Baden-Württemberg - Ditzingen</t>
        </is>
      </c>
      <c r="K335" s="5" t="n">
        <v>45559</v>
      </c>
      <c r="L335" t="inlineStr"/>
      <c r="M335" s="6">
        <f>HYPERLINK("https://www.kleinanzeigen.de/s-anzeige/windsurf-segel-surfsegel-surf-segel-north-sails-infinity-5-6-5-6/2872722481-230-8865", "Link")</f>
        <v/>
      </c>
      <c r="N335" s="6">
        <f>HYPERLINK("C:\Projects\Kleinanzeigen-Scraper\offer_images\2872722481", "Link")</f>
        <v/>
      </c>
      <c r="O335" t="inlineStr">
        <is>
          <t>Johannes Gaechter</t>
        </is>
      </c>
      <c r="P335" s="6">
        <f>HYPERLINK("https://www.kleinanzeigen.de/s-bestandsliste.html?userId=2640764", "Link")</f>
        <v/>
      </c>
      <c r="Q335" s="7" t="n">
        <v>45559.88059027777</v>
      </c>
      <c r="R335" s="3" t="inlineStr">
        <is>
          <t>18.57</t>
        </is>
      </c>
      <c r="S335" t="inlineStr">
        <is>
          <t>Böblingen</t>
        </is>
      </c>
    </row>
    <row r="336">
      <c r="A336" s="2" t="n">
        <v>7.3</v>
      </c>
      <c r="B336" t="inlineStr">
        <is>
          <t>North e-type</t>
        </is>
      </c>
      <c r="C336" s="3" t="inlineStr"/>
      <c r="D336" s="3" t="inlineStr"/>
      <c r="E336" t="inlineStr"/>
      <c r="F336" t="inlineStr"/>
      <c r="G336" t="inlineStr">
        <is>
          <t>like new</t>
        </is>
      </c>
      <c r="H336" s="4" t="n">
        <v>290</v>
      </c>
      <c r="I336" t="inlineStr">
        <is>
          <t>VB</t>
        </is>
      </c>
      <c r="J336" t="inlineStr">
        <is>
          <t>82296 Bayern - Schöngeising</t>
        </is>
      </c>
      <c r="K336" s="5" t="n">
        <v>45559</v>
      </c>
      <c r="L336" t="inlineStr"/>
      <c r="M336" s="6">
        <f>HYPERLINK("https://www.kleinanzeigen.de/s-anzeige/neue-north-segel-7-3qm-und-6-6qm/2873003752-230-6318", "Link")</f>
        <v/>
      </c>
      <c r="N336" s="6">
        <f>HYPERLINK("C:\Projects\Kleinanzeigen-Scraper\offer_images\2873003752", "Link")</f>
        <v/>
      </c>
      <c r="O336" t="inlineStr">
        <is>
          <t>Mühlbauer</t>
        </is>
      </c>
      <c r="P336" s="6">
        <f>HYPERLINK("https://www.kleinanzeigen.de/s-bestandsliste.html?userId=40922065", "Link")</f>
        <v/>
      </c>
      <c r="Q336" s="7" t="n">
        <v>45559.88016203704</v>
      </c>
      <c r="R336" s="3" t="inlineStr">
        <is>
          <t>27.63</t>
        </is>
      </c>
      <c r="S336" t="inlineStr">
        <is>
          <t>München</t>
        </is>
      </c>
    </row>
    <row r="337">
      <c r="A337" s="2" t="n">
        <v>5.4</v>
      </c>
      <c r="B337" t="inlineStr">
        <is>
          <t>GA Sails Gaastra Poison</t>
        </is>
      </c>
      <c r="C337" s="3" t="n">
        <v>400</v>
      </c>
      <c r="D337" s="3" t="n">
        <v>172</v>
      </c>
      <c r="E337" t="inlineStr"/>
      <c r="F337" t="inlineStr"/>
      <c r="G337" t="inlineStr"/>
      <c r="H337" s="4" t="n">
        <v>150</v>
      </c>
      <c r="I337" t="inlineStr">
        <is>
          <t>VB</t>
        </is>
      </c>
      <c r="J337" t="inlineStr">
        <is>
          <t>31275 Niedersachsen - Lehrte</t>
        </is>
      </c>
      <c r="K337" s="5" t="n">
        <v>45558</v>
      </c>
      <c r="L337" t="inlineStr">
        <is>
          <t>Sold</t>
        </is>
      </c>
      <c r="M337" s="6">
        <f>HYPERLINK("https://www.kleinanzeigen.de/s-anzeige/surf-segel-ga-sails-gaastra-poison-5-4/2872159918-230-2910", "Link")</f>
        <v/>
      </c>
      <c r="N337" s="6">
        <f>HYPERLINK("C:\Projects\Kleinanzeigen-Scraper\offer_images\2872159918", "Link")</f>
        <v/>
      </c>
      <c r="O337" t="inlineStr">
        <is>
          <t>Jan Kramer</t>
        </is>
      </c>
      <c r="P337" s="6">
        <f>HYPERLINK("https://www.kleinanzeigen.de/s-bestandsliste.html?userId=10217806", "Link")</f>
        <v/>
      </c>
      <c r="Q337" s="7" t="n">
        <v>45559.87935185185</v>
      </c>
      <c r="R337" s="3" t="inlineStr">
        <is>
          <t>265.47</t>
        </is>
      </c>
      <c r="S337" t="inlineStr">
        <is>
          <t>Köln</t>
        </is>
      </c>
    </row>
    <row r="338">
      <c r="A338" s="2" t="n">
        <v>9.4</v>
      </c>
      <c r="B338" t="inlineStr">
        <is>
          <t>Neilpryde V8</t>
        </is>
      </c>
      <c r="C338" s="3" t="n">
        <v>520</v>
      </c>
      <c r="D338" s="3" t="inlineStr">
        <is>
          <t>218-225</t>
        </is>
      </c>
      <c r="E338" t="inlineStr"/>
      <c r="F338" t="inlineStr">
        <is>
          <t>2021</t>
        </is>
      </c>
      <c r="G338" t="inlineStr">
        <is>
          <t>used</t>
        </is>
      </c>
      <c r="H338" s="4" t="n">
        <v>520</v>
      </c>
      <c r="I338" t="inlineStr">
        <is>
          <t>VB</t>
        </is>
      </c>
      <c r="J338" t="inlineStr">
        <is>
          <t>08058 Sachsen - Zwickau</t>
        </is>
      </c>
      <c r="K338" s="5" t="n">
        <v>45558</v>
      </c>
      <c r="L338" t="inlineStr"/>
      <c r="M338" s="6">
        <f>HYPERLINK("https://www.kleinanzeigen.de/s-anzeige/neilpryde-v8-9-4-segel-neil-pryde-freerace-foil/2872233818-230-3810", "Link")</f>
        <v/>
      </c>
      <c r="N338" s="6">
        <f>HYPERLINK("C:\Projects\Kleinanzeigen-Scraper\offer_images\2872233818", "Link")</f>
        <v/>
      </c>
      <c r="O338" t="inlineStr">
        <is>
          <t>Karsten</t>
        </is>
      </c>
      <c r="P338" s="6">
        <f>HYPERLINK("https://www.kleinanzeigen.de/s-bestandsliste.html?userId=13956951", "Link")</f>
        <v/>
      </c>
      <c r="Q338" s="7" t="n">
        <v>45559.87907407407</v>
      </c>
      <c r="R338" s="3" t="inlineStr">
        <is>
          <t>296.50</t>
        </is>
      </c>
      <c r="S338" t="inlineStr">
        <is>
          <t>München</t>
        </is>
      </c>
    </row>
    <row r="339">
      <c r="A339" s="2" t="n">
        <v>5.9</v>
      </c>
      <c r="B339" t="inlineStr">
        <is>
          <t>North Duke</t>
        </is>
      </c>
      <c r="C339" s="3" t="n">
        <v>456</v>
      </c>
      <c r="D339" s="3" t="inlineStr"/>
      <c r="E339" t="inlineStr">
        <is>
          <t>Freeride</t>
        </is>
      </c>
      <c r="F339" t="inlineStr"/>
      <c r="G339" t="inlineStr">
        <is>
          <t>used</t>
        </is>
      </c>
      <c r="H339" s="4" t="n">
        <v>90</v>
      </c>
      <c r="I339" t="inlineStr"/>
      <c r="J339" t="inlineStr">
        <is>
          <t>24119 Kiel - Kronshagen</t>
        </is>
      </c>
      <c r="K339" s="5" t="n">
        <v>45558</v>
      </c>
      <c r="L339" t="inlineStr"/>
      <c r="M339" s="6">
        <f>HYPERLINK("https://www.kleinanzeigen.de/s-anzeige/north-duke-5-9-windsurf-segel/2872207381-230-705", "Link")</f>
        <v/>
      </c>
      <c r="N339" s="6">
        <f>HYPERLINK("C:\Projects\Kleinanzeigen-Scraper\offer_images\2872207381", "Link")</f>
        <v/>
      </c>
      <c r="O339" t="inlineStr">
        <is>
          <t>Denis</t>
        </is>
      </c>
      <c r="P339" s="6">
        <f>HYPERLINK("https://www.kleinanzeigen.de/s-bestandsliste.html?userId=14237400", "Link")</f>
        <v/>
      </c>
      <c r="Q339" s="7" t="n">
        <v>45559.8787037037</v>
      </c>
      <c r="R339" s="3" t="inlineStr">
        <is>
          <t>432.46</t>
        </is>
      </c>
      <c r="S339" t="inlineStr">
        <is>
          <t>Köln</t>
        </is>
      </c>
    </row>
    <row r="340">
      <c r="A340" s="2" t="n">
        <v>6.2</v>
      </c>
      <c r="B340" t="inlineStr">
        <is>
          <t>Point 7 AC-K Pro</t>
        </is>
      </c>
      <c r="C340" s="3" t="n">
        <v>400</v>
      </c>
      <c r="D340" s="3" t="inlineStr"/>
      <c r="E340" t="inlineStr"/>
      <c r="F340" t="inlineStr">
        <is>
          <t>2021</t>
        </is>
      </c>
      <c r="G340" t="inlineStr">
        <is>
          <t>used</t>
        </is>
      </c>
      <c r="H340" s="4" t="n">
        <v>280</v>
      </c>
      <c r="I340" t="inlineStr"/>
      <c r="J340" t="inlineStr">
        <is>
          <t>47506 Nordrhein-Westfalen - Neukirchen-Vluyn</t>
        </is>
      </c>
      <c r="K340" s="5" t="n">
        <v>45559</v>
      </c>
      <c r="L340" t="inlineStr">
        <is>
          <t>Sold</t>
        </is>
      </c>
      <c r="M340" s="6">
        <f>HYPERLINK("https://www.kleinanzeigen.de/s-anzeige/point-7-ac-k-pro-6-2-2021/2872850323-230-1128", "Link")</f>
        <v/>
      </c>
      <c r="N340" s="6">
        <f>HYPERLINK("C:\Projects\Kleinanzeigen-Scraper\offer_images\2872850323", "Link")</f>
        <v/>
      </c>
      <c r="O340" t="inlineStr">
        <is>
          <t>Stephan Köser</t>
        </is>
      </c>
      <c r="P340" s="6">
        <f>HYPERLINK("https://www.kleinanzeigen.de/s-bestandsliste.html?userId=85262305", "Link")</f>
        <v/>
      </c>
      <c r="Q340" s="7" t="n">
        <v>45559.87837962963</v>
      </c>
      <c r="R340" s="3" t="inlineStr">
        <is>
          <t>63.19</t>
        </is>
      </c>
      <c r="S340" t="inlineStr">
        <is>
          <t>Köln</t>
        </is>
      </c>
    </row>
    <row r="341">
      <c r="A341" s="2" t="n">
        <v>4.2</v>
      </c>
      <c r="B341" t="inlineStr">
        <is>
          <t>Naish Force</t>
        </is>
      </c>
      <c r="C341" s="3" t="inlineStr"/>
      <c r="D341" s="3" t="inlineStr"/>
      <c r="E341" t="inlineStr"/>
      <c r="F341" t="inlineStr"/>
      <c r="G341" t="inlineStr">
        <is>
          <t>repaired</t>
        </is>
      </c>
      <c r="H341" s="4" t="n">
        <v>30</v>
      </c>
      <c r="I341" t="inlineStr"/>
      <c r="J341" t="inlineStr">
        <is>
          <t>20359 Hamburg-Mitte - Hamburg St. Pauli</t>
        </is>
      </c>
      <c r="K341" s="5" t="n">
        <v>45558</v>
      </c>
      <c r="L341" t="inlineStr"/>
      <c r="M341" s="6">
        <f>HYPERLINK("https://www.kleinanzeigen.de/s-anzeige/windsurf-segel-sail-naish-force-4-2/2872023307-230-9495", "Link")</f>
        <v/>
      </c>
      <c r="N341" s="6">
        <f>HYPERLINK("C:\Projects\Kleinanzeigen-Scraper\offer_images\2872023307", "Link")</f>
        <v/>
      </c>
      <c r="O341" t="inlineStr">
        <is>
          <t>Niklas</t>
        </is>
      </c>
      <c r="P341" s="6">
        <f>HYPERLINK("https://www.kleinanzeigen.de/s-bestandsliste.html?userId=11198381", "Link")</f>
        <v/>
      </c>
      <c r="Q341" s="7" t="n">
        <v>45559.87832175926</v>
      </c>
      <c r="R341" s="3" t="inlineStr">
        <is>
          <t>355.45</t>
        </is>
      </c>
      <c r="S341" t="inlineStr">
        <is>
          <t>Köln</t>
        </is>
      </c>
    </row>
    <row r="342">
      <c r="A342" s="2" t="n">
        <v>4.7</v>
      </c>
      <c r="B342" t="inlineStr">
        <is>
          <t>GA sails Gaastra Poison</t>
        </is>
      </c>
      <c r="C342" s="3" t="n">
        <v>400</v>
      </c>
      <c r="D342" s="3" t="n">
        <v>162</v>
      </c>
      <c r="E342" t="inlineStr"/>
      <c r="F342" t="inlineStr"/>
      <c r="G342" t="inlineStr">
        <is>
          <t>used</t>
        </is>
      </c>
      <c r="H342" s="4" t="inlineStr"/>
      <c r="I342" t="inlineStr">
        <is>
          <t>VB</t>
        </is>
      </c>
      <c r="J342" t="inlineStr">
        <is>
          <t>31275 Niedersachsen - Lehrte</t>
        </is>
      </c>
      <c r="K342" s="5" t="n">
        <v>45558</v>
      </c>
      <c r="L342" t="inlineStr"/>
      <c r="M342" s="6">
        <f>HYPERLINK("https://www.kleinanzeigen.de/s-anzeige/surf-segel-ga-sails-gaastra-poison-4-7/2872156441-230-2910", "Link")</f>
        <v/>
      </c>
      <c r="N342" s="6">
        <f>HYPERLINK("C:\Projects\Kleinanzeigen-Scraper\offer_images\2872156441", "Link")</f>
        <v/>
      </c>
      <c r="O342" t="inlineStr">
        <is>
          <t>Jan Kramer</t>
        </is>
      </c>
      <c r="P342" s="6">
        <f>HYPERLINK("https://www.kleinanzeigen.de/s-bestandsliste.html?userId=10217806", "Link")</f>
        <v/>
      </c>
      <c r="Q342" s="7" t="n">
        <v>45559.87788194444</v>
      </c>
      <c r="R342" s="3" t="inlineStr">
        <is>
          <t>265.47</t>
        </is>
      </c>
      <c r="S342" t="inlineStr">
        <is>
          <t>Köln</t>
        </is>
      </c>
    </row>
    <row r="343">
      <c r="A343" s="2" t="n">
        <v>4.7</v>
      </c>
      <c r="B343" t="inlineStr">
        <is>
          <t>GUN SAILS GROOVE</t>
        </is>
      </c>
      <c r="C343" s="3" t="n">
        <v>418</v>
      </c>
      <c r="D343" s="3" t="n">
        <v>168</v>
      </c>
      <c r="E343" t="inlineStr"/>
      <c r="F343" t="inlineStr"/>
      <c r="G343" t="inlineStr">
        <is>
          <t>repaired</t>
        </is>
      </c>
      <c r="H343" s="4" t="n">
        <v>30</v>
      </c>
      <c r="I343" t="inlineStr"/>
      <c r="J343" t="inlineStr">
        <is>
          <t>19057 Schwerin - Lankow</t>
        </is>
      </c>
      <c r="K343" s="5" t="n">
        <v>45559</v>
      </c>
      <c r="L343" t="inlineStr">
        <is>
          <t>Sold</t>
        </is>
      </c>
      <c r="M343" s="6">
        <f>HYPERLINK("https://www.kleinanzeigen.de/s-anzeige/surfsegel-groove-in-4-7m-von-gun-sails/2872537709-230-281", "Link")</f>
        <v/>
      </c>
      <c r="N343" s="6">
        <f>HYPERLINK("C:\Projects\Kleinanzeigen-Scraper\offer_images\2872537709", "Link")</f>
        <v/>
      </c>
      <c r="O343" t="inlineStr">
        <is>
          <t>F. Weinkauf</t>
        </is>
      </c>
      <c r="P343" s="6">
        <f>HYPERLINK("https://www.kleinanzeigen.de/s-bestandsliste.html?userId=25919947", "Link")</f>
        <v/>
      </c>
      <c r="Q343" s="7" t="n">
        <v>45559.87763888889</v>
      </c>
      <c r="R343" s="3" t="inlineStr">
        <is>
          <t>424.45</t>
        </is>
      </c>
      <c r="S343" t="inlineStr">
        <is>
          <t>Köln</t>
        </is>
      </c>
    </row>
    <row r="344">
      <c r="A344" s="2" t="n">
        <v>4.7</v>
      </c>
      <c r="B344" t="inlineStr">
        <is>
          <t>Naish Boxer</t>
        </is>
      </c>
      <c r="C344" s="3" t="n">
        <v>370</v>
      </c>
      <c r="D344" s="3" t="n">
        <v>155</v>
      </c>
      <c r="E344" t="inlineStr"/>
      <c r="F344" t="inlineStr"/>
      <c r="G344" t="inlineStr">
        <is>
          <t>used</t>
        </is>
      </c>
      <c r="H344" s="4" t="n">
        <v>60</v>
      </c>
      <c r="I344" t="inlineStr"/>
      <c r="J344" t="inlineStr">
        <is>
          <t>20359 Hamburg-Mitte - Hamburg St. Pauli</t>
        </is>
      </c>
      <c r="K344" s="5" t="n">
        <v>45558</v>
      </c>
      <c r="L344" t="inlineStr"/>
      <c r="M344" s="6">
        <f>HYPERLINK("https://www.kleinanzeigen.de/s-anzeige/windsurf-segel-naish-boxer-4-7/2872024793-230-9495", "Link")</f>
        <v/>
      </c>
      <c r="N344" s="6">
        <f>HYPERLINK("C:\Projects\Kleinanzeigen-Scraper\offer_images\2872024793", "Link")</f>
        <v/>
      </c>
      <c r="O344" t="inlineStr">
        <is>
          <t>Niklas</t>
        </is>
      </c>
      <c r="P344" s="6">
        <f>HYPERLINK("https://www.kleinanzeigen.de/s-bestandsliste.html?userId=11198381", "Link")</f>
        <v/>
      </c>
      <c r="Q344" s="7" t="n">
        <v>45559.8775</v>
      </c>
      <c r="R344" s="3" t="inlineStr">
        <is>
          <t>355.45</t>
        </is>
      </c>
      <c r="S344" t="inlineStr">
        <is>
          <t>Köln</t>
        </is>
      </c>
    </row>
    <row r="345">
      <c r="A345" s="2" t="n">
        <v>6.3</v>
      </c>
      <c r="B345" t="inlineStr">
        <is>
          <t>Severne Freek</t>
        </is>
      </c>
      <c r="C345" s="3" t="n">
        <v>462</v>
      </c>
      <c r="D345" s="3" t="n">
        <v>180</v>
      </c>
      <c r="E345" t="inlineStr">
        <is>
          <t>Freestyle &amp; Foil</t>
        </is>
      </c>
      <c r="F345" t="inlineStr"/>
      <c r="G345" t="inlineStr">
        <is>
          <t>used, good</t>
        </is>
      </c>
      <c r="H345" s="4" t="n">
        <v>325</v>
      </c>
      <c r="I345" t="inlineStr"/>
      <c r="J345" t="inlineStr">
        <is>
          <t>88263 Baden-Württemberg - Horgenzell</t>
        </is>
      </c>
      <c r="K345" s="5" t="n">
        <v>45348</v>
      </c>
      <c r="L345" t="inlineStr">
        <is>
          <t>Sold</t>
        </is>
      </c>
      <c r="M345" s="6">
        <f>HYPERLINK("https://www.kleinanzeigen.de/s-anzeige/severne-freek-6-3qm-freestyle-foil-segel/2690752100-230-8278", "Link")</f>
        <v/>
      </c>
      <c r="N345" s="6">
        <f>HYPERLINK("C:\Projects\Kleinanzeigen-Scraper\offer_images\2690752100", "Link")</f>
        <v/>
      </c>
      <c r="O345" t="inlineStr">
        <is>
          <t>Kroko Deal</t>
        </is>
      </c>
      <c r="P345" s="6">
        <f>HYPERLINK("https://www.kleinanzeigen.de/s-bestandsliste.html?userId=9285545", "Link")</f>
        <v/>
      </c>
      <c r="Q345" s="7" t="n">
        <v>45559.87748842593</v>
      </c>
      <c r="R345" s="3" t="inlineStr">
        <is>
          <t>85.85</t>
        </is>
      </c>
      <c r="S345" t="inlineStr">
        <is>
          <t>Bonndorf</t>
        </is>
      </c>
    </row>
    <row r="346">
      <c r="A346" s="2" t="n">
        <v>5</v>
      </c>
      <c r="B346" t="inlineStr">
        <is>
          <t>Gaastra Sails</t>
        </is>
      </c>
      <c r="C346" s="3" t="inlineStr"/>
      <c r="D346" s="3" t="inlineStr"/>
      <c r="E346" t="inlineStr"/>
      <c r="F346" t="inlineStr"/>
      <c r="G346" t="inlineStr">
        <is>
          <t>used</t>
        </is>
      </c>
      <c r="H346" s="4" t="inlineStr">
        <is>
          <t>Zu verschenken</t>
        </is>
      </c>
      <c r="I346" t="inlineStr"/>
      <c r="J346" t="inlineStr">
        <is>
          <t>61440 Hessen - Oberursel (Taunus)</t>
        </is>
      </c>
      <c r="K346" s="5" t="n">
        <v>45559</v>
      </c>
      <c r="L346" t="inlineStr"/>
      <c r="M346" s="6">
        <f>HYPERLINK("https://www.kleinanzeigen.de/s-anzeige/surfsegel-gaastra-sails-5-0/2872995881-230-4578", "Link")</f>
        <v/>
      </c>
      <c r="N346" s="6">
        <f>HYPERLINK("C:\Projects\Kleinanzeigen-Scraper\offer_images\2872995881", "Link")</f>
        <v/>
      </c>
      <c r="O346" t="inlineStr">
        <is>
          <t>Anja</t>
        </is>
      </c>
      <c r="P346" s="6">
        <f>HYPERLINK("https://www.kleinanzeigen.de/s-bestandsliste.html?userId=45642513", "Link")</f>
        <v/>
      </c>
      <c r="Q346" s="7" t="n">
        <v>45559.87703703704</v>
      </c>
      <c r="R346" s="3" t="inlineStr">
        <is>
          <t>134.19</t>
        </is>
      </c>
      <c r="S346" t="inlineStr">
        <is>
          <t>Karlsruhe</t>
        </is>
      </c>
    </row>
    <row r="347">
      <c r="A347" s="2" t="n">
        <v>4</v>
      </c>
      <c r="B347" t="inlineStr">
        <is>
          <t>RAF Vortex</t>
        </is>
      </c>
      <c r="C347" s="3" t="n">
        <v>430</v>
      </c>
      <c r="D347" s="3" t="n">
        <v>145</v>
      </c>
      <c r="E347" t="inlineStr"/>
      <c r="F347" t="inlineStr"/>
      <c r="G347" t="inlineStr"/>
      <c r="H347" s="4" t="n">
        <v>25</v>
      </c>
      <c r="I347" t="inlineStr">
        <is>
          <t>VB</t>
        </is>
      </c>
      <c r="J347" t="inlineStr">
        <is>
          <t>30982 Niedersachsen - Pattensen</t>
        </is>
      </c>
      <c r="K347" s="5" t="n">
        <v>45558</v>
      </c>
      <c r="L347" t="inlineStr"/>
      <c r="M347" s="6">
        <f>HYPERLINK("https://www.kleinanzeigen.de/s-anzeige/surfsegel-4-qm-windsurfen/2872143394-230-2898", "Link")</f>
        <v/>
      </c>
      <c r="N347" s="6">
        <f>HYPERLINK("C:\Projects\Kleinanzeigen-Scraper\offer_images\2872143394", "Link")</f>
        <v/>
      </c>
      <c r="O347" t="inlineStr">
        <is>
          <t>Anbieter</t>
        </is>
      </c>
      <c r="P347" s="6">
        <f>HYPERLINK("https://www.kleinanzeigen.de/s-bestandsliste.html?userId=7822495", "Link")</f>
        <v/>
      </c>
      <c r="Q347" s="7" t="n">
        <v>45559.87696759259</v>
      </c>
      <c r="R347" s="3" t="inlineStr">
        <is>
          <t>241.72</t>
        </is>
      </c>
      <c r="S347" t="inlineStr">
        <is>
          <t>Köln</t>
        </is>
      </c>
    </row>
    <row r="348">
      <c r="A348" s="2" t="n">
        <v>4.5</v>
      </c>
      <c r="B348" t="inlineStr">
        <is>
          <t>Gaastra IQ</t>
        </is>
      </c>
      <c r="C348" s="3" t="n">
        <v>370</v>
      </c>
      <c r="D348" s="3" t="n">
        <v>159</v>
      </c>
      <c r="E348" t="inlineStr"/>
      <c r="F348" t="inlineStr">
        <is>
          <t>2012</t>
        </is>
      </c>
      <c r="G348" t="inlineStr">
        <is>
          <t>used</t>
        </is>
      </c>
      <c r="H348" s="4" t="n">
        <v>100</v>
      </c>
      <c r="I348" t="inlineStr">
        <is>
          <t>VB</t>
        </is>
      </c>
      <c r="J348" t="inlineStr">
        <is>
          <t>83109 Bayern - Großkarolinenfeld</t>
        </is>
      </c>
      <c r="K348" s="5" t="n">
        <v>45559</v>
      </c>
      <c r="L348" t="inlineStr"/>
      <c r="M348" s="6">
        <f>HYPERLINK("https://www.kleinanzeigen.de/s-anzeige/gaastra-iq-4-5-surfsegel/2872647791-230-6255", "Link")</f>
        <v/>
      </c>
      <c r="N348" s="6">
        <f>HYPERLINK("C:\Projects\Kleinanzeigen-Scraper\offer_images\2872647791", "Link")</f>
        <v/>
      </c>
      <c r="O348" t="inlineStr">
        <is>
          <t>Mayer Jutta</t>
        </is>
      </c>
      <c r="P348" s="6">
        <f>HYPERLINK("https://www.kleinanzeigen.de/s-bestandsliste.html?userId=9582607", "Link")</f>
        <v/>
      </c>
      <c r="Q348" s="7" t="n">
        <v>45559.87692129629</v>
      </c>
      <c r="R348" s="3" t="inlineStr">
        <is>
          <t>45.57</t>
        </is>
      </c>
      <c r="S348" t="inlineStr">
        <is>
          <t>München</t>
        </is>
      </c>
    </row>
    <row r="349">
      <c r="A349" s="2" t="n">
        <v>7.8</v>
      </c>
      <c r="B349" t="inlineStr">
        <is>
          <t>Loftsails Switchblade HD</t>
        </is>
      </c>
      <c r="C349" s="3" t="n">
        <v>402</v>
      </c>
      <c r="D349" s="3" t="n">
        <v>212</v>
      </c>
      <c r="E349" t="inlineStr"/>
      <c r="F349" t="inlineStr"/>
      <c r="G349" t="inlineStr">
        <is>
          <t>new</t>
        </is>
      </c>
      <c r="H349" s="4" t="n">
        <v>498</v>
      </c>
      <c r="I349" t="inlineStr"/>
      <c r="J349" t="inlineStr">
        <is>
          <t>52428 Nordrhein-Westfalen - Jülich</t>
        </is>
      </c>
      <c r="K349" s="5" t="n">
        <v>45559</v>
      </c>
      <c r="L349" t="inlineStr"/>
      <c r="M349" s="6">
        <f>HYPERLINK("https://www.kleinanzeigen.de/s-anzeige/loftsails-switchblade-hd-7-8-neuwertig-windsurfsegel/2872859583-230-1718", "Link")</f>
        <v/>
      </c>
      <c r="N349" s="6">
        <f>HYPERLINK("C:\Projects\Kleinanzeigen-Scraper\offer_images\2872859583", "Link")</f>
        <v/>
      </c>
      <c r="O349" t="inlineStr">
        <is>
          <t>Strothmann</t>
        </is>
      </c>
      <c r="P349" s="6">
        <f>HYPERLINK("https://www.kleinanzeigen.de/s-bestandsliste.html?userId=18845773", "Link")</f>
        <v/>
      </c>
      <c r="Q349" s="7" t="n">
        <v>45559.87658564815</v>
      </c>
      <c r="R349" s="3" t="inlineStr">
        <is>
          <t>39.20</t>
        </is>
      </c>
      <c r="S349" t="inlineStr">
        <is>
          <t>Köln</t>
        </is>
      </c>
    </row>
    <row r="350">
      <c r="A350" s="2" t="n">
        <v>8.199999999999999</v>
      </c>
      <c r="B350" t="inlineStr">
        <is>
          <t>Gaastra Savage</t>
        </is>
      </c>
      <c r="C350" s="3" t="inlineStr"/>
      <c r="D350" s="3" t="inlineStr"/>
      <c r="E350" t="inlineStr"/>
      <c r="F350" t="inlineStr"/>
      <c r="G350" t="inlineStr">
        <is>
          <t>used</t>
        </is>
      </c>
      <c r="H350" s="4" t="n">
        <v>140</v>
      </c>
      <c r="I350" t="inlineStr">
        <is>
          <t>VB</t>
        </is>
      </c>
      <c r="J350" t="inlineStr">
        <is>
          <t>88090 Baden-Württemberg - Immenstaad</t>
        </is>
      </c>
      <c r="K350" s="5" t="n">
        <v>45556</v>
      </c>
      <c r="L350" t="inlineStr"/>
      <c r="M350" s="6">
        <f>HYPERLINK("https://www.kleinanzeigen.de/s-anzeige/windsurfsegel-gaastra-savage-8-2/2869552857-230-9216", "Link")</f>
        <v/>
      </c>
      <c r="N350" s="6">
        <f>HYPERLINK("C:\Projects\Kleinanzeigen-Scraper\offer_images\2869552857", "Link")</f>
        <v/>
      </c>
      <c r="O350" t="inlineStr">
        <is>
          <t>Erik F.</t>
        </is>
      </c>
      <c r="P350" s="6">
        <f>HYPERLINK("https://www.kleinanzeigen.de/s-bestandsliste.html?userId=38592861", "Link")</f>
        <v/>
      </c>
      <c r="Q350" s="7" t="n">
        <v>45559.87658564815</v>
      </c>
      <c r="R350" s="3" t="inlineStr">
        <is>
          <t>78.43</t>
        </is>
      </c>
      <c r="S350" t="inlineStr">
        <is>
          <t>Bonndorf</t>
        </is>
      </c>
    </row>
    <row r="351">
      <c r="A351" s="2" t="n">
        <v>8.5</v>
      </c>
      <c r="B351" t="inlineStr">
        <is>
          <t>Neil Pryde V6</t>
        </is>
      </c>
      <c r="C351" s="3" t="n">
        <v>490</v>
      </c>
      <c r="D351" s="3" t="n">
        <v>229</v>
      </c>
      <c r="E351" t="inlineStr"/>
      <c r="F351" t="inlineStr"/>
      <c r="G351" t="inlineStr">
        <is>
          <t>damaged</t>
        </is>
      </c>
      <c r="H351" s="4" t="n">
        <v>60</v>
      </c>
      <c r="I351" t="inlineStr">
        <is>
          <t>VB</t>
        </is>
      </c>
      <c r="J351" t="inlineStr">
        <is>
          <t>30982 Niedersachsen - Pattensen</t>
        </is>
      </c>
      <c r="K351" s="5" t="n">
        <v>45558</v>
      </c>
      <c r="L351" t="inlineStr"/>
      <c r="M351" s="6">
        <f>HYPERLINK("https://www.kleinanzeigen.de/s-anzeige/neil-pryde-v6-8-5-qm-windsurfsegel-windsurfen-sail/2872144763-230-2898", "Link")</f>
        <v/>
      </c>
      <c r="N351" s="6">
        <f>HYPERLINK("C:\Projects\Kleinanzeigen-Scraper\offer_images\2872144763", "Link")</f>
        <v/>
      </c>
      <c r="O351" t="inlineStr">
        <is>
          <t>Anbieter</t>
        </is>
      </c>
      <c r="P351" s="6">
        <f>HYPERLINK("https://www.kleinanzeigen.de/s-bestandsliste.html?userId=7822495", "Link")</f>
        <v/>
      </c>
      <c r="Q351" s="7" t="n">
        <v>45559.87613425926</v>
      </c>
      <c r="R351" s="3" t="inlineStr">
        <is>
          <t>241.72</t>
        </is>
      </c>
      <c r="S351" t="inlineStr">
        <is>
          <t>Köln</t>
        </is>
      </c>
    </row>
    <row r="352">
      <c r="A352" s="2" t="n">
        <v>4.7</v>
      </c>
      <c r="B352" t="inlineStr">
        <is>
          <t>Neilpryde Search</t>
        </is>
      </c>
      <c r="C352" s="3" t="n">
        <v>400</v>
      </c>
      <c r="D352" s="3" t="n">
        <v>167</v>
      </c>
      <c r="E352" t="inlineStr"/>
      <c r="F352" t="inlineStr"/>
      <c r="G352" t="inlineStr">
        <is>
          <t>used</t>
        </is>
      </c>
      <c r="H352" s="4" t="n">
        <v>40</v>
      </c>
      <c r="I352" t="inlineStr"/>
      <c r="J352" t="inlineStr">
        <is>
          <t>61231 Hessen - Bad Nauheim</t>
        </is>
      </c>
      <c r="K352" s="5" t="n">
        <v>45558</v>
      </c>
      <c r="L352" t="inlineStr">
        <is>
          <t>Sold</t>
        </is>
      </c>
      <c r="M352" s="6">
        <f>HYPERLINK("https://www.kleinanzeigen.de/s-anzeige/neilpryde-search-4-7-windsurf-segel-workum/2872140293-230-4348", "Link")</f>
        <v/>
      </c>
      <c r="N352" s="6">
        <f>HYPERLINK("C:\Projects\Kleinanzeigen-Scraper\offer_images\2872140293", "Link")</f>
        <v/>
      </c>
      <c r="O352" t="inlineStr">
        <is>
          <t>Dr Spinout</t>
        </is>
      </c>
      <c r="P352" s="6">
        <f>HYPERLINK("https://www.kleinanzeigen.de/s-bestandsliste.html?userId=5381565", "Link")</f>
        <v/>
      </c>
      <c r="Q352" s="7" t="n">
        <v>45559.87574074074</v>
      </c>
      <c r="R352" s="3" t="inlineStr">
        <is>
          <t>140.20</t>
        </is>
      </c>
      <c r="S352" t="inlineStr">
        <is>
          <t>Köln</t>
        </is>
      </c>
    </row>
    <row r="353">
      <c r="A353" s="2" t="n">
        <v>5.2</v>
      </c>
      <c r="B353" t="inlineStr">
        <is>
          <t>Gaastra Remedy</t>
        </is>
      </c>
      <c r="C353" s="3" t="n">
        <v>400</v>
      </c>
      <c r="D353" s="3" t="n">
        <v>176</v>
      </c>
      <c r="E353" t="inlineStr"/>
      <c r="F353" t="inlineStr">
        <is>
          <t>10</t>
        </is>
      </c>
      <c r="G353" t="inlineStr">
        <is>
          <t>used</t>
        </is>
      </c>
      <c r="H353" s="4" t="n">
        <v>50</v>
      </c>
      <c r="I353" t="inlineStr">
        <is>
          <t>VB</t>
        </is>
      </c>
      <c r="J353" t="inlineStr">
        <is>
          <t>04277 Leipzig - Connewitz</t>
        </is>
      </c>
      <c r="K353" s="5" t="n">
        <v>45559</v>
      </c>
      <c r="L353" t="inlineStr"/>
      <c r="M353" s="6">
        <f>HYPERLINK("https://www.kleinanzeigen.de/s-anzeige/windsurfsegel-gaastra-remedy-5-2/2872653168-230-4267", "Link")</f>
        <v/>
      </c>
      <c r="N353" s="6">
        <f>HYPERLINK("C:\Projects\Kleinanzeigen-Scraper\offer_images\2872653168", "Link")</f>
        <v/>
      </c>
      <c r="O353" t="inlineStr">
        <is>
          <t>Ivo Eulenberg</t>
        </is>
      </c>
      <c r="P353" s="6">
        <f>HYPERLINK("https://www.kleinanzeigen.de/s-bestandsliste.html?userId=64440134", "Link")</f>
        <v/>
      </c>
      <c r="Q353" s="7" t="n">
        <v>45559.87571759259</v>
      </c>
      <c r="R353" s="3" t="inlineStr">
        <is>
          <t>357.35</t>
        </is>
      </c>
      <c r="S353" t="inlineStr">
        <is>
          <t>München</t>
        </is>
      </c>
    </row>
    <row r="354">
      <c r="A354" s="2" t="n">
        <v>5</v>
      </c>
      <c r="B354" t="inlineStr">
        <is>
          <t>Gaastra IQ</t>
        </is>
      </c>
      <c r="C354" s="3" t="n">
        <v>400</v>
      </c>
      <c r="D354" s="3" t="n">
        <v>169</v>
      </c>
      <c r="E354" t="inlineStr"/>
      <c r="F354" t="inlineStr">
        <is>
          <t>2012</t>
        </is>
      </c>
      <c r="G354" t="inlineStr">
        <is>
          <t>used</t>
        </is>
      </c>
      <c r="H354" s="4" t="n">
        <v>100</v>
      </c>
      <c r="I354" t="inlineStr">
        <is>
          <t>VB</t>
        </is>
      </c>
      <c r="J354" t="inlineStr">
        <is>
          <t>83109 Bayern - Großkarolinenfeld</t>
        </is>
      </c>
      <c r="K354" s="5" t="n">
        <v>45559</v>
      </c>
      <c r="L354" t="inlineStr"/>
      <c r="M354" s="6">
        <f>HYPERLINK("https://www.kleinanzeigen.de/s-anzeige/gaastra-iq-5-0-surfsegel/2872643029-230-6255", "Link")</f>
        <v/>
      </c>
      <c r="N354" s="6">
        <f>HYPERLINK("C:\Projects\Kleinanzeigen-Scraper\offer_images\2872643029", "Link")</f>
        <v/>
      </c>
      <c r="O354" t="inlineStr">
        <is>
          <t>Mayer Jutta</t>
        </is>
      </c>
      <c r="P354" s="6">
        <f>HYPERLINK("https://www.kleinanzeigen.de/s-bestandsliste.html?userId=9582607", "Link")</f>
        <v/>
      </c>
      <c r="Q354" s="7" t="n">
        <v>45559.87520833333</v>
      </c>
      <c r="R354" s="3" t="inlineStr">
        <is>
          <t>45.57</t>
        </is>
      </c>
      <c r="S354" t="inlineStr">
        <is>
          <t>München</t>
        </is>
      </c>
    </row>
    <row r="355">
      <c r="A355" s="2" t="n">
        <v>4.5</v>
      </c>
      <c r="B355" t="inlineStr">
        <is>
          <t>Gaastra GA Poison</t>
        </is>
      </c>
      <c r="C355" s="3" t="inlineStr"/>
      <c r="D355" s="3" t="inlineStr"/>
      <c r="E355" t="inlineStr"/>
      <c r="F355" t="inlineStr"/>
      <c r="G355" t="inlineStr">
        <is>
          <t>used</t>
        </is>
      </c>
      <c r="H355" s="4" t="n">
        <v>135</v>
      </c>
      <c r="I355" t="inlineStr">
        <is>
          <t>VB</t>
        </is>
      </c>
      <c r="J355" t="inlineStr">
        <is>
          <t>25436 Kreis Pinneberg - Uetersen</t>
        </is>
      </c>
      <c r="K355" s="5" t="n">
        <v>45559</v>
      </c>
      <c r="L355" t="inlineStr"/>
      <c r="M355" s="6">
        <f>HYPERLINK("https://www.kleinanzeigen.de/s-anzeige/gaastra-ga-poison-4-5-qm-windsurfsegel/2872445896-230-622", "Link")</f>
        <v/>
      </c>
      <c r="N355" s="6">
        <f>HYPERLINK("C:\Projects\Kleinanzeigen-Scraper\offer_images\2872445896", "Link")</f>
        <v/>
      </c>
      <c r="O355" t="inlineStr">
        <is>
          <t>Werner Marckmann</t>
        </is>
      </c>
      <c r="P355" s="6">
        <f>HYPERLINK("https://www.kleinanzeigen.de/s-bestandsliste.html?userId=9276219", "Link")</f>
        <v/>
      </c>
      <c r="Q355" s="7" t="n">
        <v>45559.87465277778</v>
      </c>
      <c r="R355" s="3" t="inlineStr">
        <is>
          <t>356.69</t>
        </is>
      </c>
      <c r="S355" t="inlineStr">
        <is>
          <t>Köln</t>
        </is>
      </c>
    </row>
    <row r="356">
      <c r="A356" s="2" t="n">
        <v>6.6</v>
      </c>
      <c r="B356" t="inlineStr">
        <is>
          <t>Goya Mark X Pro</t>
        </is>
      </c>
      <c r="C356" s="3" t="inlineStr">
        <is>
          <t>430-450</t>
        </is>
      </c>
      <c r="D356" s="3" t="n">
        <v>195</v>
      </c>
      <c r="E356" t="inlineStr"/>
      <c r="F356" t="inlineStr">
        <is>
          <t>2021</t>
        </is>
      </c>
      <c r="G356" t="inlineStr">
        <is>
          <t>new</t>
        </is>
      </c>
      <c r="H356" s="4" t="n">
        <v>398</v>
      </c>
      <c r="I356" t="inlineStr"/>
      <c r="J356" t="inlineStr">
        <is>
          <t>52428 Nordrhein-Westfalen - Jülich</t>
        </is>
      </c>
      <c r="K356" s="5" t="n">
        <v>45559</v>
      </c>
      <c r="L356" t="inlineStr"/>
      <c r="M356" s="6">
        <f>HYPERLINK("https://www.kleinanzeigen.de/s-anzeige/goya-mark-x-pro-6-6-neuwertig-windsurfsegel/2872628871-230-1718", "Link")</f>
        <v/>
      </c>
      <c r="N356" s="6">
        <f>HYPERLINK("C:\Projects\Kleinanzeigen-Scraper\offer_images\2872628871", "Link")</f>
        <v/>
      </c>
      <c r="O356" t="inlineStr">
        <is>
          <t>Strothmann</t>
        </is>
      </c>
      <c r="P356" s="6">
        <f>HYPERLINK("https://www.kleinanzeigen.de/s-bestandsliste.html?userId=18845773", "Link")</f>
        <v/>
      </c>
      <c r="Q356" s="7" t="n">
        <v>45559.87458333333</v>
      </c>
      <c r="R356" s="3" t="inlineStr">
        <is>
          <t>39.20</t>
        </is>
      </c>
      <c r="S356" t="inlineStr">
        <is>
          <t>Köln</t>
        </is>
      </c>
    </row>
    <row r="357">
      <c r="A357" s="2" t="n">
        <v>7.3</v>
      </c>
      <c r="B357" t="inlineStr">
        <is>
          <t>Loftsails Switchblade</t>
        </is>
      </c>
      <c r="C357" s="3" t="n">
        <v>460</v>
      </c>
      <c r="D357" s="3" t="n">
        <v>208</v>
      </c>
      <c r="E357" t="inlineStr"/>
      <c r="F357" t="inlineStr"/>
      <c r="G357" t="inlineStr">
        <is>
          <t>new</t>
        </is>
      </c>
      <c r="H357" s="4" t="n">
        <v>448</v>
      </c>
      <c r="I357" t="inlineStr"/>
      <c r="J357" t="inlineStr">
        <is>
          <t>52428 Nordrhein-Westfalen - Jülich</t>
        </is>
      </c>
      <c r="K357" s="5" t="n">
        <v>45559</v>
      </c>
      <c r="L357" t="inlineStr"/>
      <c r="M357" s="6">
        <f>HYPERLINK("https://www.kleinanzeigen.de/s-anzeige/loftsails-switchblade-7-3-neuwertig-windsurfsegel/2872866255-230-1718", "Link")</f>
        <v/>
      </c>
      <c r="N357" s="6">
        <f>HYPERLINK("C:\Projects\Kleinanzeigen-Scraper\offer_images\2872866255", "Link")</f>
        <v/>
      </c>
      <c r="O357" t="inlineStr">
        <is>
          <t>Strothmann</t>
        </is>
      </c>
      <c r="P357" s="6">
        <f>HYPERLINK("https://www.kleinanzeigen.de/s-bestandsliste.html?userId=18845773", "Link")</f>
        <v/>
      </c>
      <c r="Q357" s="7" t="n">
        <v>45559.87452546296</v>
      </c>
      <c r="R357" s="3" t="inlineStr">
        <is>
          <t>39.20</t>
        </is>
      </c>
      <c r="S357" t="inlineStr">
        <is>
          <t>Köln</t>
        </is>
      </c>
    </row>
    <row r="358">
      <c r="A358" s="2" t="n">
        <v>7.2</v>
      </c>
      <c r="B358" t="inlineStr">
        <is>
          <t>Gaastra Matrix</t>
        </is>
      </c>
      <c r="C358" s="3" t="inlineStr"/>
      <c r="D358" s="3" t="inlineStr"/>
      <c r="E358" t="inlineStr"/>
      <c r="F358" t="inlineStr"/>
      <c r="G358" t="inlineStr">
        <is>
          <t>used</t>
        </is>
      </c>
      <c r="H358" s="4" t="n">
        <v>329</v>
      </c>
      <c r="I358" t="inlineStr">
        <is>
          <t>VB</t>
        </is>
      </c>
      <c r="J358" t="inlineStr">
        <is>
          <t>68723 Baden-Württemberg - Oftersheim</t>
        </is>
      </c>
      <c r="K358" s="5" t="n">
        <v>45558</v>
      </c>
      <c r="L358" t="inlineStr"/>
      <c r="M358" s="6">
        <f>HYPERLINK("https://www.kleinanzeigen.de/s-anzeige/segel-gaastra-matrix-7-2/2872213935-230-16913", "Link")</f>
        <v/>
      </c>
      <c r="N358" s="6">
        <f>HYPERLINK("C:\Projects\Kleinanzeigen-Scraper\offer_images\2872213935", "Link")</f>
        <v/>
      </c>
      <c r="O358" t="inlineStr">
        <is>
          <t>Roland</t>
        </is>
      </c>
      <c r="P358" s="6">
        <f>HYPERLINK("https://www.kleinanzeigen.de/s-bestandsliste.html?userId=21324446", "Link")</f>
        <v/>
      </c>
      <c r="Q358" s="7" t="n">
        <v>45559.87440972222</v>
      </c>
      <c r="R358" s="3" t="inlineStr">
        <is>
          <t>44.08</t>
        </is>
      </c>
      <c r="S358" t="inlineStr">
        <is>
          <t>Karlsruhe</t>
        </is>
      </c>
    </row>
    <row r="359">
      <c r="A359" s="2" t="n">
        <v>6.9</v>
      </c>
      <c r="B359" t="inlineStr">
        <is>
          <t>Gun Sails Bow</t>
        </is>
      </c>
      <c r="C359" s="3" t="inlineStr"/>
      <c r="D359" s="3" t="inlineStr"/>
      <c r="E359" t="inlineStr">
        <is>
          <t>Slalom Foil</t>
        </is>
      </c>
      <c r="F359" t="inlineStr">
        <is>
          <t>2021</t>
        </is>
      </c>
      <c r="G359" t="inlineStr"/>
      <c r="H359" s="4" t="n">
        <v>1</v>
      </c>
      <c r="I359" t="inlineStr">
        <is>
          <t>VB</t>
        </is>
      </c>
      <c r="J359" t="inlineStr">
        <is>
          <t>13347 Mitte - Wedding</t>
        </is>
      </c>
      <c r="K359" s="5" t="n">
        <v>45557</v>
      </c>
      <c r="L359" t="inlineStr">
        <is>
          <t>Sold</t>
        </is>
      </c>
      <c r="M359" s="6">
        <f>HYPERLINK("https://www.kleinanzeigen.de/s-anzeige/windsurf-foil-gun-sails-bow/2870762148-230-3508", "Link")</f>
        <v/>
      </c>
      <c r="N359" s="6">
        <f>HYPERLINK("C:\Projects\Kleinanzeigen-Scraper\offer_images\2870762148", "Link")</f>
        <v/>
      </c>
      <c r="O359" t="inlineStr">
        <is>
          <t>Privat</t>
        </is>
      </c>
      <c r="P359" s="6">
        <f>HYPERLINK("https://www.kleinanzeigen.de/s-bestandsliste.html?userId=14672016", "Link")</f>
        <v/>
      </c>
      <c r="Q359" s="7" t="n">
        <v>45559.87440972222</v>
      </c>
      <c r="R359" s="3" t="inlineStr">
        <is>
          <t>476.11</t>
        </is>
      </c>
      <c r="S359" t="inlineStr">
        <is>
          <t>Köln</t>
        </is>
      </c>
    </row>
    <row r="360">
      <c r="A360" s="2" t="n">
        <v>7.1</v>
      </c>
      <c r="B360" t="inlineStr">
        <is>
          <t>Point 7 AC-K Pro</t>
        </is>
      </c>
      <c r="C360" s="3" t="n">
        <v>430</v>
      </c>
      <c r="D360" s="3" t="inlineStr"/>
      <c r="E360" t="inlineStr"/>
      <c r="F360" t="inlineStr">
        <is>
          <t>2021</t>
        </is>
      </c>
      <c r="G360" t="inlineStr">
        <is>
          <t>used</t>
        </is>
      </c>
      <c r="H360" s="4" t="n">
        <v>280</v>
      </c>
      <c r="I360" t="inlineStr"/>
      <c r="J360" t="inlineStr">
        <is>
          <t>47506 Nordrhein-Westfalen - Neukirchen-Vluyn</t>
        </is>
      </c>
      <c r="K360" s="5" t="n">
        <v>45559</v>
      </c>
      <c r="L360" t="inlineStr">
        <is>
          <t>Sold</t>
        </is>
      </c>
      <c r="M360" s="6">
        <f>HYPERLINK("https://www.kleinanzeigen.de/s-anzeige/point-7-ac-k-pro-7-1-2021/2872848648-230-1128", "Link")</f>
        <v/>
      </c>
      <c r="N360" s="6">
        <f>HYPERLINK("C:\Projects\Kleinanzeigen-Scraper\offer_images\2872848648", "Link")</f>
        <v/>
      </c>
      <c r="O360" t="inlineStr">
        <is>
          <t>Stephan Köser</t>
        </is>
      </c>
      <c r="P360" s="6">
        <f>HYPERLINK("https://www.kleinanzeigen.de/s-bestandsliste.html?userId=85262305", "Link")</f>
        <v/>
      </c>
      <c r="Q360" s="7" t="n">
        <v>45559.87429398148</v>
      </c>
      <c r="R360" s="3" t="inlineStr">
        <is>
          <t>63.19</t>
        </is>
      </c>
      <c r="S360" t="inlineStr">
        <is>
          <t>Köln</t>
        </is>
      </c>
    </row>
    <row r="361">
      <c r="A361" s="2" t="n">
        <v>5.7</v>
      </c>
      <c r="B361" t="inlineStr">
        <is>
          <t>North ICE</t>
        </is>
      </c>
      <c r="C361" s="3" t="n">
        <v>442</v>
      </c>
      <c r="D361" s="3" t="inlineStr">
        <is>
          <t>176-179</t>
        </is>
      </c>
      <c r="E361" t="inlineStr">
        <is>
          <t>Wave</t>
        </is>
      </c>
      <c r="F361" t="inlineStr"/>
      <c r="G361" t="inlineStr">
        <is>
          <t>used</t>
        </is>
      </c>
      <c r="H361" s="4" t="n">
        <v>85</v>
      </c>
      <c r="I361" t="inlineStr">
        <is>
          <t>VB</t>
        </is>
      </c>
      <c r="J361" t="inlineStr">
        <is>
          <t>10119 Berlin - Mitte</t>
        </is>
      </c>
      <c r="K361" s="5" t="n">
        <v>45559</v>
      </c>
      <c r="L361" t="inlineStr">
        <is>
          <t>Sold</t>
        </is>
      </c>
      <c r="M361" s="6">
        <f>HYPERLINK("https://www.kleinanzeigen.de/s-anzeige/north-ice-5-7-windsurf-segel/2872516333-230-3519", "Link")</f>
        <v/>
      </c>
      <c r="N361" s="6">
        <f>HYPERLINK("C:\Projects\Kleinanzeigen-Scraper\offer_images\2872516333", "Link")</f>
        <v/>
      </c>
      <c r="O361" t="inlineStr">
        <is>
          <t>Philipp</t>
        </is>
      </c>
      <c r="P361" s="6">
        <f>HYPERLINK("https://www.kleinanzeigen.de/s-bestandsliste.html?userId=24592729", "Link")</f>
        <v/>
      </c>
      <c r="Q361" s="7" t="n">
        <v>45559.87417824074</v>
      </c>
      <c r="R361" s="3" t="inlineStr">
        <is>
          <t>478.06</t>
        </is>
      </c>
      <c r="S361" t="inlineStr">
        <is>
          <t>Köln</t>
        </is>
      </c>
    </row>
    <row r="362">
      <c r="A362" s="2" t="n">
        <v>4</v>
      </c>
      <c r="B362" t="inlineStr">
        <is>
          <t>Gun Sails</t>
        </is>
      </c>
      <c r="C362" s="3" t="n">
        <v>396</v>
      </c>
      <c r="D362" s="3" t="n">
        <v>145</v>
      </c>
      <c r="E362" t="inlineStr">
        <is>
          <t>Wave</t>
        </is>
      </c>
      <c r="F362" t="inlineStr"/>
      <c r="G362" t="inlineStr">
        <is>
          <t>used</t>
        </is>
      </c>
      <c r="H362" s="4" t="n">
        <v>20</v>
      </c>
      <c r="I362" t="inlineStr">
        <is>
          <t>VB</t>
        </is>
      </c>
      <c r="J362" t="inlineStr">
        <is>
          <t>25421 Kreis Pinneberg - Pinneberg</t>
        </is>
      </c>
      <c r="K362" s="5" t="n">
        <v>45557</v>
      </c>
      <c r="L362" t="inlineStr"/>
      <c r="M362" s="6">
        <f>HYPERLINK("https://www.kleinanzeigen.de/s-anzeige/gun-sails-4-0-wave-segel-surfsegel/2870685166-230-786", "Link")</f>
        <v/>
      </c>
      <c r="N362" s="6">
        <f>HYPERLINK("C:\Projects\Kleinanzeigen-Scraper\offer_images\2870685166", "Link")</f>
        <v/>
      </c>
      <c r="O362" t="inlineStr">
        <is>
          <t>Avé- Lallemant</t>
        </is>
      </c>
      <c r="P362" s="6">
        <f>HYPERLINK("https://www.kleinanzeigen.de/s-bestandsliste.html?userId=71416844", "Link")</f>
        <v/>
      </c>
      <c r="Q362" s="7" t="n">
        <v>45559.87395833333</v>
      </c>
      <c r="R362" s="3" t="inlineStr">
        <is>
          <t>345.15</t>
        </is>
      </c>
      <c r="S362" t="inlineStr">
        <is>
          <t>Köln</t>
        </is>
      </c>
    </row>
    <row r="363">
      <c r="A363" s="2" t="n">
        <v>4.1</v>
      </c>
      <c r="B363" t="inlineStr">
        <is>
          <t>Point 7 Swell</t>
        </is>
      </c>
      <c r="C363" s="3" t="inlineStr"/>
      <c r="D363" s="3" t="inlineStr"/>
      <c r="E363" t="inlineStr"/>
      <c r="F363" t="inlineStr"/>
      <c r="G363" t="inlineStr">
        <is>
          <t>used</t>
        </is>
      </c>
      <c r="H363" s="4" t="n">
        <v>125</v>
      </c>
      <c r="I363" t="inlineStr">
        <is>
          <t>VB</t>
        </is>
      </c>
      <c r="J363" t="inlineStr">
        <is>
          <t>25436 Kreis Pinneberg - Uetersen</t>
        </is>
      </c>
      <c r="K363" s="5" t="n">
        <v>45559</v>
      </c>
      <c r="L363" t="inlineStr">
        <is>
          <t>Sold</t>
        </is>
      </c>
      <c r="M363" s="6">
        <f>HYPERLINK("https://www.kleinanzeigen.de/s-anzeige/point-7-swell-surfsegel-4-1-qm/2872449260-230-622", "Link")</f>
        <v/>
      </c>
      <c r="N363" s="6">
        <f>HYPERLINK("C:\Projects\Kleinanzeigen-Scraper\offer_images\2872449260", "Link")</f>
        <v/>
      </c>
      <c r="O363" t="inlineStr">
        <is>
          <t>Werner Marckmann</t>
        </is>
      </c>
      <c r="P363" s="6">
        <f>HYPERLINK("https://www.kleinanzeigen.de/s-bestandsliste.html?userId=9276219", "Link")</f>
        <v/>
      </c>
      <c r="Q363" s="7" t="n">
        <v>45559.87292824074</v>
      </c>
      <c r="R363" s="3" t="inlineStr">
        <is>
          <t>356.69</t>
        </is>
      </c>
      <c r="S363" t="inlineStr">
        <is>
          <t>Köln</t>
        </is>
      </c>
    </row>
    <row r="364">
      <c r="A364" s="2" t="n">
        <v>5.2</v>
      </c>
      <c r="B364" t="inlineStr">
        <is>
          <t>Severne Freek</t>
        </is>
      </c>
      <c r="C364" s="3" t="inlineStr"/>
      <c r="D364" s="3" t="inlineStr"/>
      <c r="E364" t="inlineStr">
        <is>
          <t>Freestyle</t>
        </is>
      </c>
      <c r="F364" t="inlineStr">
        <is>
          <t>2022</t>
        </is>
      </c>
      <c r="G364" t="inlineStr">
        <is>
          <t>used</t>
        </is>
      </c>
      <c r="H364" s="4" t="n">
        <v>295</v>
      </c>
      <c r="I364" t="inlineStr"/>
      <c r="J364" t="inlineStr">
        <is>
          <t>69198 Baden-Württemberg - Schriesheim</t>
        </is>
      </c>
      <c r="K364" s="5" t="n">
        <v>45558</v>
      </c>
      <c r="L364" t="inlineStr">
        <is>
          <t>Sold</t>
        </is>
      </c>
      <c r="M364" s="6">
        <f>HYPERLINK("https://www.kleinanzeigen.de/s-anzeige/severne-freek-5-2-weiss-freestyle-segel-windsurfen-oder-foilsurf/2872169623-230-8270", "Link")</f>
        <v/>
      </c>
      <c r="N364" s="6">
        <f>HYPERLINK("C:\Projects\Kleinanzeigen-Scraper\offer_images\2872169623", "Link")</f>
        <v/>
      </c>
      <c r="O364" t="inlineStr">
        <is>
          <t>Sven</t>
        </is>
      </c>
      <c r="P364" s="6">
        <f>HYPERLINK("https://www.kleinanzeigen.de/s-bestandsliste.html?userId=15271620", "Link")</f>
        <v/>
      </c>
      <c r="Q364" s="7" t="n">
        <v>45559.87255787037</v>
      </c>
      <c r="R364" s="3" t="inlineStr">
        <is>
          <t>57.18</t>
        </is>
      </c>
      <c r="S364" t="inlineStr">
        <is>
          <t>Karlsruhe</t>
        </is>
      </c>
    </row>
    <row r="365">
      <c r="A365" s="2" t="n">
        <v>6.4</v>
      </c>
      <c r="B365" t="inlineStr">
        <is>
          <t>Neilpryde Excess</t>
        </is>
      </c>
      <c r="C365" s="3" t="inlineStr"/>
      <c r="D365" s="3" t="inlineStr"/>
      <c r="E365" t="inlineStr"/>
      <c r="F365" t="inlineStr"/>
      <c r="G365" t="inlineStr">
        <is>
          <t>used</t>
        </is>
      </c>
      <c r="H365" s="4" t="n">
        <v>60</v>
      </c>
      <c r="I365" t="inlineStr"/>
      <c r="J365" t="inlineStr">
        <is>
          <t>99096 Thüringen - Erfurt</t>
        </is>
      </c>
      <c r="K365" s="5" t="n">
        <v>45558</v>
      </c>
      <c r="L365" t="inlineStr"/>
      <c r="M365" s="6">
        <f>HYPERLINK("https://www.kleinanzeigen.de/s-anzeige/windsurfsegel-neilpryde-excess-6-4-m-/2872122792-230-3747", "Link")</f>
        <v/>
      </c>
      <c r="N365" s="6">
        <f>HYPERLINK("C:\Projects\Kleinanzeigen-Scraper\offer_images\2872122792", "Link")</f>
        <v/>
      </c>
      <c r="O365" t="inlineStr">
        <is>
          <t>Christian Lorenz</t>
        </is>
      </c>
      <c r="P365" s="6">
        <f>HYPERLINK("https://www.kleinanzeigen.de/s-bestandsliste.html?userId=23346935", "Link")</f>
        <v/>
      </c>
      <c r="Q365" s="7" t="n">
        <v>45559.87237268518</v>
      </c>
      <c r="R365" s="3" t="inlineStr">
        <is>
          <t>285.48</t>
        </is>
      </c>
      <c r="S365" t="inlineStr">
        <is>
          <t>Köln</t>
        </is>
      </c>
    </row>
    <row r="366">
      <c r="A366" s="2" t="n">
        <v>3</v>
      </c>
      <c r="B366" t="inlineStr">
        <is>
          <t>Gaastra Manic HD</t>
        </is>
      </c>
      <c r="C366" s="3" t="inlineStr"/>
      <c r="D366" s="3" t="inlineStr"/>
      <c r="E366" t="inlineStr"/>
      <c r="F366" t="inlineStr">
        <is>
          <t>2024</t>
        </is>
      </c>
      <c r="G366" t="inlineStr">
        <is>
          <t>new</t>
        </is>
      </c>
      <c r="H366" s="4" t="n">
        <v>399</v>
      </c>
      <c r="I366" t="inlineStr"/>
      <c r="J366" t="inlineStr">
        <is>
          <t>81679 München - Bogenhausen</t>
        </is>
      </c>
      <c r="K366" s="5" t="n">
        <v>45559</v>
      </c>
      <c r="L366" t="inlineStr"/>
      <c r="M366" s="6">
        <f>HYPERLINK("https://www.kleinanzeigen.de/s-anzeige/gaastra-manic-hd-3-0-2024-wie-neu/2872955071-230-6457", "Link")</f>
        <v/>
      </c>
      <c r="N366" s="6">
        <f>HYPERLINK("C:\Projects\Kleinanzeigen-Scraper\offer_images\2872955071", "Link")</f>
        <v/>
      </c>
      <c r="O366" t="inlineStr">
        <is>
          <t>Rolf Bletschacher</t>
        </is>
      </c>
      <c r="P366" s="6">
        <f>HYPERLINK("https://www.kleinanzeigen.de/s-bestandsliste.html?userId=119014462", "Link")</f>
        <v/>
      </c>
      <c r="Q366" s="7" t="n">
        <v>45559.87231481481</v>
      </c>
      <c r="R366" s="3" t="inlineStr">
        <is>
          <t>2.71</t>
        </is>
      </c>
      <c r="S366" t="inlineStr">
        <is>
          <t>München</t>
        </is>
      </c>
    </row>
    <row r="367">
      <c r="A367" s="2" t="n">
        <v>6.2</v>
      </c>
      <c r="B367" t="inlineStr">
        <is>
          <t>Maui Sails Global</t>
        </is>
      </c>
      <c r="C367" s="3" t="n">
        <v>430</v>
      </c>
      <c r="D367" s="3" t="inlineStr"/>
      <c r="E367" t="inlineStr"/>
      <c r="F367" t="inlineStr"/>
      <c r="G367" t="inlineStr">
        <is>
          <t>used</t>
        </is>
      </c>
      <c r="H367" s="4" t="n">
        <v>80</v>
      </c>
      <c r="I367" t="inlineStr"/>
      <c r="J367" t="inlineStr">
        <is>
          <t>24939 Flensburg</t>
        </is>
      </c>
      <c r="K367" s="5" t="n">
        <v>45558</v>
      </c>
      <c r="L367" t="inlineStr"/>
      <c r="M367" s="6">
        <f>HYPERLINK("https://www.dailydose.de/kleinanzeigen/detail.htm?ai=423062&amp;cf=kk&amp;pg=5&amp;ci=5", "Link")</f>
        <v/>
      </c>
      <c r="N367" s="6">
        <f>HYPERLINK("C:\Projects\Kleinanzeigen-Scraper\offer_images\423062", "Link")</f>
        <v/>
      </c>
      <c r="O367" t="inlineStr">
        <is>
          <t>emmy04schulze</t>
        </is>
      </c>
      <c r="P367" s="6">
        <f>HYPERLINK("https://www.dailydose.de/kleinanzeigen/user/26240", "Link")</f>
        <v/>
      </c>
      <c r="Q367" s="7" t="n">
        <v>45558.74717592593</v>
      </c>
      <c r="R367" s="3" t="inlineStr">
        <is>
          <t>460.36</t>
        </is>
      </c>
      <c r="S367" t="inlineStr">
        <is>
          <t>Köln</t>
        </is>
      </c>
    </row>
    <row r="368">
      <c r="A368" s="2" t="n">
        <v>8.300000000000001</v>
      </c>
      <c r="B368" t="inlineStr">
        <is>
          <t>Gaastra Plasma</t>
        </is>
      </c>
      <c r="C368" s="3" t="inlineStr"/>
      <c r="D368" s="3" t="inlineStr"/>
      <c r="E368" t="inlineStr"/>
      <c r="F368" t="inlineStr"/>
      <c r="G368" t="inlineStr">
        <is>
          <t>defective</t>
        </is>
      </c>
      <c r="H368" s="4" t="n">
        <v>35</v>
      </c>
      <c r="I368" t="inlineStr">
        <is>
          <t>VB</t>
        </is>
      </c>
      <c r="J368" t="inlineStr">
        <is>
          <t>92242 Bayern - Hirschau</t>
        </is>
      </c>
      <c r="K368" s="5" t="n">
        <v>45535</v>
      </c>
      <c r="L368" t="inlineStr"/>
      <c r="M368" s="6">
        <f>HYPERLINK("https://www.kleinanzeigen.de/s-anzeige/gaastra-plasma-8-3-surfsegel/2850647698-230-5791", "Link")</f>
        <v/>
      </c>
      <c r="N368" s="6">
        <f>HYPERLINK("C:\Projects\Kleinanzeigen-Scraper\offer_images\2850647698", "Link")</f>
        <v/>
      </c>
      <c r="O368" t="inlineStr">
        <is>
          <t>R.S.</t>
        </is>
      </c>
      <c r="P368" s="6">
        <f>HYPERLINK("https://www.kleinanzeigen.de/s-bestandsliste.html?userId=39729122", "Link")</f>
        <v/>
      </c>
      <c r="Q368" s="7" t="n">
        <v>45558.74457175926</v>
      </c>
      <c r="R368" s="3" t="inlineStr">
        <is>
          <t>160.07</t>
        </is>
      </c>
      <c r="S368" t="inlineStr">
        <is>
          <t>München</t>
        </is>
      </c>
    </row>
    <row r="369">
      <c r="A369" s="2" t="n">
        <v>7.9</v>
      </c>
      <c r="B369" t="inlineStr">
        <is>
          <t>Gunsails Rapid</t>
        </is>
      </c>
      <c r="C369" s="3" t="n">
        <v>460</v>
      </c>
      <c r="D369" s="3" t="n">
        <v>213</v>
      </c>
      <c r="E369" t="inlineStr"/>
      <c r="F369" t="inlineStr"/>
      <c r="G369" t="inlineStr">
        <is>
          <t>used</t>
        </is>
      </c>
      <c r="H369" s="4" t="n">
        <v>220</v>
      </c>
      <c r="I369" t="inlineStr">
        <is>
          <t>VB</t>
        </is>
      </c>
      <c r="J369" t="inlineStr">
        <is>
          <t>68794 Baden-Württemberg - Oberhausen-Rheinhausen</t>
        </is>
      </c>
      <c r="K369" s="5" t="n">
        <v>45558</v>
      </c>
      <c r="L369" t="inlineStr"/>
      <c r="M369" s="6">
        <f>HYPERLINK("https://www.kleinanzeigen.de/s-anzeige/gunsails-rapid-7-9-gun-sails-freeride-surfsegel/2871953126-230-8338", "Link")</f>
        <v/>
      </c>
      <c r="N369" s="6">
        <f>HYPERLINK("C:\Projects\Kleinanzeigen-Scraper\offer_images\2871953126", "Link")</f>
        <v/>
      </c>
      <c r="O369" t="inlineStr">
        <is>
          <t>Metzler</t>
        </is>
      </c>
      <c r="P369" s="6">
        <f>HYPERLINK("https://www.kleinanzeigen.de/s-bestandsliste.html?userId=73550942", "Link")</f>
        <v/>
      </c>
      <c r="Q369" s="7" t="n">
        <v>45558.74454861111</v>
      </c>
      <c r="R369" s="3" t="inlineStr">
        <is>
          <t>30.38</t>
        </is>
      </c>
      <c r="S369" t="inlineStr">
        <is>
          <t>Karlsruhe</t>
        </is>
      </c>
    </row>
    <row r="370">
      <c r="A370" s="2" t="n">
        <v>3.7</v>
      </c>
      <c r="B370" t="inlineStr">
        <is>
          <t>Gaastra Manic HD</t>
        </is>
      </c>
      <c r="C370" s="3" t="n">
        <v>4.92</v>
      </c>
      <c r="D370" s="3" t="n">
        <v>1.82</v>
      </c>
      <c r="E370" t="inlineStr"/>
      <c r="F370" t="inlineStr"/>
      <c r="G370" t="inlineStr">
        <is>
          <t>used</t>
        </is>
      </c>
      <c r="H370" s="4" t="n">
        <v>170</v>
      </c>
      <c r="I370" t="inlineStr"/>
      <c r="J370" t="inlineStr">
        <is>
          <t>81679 München - Bogenhausen</t>
        </is>
      </c>
      <c r="K370" s="5" t="n">
        <v>45550</v>
      </c>
      <c r="L370" t="inlineStr">
        <is>
          <t>Sold</t>
        </is>
      </c>
      <c r="M370" s="6">
        <f>HYPERLINK("https://www.kleinanzeigen.de/s-anzeige/gaastra-manic-hd-3-7/2863982230-230-6457", "Link")</f>
        <v/>
      </c>
      <c r="N370" s="6">
        <f>HYPERLINK("C:\Projects\Kleinanzeigen-Scraper\offer_images\2863982230", "Link")</f>
        <v/>
      </c>
      <c r="O370" t="inlineStr">
        <is>
          <t>Rolf Bletschacher</t>
        </is>
      </c>
      <c r="P370" s="6">
        <f>HYPERLINK("https://www.kleinanzeigen.de/s-bestandsliste.html?userId=119014462", "Link")</f>
        <v/>
      </c>
      <c r="Q370" s="7" t="n">
        <v>45558.74453703704</v>
      </c>
      <c r="R370" s="3" t="inlineStr">
        <is>
          <t>2.71</t>
        </is>
      </c>
      <c r="S370" t="inlineStr">
        <is>
          <t>München</t>
        </is>
      </c>
    </row>
    <row r="371">
      <c r="A371" s="2" t="n">
        <v>7.7</v>
      </c>
      <c r="B371" t="inlineStr">
        <is>
          <t>Gaastra</t>
        </is>
      </c>
      <c r="C371" s="3" t="inlineStr"/>
      <c r="D371" s="3" t="inlineStr"/>
      <c r="E371" t="inlineStr">
        <is>
          <t>Racing</t>
        </is>
      </c>
      <c r="F371" t="inlineStr"/>
      <c r="G371" t="inlineStr">
        <is>
          <t>used</t>
        </is>
      </c>
      <c r="H371" s="4" t="n">
        <v>75</v>
      </c>
      <c r="I371" t="inlineStr"/>
      <c r="J371" t="inlineStr">
        <is>
          <t>42659 Nordrhein-Westfalen - Solingen</t>
        </is>
      </c>
      <c r="K371" s="5" t="n">
        <v>45411</v>
      </c>
      <c r="L371" t="inlineStr"/>
      <c r="M371" s="6">
        <f>HYPERLINK("https://www.kleinanzeigen.de/s-anzeige/windsurf-segel-gaastra-race-7-7-qm-von-jessica-crisp/2748715078-230-2120", "Link")</f>
        <v/>
      </c>
      <c r="N371" s="6">
        <f>HYPERLINK("C:\Projects\Kleinanzeigen-Scraper\offer_images\2748715078", "Link")</f>
        <v/>
      </c>
      <c r="O371" t="inlineStr">
        <is>
          <t>Irmscher</t>
        </is>
      </c>
      <c r="P371" s="6">
        <f>HYPERLINK("https://www.kleinanzeigen.de/s-bestandsliste.html?userId=20184928", "Link")</f>
        <v/>
      </c>
      <c r="Q371" s="7" t="n">
        <v>45558.74449074074</v>
      </c>
      <c r="R371" s="3" t="inlineStr">
        <is>
          <t>25.89</t>
        </is>
      </c>
      <c r="S371" t="inlineStr">
        <is>
          <t>Köln</t>
        </is>
      </c>
    </row>
    <row r="372">
      <c r="A372" s="2" t="n">
        <v>5</v>
      </c>
      <c r="B372" t="inlineStr">
        <is>
          <t>Severne Gator</t>
        </is>
      </c>
      <c r="C372" s="3" t="n">
        <v>400</v>
      </c>
      <c r="D372" s="3" t="n">
        <v>162</v>
      </c>
      <c r="E372" t="inlineStr"/>
      <c r="F372" t="inlineStr"/>
      <c r="G372" t="inlineStr">
        <is>
          <t>used</t>
        </is>
      </c>
      <c r="H372" s="4" t="n">
        <v>375</v>
      </c>
      <c r="I372" t="inlineStr">
        <is>
          <t>VB</t>
        </is>
      </c>
      <c r="J372" t="inlineStr">
        <is>
          <t>24116 Kiel - Schreventeich-Hasseldieksdamm</t>
        </is>
      </c>
      <c r="K372" s="5" t="n">
        <v>45558</v>
      </c>
      <c r="L372" t="inlineStr"/>
      <c r="M372" s="6">
        <f>HYPERLINK("https://www.kleinanzeigen.de/s-anzeige/severne-gator-windsurf-segel-5-0-eine-saison-gesurft-/2871727160-230-703", "Link")</f>
        <v/>
      </c>
      <c r="N372" s="6">
        <f>HYPERLINK("C:\Projects\Kleinanzeigen-Scraper\offer_images\2871727160", "Link")</f>
        <v/>
      </c>
      <c r="O372" t="inlineStr">
        <is>
          <t>Max</t>
        </is>
      </c>
      <c r="P372" s="6">
        <f>HYPERLINK("https://www.kleinanzeigen.de/s-bestandsliste.html?userId=16766553", "Link")</f>
        <v/>
      </c>
      <c r="Q372" s="7" t="n">
        <v>45558.74435185185</v>
      </c>
      <c r="R372" s="3" t="inlineStr">
        <is>
          <t>432.62</t>
        </is>
      </c>
      <c r="S372" t="inlineStr">
        <is>
          <t>Köln</t>
        </is>
      </c>
    </row>
    <row r="373">
      <c r="A373" s="2" t="n">
        <v>5</v>
      </c>
      <c r="B373" t="inlineStr">
        <is>
          <t>Gaastra</t>
        </is>
      </c>
      <c r="C373" s="3" t="inlineStr"/>
      <c r="D373" s="3" t="inlineStr"/>
      <c r="E373" t="inlineStr"/>
      <c r="F373" t="inlineStr"/>
      <c r="G373" t="inlineStr"/>
      <c r="H373" s="4" t="n">
        <v>80</v>
      </c>
      <c r="I373" t="inlineStr"/>
      <c r="J373" t="inlineStr">
        <is>
          <t>86899 Bayern - Landsberg (Lech)</t>
        </is>
      </c>
      <c r="K373" s="5" t="n">
        <v>45189</v>
      </c>
      <c r="L373" t="inlineStr"/>
      <c r="M373" s="6">
        <f>HYPERLINK("https://www.kleinanzeigen.de/s-anzeige/windsurf-segel-5qm-gaastra/2550583140-230-7091", "Link")</f>
        <v/>
      </c>
      <c r="N373" s="6">
        <f>HYPERLINK("C:\Projects\Kleinanzeigen-Scraper\offer_images\2550583140", "Link")</f>
        <v/>
      </c>
      <c r="O373" t="inlineStr">
        <is>
          <t>Martin Ullrich</t>
        </is>
      </c>
      <c r="P373" s="6">
        <f>HYPERLINK("https://www.kleinanzeigen.de/s-bestandsliste.html?userId=42339830", "Link")</f>
        <v/>
      </c>
      <c r="Q373" s="7" t="n">
        <v>45558.7443287037</v>
      </c>
      <c r="R373" s="3" t="inlineStr">
        <is>
          <t>55.05</t>
        </is>
      </c>
      <c r="S373" t="inlineStr">
        <is>
          <t>München</t>
        </is>
      </c>
    </row>
    <row r="374">
      <c r="A374" s="2" t="n">
        <v>7</v>
      </c>
      <c r="B374" t="inlineStr">
        <is>
          <t>Gaastra GTX</t>
        </is>
      </c>
      <c r="C374" s="3" t="n">
        <v>460</v>
      </c>
      <c r="D374" s="3" t="n">
        <v>208</v>
      </c>
      <c r="E374" t="inlineStr">
        <is>
          <t>Freeride, Freerace, Foil</t>
        </is>
      </c>
      <c r="F374" t="inlineStr"/>
      <c r="G374" t="inlineStr">
        <is>
          <t>used</t>
        </is>
      </c>
      <c r="H374" s="4" t="n">
        <v>105</v>
      </c>
      <c r="I374" t="inlineStr"/>
      <c r="J374" t="inlineStr">
        <is>
          <t>82229 Bayern - Seefeld</t>
        </is>
      </c>
      <c r="K374" s="5" t="n">
        <v>45319</v>
      </c>
      <c r="L374" t="inlineStr"/>
      <c r="M374" s="6">
        <f>HYPERLINK("https://www.kleinanzeigen.de/s-anzeige/gaastra-gtx-7-0-segel-freeride-freerace-foil-segel/2664953797-230-5519", "Link")</f>
        <v/>
      </c>
      <c r="N374" s="6">
        <f>HYPERLINK("C:\Projects\Kleinanzeigen-Scraper\offer_images\2664953797", "Link")</f>
        <v/>
      </c>
      <c r="O374" t="inlineStr">
        <is>
          <t>Markus Meiler</t>
        </is>
      </c>
      <c r="P374" s="6">
        <f>HYPERLINK("https://www.kleinanzeigen.de/s-bestandsliste.html?userId=19021273", "Link")</f>
        <v/>
      </c>
      <c r="Q374" s="7" t="n">
        <v>45558.74418981482</v>
      </c>
      <c r="R374" s="3" t="inlineStr">
        <is>
          <t>27.49</t>
        </is>
      </c>
      <c r="S374" t="inlineStr">
        <is>
          <t>München</t>
        </is>
      </c>
    </row>
    <row r="375">
      <c r="A375" s="2" t="n">
        <v>8</v>
      </c>
      <c r="B375" t="inlineStr">
        <is>
          <t>Gaastra Vapor</t>
        </is>
      </c>
      <c r="C375" s="3" t="inlineStr"/>
      <c r="D375" s="3" t="inlineStr"/>
      <c r="E375" t="inlineStr"/>
      <c r="F375" t="inlineStr"/>
      <c r="G375" t="inlineStr">
        <is>
          <t>new</t>
        </is>
      </c>
      <c r="H375" s="4" t="n">
        <v>290</v>
      </c>
      <c r="I375" t="inlineStr">
        <is>
          <t>VB</t>
        </is>
      </c>
      <c r="J375" t="inlineStr">
        <is>
          <t>30855 Niedersachsen - Langenhagen</t>
        </is>
      </c>
      <c r="K375" s="5" t="n">
        <v>45533</v>
      </c>
      <c r="L375" t="inlineStr"/>
      <c r="M375" s="6">
        <f>HYPERLINK("https://www.kleinanzeigen.de/s-anzeige/surfsegel-gaastra-vapor-8-0-top-zustand/2849260163-230-3043", "Link")</f>
        <v/>
      </c>
      <c r="N375" s="6">
        <f>HYPERLINK("C:\Projects\Kleinanzeigen-Scraper\offer_images\2849260163", "Link")</f>
        <v/>
      </c>
      <c r="O375" t="inlineStr">
        <is>
          <t>Hagen Wieck</t>
        </is>
      </c>
      <c r="P375" s="6">
        <f>HYPERLINK("https://www.kleinanzeigen.de/s-bestandsliste.html?userId=4634457", "Link")</f>
        <v/>
      </c>
      <c r="Q375" s="7" t="n">
        <v>45558.74416666666</v>
      </c>
      <c r="R375" s="3" t="inlineStr">
        <is>
          <t>255.34</t>
        </is>
      </c>
      <c r="S375" t="inlineStr">
        <is>
          <t>Köln</t>
        </is>
      </c>
    </row>
    <row r="376">
      <c r="A376" s="2" t="n">
        <v>6.5</v>
      </c>
      <c r="B376" t="inlineStr">
        <is>
          <t>Gaastra Pilot</t>
        </is>
      </c>
      <c r="C376" s="3" t="inlineStr"/>
      <c r="D376" s="3" t="inlineStr"/>
      <c r="E376" t="inlineStr">
        <is>
          <t>Freerace</t>
        </is>
      </c>
      <c r="F376" t="inlineStr"/>
      <c r="G376" t="inlineStr">
        <is>
          <t>used</t>
        </is>
      </c>
      <c r="H376" s="4" t="n">
        <v>250</v>
      </c>
      <c r="I376" t="inlineStr">
        <is>
          <t>VB</t>
        </is>
      </c>
      <c r="J376" t="inlineStr">
        <is>
          <t>71088 Baden-Württemberg - Holzgerlingen</t>
        </is>
      </c>
      <c r="K376" s="5" t="n">
        <v>45534</v>
      </c>
      <c r="L376" t="inlineStr"/>
      <c r="M376" s="6">
        <f>HYPERLINK("https://www.kleinanzeigen.de/s-anzeige/gaastra-pilot-6-5-windsurfsegel/2849857664-230-8786", "Link")</f>
        <v/>
      </c>
      <c r="N376" s="6">
        <f>HYPERLINK("C:\Projects\Kleinanzeigen-Scraper\offer_images\2849857664", "Link")</f>
        <v/>
      </c>
      <c r="O376" t="inlineStr">
        <is>
          <t>Wolff</t>
        </is>
      </c>
      <c r="P376" s="6">
        <f>HYPERLINK("https://www.kleinanzeigen.de/s-bestandsliste.html?userId=37784847", "Link")</f>
        <v/>
      </c>
      <c r="Q376" s="7" t="n">
        <v>45558.74410879629</v>
      </c>
      <c r="R376" s="3" t="inlineStr">
        <is>
          <t>4.76</t>
        </is>
      </c>
      <c r="S376" t="inlineStr">
        <is>
          <t>Böblingen</t>
        </is>
      </c>
    </row>
    <row r="377">
      <c r="A377" s="2" t="n">
        <v>3.9</v>
      </c>
      <c r="B377" t="inlineStr">
        <is>
          <t>GAASTRA</t>
        </is>
      </c>
      <c r="C377" s="3" t="n">
        <v>450</v>
      </c>
      <c r="D377" s="3" t="n">
        <v>149</v>
      </c>
      <c r="E377" t="inlineStr"/>
      <c r="F377" t="inlineStr"/>
      <c r="G377" t="inlineStr">
        <is>
          <t>new</t>
        </is>
      </c>
      <c r="H377" s="4" t="n">
        <v>49</v>
      </c>
      <c r="I377" t="inlineStr"/>
      <c r="J377" t="inlineStr">
        <is>
          <t>12526 Berlin - Treptow</t>
        </is>
      </c>
      <c r="K377" s="5" t="n">
        <v>45541</v>
      </c>
      <c r="L377" t="inlineStr"/>
      <c r="M377" s="6">
        <f>HYPERLINK("https://www.kleinanzeigen.de/s-anzeige/surfsegel-gaastra-3-9/2855823332-230-3369", "Link")</f>
        <v/>
      </c>
      <c r="N377" s="6">
        <f>HYPERLINK("C:\Projects\Kleinanzeigen-Scraper\offer_images\2855823332", "Link")</f>
        <v/>
      </c>
      <c r="O377" t="inlineStr">
        <is>
          <t>MG</t>
        </is>
      </c>
      <c r="P377" s="6">
        <f>HYPERLINK("https://www.kleinanzeigen.de/s-bestandsliste.html?userId=3097769", "Link")</f>
        <v/>
      </c>
      <c r="Q377" s="7" t="n">
        <v>45558.74410879629</v>
      </c>
      <c r="R377" s="3" t="inlineStr">
        <is>
          <t>484.42</t>
        </is>
      </c>
      <c r="S377" t="inlineStr">
        <is>
          <t>Köln</t>
        </is>
      </c>
    </row>
    <row r="378">
      <c r="A378" s="2" t="n">
        <v>5.2</v>
      </c>
      <c r="B378" t="inlineStr">
        <is>
          <t>GA Sails IQ HD</t>
        </is>
      </c>
      <c r="C378" s="3" t="n">
        <v>400</v>
      </c>
      <c r="D378" s="3" t="inlineStr"/>
      <c r="E378" t="inlineStr"/>
      <c r="F378" t="inlineStr">
        <is>
          <t>2022</t>
        </is>
      </c>
      <c r="G378" t="inlineStr">
        <is>
          <t>used</t>
        </is>
      </c>
      <c r="H378" s="4" t="n">
        <v>395</v>
      </c>
      <c r="I378" t="inlineStr"/>
      <c r="J378" t="inlineStr">
        <is>
          <t>26465 Niedersachsen - Langeoog</t>
        </is>
      </c>
      <c r="K378" s="5" t="n">
        <v>45331</v>
      </c>
      <c r="L378" t="inlineStr"/>
      <c r="M378" s="6">
        <f>HYPERLINK("https://www.kleinanzeigen.de/s-anzeige/ga-sails-iq-hd-5-2-wave-segel-2022-gaastra-windsurfen/2675334771-230-2480", "Link")</f>
        <v/>
      </c>
      <c r="N378" s="6">
        <f>HYPERLINK("C:\Projects\Kleinanzeigen-Scraper\offer_images\2675334771", "Link")</f>
        <v/>
      </c>
      <c r="O378" t="inlineStr">
        <is>
          <t>Tidens Surfhuus</t>
        </is>
      </c>
      <c r="P378" s="6">
        <f>HYPERLINK("https://www.kleinanzeigen.de/s-bestandsliste.html?userId=122521264", "Link")</f>
        <v/>
      </c>
      <c r="Q378" s="7" t="n">
        <v>45558.74410879629</v>
      </c>
      <c r="R378" s="3" t="inlineStr">
        <is>
          <t>314.45</t>
        </is>
      </c>
      <c r="S378" t="inlineStr">
        <is>
          <t>Köln</t>
        </is>
      </c>
    </row>
    <row r="379">
      <c r="A379" s="2" t="n">
        <v>7.2</v>
      </c>
      <c r="B379" t="inlineStr">
        <is>
          <t>Gaastra Vapor</t>
        </is>
      </c>
      <c r="C379" s="3" t="n">
        <v>460</v>
      </c>
      <c r="D379" s="3" t="n">
        <v>230</v>
      </c>
      <c r="E379" t="inlineStr"/>
      <c r="F379" t="inlineStr"/>
      <c r="G379" t="inlineStr">
        <is>
          <t>used</t>
        </is>
      </c>
      <c r="H379" s="4" t="n">
        <v>340</v>
      </c>
      <c r="I379" t="inlineStr">
        <is>
          <t>VB</t>
        </is>
      </c>
      <c r="J379" t="inlineStr">
        <is>
          <t>30855 Niedersachsen - Langenhagen</t>
        </is>
      </c>
      <c r="K379" s="5" t="n">
        <v>45533</v>
      </c>
      <c r="L379" t="inlineStr"/>
      <c r="M379" s="6">
        <f>HYPERLINK("https://www.kleinanzeigen.de/s-anzeige/surfsegel-gaastra-vapor-7-2-top-zustand/2849263687-230-3043", "Link")</f>
        <v/>
      </c>
      <c r="N379" s="6">
        <f>HYPERLINK("C:\Projects\Kleinanzeigen-Scraper\offer_images\2849263687", "Link")</f>
        <v/>
      </c>
      <c r="O379" t="inlineStr">
        <is>
          <t>Hagen Wieck</t>
        </is>
      </c>
      <c r="P379" s="6">
        <f>HYPERLINK("https://www.kleinanzeigen.de/s-bestandsliste.html?userId=4634457", "Link")</f>
        <v/>
      </c>
      <c r="Q379" s="7" t="n">
        <v>45558.74403935186</v>
      </c>
      <c r="R379" s="3" t="inlineStr">
        <is>
          <t>255.34</t>
        </is>
      </c>
      <c r="S379" t="inlineStr">
        <is>
          <t>Köln</t>
        </is>
      </c>
    </row>
    <row r="380">
      <c r="A380" s="2" t="n">
        <v>7</v>
      </c>
      <c r="B380" t="inlineStr">
        <is>
          <t>Gaastra GTX</t>
        </is>
      </c>
      <c r="C380" s="3" t="n">
        <v>460</v>
      </c>
      <c r="D380" s="3" t="n">
        <v>210</v>
      </c>
      <c r="E380" t="inlineStr">
        <is>
          <t>Racing</t>
        </is>
      </c>
      <c r="F380" t="inlineStr">
        <is>
          <t>2007</t>
        </is>
      </c>
      <c r="G380" t="inlineStr">
        <is>
          <t>used</t>
        </is>
      </c>
      <c r="H380" s="4" t="n">
        <v>80</v>
      </c>
      <c r="I380" t="inlineStr"/>
      <c r="J380" t="inlineStr">
        <is>
          <t>90542 Bayern - Eckental</t>
        </is>
      </c>
      <c r="K380" s="5" t="n">
        <v>45543</v>
      </c>
      <c r="L380" t="inlineStr"/>
      <c r="M380" s="6">
        <f>HYPERLINK("https://www.kleinanzeigen.de/s-anzeige/ga-sails-gaastra-gtx-race-7-0-qm/2857999571-230-6374", "Link")</f>
        <v/>
      </c>
      <c r="N380" s="6">
        <f>HYPERLINK("C:\Projects\Kleinanzeigen-Scraper\offer_images\2857999571", "Link")</f>
        <v/>
      </c>
      <c r="O380" t="inlineStr">
        <is>
          <t>Jost</t>
        </is>
      </c>
      <c r="P380" s="6">
        <f>HYPERLINK("https://www.kleinanzeigen.de/s-bestandsliste.html?userId=24730080", "Link")</f>
        <v/>
      </c>
      <c r="Q380" s="7" t="n">
        <v>45558.74390046296</v>
      </c>
      <c r="R380" s="3" t="inlineStr">
        <is>
          <t>162.95</t>
        </is>
      </c>
      <c r="S380" t="inlineStr">
        <is>
          <t>München</t>
        </is>
      </c>
    </row>
    <row r="381">
      <c r="A381" s="2" t="n">
        <v>3.5</v>
      </c>
      <c r="B381" t="inlineStr">
        <is>
          <t>Gaastra MW Four</t>
        </is>
      </c>
      <c r="C381" s="3" t="n">
        <v>430</v>
      </c>
      <c r="D381" s="3" t="n">
        <v>149</v>
      </c>
      <c r="E381" t="inlineStr"/>
      <c r="F381" t="inlineStr"/>
      <c r="G381" t="inlineStr">
        <is>
          <t>used</t>
        </is>
      </c>
      <c r="H381" s="4" t="inlineStr">
        <is>
          <t>Zu verschenken</t>
        </is>
      </c>
      <c r="I381" t="inlineStr"/>
      <c r="J381" t="inlineStr">
        <is>
          <t>95326 Bayern - Kulmbach</t>
        </is>
      </c>
      <c r="K381" s="5" t="n">
        <v>45526</v>
      </c>
      <c r="L381" t="inlineStr"/>
      <c r="M381" s="6">
        <f>HYPERLINK("https://www.kleinanzeigen.de/s-anzeige/gaastra-mw-four-3-5-qm-surfsegel/2843623142-230-7551", "Link")</f>
        <v/>
      </c>
      <c r="N381" s="6">
        <f>HYPERLINK("C:\Projects\Kleinanzeigen-Scraper\offer_images\2843623142", "Link")</f>
        <v/>
      </c>
      <c r="O381" t="inlineStr">
        <is>
          <t>Andreas Schmitt</t>
        </is>
      </c>
      <c r="P381" s="6">
        <f>HYPERLINK("https://www.kleinanzeigen.de/s-bestandsliste.html?userId=2729485", "Link")</f>
        <v/>
      </c>
      <c r="Q381" s="7" t="n">
        <v>45558.74387731482</v>
      </c>
      <c r="R381" s="3" t="inlineStr">
        <is>
          <t>221.49</t>
        </is>
      </c>
      <c r="S381" t="inlineStr">
        <is>
          <t>München</t>
        </is>
      </c>
    </row>
    <row r="382">
      <c r="A382" s="2" t="n">
        <v>6</v>
      </c>
      <c r="B382" t="inlineStr">
        <is>
          <t>Gaastra Flow</t>
        </is>
      </c>
      <c r="C382" s="3" t="inlineStr"/>
      <c r="D382" s="3" t="inlineStr"/>
      <c r="E382" t="inlineStr"/>
      <c r="F382" t="inlineStr"/>
      <c r="G382" t="inlineStr">
        <is>
          <t>used</t>
        </is>
      </c>
      <c r="H382" s="4" t="n">
        <v>30</v>
      </c>
      <c r="I382" t="inlineStr"/>
      <c r="J382" t="inlineStr">
        <is>
          <t>76448 Baden-Württemberg - Durmersheim</t>
        </is>
      </c>
      <c r="K382" s="5" t="n">
        <v>45546</v>
      </c>
      <c r="L382" t="inlineStr"/>
      <c r="M382" s="6">
        <f>HYPERLINK("https://www.kleinanzeigen.de/s-anzeige/windsurfsegel-gaastra-flow-6-0-1-camber/2860272548-230-8165", "Link")</f>
        <v/>
      </c>
      <c r="N382" s="6">
        <f>HYPERLINK("C:\Projects\Kleinanzeigen-Scraper\offer_images\2860272548", "Link")</f>
        <v/>
      </c>
      <c r="O382" t="inlineStr">
        <is>
          <t>Thomas S.</t>
        </is>
      </c>
      <c r="P382" s="6">
        <f>HYPERLINK("https://www.kleinanzeigen.de/s-bestandsliste.html?userId=61821198", "Link")</f>
        <v/>
      </c>
      <c r="Q382" s="7" t="n">
        <v>45558.74383101852</v>
      </c>
      <c r="R382" s="3" t="inlineStr">
        <is>
          <t>10.55</t>
        </is>
      </c>
      <c r="S382" t="inlineStr">
        <is>
          <t>Karlsruhe</t>
        </is>
      </c>
    </row>
    <row r="383">
      <c r="A383" s="2" t="n">
        <v>7.5</v>
      </c>
      <c r="B383" t="inlineStr">
        <is>
          <t>Gaastra Cosmic</t>
        </is>
      </c>
      <c r="C383" s="3" t="n">
        <v>440</v>
      </c>
      <c r="D383" s="3" t="n">
        <v>203</v>
      </c>
      <c r="E383" t="inlineStr">
        <is>
          <t>Freeride</t>
        </is>
      </c>
      <c r="F383" t="inlineStr"/>
      <c r="G383" t="inlineStr">
        <is>
          <t>used</t>
        </is>
      </c>
      <c r="H383" s="4" t="n">
        <v>109</v>
      </c>
      <c r="I383" t="inlineStr"/>
      <c r="J383" t="inlineStr">
        <is>
          <t>72226 Baden-Württemberg - Simmersfeld</t>
        </is>
      </c>
      <c r="K383" s="5" t="n">
        <v>45463</v>
      </c>
      <c r="L383" t="inlineStr"/>
      <c r="M383" s="6">
        <f>HYPERLINK("https://www.kleinanzeigen.de/s-anzeige/surfsegel-gaastra-cosmic-7-5-qm-freeride/2793213407-230-8234", "Link")</f>
        <v/>
      </c>
      <c r="N383" s="6">
        <f>HYPERLINK("C:\Projects\Kleinanzeigen-Scraper\offer_images\2793213407", "Link")</f>
        <v/>
      </c>
      <c r="O383" t="inlineStr">
        <is>
          <t>L.Bauer</t>
        </is>
      </c>
      <c r="P383" s="6">
        <f>HYPERLINK("https://www.kleinanzeigen.de/s-bestandsliste.html?userId=35531853", "Link")</f>
        <v/>
      </c>
      <c r="Q383" s="7" t="n">
        <v>45558.74378472222</v>
      </c>
      <c r="R383" s="3" t="inlineStr">
        <is>
          <t>34.68</t>
        </is>
      </c>
      <c r="S383" t="inlineStr">
        <is>
          <t>Böblingen</t>
        </is>
      </c>
    </row>
    <row r="384">
      <c r="A384" s="2" t="n">
        <v>8</v>
      </c>
      <c r="B384" t="inlineStr">
        <is>
          <t>Gaastra Matrix</t>
        </is>
      </c>
      <c r="C384" s="3" t="n">
        <v>490</v>
      </c>
      <c r="D384" s="3" t="n">
        <v>224</v>
      </c>
      <c r="E384" t="inlineStr"/>
      <c r="F384" t="inlineStr">
        <is>
          <t>2009</t>
        </is>
      </c>
      <c r="G384" t="inlineStr">
        <is>
          <t>used</t>
        </is>
      </c>
      <c r="H384" s="4" t="n">
        <v>50</v>
      </c>
      <c r="I384" t="inlineStr"/>
      <c r="J384" t="inlineStr">
        <is>
          <t>31515 Niedersachsen - Wunstorf</t>
        </is>
      </c>
      <c r="K384" s="5" t="n">
        <v>45527</v>
      </c>
      <c r="L384" t="inlineStr"/>
      <c r="M384" s="6">
        <f>HYPERLINK("https://www.kleinanzeigen.de/s-anzeige/2009-gaastra-matrix-8-0m2/2844097072-230-2930", "Link")</f>
        <v/>
      </c>
      <c r="N384" s="6">
        <f>HYPERLINK("C:\Projects\Kleinanzeigen-Scraper\offer_images\2844097072", "Link")</f>
        <v/>
      </c>
      <c r="O384" t="inlineStr">
        <is>
          <t>Justin H.</t>
        </is>
      </c>
      <c r="P384" s="6">
        <f>HYPERLINK("https://www.kleinanzeigen.de/s-bestandsliste.html?userId=61877235", "Link")</f>
        <v/>
      </c>
      <c r="Q384" s="7" t="n">
        <v>45558.74378472222</v>
      </c>
      <c r="R384" s="3" t="inlineStr">
        <is>
          <t>236.47</t>
        </is>
      </c>
      <c r="S384" t="inlineStr">
        <is>
          <t>Köln</t>
        </is>
      </c>
    </row>
    <row r="385">
      <c r="A385" s="2" t="n">
        <v>5.5</v>
      </c>
      <c r="B385" t="inlineStr">
        <is>
          <t>Gaastra Charger</t>
        </is>
      </c>
      <c r="C385" s="3" t="inlineStr"/>
      <c r="D385" s="3" t="inlineStr"/>
      <c r="E385" t="inlineStr"/>
      <c r="F385" t="inlineStr"/>
      <c r="G385" t="inlineStr">
        <is>
          <t>used</t>
        </is>
      </c>
      <c r="H385" s="4" t="n">
        <v>50</v>
      </c>
      <c r="I385" t="inlineStr"/>
      <c r="J385" t="inlineStr">
        <is>
          <t>18375 Darß - Prerow</t>
        </is>
      </c>
      <c r="K385" s="5" t="n">
        <v>45557</v>
      </c>
      <c r="L385" t="inlineStr"/>
      <c r="M385" s="6">
        <f>HYPERLINK("https://www.kleinanzeigen.de/s-anzeige/gaastra-windsurfsegel-charger-5-5/2870906807-230-214", "Link")</f>
        <v/>
      </c>
      <c r="N385" s="6">
        <f>HYPERLINK("C:\Projects\Kleinanzeigen-Scraper\offer_images\2870906807", "Link")</f>
        <v/>
      </c>
      <c r="O385" t="inlineStr">
        <is>
          <t>Kathrin Borgwardt</t>
        </is>
      </c>
      <c r="P385" s="6">
        <f>HYPERLINK("https://www.kleinanzeigen.de/s-bestandsliste.html?userId=3319417", "Link")</f>
        <v/>
      </c>
      <c r="Q385" s="7" t="n">
        <v>45558.74376157407</v>
      </c>
      <c r="R385" s="3" t="inlineStr">
        <is>
          <t>538.88</t>
        </is>
      </c>
      <c r="S385" t="inlineStr">
        <is>
          <t>Köln</t>
        </is>
      </c>
    </row>
    <row r="386">
      <c r="A386" s="2" t="n">
        <v>5.4</v>
      </c>
      <c r="B386" t="inlineStr">
        <is>
          <t>Gaastra Poison</t>
        </is>
      </c>
      <c r="C386" s="3" t="inlineStr"/>
      <c r="D386" s="3" t="inlineStr"/>
      <c r="E386" t="inlineStr"/>
      <c r="F386" t="inlineStr"/>
      <c r="G386" t="inlineStr">
        <is>
          <t>defective</t>
        </is>
      </c>
      <c r="H386" s="4" t="inlineStr">
        <is>
          <t>Zu verschenken</t>
        </is>
      </c>
      <c r="I386" t="inlineStr"/>
      <c r="J386" t="inlineStr">
        <is>
          <t>51597 Nordrhein-Westfalen - Morsbach</t>
        </is>
      </c>
      <c r="K386" s="5" t="n">
        <v>45529</v>
      </c>
      <c r="L386" t="inlineStr"/>
      <c r="M386" s="6">
        <f>HYPERLINK("https://www.kleinanzeigen.de/s-anzeige/windsurfsegel-gaastra-poison-5-4-defekt-/2846029949-230-1536", "Link")</f>
        <v/>
      </c>
      <c r="N386" s="6">
        <f>HYPERLINK("C:\Projects\Kleinanzeigen-Scraper\offer_images\2846029949", "Link")</f>
        <v/>
      </c>
      <c r="O386" t="inlineStr">
        <is>
          <t>Herr Schuh</t>
        </is>
      </c>
      <c r="P386" s="6">
        <f>HYPERLINK("https://www.kleinanzeigen.de/s-bestandsliste.html?userId=26921719", "Link")</f>
        <v/>
      </c>
      <c r="Q386" s="7" t="n">
        <v>45558.74369212963</v>
      </c>
      <c r="R386" s="3" t="inlineStr">
        <is>
          <t>53.41</t>
        </is>
      </c>
      <c r="S386" t="inlineStr">
        <is>
          <t>Köln</t>
        </is>
      </c>
    </row>
    <row r="387">
      <c r="A387" s="2" t="n">
        <v>5.4</v>
      </c>
      <c r="B387" t="inlineStr">
        <is>
          <t>Gaastra Manic Hd</t>
        </is>
      </c>
      <c r="C387" s="3" t="inlineStr"/>
      <c r="D387" s="3" t="inlineStr"/>
      <c r="E387" t="inlineStr"/>
      <c r="F387" t="inlineStr">
        <is>
          <t>2022</t>
        </is>
      </c>
      <c r="G387" t="inlineStr">
        <is>
          <t>new</t>
        </is>
      </c>
      <c r="H387" s="4" t="n">
        <v>425</v>
      </c>
      <c r="I387" t="inlineStr"/>
      <c r="J387" t="inlineStr">
        <is>
          <t>50859 Köln - Lindenthal</t>
        </is>
      </c>
      <c r="K387" s="5" t="n">
        <v>45491</v>
      </c>
      <c r="L387" t="inlineStr"/>
      <c r="M387" s="6">
        <f>HYPERLINK("https://www.kleinanzeigen.de/s-anzeige/gaastra-manic-hd-2022-neu-5-4/2815561668-230-953", "Link")</f>
        <v/>
      </c>
      <c r="N387" s="6">
        <f>HYPERLINK("C:\Projects\Kleinanzeigen-Scraper\offer_images\2815561668", "Link")</f>
        <v/>
      </c>
      <c r="O387" t="inlineStr">
        <is>
          <t>Tim</t>
        </is>
      </c>
      <c r="P387" s="6">
        <f>HYPERLINK("https://www.kleinanzeigen.de/s-bestandsliste.html?userId=90174207", "Link")</f>
        <v/>
      </c>
      <c r="Q387" s="7" t="n">
        <v>45558.74361111111</v>
      </c>
      <c r="R387" s="3" t="inlineStr">
        <is>
          <t>8.43</t>
        </is>
      </c>
      <c r="S387" t="inlineStr">
        <is>
          <t>Köln</t>
        </is>
      </c>
    </row>
    <row r="388">
      <c r="A388" s="2" t="n">
        <v>8.5</v>
      </c>
      <c r="B388" t="inlineStr">
        <is>
          <t>Gaastra Phantom Air</t>
        </is>
      </c>
      <c r="C388" s="3" t="n">
        <v>490</v>
      </c>
      <c r="D388" s="3" t="n">
        <v>228</v>
      </c>
      <c r="E388" t="inlineStr">
        <is>
          <t>Slalom/Foil</t>
        </is>
      </c>
      <c r="F388" t="inlineStr"/>
      <c r="G388" t="inlineStr">
        <is>
          <t>used</t>
        </is>
      </c>
      <c r="H388" s="4" t="n">
        <v>290</v>
      </c>
      <c r="I388" t="inlineStr"/>
      <c r="J388" t="inlineStr">
        <is>
          <t>19069 Nordwestmecklenburg - Landkreis - Zickhusen</t>
        </is>
      </c>
      <c r="K388" s="5" t="n">
        <v>45510</v>
      </c>
      <c r="L388" t="inlineStr"/>
      <c r="M388" s="6">
        <f>HYPERLINK("https://www.kleinanzeigen.de/s-anzeige/windsurfsegel-gaastra-phantom-air-8-5m-/2830662455-230-277", "Link")</f>
        <v/>
      </c>
      <c r="N388" s="6">
        <f>HYPERLINK("C:\Projects\Kleinanzeigen-Scraper\offer_images\2830662455", "Link")</f>
        <v/>
      </c>
      <c r="O388" t="inlineStr">
        <is>
          <t>Rainer Becker</t>
        </is>
      </c>
      <c r="P388" s="6">
        <f>HYPERLINK("https://www.kleinanzeigen.de/s-bestandsliste.html?userId=32671274", "Link")</f>
        <v/>
      </c>
      <c r="Q388" s="7" t="n">
        <v>45558.74349537037</v>
      </c>
      <c r="R388" s="3" t="inlineStr">
        <is>
          <t>433.23</t>
        </is>
      </c>
      <c r="S388" t="inlineStr">
        <is>
          <t>Köln</t>
        </is>
      </c>
    </row>
    <row r="389">
      <c r="A389" s="2" t="n">
        <v>7.2</v>
      </c>
      <c r="B389" t="inlineStr">
        <is>
          <t>Gaastra Cosmic</t>
        </is>
      </c>
      <c r="C389" s="3" t="inlineStr"/>
      <c r="D389" s="3" t="inlineStr"/>
      <c r="E389" t="inlineStr"/>
      <c r="F389" t="inlineStr"/>
      <c r="G389" t="inlineStr">
        <is>
          <t>new</t>
        </is>
      </c>
      <c r="H389" s="4" t="n">
        <v>400</v>
      </c>
      <c r="I389" t="inlineStr">
        <is>
          <t>VB</t>
        </is>
      </c>
      <c r="J389" t="inlineStr">
        <is>
          <t>53819 Nordrhein-Westfalen - Neunkirchen-Seelscheid</t>
        </is>
      </c>
      <c r="K389" s="5" t="n">
        <v>45557</v>
      </c>
      <c r="L389" t="inlineStr"/>
      <c r="M389" s="6">
        <f>HYPERLINK("https://www.kleinanzeigen.de/s-anzeige/gaastra-segel/2871211852-230-1676", "Link")</f>
        <v/>
      </c>
      <c r="N389" s="6">
        <f>HYPERLINK("C:\Projects\Kleinanzeigen-Scraper\offer_images\2871211852", "Link")</f>
        <v/>
      </c>
      <c r="O389" t="inlineStr">
        <is>
          <t>Julia</t>
        </is>
      </c>
      <c r="P389" s="6">
        <f>HYPERLINK("https://www.kleinanzeigen.de/s-bestandsliste.html?userId=12201252", "Link")</f>
        <v/>
      </c>
      <c r="Q389" s="7" t="n">
        <v>45558.74347222222</v>
      </c>
      <c r="R389" s="3" t="inlineStr">
        <is>
          <t>28.08</t>
        </is>
      </c>
      <c r="S389" t="inlineStr">
        <is>
          <t>Köln</t>
        </is>
      </c>
    </row>
    <row r="390">
      <c r="A390" s="2" t="n">
        <v>5</v>
      </c>
      <c r="B390" t="inlineStr">
        <is>
          <t>Gaastra Grind</t>
        </is>
      </c>
      <c r="C390" s="3" t="inlineStr"/>
      <c r="D390" s="3" t="inlineStr"/>
      <c r="E390" t="inlineStr"/>
      <c r="F390" t="inlineStr"/>
      <c r="G390" t="inlineStr">
        <is>
          <t>used</t>
        </is>
      </c>
      <c r="H390" s="4" t="n">
        <v>100</v>
      </c>
      <c r="I390" t="inlineStr"/>
      <c r="J390" t="inlineStr">
        <is>
          <t>23562 Schleswig-Holstein - Lübeck</t>
        </is>
      </c>
      <c r="K390" s="5" t="n">
        <v>45466</v>
      </c>
      <c r="L390" t="inlineStr"/>
      <c r="M390" s="6">
        <f>HYPERLINK("https://www.kleinanzeigen.de/s-anzeige/surfsegel-gaastra-grind-5-0-top-zustand/2795505008-230-423", "Link")</f>
        <v/>
      </c>
      <c r="N390" s="6">
        <f>HYPERLINK("C:\Projects\Kleinanzeigen-Scraper\offer_images\2795505008", "Link")</f>
        <v/>
      </c>
      <c r="O390" t="inlineStr">
        <is>
          <t>Inga</t>
        </is>
      </c>
      <c r="P390" s="6">
        <f>HYPERLINK("https://www.kleinanzeigen.de/s-bestandsliste.html?userId=8108739", "Link")</f>
        <v/>
      </c>
      <c r="Q390" s="7" t="n">
        <v>45558.74344907407</v>
      </c>
      <c r="R390" s="3" t="inlineStr">
        <is>
          <t>410.15</t>
        </is>
      </c>
      <c r="S390" t="inlineStr">
        <is>
          <t>Köln</t>
        </is>
      </c>
    </row>
    <row r="391">
      <c r="A391" s="2" t="n">
        <v>4.4</v>
      </c>
      <c r="B391" t="inlineStr">
        <is>
          <t>Gaastra Power Lite</t>
        </is>
      </c>
      <c r="C391" s="3" t="inlineStr"/>
      <c r="D391" s="3" t="inlineStr"/>
      <c r="E391" t="inlineStr"/>
      <c r="F391" t="inlineStr"/>
      <c r="G391" t="inlineStr">
        <is>
          <t>damaged</t>
        </is>
      </c>
      <c r="H391" s="4" t="n">
        <v>50</v>
      </c>
      <c r="I391" t="inlineStr">
        <is>
          <t>VB</t>
        </is>
      </c>
      <c r="J391" t="inlineStr">
        <is>
          <t>47506 Nordrhein-Westfalen - Neukirchen-Vluyn</t>
        </is>
      </c>
      <c r="K391" s="5" t="n">
        <v>45382</v>
      </c>
      <c r="L391" t="inlineStr"/>
      <c r="M391" s="6">
        <f>HYPERLINK("https://www.kleinanzeigen.de/s-anzeige/gaastra-power-lite-4-4-surfsegel/2722041795-230-1128", "Link")</f>
        <v/>
      </c>
      <c r="N391" s="6">
        <f>HYPERLINK("C:\Projects\Kleinanzeigen-Scraper\offer_images\2722041795", "Link")</f>
        <v/>
      </c>
      <c r="O391" t="inlineStr">
        <is>
          <t>T.O</t>
        </is>
      </c>
      <c r="P391" s="6">
        <f>HYPERLINK("https://www.kleinanzeigen.de/s-bestandsliste.html?userId=81897774", "Link")</f>
        <v/>
      </c>
      <c r="Q391" s="7" t="n">
        <v>45558.74340277778</v>
      </c>
      <c r="R391" s="3" t="inlineStr">
        <is>
          <t>63.19</t>
        </is>
      </c>
      <c r="S391" t="inlineStr">
        <is>
          <t>Köln</t>
        </is>
      </c>
    </row>
    <row r="392">
      <c r="A392" s="2" t="n">
        <v>5</v>
      </c>
      <c r="B392" t="inlineStr">
        <is>
          <t>Gaastra Manic HD</t>
        </is>
      </c>
      <c r="C392" s="3" t="n">
        <v>400</v>
      </c>
      <c r="D392" s="3" t="n">
        <v>167</v>
      </c>
      <c r="E392" t="inlineStr">
        <is>
          <t>Wave</t>
        </is>
      </c>
      <c r="F392" t="inlineStr"/>
      <c r="G392" t="inlineStr">
        <is>
          <t>used</t>
        </is>
      </c>
      <c r="H392" s="4" t="n">
        <v>49</v>
      </c>
      <c r="I392" t="inlineStr"/>
      <c r="J392" t="inlineStr">
        <is>
          <t>52072 Aachen - Aachen-Laurensberg</t>
        </is>
      </c>
      <c r="K392" s="5" t="n">
        <v>45520</v>
      </c>
      <c r="L392" t="inlineStr"/>
      <c r="M392" s="6">
        <f>HYPERLINK("https://www.kleinanzeigen.de/s-anzeige/segel-windsurfsegel-gaastra-manic-hd/2838300671-230-24596", "Link")</f>
        <v/>
      </c>
      <c r="N392" s="6">
        <f>HYPERLINK("C:\Projects\Kleinanzeigen-Scraper\offer_images\2838300671", "Link")</f>
        <v/>
      </c>
      <c r="O392" t="inlineStr">
        <is>
          <t>R.D.</t>
        </is>
      </c>
      <c r="P392" s="6">
        <f>HYPERLINK("https://www.kleinanzeigen.de/s-bestandsliste.html?userId=4392866", "Link")</f>
        <v/>
      </c>
      <c r="Q392" s="7" t="n">
        <v>45558.74340277778</v>
      </c>
      <c r="R392" s="3" t="inlineStr">
        <is>
          <t>65.07</t>
        </is>
      </c>
      <c r="S392" t="inlineStr">
        <is>
          <t>Köln</t>
        </is>
      </c>
    </row>
    <row r="393">
      <c r="A393" s="2" t="n">
        <v>6</v>
      </c>
      <c r="B393" t="inlineStr">
        <is>
          <t>Gunsails, NeilPryde, Simmer</t>
        </is>
      </c>
      <c r="C393" s="3" t="inlineStr"/>
      <c r="D393" s="3" t="inlineStr"/>
      <c r="E393" t="inlineStr"/>
      <c r="F393" t="inlineStr"/>
      <c r="G393" t="inlineStr">
        <is>
          <t>new</t>
        </is>
      </c>
      <c r="H393" s="4" t="n">
        <v>1</v>
      </c>
      <c r="I393" t="inlineStr">
        <is>
          <t>VB</t>
        </is>
      </c>
      <c r="J393" t="inlineStr">
        <is>
          <t>49835 Wietmarschen - Lohne</t>
        </is>
      </c>
      <c r="K393" s="5" t="n">
        <v>45558</v>
      </c>
      <c r="L393" t="inlineStr">
        <is>
          <t>Sold</t>
        </is>
      </c>
      <c r="M393" s="6">
        <f>HYPERLINK("https://www.kleinanzeigen.de/s-anzeige/windsurfsegel-surfsegel-6-0-qm-gunsails-neilpryde-simmer/2871774217-230-24104", "Link")</f>
        <v/>
      </c>
      <c r="N393" s="6">
        <f>HYPERLINK("C:\Projects\Kleinanzeigen-Scraper\offer_images\2871774217", "Link")</f>
        <v/>
      </c>
      <c r="O393" t="inlineStr">
        <is>
          <t>Julian</t>
        </is>
      </c>
      <c r="P393" s="6">
        <f>HYPERLINK("https://www.kleinanzeigen.de/s-bestandsliste.html?userId=8252765", "Link")</f>
        <v/>
      </c>
      <c r="Q393" s="7" t="n">
        <v>45558.74337962963</v>
      </c>
      <c r="R393" s="3" t="inlineStr">
        <is>
          <t>175.03</t>
        </is>
      </c>
      <c r="S393" t="inlineStr">
        <is>
          <t>Köln</t>
        </is>
      </c>
    </row>
    <row r="394">
      <c r="A394" s="2" t="n">
        <v>6</v>
      </c>
      <c r="B394" t="inlineStr">
        <is>
          <t>Gaastra Charger</t>
        </is>
      </c>
      <c r="C394" s="3" t="n">
        <v>430</v>
      </c>
      <c r="D394" s="3" t="inlineStr"/>
      <c r="E394" t="inlineStr"/>
      <c r="F394" t="inlineStr"/>
      <c r="G394" t="inlineStr">
        <is>
          <t>used</t>
        </is>
      </c>
      <c r="H394" s="4" t="n">
        <v>40</v>
      </c>
      <c r="I394" t="inlineStr"/>
      <c r="J394" t="inlineStr">
        <is>
          <t>60389 Frankfurt am Main - Nordend</t>
        </is>
      </c>
      <c r="K394" s="5" t="n">
        <v>45445</v>
      </c>
      <c r="L394" t="inlineStr">
        <is>
          <t>Sold</t>
        </is>
      </c>
      <c r="M394" s="6">
        <f>HYPERLINK("https://www.kleinanzeigen.de/s-anzeige/vitange-surf-segel-gaastra-charger-6-0/2778594616-230-16302", "Link")</f>
        <v/>
      </c>
      <c r="N394" s="6">
        <f>HYPERLINK("C:\Projects\Kleinanzeigen-Scraper\offer_images\2778594616", "Link")</f>
        <v/>
      </c>
      <c r="O394" t="inlineStr">
        <is>
          <t>Txs</t>
        </is>
      </c>
      <c r="P394" s="6">
        <f>HYPERLINK("https://www.kleinanzeigen.de/s-bestandsliste.html?userId=16727658", "Link")</f>
        <v/>
      </c>
      <c r="Q394" s="7" t="n">
        <v>45558.74313657408</v>
      </c>
      <c r="R394" s="3" t="inlineStr">
        <is>
          <t>129.31</t>
        </is>
      </c>
      <c r="S394" t="inlineStr">
        <is>
          <t>Karlsruhe</t>
        </is>
      </c>
    </row>
    <row r="395">
      <c r="A395" s="2" t="inlineStr"/>
      <c r="B395" t="inlineStr">
        <is>
          <t>NeilPryde FLY II</t>
        </is>
      </c>
      <c r="C395" s="3" t="inlineStr"/>
      <c r="D395" s="3" t="inlineStr"/>
      <c r="E395" t="inlineStr"/>
      <c r="F395" t="inlineStr">
        <is>
          <t>2024</t>
        </is>
      </c>
      <c r="G395" t="inlineStr">
        <is>
          <t>new</t>
        </is>
      </c>
      <c r="H395" s="4" t="n">
        <v>586</v>
      </c>
      <c r="I395" t="inlineStr"/>
      <c r="J395" t="inlineStr">
        <is>
          <t>99089 Thüringen - Erfurt</t>
        </is>
      </c>
      <c r="K395" s="5" t="n">
        <v>45558</v>
      </c>
      <c r="L395" t="inlineStr"/>
      <c r="M395" s="6">
        <f>HYPERLINK("https://www.kleinanzeigen.de/s-anzeige/neilpryde-fly-ii-2024-neu-in-versch-farben-und-groessen/2871818975-230-3752", "Link")</f>
        <v/>
      </c>
      <c r="N395" s="6">
        <f>HYPERLINK("C:\Projects\Kleinanzeigen-Scraper\offer_images\2871818975", "Link")</f>
        <v/>
      </c>
      <c r="O395" t="inlineStr">
        <is>
          <t>Hotboards</t>
        </is>
      </c>
      <c r="P395" s="6">
        <f>HYPERLINK("https://www.kleinanzeigen.de/s-bestandsliste.html?userId=11417612", "Link")</f>
        <v/>
      </c>
      <c r="Q395" s="7" t="n">
        <v>45558.74302083333</v>
      </c>
      <c r="R395" s="3" t="inlineStr">
        <is>
          <t>284.33</t>
        </is>
      </c>
      <c r="S395" t="inlineStr">
        <is>
          <t>Köln</t>
        </is>
      </c>
    </row>
    <row r="396">
      <c r="A396" s="2" t="n">
        <v>5.2</v>
      </c>
      <c r="B396" t="inlineStr">
        <is>
          <t>Gaastra Cross</t>
        </is>
      </c>
      <c r="C396" s="3" t="inlineStr"/>
      <c r="D396" s="3" t="inlineStr"/>
      <c r="E396" t="inlineStr"/>
      <c r="F396" t="inlineStr">
        <is>
          <t>2021</t>
        </is>
      </c>
      <c r="G396" t="inlineStr">
        <is>
          <t>new</t>
        </is>
      </c>
      <c r="H396" s="4" t="n">
        <v>200</v>
      </c>
      <c r="I396" t="inlineStr">
        <is>
          <t>VB</t>
        </is>
      </c>
      <c r="J396" t="inlineStr">
        <is>
          <t>69121 Baden-Württemberg - Heidelberg</t>
        </is>
      </c>
      <c r="K396" s="5" t="n">
        <v>45518</v>
      </c>
      <c r="L396" t="inlineStr"/>
      <c r="M396" s="6">
        <f>HYPERLINK("https://www.kleinanzeigen.de/s-anzeige/gaastra-cross-5-2/2837088403-230-9180", "Link")</f>
        <v/>
      </c>
      <c r="N396" s="6">
        <f>HYPERLINK("C:\Projects\Kleinanzeigen-Scraper\offer_images\2837088403", "Link")</f>
        <v/>
      </c>
      <c r="O396" t="inlineStr">
        <is>
          <t>Waldecker</t>
        </is>
      </c>
      <c r="P396" s="6">
        <f>HYPERLINK("https://www.kleinanzeigen.de/s-bestandsliste.html?userId=20785144", "Link")</f>
        <v/>
      </c>
      <c r="Q396" s="7" t="n">
        <v>45558.74298611111</v>
      </c>
      <c r="R396" s="3" t="inlineStr">
        <is>
          <t>52.06</t>
        </is>
      </c>
      <c r="S396" t="inlineStr">
        <is>
          <t>Karlsruhe</t>
        </is>
      </c>
    </row>
    <row r="397">
      <c r="A397" s="2" t="n">
        <v>7.5</v>
      </c>
      <c r="B397" t="inlineStr">
        <is>
          <t>Gaastra MATRIX</t>
        </is>
      </c>
      <c r="C397" s="3" t="n">
        <v>483</v>
      </c>
      <c r="D397" s="3" t="n">
        <v>214</v>
      </c>
      <c r="E397" t="inlineStr">
        <is>
          <t>Freeride</t>
        </is>
      </c>
      <c r="F397" t="inlineStr"/>
      <c r="G397" t="inlineStr">
        <is>
          <t>used, very good condition</t>
        </is>
      </c>
      <c r="H397" s="4" t="n">
        <v>175</v>
      </c>
      <c r="I397" t="inlineStr">
        <is>
          <t>VB</t>
        </is>
      </c>
      <c r="J397" t="inlineStr">
        <is>
          <t>23769 Kreis Ostholstein - Fehmarn</t>
        </is>
      </c>
      <c r="K397" s="5" t="n">
        <v>45546</v>
      </c>
      <c r="L397" t="inlineStr">
        <is>
          <t>Sold</t>
        </is>
      </c>
      <c r="M397" s="6">
        <f>HYPERLINK("https://www.kleinanzeigen.de/s-anzeige/gaastra-matrix-7-5-top-freeridesegel-no-cam/2860523154-230-19951", "Link")</f>
        <v/>
      </c>
      <c r="N397" s="6">
        <f>HYPERLINK("C:\Projects\Kleinanzeigen-Scraper\offer_images\2860523154", "Link")</f>
        <v/>
      </c>
      <c r="O397" t="inlineStr">
        <is>
          <t>Patchworkvaddi</t>
        </is>
      </c>
      <c r="P397" s="6">
        <f>HYPERLINK("https://www.kleinanzeigen.de/s-bestandsliste.html?userId=16427049", "Link")</f>
        <v/>
      </c>
      <c r="Q397" s="7" t="n">
        <v>45558.74292824074</v>
      </c>
      <c r="R397" s="3" t="inlineStr">
        <is>
          <t>483.01</t>
        </is>
      </c>
      <c r="S397" t="inlineStr">
        <is>
          <t>Köln</t>
        </is>
      </c>
    </row>
    <row r="398">
      <c r="A398" s="2" t="n">
        <v>8.4</v>
      </c>
      <c r="B398" t="inlineStr">
        <is>
          <t>Gaastra Matrix</t>
        </is>
      </c>
      <c r="C398" s="3" t="n">
        <v>490</v>
      </c>
      <c r="D398" s="3" t="n">
        <v>223</v>
      </c>
      <c r="E398" t="inlineStr">
        <is>
          <t>Freeride</t>
        </is>
      </c>
      <c r="F398" t="inlineStr">
        <is>
          <t>2017</t>
        </is>
      </c>
      <c r="G398" t="inlineStr">
        <is>
          <t>used</t>
        </is>
      </c>
      <c r="H398" s="4" t="n">
        <v>330</v>
      </c>
      <c r="I398" t="inlineStr"/>
      <c r="J398" t="inlineStr">
        <is>
          <t>98693 Thüringen - Ilmenau</t>
        </is>
      </c>
      <c r="K398" s="5" t="n">
        <v>45461</v>
      </c>
      <c r="L398" t="inlineStr">
        <is>
          <t>Sold</t>
        </is>
      </c>
      <c r="M398" s="6">
        <f>HYPERLINK("https://www.kleinanzeigen.de/s-anzeige/gaastra-matrix-8-4-m2-segel-surfsegel-2x-benutzt-komplettrigg/2791761761-230-3687", "Link")</f>
        <v/>
      </c>
      <c r="N398" s="6">
        <f>HYPERLINK("C:\Projects\Kleinanzeigen-Scraper\offer_images\2791761761", "Link")</f>
        <v/>
      </c>
      <c r="O398" t="inlineStr">
        <is>
          <t>Mario</t>
        </is>
      </c>
      <c r="P398" s="6">
        <f>HYPERLINK("https://www.kleinanzeigen.de/s-bestandsliste.html?userId=22783725", "Link")</f>
        <v/>
      </c>
      <c r="Q398" s="7" t="n">
        <v>45558.74273148148</v>
      </c>
      <c r="R398" s="3" t="inlineStr">
        <is>
          <t>260.54</t>
        </is>
      </c>
      <c r="S398" t="inlineStr">
        <is>
          <t>Karlsruhe</t>
        </is>
      </c>
    </row>
    <row r="399">
      <c r="A399" s="2" t="n">
        <v>5.8</v>
      </c>
      <c r="B399" t="inlineStr">
        <is>
          <t>Gaastra Poison</t>
        </is>
      </c>
      <c r="C399" s="3" t="inlineStr"/>
      <c r="D399" s="3" t="inlineStr"/>
      <c r="E399" t="inlineStr"/>
      <c r="F399" t="inlineStr"/>
      <c r="G399" t="inlineStr">
        <is>
          <t>repaired</t>
        </is>
      </c>
      <c r="H399" s="4" t="n">
        <v>25</v>
      </c>
      <c r="I399" t="inlineStr"/>
      <c r="J399" t="inlineStr">
        <is>
          <t>51597 Nordrhein-Westfalen - Morsbach</t>
        </is>
      </c>
      <c r="K399" s="5" t="n">
        <v>45529</v>
      </c>
      <c r="L399" t="inlineStr"/>
      <c r="M399" s="6">
        <f>HYPERLINK("https://www.kleinanzeigen.de/s-anzeige/windsurfsegel-gaastra-poison-5-8/2846015808-230-1536", "Link")</f>
        <v/>
      </c>
      <c r="N399" s="6">
        <f>HYPERLINK("C:\Projects\Kleinanzeigen-Scraper\offer_images\2846015808", "Link")</f>
        <v/>
      </c>
      <c r="O399" t="inlineStr">
        <is>
          <t>Herr Schuh</t>
        </is>
      </c>
      <c r="P399" s="6">
        <f>HYPERLINK("https://www.kleinanzeigen.de/s-bestandsliste.html?userId=26921719", "Link")</f>
        <v/>
      </c>
      <c r="Q399" s="7" t="n">
        <v>45558.74269675926</v>
      </c>
      <c r="R399" s="3" t="inlineStr">
        <is>
          <t>53.41</t>
        </is>
      </c>
      <c r="S399" t="inlineStr">
        <is>
          <t>Köln</t>
        </is>
      </c>
    </row>
    <row r="400">
      <c r="A400" s="2" t="n">
        <v>8.300000000000001</v>
      </c>
      <c r="B400" t="inlineStr">
        <is>
          <t>GA Sails Gaastra SWIFT</t>
        </is>
      </c>
      <c r="C400" s="3" t="n">
        <v>490</v>
      </c>
      <c r="D400" s="3" t="n">
        <v>228</v>
      </c>
      <c r="E400" t="inlineStr"/>
      <c r="F400" t="inlineStr">
        <is>
          <t>2006</t>
        </is>
      </c>
      <c r="G400" t="inlineStr">
        <is>
          <t>used</t>
        </is>
      </c>
      <c r="H400" s="4" t="n">
        <v>70</v>
      </c>
      <c r="I400" t="inlineStr"/>
      <c r="J400" t="inlineStr">
        <is>
          <t>90542 Bayern - Eckental</t>
        </is>
      </c>
      <c r="K400" s="5" t="n">
        <v>45543</v>
      </c>
      <c r="L400" t="inlineStr"/>
      <c r="M400" s="6">
        <f>HYPERLINK("https://www.kleinanzeigen.de/s-anzeige/ga-sails-gaastra-swift-8-3-qm/2858004993-230-6374", "Link")</f>
        <v/>
      </c>
      <c r="N400" s="6">
        <f>HYPERLINK("C:\Projects\Kleinanzeigen-Scraper\offer_images\2858004993", "Link")</f>
        <v/>
      </c>
      <c r="O400" t="inlineStr">
        <is>
          <t>Jost</t>
        </is>
      </c>
      <c r="P400" s="6">
        <f>HYPERLINK("https://www.kleinanzeigen.de/s-bestandsliste.html?userId=24730080", "Link")</f>
        <v/>
      </c>
      <c r="Q400" s="7" t="n">
        <v>45558.74255787037</v>
      </c>
      <c r="R400" s="3" t="inlineStr">
        <is>
          <t>162.95</t>
        </is>
      </c>
      <c r="S400" t="inlineStr">
        <is>
          <t>München</t>
        </is>
      </c>
    </row>
    <row r="401">
      <c r="A401" s="2" t="n">
        <v>9.300000000000001</v>
      </c>
      <c r="B401" t="inlineStr">
        <is>
          <t>Gaastra Vapor</t>
        </is>
      </c>
      <c r="C401" s="3" t="inlineStr"/>
      <c r="D401" s="3" t="inlineStr"/>
      <c r="E401" t="inlineStr"/>
      <c r="F401" t="inlineStr">
        <is>
          <t>2009</t>
        </is>
      </c>
      <c r="G401" t="inlineStr">
        <is>
          <t>used</t>
        </is>
      </c>
      <c r="H401" s="4" t="n">
        <v>149</v>
      </c>
      <c r="I401" t="inlineStr"/>
      <c r="J401" t="inlineStr">
        <is>
          <t>97535 Bayern - Wasserlosen</t>
        </is>
      </c>
      <c r="K401" s="5" t="n">
        <v>45396</v>
      </c>
      <c r="L401" t="inlineStr"/>
      <c r="M401" s="6">
        <f>HYPERLINK("https://www.kleinanzeigen.de/s-anzeige/windsurfsegel-gaastra-vapor-9-3/2734191663-230-6754", "Link")</f>
        <v/>
      </c>
      <c r="N401" s="6">
        <f>HYPERLINK("C:\Projects\Kleinanzeigen-Scraper\offer_images\2734191663", "Link")</f>
        <v/>
      </c>
      <c r="O401" t="inlineStr">
        <is>
          <t>Thomas Rumpel</t>
        </is>
      </c>
      <c r="P401" s="6">
        <f>HYPERLINK("https://www.kleinanzeigen.de/s-bestandsliste.html?userId=26962425", "Link")</f>
        <v/>
      </c>
      <c r="Q401" s="7" t="n">
        <v>45558.74246527778</v>
      </c>
      <c r="R401" s="3" t="inlineStr">
        <is>
          <t>168.07</t>
        </is>
      </c>
      <c r="S401" t="inlineStr">
        <is>
          <t>Karlsruhe</t>
        </is>
      </c>
    </row>
    <row r="402">
      <c r="A402" s="2" t="n">
        <v>5</v>
      </c>
      <c r="B402" t="inlineStr">
        <is>
          <t>Gaastra Manic</t>
        </is>
      </c>
      <c r="C402" s="3" t="n">
        <v>400</v>
      </c>
      <c r="D402" s="3" t="n">
        <v>173</v>
      </c>
      <c r="E402" t="inlineStr"/>
      <c r="F402" t="inlineStr"/>
      <c r="G402" t="inlineStr">
        <is>
          <t>used</t>
        </is>
      </c>
      <c r="H402" s="4" t="n">
        <v>60</v>
      </c>
      <c r="I402" t="inlineStr">
        <is>
          <t>VB</t>
        </is>
      </c>
      <c r="J402" t="inlineStr">
        <is>
          <t>47198 Duisburg - Homberg/Ruhrort/Baerl</t>
        </is>
      </c>
      <c r="K402" s="5" t="n">
        <v>45557</v>
      </c>
      <c r="L402" t="inlineStr"/>
      <c r="M402" s="6">
        <f>HYPERLINK("https://www.kleinanzeigen.de/s-anzeige/surfsegel-gaastra-manic-5-0/2870785756-230-2140", "Link")</f>
        <v/>
      </c>
      <c r="N402" s="6">
        <f>HYPERLINK("C:\Projects\Kleinanzeigen-Scraper\offer_images\2870785756", "Link")</f>
        <v/>
      </c>
      <c r="O402" t="inlineStr">
        <is>
          <t>Pabst, Alexander</t>
        </is>
      </c>
      <c r="P402" s="6">
        <f>HYPERLINK("https://www.kleinanzeigen.de/s-bestandsliste.html?userId=8616794", "Link")</f>
        <v/>
      </c>
      <c r="Q402" s="7" t="n">
        <v>45558.74244212963</v>
      </c>
      <c r="R402" s="3" t="inlineStr">
        <is>
          <t>59.95</t>
        </is>
      </c>
      <c r="S402" t="inlineStr">
        <is>
          <t>Köln</t>
        </is>
      </c>
    </row>
    <row r="403">
      <c r="A403" s="2" t="n">
        <v>7.9</v>
      </c>
      <c r="B403" t="inlineStr">
        <is>
          <t>GA Gaastra Vapor</t>
        </is>
      </c>
      <c r="C403" s="3" t="inlineStr"/>
      <c r="D403" s="3" t="inlineStr"/>
      <c r="E403" t="inlineStr">
        <is>
          <t>Slalom</t>
        </is>
      </c>
      <c r="F403" t="inlineStr">
        <is>
          <t>2018</t>
        </is>
      </c>
      <c r="G403" t="inlineStr"/>
      <c r="H403" s="4" t="n">
        <v>220</v>
      </c>
      <c r="I403" t="inlineStr"/>
      <c r="J403" t="inlineStr">
        <is>
          <t>23569 Schleswig-Holstein - Lübeck</t>
        </is>
      </c>
      <c r="K403" s="5" t="n">
        <v>45515</v>
      </c>
      <c r="L403" t="inlineStr"/>
      <c r="M403" s="6">
        <f>HYPERLINK("https://www.kleinanzeigen.de/s-anzeige/ga-gaastra-vapor-7-9-slalom-von-2018/2834882710-230-419", "Link")</f>
        <v/>
      </c>
      <c r="N403" s="6">
        <f>HYPERLINK("C:\Projects\Kleinanzeigen-Scraper\offer_images\2834882710", "Link")</f>
        <v/>
      </c>
      <c r="O403" t="inlineStr">
        <is>
          <t>D. Voß</t>
        </is>
      </c>
      <c r="P403" s="6">
        <f>HYPERLINK("https://www.kleinanzeigen.de/s-bestandsliste.html?userId=87807574", "Link")</f>
        <v/>
      </c>
      <c r="Q403" s="7" t="n">
        <v>45558.74240740741</v>
      </c>
      <c r="R403" s="3" t="inlineStr">
        <is>
          <t>422.18</t>
        </is>
      </c>
      <c r="S403" t="inlineStr">
        <is>
          <t>Köln</t>
        </is>
      </c>
    </row>
    <row r="404">
      <c r="A404" s="2" t="n">
        <v>7.5</v>
      </c>
      <c r="B404" t="inlineStr">
        <is>
          <t>Gaastra Pilot</t>
        </is>
      </c>
      <c r="C404" s="3" t="n">
        <v>460</v>
      </c>
      <c r="D404" s="3" t="n">
        <v>218</v>
      </c>
      <c r="E404" t="inlineStr"/>
      <c r="F404" t="inlineStr">
        <is>
          <t>2015</t>
        </is>
      </c>
      <c r="G404" t="inlineStr">
        <is>
          <t>used</t>
        </is>
      </c>
      <c r="H404" s="4" t="n">
        <v>100</v>
      </c>
      <c r="I404" t="inlineStr"/>
      <c r="J404" t="inlineStr">
        <is>
          <t>85635 Kr. München - Höhenkirchen-Siegertsbrunn</t>
        </is>
      </c>
      <c r="K404" s="5" t="n">
        <v>45538</v>
      </c>
      <c r="L404" t="inlineStr"/>
      <c r="M404" s="6">
        <f>HYPERLINK("https://www.kleinanzeigen.de/s-anzeige/gaastra-pilot-7-5-qm-freeridesegel-aus-2015/2853540239-230-5513", "Link")</f>
        <v/>
      </c>
      <c r="N404" s="6">
        <f>HYPERLINK("C:\Projects\Kleinanzeigen-Scraper\offer_images\2853540239", "Link")</f>
        <v/>
      </c>
      <c r="O404" t="inlineStr">
        <is>
          <t>Rainer W.</t>
        </is>
      </c>
      <c r="P404" s="6">
        <f>HYPERLINK("https://www.kleinanzeigen.de/s-bestandsliste.html?userId=30249788", "Link")</f>
        <v/>
      </c>
      <c r="Q404" s="7" t="n">
        <v>45558.74229166667</v>
      </c>
      <c r="R404" s="3" t="inlineStr">
        <is>
          <t>18.14</t>
        </is>
      </c>
      <c r="S404" t="inlineStr">
        <is>
          <t>München</t>
        </is>
      </c>
    </row>
    <row r="405">
      <c r="A405" s="2" t="n">
        <v>4.2</v>
      </c>
      <c r="B405" t="inlineStr">
        <is>
          <t>Severne Blade</t>
        </is>
      </c>
      <c r="C405" s="3" t="inlineStr"/>
      <c r="D405" s="3" t="inlineStr"/>
      <c r="E405" t="inlineStr"/>
      <c r="F405" t="inlineStr"/>
      <c r="G405" t="inlineStr">
        <is>
          <t>used</t>
        </is>
      </c>
      <c r="H405" s="4" t="n">
        <v>360</v>
      </c>
      <c r="I405" t="inlineStr">
        <is>
          <t>VB</t>
        </is>
      </c>
      <c r="J405" t="inlineStr">
        <is>
          <t>24116 Kiel - Schreventeich-Hasseldieksdamm</t>
        </is>
      </c>
      <c r="K405" s="5" t="n">
        <v>45558</v>
      </c>
      <c r="L405" t="inlineStr"/>
      <c r="M405" s="6">
        <f>HYPERLINK("https://www.kleinanzeigen.de/s-anzeige/severne-blade-windsurf-segel-4-2-kaum-genutzt-/2871724517-230-703", "Link")</f>
        <v/>
      </c>
      <c r="N405" s="6">
        <f>HYPERLINK("C:\Projects\Kleinanzeigen-Scraper\offer_images\2871724517", "Link")</f>
        <v/>
      </c>
      <c r="O405" t="inlineStr">
        <is>
          <t>Max</t>
        </is>
      </c>
      <c r="P405" s="6">
        <f>HYPERLINK("https://www.kleinanzeigen.de/s-bestandsliste.html?userId=16766553", "Link")</f>
        <v/>
      </c>
      <c r="Q405" s="7" t="n">
        <v>45558.74224537037</v>
      </c>
      <c r="R405" s="3" t="inlineStr">
        <is>
          <t>432.62</t>
        </is>
      </c>
      <c r="S405" t="inlineStr">
        <is>
          <t>Köln</t>
        </is>
      </c>
    </row>
    <row r="406">
      <c r="A406" s="2" t="n">
        <v>3.8</v>
      </c>
      <c r="B406" t="inlineStr">
        <is>
          <t>Gaastra Slalom Durafoil</t>
        </is>
      </c>
      <c r="C406" s="3" t="inlineStr"/>
      <c r="D406" s="3" t="inlineStr"/>
      <c r="E406" t="inlineStr"/>
      <c r="F406" t="inlineStr"/>
      <c r="G406" t="inlineStr">
        <is>
          <t>used</t>
        </is>
      </c>
      <c r="H406" s="4" t="n">
        <v>10</v>
      </c>
      <c r="I406" t="inlineStr">
        <is>
          <t>VB</t>
        </is>
      </c>
      <c r="J406" t="inlineStr">
        <is>
          <t>50996 Köln - Rodenkirchen</t>
        </is>
      </c>
      <c r="K406" s="5" t="n">
        <v>45390</v>
      </c>
      <c r="L406" t="inlineStr"/>
      <c r="M406" s="6">
        <f>HYPERLINK("https://www.kleinanzeigen.de/s-anzeige/surfbrett-segel-von-gaastra-slalom-durafoil-3-8-m2/2729620708-230-956", "Link")</f>
        <v/>
      </c>
      <c r="N406" s="6">
        <f>HYPERLINK("C:\Projects\Kleinanzeigen-Scraper\offer_images\2729620708", "Link")</f>
        <v/>
      </c>
      <c r="O406" t="inlineStr">
        <is>
          <t>Andreas Wilhelm</t>
        </is>
      </c>
      <c r="P406" s="6">
        <f>HYPERLINK("https://www.kleinanzeigen.de/s-bestandsliste.html?userId=9086723", "Link")</f>
        <v/>
      </c>
      <c r="Q406" s="7" t="n">
        <v>45558.74206018518</v>
      </c>
      <c r="R406" s="3" t="inlineStr">
        <is>
          <t>6.80</t>
        </is>
      </c>
      <c r="S406" t="inlineStr">
        <is>
          <t>Köln</t>
        </is>
      </c>
    </row>
    <row r="407">
      <c r="A407" s="2" t="n">
        <v>5.6</v>
      </c>
      <c r="B407" t="inlineStr">
        <is>
          <t>Gaastra</t>
        </is>
      </c>
      <c r="C407" s="3" t="n">
        <v>450</v>
      </c>
      <c r="D407" s="3" t="inlineStr">
        <is>
          <t>178-180</t>
        </is>
      </c>
      <c r="E407" t="inlineStr"/>
      <c r="F407" t="inlineStr"/>
      <c r="G407" t="inlineStr"/>
      <c r="H407" s="4" t="n">
        <v>30</v>
      </c>
      <c r="I407" t="inlineStr">
        <is>
          <t>VB</t>
        </is>
      </c>
      <c r="J407" t="inlineStr">
        <is>
          <t>22589 Altona - Hamburg Iserbrook</t>
        </is>
      </c>
      <c r="K407" s="5" t="n">
        <v>45492</v>
      </c>
      <c r="L407" t="inlineStr"/>
      <c r="M407" s="6">
        <f>HYPERLINK("https://www.kleinanzeigen.de/s-anzeige/windsurfsegel-gaastra-5-6/2816260730-230-9510", "Link")</f>
        <v/>
      </c>
      <c r="N407" s="6">
        <f>HYPERLINK("C:\Projects\Kleinanzeigen-Scraper\offer_images\2816260730", "Link")</f>
        <v/>
      </c>
      <c r="O407" t="inlineStr">
        <is>
          <t>Katrin di Racca</t>
        </is>
      </c>
      <c r="P407" s="6">
        <f>HYPERLINK("https://www.kleinanzeigen.de/s-bestandsliste.html?userId=11146758", "Link")</f>
        <v/>
      </c>
      <c r="Q407" s="7" t="n">
        <v>45558.74200231482</v>
      </c>
      <c r="R407" s="3" t="inlineStr">
        <is>
          <t>352.31</t>
        </is>
      </c>
      <c r="S407" t="inlineStr">
        <is>
          <t>Köln</t>
        </is>
      </c>
    </row>
    <row r="408">
      <c r="A408" s="2" t="n">
        <v>6.5</v>
      </c>
      <c r="B408" t="inlineStr">
        <is>
          <t>Gaastra Slalom Durafoil</t>
        </is>
      </c>
      <c r="C408" s="3" t="inlineStr"/>
      <c r="D408" s="3" t="inlineStr"/>
      <c r="E408" t="inlineStr"/>
      <c r="F408" t="inlineStr"/>
      <c r="G408" t="inlineStr">
        <is>
          <t>used</t>
        </is>
      </c>
      <c r="H408" s="4" t="n">
        <v>10</v>
      </c>
      <c r="I408" t="inlineStr">
        <is>
          <t>VB</t>
        </is>
      </c>
      <c r="J408" t="inlineStr">
        <is>
          <t>50996 Köln - Rodenkirchen</t>
        </is>
      </c>
      <c r="K408" s="5" t="n">
        <v>45390</v>
      </c>
      <c r="L408" t="inlineStr"/>
      <c r="M408" s="6">
        <f>HYPERLINK("https://www.kleinanzeigen.de/s-anzeige/surfbrett-segel-von-gaastra-slalom-durafoil-6-5-m2/2729616621-230-956", "Link")</f>
        <v/>
      </c>
      <c r="N408" s="6">
        <f>HYPERLINK("C:\Projects\Kleinanzeigen-Scraper\offer_images\2729616621", "Link")</f>
        <v/>
      </c>
      <c r="O408" t="inlineStr">
        <is>
          <t>Andreas Wilhelm</t>
        </is>
      </c>
      <c r="P408" s="6">
        <f>HYPERLINK("https://www.kleinanzeigen.de/s-bestandsliste.html?userId=9086723", "Link")</f>
        <v/>
      </c>
      <c r="Q408" s="7" t="n">
        <v>45558.74200231482</v>
      </c>
      <c r="R408" s="3" t="inlineStr">
        <is>
          <t>6.80</t>
        </is>
      </c>
      <c r="S408" t="inlineStr">
        <is>
          <t>Köln</t>
        </is>
      </c>
    </row>
    <row r="409">
      <c r="A409" s="2" t="n">
        <v>8.5</v>
      </c>
      <c r="B409" t="inlineStr">
        <is>
          <t>Gaastra</t>
        </is>
      </c>
      <c r="C409" s="3" t="n">
        <v>500</v>
      </c>
      <c r="D409" s="3" t="n">
        <v>227</v>
      </c>
      <c r="E409" t="inlineStr"/>
      <c r="F409" t="inlineStr"/>
      <c r="G409" t="inlineStr">
        <is>
          <t>used</t>
        </is>
      </c>
      <c r="H409" s="4" t="n">
        <v>45</v>
      </c>
      <c r="I409" t="inlineStr">
        <is>
          <t>VB</t>
        </is>
      </c>
      <c r="J409" t="inlineStr">
        <is>
          <t>15864 Brandenburg - Wendisch Rietz</t>
        </is>
      </c>
      <c r="K409" s="5" t="n">
        <v>45116</v>
      </c>
      <c r="L409" t="inlineStr"/>
      <c r="M409" s="6">
        <f>HYPERLINK("https://www.kleinanzeigen.de/s-anzeige/windsurfsegel-8-5-qm-gaastra/2489071603-230-7763", "Link")</f>
        <v/>
      </c>
      <c r="N409" s="6">
        <f>HYPERLINK("C:\Projects\Kleinanzeigen-Scraper\offer_images\2489071603", "Link")</f>
        <v/>
      </c>
      <c r="O409" t="inlineStr">
        <is>
          <t>Burkhard</t>
        </is>
      </c>
      <c r="P409" s="6">
        <f>HYPERLINK("https://www.kleinanzeigen.de/s-bestandsliste.html?userId=51984266", "Link")</f>
        <v/>
      </c>
      <c r="Q409" s="7" t="n">
        <v>45558.74189814815</v>
      </c>
      <c r="R409" s="3" t="inlineStr">
        <is>
          <t>485.59</t>
        </is>
      </c>
      <c r="S409" t="inlineStr">
        <is>
          <t>München</t>
        </is>
      </c>
    </row>
    <row r="410">
      <c r="A410" s="2" t="n">
        <v>4.2</v>
      </c>
      <c r="B410" t="inlineStr">
        <is>
          <t>Gaastra Poison</t>
        </is>
      </c>
      <c r="C410" s="3" t="n">
        <v>370</v>
      </c>
      <c r="D410" s="3" t="n">
        <v>156</v>
      </c>
      <c r="E410" t="inlineStr"/>
      <c r="F410" t="inlineStr">
        <is>
          <t>2016</t>
        </is>
      </c>
      <c r="G410" t="inlineStr">
        <is>
          <t>used</t>
        </is>
      </c>
      <c r="H410" s="4" t="n">
        <v>225</v>
      </c>
      <c r="I410" t="inlineStr">
        <is>
          <t>VB</t>
        </is>
      </c>
      <c r="J410" t="inlineStr">
        <is>
          <t>55128 Rheinland-Pfalz - Mainz</t>
        </is>
      </c>
      <c r="K410" s="5" t="n">
        <v>45234</v>
      </c>
      <c r="L410" t="inlineStr"/>
      <c r="M410" s="6">
        <f>HYPERLINK("https://www.kleinanzeigen.de/s-anzeige/gaastra-ga-sails-poison-4-2-2016-segel-top-zustand-/2592143702-230-5321", "Link")</f>
        <v/>
      </c>
      <c r="N410" s="6">
        <f>HYPERLINK("C:\Projects\Kleinanzeigen-Scraper\offer_images\2592143702", "Link")</f>
        <v/>
      </c>
      <c r="O410" t="inlineStr">
        <is>
          <t>Felix</t>
        </is>
      </c>
      <c r="P410" s="6">
        <f>HYPERLINK("https://www.kleinanzeigen.de/s-bestandsliste.html?userId=31967178", "Link")</f>
        <v/>
      </c>
      <c r="Q410" s="7" t="n">
        <v>45558.74184027778</v>
      </c>
      <c r="R410" s="3" t="inlineStr">
        <is>
          <t>108.61</t>
        </is>
      </c>
      <c r="S410" t="inlineStr">
        <is>
          <t>Karlsruhe</t>
        </is>
      </c>
    </row>
    <row r="411">
      <c r="A411" s="2" t="n">
        <v>4.2</v>
      </c>
      <c r="B411" t="inlineStr">
        <is>
          <t>Gaastra Poison</t>
        </is>
      </c>
      <c r="C411" s="3" t="n">
        <v>370</v>
      </c>
      <c r="D411" s="3" t="n">
        <v>157</v>
      </c>
      <c r="E411" t="inlineStr"/>
      <c r="F411" t="inlineStr"/>
      <c r="G411" t="inlineStr">
        <is>
          <t>used</t>
        </is>
      </c>
      <c r="H411" s="4" t="n">
        <v>220</v>
      </c>
      <c r="I411" t="inlineStr">
        <is>
          <t>VB</t>
        </is>
      </c>
      <c r="J411" t="inlineStr">
        <is>
          <t>21244 Niedersachsen - Buchholz in der Nordheide</t>
        </is>
      </c>
      <c r="K411" s="5" t="n">
        <v>45515</v>
      </c>
      <c r="L411" t="inlineStr"/>
      <c r="M411" s="6">
        <f>HYPERLINK("https://www.kleinanzeigen.de/s-anzeige/gaastra-freeride-segel-4-2-qm/2834400505-230-14101", "Link")</f>
        <v/>
      </c>
      <c r="N411" s="6">
        <f>HYPERLINK("C:\Projects\Kleinanzeigen-Scraper\offer_images\2834400505", "Link")</f>
        <v/>
      </c>
      <c r="O411" t="inlineStr">
        <is>
          <t>AF</t>
        </is>
      </c>
      <c r="P411" s="6">
        <f>HYPERLINK("https://www.kleinanzeigen.de/s-bestandsliste.html?userId=23419846", "Link")</f>
        <v/>
      </c>
      <c r="Q411" s="7" t="n">
        <v>45558.74174768518</v>
      </c>
      <c r="R411" s="3" t="inlineStr">
        <is>
          <t>330.99</t>
        </is>
      </c>
      <c r="S411" t="inlineStr">
        <is>
          <t>Köln</t>
        </is>
      </c>
    </row>
    <row r="412">
      <c r="A412" s="2" t="n">
        <v>6</v>
      </c>
      <c r="B412" t="inlineStr">
        <is>
          <t>Gaastra Flow 2x6.0</t>
        </is>
      </c>
      <c r="C412" s="3" t="n">
        <v>460</v>
      </c>
      <c r="D412" s="3" t="n">
        <v>185</v>
      </c>
      <c r="E412" t="inlineStr"/>
      <c r="F412" t="inlineStr"/>
      <c r="G412" t="inlineStr"/>
      <c r="H412" s="4" t="inlineStr"/>
      <c r="I412" t="inlineStr">
        <is>
          <t>VB</t>
        </is>
      </c>
      <c r="J412" t="inlineStr">
        <is>
          <t>14715 Brandenburg - Stechow-Ferchesar</t>
        </is>
      </c>
      <c r="K412" s="5" t="n">
        <v>45163</v>
      </c>
      <c r="L412" t="inlineStr"/>
      <c r="M412" s="6">
        <f>HYPERLINK("https://www.kleinanzeigen.de/s-anzeige/gaastra-flow-2x6-0-windsurfsegel/2529065350-230-21109", "Link")</f>
        <v/>
      </c>
      <c r="N412" s="6">
        <f>HYPERLINK("C:\Projects\Kleinanzeigen-Scraper\offer_images\2529065350", "Link")</f>
        <v/>
      </c>
      <c r="O412" t="inlineStr">
        <is>
          <t>Marvin</t>
        </is>
      </c>
      <c r="P412" s="6">
        <f>HYPERLINK("https://www.kleinanzeigen.de/s-bestandsliste.html?userId=6360419", "Link")</f>
        <v/>
      </c>
      <c r="Q412" s="7" t="n">
        <v>45558.74152777778</v>
      </c>
      <c r="R412" s="3" t="inlineStr">
        <is>
          <t>425.01</t>
        </is>
      </c>
      <c r="S412" t="inlineStr">
        <is>
          <t>Köln</t>
        </is>
      </c>
    </row>
    <row r="413">
      <c r="A413" s="2" t="n">
        <v>6.5</v>
      </c>
      <c r="B413" t="inlineStr">
        <is>
          <t>Lefebvre</t>
        </is>
      </c>
      <c r="C413" s="3" t="inlineStr"/>
      <c r="D413" s="3" t="inlineStr"/>
      <c r="E413" t="inlineStr">
        <is>
          <t>Race Slalom</t>
        </is>
      </c>
      <c r="F413" t="inlineStr"/>
      <c r="G413" t="inlineStr">
        <is>
          <t>used</t>
        </is>
      </c>
      <c r="H413" s="4" t="n">
        <v>79</v>
      </c>
      <c r="I413" t="inlineStr"/>
      <c r="J413" t="inlineStr">
        <is>
          <t>67583 Rheinland-Pfalz - Guntersblum</t>
        </is>
      </c>
      <c r="K413" s="5" t="n">
        <v>45558</v>
      </c>
      <c r="L413" t="inlineStr">
        <is>
          <t>Sold</t>
        </is>
      </c>
      <c r="M413" s="6">
        <f>HYPERLINK("https://www.kleinanzeigen.de/s-anzeige/segel-fuer-windsurfe-race-slalom-6-5/2871975583-230-4463", "Link")</f>
        <v/>
      </c>
      <c r="N413" s="6">
        <f>HYPERLINK("C:\Projects\Kleinanzeigen-Scraper\offer_images\2871975583", "Link")</f>
        <v/>
      </c>
      <c r="O413" t="inlineStr">
        <is>
          <t>Helene Kamisky</t>
        </is>
      </c>
      <c r="P413" s="6">
        <f>HYPERLINK("https://www.kleinanzeigen.de/s-bestandsliste.html?userId=124783221", "Link")</f>
        <v/>
      </c>
      <c r="Q413" s="7" t="n">
        <v>45558.74152777778</v>
      </c>
      <c r="R413" s="3" t="inlineStr">
        <is>
          <t>87.80</t>
        </is>
      </c>
      <c r="S413" t="inlineStr">
        <is>
          <t>Karlsruhe</t>
        </is>
      </c>
    </row>
    <row r="414">
      <c r="A414" s="2" t="n">
        <v>4.5</v>
      </c>
      <c r="B414" t="inlineStr">
        <is>
          <t>Gaastra GA Poison</t>
        </is>
      </c>
      <c r="C414" s="3" t="inlineStr"/>
      <c r="D414" s="3" t="inlineStr"/>
      <c r="E414" t="inlineStr"/>
      <c r="F414" t="inlineStr"/>
      <c r="G414" t="inlineStr">
        <is>
          <t>used</t>
        </is>
      </c>
      <c r="H414" s="4" t="n">
        <v>135</v>
      </c>
      <c r="I414" t="inlineStr">
        <is>
          <t>VB</t>
        </is>
      </c>
      <c r="J414" t="inlineStr">
        <is>
          <t>25489 Schleswig-Holstein - Haselau</t>
        </is>
      </c>
      <c r="K414" s="5" t="n">
        <v>45502</v>
      </c>
      <c r="L414" t="inlineStr">
        <is>
          <t>Sold</t>
        </is>
      </c>
      <c r="M414" s="6">
        <f>HYPERLINK("https://www.kleinanzeigen.de/s-anzeige/gaastra-ga-poison-4-5-qm/2824568510-230-23663", "Link")</f>
        <v/>
      </c>
      <c r="N414" s="6">
        <f>HYPERLINK("C:\Projects\Kleinanzeigen-Scraper\offer_images\2824568510", "Link")</f>
        <v/>
      </c>
      <c r="O414" t="inlineStr">
        <is>
          <t>Werner Marckmann</t>
        </is>
      </c>
      <c r="P414" s="6">
        <f>HYPERLINK("https://www.kleinanzeigen.de/s-bestandsliste.html?userId=9276219", "Link")</f>
        <v/>
      </c>
      <c r="Q414" s="7" t="n">
        <v>45558.74151620371</v>
      </c>
      <c r="R414" s="3" t="inlineStr">
        <is>
          <t>349.68</t>
        </is>
      </c>
      <c r="S414" t="inlineStr">
        <is>
          <t>Köln</t>
        </is>
      </c>
    </row>
    <row r="415">
      <c r="A415" s="2" t="n">
        <v>5.7</v>
      </c>
      <c r="B415" t="inlineStr">
        <is>
          <t>Gaastra Manic</t>
        </is>
      </c>
      <c r="C415" s="3" t="n">
        <v>430</v>
      </c>
      <c r="D415" s="3" t="n">
        <v>178</v>
      </c>
      <c r="E415" t="inlineStr"/>
      <c r="F415" t="inlineStr"/>
      <c r="G415" t="inlineStr">
        <is>
          <t>used</t>
        </is>
      </c>
      <c r="H415" s="4" t="n">
        <v>90</v>
      </c>
      <c r="I415" t="inlineStr">
        <is>
          <t>VB</t>
        </is>
      </c>
      <c r="J415" t="inlineStr">
        <is>
          <t>14052 Berlin - Charlottenburg</t>
        </is>
      </c>
      <c r="K415" s="5" t="n">
        <v>45550</v>
      </c>
      <c r="L415" t="inlineStr"/>
      <c r="M415" s="6">
        <f>HYPERLINK("https://www.kleinanzeigen.de/s-anzeige/gaastra-manic-5-7m2-windsurfsegel/2864836802-230-3339", "Link")</f>
        <v/>
      </c>
      <c r="N415" s="6">
        <f>HYPERLINK("C:\Projects\Kleinanzeigen-Scraper\offer_images\2864836802", "Link")</f>
        <v/>
      </c>
      <c r="O415" t="inlineStr">
        <is>
          <t>Oliver Kind</t>
        </is>
      </c>
      <c r="P415" s="6">
        <f>HYPERLINK("https://www.kleinanzeigen.de/s-bestandsliste.html?userId=32561881", "Link")</f>
        <v/>
      </c>
      <c r="Q415" s="7" t="n">
        <v>45558.74143518518</v>
      </c>
      <c r="R415" s="3" t="inlineStr">
        <is>
          <t>468.06</t>
        </is>
      </c>
      <c r="S415" t="inlineStr">
        <is>
          <t>Köln</t>
        </is>
      </c>
    </row>
    <row r="416">
      <c r="A416" s="2" t="n">
        <v>7.5</v>
      </c>
      <c r="B416" t="inlineStr">
        <is>
          <t>Gaastra Matrix</t>
        </is>
      </c>
      <c r="C416" s="3" t="n">
        <v>4</v>
      </c>
      <c r="D416" s="3" t="n">
        <v>218</v>
      </c>
      <c r="E416" t="inlineStr"/>
      <c r="F416" t="inlineStr"/>
      <c r="G416" t="inlineStr">
        <is>
          <t>used</t>
        </is>
      </c>
      <c r="H416" s="4" t="n">
        <v>90</v>
      </c>
      <c r="I416" t="inlineStr">
        <is>
          <t>VB</t>
        </is>
      </c>
      <c r="J416" t="inlineStr">
        <is>
          <t>12109 Berlin - Tempelhof</t>
        </is>
      </c>
      <c r="K416" s="5" t="n">
        <v>45550</v>
      </c>
      <c r="L416" t="inlineStr">
        <is>
          <t>Sold</t>
        </is>
      </c>
      <c r="M416" s="6">
        <f>HYPERLINK("https://www.kleinanzeigen.de/s-anzeige/gaastra-matrix-7-5-windsurfsegel/2864070901-230-3406", "Link")</f>
        <v/>
      </c>
      <c r="N416" s="6">
        <f>HYPERLINK("C:\Projects\Kleinanzeigen-Scraper\offer_images\2864070901", "Link")</f>
        <v/>
      </c>
      <c r="O416" t="inlineStr">
        <is>
          <t>Christian</t>
        </is>
      </c>
      <c r="P416" s="6">
        <f>HYPERLINK("https://www.kleinanzeigen.de/s-bestandsliste.html?userId=3937997", "Link")</f>
        <v/>
      </c>
      <c r="Q416" s="7" t="n">
        <v>45558.74138888889</v>
      </c>
      <c r="R416" s="3" t="inlineStr">
        <is>
          <t>474.83</t>
        </is>
      </c>
      <c r="S416" t="inlineStr">
        <is>
          <t>Köln</t>
        </is>
      </c>
    </row>
    <row r="417">
      <c r="A417" s="2" t="n">
        <v>7</v>
      </c>
      <c r="B417" t="inlineStr">
        <is>
          <t>Gaastra Echo</t>
        </is>
      </c>
      <c r="C417" s="3" t="inlineStr"/>
      <c r="D417" s="3" t="inlineStr"/>
      <c r="E417" t="inlineStr"/>
      <c r="F417" t="inlineStr"/>
      <c r="G417" t="inlineStr">
        <is>
          <t>used</t>
        </is>
      </c>
      <c r="H417" s="4" t="n">
        <v>200</v>
      </c>
      <c r="I417" t="inlineStr">
        <is>
          <t>VB</t>
        </is>
      </c>
      <c r="J417" t="inlineStr">
        <is>
          <t>97249 Bayern - Eisingen</t>
        </is>
      </c>
      <c r="K417" s="5" t="n">
        <v>45536</v>
      </c>
      <c r="L417" t="inlineStr">
        <is>
          <t>Sold</t>
        </is>
      </c>
      <c r="M417" s="6">
        <f>HYPERLINK("https://www.kleinanzeigen.de/s-anzeige/windsurfsegel-gaastra-echo-7-0/2851955887-230-7669", "Link")</f>
        <v/>
      </c>
      <c r="N417" s="6">
        <f>HYPERLINK("C:\Projects\Kleinanzeigen-Scraper\offer_images\2851955887", "Link")</f>
        <v/>
      </c>
      <c r="O417" t="inlineStr">
        <is>
          <t>Stefan</t>
        </is>
      </c>
      <c r="P417" s="6">
        <f>HYPERLINK("https://www.kleinanzeigen.de/s-bestandsliste.html?userId=133452574", "Link")</f>
        <v/>
      </c>
      <c r="Q417" s="7" t="n">
        <v>45558.74138888889</v>
      </c>
      <c r="R417" s="3" t="inlineStr">
        <is>
          <t>133.70</t>
        </is>
      </c>
      <c r="S417" t="inlineStr">
        <is>
          <t>Karlsruhe</t>
        </is>
      </c>
    </row>
    <row r="418">
      <c r="A418" s="2" t="n">
        <v>6.7</v>
      </c>
      <c r="B418" t="inlineStr">
        <is>
          <t>Gaastra Pulse Pro</t>
        </is>
      </c>
      <c r="C418" s="3" t="n">
        <v>460</v>
      </c>
      <c r="D418" s="3" t="n">
        <v>204</v>
      </c>
      <c r="E418" t="inlineStr">
        <is>
          <t>Freeride</t>
        </is>
      </c>
      <c r="F418" t="inlineStr"/>
      <c r="G418" t="inlineStr">
        <is>
          <t>repaired</t>
        </is>
      </c>
      <c r="H418" s="4" t="n">
        <v>70</v>
      </c>
      <c r="I418" t="inlineStr">
        <is>
          <t>VB</t>
        </is>
      </c>
      <c r="J418" t="inlineStr">
        <is>
          <t>86574 Bayern - Petersdorf</t>
        </is>
      </c>
      <c r="K418" s="5" t="n">
        <v>45541</v>
      </c>
      <c r="L418" t="inlineStr"/>
      <c r="M418" s="6">
        <f>HYPERLINK("https://www.kleinanzeigen.de/s-anzeige/gaastra-pulse-pro-windsurfsegel-6-7-qm/2855748390-230-7198", "Link")</f>
        <v/>
      </c>
      <c r="N418" s="6">
        <f>HYPERLINK("C:\Projects\Kleinanzeigen-Scraper\offer_images\2855748390", "Link")</f>
        <v/>
      </c>
      <c r="O418" t="inlineStr">
        <is>
          <t>Fabian Heigemeir</t>
        </is>
      </c>
      <c r="P418" s="6">
        <f>HYPERLINK("https://www.kleinanzeigen.de/s-bestandsliste.html?userId=121280439", "Link")</f>
        <v/>
      </c>
      <c r="Q418" s="7" t="n">
        <v>45558.74134259259</v>
      </c>
      <c r="R418" s="3" t="inlineStr">
        <is>
          <t>60.10</t>
        </is>
      </c>
      <c r="S418" t="inlineStr">
        <is>
          <t>München</t>
        </is>
      </c>
    </row>
    <row r="419">
      <c r="A419" s="2" t="n">
        <v>5</v>
      </c>
      <c r="B419" t="inlineStr">
        <is>
          <t>Gaastra Pilot</t>
        </is>
      </c>
      <c r="C419" s="3" t="n">
        <v>430</v>
      </c>
      <c r="D419" s="3" t="n">
        <v>180</v>
      </c>
      <c r="E419" t="inlineStr"/>
      <c r="F419" t="inlineStr"/>
      <c r="G419" t="inlineStr">
        <is>
          <t>repaired</t>
        </is>
      </c>
      <c r="H419" s="4" t="n">
        <v>30</v>
      </c>
      <c r="I419" t="inlineStr"/>
      <c r="J419" t="inlineStr">
        <is>
          <t>26135 Niedersachsen - Oldenburg</t>
        </is>
      </c>
      <c r="K419" s="5" t="n">
        <v>45536</v>
      </c>
      <c r="L419" t="inlineStr">
        <is>
          <t>Sold</t>
        </is>
      </c>
      <c r="M419" s="6">
        <f>HYPERLINK("https://www.kleinanzeigen.de/s-anzeige/gaastra-pilot-5-0-qm/2851653017-230-3110", "Link")</f>
        <v/>
      </c>
      <c r="N419" s="6">
        <f>HYPERLINK("C:\Projects\Kleinanzeigen-Scraper\offer_images\2851653017", "Link")</f>
        <v/>
      </c>
      <c r="O419" t="inlineStr">
        <is>
          <t>Thomas Grzybowski</t>
        </is>
      </c>
      <c r="P419" s="6">
        <f>HYPERLINK("https://www.kleinanzeigen.de/s-bestandsliste.html?userId=6749020", "Link")</f>
        <v/>
      </c>
      <c r="Q419" s="7" t="n">
        <v>45558.74131944445</v>
      </c>
      <c r="R419" s="3" t="inlineStr">
        <is>
          <t>258.42</t>
        </is>
      </c>
      <c r="S419" t="inlineStr">
        <is>
          <t>Köln</t>
        </is>
      </c>
    </row>
    <row r="420">
      <c r="A420" s="2" t="n">
        <v>5.5</v>
      </c>
      <c r="B420" t="inlineStr">
        <is>
          <t>Gaastra Flow Zero X</t>
        </is>
      </c>
      <c r="C420" s="3" t="inlineStr"/>
      <c r="D420" s="3" t="inlineStr"/>
      <c r="E420" t="inlineStr"/>
      <c r="F420" t="inlineStr"/>
      <c r="G420" t="inlineStr">
        <is>
          <t>used</t>
        </is>
      </c>
      <c r="H420" s="4" t="n">
        <v>90</v>
      </c>
      <c r="I420" t="inlineStr"/>
      <c r="J420" t="inlineStr">
        <is>
          <t>23569 Lübeck - Kücknitz</t>
        </is>
      </c>
      <c r="K420" s="5" t="n">
        <v>45419</v>
      </c>
      <c r="L420" t="inlineStr"/>
      <c r="M420" s="6">
        <f>HYPERLINK("https://www.kleinanzeigen.de/s-anzeige/surfsegel-gaastra-flow-zerow-x-5-5/2755651434-230-24244", "Link")</f>
        <v/>
      </c>
      <c r="N420" s="6">
        <f>HYPERLINK("C:\Projects\Kleinanzeigen-Scraper\offer_images\2755651434", "Link")</f>
        <v/>
      </c>
      <c r="O420" t="inlineStr">
        <is>
          <t>Claudia</t>
        </is>
      </c>
      <c r="P420" s="6">
        <f>HYPERLINK("https://www.kleinanzeigen.de/s-bestandsliste.html?userId=16213695", "Link")</f>
        <v/>
      </c>
      <c r="Q420" s="7" t="n">
        <v>45558.74125</v>
      </c>
      <c r="R420" s="3" t="inlineStr">
        <is>
          <t>422.18</t>
        </is>
      </c>
      <c r="S420" t="inlineStr">
        <is>
          <t>Köln</t>
        </is>
      </c>
    </row>
    <row r="421">
      <c r="A421" s="2" t="n">
        <v>5.7</v>
      </c>
      <c r="B421" t="inlineStr">
        <is>
          <t>Gaastra</t>
        </is>
      </c>
      <c r="C421" s="3" t="inlineStr"/>
      <c r="D421" s="3" t="inlineStr"/>
      <c r="E421" t="inlineStr"/>
      <c r="F421" t="inlineStr"/>
      <c r="G421" t="inlineStr">
        <is>
          <t>used</t>
        </is>
      </c>
      <c r="H421" s="4" t="n">
        <v>200</v>
      </c>
      <c r="I421" t="inlineStr"/>
      <c r="J421" t="inlineStr">
        <is>
          <t>88145 Bayern - Opfenbach</t>
        </is>
      </c>
      <c r="K421" s="5" t="n">
        <v>45087</v>
      </c>
      <c r="L421" t="inlineStr"/>
      <c r="M421" s="6">
        <f>HYPERLINK("https://www.kleinanzeigen.de/s-anzeige/gaastra-windsurfing-rigg-segel-5-7/2465274690-230-8591", "Link")</f>
        <v/>
      </c>
      <c r="N421" s="6">
        <f>HYPERLINK("C:\Projects\Kleinanzeigen-Scraper\offer_images\2465274690", "Link")</f>
        <v/>
      </c>
      <c r="O421" t="inlineStr">
        <is>
          <t>MR</t>
        </is>
      </c>
      <c r="P421" s="6">
        <f>HYPERLINK("https://www.kleinanzeigen.de/s-bestandsliste.html?userId=50680300", "Link")</f>
        <v/>
      </c>
      <c r="Q421" s="7" t="n">
        <v>45558.74118055555</v>
      </c>
      <c r="R421" s="3" t="inlineStr">
        <is>
          <t>113.84</t>
        </is>
      </c>
      <c r="S421" t="inlineStr">
        <is>
          <t>Bonndorf</t>
        </is>
      </c>
    </row>
    <row r="422">
      <c r="A422" s="2" t="n">
        <v>5</v>
      </c>
      <c r="B422" t="inlineStr">
        <is>
          <t>Gaastra Pure</t>
        </is>
      </c>
      <c r="C422" s="3" t="inlineStr"/>
      <c r="D422" s="3" t="inlineStr"/>
      <c r="E422" t="inlineStr"/>
      <c r="F422" t="inlineStr"/>
      <c r="G422" t="inlineStr">
        <is>
          <t>new</t>
        </is>
      </c>
      <c r="H422" s="4" t="n">
        <v>115</v>
      </c>
      <c r="I422" t="inlineStr">
        <is>
          <t>VB</t>
        </is>
      </c>
      <c r="J422" t="inlineStr">
        <is>
          <t>91056 Bayern - Erlangen</t>
        </is>
      </c>
      <c r="K422" s="5" t="n">
        <v>45527</v>
      </c>
      <c r="L422" t="inlineStr"/>
      <c r="M422" s="6">
        <f>HYPERLINK("https://www.kleinanzeigen.de/s-anzeige/gaastra-pure-windsurfsegel-5-0/2843937942-230-6798", "Link")</f>
        <v/>
      </c>
      <c r="N422" s="6">
        <f>HYPERLINK("C:\Projects\Kleinanzeigen-Scraper\offer_images\2843937942", "Link")</f>
        <v/>
      </c>
      <c r="O422" t="inlineStr">
        <is>
          <t>Sascha</t>
        </is>
      </c>
      <c r="P422" s="6">
        <f>HYPERLINK("https://www.kleinanzeigen.de/s-bestandsliste.html?userId=13717636", "Link")</f>
        <v/>
      </c>
      <c r="Q422" s="7" t="n">
        <v>45558.74114583333</v>
      </c>
      <c r="R422" s="3" t="inlineStr">
        <is>
          <t>167.66</t>
        </is>
      </c>
      <c r="S422" t="inlineStr">
        <is>
          <t>München</t>
        </is>
      </c>
    </row>
    <row r="423">
      <c r="A423" s="2" t="n">
        <v>5.7</v>
      </c>
      <c r="B423" t="inlineStr">
        <is>
          <t>Gaastra Sails</t>
        </is>
      </c>
      <c r="C423" s="3" t="n">
        <v>480</v>
      </c>
      <c r="D423" s="3" t="n">
        <v>185</v>
      </c>
      <c r="E423" t="inlineStr"/>
      <c r="F423" t="inlineStr"/>
      <c r="G423" t="inlineStr">
        <is>
          <t>used</t>
        </is>
      </c>
      <c r="H423" s="4" t="inlineStr"/>
      <c r="I423" t="inlineStr">
        <is>
          <t>VB</t>
        </is>
      </c>
      <c r="J423" t="inlineStr">
        <is>
          <t>25876 Nordfriesland - Schwabstedt</t>
        </is>
      </c>
      <c r="K423" s="5" t="n">
        <v>45489</v>
      </c>
      <c r="L423" t="inlineStr"/>
      <c r="M423" s="6">
        <f>HYPERLINK("https://www.kleinanzeigen.de/s-anzeige/segel-zum-surfen-surfsegel-gaastra-sails-5-7/2814002888-230-21017", "Link")</f>
        <v/>
      </c>
      <c r="N423" s="6">
        <f>HYPERLINK("C:\Projects\Kleinanzeigen-Scraper\offer_images\2814002888", "Link")</f>
        <v/>
      </c>
      <c r="O423" t="inlineStr">
        <is>
          <t>Alexina</t>
        </is>
      </c>
      <c r="P423" s="6">
        <f>HYPERLINK("https://www.kleinanzeigen.de/s-bestandsliste.html?userId=140581004", "Link")</f>
        <v/>
      </c>
      <c r="Q423" s="7" t="n">
        <v>45558.74113425926</v>
      </c>
      <c r="R423" s="3" t="inlineStr">
        <is>
          <t>413.64</t>
        </is>
      </c>
      <c r="S423" t="inlineStr">
        <is>
          <t>Köln</t>
        </is>
      </c>
    </row>
    <row r="424">
      <c r="A424" s="2" t="n">
        <v>3.5</v>
      </c>
      <c r="B424" t="inlineStr">
        <is>
          <t>Gaastra Heatwave</t>
        </is>
      </c>
      <c r="C424" s="3" t="n">
        <v>400</v>
      </c>
      <c r="D424" s="3" t="inlineStr">
        <is>
          <t>144-147</t>
        </is>
      </c>
      <c r="E424" t="inlineStr"/>
      <c r="F424" t="inlineStr"/>
      <c r="G424" t="inlineStr">
        <is>
          <t>used</t>
        </is>
      </c>
      <c r="H424" s="4" t="n">
        <v>45</v>
      </c>
      <c r="I424" t="inlineStr"/>
      <c r="J424" t="inlineStr">
        <is>
          <t>82538 Bayern - Geretsried</t>
        </is>
      </c>
      <c r="K424" s="5" t="n">
        <v>45016</v>
      </c>
      <c r="L424" t="inlineStr"/>
      <c r="M424" s="6">
        <f>HYPERLINK("https://www.kleinanzeigen.de/s-anzeige/gaastra-heatwave-3-5-m-neuwertig-gebr-/2401044342-230-6330", "Link")</f>
        <v/>
      </c>
      <c r="N424" s="6">
        <f>HYPERLINK("C:\Projects\Kleinanzeigen-Scraper\offer_images\2401044342", "Link")</f>
        <v/>
      </c>
      <c r="O424" t="inlineStr">
        <is>
          <t>Fonetrax</t>
        </is>
      </c>
      <c r="P424" s="6">
        <f>HYPERLINK("https://www.kleinanzeigen.de/s-bestandsliste.html?userId=65218566", "Link")</f>
        <v/>
      </c>
      <c r="Q424" s="7" t="n">
        <v>45558.7409837963</v>
      </c>
      <c r="R424" s="3" t="inlineStr">
        <is>
          <t>30.25</t>
        </is>
      </c>
      <c r="S424" t="inlineStr">
        <is>
          <t>München</t>
        </is>
      </c>
    </row>
    <row r="425">
      <c r="A425" s="2" t="n">
        <v>5.7</v>
      </c>
      <c r="B425" t="inlineStr">
        <is>
          <t>Gaastra Freestyle</t>
        </is>
      </c>
      <c r="C425" s="3" t="n">
        <v>460</v>
      </c>
      <c r="D425" s="3" t="n">
        <v>180</v>
      </c>
      <c r="E425" t="inlineStr"/>
      <c r="F425" t="inlineStr"/>
      <c r="G425" t="inlineStr">
        <is>
          <t>used</t>
        </is>
      </c>
      <c r="H425" s="4" t="n">
        <v>50</v>
      </c>
      <c r="I425" t="inlineStr"/>
      <c r="J425" t="inlineStr">
        <is>
          <t>32683 Nordrhein-Westfalen - Barntrup</t>
        </is>
      </c>
      <c r="K425" s="5" t="n">
        <v>45494</v>
      </c>
      <c r="L425" t="inlineStr"/>
      <c r="M425" s="6">
        <f>HYPERLINK("https://www.kleinanzeigen.de/s-anzeige/surfsegel-gaastra-freestyle-5-7/2817568078-230-1274", "Link")</f>
        <v/>
      </c>
      <c r="N425" s="6">
        <f>HYPERLINK("C:\Projects\Kleinanzeigen-Scraper\offer_images\2817568078", "Link")</f>
        <v/>
      </c>
      <c r="O425" t="inlineStr">
        <is>
          <t>Gunter Seidel</t>
        </is>
      </c>
      <c r="P425" s="6">
        <f>HYPERLINK("https://www.kleinanzeigen.de/s-bestandsliste.html?userId=45049809", "Link")</f>
        <v/>
      </c>
      <c r="Q425" s="7" t="n">
        <v>45558.74089120371</v>
      </c>
      <c r="R425" s="3" t="inlineStr">
        <is>
          <t>190.76</t>
        </is>
      </c>
      <c r="S425" t="inlineStr">
        <is>
          <t>Köln</t>
        </is>
      </c>
    </row>
    <row r="426">
      <c r="A426" s="2" t="n">
        <v>4.2</v>
      </c>
      <c r="B426" t="inlineStr">
        <is>
          <t>Gaastra Manic</t>
        </is>
      </c>
      <c r="C426" s="3" t="n">
        <v>370</v>
      </c>
      <c r="D426" s="3" t="n">
        <v>152</v>
      </c>
      <c r="E426" t="inlineStr">
        <is>
          <t>Wave</t>
        </is>
      </c>
      <c r="F426" t="inlineStr">
        <is>
          <t>2018</t>
        </is>
      </c>
      <c r="G426" t="inlineStr">
        <is>
          <t>used</t>
        </is>
      </c>
      <c r="H426" s="4" t="n">
        <v>155</v>
      </c>
      <c r="I426" t="inlineStr"/>
      <c r="J426" t="inlineStr">
        <is>
          <t>87435 Bayern - Kempten</t>
        </is>
      </c>
      <c r="K426" s="5" t="n">
        <v>45468</v>
      </c>
      <c r="L426" t="inlineStr"/>
      <c r="M426" s="6">
        <f>HYPERLINK("https://www.kleinanzeigen.de/s-anzeige/segel-gaastra-manic-wave-4-2-zustand-gut-bis-sehr-gut/2797008298-230-7619", "Link")</f>
        <v/>
      </c>
      <c r="N426" s="6">
        <f>HYPERLINK("C:\Projects\Kleinanzeigen-Scraper\offer_images\2797008298", "Link")</f>
        <v/>
      </c>
      <c r="O426" t="inlineStr">
        <is>
          <t>Gerti</t>
        </is>
      </c>
      <c r="P426" s="6">
        <f>HYPERLINK("https://www.kleinanzeigen.de/s-bestandsliste.html?userId=19313165", "Link")</f>
        <v/>
      </c>
      <c r="Q426" s="7" t="n">
        <v>45558.74082175926</v>
      </c>
      <c r="R426" s="3" t="inlineStr">
        <is>
          <t>104.77</t>
        </is>
      </c>
      <c r="S426" t="inlineStr">
        <is>
          <t>München</t>
        </is>
      </c>
    </row>
    <row r="427">
      <c r="A427" s="2" t="n">
        <v>5.6</v>
      </c>
      <c r="B427" t="inlineStr">
        <is>
          <t>Gaastra GA IQ HD</t>
        </is>
      </c>
      <c r="C427" s="3" t="n">
        <v>400</v>
      </c>
      <c r="D427" s="3" t="n">
        <v>175</v>
      </c>
      <c r="E427" t="inlineStr"/>
      <c r="F427" t="inlineStr"/>
      <c r="G427" t="inlineStr">
        <is>
          <t>used</t>
        </is>
      </c>
      <c r="H427" s="4" t="n">
        <v>200</v>
      </c>
      <c r="I427" t="inlineStr">
        <is>
          <t>VB</t>
        </is>
      </c>
      <c r="J427" t="inlineStr">
        <is>
          <t>87527 Bayern - Sonthofen</t>
        </is>
      </c>
      <c r="K427" s="5" t="n">
        <v>45395</v>
      </c>
      <c r="L427" t="inlineStr"/>
      <c r="M427" s="6">
        <f>HYPERLINK("https://www.kleinanzeigen.de/s-anzeige/gaastra-ga-sails-iq-hd-5-6/2733950469-230-5537", "Link")</f>
        <v/>
      </c>
      <c r="N427" s="6">
        <f>HYPERLINK("C:\Projects\Kleinanzeigen-Scraper\offer_images\2733950469", "Link")</f>
        <v/>
      </c>
      <c r="O427" t="inlineStr">
        <is>
          <t>Christian</t>
        </is>
      </c>
      <c r="P427" s="6">
        <f>HYPERLINK("https://www.kleinanzeigen.de/s-bestandsliste.html?userId=13709341", "Link")</f>
        <v/>
      </c>
      <c r="Q427" s="7" t="n">
        <v>45558.74077546296</v>
      </c>
      <c r="R427" s="3" t="inlineStr">
        <is>
          <t>118.69</t>
        </is>
      </c>
      <c r="S427" t="inlineStr">
        <is>
          <t>München</t>
        </is>
      </c>
    </row>
    <row r="428">
      <c r="A428" s="2" t="n">
        <v>3.7</v>
      </c>
      <c r="B428" t="inlineStr">
        <is>
          <t>Gaastra Manic</t>
        </is>
      </c>
      <c r="C428" s="3" t="inlineStr"/>
      <c r="D428" s="3" t="inlineStr"/>
      <c r="E428" t="inlineStr"/>
      <c r="F428" t="inlineStr">
        <is>
          <t>2022</t>
        </is>
      </c>
      <c r="G428" t="inlineStr">
        <is>
          <t>used</t>
        </is>
      </c>
      <c r="H428" s="4" t="n">
        <v>330</v>
      </c>
      <c r="I428" t="inlineStr">
        <is>
          <t>VB</t>
        </is>
      </c>
      <c r="J428" t="inlineStr">
        <is>
          <t>87629 Bayern - Füssen</t>
        </is>
      </c>
      <c r="K428" s="5" t="n">
        <v>45485</v>
      </c>
      <c r="L428" t="inlineStr"/>
      <c r="M428" s="6">
        <f>HYPERLINK("https://www.kleinanzeigen.de/s-anzeige/gaastra-manic-windsurf-segel-3-7m-2022/2810309474-230-6564", "Link")</f>
        <v/>
      </c>
      <c r="N428" s="6">
        <f>HYPERLINK("C:\Projects\Kleinanzeigen-Scraper\offer_images\2810309474", "Link")</f>
        <v/>
      </c>
      <c r="O428" t="inlineStr">
        <is>
          <t>Elena L.</t>
        </is>
      </c>
      <c r="P428" s="6">
        <f>HYPERLINK("https://www.kleinanzeigen.de/s-bestandsliste.html?userId=11440825", "Link")</f>
        <v/>
      </c>
      <c r="Q428" s="7" t="n">
        <v>45558.74076388889</v>
      </c>
      <c r="R428" s="3" t="inlineStr">
        <is>
          <t>92.19</t>
        </is>
      </c>
      <c r="S428" t="inlineStr">
        <is>
          <t>München</t>
        </is>
      </c>
    </row>
    <row r="429">
      <c r="A429" s="2" t="n">
        <v>5.4</v>
      </c>
      <c r="B429" t="inlineStr">
        <is>
          <t>GAASTRA Poison HD</t>
        </is>
      </c>
      <c r="C429" s="3" t="n">
        <v>400</v>
      </c>
      <c r="D429" s="3" t="n">
        <v>175</v>
      </c>
      <c r="E429" t="inlineStr"/>
      <c r="F429" t="inlineStr"/>
      <c r="G429" t="inlineStr">
        <is>
          <t>used</t>
        </is>
      </c>
      <c r="H429" s="4" t="n">
        <v>65</v>
      </c>
      <c r="I429" t="inlineStr"/>
      <c r="J429" t="inlineStr">
        <is>
          <t>65779 Hessen - Kelkheim</t>
        </is>
      </c>
      <c r="K429" s="5" t="n">
        <v>45528</v>
      </c>
      <c r="L429" t="inlineStr"/>
      <c r="M429" s="6">
        <f>HYPERLINK("https://www.kleinanzeigen.de/s-anzeige/gaastra-poison-hd-wave-segel-5-4/2845268797-230-4813", "Link")</f>
        <v/>
      </c>
      <c r="N429" s="6">
        <f>HYPERLINK("C:\Projects\Kleinanzeigen-Scraper\offer_images\2845268797", "Link")</f>
        <v/>
      </c>
      <c r="O429" t="inlineStr">
        <is>
          <t>Jens Rasche</t>
        </is>
      </c>
      <c r="P429" s="6">
        <f>HYPERLINK("https://www.kleinanzeigen.de/s-bestandsliste.html?userId=25448088", "Link")</f>
        <v/>
      </c>
      <c r="Q429" s="7" t="n">
        <v>45558.74063657408</v>
      </c>
      <c r="R429" s="3" t="inlineStr">
        <is>
          <t>127.81</t>
        </is>
      </c>
      <c r="S429" t="inlineStr">
        <is>
          <t>Karlsruhe</t>
        </is>
      </c>
    </row>
    <row r="430">
      <c r="A430" s="2" t="n">
        <v>9.199999999999999</v>
      </c>
      <c r="B430" t="inlineStr">
        <is>
          <t>Neil Pryde H2</t>
        </is>
      </c>
      <c r="C430" s="3" t="n">
        <v>490</v>
      </c>
      <c r="D430" s="3" t="inlineStr"/>
      <c r="E430" t="inlineStr"/>
      <c r="F430" t="inlineStr"/>
      <c r="G430" t="inlineStr">
        <is>
          <t>repaired</t>
        </is>
      </c>
      <c r="H430" s="4" t="n">
        <v>160</v>
      </c>
      <c r="I430" t="inlineStr"/>
      <c r="J430" t="inlineStr">
        <is>
          <t>51377 Nordrhein-Westfalen - Leverkusen</t>
        </is>
      </c>
      <c r="K430" s="5" t="n">
        <v>45558</v>
      </c>
      <c r="L430" t="inlineStr"/>
      <c r="M430" s="6">
        <f>HYPERLINK("https://www.kleinanzeigen.de/s-anzeige/neil-pryde-h2-9-2-leichwind-neilpryde-no-severne-duotone/2871817859-230-1992", "Link")</f>
        <v/>
      </c>
      <c r="N430" s="6">
        <f>HYPERLINK("C:\Projects\Kleinanzeigen-Scraper\offer_images\2871817859", "Link")</f>
        <v/>
      </c>
      <c r="O430" t="inlineStr">
        <is>
          <t>Jan</t>
        </is>
      </c>
      <c r="P430" s="6">
        <f>HYPERLINK("https://www.kleinanzeigen.de/s-bestandsliste.html?userId=3530011", "Link")</f>
        <v/>
      </c>
      <c r="Q430" s="7" t="n">
        <v>45558.74052083334</v>
      </c>
      <c r="R430" s="3" t="inlineStr">
        <is>
          <t>15.33</t>
        </is>
      </c>
      <c r="S430" t="inlineStr">
        <is>
          <t>Köln</t>
        </is>
      </c>
    </row>
    <row r="431">
      <c r="A431" s="2" t="n">
        <v>7.5</v>
      </c>
      <c r="B431" t="inlineStr">
        <is>
          <t>Gaastra</t>
        </is>
      </c>
      <c r="C431" s="3" t="n">
        <v>460</v>
      </c>
      <c r="D431" s="3" t="n">
        <v>218</v>
      </c>
      <c r="E431" t="inlineStr"/>
      <c r="F431" t="inlineStr"/>
      <c r="G431" t="inlineStr">
        <is>
          <t>used</t>
        </is>
      </c>
      <c r="H431" s="4" t="n">
        <v>100</v>
      </c>
      <c r="I431" t="inlineStr">
        <is>
          <t>VB</t>
        </is>
      </c>
      <c r="J431" t="inlineStr">
        <is>
          <t>72145 Baden-Württemberg - Hirrlingen</t>
        </is>
      </c>
      <c r="K431" s="5" t="n">
        <v>45517</v>
      </c>
      <c r="L431" t="inlineStr"/>
      <c r="M431" s="6">
        <f>HYPERLINK("https://www.kleinanzeigen.de/s-anzeige/windsurfsegel-gaastra-7-5-qm/2835966986-230-8155", "Link")</f>
        <v/>
      </c>
      <c r="N431" s="6">
        <f>HYPERLINK("C:\Projects\Kleinanzeigen-Scraper\offer_images\2835966986", "Link")</f>
        <v/>
      </c>
      <c r="O431" t="inlineStr">
        <is>
          <t>Marcel Reichert</t>
        </is>
      </c>
      <c r="P431" s="6">
        <f>HYPERLINK("https://www.kleinanzeigen.de/s-bestandsliste.html?userId=29038376", "Link")</f>
        <v/>
      </c>
      <c r="Q431" s="7" t="n">
        <v>45558.74048611111</v>
      </c>
      <c r="R431" s="3" t="inlineStr">
        <is>
          <t>30.25</t>
        </is>
      </c>
      <c r="S431" t="inlineStr">
        <is>
          <t>Böblingen</t>
        </is>
      </c>
    </row>
    <row r="432">
      <c r="A432" s="2" t="n">
        <v>5</v>
      </c>
      <c r="B432" t="inlineStr">
        <is>
          <t>Gaastra Hitfly</t>
        </is>
      </c>
      <c r="C432" s="3" t="inlineStr"/>
      <c r="D432" s="3" t="inlineStr"/>
      <c r="E432" t="inlineStr">
        <is>
          <t>Slalom</t>
        </is>
      </c>
      <c r="F432" t="inlineStr"/>
      <c r="G432" t="inlineStr">
        <is>
          <t>used</t>
        </is>
      </c>
      <c r="H432" s="4" t="n">
        <v>30</v>
      </c>
      <c r="I432" t="inlineStr"/>
      <c r="J432" t="inlineStr">
        <is>
          <t>60389 Frankfurt am Main - Nordend</t>
        </is>
      </c>
      <c r="K432" s="5" t="n">
        <v>45445</v>
      </c>
      <c r="L432" t="inlineStr">
        <is>
          <t>Sold</t>
        </is>
      </c>
      <c r="M432" s="6">
        <f>HYPERLINK("https://www.kleinanzeigen.de/s-anzeige/vitange-surf-segel-gaastra-hitfly-slalom-5-0/2778591828-230-16302", "Link")</f>
        <v/>
      </c>
      <c r="N432" s="6">
        <f>HYPERLINK("C:\Projects\Kleinanzeigen-Scraper\offer_images\2778591828", "Link")</f>
        <v/>
      </c>
      <c r="O432" t="inlineStr">
        <is>
          <t>Txs</t>
        </is>
      </c>
      <c r="P432" s="6">
        <f>HYPERLINK("https://www.kleinanzeigen.de/s-bestandsliste.html?userId=16727658", "Link")</f>
        <v/>
      </c>
      <c r="Q432" s="7" t="n">
        <v>45558.74045138889</v>
      </c>
      <c r="R432" s="3" t="inlineStr">
        <is>
          <t>129.31</t>
        </is>
      </c>
      <c r="S432" t="inlineStr">
        <is>
          <t>Karlsruhe</t>
        </is>
      </c>
    </row>
    <row r="433">
      <c r="A433" s="2" t="n">
        <v>6.4</v>
      </c>
      <c r="B433" t="inlineStr">
        <is>
          <t>GAASTRA Powerspeed</t>
        </is>
      </c>
      <c r="C433" s="3" t="n">
        <v>485</v>
      </c>
      <c r="D433" s="3" t="n">
        <v>200</v>
      </c>
      <c r="E433" t="inlineStr"/>
      <c r="F433" t="inlineStr"/>
      <c r="G433" t="inlineStr">
        <is>
          <t>used</t>
        </is>
      </c>
      <c r="H433" s="4" t="n">
        <v>20</v>
      </c>
      <c r="I433" t="inlineStr"/>
      <c r="J433" t="inlineStr">
        <is>
          <t>22393 Wandsbek - Hamburg Sasel</t>
        </is>
      </c>
      <c r="K433" s="5" t="n">
        <v>45470</v>
      </c>
      <c r="L433" t="inlineStr"/>
      <c r="M433" s="6">
        <f>HYPERLINK("https://www.kleinanzeigen.de/s-anzeige/windsurfing-gaastra-segel-6-4qm-powerspeed-gebraucht/2798561737-230-18783", "Link")</f>
        <v/>
      </c>
      <c r="N433" s="6">
        <f>HYPERLINK("C:\Projects\Kleinanzeigen-Scraper\offer_images\2798561737", "Link")</f>
        <v/>
      </c>
      <c r="O433" t="inlineStr">
        <is>
          <t>Gerald Lehmann</t>
        </is>
      </c>
      <c r="P433" s="6">
        <f>HYPERLINK("https://www.kleinanzeigen.de/s-bestandsliste.html?userId=7813071", "Link")</f>
        <v/>
      </c>
      <c r="Q433" s="7" t="n">
        <v>45558.74034722222</v>
      </c>
      <c r="R433" s="3" t="inlineStr">
        <is>
          <t>370.55</t>
        </is>
      </c>
      <c r="S433" t="inlineStr">
        <is>
          <t>Köln</t>
        </is>
      </c>
    </row>
    <row r="434">
      <c r="A434" s="2" t="n">
        <v>12</v>
      </c>
      <c r="B434" t="inlineStr">
        <is>
          <t>Gaastra Vapor</t>
        </is>
      </c>
      <c r="C434" s="3" t="inlineStr"/>
      <c r="D434" s="3" t="inlineStr"/>
      <c r="E434" t="inlineStr"/>
      <c r="F434" t="inlineStr"/>
      <c r="G434" t="inlineStr"/>
      <c r="H434" s="4" t="n">
        <v>100</v>
      </c>
      <c r="I434" t="inlineStr"/>
      <c r="J434" t="inlineStr">
        <is>
          <t>30900 Niedersachsen - Wedemark</t>
        </is>
      </c>
      <c r="K434" s="5" t="n">
        <v>45438</v>
      </c>
      <c r="L434" t="inlineStr"/>
      <c r="M434" s="6">
        <f>HYPERLINK("https://www.kleinanzeigen.de/s-anzeige/gaastra-vapor-12pm/2771815818-230-2918", "Link")</f>
        <v/>
      </c>
      <c r="N434" s="6">
        <f>HYPERLINK("C:\Projects\Kleinanzeigen-Scraper\offer_images\2771815818", "Link")</f>
        <v/>
      </c>
      <c r="O434" t="inlineStr">
        <is>
          <t>Matthias Huge</t>
        </is>
      </c>
      <c r="P434" s="6">
        <f>HYPERLINK("https://www.kleinanzeigen.de/s-bestandsliste.html?userId=10542032", "Link")</f>
        <v/>
      </c>
      <c r="Q434" s="7" t="n">
        <v>45558.74030092593</v>
      </c>
      <c r="R434" s="3" t="inlineStr">
        <is>
          <t>260.77</t>
        </is>
      </c>
      <c r="S434" t="inlineStr">
        <is>
          <t>Köln</t>
        </is>
      </c>
    </row>
    <row r="435">
      <c r="A435" s="2" t="n">
        <v>9.6</v>
      </c>
      <c r="B435" t="inlineStr">
        <is>
          <t>GA Gaastra Vapor</t>
        </is>
      </c>
      <c r="C435" s="3" t="inlineStr"/>
      <c r="D435" s="3" t="inlineStr"/>
      <c r="E435" t="inlineStr"/>
      <c r="F435" t="inlineStr">
        <is>
          <t>2017</t>
        </is>
      </c>
      <c r="G435" t="inlineStr">
        <is>
          <t>used</t>
        </is>
      </c>
      <c r="H435" s="4" t="n">
        <v>230</v>
      </c>
      <c r="I435" t="inlineStr"/>
      <c r="J435" t="inlineStr">
        <is>
          <t>82223 Bayern - Eichenau</t>
        </is>
      </c>
      <c r="K435" s="5" t="n">
        <v>45487</v>
      </c>
      <c r="L435" t="inlineStr"/>
      <c r="M435" s="6">
        <f>HYPERLINK("https://www.kleinanzeigen.de/s-anzeige/ga-gaastra-vapor-9-6-racesegel-f-grosse-slalomboards-oder-formula/2811824292-230-16921", "Link")</f>
        <v/>
      </c>
      <c r="N435" s="6">
        <f>HYPERLINK("C:\Projects\Kleinanzeigen-Scraper\offer_images\2811824292", "Link")</f>
        <v/>
      </c>
      <c r="O435" t="inlineStr">
        <is>
          <t>Rudolf Schmid</t>
        </is>
      </c>
      <c r="P435" s="6">
        <f>HYPERLINK("https://www.kleinanzeigen.de/s-bestandsliste.html?userId=17231482", "Link")</f>
        <v/>
      </c>
      <c r="Q435" s="7" t="n">
        <v>45558.74030092593</v>
      </c>
      <c r="R435" s="3" t="inlineStr">
        <is>
          <t>19.02</t>
        </is>
      </c>
      <c r="S435" t="inlineStr">
        <is>
          <t>München</t>
        </is>
      </c>
    </row>
    <row r="436">
      <c r="A436" s="2" t="n">
        <v>8.199999999999999</v>
      </c>
      <c r="B436" t="inlineStr">
        <is>
          <t>GA Sails Gaastra Vapor Air SL</t>
        </is>
      </c>
      <c r="C436" s="3" t="inlineStr"/>
      <c r="D436" s="3" t="inlineStr"/>
      <c r="E436" t="inlineStr">
        <is>
          <t>Foil</t>
        </is>
      </c>
      <c r="F436" t="inlineStr">
        <is>
          <t>2021</t>
        </is>
      </c>
      <c r="G436" t="inlineStr">
        <is>
          <t>repaired</t>
        </is>
      </c>
      <c r="H436" s="4" t="n">
        <v>280</v>
      </c>
      <c r="I436" t="inlineStr"/>
      <c r="J436" t="inlineStr">
        <is>
          <t>09126 Sachsen - Chemnitz</t>
        </is>
      </c>
      <c r="K436" s="5" t="n">
        <v>45216</v>
      </c>
      <c r="L436" t="inlineStr"/>
      <c r="M436" s="6">
        <f>HYPERLINK("https://www.kleinanzeigen.de/s-anzeige/ga-sails-gaastra-vapor-air-sl-8-2-2021-foil-segel/2575168881-230-3880", "Link")</f>
        <v/>
      </c>
      <c r="N436" s="6">
        <f>HYPERLINK("C:\Projects\Kleinanzeigen-Scraper\offer_images\2575168881", "Link")</f>
        <v/>
      </c>
      <c r="O436" t="inlineStr">
        <is>
          <t>Markus Layer</t>
        </is>
      </c>
      <c r="P436" s="6">
        <f>HYPERLINK("https://www.kleinanzeigen.de/s-bestandsliste.html?userId=23246334", "Link")</f>
        <v/>
      </c>
      <c r="Q436" s="7" t="n">
        <v>45558.74018518518</v>
      </c>
      <c r="R436" s="3" t="inlineStr">
        <is>
          <t>314.18</t>
        </is>
      </c>
      <c r="S436" t="inlineStr">
        <is>
          <t>München</t>
        </is>
      </c>
    </row>
    <row r="437">
      <c r="A437" s="2" t="n">
        <v>7.5</v>
      </c>
      <c r="B437" t="inlineStr">
        <is>
          <t>Gaastra Pilot</t>
        </is>
      </c>
      <c r="C437" s="3" t="n">
        <v>430</v>
      </c>
      <c r="D437" s="3" t="inlineStr"/>
      <c r="E437" t="inlineStr"/>
      <c r="F437" t="inlineStr"/>
      <c r="G437" t="inlineStr">
        <is>
          <t>repaired</t>
        </is>
      </c>
      <c r="H437" s="4" t="n">
        <v>50</v>
      </c>
      <c r="I437" t="inlineStr"/>
      <c r="J437" t="inlineStr">
        <is>
          <t>51597 Nordrhein-Westfalen - Morsbach</t>
        </is>
      </c>
      <c r="K437" s="5" t="n">
        <v>45529</v>
      </c>
      <c r="L437" t="inlineStr"/>
      <c r="M437" s="6">
        <f>HYPERLINK("https://www.kleinanzeigen.de/s-anzeige/windsurfsegel-gaastra-pilot-7-5/2846020502-230-1536", "Link")</f>
        <v/>
      </c>
      <c r="N437" s="6">
        <f>HYPERLINK("C:\Projects\Kleinanzeigen-Scraper\offer_images\2846020502", "Link")</f>
        <v/>
      </c>
      <c r="O437" t="inlineStr">
        <is>
          <t>Herr Schuh</t>
        </is>
      </c>
      <c r="P437" s="6">
        <f>HYPERLINK("https://www.kleinanzeigen.de/s-bestandsliste.html?userId=26921719", "Link")</f>
        <v/>
      </c>
      <c r="Q437" s="7" t="n">
        <v>45558.74015046296</v>
      </c>
      <c r="R437" s="3" t="inlineStr">
        <is>
          <t>53.41</t>
        </is>
      </c>
      <c r="S437" t="inlineStr">
        <is>
          <t>Köln</t>
        </is>
      </c>
    </row>
    <row r="438">
      <c r="A438" s="2" t="n">
        <v>5.6</v>
      </c>
      <c r="B438" t="inlineStr">
        <is>
          <t>Gaastra M Four</t>
        </is>
      </c>
      <c r="C438" s="3" t="inlineStr"/>
      <c r="D438" s="3" t="inlineStr"/>
      <c r="E438" t="inlineStr"/>
      <c r="F438" t="inlineStr"/>
      <c r="G438" t="inlineStr">
        <is>
          <t>repaired</t>
        </is>
      </c>
      <c r="H438" s="4" t="n">
        <v>100</v>
      </c>
      <c r="I438" t="inlineStr"/>
      <c r="J438" t="inlineStr">
        <is>
          <t>12557 Berlin - Köpenick</t>
        </is>
      </c>
      <c r="K438" s="5" t="n">
        <v>45531</v>
      </c>
      <c r="L438" t="inlineStr"/>
      <c r="M438" s="6">
        <f>HYPERLINK("https://www.kleinanzeigen.de/s-anzeige/gaastra-m-four-5-6-segel/2847708144-230-3366", "Link")</f>
        <v/>
      </c>
      <c r="N438" s="6">
        <f>HYPERLINK("C:\Projects\Kleinanzeigen-Scraper\offer_images\2847708144", "Link")</f>
        <v/>
      </c>
      <c r="O438" t="inlineStr">
        <is>
          <t>I.T.</t>
        </is>
      </c>
      <c r="P438" s="6">
        <f>HYPERLINK("https://www.kleinanzeigen.de/s-bestandsliste.html?userId=4558947", "Link")</f>
        <v/>
      </c>
      <c r="Q438" s="7" t="n">
        <v>45558.74013888889</v>
      </c>
      <c r="R438" s="3" t="inlineStr">
        <is>
          <t>486.19</t>
        </is>
      </c>
      <c r="S438" t="inlineStr">
        <is>
          <t>Köln</t>
        </is>
      </c>
    </row>
    <row r="439">
      <c r="A439" s="2" t="n">
        <v>7.2</v>
      </c>
      <c r="B439" t="inlineStr">
        <is>
          <t>Gaastra Hybrid</t>
        </is>
      </c>
      <c r="C439" s="3" t="n">
        <v>460</v>
      </c>
      <c r="D439" s="3" t="n">
        <v>190</v>
      </c>
      <c r="E439" t="inlineStr"/>
      <c r="F439" t="inlineStr">
        <is>
          <t>2019</t>
        </is>
      </c>
      <c r="G439" t="inlineStr">
        <is>
          <t>used</t>
        </is>
      </c>
      <c r="H439" s="4" t="n">
        <v>290</v>
      </c>
      <c r="I439" t="inlineStr"/>
      <c r="J439" t="inlineStr">
        <is>
          <t>01558 Sachsen - Großenhain</t>
        </is>
      </c>
      <c r="K439" s="5" t="n">
        <v>45546</v>
      </c>
      <c r="L439" t="inlineStr"/>
      <c r="M439" s="6">
        <f>HYPERLINK("https://www.kleinanzeigen.de/s-anzeige/gaastra-hybrid-7-2/2860338451-230-3994", "Link")</f>
        <v/>
      </c>
      <c r="N439" s="6">
        <f>HYPERLINK("C:\Projects\Kleinanzeigen-Scraper\offer_images\2860338451", "Link")</f>
        <v/>
      </c>
      <c r="O439" t="inlineStr">
        <is>
          <t>Schmidt, Robert</t>
        </is>
      </c>
      <c r="P439" s="6">
        <f>HYPERLINK("https://www.kleinanzeigen.de/s-bestandsliste.html?userId=18600490", "Link")</f>
        <v/>
      </c>
      <c r="Q439" s="7" t="n">
        <v>45558.74006944444</v>
      </c>
      <c r="R439" s="3" t="inlineStr">
        <is>
          <t>378.05</t>
        </is>
      </c>
      <c r="S439" t="inlineStr">
        <is>
          <t>München</t>
        </is>
      </c>
    </row>
    <row r="440">
      <c r="A440" s="2" t="n">
        <v>11</v>
      </c>
      <c r="B440" t="inlineStr">
        <is>
          <t>Gaastra Swift</t>
        </is>
      </c>
      <c r="C440" s="3" t="n">
        <v>552</v>
      </c>
      <c r="D440" s="3" t="n">
        <v>275</v>
      </c>
      <c r="E440" t="inlineStr"/>
      <c r="F440" t="inlineStr"/>
      <c r="G440" t="inlineStr">
        <is>
          <t>used</t>
        </is>
      </c>
      <c r="H440" s="4" t="n">
        <v>110</v>
      </c>
      <c r="I440" t="inlineStr">
        <is>
          <t>VB</t>
        </is>
      </c>
      <c r="J440" t="inlineStr">
        <is>
          <t>12587 Berlin - Köpenick</t>
        </is>
      </c>
      <c r="K440" s="5" t="n">
        <v>45528</v>
      </c>
      <c r="L440" t="inlineStr"/>
      <c r="M440" s="6">
        <f>HYPERLINK("https://www.kleinanzeigen.de/s-anzeige/gaastra-swift-11-0m-segel/2845311259-230-3374", "Link")</f>
        <v/>
      </c>
      <c r="N440" s="6">
        <f>HYPERLINK("C:\Projects\Kleinanzeigen-Scraper\offer_images\2845311259", "Link")</f>
        <v/>
      </c>
      <c r="O440" t="inlineStr">
        <is>
          <t>Müller</t>
        </is>
      </c>
      <c r="P440" s="6">
        <f>HYPERLINK("https://www.kleinanzeigen.de/s-bestandsliste.html?userId=5985090", "Link")</f>
        <v/>
      </c>
      <c r="Q440" s="7" t="n">
        <v>45558.7400462963</v>
      </c>
      <c r="R440" s="3" t="inlineStr">
        <is>
          <t>490.72</t>
        </is>
      </c>
      <c r="S440" t="inlineStr">
        <is>
          <t>Köln</t>
        </is>
      </c>
    </row>
    <row r="441">
      <c r="A441" s="2" t="n">
        <v>8.6</v>
      </c>
      <c r="B441" t="inlineStr">
        <is>
          <t>Gaastra Savage</t>
        </is>
      </c>
      <c r="C441" s="3" t="n">
        <v>4.9</v>
      </c>
      <c r="D441" s="3" t="n">
        <v>2.17</v>
      </c>
      <c r="E441" t="inlineStr">
        <is>
          <t>Freerace</t>
        </is>
      </c>
      <c r="F441" t="inlineStr"/>
      <c r="G441" t="inlineStr">
        <is>
          <t>used</t>
        </is>
      </c>
      <c r="H441" s="4" t="n">
        <v>300</v>
      </c>
      <c r="I441" t="inlineStr">
        <is>
          <t>VB</t>
        </is>
      </c>
      <c r="J441" t="inlineStr">
        <is>
          <t>86668 Bayern - Karlshuld</t>
        </is>
      </c>
      <c r="K441" s="5" t="n">
        <v>45528</v>
      </c>
      <c r="L441" t="inlineStr"/>
      <c r="M441" s="6">
        <f>HYPERLINK("https://www.kleinanzeigen.de/s-anzeige/gaastra-savage-surfsegel-8-6/2844995618-230-7616", "Link")</f>
        <v/>
      </c>
      <c r="N441" s="6">
        <f>HYPERLINK("C:\Projects\Kleinanzeigen-Scraper\offer_images\2844995618", "Link")</f>
        <v/>
      </c>
      <c r="O441" t="inlineStr">
        <is>
          <t>Heidi K.</t>
        </is>
      </c>
      <c r="P441" s="6">
        <f>HYPERLINK("https://www.kleinanzeigen.de/s-bestandsliste.html?userId=5720290", "Link")</f>
        <v/>
      </c>
      <c r="Q441" s="7" t="n">
        <v>45558.74002314815</v>
      </c>
      <c r="R441" s="3" t="inlineStr">
        <is>
          <t>64.24</t>
        </is>
      </c>
      <c r="S441" t="inlineStr">
        <is>
          <t>München</t>
        </is>
      </c>
    </row>
    <row r="442">
      <c r="A442" s="2" t="n">
        <v>6.5</v>
      </c>
      <c r="B442" t="inlineStr">
        <is>
          <t>Gaastra GTX</t>
        </is>
      </c>
      <c r="C442" s="3" t="n">
        <v>460</v>
      </c>
      <c r="D442" s="3" t="n">
        <v>206</v>
      </c>
      <c r="E442" t="inlineStr"/>
      <c r="F442" t="inlineStr"/>
      <c r="G442" t="inlineStr">
        <is>
          <t>used</t>
        </is>
      </c>
      <c r="H442" s="4" t="n">
        <v>80</v>
      </c>
      <c r="I442" t="inlineStr"/>
      <c r="J442" t="inlineStr">
        <is>
          <t>34593 Hessen - Knüllwald</t>
        </is>
      </c>
      <c r="K442" s="5" t="n">
        <v>45551</v>
      </c>
      <c r="L442" t="inlineStr"/>
      <c r="M442" s="6">
        <f>HYPERLINK("https://www.kleinanzeigen.de/s-anzeige/6-5qm-gaastra-gtx-segel/2865111958-230-4398", "Link")</f>
        <v/>
      </c>
      <c r="N442" s="6">
        <f>HYPERLINK("C:\Projects\Kleinanzeigen-Scraper\offer_images\2865111958", "Link")</f>
        <v/>
      </c>
      <c r="O442" t="inlineStr">
        <is>
          <t>Klaus Eckhardt</t>
        </is>
      </c>
      <c r="P442" s="6">
        <f>HYPERLINK("https://www.kleinanzeigen.de/s-bestandsliste.html?userId=1218414", "Link")</f>
        <v/>
      </c>
      <c r="Q442" s="7" t="n">
        <v>45558.73980324074</v>
      </c>
      <c r="R442" s="3" t="inlineStr">
        <is>
          <t>179.41</t>
        </is>
      </c>
      <c r="S442" t="inlineStr">
        <is>
          <t>Köln</t>
        </is>
      </c>
    </row>
    <row r="443">
      <c r="A443" s="2" t="n">
        <v>9.5</v>
      </c>
      <c r="B443" t="inlineStr">
        <is>
          <t>Gaastra Vapor</t>
        </is>
      </c>
      <c r="C443" s="3" t="n">
        <v>490</v>
      </c>
      <c r="D443" s="3" t="n">
        <v>238</v>
      </c>
      <c r="E443" t="inlineStr">
        <is>
          <t>Race</t>
        </is>
      </c>
      <c r="F443" t="inlineStr"/>
      <c r="G443" t="inlineStr">
        <is>
          <t>used</t>
        </is>
      </c>
      <c r="H443" s="4" t="inlineStr"/>
      <c r="I443" t="inlineStr">
        <is>
          <t>VB</t>
        </is>
      </c>
      <c r="J443" t="inlineStr">
        <is>
          <t>79100 Freiburg im Breisgau - Wiehre</t>
        </is>
      </c>
      <c r="K443" s="5" t="n">
        <v>45554</v>
      </c>
      <c r="L443" t="inlineStr">
        <is>
          <t>Sold</t>
        </is>
      </c>
      <c r="M443" s="6">
        <f>HYPERLINK("https://www.kleinanzeigen.de/s-anzeige/gaastra-vapor-race-segel-9-5m-in-sehr-gutem-zustand/2867853734-230-9368", "Link")</f>
        <v/>
      </c>
      <c r="N443" s="6">
        <f>HYPERLINK("C:\Projects\Kleinanzeigen-Scraper\offer_images\2867853734", "Link")</f>
        <v/>
      </c>
      <c r="O443" t="inlineStr">
        <is>
          <t>MLF</t>
        </is>
      </c>
      <c r="P443" s="6">
        <f>HYPERLINK("https://www.kleinanzeigen.de/s-bestandsliste.html?userId=15574759", "Link")</f>
        <v/>
      </c>
      <c r="Q443" s="7" t="n">
        <v>45558.73975694444</v>
      </c>
      <c r="R443" s="3" t="inlineStr">
        <is>
          <t>39.95</t>
        </is>
      </c>
      <c r="S443" t="inlineStr">
        <is>
          <t>Bonndorf</t>
        </is>
      </c>
    </row>
    <row r="444">
      <c r="A444" s="2" t="n">
        <v>5.8</v>
      </c>
      <c r="B444" t="inlineStr">
        <is>
          <t>Gaastra Grind</t>
        </is>
      </c>
      <c r="C444" s="3" t="n">
        <v>430</v>
      </c>
      <c r="D444" s="3" t="n">
        <v>188</v>
      </c>
      <c r="E444" t="inlineStr"/>
      <c r="F444" t="inlineStr"/>
      <c r="G444" t="inlineStr">
        <is>
          <t>used</t>
        </is>
      </c>
      <c r="H444" s="4" t="n">
        <v>60</v>
      </c>
      <c r="I444" t="inlineStr">
        <is>
          <t>VB</t>
        </is>
      </c>
      <c r="J444" t="inlineStr">
        <is>
          <t>47198 Duisburg - Homberg/Ruhrort/Baerl</t>
        </is>
      </c>
      <c r="K444" s="5" t="n">
        <v>45557</v>
      </c>
      <c r="L444" t="inlineStr"/>
      <c r="M444" s="6">
        <f>HYPERLINK("https://www.kleinanzeigen.de/s-anzeige/surfsegel-gaastra-grind-5-8/2870791731-230-2140", "Link")</f>
        <v/>
      </c>
      <c r="N444" s="6">
        <f>HYPERLINK("C:\Projects\Kleinanzeigen-Scraper\offer_images\2870791731", "Link")</f>
        <v/>
      </c>
      <c r="O444" t="inlineStr">
        <is>
          <t>Pabst, Alexander</t>
        </is>
      </c>
      <c r="P444" s="6">
        <f>HYPERLINK("https://www.kleinanzeigen.de/s-bestandsliste.html?userId=8616794", "Link")</f>
        <v/>
      </c>
      <c r="Q444" s="7" t="n">
        <v>45558.73966435185</v>
      </c>
      <c r="R444" s="3" t="inlineStr">
        <is>
          <t>59.95</t>
        </is>
      </c>
      <c r="S444" t="inlineStr">
        <is>
          <t>Köln</t>
        </is>
      </c>
    </row>
    <row r="445">
      <c r="A445" s="2" t="n">
        <v>4</v>
      </c>
      <c r="B445" t="inlineStr">
        <is>
          <t>Gaastra Manic</t>
        </is>
      </c>
      <c r="C445" s="3" t="n">
        <v>370</v>
      </c>
      <c r="D445" s="3" t="n">
        <v>153</v>
      </c>
      <c r="E445" t="inlineStr"/>
      <c r="F445" t="inlineStr"/>
      <c r="G445" t="inlineStr">
        <is>
          <t>used</t>
        </is>
      </c>
      <c r="H445" s="4" t="n">
        <v>20</v>
      </c>
      <c r="I445" t="inlineStr">
        <is>
          <t>VB</t>
        </is>
      </c>
      <c r="J445" t="inlineStr">
        <is>
          <t>21035 Hamburg - Bergedorf</t>
        </is>
      </c>
      <c r="K445" s="5" t="n">
        <v>45468</v>
      </c>
      <c r="L445" t="inlineStr"/>
      <c r="M445" s="6">
        <f>HYPERLINK("https://www.kleinanzeigen.de/s-anzeige/gaastra-manic-4-0-windsurf-segel/2796793905-230-16432", "Link")</f>
        <v/>
      </c>
      <c r="N445" s="6">
        <f>HYPERLINK("C:\Projects\Kleinanzeigen-Scraper\offer_images\2796793905", "Link")</f>
        <v/>
      </c>
      <c r="O445" t="inlineStr">
        <is>
          <t>Fabian</t>
        </is>
      </c>
      <c r="P445" s="6">
        <f>HYPERLINK("https://www.kleinanzeigen.de/s-bestandsliste.html?userId=26635038", "Link")</f>
        <v/>
      </c>
      <c r="Q445" s="7" t="n">
        <v>45558.73950231481</v>
      </c>
      <c r="R445" s="3" t="inlineStr">
        <is>
          <t>357.47</t>
        </is>
      </c>
      <c r="S445" t="inlineStr">
        <is>
          <t>Köln</t>
        </is>
      </c>
    </row>
    <row r="446">
      <c r="A446" s="2" t="n">
        <v>6.7</v>
      </c>
      <c r="B446" t="inlineStr">
        <is>
          <t>Gaastra Course Slalom Pro</t>
        </is>
      </c>
      <c r="C446" s="3" t="inlineStr"/>
      <c r="D446" s="3" t="inlineStr"/>
      <c r="E446" t="inlineStr">
        <is>
          <t>Slalom</t>
        </is>
      </c>
      <c r="F446" t="inlineStr">
        <is>
          <t>1995</t>
        </is>
      </c>
      <c r="G446" t="inlineStr">
        <is>
          <t>new</t>
        </is>
      </c>
      <c r="H446" s="4" t="n">
        <v>69</v>
      </c>
      <c r="I446" t="inlineStr">
        <is>
          <t>VB</t>
        </is>
      </c>
      <c r="J446" t="inlineStr">
        <is>
          <t>04828 Sachsen - Bennewitz (bei Wurzen)</t>
        </is>
      </c>
      <c r="K446" s="5" t="n">
        <v>45420</v>
      </c>
      <c r="L446" t="inlineStr"/>
      <c r="M446" s="6">
        <f>HYPERLINK("https://www.kleinanzeigen.de/s-anzeige/windsurf-segel-gaastra-6-7m-course-slalom-pro-5-camber/2756195465-230-29063", "Link")</f>
        <v/>
      </c>
      <c r="N446" s="6">
        <f>HYPERLINK("C:\Projects\Kleinanzeigen-Scraper\offer_images\2756195465", "Link")</f>
        <v/>
      </c>
      <c r="O446" t="inlineStr">
        <is>
          <t>Andreas</t>
        </is>
      </c>
      <c r="P446" s="6">
        <f>HYPERLINK("https://www.kleinanzeigen.de/s-bestandsliste.html?userId=1586232", "Link")</f>
        <v/>
      </c>
      <c r="Q446" s="7" t="n">
        <v>45558.73944444444</v>
      </c>
      <c r="R446" s="3" t="inlineStr">
        <is>
          <t>367.78</t>
        </is>
      </c>
      <c r="S446" t="inlineStr">
        <is>
          <t>München</t>
        </is>
      </c>
    </row>
    <row r="447">
      <c r="A447" s="2" t="n">
        <v>5.7</v>
      </c>
      <c r="B447" t="inlineStr">
        <is>
          <t>Gaastra Pulse</t>
        </is>
      </c>
      <c r="C447" s="3" t="inlineStr"/>
      <c r="D447" s="3" t="inlineStr"/>
      <c r="E447" t="inlineStr"/>
      <c r="F447" t="inlineStr"/>
      <c r="G447" t="inlineStr">
        <is>
          <t>used</t>
        </is>
      </c>
      <c r="H447" s="4" t="n">
        <v>80</v>
      </c>
      <c r="I447" t="inlineStr"/>
      <c r="J447" t="inlineStr">
        <is>
          <t>82346 Bayern - Andechs</t>
        </is>
      </c>
      <c r="K447" s="5" t="n">
        <v>45495</v>
      </c>
      <c r="L447" t="inlineStr"/>
      <c r="M447" s="6">
        <f>HYPERLINK("https://www.kleinanzeigen.de/s-anzeige/windsurfen-segel-5-7-gaastra-pulse-optional-als-komplettrigg/2818738952-230-5524", "Link")</f>
        <v/>
      </c>
      <c r="N447" s="6">
        <f>HYPERLINK("C:\Projects\Kleinanzeigen-Scraper\offer_images\2818738952", "Link")</f>
        <v/>
      </c>
      <c r="O447" t="inlineStr">
        <is>
          <t>M. K.</t>
        </is>
      </c>
      <c r="P447" s="6">
        <f>HYPERLINK("https://www.kleinanzeigen.de/s-bestandsliste.html?userId=59256837", "Link")</f>
        <v/>
      </c>
      <c r="Q447" s="7" t="n">
        <v>45558.73940972222</v>
      </c>
      <c r="R447" s="3" t="inlineStr">
        <is>
          <t>34.46</t>
        </is>
      </c>
      <c r="S447" t="inlineStr">
        <is>
          <t>München</t>
        </is>
      </c>
    </row>
    <row r="448">
      <c r="A448" s="2" t="n">
        <v>5.3</v>
      </c>
      <c r="B448" t="inlineStr">
        <is>
          <t>Gaastra Manic</t>
        </is>
      </c>
      <c r="C448" s="3" t="n">
        <v>400</v>
      </c>
      <c r="D448" s="3" t="n">
        <v>168</v>
      </c>
      <c r="E448" t="inlineStr">
        <is>
          <t>Wave</t>
        </is>
      </c>
      <c r="F448" t="inlineStr">
        <is>
          <t>2012</t>
        </is>
      </c>
      <c r="G448" t="inlineStr">
        <is>
          <t>used</t>
        </is>
      </c>
      <c r="H448" s="4" t="n">
        <v>100</v>
      </c>
      <c r="I448" t="inlineStr">
        <is>
          <t>VB</t>
        </is>
      </c>
      <c r="J448" t="inlineStr">
        <is>
          <t>21037 Bergedorf - Kirchwerder</t>
        </is>
      </c>
      <c r="K448" s="5" t="n">
        <v>45526</v>
      </c>
      <c r="L448" t="inlineStr"/>
      <c r="M448" s="6">
        <f>HYPERLINK("https://www.kleinanzeigen.de/s-anzeige/gaastra-manic-5-3-wave-segel/2843158814-230-18570", "Link")</f>
        <v/>
      </c>
      <c r="N448" s="6">
        <f>HYPERLINK("C:\Projects\Kleinanzeigen-Scraper\offer_images\2843158814", "Link")</f>
        <v/>
      </c>
      <c r="O448" t="inlineStr">
        <is>
          <t>HH Kirchwerder</t>
        </is>
      </c>
      <c r="P448" s="6">
        <f>HYPERLINK("https://www.kleinanzeigen.de/s-bestandsliste.html?userId=5155125", "Link")</f>
        <v/>
      </c>
      <c r="Q448" s="7" t="n">
        <v>45558.73939814815</v>
      </c>
      <c r="R448" s="3" t="inlineStr">
        <is>
          <t>354.05</t>
        </is>
      </c>
      <c r="S448" t="inlineStr">
        <is>
          <t>Köln</t>
        </is>
      </c>
    </row>
    <row r="449">
      <c r="A449" s="2" t="n">
        <v>5</v>
      </c>
      <c r="B449" t="inlineStr">
        <is>
          <t>Gaastra GA-SAILS Manic</t>
        </is>
      </c>
      <c r="C449" s="3" t="n">
        <v>400</v>
      </c>
      <c r="D449" s="3" t="n">
        <v>169</v>
      </c>
      <c r="E449" t="inlineStr">
        <is>
          <t>Hardcore Wave</t>
        </is>
      </c>
      <c r="F449" t="inlineStr">
        <is>
          <t>2022</t>
        </is>
      </c>
      <c r="G449" t="inlineStr">
        <is>
          <t>new</t>
        </is>
      </c>
      <c r="H449" s="4" t="n">
        <v>469</v>
      </c>
      <c r="I449" t="inlineStr"/>
      <c r="J449" t="inlineStr">
        <is>
          <t>82319 Bayern - Starnberg</t>
        </is>
      </c>
      <c r="K449" s="5" t="n">
        <v>45549</v>
      </c>
      <c r="L449" t="inlineStr"/>
      <c r="M449" s="6">
        <f>HYPERLINK("https://www.kleinanzeigen.de/s-anzeige/gaastra-ga-sails-manic-5-0-hardcore-wave-segel-yellow-2022/2167876705-230-5525", "Link")</f>
        <v/>
      </c>
      <c r="N449" s="6">
        <f>HYPERLINK("C:\Projects\Kleinanzeigen-Scraper\offer_images\2167876705", "Link")</f>
        <v/>
      </c>
      <c r="O449" t="inlineStr">
        <is>
          <t>No user name</t>
        </is>
      </c>
      <c r="P449" s="6">
        <f>HYPERLINK("https://www.kleinanzeigen.deNo user link", "Link")</f>
        <v/>
      </c>
      <c r="Q449" s="7" t="n">
        <v>45558.739375</v>
      </c>
      <c r="R449" s="3" t="inlineStr">
        <is>
          <t>23.17</t>
        </is>
      </c>
      <c r="S449" t="inlineStr">
        <is>
          <t>München</t>
        </is>
      </c>
    </row>
    <row r="450">
      <c r="A450" s="2" t="n">
        <v>6</v>
      </c>
      <c r="B450" t="inlineStr">
        <is>
          <t>Gaastra Cross</t>
        </is>
      </c>
      <c r="C450" s="3" t="n">
        <v>430</v>
      </c>
      <c r="D450" s="3" t="n">
        <v>180</v>
      </c>
      <c r="E450" t="inlineStr"/>
      <c r="F450" t="inlineStr"/>
      <c r="G450" t="inlineStr">
        <is>
          <t>used</t>
        </is>
      </c>
      <c r="H450" s="4" t="n">
        <v>150</v>
      </c>
      <c r="I450" t="inlineStr">
        <is>
          <t>VB</t>
        </is>
      </c>
      <c r="J450" t="inlineStr">
        <is>
          <t>81545 München - Untergiesing-Harlaching</t>
        </is>
      </c>
      <c r="K450" s="5" t="n">
        <v>45474</v>
      </c>
      <c r="L450" t="inlineStr"/>
      <c r="M450" s="6">
        <f>HYPERLINK("https://www.kleinanzeigen.de/s-anzeige/gaastra-cross-6-0/2801469963-230-6429", "Link")</f>
        <v/>
      </c>
      <c r="N450" s="6">
        <f>HYPERLINK("C:\Projects\Kleinanzeigen-Scraper\offer_images\2801469963", "Link")</f>
        <v/>
      </c>
      <c r="O450" t="inlineStr">
        <is>
          <t>Hermann</t>
        </is>
      </c>
      <c r="P450" s="6">
        <f>HYPERLINK("https://www.kleinanzeigen.de/s-bestandsliste.html?userId=130569355", "Link")</f>
        <v/>
      </c>
      <c r="Q450" s="7" t="n">
        <v>45558.73934027777</v>
      </c>
      <c r="R450" s="3" t="inlineStr">
        <is>
          <t>5.65</t>
        </is>
      </c>
      <c r="S450" t="inlineStr">
        <is>
          <t>München</t>
        </is>
      </c>
    </row>
    <row r="451">
      <c r="A451" s="2" t="n">
        <v>5.2</v>
      </c>
      <c r="B451" t="inlineStr">
        <is>
          <t>Gaastra Hybrid HD</t>
        </is>
      </c>
      <c r="C451" s="3" t="n">
        <v>400</v>
      </c>
      <c r="D451" s="3" t="n">
        <v>173</v>
      </c>
      <c r="E451" t="inlineStr"/>
      <c r="F451" t="inlineStr">
        <is>
          <t>2024</t>
        </is>
      </c>
      <c r="G451" t="inlineStr">
        <is>
          <t>used</t>
        </is>
      </c>
      <c r="H451" s="4" t="n">
        <v>520</v>
      </c>
      <c r="I451" t="inlineStr">
        <is>
          <t>VB</t>
        </is>
      </c>
      <c r="J451" t="inlineStr">
        <is>
          <t>23769 Fehmarn - Westfehmarn</t>
        </is>
      </c>
      <c r="K451" s="5" t="n">
        <v>45561</v>
      </c>
      <c r="L451" t="inlineStr"/>
      <c r="M451" s="6">
        <f>HYPERLINK("https://www.kleinanzeigen.de/s-anzeige/gaastra-hybrid-hd/2847805208-230-430", "Link")</f>
        <v/>
      </c>
      <c r="N451" s="6">
        <f>HYPERLINK("C:\Projects\Kleinanzeigen-Scraper\offer_images\2847805208", "Link")</f>
        <v/>
      </c>
      <c r="O451" t="inlineStr">
        <is>
          <t>No user name</t>
        </is>
      </c>
      <c r="P451" s="6">
        <f>HYPERLINK("https://www.kleinanzeigen.deNo user link", "Link")</f>
        <v/>
      </c>
      <c r="Q451" s="7" t="n">
        <v>45558.73929398148</v>
      </c>
      <c r="R451" s="3" t="inlineStr">
        <is>
          <t>483.01</t>
        </is>
      </c>
      <c r="S451" t="inlineStr">
        <is>
          <t>Köln</t>
        </is>
      </c>
    </row>
    <row r="452">
      <c r="A452" s="2" t="n">
        <v>5</v>
      </c>
      <c r="B452" t="inlineStr">
        <is>
          <t>Gaastra Wave Slalom</t>
        </is>
      </c>
      <c r="C452" s="3" t="inlineStr"/>
      <c r="D452" s="3" t="inlineStr"/>
      <c r="E452" t="inlineStr"/>
      <c r="F452" t="inlineStr"/>
      <c r="G452" t="inlineStr">
        <is>
          <t>used, repaired</t>
        </is>
      </c>
      <c r="H452" s="4" t="n">
        <v>159</v>
      </c>
      <c r="I452" t="inlineStr"/>
      <c r="J452" t="inlineStr">
        <is>
          <t>37124 Niedersachsen - Rosdorf</t>
        </is>
      </c>
      <c r="K452" s="5" t="n">
        <v>45549</v>
      </c>
      <c r="L452" t="inlineStr"/>
      <c r="M452" s="6">
        <f>HYPERLINK("https://www.kleinanzeigen.de/s-anzeige/surf-segel-5-0-gebr-gaastra-wave-slalom-2709-/2813807503-230-3133", "Link")</f>
        <v/>
      </c>
      <c r="N452" s="6">
        <f>HYPERLINK("C:\Projects\Kleinanzeigen-Scraper\offer_images\2813807503", "Link")</f>
        <v/>
      </c>
      <c r="O452" t="inlineStr">
        <is>
          <t>No user name</t>
        </is>
      </c>
      <c r="P452" s="6">
        <f>HYPERLINK("https://www.kleinanzeigen.deNo user link", "Link")</f>
        <v/>
      </c>
      <c r="Q452" s="7" t="n">
        <v>45558.73923611111</v>
      </c>
      <c r="R452" s="3" t="inlineStr">
        <is>
          <t>214.72</t>
        </is>
      </c>
      <c r="S452" t="inlineStr">
        <is>
          <t>Köln</t>
        </is>
      </c>
    </row>
    <row r="453">
      <c r="A453" s="2" t="n">
        <v>6</v>
      </c>
      <c r="B453" t="inlineStr">
        <is>
          <t>Gaastra Zero X</t>
        </is>
      </c>
      <c r="C453" s="3" t="n">
        <v>460</v>
      </c>
      <c r="D453" s="3" t="inlineStr">
        <is>
          <t>186-198</t>
        </is>
      </c>
      <c r="E453" t="inlineStr"/>
      <c r="F453" t="inlineStr"/>
      <c r="G453" t="inlineStr">
        <is>
          <t>new</t>
        </is>
      </c>
      <c r="H453" s="4" t="n">
        <v>100</v>
      </c>
      <c r="I453" t="inlineStr">
        <is>
          <t>VB</t>
        </is>
      </c>
      <c r="J453" t="inlineStr">
        <is>
          <t>49196 Niedersachsen - Bad Laer</t>
        </is>
      </c>
      <c r="K453" s="5" t="n">
        <v>45500</v>
      </c>
      <c r="L453" t="inlineStr">
        <is>
          <t>Sold</t>
        </is>
      </c>
      <c r="M453" s="6">
        <f>HYPERLINK("https://www.kleinanzeigen.de/s-anzeige/gaastra-zero-x-6-0/2822520846-230-1633", "Link")</f>
        <v/>
      </c>
      <c r="N453" s="6">
        <f>HYPERLINK("C:\Projects\Kleinanzeigen-Scraper\offer_images\2822520846", "Link")</f>
        <v/>
      </c>
      <c r="O453" t="inlineStr">
        <is>
          <t>Aaron G</t>
        </is>
      </c>
      <c r="P453" s="6">
        <f>HYPERLINK("https://www.kleinanzeigen.de/s-bestandsliste.html?userId=74299464", "Link")</f>
        <v/>
      </c>
      <c r="Q453" s="7" t="n">
        <v>45558.73921296297</v>
      </c>
      <c r="R453" s="3" t="inlineStr">
        <is>
          <t>150.47</t>
        </is>
      </c>
      <c r="S453" t="inlineStr">
        <is>
          <t>Köln</t>
        </is>
      </c>
    </row>
    <row r="454">
      <c r="A454" s="2" t="n">
        <v>4.2</v>
      </c>
      <c r="B454" t="inlineStr">
        <is>
          <t>Gaastra Manic</t>
        </is>
      </c>
      <c r="C454" s="3" t="inlineStr"/>
      <c r="D454" s="3" t="inlineStr"/>
      <c r="E454" t="inlineStr"/>
      <c r="F454" t="inlineStr"/>
      <c r="G454" t="inlineStr">
        <is>
          <t>repaired</t>
        </is>
      </c>
      <c r="H454" s="4" t="n">
        <v>75</v>
      </c>
      <c r="I454" t="inlineStr">
        <is>
          <t>VB</t>
        </is>
      </c>
      <c r="J454" t="inlineStr">
        <is>
          <t>49078 Niedersachsen - Osnabrück</t>
        </is>
      </c>
      <c r="K454" s="5" t="n">
        <v>45432</v>
      </c>
      <c r="L454" t="inlineStr"/>
      <c r="M454" s="6">
        <f>HYPERLINK("https://www.kleinanzeigen.de/s-anzeige/gaastra-manic-4-2/2766789227-230-3122", "Link")</f>
        <v/>
      </c>
      <c r="N454" s="6">
        <f>HYPERLINK("C:\Projects\Kleinanzeigen-Scraper\offer_images\2766789227", "Link")</f>
        <v/>
      </c>
      <c r="O454" t="inlineStr">
        <is>
          <t>Razuweit</t>
        </is>
      </c>
      <c r="P454" s="6">
        <f>HYPERLINK("https://www.kleinanzeigen.de/s-bestandsliste.html?userId=17952642", "Link")</f>
        <v/>
      </c>
      <c r="Q454" s="7" t="n">
        <v>45558.73921296297</v>
      </c>
      <c r="R454" s="3" t="inlineStr">
        <is>
          <t>163.24</t>
        </is>
      </c>
      <c r="S454" t="inlineStr">
        <is>
          <t>Köln</t>
        </is>
      </c>
    </row>
    <row r="455">
      <c r="A455" s="2" t="n">
        <v>4.5</v>
      </c>
      <c r="B455" t="inlineStr">
        <is>
          <t>Nail Pryde Garda</t>
        </is>
      </c>
      <c r="C455" s="3" t="inlineStr"/>
      <c r="D455" s="3" t="inlineStr"/>
      <c r="E455" t="inlineStr"/>
      <c r="F455" t="inlineStr"/>
      <c r="G455" t="inlineStr">
        <is>
          <t>used</t>
        </is>
      </c>
      <c r="H455" s="4" t="n">
        <v>50</v>
      </c>
      <c r="I455" t="inlineStr"/>
      <c r="J455" t="inlineStr">
        <is>
          <t>67583 Rheinland-Pfalz - Guntersblum</t>
        </is>
      </c>
      <c r="K455" s="5" t="n">
        <v>45558</v>
      </c>
      <c r="L455" t="inlineStr">
        <is>
          <t>Sold</t>
        </is>
      </c>
      <c r="M455" s="6">
        <f>HYPERLINK("https://www.kleinanzeigen.de/s-anzeige/segeln-windsurf-nail-pryde/2871989306-230-4463", "Link")</f>
        <v/>
      </c>
      <c r="N455" s="6">
        <f>HYPERLINK("C:\Projects\Kleinanzeigen-Scraper\offer_images\2871989306", "Link")</f>
        <v/>
      </c>
      <c r="O455" t="inlineStr">
        <is>
          <t>Helene Kamisky</t>
        </is>
      </c>
      <c r="P455" s="6">
        <f>HYPERLINK("https://www.kleinanzeigen.de/s-bestandsliste.html?userId=124783221", "Link")</f>
        <v/>
      </c>
      <c r="Q455" s="7" t="n">
        <v>45558.73909722222</v>
      </c>
      <c r="R455" s="3" t="inlineStr">
        <is>
          <t>87.80</t>
        </is>
      </c>
      <c r="S455" t="inlineStr">
        <is>
          <t>Karlsruhe</t>
        </is>
      </c>
    </row>
    <row r="456">
      <c r="A456" s="2" t="n">
        <v>5.4</v>
      </c>
      <c r="B456" t="inlineStr">
        <is>
          <t>Gaastra Manic</t>
        </is>
      </c>
      <c r="C456" s="3" t="n">
        <v>421</v>
      </c>
      <c r="D456" s="3" t="n">
        <v>173</v>
      </c>
      <c r="E456" t="inlineStr">
        <is>
          <t>Wave</t>
        </is>
      </c>
      <c r="F456" t="inlineStr"/>
      <c r="G456" t="inlineStr">
        <is>
          <t>repaired</t>
        </is>
      </c>
      <c r="H456" s="4" t="n">
        <v>260</v>
      </c>
      <c r="I456" t="inlineStr">
        <is>
          <t>VB</t>
        </is>
      </c>
      <c r="J456" t="inlineStr">
        <is>
          <t>59423 Nordrhein-Westfalen - Unna</t>
        </is>
      </c>
      <c r="K456" s="5" t="n">
        <v>45464</v>
      </c>
      <c r="L456" t="inlineStr"/>
      <c r="M456" s="6">
        <f>HYPERLINK("https://www.kleinanzeigen.de/s-anzeige/gaastra-ga-manic-5-4-qm-windsurfen-wave-segel/2793861122-230-1838", "Link")</f>
        <v/>
      </c>
      <c r="N456" s="6">
        <f>HYPERLINK("C:\Projects\Kleinanzeigen-Scraper\offer_images\2793861122", "Link")</f>
        <v/>
      </c>
      <c r="O456" t="inlineStr">
        <is>
          <t>Ingo</t>
        </is>
      </c>
      <c r="P456" s="6">
        <f>HYPERLINK("https://www.kleinanzeigen.de/s-bestandsliste.html?userId=9331851", "Link")</f>
        <v/>
      </c>
      <c r="Q456" s="7" t="n">
        <v>45558.73909722222</v>
      </c>
      <c r="R456" s="3" t="inlineStr">
        <is>
          <t>83.73</t>
        </is>
      </c>
      <c r="S456" t="inlineStr">
        <is>
          <t>Köln</t>
        </is>
      </c>
    </row>
    <row r="457">
      <c r="A457" s="2" t="n">
        <v>5.4</v>
      </c>
      <c r="B457" t="inlineStr">
        <is>
          <t>Gaastra Poison</t>
        </is>
      </c>
      <c r="C457" s="3" t="n">
        <v>430</v>
      </c>
      <c r="D457" s="3" t="n">
        <v>176</v>
      </c>
      <c r="E457" t="inlineStr">
        <is>
          <t>Wave</t>
        </is>
      </c>
      <c r="F457" t="inlineStr">
        <is>
          <t>2010</t>
        </is>
      </c>
      <c r="G457" t="inlineStr">
        <is>
          <t>used</t>
        </is>
      </c>
      <c r="H457" s="4" t="n">
        <v>99</v>
      </c>
      <c r="I457" t="inlineStr"/>
      <c r="J457" t="inlineStr">
        <is>
          <t>46242 Nordrhein-Westfalen - Bottrop</t>
        </is>
      </c>
      <c r="K457" s="5" t="n">
        <v>45550</v>
      </c>
      <c r="L457" t="inlineStr"/>
      <c r="M457" s="6">
        <f>HYPERLINK("https://www.kleinanzeigen.de/s-anzeige/segel-gaastra-poisen-wave-5-4-m2/2863795900-230-1954", "Link")</f>
        <v/>
      </c>
      <c r="N457" s="6">
        <f>HYPERLINK("C:\Projects\Kleinanzeigen-Scraper\offer_images\2863795900", "Link")</f>
        <v/>
      </c>
      <c r="O457" t="inlineStr">
        <is>
          <t>Commander</t>
        </is>
      </c>
      <c r="P457" s="6">
        <f>HYPERLINK("https://www.kleinanzeigen.de/s-bestandsliste.html?userId=3160023", "Link")</f>
        <v/>
      </c>
      <c r="Q457" s="7" t="n">
        <v>45558.73893518518</v>
      </c>
      <c r="R457" s="3" t="inlineStr">
        <is>
          <t>65.36</t>
        </is>
      </c>
      <c r="S457" t="inlineStr">
        <is>
          <t>Köln</t>
        </is>
      </c>
    </row>
    <row r="458">
      <c r="A458" s="2" t="n">
        <v>9</v>
      </c>
      <c r="B458" t="inlineStr">
        <is>
          <t>Gaastra GTX</t>
        </is>
      </c>
      <c r="C458" s="3" t="inlineStr"/>
      <c r="D458" s="3" t="inlineStr"/>
      <c r="E458" t="inlineStr"/>
      <c r="F458" t="inlineStr"/>
      <c r="G458" t="inlineStr">
        <is>
          <t>used</t>
        </is>
      </c>
      <c r="H458" s="4" t="n">
        <v>50</v>
      </c>
      <c r="I458" t="inlineStr">
        <is>
          <t>VB</t>
        </is>
      </c>
      <c r="J458" t="inlineStr">
        <is>
          <t>26506 Niedersachsen - Norden</t>
        </is>
      </c>
      <c r="K458" s="5" t="n">
        <v>45515</v>
      </c>
      <c r="L458" t="inlineStr"/>
      <c r="M458" s="6">
        <f>HYPERLINK("https://www.kleinanzeigen.de/s-anzeige/gaastra-gtx-segel-surfsegel-racesegel-9-0-qm-chambersegel/2834479909-230-2777", "Link")</f>
        <v/>
      </c>
      <c r="N458" s="6">
        <f>HYPERLINK("C:\Projects\Kleinanzeigen-Scraper\offer_images\2834479909", "Link")</f>
        <v/>
      </c>
      <c r="O458" t="inlineStr">
        <is>
          <t>Keim</t>
        </is>
      </c>
      <c r="P458" s="6">
        <f>HYPERLINK("https://www.kleinanzeigen.de/s-bestandsliste.html?userId=20172535", "Link")</f>
        <v/>
      </c>
      <c r="Q458" s="7" t="n">
        <v>45558.73887731481</v>
      </c>
      <c r="R458" s="3" t="inlineStr">
        <is>
          <t>293.71</t>
        </is>
      </c>
      <c r="S458" t="inlineStr">
        <is>
          <t>Köln</t>
        </is>
      </c>
    </row>
    <row r="459">
      <c r="A459" s="2" t="n">
        <v>4.5</v>
      </c>
      <c r="B459" t="inlineStr">
        <is>
          <t>Gaastra Manic</t>
        </is>
      </c>
      <c r="C459" s="3" t="n">
        <v>370</v>
      </c>
      <c r="D459" s="3" t="n">
        <v>160</v>
      </c>
      <c r="E459" t="inlineStr">
        <is>
          <t>Wave</t>
        </is>
      </c>
      <c r="F459" t="inlineStr"/>
      <c r="G459" t="inlineStr">
        <is>
          <t>used</t>
        </is>
      </c>
      <c r="H459" s="4" t="n">
        <v>80</v>
      </c>
      <c r="I459" t="inlineStr"/>
      <c r="J459" t="inlineStr">
        <is>
          <t>22589 Hamburg - Sülldorf</t>
        </is>
      </c>
      <c r="K459" s="5" t="n">
        <v>45538</v>
      </c>
      <c r="L459" t="inlineStr"/>
      <c r="M459" s="6">
        <f>HYPERLINK("https://www.kleinanzeigen.de/s-anzeige/4-5-4-5-qm-windsurf-wave-segel-gaastra-manic-vario-top/2853634913-230-29121", "Link")</f>
        <v/>
      </c>
      <c r="N459" s="6">
        <f>HYPERLINK("C:\Projects\Kleinanzeigen-Scraper\offer_images\2853634913", "Link")</f>
        <v/>
      </c>
      <c r="O459" t="inlineStr">
        <is>
          <t>Bethke</t>
        </is>
      </c>
      <c r="P459" s="6">
        <f>HYPERLINK("https://www.kleinanzeigen.de/s-bestandsliste.html?userId=23273538", "Link")</f>
        <v/>
      </c>
      <c r="Q459" s="7" t="n">
        <v>45558.73886574074</v>
      </c>
      <c r="R459" s="3" t="inlineStr">
        <is>
          <t>352.31</t>
        </is>
      </c>
      <c r="S459" t="inlineStr">
        <is>
          <t>Köln</t>
        </is>
      </c>
    </row>
    <row r="460">
      <c r="A460" s="2" t="n">
        <v>8.5</v>
      </c>
      <c r="B460" t="inlineStr">
        <is>
          <t>Gaastra GTX Race</t>
        </is>
      </c>
      <c r="C460" s="3" t="inlineStr"/>
      <c r="D460" s="3" t="inlineStr"/>
      <c r="E460" t="inlineStr"/>
      <c r="F460" t="inlineStr"/>
      <c r="G460" t="inlineStr">
        <is>
          <t>used</t>
        </is>
      </c>
      <c r="H460" s="4" t="n">
        <v>90</v>
      </c>
      <c r="I460" t="inlineStr">
        <is>
          <t>VB</t>
        </is>
      </c>
      <c r="J460" t="inlineStr">
        <is>
          <t>73630 Baden-Württemberg - Remshalden</t>
        </is>
      </c>
      <c r="K460" s="5" t="n">
        <v>45504</v>
      </c>
      <c r="L460" t="inlineStr"/>
      <c r="M460" s="6">
        <f>HYPERLINK("https://www.kleinanzeigen.de/s-anzeige/gaastra-gtx-race-8-5/2825685415-230-8385", "Link")</f>
        <v/>
      </c>
      <c r="N460" s="6">
        <f>HYPERLINK("C:\Projects\Kleinanzeigen-Scraper\offer_images\2825685415", "Link")</f>
        <v/>
      </c>
      <c r="O460" t="inlineStr">
        <is>
          <t>Janis</t>
        </is>
      </c>
      <c r="P460" s="6">
        <f>HYPERLINK("https://www.kleinanzeigen.de/s-bestandsliste.html?userId=143012738", "Link")</f>
        <v/>
      </c>
      <c r="Q460" s="7" t="n">
        <v>45558.73885416667</v>
      </c>
      <c r="R460" s="3" t="inlineStr">
        <is>
          <t>36.62</t>
        </is>
      </c>
      <c r="S460" t="inlineStr">
        <is>
          <t>Böblingen</t>
        </is>
      </c>
    </row>
    <row r="461">
      <c r="A461" s="2" t="n">
        <v>6.5</v>
      </c>
      <c r="B461" t="inlineStr">
        <is>
          <t>Gaastra</t>
        </is>
      </c>
      <c r="C461" s="3" t="n">
        <v>4.9</v>
      </c>
      <c r="D461" s="3" t="n">
        <v>197</v>
      </c>
      <c r="E461" t="inlineStr"/>
      <c r="F461" t="inlineStr"/>
      <c r="G461" t="inlineStr">
        <is>
          <t>used</t>
        </is>
      </c>
      <c r="H461" s="4" t="n">
        <v>100</v>
      </c>
      <c r="I461" t="inlineStr">
        <is>
          <t>VB</t>
        </is>
      </c>
      <c r="J461" t="inlineStr">
        <is>
          <t>88299 Baden-Württemberg - Leutkirch im Allgäu</t>
        </is>
      </c>
      <c r="K461" s="5" t="n">
        <v>45144</v>
      </c>
      <c r="L461" t="inlineStr"/>
      <c r="M461" s="6">
        <f>HYPERLINK("https://www.kleinanzeigen.de/s-anzeige/windsurfsegel-gaastra-segel-6-5-m2-mit-tasche-gebraucht/2514001776-230-8083", "Link")</f>
        <v/>
      </c>
      <c r="N461" s="6">
        <f>HYPERLINK("C:\Projects\Kleinanzeigen-Scraper\offer_images\2514001776", "Link")</f>
        <v/>
      </c>
      <c r="O461" t="inlineStr">
        <is>
          <t>Alexander</t>
        </is>
      </c>
      <c r="P461" s="6">
        <f>HYPERLINK("https://www.kleinanzeigen.de/s-bestandsliste.html?userId=29714762", "Link")</f>
        <v/>
      </c>
      <c r="Q461" s="7" t="n">
        <v>45558.73880787037</v>
      </c>
      <c r="R461" s="3" t="inlineStr">
        <is>
          <t>121.70</t>
        </is>
      </c>
      <c r="S461" t="inlineStr">
        <is>
          <t>München</t>
        </is>
      </c>
    </row>
    <row r="462">
      <c r="A462" s="2" t="n">
        <v>6.4</v>
      </c>
      <c r="B462" t="inlineStr">
        <is>
          <t>Gaastra Cross</t>
        </is>
      </c>
      <c r="C462" s="3" t="n">
        <v>430</v>
      </c>
      <c r="D462" s="3" t="n">
        <v>193</v>
      </c>
      <c r="E462" t="inlineStr"/>
      <c r="F462" t="inlineStr"/>
      <c r="G462" t="inlineStr">
        <is>
          <t>used</t>
        </is>
      </c>
      <c r="H462" s="4" t="n">
        <v>145</v>
      </c>
      <c r="I462" t="inlineStr"/>
      <c r="J462" t="inlineStr">
        <is>
          <t>33619 Bielefeld - Dornberg</t>
        </is>
      </c>
      <c r="K462" s="5" t="n">
        <v>45543</v>
      </c>
      <c r="L462" t="inlineStr"/>
      <c r="M462" s="6">
        <f>HYPERLINK("https://www.kleinanzeigen.de/s-anzeige/gaastra-surfsegel-cross-6-4-top-zustand-kaum-benutzt-/2857931283-230-1061", "Link")</f>
        <v/>
      </c>
      <c r="N462" s="6">
        <f>HYPERLINK("C:\Projects\Kleinanzeigen-Scraper\offer_images\2857931283", "Link")</f>
        <v/>
      </c>
      <c r="O462" t="inlineStr">
        <is>
          <t>Reese</t>
        </is>
      </c>
      <c r="P462" s="6">
        <f>HYPERLINK("https://www.kleinanzeigen.de/s-bestandsliste.html?userId=3099191", "Link")</f>
        <v/>
      </c>
      <c r="Q462" s="7" t="n">
        <v>45558.73876157407</v>
      </c>
      <c r="R462" s="3" t="inlineStr">
        <is>
          <t>161.64</t>
        </is>
      </c>
      <c r="S462" t="inlineStr">
        <is>
          <t>Köln</t>
        </is>
      </c>
    </row>
    <row r="463">
      <c r="A463" s="2" t="n">
        <v>6.4</v>
      </c>
      <c r="B463" t="inlineStr">
        <is>
          <t>Gaastra Hybrid</t>
        </is>
      </c>
      <c r="C463" s="3" t="n">
        <v>4.88</v>
      </c>
      <c r="D463" s="3" t="inlineStr"/>
      <c r="E463" t="inlineStr"/>
      <c r="F463" t="inlineStr">
        <is>
          <t>2023</t>
        </is>
      </c>
      <c r="G463" t="inlineStr">
        <is>
          <t>used</t>
        </is>
      </c>
      <c r="H463" s="4" t="n">
        <v>310</v>
      </c>
      <c r="I463" t="inlineStr"/>
      <c r="J463" t="inlineStr">
        <is>
          <t>81679 München - Bogenhausen</t>
        </is>
      </c>
      <c r="K463" s="5" t="n">
        <v>45550</v>
      </c>
      <c r="L463" t="inlineStr"/>
      <c r="M463" s="6">
        <f>HYPERLINK("https://www.kleinanzeigen.de/s-anzeige/gaastra-hybrid-6-4m2-2023/2863935031-230-6457", "Link")</f>
        <v/>
      </c>
      <c r="N463" s="6">
        <f>HYPERLINK("C:\Projects\Kleinanzeigen-Scraper\offer_images\2863935031", "Link")</f>
        <v/>
      </c>
      <c r="O463" t="inlineStr">
        <is>
          <t>Rolf Bletschacher</t>
        </is>
      </c>
      <c r="P463" s="6">
        <f>HYPERLINK("https://www.kleinanzeigen.de/s-bestandsliste.html?userId=119014462", "Link")</f>
        <v/>
      </c>
      <c r="Q463" s="7" t="n">
        <v>45558.73873842593</v>
      </c>
      <c r="R463" s="3" t="inlineStr">
        <is>
          <t>2.71</t>
        </is>
      </c>
      <c r="S463" t="inlineStr">
        <is>
          <t>München</t>
        </is>
      </c>
    </row>
    <row r="464">
      <c r="A464" s="2" t="n">
        <v>4.5</v>
      </c>
      <c r="B464" t="inlineStr">
        <is>
          <t>Gaastra Manic</t>
        </is>
      </c>
      <c r="C464" s="3" t="n">
        <v>400</v>
      </c>
      <c r="D464" s="3" t="n">
        <v>159</v>
      </c>
      <c r="E464" t="inlineStr"/>
      <c r="F464" t="inlineStr"/>
      <c r="G464" t="inlineStr">
        <is>
          <t>used</t>
        </is>
      </c>
      <c r="H464" s="4" t="n">
        <v>60</v>
      </c>
      <c r="I464" t="inlineStr">
        <is>
          <t>VB</t>
        </is>
      </c>
      <c r="J464" t="inlineStr">
        <is>
          <t>14052 Berlin - Charlottenburg</t>
        </is>
      </c>
      <c r="K464" s="5" t="n">
        <v>45535</v>
      </c>
      <c r="L464" t="inlineStr">
        <is>
          <t>Sold</t>
        </is>
      </c>
      <c r="M464" s="6">
        <f>HYPERLINK("https://www.kleinanzeigen.de/s-anzeige/gaastra-segel-manic-4-5/2850813331-230-3339", "Link")</f>
        <v/>
      </c>
      <c r="N464" s="6">
        <f>HYPERLINK("C:\Projects\Kleinanzeigen-Scraper\offer_images\2850813331", "Link")</f>
        <v/>
      </c>
      <c r="O464" t="inlineStr">
        <is>
          <t>Oliver Kind</t>
        </is>
      </c>
      <c r="P464" s="6">
        <f>HYPERLINK("https://www.kleinanzeigen.de/s-bestandsliste.html?userId=32561881", "Link")</f>
        <v/>
      </c>
      <c r="Q464" s="7" t="n">
        <v>45558.73869212963</v>
      </c>
      <c r="R464" s="3" t="inlineStr">
        <is>
          <t>468.06</t>
        </is>
      </c>
      <c r="S464" t="inlineStr">
        <is>
          <t>Köln</t>
        </is>
      </c>
    </row>
    <row r="465">
      <c r="A465" s="2" t="n">
        <v>4.7</v>
      </c>
      <c r="B465" t="inlineStr">
        <is>
          <t>GA Sails Manic</t>
        </is>
      </c>
      <c r="C465" s="3" t="inlineStr"/>
      <c r="D465" s="3" t="inlineStr"/>
      <c r="E465" t="inlineStr"/>
      <c r="F465" t="inlineStr"/>
      <c r="G465" t="inlineStr">
        <is>
          <t>used</t>
        </is>
      </c>
      <c r="H465" s="4" t="n">
        <v>170</v>
      </c>
      <c r="I465" t="inlineStr"/>
      <c r="J465" t="inlineStr">
        <is>
          <t>24242 Schleswig-Holstein - Felde</t>
        </is>
      </c>
      <c r="K465" s="5" t="n">
        <v>45547</v>
      </c>
      <c r="L465" t="inlineStr"/>
      <c r="M465" s="6">
        <f>HYPERLINK("https://www.kleinanzeigen.de/s-anzeige/ga-sails-manic-4-7-qm-orange-gaastra-wavesegel/2860970152-230-669", "Link")</f>
        <v/>
      </c>
      <c r="N465" s="6">
        <f>HYPERLINK("C:\Projects\Kleinanzeigen-Scraper\offer_images\2860970152", "Link")</f>
        <v/>
      </c>
      <c r="O465" t="inlineStr">
        <is>
          <t>Privat</t>
        </is>
      </c>
      <c r="P465" s="6">
        <f>HYPERLINK("https://www.kleinanzeigen.de/s-bestandsliste.html?userId=7637208", "Link")</f>
        <v/>
      </c>
      <c r="Q465" s="7" t="n">
        <v>45558.7385300926</v>
      </c>
      <c r="R465" s="3" t="inlineStr">
        <is>
          <t>424.49</t>
        </is>
      </c>
      <c r="S465" t="inlineStr">
        <is>
          <t>Köln</t>
        </is>
      </c>
    </row>
    <row r="466">
      <c r="A466" s="2" t="n">
        <v>8.300000000000001</v>
      </c>
      <c r="B466" t="inlineStr">
        <is>
          <t>Gaastra GA Cosmic</t>
        </is>
      </c>
      <c r="C466" s="3" t="n">
        <v>490</v>
      </c>
      <c r="D466" s="3" t="n">
        <v>224</v>
      </c>
      <c r="E466" t="inlineStr">
        <is>
          <t>Freeride</t>
        </is>
      </c>
      <c r="F466" t="inlineStr"/>
      <c r="G466" t="inlineStr">
        <is>
          <t>used</t>
        </is>
      </c>
      <c r="H466" s="4" t="n">
        <v>135</v>
      </c>
      <c r="I466" t="inlineStr">
        <is>
          <t>VB</t>
        </is>
      </c>
      <c r="J466" t="inlineStr">
        <is>
          <t>22765 Altona - Hamburg Ottensen</t>
        </is>
      </c>
      <c r="K466" s="5" t="n">
        <v>45413</v>
      </c>
      <c r="L466" t="inlineStr"/>
      <c r="M466" s="6">
        <f>HYPERLINK("https://www.kleinanzeigen.de/s-anzeige/gaastra-ga-cosmic-8-3-neuwertig-freeride-segel/2720303568-230-9504", "Link")</f>
        <v/>
      </c>
      <c r="N466" s="6">
        <f>HYPERLINK("C:\Projects\Kleinanzeigen-Scraper\offer_images\2720303568", "Link")</f>
        <v/>
      </c>
      <c r="O466" t="inlineStr">
        <is>
          <t>Axel Böhringer</t>
        </is>
      </c>
      <c r="P466" s="6">
        <f>HYPERLINK("https://www.kleinanzeigen.de/s-bestandsliste.html?userId=21644564", "Link")</f>
        <v/>
      </c>
      <c r="Q466" s="7" t="n">
        <v>45558.7385300926</v>
      </c>
      <c r="R466" s="3" t="inlineStr">
        <is>
          <t>354.49</t>
        </is>
      </c>
      <c r="S466" t="inlineStr">
        <is>
          <t>Köln</t>
        </is>
      </c>
    </row>
    <row r="467">
      <c r="A467" s="2" t="n">
        <v>4.7</v>
      </c>
      <c r="B467" t="inlineStr">
        <is>
          <t>GA Sails Manic</t>
        </is>
      </c>
      <c r="C467" s="3" t="inlineStr"/>
      <c r="D467" s="3" t="inlineStr"/>
      <c r="E467" t="inlineStr"/>
      <c r="F467" t="inlineStr"/>
      <c r="G467" t="inlineStr">
        <is>
          <t>used</t>
        </is>
      </c>
      <c r="H467" s="4" t="n">
        <v>170</v>
      </c>
      <c r="I467" t="inlineStr"/>
      <c r="J467" t="inlineStr">
        <is>
          <t>24242 Schleswig-Holstein - Felde</t>
        </is>
      </c>
      <c r="K467" s="5" t="n">
        <v>45505</v>
      </c>
      <c r="L467" t="inlineStr">
        <is>
          <t>Sold</t>
        </is>
      </c>
      <c r="M467" s="6">
        <f>HYPERLINK("https://www.kleinanzeigen.de/s-anzeige/ga-sails-manic-4-7-qm-orange-gaastra-wavesegel/2826440336-230-669", "Link")</f>
        <v/>
      </c>
      <c r="N467" s="6">
        <f>HYPERLINK("C:\Projects\Kleinanzeigen-Scraper\offer_images\2826440336", "Link")</f>
        <v/>
      </c>
      <c r="O467" t="inlineStr">
        <is>
          <t>Privat</t>
        </is>
      </c>
      <c r="P467" s="6">
        <f>HYPERLINK("https://www.kleinanzeigen.de/s-bestandsliste.html?userId=7637208", "Link")</f>
        <v/>
      </c>
      <c r="Q467" s="7" t="n">
        <v>45558.73850694444</v>
      </c>
      <c r="R467" s="3" t="inlineStr">
        <is>
          <t>424.49</t>
        </is>
      </c>
      <c r="S467" t="inlineStr">
        <is>
          <t>Köln</t>
        </is>
      </c>
    </row>
    <row r="468">
      <c r="A468" s="2" t="n">
        <v>5.6</v>
      </c>
      <c r="B468" t="inlineStr">
        <is>
          <t>Gaastra Remedy</t>
        </is>
      </c>
      <c r="C468" s="3" t="n">
        <v>430</v>
      </c>
      <c r="D468" s="3" t="inlineStr"/>
      <c r="E468" t="inlineStr"/>
      <c r="F468" t="inlineStr"/>
      <c r="G468" t="inlineStr">
        <is>
          <t>used</t>
        </is>
      </c>
      <c r="H468" s="4" t="n">
        <v>70</v>
      </c>
      <c r="I468" t="inlineStr">
        <is>
          <t>VB</t>
        </is>
      </c>
      <c r="J468" t="inlineStr">
        <is>
          <t>45768 Nordrhein-Westfalen - Marl</t>
        </is>
      </c>
      <c r="K468" s="5" t="n">
        <v>45451</v>
      </c>
      <c r="L468" t="inlineStr"/>
      <c r="M468" s="6">
        <f>HYPERLINK("https://www.kleinanzeigen.de/s-anzeige/segel-windsurfen-surfsegel-gaastra-remedy-5-6qm/2783198604-230-1774", "Link")</f>
        <v/>
      </c>
      <c r="N468" s="6">
        <f>HYPERLINK("C:\Projects\Kleinanzeigen-Scraper\offer_images\2783198604", "Link")</f>
        <v/>
      </c>
      <c r="O468" t="inlineStr">
        <is>
          <t>Hasenclever</t>
        </is>
      </c>
      <c r="P468" s="6">
        <f>HYPERLINK("https://www.kleinanzeigen.de/s-bestandsliste.html?userId=3933455", "Link")</f>
        <v/>
      </c>
      <c r="Q468" s="7" t="n">
        <v>45558.7384375</v>
      </c>
      <c r="R468" s="3" t="inlineStr">
        <is>
          <t>80.12</t>
        </is>
      </c>
      <c r="S468" t="inlineStr">
        <is>
          <t>Köln</t>
        </is>
      </c>
    </row>
    <row r="469">
      <c r="A469" s="2" t="n">
        <v>5.7</v>
      </c>
      <c r="B469" t="inlineStr">
        <is>
          <t>GA Gaastra Phantom Air</t>
        </is>
      </c>
      <c r="C469" s="3" t="n">
        <v>430</v>
      </c>
      <c r="D469" s="3" t="inlineStr">
        <is>
          <t>171-172</t>
        </is>
      </c>
      <c r="E469" t="inlineStr">
        <is>
          <t>Foil</t>
        </is>
      </c>
      <c r="F469" t="inlineStr">
        <is>
          <t>2022</t>
        </is>
      </c>
      <c r="G469" t="inlineStr">
        <is>
          <t>new</t>
        </is>
      </c>
      <c r="H469" s="4" t="n">
        <v>230</v>
      </c>
      <c r="I469" t="inlineStr"/>
      <c r="J469" t="inlineStr">
        <is>
          <t>09126 Sachsen - Chemnitz</t>
        </is>
      </c>
      <c r="K469" s="5" t="n">
        <v>45228</v>
      </c>
      <c r="L469" t="inlineStr"/>
      <c r="M469" s="6">
        <f>HYPERLINK("https://www.kleinanzeigen.de/s-anzeige/ga-gaastra-phantom-air-5-7-2022-foil-segel/2587328215-230-3880", "Link")</f>
        <v/>
      </c>
      <c r="N469" s="6">
        <f>HYPERLINK("C:\Projects\Kleinanzeigen-Scraper\offer_images\2587328215", "Link")</f>
        <v/>
      </c>
      <c r="O469" t="inlineStr">
        <is>
          <t>Markus Layer</t>
        </is>
      </c>
      <c r="P469" s="6">
        <f>HYPERLINK("https://www.kleinanzeigen.de/s-bestandsliste.html?userId=23246334", "Link")</f>
        <v/>
      </c>
      <c r="Q469" s="7" t="n">
        <v>45558.73835648148</v>
      </c>
      <c r="R469" s="3" t="inlineStr">
        <is>
          <t>314.18</t>
        </is>
      </c>
      <c r="S469" t="inlineStr">
        <is>
          <t>München</t>
        </is>
      </c>
    </row>
    <row r="470">
      <c r="A470" s="2" t="n">
        <v>8</v>
      </c>
      <c r="B470" t="inlineStr">
        <is>
          <t>Gaastra Vapor</t>
        </is>
      </c>
      <c r="C470" s="3" t="n">
        <v>460</v>
      </c>
      <c r="D470" s="3" t="n">
        <v>212</v>
      </c>
      <c r="E470" t="inlineStr"/>
      <c r="F470" t="inlineStr">
        <is>
          <t>2021</t>
        </is>
      </c>
      <c r="G470" t="inlineStr">
        <is>
          <t>repaired</t>
        </is>
      </c>
      <c r="H470" s="4" t="n">
        <v>250</v>
      </c>
      <c r="I470" t="inlineStr"/>
      <c r="J470" t="inlineStr">
        <is>
          <t>32351 Nordrhein-Westfalen - Stemwede</t>
        </is>
      </c>
      <c r="K470" s="5" t="n">
        <v>45450</v>
      </c>
      <c r="L470" t="inlineStr"/>
      <c r="M470" s="6">
        <f>HYPERLINK("https://www.kleinanzeigen.de/s-anzeige/gaastra-vapor-8-0-2021/2782475529-242-1231", "Link")</f>
        <v/>
      </c>
      <c r="N470" s="6">
        <f>HYPERLINK("C:\Projects\Kleinanzeigen-Scraper\offer_images\2782475529", "Link")</f>
        <v/>
      </c>
      <c r="O470" t="inlineStr">
        <is>
          <t>Nils Wenzel</t>
        </is>
      </c>
      <c r="P470" s="6">
        <f>HYPERLINK("https://www.kleinanzeigen.de/s-bestandsliste.html?userId=141568358", "Link")</f>
        <v/>
      </c>
      <c r="Q470" s="7" t="n">
        <v>45558.73824074074</v>
      </c>
      <c r="R470" s="3" t="inlineStr">
        <is>
          <t>195.37</t>
        </is>
      </c>
      <c r="S470" t="inlineStr">
        <is>
          <t>Köln</t>
        </is>
      </c>
    </row>
    <row r="471">
      <c r="A471" s="2" t="n">
        <v>5.2</v>
      </c>
      <c r="B471" t="inlineStr">
        <is>
          <t>Gaastra GA Sails Pure</t>
        </is>
      </c>
      <c r="C471" s="3" t="n">
        <v>400</v>
      </c>
      <c r="D471" s="3" t="n">
        <v>175</v>
      </c>
      <c r="E471" t="inlineStr">
        <is>
          <t>Freestyle</t>
        </is>
      </c>
      <c r="F471" t="inlineStr"/>
      <c r="G471" t="inlineStr">
        <is>
          <t>used</t>
        </is>
      </c>
      <c r="H471" s="4" t="n">
        <v>79</v>
      </c>
      <c r="I471" t="inlineStr">
        <is>
          <t>VB</t>
        </is>
      </c>
      <c r="J471" t="inlineStr">
        <is>
          <t>01277 Dresden - Blasewitz</t>
        </is>
      </c>
      <c r="K471" s="5" t="n">
        <v>45265</v>
      </c>
      <c r="L471" t="inlineStr"/>
      <c r="M471" s="6">
        <f>HYPERLINK("https://www.kleinanzeigen.de/s-anzeige/gaastra-ga-sails-pure-5-2-freestyle-segel/2621611886-230-3821", "Link")</f>
        <v/>
      </c>
      <c r="N471" s="6">
        <f>HYPERLINK("C:\Projects\Kleinanzeigen-Scraper\offer_images\2621611886", "Link")</f>
        <v/>
      </c>
      <c r="O471" t="inlineStr">
        <is>
          <t>Max</t>
        </is>
      </c>
      <c r="P471" s="6">
        <f>HYPERLINK("https://www.kleinanzeigen.de/s-bestandsliste.html?userId=66889915", "Link")</f>
        <v/>
      </c>
      <c r="Q471" s="7" t="n">
        <v>45558.7382175926</v>
      </c>
      <c r="R471" s="3" t="inlineStr">
        <is>
          <t>360.18</t>
        </is>
      </c>
      <c r="S471" t="inlineStr">
        <is>
          <t>München</t>
        </is>
      </c>
    </row>
    <row r="472">
      <c r="A472" s="2" t="n">
        <v>8.300000000000001</v>
      </c>
      <c r="B472" t="inlineStr">
        <is>
          <t>Gaastra Swift</t>
        </is>
      </c>
      <c r="C472" s="3" t="n">
        <v>490</v>
      </c>
      <c r="D472" s="3" t="n">
        <v>236</v>
      </c>
      <c r="E472" t="inlineStr"/>
      <c r="F472" t="inlineStr"/>
      <c r="G472" t="inlineStr">
        <is>
          <t>used</t>
        </is>
      </c>
      <c r="H472" s="4" t="n">
        <v>239</v>
      </c>
      <c r="I472" t="inlineStr"/>
      <c r="J472" t="inlineStr">
        <is>
          <t>09111 Sachsen - Chemnitz</t>
        </is>
      </c>
      <c r="K472" s="5" t="n">
        <v>45035</v>
      </c>
      <c r="L472" t="inlineStr"/>
      <c r="M472" s="6">
        <f>HYPERLINK("https://www.kleinanzeigen.de/s-anzeige/windsurf-segel-gaastra-swift-8-3m-gebraucht-guter-zustand/2419212916-230-3886", "Link")</f>
        <v/>
      </c>
      <c r="N472" s="6">
        <f>HYPERLINK("C:\Projects\Kleinanzeigen-Scraper\offer_images\2419212916", "Link")</f>
        <v/>
      </c>
      <c r="O472" t="inlineStr">
        <is>
          <t>olaf</t>
        </is>
      </c>
      <c r="P472" s="6">
        <f>HYPERLINK("https://www.kleinanzeigen.de/s-bestandsliste.html?userId=8857923", "Link")</f>
        <v/>
      </c>
      <c r="Q472" s="7" t="n">
        <v>45558.73819444444</v>
      </c>
      <c r="R472" s="3" t="inlineStr">
        <is>
          <t>315.71</t>
        </is>
      </c>
      <c r="S472" t="inlineStr">
        <is>
          <t>München</t>
        </is>
      </c>
    </row>
    <row r="473">
      <c r="A473" s="2" t="n">
        <v>2.5</v>
      </c>
      <c r="B473" t="inlineStr">
        <is>
          <t>Gaastra Rad Wave</t>
        </is>
      </c>
      <c r="C473" s="3" t="inlineStr"/>
      <c r="D473" s="3" t="inlineStr"/>
      <c r="E473" t="inlineStr">
        <is>
          <t>Wave</t>
        </is>
      </c>
      <c r="F473" t="inlineStr"/>
      <c r="G473" t="inlineStr">
        <is>
          <t>new</t>
        </is>
      </c>
      <c r="H473" s="4" t="n">
        <v>75</v>
      </c>
      <c r="I473" t="inlineStr">
        <is>
          <t>VB</t>
        </is>
      </c>
      <c r="J473" t="inlineStr">
        <is>
          <t>84174 Bayern - Eching (Niederbay)</t>
        </is>
      </c>
      <c r="K473" s="5" t="n">
        <v>45501</v>
      </c>
      <c r="L473" t="inlineStr">
        <is>
          <t>Sold</t>
        </is>
      </c>
      <c r="M473" s="6">
        <f>HYPERLINK("https://www.kleinanzeigen.de/s-anzeige/gaastra-rad-wave-2-5m-extremsegel-windsurfer-segel/2823142379-230-6404", "Link")</f>
        <v/>
      </c>
      <c r="N473" s="6">
        <f>HYPERLINK("C:\Projects\Kleinanzeigen-Scraper\offer_images\2823142379", "Link")</f>
        <v/>
      </c>
      <c r="O473" t="inlineStr">
        <is>
          <t>Jörg Grieshaber</t>
        </is>
      </c>
      <c r="P473" s="6">
        <f>HYPERLINK("https://www.kleinanzeigen.de/s-bestandsliste.html?userId=23230027", "Link")</f>
        <v/>
      </c>
      <c r="Q473" s="7" t="n">
        <v>45558.73815972222</v>
      </c>
      <c r="R473" s="3" t="inlineStr">
        <is>
          <t>52.03</t>
        </is>
      </c>
      <c r="S473" t="inlineStr">
        <is>
          <t>München</t>
        </is>
      </c>
    </row>
    <row r="474">
      <c r="A474" s="2" t="n">
        <v>6.9</v>
      </c>
      <c r="B474" t="inlineStr">
        <is>
          <t>Gaastra Remedy</t>
        </is>
      </c>
      <c r="C474" s="3" t="inlineStr"/>
      <c r="D474" s="3" t="inlineStr"/>
      <c r="E474" t="inlineStr"/>
      <c r="F474" t="inlineStr"/>
      <c r="G474" t="inlineStr">
        <is>
          <t>defective</t>
        </is>
      </c>
      <c r="H474" s="4" t="inlineStr"/>
      <c r="I474" t="inlineStr">
        <is>
          <t>VB</t>
        </is>
      </c>
      <c r="J474" t="inlineStr">
        <is>
          <t>45768 Nordrhein-Westfalen - Marl</t>
        </is>
      </c>
      <c r="K474" s="5" t="n">
        <v>45452</v>
      </c>
      <c r="L474" t="inlineStr"/>
      <c r="M474" s="6">
        <f>HYPERLINK("https://www.kleinanzeigen.de/s-anzeige/segel-windsurfen-surfsegel-gaastra-remedy-6-9qm-defekt/2783533251-230-1774", "Link")</f>
        <v/>
      </c>
      <c r="N474" s="6">
        <f>HYPERLINK("C:\Projects\Kleinanzeigen-Scraper\offer_images\2783533251", "Link")</f>
        <v/>
      </c>
      <c r="O474" t="inlineStr">
        <is>
          <t>Hasenclever</t>
        </is>
      </c>
      <c r="P474" s="6">
        <f>HYPERLINK("https://www.kleinanzeigen.de/s-bestandsliste.html?userId=3933455", "Link")</f>
        <v/>
      </c>
      <c r="Q474" s="7" t="n">
        <v>45558.738125</v>
      </c>
      <c r="R474" s="3" t="inlineStr">
        <is>
          <t>80.12</t>
        </is>
      </c>
      <c r="S474" t="inlineStr">
        <is>
          <t>Köln</t>
        </is>
      </c>
    </row>
    <row r="475">
      <c r="A475" s="2" t="n">
        <v>4.4</v>
      </c>
      <c r="B475" t="inlineStr">
        <is>
          <t>GA Sails Gaastra IQ ME</t>
        </is>
      </c>
      <c r="C475" s="3" t="n">
        <v>370</v>
      </c>
      <c r="D475" s="3" t="n">
        <v>159</v>
      </c>
      <c r="E475" t="inlineStr"/>
      <c r="F475" t="inlineStr"/>
      <c r="G475" t="inlineStr">
        <is>
          <t>used</t>
        </is>
      </c>
      <c r="H475" s="4" t="n">
        <v>450</v>
      </c>
      <c r="I475" t="inlineStr">
        <is>
          <t>VB</t>
        </is>
      </c>
      <c r="J475" t="inlineStr">
        <is>
          <t>24943 Schleswig-Holstein - Flensburg</t>
        </is>
      </c>
      <c r="K475" s="5" t="n">
        <v>45554</v>
      </c>
      <c r="L475" t="inlineStr"/>
      <c r="M475" s="6">
        <f>HYPERLINK("https://www.kleinanzeigen.de/s-anzeige/ga-sails-gaastra-iq-me-4-4/2868433487-230-17392", "Link")</f>
        <v/>
      </c>
      <c r="N475" s="6">
        <f>HYPERLINK("C:\Projects\Kleinanzeigen-Scraper\offer_images\2868433487", "Link")</f>
        <v/>
      </c>
      <c r="O475" t="inlineStr">
        <is>
          <t>Alex Jüngst</t>
        </is>
      </c>
      <c r="P475" s="6">
        <f>HYPERLINK("https://www.kleinanzeigen.de/s-bestandsliste.html?userId=25363395", "Link")</f>
        <v/>
      </c>
      <c r="Q475" s="7" t="n">
        <v>45558.73810185185</v>
      </c>
      <c r="R475" s="3" t="inlineStr">
        <is>
          <t>459.78</t>
        </is>
      </c>
      <c r="S475" t="inlineStr">
        <is>
          <t>Köln</t>
        </is>
      </c>
    </row>
    <row r="476">
      <c r="A476" s="2" t="n">
        <v>5.2</v>
      </c>
      <c r="B476" t="inlineStr">
        <is>
          <t>Gaastra Remedy</t>
        </is>
      </c>
      <c r="C476" s="3" t="inlineStr"/>
      <c r="D476" s="3" t="inlineStr"/>
      <c r="E476" t="inlineStr"/>
      <c r="F476" t="inlineStr"/>
      <c r="G476" t="inlineStr">
        <is>
          <t>defective</t>
        </is>
      </c>
      <c r="H476" s="4" t="n">
        <v>40</v>
      </c>
      <c r="I476" t="inlineStr"/>
      <c r="J476" t="inlineStr">
        <is>
          <t>12247 Berlin - Steglitz</t>
        </is>
      </c>
      <c r="K476" s="5" t="n">
        <v>45257</v>
      </c>
      <c r="L476" t="inlineStr"/>
      <c r="M476" s="6">
        <f>HYPERLINK("https://www.kleinanzeigen.de/s-anzeige/windsurf-segel-gaastra-remedy-5-2/2614914154-230-3424", "Link")</f>
        <v/>
      </c>
      <c r="N476" s="6">
        <f>HYPERLINK("C:\Projects\Kleinanzeigen-Scraper\offer_images\2614914154", "Link")</f>
        <v/>
      </c>
      <c r="O476" t="inlineStr">
        <is>
          <t>Schöneberger</t>
        </is>
      </c>
      <c r="P476" s="6">
        <f>HYPERLINK("https://www.kleinanzeigen.de/s-bestandsliste.html?userId=13556070", "Link")</f>
        <v/>
      </c>
      <c r="Q476" s="7" t="n">
        <v>45558.7380787037</v>
      </c>
      <c r="R476" s="3" t="inlineStr">
        <is>
          <t>470.80</t>
        </is>
      </c>
      <c r="S476" t="inlineStr">
        <is>
          <t>Köln</t>
        </is>
      </c>
    </row>
    <row r="477">
      <c r="A477" s="2" t="n">
        <v>7</v>
      </c>
      <c r="B477" t="inlineStr">
        <is>
          <t>Gaastra GTX</t>
        </is>
      </c>
      <c r="C477" s="3" t="inlineStr"/>
      <c r="D477" s="3" t="inlineStr"/>
      <c r="E477" t="inlineStr"/>
      <c r="F477" t="inlineStr"/>
      <c r="G477" t="inlineStr">
        <is>
          <t>used</t>
        </is>
      </c>
      <c r="H477" s="4" t="n">
        <v>59</v>
      </c>
      <c r="I477" t="inlineStr">
        <is>
          <t>VB</t>
        </is>
      </c>
      <c r="J477" t="inlineStr">
        <is>
          <t>26180 Niedersachsen - Rastede</t>
        </is>
      </c>
      <c r="K477" s="5" t="n">
        <v>45503</v>
      </c>
      <c r="L477" t="inlineStr"/>
      <c r="M477" s="6">
        <f>HYPERLINK("https://www.kleinanzeigen.de/s-anzeige/gaastra-gtx-7-0/2825250016-230-2575", "Link")</f>
        <v/>
      </c>
      <c r="N477" s="6">
        <f>HYPERLINK("C:\Projects\Kleinanzeigen-Scraper\offer_images\2825250016", "Link")</f>
        <v/>
      </c>
      <c r="O477" t="inlineStr">
        <is>
          <t>Hinricus Dirks</t>
        </is>
      </c>
      <c r="P477" s="6">
        <f>HYPERLINK("https://www.kleinanzeigen.de/s-bestandsliste.html?userId=27086904", "Link")</f>
        <v/>
      </c>
      <c r="Q477" s="7" t="n">
        <v>45558.73800925926</v>
      </c>
      <c r="R477" s="3" t="inlineStr">
        <is>
          <t>272.02</t>
        </is>
      </c>
      <c r="S477" t="inlineStr">
        <is>
          <t>Köln</t>
        </is>
      </c>
    </row>
    <row r="478">
      <c r="A478" s="2" t="n">
        <v>5.8</v>
      </c>
      <c r="B478" t="inlineStr">
        <is>
          <t>Gaastra Grind</t>
        </is>
      </c>
      <c r="C478" s="3" t="n">
        <v>430</v>
      </c>
      <c r="D478" s="3" t="n">
        <v>188</v>
      </c>
      <c r="E478" t="inlineStr"/>
      <c r="F478" t="inlineStr"/>
      <c r="G478" t="inlineStr">
        <is>
          <t>used</t>
        </is>
      </c>
      <c r="H478" s="4" t="n">
        <v>70</v>
      </c>
      <c r="I478" t="inlineStr"/>
      <c r="J478" t="inlineStr">
        <is>
          <t>24969 Schleswig-Holstein - Großenwiehe</t>
        </is>
      </c>
      <c r="K478" s="5" t="n">
        <v>45461</v>
      </c>
      <c r="L478" t="inlineStr"/>
      <c r="M478" s="6">
        <f>HYPERLINK("https://www.kleinanzeigen.de/s-anzeige/surfsegel-gaastra-5-8-qm-gebraucht/2791346576-230-20374", "Link")</f>
        <v/>
      </c>
      <c r="N478" s="6">
        <f>HYPERLINK("C:\Projects\Kleinanzeigen-Scraper\offer_images\2791346576", "Link")</f>
        <v/>
      </c>
      <c r="O478" t="inlineStr">
        <is>
          <t>Stamer</t>
        </is>
      </c>
      <c r="P478" s="6">
        <f>HYPERLINK("https://www.kleinanzeigen.de/s-bestandsliste.html?userId=67325839", "Link")</f>
        <v/>
      </c>
      <c r="Q478" s="7" t="n">
        <v>45558.73796296296</v>
      </c>
      <c r="R478" s="3" t="inlineStr">
        <is>
          <t>443.46</t>
        </is>
      </c>
      <c r="S478" t="inlineStr">
        <is>
          <t>Köln</t>
        </is>
      </c>
    </row>
    <row r="479">
      <c r="A479" s="2" t="n">
        <v>9</v>
      </c>
      <c r="B479" t="inlineStr">
        <is>
          <t>Gaastra Swift</t>
        </is>
      </c>
      <c r="C479" s="3" t="n">
        <v>523</v>
      </c>
      <c r="D479" s="3" t="n">
        <v>252</v>
      </c>
      <c r="E479" t="inlineStr"/>
      <c r="F479" t="inlineStr"/>
      <c r="G479" t="inlineStr">
        <is>
          <t>used</t>
        </is>
      </c>
      <c r="H479" s="4" t="n">
        <v>150</v>
      </c>
      <c r="I479" t="inlineStr"/>
      <c r="J479" t="inlineStr">
        <is>
          <t>12587 Berlin - Köpenick</t>
        </is>
      </c>
      <c r="K479" s="5" t="n">
        <v>45528</v>
      </c>
      <c r="L479" t="inlineStr"/>
      <c r="M479" s="6">
        <f>HYPERLINK("https://www.kleinanzeigen.de/s-anzeige/gaastra-swift-9-0-m-segel/2845304412-230-3374", "Link")</f>
        <v/>
      </c>
      <c r="N479" s="6">
        <f>HYPERLINK("C:\Projects\Kleinanzeigen-Scraper\offer_images\2845304412", "Link")</f>
        <v/>
      </c>
      <c r="O479" t="inlineStr">
        <is>
          <t>Müller</t>
        </is>
      </c>
      <c r="P479" s="6">
        <f>HYPERLINK("https://www.kleinanzeigen.de/s-bestandsliste.html?userId=5985090", "Link")</f>
        <v/>
      </c>
      <c r="Q479" s="7" t="n">
        <v>45558.73793981481</v>
      </c>
      <c r="R479" s="3" t="inlineStr">
        <is>
          <t>490.72</t>
        </is>
      </c>
      <c r="S479" t="inlineStr">
        <is>
          <t>Köln</t>
        </is>
      </c>
    </row>
    <row r="480">
      <c r="A480" s="2" t="n">
        <v>4.2</v>
      </c>
      <c r="B480" t="inlineStr">
        <is>
          <t>Gaastra Ga Iq</t>
        </is>
      </c>
      <c r="C480" s="3" t="n">
        <v>370</v>
      </c>
      <c r="D480" s="3" t="n">
        <v>160</v>
      </c>
      <c r="E480" t="inlineStr"/>
      <c r="F480" t="inlineStr">
        <is>
          <t>2014</t>
        </is>
      </c>
      <c r="G480" t="inlineStr">
        <is>
          <t>used</t>
        </is>
      </c>
      <c r="H480" s="4" t="n">
        <v>120</v>
      </c>
      <c r="I480" t="inlineStr"/>
      <c r="J480" t="inlineStr">
        <is>
          <t>20537 Hamburg-Mitte - Hamburg Hamm</t>
        </is>
      </c>
      <c r="K480" s="5" t="n">
        <v>45454</v>
      </c>
      <c r="L480" t="inlineStr"/>
      <c r="M480" s="6">
        <f>HYPERLINK("https://www.kleinanzeigen.de/s-anzeige/gaastra-ga-iq-4-2-2014/2785974145-230-9424", "Link")</f>
        <v/>
      </c>
      <c r="N480" s="6">
        <f>HYPERLINK("C:\Projects\Kleinanzeigen-Scraper\offer_images\2785974145", "Link")</f>
        <v/>
      </c>
      <c r="O480" t="inlineStr">
        <is>
          <t>Sven Schneider</t>
        </is>
      </c>
      <c r="P480" s="6">
        <f>HYPERLINK("https://www.kleinanzeigen.de/s-bestandsliste.html?userId=12023616", "Link")</f>
        <v/>
      </c>
      <c r="Q480" s="7" t="n">
        <v>45558.7378125</v>
      </c>
      <c r="R480" s="3" t="inlineStr">
        <is>
          <t>358.78</t>
        </is>
      </c>
      <c r="S480" t="inlineStr">
        <is>
          <t>Köln</t>
        </is>
      </c>
    </row>
    <row r="481">
      <c r="A481" s="2" t="n">
        <v>4.5</v>
      </c>
      <c r="B481" t="inlineStr">
        <is>
          <t>Gaastra</t>
        </is>
      </c>
      <c r="C481" s="3" t="n">
        <v>412</v>
      </c>
      <c r="D481" s="3" t="n">
        <v>160</v>
      </c>
      <c r="E481" t="inlineStr">
        <is>
          <t>Wave</t>
        </is>
      </c>
      <c r="F481" t="inlineStr"/>
      <c r="G481" t="inlineStr">
        <is>
          <t>new</t>
        </is>
      </c>
      <c r="H481" s="4" t="n">
        <v>140</v>
      </c>
      <c r="I481" t="inlineStr"/>
      <c r="J481" t="inlineStr">
        <is>
          <t>90449 Nürnberg (Mittelfr) - Röthenbach b Schweinau</t>
        </is>
      </c>
      <c r="K481" s="5" t="n">
        <v>45544</v>
      </c>
      <c r="L481" t="inlineStr"/>
      <c r="M481" s="6">
        <f>HYPERLINK("https://www.kleinanzeigen.de/s-anzeige/surfsegel-gaastra-4-5m-neu/2858422288-230-28219", "Link")</f>
        <v/>
      </c>
      <c r="N481" s="6">
        <f>HYPERLINK("C:\Projects\Kleinanzeigen-Scraper\offer_images\2858422288", "Link")</f>
        <v/>
      </c>
      <c r="O481" t="inlineStr">
        <is>
          <t>HZ</t>
        </is>
      </c>
      <c r="P481" s="6">
        <f>HYPERLINK("https://www.kleinanzeigen.de/s-bestandsliste.html?userId=8739499", "Link")</f>
        <v/>
      </c>
      <c r="Q481" s="7" t="n">
        <v>45558.73780092593</v>
      </c>
      <c r="R481" s="3" t="inlineStr">
        <is>
          <t>149.06</t>
        </is>
      </c>
      <c r="S481" t="inlineStr">
        <is>
          <t>München</t>
        </is>
      </c>
    </row>
    <row r="482">
      <c r="A482" s="2" t="n">
        <v>4.2</v>
      </c>
      <c r="B482" t="inlineStr">
        <is>
          <t>Gaastra Manic HD</t>
        </is>
      </c>
      <c r="C482" s="3" t="n">
        <v>370</v>
      </c>
      <c r="D482" s="3" t="inlineStr"/>
      <c r="E482" t="inlineStr"/>
      <c r="F482" t="inlineStr">
        <is>
          <t>2021</t>
        </is>
      </c>
      <c r="G482" t="inlineStr">
        <is>
          <t>used</t>
        </is>
      </c>
      <c r="H482" s="4" t="n">
        <v>250</v>
      </c>
      <c r="I482" t="inlineStr"/>
      <c r="J482" t="inlineStr">
        <is>
          <t>81679 München - Bogenhausen</t>
        </is>
      </c>
      <c r="K482" s="5" t="n">
        <v>45550</v>
      </c>
      <c r="L482" t="inlineStr"/>
      <c r="M482" s="6">
        <f>HYPERLINK("https://www.kleinanzeigen.de/s-anzeige/gaastra-manic-hd-4-2-2021/2863942793-230-6457", "Link")</f>
        <v/>
      </c>
      <c r="N482" s="6">
        <f>HYPERLINK("C:\Projects\Kleinanzeigen-Scraper\offer_images\2863942793", "Link")</f>
        <v/>
      </c>
      <c r="O482" t="inlineStr">
        <is>
          <t>Rolf Bletschacher</t>
        </is>
      </c>
      <c r="P482" s="6">
        <f>HYPERLINK("https://www.kleinanzeigen.de/s-bestandsliste.html?userId=119014462", "Link")</f>
        <v/>
      </c>
      <c r="Q482" s="7" t="n">
        <v>45558.73780092593</v>
      </c>
      <c r="R482" s="3" t="inlineStr">
        <is>
          <t>2.71</t>
        </is>
      </c>
      <c r="S482" t="inlineStr">
        <is>
          <t>München</t>
        </is>
      </c>
    </row>
    <row r="483">
      <c r="A483" s="2" t="n">
        <v>6.5</v>
      </c>
      <c r="B483" t="inlineStr">
        <is>
          <t>Gaastra Flow</t>
        </is>
      </c>
      <c r="C483" s="3" t="inlineStr">
        <is>
          <t>460-493</t>
        </is>
      </c>
      <c r="D483" s="3" t="inlineStr">
        <is>
          <t>196-200</t>
        </is>
      </c>
      <c r="E483" t="inlineStr"/>
      <c r="F483" t="inlineStr"/>
      <c r="G483" t="inlineStr">
        <is>
          <t>used</t>
        </is>
      </c>
      <c r="H483" s="4" t="n">
        <v>40</v>
      </c>
      <c r="I483" t="inlineStr">
        <is>
          <t>VB</t>
        </is>
      </c>
      <c r="J483" t="inlineStr">
        <is>
          <t>76327 Baden-Württemberg - Pfinztal</t>
        </is>
      </c>
      <c r="K483" s="5" t="n">
        <v>45520</v>
      </c>
      <c r="L483" t="inlineStr"/>
      <c r="M483" s="6">
        <f>HYPERLINK("https://www.kleinanzeigen.de/s-anzeige/surfsegel-gaastra-flow-6-5-qm/2838631208-230-8249", "Link")</f>
        <v/>
      </c>
      <c r="N483" s="6">
        <f>HYPERLINK("C:\Projects\Kleinanzeigen-Scraper\offer_images\2838631208", "Link")</f>
        <v/>
      </c>
      <c r="O483" t="inlineStr">
        <is>
          <t>Volker</t>
        </is>
      </c>
      <c r="P483" s="6">
        <f>HYPERLINK("https://www.kleinanzeigen.de/s-bestandsliste.html?userId=132933300", "Link")</f>
        <v/>
      </c>
      <c r="Q483" s="7" t="n">
        <v>45558.73777777778</v>
      </c>
      <c r="R483" s="3" t="inlineStr">
        <is>
          <t>11.23</t>
        </is>
      </c>
      <c r="S483" t="inlineStr">
        <is>
          <t>Karlsruhe</t>
        </is>
      </c>
    </row>
    <row r="484">
      <c r="A484" s="2" t="n">
        <v>5</v>
      </c>
      <c r="B484" t="inlineStr">
        <is>
          <t>Gaastra Manic</t>
        </is>
      </c>
      <c r="C484" s="3" t="n">
        <v>400</v>
      </c>
      <c r="D484" s="3" t="n">
        <v>168</v>
      </c>
      <c r="E484" t="inlineStr"/>
      <c r="F484" t="inlineStr"/>
      <c r="G484" t="inlineStr">
        <is>
          <t>used</t>
        </is>
      </c>
      <c r="H484" s="4" t="n">
        <v>70</v>
      </c>
      <c r="I484" t="inlineStr">
        <is>
          <t>VB</t>
        </is>
      </c>
      <c r="J484" t="inlineStr">
        <is>
          <t>14052 Berlin - Charlottenburg</t>
        </is>
      </c>
      <c r="K484" s="5" t="n">
        <v>45535</v>
      </c>
      <c r="L484" t="inlineStr"/>
      <c r="M484" s="6">
        <f>HYPERLINK("https://www.kleinanzeigen.de/s-anzeige/gaastra-manic/2850808897-230-3339", "Link")</f>
        <v/>
      </c>
      <c r="N484" s="6">
        <f>HYPERLINK("C:\Projects\Kleinanzeigen-Scraper\offer_images\2850808897", "Link")</f>
        <v/>
      </c>
      <c r="O484" t="inlineStr">
        <is>
          <t>Oliver Kind</t>
        </is>
      </c>
      <c r="P484" s="6">
        <f>HYPERLINK("https://www.kleinanzeigen.de/s-bestandsliste.html?userId=32561881", "Link")</f>
        <v/>
      </c>
      <c r="Q484" s="7" t="n">
        <v>45558.73773148148</v>
      </c>
      <c r="R484" s="3" t="inlineStr">
        <is>
          <t>468.06</t>
        </is>
      </c>
      <c r="S484" t="inlineStr">
        <is>
          <t>Köln</t>
        </is>
      </c>
    </row>
    <row r="485">
      <c r="A485" s="2" t="n">
        <v>7</v>
      </c>
      <c r="B485" t="inlineStr">
        <is>
          <t>GAASTRA Matrix</t>
        </is>
      </c>
      <c r="C485" s="3" t="n">
        <v>460</v>
      </c>
      <c r="D485" s="3" t="n">
        <v>195</v>
      </c>
      <c r="E485" t="inlineStr"/>
      <c r="F485" t="inlineStr"/>
      <c r="G485" t="inlineStr">
        <is>
          <t>used</t>
        </is>
      </c>
      <c r="H485" s="4" t="n">
        <v>80</v>
      </c>
      <c r="I485" t="inlineStr"/>
      <c r="J485" t="inlineStr">
        <is>
          <t>26871 Niedersachsen - Papenburg</t>
        </is>
      </c>
      <c r="K485" s="5" t="n">
        <v>45357</v>
      </c>
      <c r="L485" t="inlineStr"/>
      <c r="M485" s="6">
        <f>HYPERLINK("https://www.kleinanzeigen.de/s-anzeige/gaastra-matrix-7-0/2698618634-230-2769", "Link")</f>
        <v/>
      </c>
      <c r="N485" s="6">
        <f>HYPERLINK("C:\Projects\Kleinanzeigen-Scraper\offer_images\2698618634", "Link")</f>
        <v/>
      </c>
      <c r="O485" t="inlineStr">
        <is>
          <t>R.F.</t>
        </is>
      </c>
      <c r="P485" s="6">
        <f>HYPERLINK("https://www.kleinanzeigen.de/s-bestandsliste.html?userId=13093548", "Link")</f>
        <v/>
      </c>
      <c r="Q485" s="7" t="n">
        <v>45558.7375925926</v>
      </c>
      <c r="R485" s="3" t="inlineStr">
        <is>
          <t>237.08</t>
        </is>
      </c>
      <c r="S485" t="inlineStr">
        <is>
          <t>Köln</t>
        </is>
      </c>
    </row>
    <row r="486">
      <c r="A486" s="2" t="n">
        <v>8.5</v>
      </c>
      <c r="B486" t="inlineStr">
        <is>
          <t>Gaastra GTR</t>
        </is>
      </c>
      <c r="C486" s="3" t="inlineStr"/>
      <c r="D486" s="3" t="inlineStr"/>
      <c r="E486" t="inlineStr"/>
      <c r="F486" t="inlineStr"/>
      <c r="G486" t="inlineStr">
        <is>
          <t>used</t>
        </is>
      </c>
      <c r="H486" s="4" t="n">
        <v>100</v>
      </c>
      <c r="I486" t="inlineStr">
        <is>
          <t>VB</t>
        </is>
      </c>
      <c r="J486" t="inlineStr">
        <is>
          <t>21256 Niedersachsen - Handeloh</t>
        </is>
      </c>
      <c r="K486" s="5" t="n">
        <v>45505</v>
      </c>
      <c r="L486" t="inlineStr">
        <is>
          <t>Sold</t>
        </is>
      </c>
      <c r="M486" s="6">
        <f>HYPERLINK("https://www.kleinanzeigen.de/s-anzeige/windsurfsegel-gaastra-gtr-8-5-qm/2826544740-230-3315", "Link")</f>
        <v/>
      </c>
      <c r="N486" s="6">
        <f>HYPERLINK("C:\Projects\Kleinanzeigen-Scraper\offer_images\2826544740", "Link")</f>
        <v/>
      </c>
      <c r="O486" t="inlineStr">
        <is>
          <t>Birgit</t>
        </is>
      </c>
      <c r="P486" s="6">
        <f>HYPERLINK("https://www.kleinanzeigen.de/s-bestandsliste.html?userId=31026803", "Link")</f>
        <v/>
      </c>
      <c r="Q486" s="7" t="n">
        <v>45558.73758101852</v>
      </c>
      <c r="R486" s="3" t="inlineStr">
        <is>
          <t>324.51</t>
        </is>
      </c>
      <c r="S486" t="inlineStr">
        <is>
          <t>Köln</t>
        </is>
      </c>
    </row>
    <row r="487">
      <c r="A487" s="2" t="n">
        <v>6.7</v>
      </c>
      <c r="B487" t="inlineStr">
        <is>
          <t>Gaastra Pulse</t>
        </is>
      </c>
      <c r="C487" s="3" t="n">
        <v>460</v>
      </c>
      <c r="D487" s="3" t="n">
        <v>220</v>
      </c>
      <c r="E487" t="inlineStr"/>
      <c r="F487" t="inlineStr"/>
      <c r="G487" t="inlineStr">
        <is>
          <t>used</t>
        </is>
      </c>
      <c r="H487" s="4" t="n">
        <v>20</v>
      </c>
      <c r="I487" t="inlineStr"/>
      <c r="J487" t="inlineStr">
        <is>
          <t>78647 Baden-Württemberg - Trossingen</t>
        </is>
      </c>
      <c r="K487" s="5" t="n">
        <v>45520</v>
      </c>
      <c r="L487" t="inlineStr"/>
      <c r="M487" s="6">
        <f>HYPERLINK("https://www.kleinanzeigen.de/s-anzeige/gaastra-pulse-6-7-m2-windsurfsegel/2838199802-230-8497", "Link")</f>
        <v/>
      </c>
      <c r="N487" s="6">
        <f>HYPERLINK("C:\Projects\Kleinanzeigen-Scraper\offer_images\2838199802", "Link")</f>
        <v/>
      </c>
      <c r="O487" t="inlineStr">
        <is>
          <t>Privat</t>
        </is>
      </c>
      <c r="P487" s="6">
        <f>HYPERLINK("https://www.kleinanzeigen.de/s-bestandsliste.html?userId=21148872", "Link")</f>
        <v/>
      </c>
      <c r="Q487" s="7" t="n">
        <v>45558.73755787037</v>
      </c>
      <c r="R487" s="3" t="inlineStr">
        <is>
          <t>37.60</t>
        </is>
      </c>
      <c r="S487" t="inlineStr">
        <is>
          <t>Bonndorf</t>
        </is>
      </c>
    </row>
    <row r="488">
      <c r="A488" s="2" t="n">
        <v>8.5</v>
      </c>
      <c r="B488" t="inlineStr">
        <is>
          <t>Gaastra GTX Race</t>
        </is>
      </c>
      <c r="C488" s="3" t="n">
        <v>490</v>
      </c>
      <c r="D488" s="3" t="n">
        <v>232</v>
      </c>
      <c r="E488" t="inlineStr"/>
      <c r="F488" t="inlineStr"/>
      <c r="G488" t="inlineStr">
        <is>
          <t>used</t>
        </is>
      </c>
      <c r="H488" s="4" t="n">
        <v>90</v>
      </c>
      <c r="I488" t="inlineStr">
        <is>
          <t>VB</t>
        </is>
      </c>
      <c r="J488" t="inlineStr">
        <is>
          <t>78467 Baden-Württemberg - Konstanz</t>
        </is>
      </c>
      <c r="K488" s="5" t="n">
        <v>45466</v>
      </c>
      <c r="L488" t="inlineStr"/>
      <c r="M488" s="6">
        <f>HYPERLINK("https://www.kleinanzeigen.de/s-anzeige/gaastra-gtx-race-8-5/2794930450-230-9389", "Link")</f>
        <v/>
      </c>
      <c r="N488" s="6">
        <f>HYPERLINK("C:\Projects\Kleinanzeigen-Scraper\offer_images\2794930450", "Link")</f>
        <v/>
      </c>
      <c r="O488" t="inlineStr">
        <is>
          <t>Janis Mühleisen</t>
        </is>
      </c>
      <c r="P488" s="6">
        <f>HYPERLINK("https://www.kleinanzeigen.de/s-bestandsliste.html?userId=19584775", "Link")</f>
        <v/>
      </c>
      <c r="Q488" s="7" t="n">
        <v>45558.73755787037</v>
      </c>
      <c r="R488" s="3" t="inlineStr">
        <is>
          <t>62.51</t>
        </is>
      </c>
      <c r="S488" t="inlineStr">
        <is>
          <t>Bonndorf</t>
        </is>
      </c>
    </row>
    <row r="489">
      <c r="A489" s="2" t="n">
        <v>4.7</v>
      </c>
      <c r="B489" t="inlineStr">
        <is>
          <t>Gaastra Manic HD</t>
        </is>
      </c>
      <c r="C489" s="3" t="n">
        <v>400</v>
      </c>
      <c r="D489" s="3" t="n">
        <v>164</v>
      </c>
      <c r="E489" t="inlineStr"/>
      <c r="F489" t="inlineStr"/>
      <c r="G489" t="inlineStr">
        <is>
          <t>used</t>
        </is>
      </c>
      <c r="H489" s="4" t="n">
        <v>50</v>
      </c>
      <c r="I489" t="inlineStr"/>
      <c r="J489" t="inlineStr">
        <is>
          <t>26135 Niedersachsen - Oldenburg</t>
        </is>
      </c>
      <c r="K489" s="5" t="n">
        <v>45536</v>
      </c>
      <c r="L489" t="inlineStr">
        <is>
          <t>Sold</t>
        </is>
      </c>
      <c r="M489" s="6">
        <f>HYPERLINK("https://www.kleinanzeigen.de/s-anzeige/gaastra-manic-hd-4-7qm/2851642848-230-3110", "Link")</f>
        <v/>
      </c>
      <c r="N489" s="6">
        <f>HYPERLINK("C:\Projects\Kleinanzeigen-Scraper\offer_images\2851642848", "Link")</f>
        <v/>
      </c>
      <c r="O489" t="inlineStr">
        <is>
          <t>Thomas Grzybowski</t>
        </is>
      </c>
      <c r="P489" s="6">
        <f>HYPERLINK("https://www.kleinanzeigen.de/s-bestandsliste.html?userId=6749020", "Link")</f>
        <v/>
      </c>
      <c r="Q489" s="7" t="n">
        <v>45558.73751157407</v>
      </c>
      <c r="R489" s="3" t="inlineStr">
        <is>
          <t>258.42</t>
        </is>
      </c>
      <c r="S489" t="inlineStr">
        <is>
          <t>Köln</t>
        </is>
      </c>
    </row>
    <row r="490">
      <c r="A490" s="2" t="n">
        <v>6.4</v>
      </c>
      <c r="B490" t="inlineStr">
        <is>
          <t>Gaastra Slalom CS</t>
        </is>
      </c>
      <c r="C490" s="3" t="n">
        <v>495</v>
      </c>
      <c r="D490" s="3" t="n">
        <v>198</v>
      </c>
      <c r="E490" t="inlineStr">
        <is>
          <t>Slalom</t>
        </is>
      </c>
      <c r="F490" t="inlineStr"/>
      <c r="G490" t="inlineStr">
        <is>
          <t>used</t>
        </is>
      </c>
      <c r="H490" s="4" t="n">
        <v>50</v>
      </c>
      <c r="I490" t="inlineStr"/>
      <c r="J490" t="inlineStr">
        <is>
          <t>51503 Nordrhein-Westfalen - Rösrath</t>
        </is>
      </c>
      <c r="K490" s="5" t="n">
        <v>44774</v>
      </c>
      <c r="L490" t="inlineStr"/>
      <c r="M490" s="6">
        <f>HYPERLINK("https://www.kleinanzeigen.de/s-anzeige/surfsegel-gaastra-slalom-cs-6-4/2172226839-230-1142", "Link")</f>
        <v/>
      </c>
      <c r="N490" s="6">
        <f>HYPERLINK("C:\Projects\Kleinanzeigen-Scraper\offer_images\2172226839", "Link")</f>
        <v/>
      </c>
      <c r="O490" t="inlineStr">
        <is>
          <t>Familie</t>
        </is>
      </c>
      <c r="P490" s="6">
        <f>HYPERLINK("https://www.kleinanzeigen.de/s-bestandsliste.html?userId=58695260", "Link")</f>
        <v/>
      </c>
      <c r="Q490" s="7" t="n">
        <v>45558.73751157407</v>
      </c>
      <c r="R490" s="3" t="inlineStr">
        <is>
          <t>16.70</t>
        </is>
      </c>
      <c r="S490" t="inlineStr">
        <is>
          <t>Köln</t>
        </is>
      </c>
    </row>
    <row r="491">
      <c r="A491" s="2" t="n">
        <v>7.2</v>
      </c>
      <c r="B491" t="inlineStr">
        <is>
          <t>GA Sails Gaastra Hybrid</t>
        </is>
      </c>
      <c r="C491" s="3" t="n">
        <v>460</v>
      </c>
      <c r="D491" s="3" t="n">
        <v>199</v>
      </c>
      <c r="E491" t="inlineStr">
        <is>
          <t>Freeride</t>
        </is>
      </c>
      <c r="F491" t="inlineStr"/>
      <c r="G491" t="inlineStr">
        <is>
          <t>repaired</t>
        </is>
      </c>
      <c r="H491" s="4" t="n">
        <v>199</v>
      </c>
      <c r="I491" t="inlineStr">
        <is>
          <t>VB</t>
        </is>
      </c>
      <c r="J491" t="inlineStr">
        <is>
          <t>47228 Duisburg - Rheinhausen</t>
        </is>
      </c>
      <c r="K491" s="5" t="n">
        <v>45531</v>
      </c>
      <c r="L491" t="inlineStr"/>
      <c r="M491" s="6">
        <f>HYPERLINK("https://www.kleinanzeigen.de/s-anzeige/ga-sails-gaastra-hybrid-7-2-windsurfsegel/2847541634-230-2135", "Link")</f>
        <v/>
      </c>
      <c r="N491" s="6">
        <f>HYPERLINK("C:\Projects\Kleinanzeigen-Scraper\offer_images\2847541634", "Link")</f>
        <v/>
      </c>
      <c r="O491" t="inlineStr">
        <is>
          <t>Fabian</t>
        </is>
      </c>
      <c r="P491" s="6">
        <f>HYPERLINK("https://www.kleinanzeigen.de/s-bestandsliste.html?userId=22920722", "Link")</f>
        <v/>
      </c>
      <c r="Q491" s="7" t="n">
        <v>45558.73748842593</v>
      </c>
      <c r="R491" s="3" t="inlineStr">
        <is>
          <t>56.80</t>
        </is>
      </c>
      <c r="S491" t="inlineStr">
        <is>
          <t>Köln</t>
        </is>
      </c>
    </row>
    <row r="492">
      <c r="A492" s="2" t="n">
        <v>7.5</v>
      </c>
      <c r="B492" t="inlineStr">
        <is>
          <t>Gaastra Swift</t>
        </is>
      </c>
      <c r="C492" s="3" t="n">
        <v>490</v>
      </c>
      <c r="D492" s="3" t="n">
        <v>218</v>
      </c>
      <c r="E492" t="inlineStr"/>
      <c r="F492" t="inlineStr"/>
      <c r="G492" t="inlineStr">
        <is>
          <t>used</t>
        </is>
      </c>
      <c r="H492" s="4" t="n">
        <v>130</v>
      </c>
      <c r="I492" t="inlineStr"/>
      <c r="J492" t="inlineStr">
        <is>
          <t>40591 Düsseldorf - Oberbilk</t>
        </is>
      </c>
      <c r="K492" s="5" t="n">
        <v>45534</v>
      </c>
      <c r="L492" t="inlineStr"/>
      <c r="M492" s="6">
        <f>HYPERLINK("https://www.kleinanzeigen.de/s-anzeige/gaastra-swift-windsurfsegel-segel-7-5-qm/2850231022-230-16748", "Link")</f>
        <v/>
      </c>
      <c r="N492" s="6">
        <f>HYPERLINK("C:\Projects\Kleinanzeigen-Scraper\offer_images\2850231022", "Link")</f>
        <v/>
      </c>
      <c r="O492" t="inlineStr">
        <is>
          <t>R&amp;S</t>
        </is>
      </c>
      <c r="P492" s="6">
        <f>HYPERLINK("https://www.kleinanzeigen.de/s-bestandsliste.html?userId=19239843", "Link")</f>
        <v/>
      </c>
      <c r="Q492" s="7" t="n">
        <v>45558.73741898148</v>
      </c>
      <c r="R492" s="3" t="inlineStr">
        <is>
          <t>29.32</t>
        </is>
      </c>
      <c r="S492" t="inlineStr">
        <is>
          <t>Köln</t>
        </is>
      </c>
    </row>
    <row r="493">
      <c r="A493" s="2" t="n">
        <v>7.5</v>
      </c>
      <c r="B493" t="inlineStr">
        <is>
          <t>Gaastra Matrix</t>
        </is>
      </c>
      <c r="C493" s="3" t="n">
        <v>460</v>
      </c>
      <c r="D493" s="3" t="n">
        <v>202</v>
      </c>
      <c r="E493" t="inlineStr"/>
      <c r="F493" t="inlineStr">
        <is>
          <t>2012</t>
        </is>
      </c>
      <c r="G493" t="inlineStr">
        <is>
          <t>used</t>
        </is>
      </c>
      <c r="H493" s="4" t="n">
        <v>90</v>
      </c>
      <c r="I493" t="inlineStr"/>
      <c r="J493" t="inlineStr">
        <is>
          <t>31515 Niedersachsen - Wunstorf</t>
        </is>
      </c>
      <c r="K493" s="5" t="n">
        <v>45527</v>
      </c>
      <c r="L493" t="inlineStr"/>
      <c r="M493" s="6">
        <f>HYPERLINK("https://www.kleinanzeigen.de/s-anzeige/2012-gaastra-matrix-7-5m2/2844098802-230-2930", "Link")</f>
        <v/>
      </c>
      <c r="N493" s="6">
        <f>HYPERLINK("C:\Projects\Kleinanzeigen-Scraper\offer_images\2844098802", "Link")</f>
        <v/>
      </c>
      <c r="O493" t="inlineStr">
        <is>
          <t>Justin H.</t>
        </is>
      </c>
      <c r="P493" s="6">
        <f>HYPERLINK("https://www.kleinanzeigen.de/s-bestandsliste.html?userId=61877235", "Link")</f>
        <v/>
      </c>
      <c r="Q493" s="7" t="n">
        <v>45558.73717592593</v>
      </c>
      <c r="R493" s="3" t="inlineStr">
        <is>
          <t>236.47</t>
        </is>
      </c>
      <c r="S493" t="inlineStr">
        <is>
          <t>Köln</t>
        </is>
      </c>
    </row>
    <row r="494">
      <c r="A494" s="2" t="n">
        <v>5.7</v>
      </c>
      <c r="B494" t="inlineStr">
        <is>
          <t>Gaastra Pure</t>
        </is>
      </c>
      <c r="C494" s="3" t="inlineStr"/>
      <c r="D494" s="3" t="inlineStr"/>
      <c r="E494" t="inlineStr"/>
      <c r="F494" t="inlineStr"/>
      <c r="G494" t="inlineStr">
        <is>
          <t>repaired</t>
        </is>
      </c>
      <c r="H494" s="4" t="n">
        <v>110</v>
      </c>
      <c r="I494" t="inlineStr"/>
      <c r="J494" t="inlineStr">
        <is>
          <t>83714 Bayern - Miesbach</t>
        </is>
      </c>
      <c r="K494" s="5" t="n">
        <v>45279</v>
      </c>
      <c r="L494" t="inlineStr"/>
      <c r="M494" s="6">
        <f>HYPERLINK("https://www.kleinanzeigen.de/s-anzeige/gaastra-pure-5-7-freestyle-segel/2632887831-230-5896", "Link")</f>
        <v/>
      </c>
      <c r="N494" s="6">
        <f>HYPERLINK("C:\Projects\Kleinanzeigen-Scraper\offer_images\2632887831", "Link")</f>
        <v/>
      </c>
      <c r="O494" t="inlineStr">
        <is>
          <t>Kiendl neu</t>
        </is>
      </c>
      <c r="P494" s="6">
        <f>HYPERLINK("https://www.kleinanzeigen.de/s-bestandsliste.html?userId=136489708", "Link")</f>
        <v/>
      </c>
      <c r="Q494" s="7" t="n">
        <v>45558.73706018519</v>
      </c>
      <c r="R494" s="3" t="inlineStr">
        <is>
          <t>41.62</t>
        </is>
      </c>
      <c r="S494" t="inlineStr">
        <is>
          <t>München</t>
        </is>
      </c>
    </row>
    <row r="495">
      <c r="A495" s="2" t="n">
        <v>10</v>
      </c>
      <c r="B495" t="inlineStr">
        <is>
          <t>GA Sails Gaastra SWIFT</t>
        </is>
      </c>
      <c r="C495" s="3" t="n">
        <v>520</v>
      </c>
      <c r="D495" s="3" t="n">
        <v>265</v>
      </c>
      <c r="E495" t="inlineStr"/>
      <c r="F495" t="inlineStr">
        <is>
          <t>2007-2008</t>
        </is>
      </c>
      <c r="G495" t="inlineStr">
        <is>
          <t>used</t>
        </is>
      </c>
      <c r="H495" s="4" t="n">
        <v>85</v>
      </c>
      <c r="I495" t="inlineStr"/>
      <c r="J495" t="inlineStr">
        <is>
          <t>90542 Bayern - Eckental</t>
        </is>
      </c>
      <c r="K495" s="5" t="n">
        <v>45543</v>
      </c>
      <c r="L495" t="inlineStr"/>
      <c r="M495" s="6">
        <f>HYPERLINK("https://www.kleinanzeigen.de/s-anzeige/ga-sails-gaastra-swift-10-0-qm/2858014697-230-6374", "Link")</f>
        <v/>
      </c>
      <c r="N495" s="6">
        <f>HYPERLINK("C:\Projects\Kleinanzeigen-Scraper\offer_images\2858014697", "Link")</f>
        <v/>
      </c>
      <c r="O495" t="inlineStr">
        <is>
          <t>Jost</t>
        </is>
      </c>
      <c r="P495" s="6">
        <f>HYPERLINK("https://www.kleinanzeigen.de/s-bestandsliste.html?userId=24730080", "Link")</f>
        <v/>
      </c>
      <c r="Q495" s="7" t="n">
        <v>45558.73699074074</v>
      </c>
      <c r="R495" s="3" t="inlineStr">
        <is>
          <t>162.95</t>
        </is>
      </c>
      <c r="S495" t="inlineStr">
        <is>
          <t>München</t>
        </is>
      </c>
    </row>
    <row r="496">
      <c r="A496" s="2" t="inlineStr"/>
      <c r="B496" t="inlineStr">
        <is>
          <t>NeilPryde FLY II PRO</t>
        </is>
      </c>
      <c r="C496" s="3" t="inlineStr"/>
      <c r="D496" s="3" t="inlineStr"/>
      <c r="E496" t="inlineStr"/>
      <c r="F496" t="inlineStr">
        <is>
          <t>2024</t>
        </is>
      </c>
      <c r="G496" t="inlineStr">
        <is>
          <t>new</t>
        </is>
      </c>
      <c r="H496" s="4" t="n">
        <v>1.279</v>
      </c>
      <c r="I496" t="inlineStr">
        <is>
          <t>VB</t>
        </is>
      </c>
      <c r="J496" t="inlineStr">
        <is>
          <t>99089 Thüringen - Erfurt</t>
        </is>
      </c>
      <c r="K496" s="5" t="n">
        <v>45558</v>
      </c>
      <c r="L496" t="inlineStr"/>
      <c r="M496" s="6">
        <f>HYPERLINK("https://www.kleinanzeigen.de/s-anzeige/neilpryde-fly-ii-pro-2024-neu-in-versch-farben-und-groessen/2871821668-230-3752", "Link")</f>
        <v/>
      </c>
      <c r="N496" s="6">
        <f>HYPERLINK("C:\Projects\Kleinanzeigen-Scraper\offer_images\2871821668", "Link")</f>
        <v/>
      </c>
      <c r="O496" t="inlineStr">
        <is>
          <t>Hotboards</t>
        </is>
      </c>
      <c r="P496" s="6">
        <f>HYPERLINK("https://www.kleinanzeigen.de/s-bestandsliste.html?userId=11417612", "Link")</f>
        <v/>
      </c>
      <c r="Q496" s="7" t="n">
        <v>45558.73699074074</v>
      </c>
      <c r="R496" s="3" t="inlineStr">
        <is>
          <t>284.33</t>
        </is>
      </c>
      <c r="S496" t="inlineStr">
        <is>
          <t>Köln</t>
        </is>
      </c>
    </row>
    <row r="497">
      <c r="A497" s="2" t="n">
        <v>5.7</v>
      </c>
      <c r="B497" t="inlineStr">
        <is>
          <t>Gaastra PowerSpeed</t>
        </is>
      </c>
      <c r="C497" s="3" t="n">
        <v>4.15</v>
      </c>
      <c r="D497" s="3" t="n">
        <v>1.6</v>
      </c>
      <c r="E497" t="inlineStr"/>
      <c r="F497" t="inlineStr"/>
      <c r="G497" t="inlineStr">
        <is>
          <t>used</t>
        </is>
      </c>
      <c r="H497" s="4" t="n">
        <v>40</v>
      </c>
      <c r="I497" t="inlineStr"/>
      <c r="J497" t="inlineStr">
        <is>
          <t>27367 Niedersachsen - Sottrum</t>
        </is>
      </c>
      <c r="K497" s="5" t="n">
        <v>45451</v>
      </c>
      <c r="L497" t="inlineStr"/>
      <c r="M497" s="6">
        <f>HYPERLINK("https://www.kleinanzeigen.de/s-anzeige/gaastra-powerspeed-5-7-windsurf-segel/2783259895-230-2938", "Link")</f>
        <v/>
      </c>
      <c r="N497" s="6">
        <f>HYPERLINK("C:\Projects\Kleinanzeigen-Scraper\offer_images\2783259895", "Link")</f>
        <v/>
      </c>
      <c r="O497" t="inlineStr">
        <is>
          <t>Nicho Seid</t>
        </is>
      </c>
      <c r="P497" s="6">
        <f>HYPERLINK("https://www.kleinanzeigen.de/s-bestandsliste.html?userId=89765023", "Link")</f>
        <v/>
      </c>
      <c r="Q497" s="7" t="n">
        <v>45558.73694444444</v>
      </c>
      <c r="R497" s="3" t="inlineStr">
        <is>
          <t>285.68</t>
        </is>
      </c>
      <c r="S497" t="inlineStr">
        <is>
          <t>Köln</t>
        </is>
      </c>
    </row>
    <row r="498">
      <c r="A498" s="2" t="n">
        <v>6.4</v>
      </c>
      <c r="B498" t="inlineStr">
        <is>
          <t>Arrows Tomahawk</t>
        </is>
      </c>
      <c r="C498" s="3" t="inlineStr"/>
      <c r="D498" s="3" t="inlineStr"/>
      <c r="E498" t="inlineStr"/>
      <c r="F498" t="inlineStr"/>
      <c r="G498" t="inlineStr">
        <is>
          <t>repaired</t>
        </is>
      </c>
      <c r="H498" s="4" t="n">
        <v>60</v>
      </c>
      <c r="I498" t="inlineStr"/>
      <c r="J498" t="inlineStr">
        <is>
          <t>75397 Baden-Württemberg - Simmozheim</t>
        </is>
      </c>
      <c r="K498" s="5" t="n">
        <v>45558</v>
      </c>
      <c r="L498" t="inlineStr"/>
      <c r="M498" s="6">
        <f>HYPERLINK("https://www.kleinanzeigen.de/s-anzeige/windsurf-segel-6-4-m2/2871932161-230-8401", "Link")</f>
        <v/>
      </c>
      <c r="N498" s="6">
        <f>HYPERLINK("C:\Projects\Kleinanzeigen-Scraper\offer_images\2871932161", "Link")</f>
        <v/>
      </c>
      <c r="O498" t="inlineStr">
        <is>
          <t>Mark Koehler</t>
        </is>
      </c>
      <c r="P498" s="6">
        <f>HYPERLINK("https://www.kleinanzeigen.de/s-bestandsliste.html?userId=3207457", "Link")</f>
        <v/>
      </c>
      <c r="Q498" s="7" t="n">
        <v>45558.73692129629</v>
      </c>
      <c r="R498" s="3" t="inlineStr">
        <is>
          <t>14.80</t>
        </is>
      </c>
      <c r="S498" t="inlineStr">
        <is>
          <t>Böblingen</t>
        </is>
      </c>
    </row>
    <row r="499">
      <c r="A499" s="2" t="n">
        <v>4.7</v>
      </c>
      <c r="B499" t="inlineStr">
        <is>
          <t>Gaastra GA Manic</t>
        </is>
      </c>
      <c r="C499" s="3" t="n">
        <v>370</v>
      </c>
      <c r="D499" s="3" t="n">
        <v>164</v>
      </c>
      <c r="E499" t="inlineStr">
        <is>
          <t>Wave</t>
        </is>
      </c>
      <c r="F499" t="inlineStr">
        <is>
          <t>2021</t>
        </is>
      </c>
      <c r="G499" t="inlineStr">
        <is>
          <t>new</t>
        </is>
      </c>
      <c r="H499" s="4" t="n">
        <v>399</v>
      </c>
      <c r="I499" t="inlineStr"/>
      <c r="J499" t="inlineStr">
        <is>
          <t>82319 Bayern - Starnberg</t>
        </is>
      </c>
      <c r="K499" s="5" t="n">
        <v>45564</v>
      </c>
      <c r="L499" t="inlineStr"/>
      <c r="M499" s="6">
        <f>HYPERLINK("https://www.kleinanzeigen.de/s-anzeige/gaastra-ga-manic-4-7-blue-wave-sail-2021/1546463273-230-5525", "Link")</f>
        <v/>
      </c>
      <c r="N499" s="6">
        <f>HYPERLINK("C:\Projects\Kleinanzeigen-Scraper\offer_images\1546463273", "Link")</f>
        <v/>
      </c>
      <c r="O499" t="inlineStr">
        <is>
          <t>No user name</t>
        </is>
      </c>
      <c r="P499" s="6">
        <f>HYPERLINK("https://www.kleinanzeigen.deNo user link", "Link")</f>
        <v/>
      </c>
      <c r="Q499" s="7" t="n">
        <v>45558.73692129629</v>
      </c>
      <c r="R499" s="3" t="inlineStr">
        <is>
          <t>23.17</t>
        </is>
      </c>
      <c r="S499" t="inlineStr">
        <is>
          <t>München</t>
        </is>
      </c>
    </row>
    <row r="500">
      <c r="A500" s="2" t="n">
        <v>5.6</v>
      </c>
      <c r="B500" t="inlineStr">
        <is>
          <t>Gaastra Hybrid</t>
        </is>
      </c>
      <c r="C500" s="3" t="inlineStr"/>
      <c r="D500" s="3" t="inlineStr"/>
      <c r="E500" t="inlineStr"/>
      <c r="F500" t="inlineStr">
        <is>
          <t>2023</t>
        </is>
      </c>
      <c r="G500" t="inlineStr">
        <is>
          <t>very good</t>
        </is>
      </c>
      <c r="H500" s="4" t="n">
        <v>310</v>
      </c>
      <c r="I500" t="inlineStr"/>
      <c r="J500" t="inlineStr">
        <is>
          <t>81679 München - Bogenhausen</t>
        </is>
      </c>
      <c r="K500" s="5" t="n">
        <v>45550</v>
      </c>
      <c r="L500" t="inlineStr"/>
      <c r="M500" s="6">
        <f>HYPERLINK("https://www.kleinanzeigen.de/s-anzeige/gaastra-hybrid-5-6m2-2023/2863928953-230-6457", "Link")</f>
        <v/>
      </c>
      <c r="N500" s="6">
        <f>HYPERLINK("C:\Projects\Kleinanzeigen-Scraper\offer_images\2863928953", "Link")</f>
        <v/>
      </c>
      <c r="O500" t="inlineStr">
        <is>
          <t>Rolf Bletschacher</t>
        </is>
      </c>
      <c r="P500" s="6">
        <f>HYPERLINK("https://www.kleinanzeigen.de/s-bestandsliste.html?userId=119014462", "Link")</f>
        <v/>
      </c>
      <c r="Q500" s="7" t="n">
        <v>45558.73686342593</v>
      </c>
      <c r="R500" s="3" t="inlineStr">
        <is>
          <t>2.71</t>
        </is>
      </c>
      <c r="S500" t="inlineStr">
        <is>
          <t>München</t>
        </is>
      </c>
    </row>
    <row r="501">
      <c r="A501" s="2" t="n">
        <v>6.4</v>
      </c>
      <c r="B501" t="inlineStr">
        <is>
          <t>Gaastra Cross</t>
        </is>
      </c>
      <c r="C501" s="3" t="n">
        <v>430</v>
      </c>
      <c r="D501" s="3" t="n">
        <v>106</v>
      </c>
      <c r="E501" t="inlineStr"/>
      <c r="F501" t="inlineStr"/>
      <c r="G501" t="inlineStr">
        <is>
          <t>used</t>
        </is>
      </c>
      <c r="H501" s="4" t="n">
        <v>150</v>
      </c>
      <c r="I501" t="inlineStr">
        <is>
          <t>VB</t>
        </is>
      </c>
      <c r="J501" t="inlineStr">
        <is>
          <t>24105 Schleswig-Holstein - Kiel</t>
        </is>
      </c>
      <c r="K501" s="5" t="n">
        <v>45473</v>
      </c>
      <c r="L501" t="inlineStr"/>
      <c r="M501" s="6">
        <f>HYPERLINK("https://www.kleinanzeigen.de/s-anzeige/surfsegel-6-4-qm-gaastra-cross/2800522292-230-708", "Link")</f>
        <v/>
      </c>
      <c r="N501" s="6">
        <f>HYPERLINK("C:\Projects\Kleinanzeigen-Scraper\offer_images\2800522292", "Link")</f>
        <v/>
      </c>
      <c r="O501" t="inlineStr">
        <is>
          <t>Martina Fuchs</t>
        </is>
      </c>
      <c r="P501" s="6">
        <f>HYPERLINK("https://www.kleinanzeigen.de/s-bestandsliste.html?userId=67941009", "Link")</f>
        <v/>
      </c>
      <c r="Q501" s="7" t="n">
        <v>45558.73684027778</v>
      </c>
      <c r="R501" s="3" t="inlineStr">
        <is>
          <t>435.05</t>
        </is>
      </c>
      <c r="S501" t="inlineStr">
        <is>
          <t>Köln</t>
        </is>
      </c>
    </row>
    <row r="502">
      <c r="A502" s="2" t="n">
        <v>4.2</v>
      </c>
      <c r="B502" t="inlineStr">
        <is>
          <t>Gaastra Manic HD</t>
        </is>
      </c>
      <c r="C502" s="3" t="inlineStr"/>
      <c r="D502" s="3" t="inlineStr"/>
      <c r="E502" t="inlineStr"/>
      <c r="F502" t="inlineStr">
        <is>
          <t>2013</t>
        </is>
      </c>
      <c r="G502" t="inlineStr">
        <is>
          <t>used</t>
        </is>
      </c>
      <c r="H502" s="4" t="n">
        <v>190</v>
      </c>
      <c r="I502" t="inlineStr">
        <is>
          <t>VB</t>
        </is>
      </c>
      <c r="J502" t="inlineStr">
        <is>
          <t>24105 Schleswig-Holstein - Kiel</t>
        </is>
      </c>
      <c r="K502" s="5" t="n">
        <v>45473</v>
      </c>
      <c r="L502" t="inlineStr"/>
      <c r="M502" s="6">
        <f>HYPERLINK("https://www.kleinanzeigen.de/s-anzeige/surfsegel-4-2-qm-gaastra-manic-hd/2800499492-230-708", "Link")</f>
        <v/>
      </c>
      <c r="N502" s="6">
        <f>HYPERLINK("C:\Projects\Kleinanzeigen-Scraper\offer_images\2800499492", "Link")</f>
        <v/>
      </c>
      <c r="O502" t="inlineStr">
        <is>
          <t>Martina Fuchs</t>
        </is>
      </c>
      <c r="P502" s="6">
        <f>HYPERLINK("https://www.kleinanzeigen.de/s-bestandsliste.html?userId=67941009", "Link")</f>
        <v/>
      </c>
      <c r="Q502" s="7" t="n">
        <v>45558.73680555556</v>
      </c>
      <c r="R502" s="3" t="inlineStr">
        <is>
          <t>435.05</t>
        </is>
      </c>
      <c r="S502" t="inlineStr">
        <is>
          <t>Köln</t>
        </is>
      </c>
    </row>
    <row r="503">
      <c r="A503" s="2" t="n">
        <v>7</v>
      </c>
      <c r="B503" t="inlineStr">
        <is>
          <t>Gaastra Matrix</t>
        </is>
      </c>
      <c r="C503" s="3" t="n">
        <v>460</v>
      </c>
      <c r="D503" s="3" t="n">
        <v>210</v>
      </c>
      <c r="E503" t="inlineStr"/>
      <c r="F503" t="inlineStr"/>
      <c r="G503" t="inlineStr">
        <is>
          <t>repaired</t>
        </is>
      </c>
      <c r="H503" s="4" t="inlineStr"/>
      <c r="I503" t="inlineStr">
        <is>
          <t>VB</t>
        </is>
      </c>
      <c r="J503" t="inlineStr">
        <is>
          <t>45470 Nordrhein-Westfalen - Mülheim (Ruhr)</t>
        </is>
      </c>
      <c r="K503" s="5" t="n">
        <v>45509</v>
      </c>
      <c r="L503" t="inlineStr"/>
      <c r="M503" s="6">
        <f>HYPERLINK("https://www.kleinanzeigen.de/s-anzeige/windsurf-segel-gaastra-matrix-7-0/2829774190-230-2063", "Link")</f>
        <v/>
      </c>
      <c r="N503" s="6">
        <f>HYPERLINK("C:\Projects\Kleinanzeigen-Scraper\offer_images\2829774190", "Link")</f>
        <v/>
      </c>
      <c r="O503" t="inlineStr">
        <is>
          <t>O.S.</t>
        </is>
      </c>
      <c r="P503" s="6">
        <f>HYPERLINK("https://www.kleinanzeigen.de/s-bestandsliste.html?userId=121514014", "Link")</f>
        <v/>
      </c>
      <c r="Q503" s="7" t="n">
        <v>45558.73668981482</v>
      </c>
      <c r="R503" s="3" t="inlineStr">
        <is>
          <t>52.04</t>
        </is>
      </c>
      <c r="S503" t="inlineStr">
        <is>
          <t>Köln</t>
        </is>
      </c>
    </row>
    <row r="504">
      <c r="A504" s="2" t="n">
        <v>7.5</v>
      </c>
      <c r="B504" t="inlineStr">
        <is>
          <t>Gaastra Pilot</t>
        </is>
      </c>
      <c r="C504" s="3" t="n">
        <v>490</v>
      </c>
      <c r="D504" s="3" t="n">
        <v>220</v>
      </c>
      <c r="E504" t="inlineStr"/>
      <c r="F504" t="inlineStr"/>
      <c r="G504" t="inlineStr">
        <is>
          <t>used</t>
        </is>
      </c>
      <c r="H504" s="4" t="n">
        <v>45</v>
      </c>
      <c r="I504" t="inlineStr"/>
      <c r="J504" t="inlineStr">
        <is>
          <t>64839 Hessen - Münster</t>
        </is>
      </c>
      <c r="K504" s="5" t="n">
        <v>45536</v>
      </c>
      <c r="L504" t="inlineStr">
        <is>
          <t>Sold</t>
        </is>
      </c>
      <c r="M504" s="6">
        <f>HYPERLINK("https://www.kleinanzeigen.de/s-anzeige/windsurfsegel-gaastra-pilot-7-5qm/2851506273-230-944", "Link")</f>
        <v/>
      </c>
      <c r="N504" s="6">
        <f>HYPERLINK("C:\Projects\Kleinanzeigen-Scraper\offer_images\2851506273", "Link")</f>
        <v/>
      </c>
      <c r="O504" t="inlineStr">
        <is>
          <t>Detlev Werse</t>
        </is>
      </c>
      <c r="P504" s="6">
        <f>HYPERLINK("https://www.kleinanzeigen.de/s-bestandsliste.html?userId=16716064", "Link")</f>
        <v/>
      </c>
      <c r="Q504" s="7" t="n">
        <v>45558.73652777778</v>
      </c>
      <c r="R504" s="3" t="inlineStr">
        <is>
          <t>107.55</t>
        </is>
      </c>
      <c r="S504" t="inlineStr">
        <is>
          <t>Karlsruhe</t>
        </is>
      </c>
    </row>
    <row r="505">
      <c r="A505" s="2" t="n">
        <v>5.2</v>
      </c>
      <c r="B505" t="inlineStr">
        <is>
          <t>Gaastra Pure</t>
        </is>
      </c>
      <c r="C505" s="3" t="inlineStr"/>
      <c r="D505" s="3" t="inlineStr"/>
      <c r="E505" t="inlineStr"/>
      <c r="F505" t="inlineStr">
        <is>
          <t>2022</t>
        </is>
      </c>
      <c r="G505" t="inlineStr">
        <is>
          <t>used</t>
        </is>
      </c>
      <c r="H505" s="4" t="n">
        <v>295</v>
      </c>
      <c r="I505" t="inlineStr"/>
      <c r="J505" t="inlineStr">
        <is>
          <t>81679 München - Bogenhausen</t>
        </is>
      </c>
      <c r="K505" s="5" t="n">
        <v>45550</v>
      </c>
      <c r="L505" t="inlineStr"/>
      <c r="M505" s="6">
        <f>HYPERLINK("https://www.kleinanzeigen.de/s-anzeige/gaastra-pure-5-2-2022/2863988699-230-6457", "Link")</f>
        <v/>
      </c>
      <c r="N505" s="6">
        <f>HYPERLINK("C:\Projects\Kleinanzeigen-Scraper\offer_images\2863988699", "Link")</f>
        <v/>
      </c>
      <c r="O505" t="inlineStr">
        <is>
          <t>Rolf Bletschacher</t>
        </is>
      </c>
      <c r="P505" s="6">
        <f>HYPERLINK("https://www.kleinanzeigen.de/s-bestandsliste.html?userId=119014462", "Link")</f>
        <v/>
      </c>
      <c r="Q505" s="7" t="n">
        <v>45558.73642361111</v>
      </c>
      <c r="R505" s="3" t="inlineStr">
        <is>
          <t>2.71</t>
        </is>
      </c>
      <c r="S505" t="inlineStr">
        <is>
          <t>München</t>
        </is>
      </c>
    </row>
    <row r="506">
      <c r="A506" s="2" t="n">
        <v>12</v>
      </c>
      <c r="B506" t="inlineStr">
        <is>
          <t>Gaastra Vapor</t>
        </is>
      </c>
      <c r="C506" s="3" t="inlineStr"/>
      <c r="D506" s="3" t="inlineStr"/>
      <c r="E506" t="inlineStr"/>
      <c r="F506" t="inlineStr">
        <is>
          <t>2018</t>
        </is>
      </c>
      <c r="G506" t="inlineStr">
        <is>
          <t>repaired</t>
        </is>
      </c>
      <c r="H506" s="4" t="n">
        <v>395</v>
      </c>
      <c r="I506" t="inlineStr">
        <is>
          <t>VB</t>
        </is>
      </c>
      <c r="J506" t="inlineStr">
        <is>
          <t>16341 Brandenburg - Panketal</t>
        </is>
      </c>
      <c r="K506" s="5" t="n">
        <v>45489</v>
      </c>
      <c r="L506" t="inlineStr"/>
      <c r="M506" s="6">
        <f>HYPERLINK("https://www.kleinanzeigen.de/s-anzeige/wind-surfsegel-12-qm-gaastra-vapor/2659444911-230-7919", "Link")</f>
        <v/>
      </c>
      <c r="N506" s="6">
        <f>HYPERLINK("C:\Projects\Kleinanzeigen-Scraper\offer_images\2659444911", "Link")</f>
        <v/>
      </c>
      <c r="O506" t="inlineStr">
        <is>
          <t>Eigner</t>
        </is>
      </c>
      <c r="P506" s="6">
        <f>HYPERLINK("https://www.kleinanzeigen.de/s-bestandsliste.html?userId=119820714", "Link")</f>
        <v/>
      </c>
      <c r="Q506" s="7" t="n">
        <v>45558.73642361111</v>
      </c>
      <c r="R506" s="3" t="inlineStr">
        <is>
          <t>490.55</t>
        </is>
      </c>
      <c r="S506" t="inlineStr">
        <is>
          <t>Köln</t>
        </is>
      </c>
    </row>
    <row r="507">
      <c r="A507" s="2" t="n">
        <v>7.2</v>
      </c>
      <c r="B507" t="inlineStr">
        <is>
          <t>Gaastra GA Cosmic</t>
        </is>
      </c>
      <c r="C507" s="3" t="n">
        <v>460</v>
      </c>
      <c r="D507" s="3" t="n">
        <v>201</v>
      </c>
      <c r="E507" t="inlineStr"/>
      <c r="F507" t="inlineStr">
        <is>
          <t>2021</t>
        </is>
      </c>
      <c r="G507" t="inlineStr">
        <is>
          <t>new</t>
        </is>
      </c>
      <c r="H507" s="4" t="n">
        <v>250</v>
      </c>
      <c r="I507" t="inlineStr"/>
      <c r="J507" t="inlineStr">
        <is>
          <t>10245 Friedrichshain-Kreuzberg - Friedrichshain</t>
        </is>
      </c>
      <c r="K507" s="5" t="n">
        <v>45505</v>
      </c>
      <c r="L507" t="inlineStr"/>
      <c r="M507" s="6">
        <f>HYPERLINK("https://www.kleinanzeigen.de/s-anzeige/gaastra-ga-cosmic-7-2-neuwertig-2021/2826594635-230-3352", "Link")</f>
        <v/>
      </c>
      <c r="N507" s="6">
        <f>HYPERLINK("C:\Projects\Kleinanzeigen-Scraper\offer_images\2826594635", "Link")</f>
        <v/>
      </c>
      <c r="O507" t="inlineStr">
        <is>
          <t>Andreas</t>
        </is>
      </c>
      <c r="P507" s="6">
        <f>HYPERLINK("https://www.kleinanzeigen.de/s-bestandsliste.html?userId=69753985", "Link")</f>
        <v/>
      </c>
      <c r="Q507" s="7" t="n">
        <v>45558.73640046296</v>
      </c>
      <c r="R507" s="3" t="inlineStr">
        <is>
          <t>480.20</t>
        </is>
      </c>
      <c r="S507" t="inlineStr">
        <is>
          <t>Köln</t>
        </is>
      </c>
    </row>
    <row r="508">
      <c r="A508" s="2" t="n">
        <v>4.4</v>
      </c>
      <c r="B508" t="inlineStr">
        <is>
          <t>GA Gaastra Pure</t>
        </is>
      </c>
      <c r="C508" s="3" t="n">
        <v>370</v>
      </c>
      <c r="D508" s="3" t="n">
        <v>156</v>
      </c>
      <c r="E508" t="inlineStr">
        <is>
          <t>Freestyle</t>
        </is>
      </c>
      <c r="F508" t="inlineStr">
        <is>
          <t>2023</t>
        </is>
      </c>
      <c r="G508" t="inlineStr">
        <is>
          <t>new</t>
        </is>
      </c>
      <c r="H508" s="4" t="n">
        <v>300</v>
      </c>
      <c r="I508" t="inlineStr"/>
      <c r="J508" t="inlineStr">
        <is>
          <t>83088 Bayern - Kiefersfelden</t>
        </is>
      </c>
      <c r="K508" s="5" t="n">
        <v>45504</v>
      </c>
      <c r="L508" t="inlineStr">
        <is>
          <t>Sold</t>
        </is>
      </c>
      <c r="M508" s="6">
        <f>HYPERLINK("https://www.kleinanzeigen.de/s-anzeige/ga-gaastra-pure-4-4-2023-windsurf-segel/2825852057-230-7584", "Link")</f>
        <v/>
      </c>
      <c r="N508" s="6">
        <f>HYPERLINK("C:\Projects\Kleinanzeigen-Scraper\offer_images\2825852057", "Link")</f>
        <v/>
      </c>
      <c r="O508" t="inlineStr">
        <is>
          <t>Alex Embacher</t>
        </is>
      </c>
      <c r="P508" s="6">
        <f>HYPERLINK("https://www.kleinanzeigen.de/s-bestandsliste.html?userId=142993911", "Link")</f>
        <v/>
      </c>
      <c r="Q508" s="7" t="n">
        <v>45558.73640046296</v>
      </c>
      <c r="R508" s="3" t="inlineStr">
        <is>
          <t>73.59</t>
        </is>
      </c>
      <c r="S508" t="inlineStr">
        <is>
          <t>München</t>
        </is>
      </c>
    </row>
    <row r="509">
      <c r="A509" s="2" t="inlineStr">
        <is>
          <t>4.0/4.4/4.8</t>
        </is>
      </c>
      <c r="B509" t="inlineStr">
        <is>
          <t>Neil Pryde Wizard PRO</t>
        </is>
      </c>
      <c r="C509" s="3" t="inlineStr"/>
      <c r="D509" s="3" t="inlineStr"/>
      <c r="E509" t="inlineStr">
        <is>
          <t>Freestyle</t>
        </is>
      </c>
      <c r="F509" t="inlineStr">
        <is>
          <t>2024</t>
        </is>
      </c>
      <c r="G509" t="inlineStr">
        <is>
          <t>new</t>
        </is>
      </c>
      <c r="H509" s="4" t="inlineStr">
        <is>
          <t>Je 450</t>
        </is>
      </c>
      <c r="I509" t="inlineStr"/>
      <c r="J509" t="inlineStr">
        <is>
          <t>6170 Zirl</t>
        </is>
      </c>
      <c r="K509" s="5" t="n">
        <v>45558</v>
      </c>
      <c r="L509" t="inlineStr">
        <is>
          <t>Sold</t>
        </is>
      </c>
      <c r="M509" s="6">
        <f>HYPERLINK("https://www.dailydose.de/kleinanzeigen/detail.htm?ai=423057&amp;cf=kk&amp;pg=4&amp;ci=5", "Link")</f>
        <v/>
      </c>
      <c r="N509" s="6">
        <f>HYPERLINK("C:\Projects\Kleinanzeigen-Scraper\offer_images\423057", "Link")</f>
        <v/>
      </c>
      <c r="O509" t="inlineStr">
        <is>
          <t>Werner_151</t>
        </is>
      </c>
      <c r="P509" s="6">
        <f>HYPERLINK("https://www.dailydose.de/kleinanzeigen/user/24947", "Link")</f>
        <v/>
      </c>
      <c r="Q509" s="7" t="n">
        <v>45558.57465277778</v>
      </c>
      <c r="R509" s="3" t="inlineStr">
        <is>
          <t>99.25</t>
        </is>
      </c>
      <c r="S509" t="inlineStr">
        <is>
          <t>München</t>
        </is>
      </c>
    </row>
    <row r="510">
      <c r="A510" s="2" t="n">
        <v>4.7</v>
      </c>
      <c r="B510" t="inlineStr">
        <is>
          <t>Naish Force V</t>
        </is>
      </c>
      <c r="C510" s="3" t="inlineStr">
        <is>
          <t>370/400</t>
        </is>
      </c>
      <c r="D510" s="3" t="inlineStr"/>
      <c r="E510" t="inlineStr"/>
      <c r="F510" t="inlineStr">
        <is>
          <t>2017</t>
        </is>
      </c>
      <c r="G510" t="inlineStr">
        <is>
          <t>repaired</t>
        </is>
      </c>
      <c r="H510" s="4" t="n">
        <v>89</v>
      </c>
      <c r="I510" t="inlineStr"/>
      <c r="J510" t="inlineStr">
        <is>
          <t>50996 Köln</t>
        </is>
      </c>
      <c r="K510" s="5" t="n">
        <v>45557</v>
      </c>
      <c r="L510" t="inlineStr"/>
      <c r="M510" s="6">
        <f>HYPERLINK("https://www.dailydose.de/kleinanzeigen/detail.htm?ai=423023&amp;cf=kk&amp;pg=5&amp;ci=5", "Link")</f>
        <v/>
      </c>
      <c r="N510" s="6">
        <f>HYPERLINK("C:\Projects\Kleinanzeigen-Scraper\offer_images\423023", "Link")</f>
        <v/>
      </c>
      <c r="O510" t="inlineStr">
        <is>
          <t>roger</t>
        </is>
      </c>
      <c r="P510" s="6">
        <f>HYPERLINK("https://www.dailydose.de/kleinanzeigen/user/4494", "Link")</f>
        <v/>
      </c>
      <c r="Q510" s="7" t="n">
        <v>45558.57452546297</v>
      </c>
      <c r="R510" s="3" t="inlineStr">
        <is>
          <t>6.80</t>
        </is>
      </c>
      <c r="S510" t="inlineStr">
        <is>
          <t>Köln</t>
        </is>
      </c>
    </row>
    <row r="511">
      <c r="A511" s="2" t="n">
        <v>8</v>
      </c>
      <c r="B511" t="inlineStr">
        <is>
          <t>Gunsails GS-F</t>
        </is>
      </c>
      <c r="C511" s="3" t="inlineStr"/>
      <c r="D511" s="3" t="inlineStr"/>
      <c r="E511" t="inlineStr"/>
      <c r="F511" t="inlineStr"/>
      <c r="G511" t="inlineStr">
        <is>
          <t>used</t>
        </is>
      </c>
      <c r="H511" s="4" t="n">
        <v>199</v>
      </c>
      <c r="I511" t="inlineStr">
        <is>
          <t>VB</t>
        </is>
      </c>
      <c r="J511" t="inlineStr">
        <is>
          <t>24211 Preetz</t>
        </is>
      </c>
      <c r="K511" s="5" t="n">
        <v>45557</v>
      </c>
      <c r="L511" t="inlineStr"/>
      <c r="M511" s="6">
        <f>HYPERLINK("https://www.dailydose.de/kleinanzeigen/detail.htm?ai=423009&amp;cf=kk&amp;pg=5&amp;ci=5", "Link")</f>
        <v/>
      </c>
      <c r="N511" s="6">
        <f>HYPERLINK("C:\Projects\Kleinanzeigen-Scraper\offer_images\423009", "Link")</f>
        <v/>
      </c>
      <c r="O511" t="inlineStr">
        <is>
          <t>YoSurf</t>
        </is>
      </c>
      <c r="P511" s="6">
        <f>HYPERLINK("https://www.dailydose.de/kleinanzeigen/user/23069", "Link")</f>
        <v/>
      </c>
      <c r="Q511" s="7" t="n">
        <v>45558.57420138889</v>
      </c>
      <c r="R511" s="3" t="inlineStr">
        <is>
          <t>429.47</t>
        </is>
      </c>
      <c r="S511" t="inlineStr">
        <is>
          <t>Köln</t>
        </is>
      </c>
    </row>
    <row r="512">
      <c r="A512" s="2" t="n">
        <v>5.5</v>
      </c>
      <c r="B512" t="inlineStr">
        <is>
          <t>Goya Banzai Pro</t>
        </is>
      </c>
      <c r="C512" s="3" t="inlineStr"/>
      <c r="D512" s="3" t="inlineStr"/>
      <c r="E512" t="inlineStr"/>
      <c r="F512" t="inlineStr"/>
      <c r="G512" t="inlineStr">
        <is>
          <t>used</t>
        </is>
      </c>
      <c r="H512" s="4" t="n">
        <v>250</v>
      </c>
      <c r="I512" t="inlineStr">
        <is>
          <t>VB</t>
        </is>
      </c>
      <c r="J512" t="inlineStr">
        <is>
          <t>18057 Rostock</t>
        </is>
      </c>
      <c r="K512" s="5" t="n">
        <v>45557</v>
      </c>
      <c r="L512" t="inlineStr"/>
      <c r="M512" s="6">
        <f>HYPERLINK("https://www.dailydose.de/kleinanzeigen/detail.htm?ai=423034&amp;cf=kk&amp;pg=5&amp;ci=5", "Link")</f>
        <v/>
      </c>
      <c r="N512" s="6">
        <f>HYPERLINK("C:\Projects\Kleinanzeigen-Scraper\offer_images\423034", "Link")</f>
        <v/>
      </c>
      <c r="O512" t="inlineStr">
        <is>
          <t>Mo_20</t>
        </is>
      </c>
      <c r="P512" s="6">
        <f>HYPERLINK("https://www.dailydose.de/kleinanzeigen/user/17037", "Link")</f>
        <v/>
      </c>
      <c r="Q512" s="7" t="n">
        <v>45558.57416666667</v>
      </c>
      <c r="R512" s="3" t="inlineStr">
        <is>
          <t>494.07</t>
        </is>
      </c>
      <c r="S512" t="inlineStr">
        <is>
          <t>Köln</t>
        </is>
      </c>
    </row>
    <row r="513">
      <c r="A513" s="2" t="n">
        <v>4</v>
      </c>
      <c r="B513" t="inlineStr">
        <is>
          <t>Gaastra Poison</t>
        </is>
      </c>
      <c r="C513" s="3" t="n">
        <v>370</v>
      </c>
      <c r="D513" s="3" t="inlineStr"/>
      <c r="E513" t="inlineStr"/>
      <c r="F513" t="inlineStr">
        <is>
          <t>2015</t>
        </is>
      </c>
      <c r="G513" t="inlineStr">
        <is>
          <t>new</t>
        </is>
      </c>
      <c r="H513" s="4" t="n">
        <v>119</v>
      </c>
      <c r="I513" t="inlineStr"/>
      <c r="J513" t="inlineStr">
        <is>
          <t>50996 Köln</t>
        </is>
      </c>
      <c r="K513" s="5" t="n">
        <v>45557</v>
      </c>
      <c r="L513" t="inlineStr">
        <is>
          <t>Sold</t>
        </is>
      </c>
      <c r="M513" s="6">
        <f>HYPERLINK("https://www.dailydose.de/kleinanzeigen/detail.htm?ai=423024&amp;cf=kk&amp;pg=2&amp;ci=5", "Link")</f>
        <v/>
      </c>
      <c r="N513" s="6">
        <f>HYPERLINK("C:\Projects\Kleinanzeigen-Scraper\offer_images\423024", "Link")</f>
        <v/>
      </c>
      <c r="O513" t="inlineStr">
        <is>
          <t>roger</t>
        </is>
      </c>
      <c r="P513" s="6">
        <f>HYPERLINK("https://www.dailydose.de/kleinanzeigen/user/4494", "Link")</f>
        <v/>
      </c>
      <c r="Q513" s="7" t="n">
        <v>45558.57335648148</v>
      </c>
      <c r="R513" s="3" t="inlineStr">
        <is>
          <t>6.80</t>
        </is>
      </c>
      <c r="S513" t="inlineStr">
        <is>
          <t>Köln</t>
        </is>
      </c>
    </row>
    <row r="514">
      <c r="A514" s="2" t="n">
        <v>9</v>
      </c>
      <c r="B514" t="inlineStr">
        <is>
          <t>Sailloft Ultimate</t>
        </is>
      </c>
      <c r="C514" s="3" t="inlineStr"/>
      <c r="D514" s="3" t="inlineStr"/>
      <c r="E514" t="inlineStr"/>
      <c r="F514" t="inlineStr"/>
      <c r="G514" t="inlineStr">
        <is>
          <t>used</t>
        </is>
      </c>
      <c r="H514" s="4" t="n">
        <v>210</v>
      </c>
      <c r="I514" t="inlineStr">
        <is>
          <t>VB</t>
        </is>
      </c>
      <c r="J514" t="inlineStr">
        <is>
          <t>24211 Preetz</t>
        </is>
      </c>
      <c r="K514" s="5" t="n">
        <v>45557</v>
      </c>
      <c r="L514" t="inlineStr"/>
      <c r="M514" s="6">
        <f>HYPERLINK("https://www.dailydose.de/kleinanzeigen/detail.htm?ai=423008&amp;cf=kk&amp;pg=5&amp;ci=5", "Link")</f>
        <v/>
      </c>
      <c r="N514" s="6">
        <f>HYPERLINK("C:\Projects\Kleinanzeigen-Scraper\offer_images\423008", "Link")</f>
        <v/>
      </c>
      <c r="O514" t="inlineStr">
        <is>
          <t>YoSurf</t>
        </is>
      </c>
      <c r="P514" s="6">
        <f>HYPERLINK("https://www.dailydose.de/kleinanzeigen/user/23069", "Link")</f>
        <v/>
      </c>
      <c r="Q514" s="7" t="n">
        <v>45558.57315972223</v>
      </c>
      <c r="R514" s="3" t="inlineStr">
        <is>
          <t>429.47</t>
        </is>
      </c>
      <c r="S514" t="inlineStr">
        <is>
          <t>Köln</t>
        </is>
      </c>
    </row>
    <row r="515">
      <c r="A515" s="2" t="n">
        <v>5.3</v>
      </c>
      <c r="B515" t="inlineStr">
        <is>
          <t>NEILPRYDE Combat HD</t>
        </is>
      </c>
      <c r="C515" s="3" t="inlineStr"/>
      <c r="D515" s="3" t="inlineStr"/>
      <c r="E515" t="inlineStr">
        <is>
          <t>Wave</t>
        </is>
      </c>
      <c r="F515" t="inlineStr"/>
      <c r="G515" t="inlineStr">
        <is>
          <t>used, damaged</t>
        </is>
      </c>
      <c r="H515" s="4" t="n">
        <v>55</v>
      </c>
      <c r="I515" t="inlineStr"/>
      <c r="J515" t="inlineStr">
        <is>
          <t>81547 Obergiesing-Fasangarten - Obergiesing</t>
        </is>
      </c>
      <c r="K515" s="5" t="n">
        <v>45557</v>
      </c>
      <c r="L515" t="inlineStr">
        <is>
          <t>Sold</t>
        </is>
      </c>
      <c r="M515" s="6">
        <f>HYPERLINK("https://www.kleinanzeigen.de/s-anzeige/neilpryde-combat-hd-5-3-wave-windsurf-segel/2870669828-230-16364", "Link")</f>
        <v/>
      </c>
      <c r="N515" s="6">
        <f>HYPERLINK("C:\Projects\Kleinanzeigen-Scraper\offer_images\2870669828", "Link")</f>
        <v/>
      </c>
      <c r="O515" t="inlineStr">
        <is>
          <t>Jens</t>
        </is>
      </c>
      <c r="P515" s="6">
        <f>HYPERLINK("https://www.kleinanzeigen.de/s-bestandsliste.html?userId=22091316", "Link")</f>
        <v/>
      </c>
      <c r="Q515" s="7" t="n">
        <v>45558.57145833333</v>
      </c>
      <c r="R515" s="3" t="inlineStr">
        <is>
          <t>3.83</t>
        </is>
      </c>
      <c r="S515" t="inlineStr">
        <is>
          <t>München</t>
        </is>
      </c>
    </row>
    <row r="516">
      <c r="A516" s="2" t="n">
        <v>5.4</v>
      </c>
      <c r="B516" t="inlineStr">
        <is>
          <t>Neilpryde THEFLY 2</t>
        </is>
      </c>
      <c r="C516" s="3" t="inlineStr"/>
      <c r="D516" s="3" t="inlineStr"/>
      <c r="E516" t="inlineStr"/>
      <c r="F516" t="inlineStr"/>
      <c r="G516" t="inlineStr">
        <is>
          <t>used</t>
        </is>
      </c>
      <c r="H516" s="4" t="n">
        <v>150</v>
      </c>
      <c r="I516" t="inlineStr"/>
      <c r="J516" t="inlineStr">
        <is>
          <t>86169 Bayern - Augsburg</t>
        </is>
      </c>
      <c r="K516" s="5" t="n">
        <v>45558</v>
      </c>
      <c r="L516" t="inlineStr"/>
      <c r="M516" s="6">
        <f>HYPERLINK("https://www.kleinanzeigen.de/s-anzeige/thefly-2-5-4m2-neilpryde-windsurf-surfsegel/2871449433-230-7524", "Link")</f>
        <v/>
      </c>
      <c r="N516" s="6">
        <f>HYPERLINK("C:\Projects\Kleinanzeigen-Scraper\offer_images\2871449433", "Link")</f>
        <v/>
      </c>
      <c r="O516" t="inlineStr">
        <is>
          <t>Andi</t>
        </is>
      </c>
      <c r="P516" s="6">
        <f>HYPERLINK("https://www.kleinanzeigen.de/s-bestandsliste.html?userId=4910389", "Link")</f>
        <v/>
      </c>
      <c r="Q516" s="7" t="n">
        <v>45558.57112268519</v>
      </c>
      <c r="R516" s="3" t="inlineStr">
        <is>
          <t>58.53</t>
        </is>
      </c>
      <c r="S516" t="inlineStr">
        <is>
          <t>München</t>
        </is>
      </c>
    </row>
    <row r="517">
      <c r="A517" s="2" t="n">
        <v>6.5</v>
      </c>
      <c r="B517" t="inlineStr">
        <is>
          <t>North Tonic</t>
        </is>
      </c>
      <c r="C517" s="3" t="inlineStr"/>
      <c r="D517" s="3" t="inlineStr"/>
      <c r="E517" t="inlineStr"/>
      <c r="F517" t="inlineStr"/>
      <c r="G517" t="inlineStr"/>
      <c r="H517" s="4" t="n">
        <v>30</v>
      </c>
      <c r="I517" t="inlineStr">
        <is>
          <t>VB</t>
        </is>
      </c>
      <c r="J517" t="inlineStr">
        <is>
          <t>47198 Duisburg - Homberg/Ruhrort/Baerl</t>
        </is>
      </c>
      <c r="K517" s="5" t="n">
        <v>45557</v>
      </c>
      <c r="L517" t="inlineStr"/>
      <c r="M517" s="6">
        <f>HYPERLINK("https://www.kleinanzeigen.de/s-anzeige/surfsegel-north-tonic-6-5/2870818918-230-2140", "Link")</f>
        <v/>
      </c>
      <c r="N517" s="6">
        <f>HYPERLINK("C:\Projects\Kleinanzeigen-Scraper\offer_images\2870818918", "Link")</f>
        <v/>
      </c>
      <c r="O517" t="inlineStr">
        <is>
          <t>Pabst, Alexander</t>
        </is>
      </c>
      <c r="P517" s="6">
        <f>HYPERLINK("https://www.kleinanzeigen.de/s-bestandsliste.html?userId=8616794", "Link")</f>
        <v/>
      </c>
      <c r="Q517" s="7" t="n">
        <v>45558.57027777778</v>
      </c>
      <c r="R517" s="3" t="inlineStr">
        <is>
          <t>59.95</t>
        </is>
      </c>
      <c r="S517" t="inlineStr">
        <is>
          <t>Köln</t>
        </is>
      </c>
    </row>
    <row r="518">
      <c r="A518" s="2" t="n">
        <v>6.3</v>
      </c>
      <c r="B518" t="inlineStr">
        <is>
          <t>Sailloft</t>
        </is>
      </c>
      <c r="C518" s="3" t="n">
        <v>430</v>
      </c>
      <c r="D518" s="3" t="inlineStr"/>
      <c r="E518" t="inlineStr"/>
      <c r="F518" t="inlineStr"/>
      <c r="G518" t="inlineStr">
        <is>
          <t>used</t>
        </is>
      </c>
      <c r="H518" s="4" t="n">
        <v>299</v>
      </c>
      <c r="I518" t="inlineStr">
        <is>
          <t>VB</t>
        </is>
      </c>
      <c r="J518" t="inlineStr">
        <is>
          <t>58708 Nordrhein-Westfalen - Menden</t>
        </is>
      </c>
      <c r="K518" s="5" t="n">
        <v>45557</v>
      </c>
      <c r="L518" t="inlineStr"/>
      <c r="M518" s="6">
        <f>HYPERLINK("https://www.kleinanzeigen.de/s-anzeige/windsurfsegel-der-marke-sailloft-mit-6-3-m-/2871167446-230-1818", "Link")</f>
        <v/>
      </c>
      <c r="N518" s="6">
        <f>HYPERLINK("C:\Projects\Kleinanzeigen-Scraper\offer_images\2871167446", "Link")</f>
        <v/>
      </c>
      <c r="O518" t="inlineStr">
        <is>
          <t>Peter Radtke</t>
        </is>
      </c>
      <c r="P518" s="6">
        <f>HYPERLINK("https://www.kleinanzeigen.de/s-bestandsliste.html?userId=130051279", "Link")</f>
        <v/>
      </c>
      <c r="Q518" s="7" t="n">
        <v>45558.56928240741</v>
      </c>
      <c r="R518" s="3" t="inlineStr">
        <is>
          <t>82.95</t>
        </is>
      </c>
      <c r="S518" t="inlineStr">
        <is>
          <t>Köln</t>
        </is>
      </c>
    </row>
    <row r="519">
      <c r="A519" s="2" t="n">
        <v>4.8</v>
      </c>
      <c r="B519" t="inlineStr">
        <is>
          <t>Neilpryde THEFLY</t>
        </is>
      </c>
      <c r="C519" s="3" t="inlineStr"/>
      <c r="D519" s="3" t="inlineStr"/>
      <c r="E519" t="inlineStr"/>
      <c r="F519" t="inlineStr"/>
      <c r="G519" t="inlineStr">
        <is>
          <t>used</t>
        </is>
      </c>
      <c r="H519" s="4" t="n">
        <v>120</v>
      </c>
      <c r="I519" t="inlineStr"/>
      <c r="J519" t="inlineStr">
        <is>
          <t>86169 Bayern - Augsburg</t>
        </is>
      </c>
      <c r="K519" s="5" t="n">
        <v>45558</v>
      </c>
      <c r="L519" t="inlineStr"/>
      <c r="M519" s="6">
        <f>HYPERLINK("https://www.kleinanzeigen.de/s-anzeige/thefly-4-8-neilpryde-windsurf-surfsegel/2871451078-230-7524", "Link")</f>
        <v/>
      </c>
      <c r="N519" s="6">
        <f>HYPERLINK("C:\Projects\Kleinanzeigen-Scraper\offer_images\2871451078", "Link")</f>
        <v/>
      </c>
      <c r="O519" t="inlineStr">
        <is>
          <t>Andi</t>
        </is>
      </c>
      <c r="P519" s="6">
        <f>HYPERLINK("https://www.kleinanzeigen.de/s-bestandsliste.html?userId=4910389", "Link")</f>
        <v/>
      </c>
      <c r="Q519" s="7" t="n">
        <v>45558.56863425926</v>
      </c>
      <c r="R519" s="3" t="inlineStr">
        <is>
          <t>58.53</t>
        </is>
      </c>
      <c r="S519" t="inlineStr">
        <is>
          <t>München</t>
        </is>
      </c>
    </row>
    <row r="520">
      <c r="A520" s="2" t="n">
        <v>8.6</v>
      </c>
      <c r="B520" t="inlineStr">
        <is>
          <t>Gun Sails RAPID</t>
        </is>
      </c>
      <c r="C520" s="3" t="inlineStr"/>
      <c r="D520" s="3" t="inlineStr"/>
      <c r="E520" t="inlineStr"/>
      <c r="F520" t="inlineStr"/>
      <c r="G520" t="inlineStr">
        <is>
          <t>new</t>
        </is>
      </c>
      <c r="H520" s="4" t="n">
        <v>277</v>
      </c>
      <c r="I520" t="inlineStr">
        <is>
          <t>VB</t>
        </is>
      </c>
      <c r="J520" t="inlineStr">
        <is>
          <t>35516 Hessen - Münzenberg</t>
        </is>
      </c>
      <c r="K520" s="5" t="n">
        <v>45557</v>
      </c>
      <c r="L520" t="inlineStr"/>
      <c r="M520" s="6">
        <f>HYPERLINK("https://www.kleinanzeigen.de/s-anzeige/surf-segel-rapid-von-gun-sails/2870848219-230-4726", "Link")</f>
        <v/>
      </c>
      <c r="N520" s="6">
        <f>HYPERLINK("C:\Projects\Kleinanzeigen-Scraper\offer_images\2870848219", "Link")</f>
        <v/>
      </c>
      <c r="O520" t="inlineStr">
        <is>
          <t>Gerd Lohnert</t>
        </is>
      </c>
      <c r="P520" s="6">
        <f>HYPERLINK("https://www.kleinanzeigen.de/s-bestandsliste.html?userId=120629352", "Link")</f>
        <v/>
      </c>
      <c r="Q520" s="7" t="n">
        <v>45558.5681712963</v>
      </c>
      <c r="R520" s="3" t="inlineStr">
        <is>
          <t>136.78</t>
        </is>
      </c>
      <c r="S520" t="inlineStr">
        <is>
          <t>Köln</t>
        </is>
      </c>
    </row>
    <row r="521">
      <c r="A521" s="2" t="n">
        <v>6.2</v>
      </c>
      <c r="B521" t="inlineStr">
        <is>
          <t>Gun Sails Rapid</t>
        </is>
      </c>
      <c r="C521" s="3" t="inlineStr"/>
      <c r="D521" s="3" t="inlineStr"/>
      <c r="E521" t="inlineStr">
        <is>
          <t>Freeride</t>
        </is>
      </c>
      <c r="F521" t="inlineStr"/>
      <c r="G521" t="inlineStr">
        <is>
          <t>new</t>
        </is>
      </c>
      <c r="H521" s="4" t="n">
        <v>244</v>
      </c>
      <c r="I521" t="inlineStr">
        <is>
          <t>VB</t>
        </is>
      </c>
      <c r="J521" t="inlineStr">
        <is>
          <t>35516 Hessen - Münzenberg</t>
        </is>
      </c>
      <c r="K521" s="5" t="n">
        <v>45557</v>
      </c>
      <c r="L521" t="inlineStr"/>
      <c r="M521" s="6">
        <f>HYPERLINK("https://www.kleinanzeigen.de/s-anzeige/surf-segel-von-gun-sails/2870827047-230-4726", "Link")</f>
        <v/>
      </c>
      <c r="N521" s="6">
        <f>HYPERLINK("C:\Projects\Kleinanzeigen-Scraper\offer_images\2870827047", "Link")</f>
        <v/>
      </c>
      <c r="O521" t="inlineStr">
        <is>
          <t>Gerd Lohnert</t>
        </is>
      </c>
      <c r="P521" s="6">
        <f>HYPERLINK("https://www.kleinanzeigen.de/s-bestandsliste.html?userId=120629352", "Link")</f>
        <v/>
      </c>
      <c r="Q521" s="7" t="n">
        <v>45558.56792824074</v>
      </c>
      <c r="R521" s="3" t="inlineStr">
        <is>
          <t>136.78</t>
        </is>
      </c>
      <c r="S521" t="inlineStr">
        <is>
          <t>Köln</t>
        </is>
      </c>
    </row>
    <row r="522">
      <c r="A522" s="2" t="n">
        <v>4.8</v>
      </c>
      <c r="B522" t="inlineStr">
        <is>
          <t>Gun Sails Yeah</t>
        </is>
      </c>
      <c r="C522" s="3" t="n">
        <v>413</v>
      </c>
      <c r="D522" s="3" t="n">
        <v>158</v>
      </c>
      <c r="E522" t="inlineStr"/>
      <c r="F522" t="inlineStr"/>
      <c r="G522" t="inlineStr">
        <is>
          <t>used</t>
        </is>
      </c>
      <c r="H522" s="4" t="n">
        <v>80</v>
      </c>
      <c r="I522" t="inlineStr"/>
      <c r="J522" t="inlineStr">
        <is>
          <t>82194 Bayern - Gröbenzell</t>
        </is>
      </c>
      <c r="K522" s="5" t="n">
        <v>45557</v>
      </c>
      <c r="L522" t="inlineStr"/>
      <c r="M522" s="6">
        <f>HYPERLINK("https://www.kleinanzeigen.de/s-anzeige/gun-sails-yeah-4-8-qm-windsurf-segel/2870840382-230-6350", "Link")</f>
        <v/>
      </c>
      <c r="N522" s="6">
        <f>HYPERLINK("C:\Projects\Kleinanzeigen-Scraper\offer_images\2870840382", "Link")</f>
        <v/>
      </c>
      <c r="O522" t="inlineStr">
        <is>
          <t>Jonas Grünewald</t>
        </is>
      </c>
      <c r="P522" s="6">
        <f>HYPERLINK("https://www.kleinanzeigen.de/s-bestandsliste.html?userId=3880896", "Link")</f>
        <v/>
      </c>
      <c r="Q522" s="7" t="n">
        <v>45558.56777777777</v>
      </c>
      <c r="R522" s="3" t="inlineStr">
        <is>
          <t>15.82</t>
        </is>
      </c>
      <c r="S522" t="inlineStr">
        <is>
          <t>München</t>
        </is>
      </c>
    </row>
    <row r="523">
      <c r="A523" s="2" t="n">
        <v>3.6</v>
      </c>
      <c r="B523" t="inlineStr">
        <is>
          <t>NEILPRYDE Fly</t>
        </is>
      </c>
      <c r="C523" s="3" t="inlineStr"/>
      <c r="D523" s="3" t="inlineStr"/>
      <c r="E523" t="inlineStr">
        <is>
          <t>Wave-Freestyle</t>
        </is>
      </c>
      <c r="F523" t="inlineStr"/>
      <c r="G523" t="inlineStr">
        <is>
          <t>used</t>
        </is>
      </c>
      <c r="H523" s="4" t="n">
        <v>55</v>
      </c>
      <c r="I523" t="inlineStr">
        <is>
          <t>VB</t>
        </is>
      </c>
      <c r="J523" t="inlineStr">
        <is>
          <t>81547 Obergiesing-Fasangarten - Obergiesing</t>
        </is>
      </c>
      <c r="K523" s="5" t="n">
        <v>45557</v>
      </c>
      <c r="L523" t="inlineStr">
        <is>
          <t>Sold</t>
        </is>
      </c>
      <c r="M523" s="6">
        <f>HYPERLINK("https://www.kleinanzeigen.de/s-anzeige/neilpryde-fly-3-6-wave-freestyle-windsurf-segel/2870666528-230-16364", "Link")</f>
        <v/>
      </c>
      <c r="N523" s="6">
        <f>HYPERLINK("C:\Projects\Kleinanzeigen-Scraper\offer_images\2870666528", "Link")</f>
        <v/>
      </c>
      <c r="O523" t="inlineStr">
        <is>
          <t>Jens</t>
        </is>
      </c>
      <c r="P523" s="6">
        <f>HYPERLINK("https://www.kleinanzeigen.de/s-bestandsliste.html?userId=22091316", "Link")</f>
        <v/>
      </c>
      <c r="Q523" s="7" t="n">
        <v>45558.56773148148</v>
      </c>
      <c r="R523" s="3" t="inlineStr">
        <is>
          <t>3.83</t>
        </is>
      </c>
      <c r="S523" t="inlineStr">
        <is>
          <t>München</t>
        </is>
      </c>
    </row>
    <row r="524">
      <c r="A524" s="2" t="n">
        <v>6.7</v>
      </c>
      <c r="B524" t="inlineStr">
        <is>
          <t>Neil Pryde Hellcat</t>
        </is>
      </c>
      <c r="C524" s="3" t="n">
        <v>430</v>
      </c>
      <c r="D524" s="3" t="n">
        <v>198</v>
      </c>
      <c r="E524" t="inlineStr"/>
      <c r="F524" t="inlineStr"/>
      <c r="G524" t="inlineStr">
        <is>
          <t>defective</t>
        </is>
      </c>
      <c r="H524" s="4" t="inlineStr">
        <is>
          <t>Zu verschenken</t>
        </is>
      </c>
      <c r="I524" t="inlineStr"/>
      <c r="J524" t="inlineStr">
        <is>
          <t>25421 Kreis Pinneberg - Pinneberg</t>
        </is>
      </c>
      <c r="K524" s="5" t="n">
        <v>45557</v>
      </c>
      <c r="L524" t="inlineStr"/>
      <c r="M524" s="6">
        <f>HYPERLINK("https://www.kleinanzeigen.de/s-anzeige/neilpryde-hellcat-6-7-surfsegel/2870689792-230-786", "Link")</f>
        <v/>
      </c>
      <c r="N524" s="6">
        <f>HYPERLINK("C:\Projects\Kleinanzeigen-Scraper\offer_images\2870689792", "Link")</f>
        <v/>
      </c>
      <c r="O524" t="inlineStr">
        <is>
          <t>Avé- Lallemant</t>
        </is>
      </c>
      <c r="P524" s="6">
        <f>HYPERLINK("https://www.kleinanzeigen.de/s-bestandsliste.html?userId=71416844", "Link")</f>
        <v/>
      </c>
      <c r="Q524" s="7" t="n">
        <v>45558.56763888889</v>
      </c>
      <c r="R524" s="3" t="inlineStr">
        <is>
          <t>345.15</t>
        </is>
      </c>
      <c r="S524" t="inlineStr">
        <is>
          <t>Köln</t>
        </is>
      </c>
    </row>
    <row r="525">
      <c r="A525" s="2" t="n">
        <v>6.7</v>
      </c>
      <c r="B525" t="inlineStr">
        <is>
          <t>Gun Sails Rapid</t>
        </is>
      </c>
      <c r="C525" s="3" t="inlineStr"/>
      <c r="D525" s="3" t="inlineStr"/>
      <c r="E525" t="inlineStr">
        <is>
          <t>Freerace/Freeride</t>
        </is>
      </c>
      <c r="F525" t="inlineStr"/>
      <c r="G525" t="inlineStr">
        <is>
          <t>used</t>
        </is>
      </c>
      <c r="H525" s="4" t="n">
        <v>169</v>
      </c>
      <c r="I525" t="inlineStr">
        <is>
          <t>VB</t>
        </is>
      </c>
      <c r="J525" t="inlineStr">
        <is>
          <t>04229 Leipzig - Schleußig</t>
        </is>
      </c>
      <c r="K525" s="5" t="n">
        <v>45558</v>
      </c>
      <c r="L525" t="inlineStr"/>
      <c r="M525" s="6">
        <f>HYPERLINK("https://www.kleinanzeigen.de/s-anzeige/gun-sails-rapid-6-7-gunsails-top-windsurf-segel/2871603728-230-30155", "Link")</f>
        <v/>
      </c>
      <c r="N525" s="6">
        <f>HYPERLINK("C:\Projects\Kleinanzeigen-Scraper\offer_images\2871603728", "Link")</f>
        <v/>
      </c>
      <c r="O525" t="inlineStr">
        <is>
          <t>Martin</t>
        </is>
      </c>
      <c r="P525" s="6">
        <f>HYPERLINK("https://www.kleinanzeigen.de/s-bestandsliste.html?userId=8472979", "Link")</f>
        <v/>
      </c>
      <c r="Q525" s="7" t="n">
        <v>45558.56753472222</v>
      </c>
      <c r="R525" s="3" t="inlineStr">
        <is>
          <t>358.53</t>
        </is>
      </c>
      <c r="S525" t="inlineStr">
        <is>
          <t>München</t>
        </is>
      </c>
    </row>
    <row r="526">
      <c r="A526" s="2" t="n">
        <v>5</v>
      </c>
      <c r="B526" t="inlineStr">
        <is>
          <t>North Natural</t>
        </is>
      </c>
      <c r="C526" s="3" t="inlineStr"/>
      <c r="D526" s="3" t="inlineStr"/>
      <c r="E526" t="inlineStr">
        <is>
          <t>Bump and Jump</t>
        </is>
      </c>
      <c r="F526" t="inlineStr"/>
      <c r="G526" t="inlineStr">
        <is>
          <t>used</t>
        </is>
      </c>
      <c r="H526" s="4" t="n">
        <v>135</v>
      </c>
      <c r="I526" t="inlineStr">
        <is>
          <t>VB</t>
        </is>
      </c>
      <c r="J526" t="inlineStr">
        <is>
          <t>24975 Schleswig-Holstein - Maasbüll</t>
        </is>
      </c>
      <c r="K526" s="5" t="n">
        <v>45557</v>
      </c>
      <c r="L526" t="inlineStr">
        <is>
          <t>Sold</t>
        </is>
      </c>
      <c r="M526" s="6">
        <f>HYPERLINK("https://www.kleinanzeigen.de/s-anzeige/surfsegel-north-natural-5-0qm/2871257264-230-725", "Link")</f>
        <v/>
      </c>
      <c r="N526" s="6">
        <f>HYPERLINK("C:\Projects\Kleinanzeigen-Scraper\offer_images\2871257264", "Link")</f>
        <v/>
      </c>
      <c r="O526" t="inlineStr">
        <is>
          <t>Tom Swane</t>
        </is>
      </c>
      <c r="P526" s="6">
        <f>HYPERLINK("https://www.kleinanzeigen.de/s-bestandsliste.html?userId=8423221", "Link")</f>
        <v/>
      </c>
      <c r="Q526" s="7" t="n">
        <v>45558.56721064815</v>
      </c>
      <c r="R526" s="3" t="inlineStr">
        <is>
          <t>458.46</t>
        </is>
      </c>
      <c r="S526" t="inlineStr">
        <is>
          <t>Köln</t>
        </is>
      </c>
    </row>
    <row r="527">
      <c r="A527" s="2" t="n">
        <v>6.9</v>
      </c>
      <c r="B527" t="inlineStr">
        <is>
          <t>Goya Nexus</t>
        </is>
      </c>
      <c r="C527" s="3" t="inlineStr"/>
      <c r="D527" s="3" t="inlineStr"/>
      <c r="E527" t="inlineStr">
        <is>
          <t>Freeride</t>
        </is>
      </c>
      <c r="F527" t="inlineStr">
        <is>
          <t>2020</t>
        </is>
      </c>
      <c r="G527" t="inlineStr">
        <is>
          <t>used</t>
        </is>
      </c>
      <c r="H527" s="4" t="n">
        <v>290</v>
      </c>
      <c r="I527" t="inlineStr"/>
      <c r="J527" t="inlineStr">
        <is>
          <t>50321 Nordrhein-Westfalen - Brühl</t>
        </is>
      </c>
      <c r="K527" s="5" t="n">
        <v>45557</v>
      </c>
      <c r="L527" t="inlineStr"/>
      <c r="M527" s="6">
        <f>HYPERLINK("https://www.kleinanzeigen.de/s-anzeige/goya-nexus-6-9-wie-neu/2870872941-230-1158", "Link")</f>
        <v/>
      </c>
      <c r="N527" s="6">
        <f>HYPERLINK("C:\Projects\Kleinanzeigen-Scraper\offer_images\2870872941", "Link")</f>
        <v/>
      </c>
      <c r="O527" t="inlineStr">
        <is>
          <t>Charlie</t>
        </is>
      </c>
      <c r="P527" s="6">
        <f>HYPERLINK("https://www.kleinanzeigen.de/s-bestandsliste.html?userId=12517484", "Link")</f>
        <v/>
      </c>
      <c r="Q527" s="7" t="n">
        <v>45558.56684027778</v>
      </c>
      <c r="R527" s="3" t="inlineStr">
        <is>
          <t>14.26</t>
        </is>
      </c>
      <c r="S527" t="inlineStr">
        <is>
          <t>Köln</t>
        </is>
      </c>
    </row>
    <row r="528">
      <c r="A528" s="2" t="n">
        <v>4</v>
      </c>
      <c r="B528" t="inlineStr">
        <is>
          <t>Severne Freek</t>
        </is>
      </c>
      <c r="C528" s="3" t="n">
        <v>400</v>
      </c>
      <c r="D528" s="3" t="n">
        <v>152</v>
      </c>
      <c r="E528" t="inlineStr">
        <is>
          <t>Freestyle &amp; Foil</t>
        </is>
      </c>
      <c r="F528" t="inlineStr"/>
      <c r="G528" t="inlineStr">
        <is>
          <t>used, good</t>
        </is>
      </c>
      <c r="H528" s="4" t="n">
        <v>240</v>
      </c>
      <c r="I528" t="inlineStr"/>
      <c r="J528" t="inlineStr">
        <is>
          <t>88263 Baden-Württemberg - Horgenzell</t>
        </is>
      </c>
      <c r="K528" s="5" t="n">
        <v>45472</v>
      </c>
      <c r="L528" t="inlineStr">
        <is>
          <t>Sold</t>
        </is>
      </c>
      <c r="M528" s="6">
        <f>HYPERLINK("https://www.kleinanzeigen.de/s-anzeige/severne-freek-4-0qm-freestyle-foil-segel/2799854284-230-8278", "Link")</f>
        <v/>
      </c>
      <c r="N528" s="6">
        <f>HYPERLINK("C:\Projects\Kleinanzeigen-Scraper\offer_images\2799854284", "Link")</f>
        <v/>
      </c>
      <c r="O528" t="inlineStr">
        <is>
          <t>Kroko Deal</t>
        </is>
      </c>
      <c r="P528" s="6">
        <f>HYPERLINK("https://www.kleinanzeigen.de/s-bestandsliste.html?userId=9285545", "Link")</f>
        <v/>
      </c>
      <c r="Q528" s="7" t="n">
        <v>45558.56679398148</v>
      </c>
      <c r="R528" s="3" t="inlineStr">
        <is>
          <t>85.85</t>
        </is>
      </c>
      <c r="S528" t="inlineStr">
        <is>
          <t>Bonndorf</t>
        </is>
      </c>
    </row>
    <row r="529">
      <c r="A529" s="2" t="n">
        <v>8.199999999999999</v>
      </c>
      <c r="B529" t="inlineStr">
        <is>
          <t>Neilpryde Hellcat</t>
        </is>
      </c>
      <c r="C529" s="3" t="inlineStr"/>
      <c r="D529" s="3" t="inlineStr"/>
      <c r="E529" t="inlineStr"/>
      <c r="F529" t="inlineStr"/>
      <c r="G529" t="inlineStr">
        <is>
          <t>used</t>
        </is>
      </c>
      <c r="H529" s="4" t="n">
        <v>275</v>
      </c>
      <c r="I529" t="inlineStr">
        <is>
          <t>VB</t>
        </is>
      </c>
      <c r="J529" t="inlineStr">
        <is>
          <t>30165 Hannover - Vahrenwald-List</t>
        </is>
      </c>
      <c r="K529" s="5" t="n">
        <v>45557</v>
      </c>
      <c r="L529" t="inlineStr"/>
      <c r="M529" s="6">
        <f>HYPERLINK("https://www.kleinanzeigen.de/s-anzeige/neilpryde-hellcat-8-2-windsurf-segel-neil-pryde/2871032397-230-3171", "Link")</f>
        <v/>
      </c>
      <c r="N529" s="6">
        <f>HYPERLINK("C:\Projects\Kleinanzeigen-Scraper\offer_images\2871032397", "Link")</f>
        <v/>
      </c>
      <c r="O529" t="inlineStr">
        <is>
          <t>Konstantin</t>
        </is>
      </c>
      <c r="P529" s="6">
        <f>HYPERLINK("https://www.kleinanzeigen.de/s-bestandsliste.html?userId=7906305", "Link")</f>
        <v/>
      </c>
      <c r="Q529" s="7" t="n">
        <v>45558.56569444444</v>
      </c>
      <c r="R529" s="3" t="inlineStr">
        <is>
          <t>251.16</t>
        </is>
      </c>
      <c r="S529" t="inlineStr">
        <is>
          <t>Köln</t>
        </is>
      </c>
    </row>
    <row r="530">
      <c r="A530" s="2" t="n">
        <v>7.1</v>
      </c>
      <c r="B530" t="inlineStr">
        <is>
          <t>Point 7 AC ONE</t>
        </is>
      </c>
      <c r="C530" s="3" t="n">
        <v>430</v>
      </c>
      <c r="D530" s="3" t="n">
        <v>196</v>
      </c>
      <c r="E530" t="inlineStr"/>
      <c r="F530" t="inlineStr"/>
      <c r="G530" t="inlineStr">
        <is>
          <t>used</t>
        </is>
      </c>
      <c r="H530" s="4" t="n">
        <v>300</v>
      </c>
      <c r="I530" t="inlineStr">
        <is>
          <t>VB</t>
        </is>
      </c>
      <c r="J530" t="inlineStr">
        <is>
          <t>86946 Bayern - Vilgertshofen</t>
        </is>
      </c>
      <c r="K530" s="5" t="n">
        <v>45558</v>
      </c>
      <c r="L530" t="inlineStr"/>
      <c r="M530" s="6">
        <f>HYPERLINK("https://www.kleinanzeigen.de/s-anzeige/point-7-ac-one-7-1-segel-surfen-windsurfen/2871640527-230-7074", "Link")</f>
        <v/>
      </c>
      <c r="N530" s="6">
        <f>HYPERLINK("C:\Projects\Kleinanzeigen-Scraper\offer_images\2871640527", "Link")</f>
        <v/>
      </c>
      <c r="O530" t="inlineStr">
        <is>
          <t>Martin</t>
        </is>
      </c>
      <c r="P530" s="6">
        <f>HYPERLINK("https://www.kleinanzeigen.de/s-bestandsliste.html?userId=5335969", "Link")</f>
        <v/>
      </c>
      <c r="Q530" s="7" t="n">
        <v>45558.56561342593</v>
      </c>
      <c r="R530" s="3" t="inlineStr">
        <is>
          <t>50.58</t>
        </is>
      </c>
      <c r="S530" t="inlineStr">
        <is>
          <t>München</t>
        </is>
      </c>
    </row>
    <row r="531">
      <c r="A531" s="2" t="n">
        <v>4.1</v>
      </c>
      <c r="B531" t="inlineStr">
        <is>
          <t>Neilpryde</t>
        </is>
      </c>
      <c r="C531" s="3" t="inlineStr"/>
      <c r="D531" s="3" t="n">
        <v>151</v>
      </c>
      <c r="E531" t="inlineStr"/>
      <c r="F531" t="inlineStr">
        <is>
          <t>2012</t>
        </is>
      </c>
      <c r="G531" t="inlineStr">
        <is>
          <t>used</t>
        </is>
      </c>
      <c r="H531" s="4" t="n">
        <v>50</v>
      </c>
      <c r="I531" t="inlineStr"/>
      <c r="J531" t="inlineStr">
        <is>
          <t>24116 Kiel - Schreventeich-Hasseldieksdamm</t>
        </is>
      </c>
      <c r="K531" s="5" t="n">
        <v>45557</v>
      </c>
      <c r="L531" t="inlineStr"/>
      <c r="M531" s="6">
        <f>HYPERLINK("https://www.kleinanzeigen.de/s-anzeige/neilpryde-4-1-windsurfsegel/2871032331-230-703", "Link")</f>
        <v/>
      </c>
      <c r="N531" s="6">
        <f>HYPERLINK("C:\Projects\Kleinanzeigen-Scraper\offer_images\2871032331", "Link")</f>
        <v/>
      </c>
      <c r="O531" t="inlineStr">
        <is>
          <t>Malte</t>
        </is>
      </c>
      <c r="P531" s="6">
        <f>HYPERLINK("https://www.kleinanzeigen.de/s-bestandsliste.html?userId=41815161", "Link")</f>
        <v/>
      </c>
      <c r="Q531" s="7" t="n">
        <v>45558.56534722223</v>
      </c>
      <c r="R531" s="3" t="inlineStr">
        <is>
          <t>432.62</t>
        </is>
      </c>
      <c r="S531" t="inlineStr">
        <is>
          <t>Köln</t>
        </is>
      </c>
    </row>
    <row r="532">
      <c r="A532" s="2" t="n">
        <v>6.1</v>
      </c>
      <c r="B532" t="inlineStr">
        <is>
          <t>Sailloft Slam</t>
        </is>
      </c>
      <c r="C532" s="3" t="n">
        <v>430</v>
      </c>
      <c r="D532" s="3" t="n">
        <v>180</v>
      </c>
      <c r="E532" t="inlineStr"/>
      <c r="F532" t="inlineStr"/>
      <c r="G532" t="inlineStr">
        <is>
          <t>used</t>
        </is>
      </c>
      <c r="H532" s="4" t="n">
        <v>65</v>
      </c>
      <c r="I532" t="inlineStr">
        <is>
          <t>VB</t>
        </is>
      </c>
      <c r="J532" t="inlineStr">
        <is>
          <t>47198 Duisburg - Homberg/Ruhrort/Baerl</t>
        </is>
      </c>
      <c r="K532" s="5" t="n">
        <v>45557</v>
      </c>
      <c r="L532" t="inlineStr"/>
      <c r="M532" s="6">
        <f>HYPERLINK("https://www.kleinanzeigen.de/s-anzeige/surfsegel-sailloft-slam-6-1/2870845029-230-2140", "Link")</f>
        <v/>
      </c>
      <c r="N532" s="6">
        <f>HYPERLINK("C:\Projects\Kleinanzeigen-Scraper\offer_images\2870845029", "Link")</f>
        <v/>
      </c>
      <c r="O532" t="inlineStr">
        <is>
          <t>Pabst, Alexander</t>
        </is>
      </c>
      <c r="P532" s="6">
        <f>HYPERLINK("https://www.kleinanzeigen.de/s-bestandsliste.html?userId=8616794", "Link")</f>
        <v/>
      </c>
      <c r="Q532" s="7" t="n">
        <v>45558.56489583333</v>
      </c>
      <c r="R532" s="3" t="inlineStr">
        <is>
          <t>59.95</t>
        </is>
      </c>
      <c r="S532" t="inlineStr">
        <is>
          <t>Köln</t>
        </is>
      </c>
    </row>
    <row r="533">
      <c r="A533" s="2" t="n">
        <v>5.9</v>
      </c>
      <c r="B533" t="inlineStr">
        <is>
          <t>NEILPRYDE Excess</t>
        </is>
      </c>
      <c r="C533" s="3" t="inlineStr"/>
      <c r="D533" s="3" t="inlineStr"/>
      <c r="E533" t="inlineStr">
        <is>
          <t>Freeride</t>
        </is>
      </c>
      <c r="F533" t="inlineStr"/>
      <c r="G533" t="inlineStr">
        <is>
          <t>used, damaged</t>
        </is>
      </c>
      <c r="H533" s="4" t="n">
        <v>40</v>
      </c>
      <c r="I533" t="inlineStr">
        <is>
          <t>VB</t>
        </is>
      </c>
      <c r="J533" t="inlineStr">
        <is>
          <t>81547 Obergiesing-Fasangarten - Obergiesing</t>
        </is>
      </c>
      <c r="K533" s="5" t="n">
        <v>45557</v>
      </c>
      <c r="L533" t="inlineStr">
        <is>
          <t>Sold</t>
        </is>
      </c>
      <c r="M533" s="6">
        <f>HYPERLINK("https://www.kleinanzeigen.de/s-anzeige/neilpryde-excess-5-9-windsurf-freeride-segel/2870672004-230-16364", "Link")</f>
        <v/>
      </c>
      <c r="N533" s="6">
        <f>HYPERLINK("C:\Projects\Kleinanzeigen-Scraper\offer_images\2870672004", "Link")</f>
        <v/>
      </c>
      <c r="O533" t="inlineStr">
        <is>
          <t>Jens</t>
        </is>
      </c>
      <c r="P533" s="6">
        <f>HYPERLINK("https://www.kleinanzeigen.de/s-bestandsliste.html?userId=22091316", "Link")</f>
        <v/>
      </c>
      <c r="Q533" s="7" t="n">
        <v>45558.56461805556</v>
      </c>
      <c r="R533" s="3" t="inlineStr">
        <is>
          <t>3.83</t>
        </is>
      </c>
      <c r="S533" t="inlineStr">
        <is>
          <t>München</t>
        </is>
      </c>
    </row>
    <row r="534">
      <c r="A534" s="2" t="n">
        <v>8</v>
      </c>
      <c r="B534" t="inlineStr">
        <is>
          <t>Gun Sails Vector</t>
        </is>
      </c>
      <c r="C534" s="3" t="n">
        <v>4.84</v>
      </c>
      <c r="D534" s="3" t="n">
        <v>2.21</v>
      </c>
      <c r="E534" t="inlineStr"/>
      <c r="F534" t="inlineStr"/>
      <c r="G534" t="inlineStr">
        <is>
          <t>used</t>
        </is>
      </c>
      <c r="H534" s="4" t="n">
        <v>250</v>
      </c>
      <c r="I534" t="inlineStr"/>
      <c r="J534" t="inlineStr">
        <is>
          <t>04416 Sachsen - Markkleeberg</t>
        </is>
      </c>
      <c r="K534" s="5" t="n">
        <v>45557</v>
      </c>
      <c r="L534" t="inlineStr"/>
      <c r="M534" s="6">
        <f>HYPERLINK("https://www.kleinanzeigen.de/s-anzeige/gun-sails-vector-8-0m-windsurfsegel/2870832102-230-3911", "Link")</f>
        <v/>
      </c>
      <c r="N534" s="6">
        <f>HYPERLINK("C:\Projects\Kleinanzeigen-Scraper\offer_images\2870832102", "Link")</f>
        <v/>
      </c>
      <c r="O534" t="inlineStr">
        <is>
          <t>Sebastian Schüler</t>
        </is>
      </c>
      <c r="P534" s="6">
        <f>HYPERLINK("https://www.kleinanzeigen.de/s-bestandsliste.html?userId=7323109", "Link")</f>
        <v/>
      </c>
      <c r="Q534" s="7" t="n">
        <v>45558.5643287037</v>
      </c>
      <c r="R534" s="3" t="inlineStr">
        <is>
          <t>353.27</t>
        </is>
      </c>
      <c r="S534" t="inlineStr">
        <is>
          <t>München</t>
        </is>
      </c>
    </row>
    <row r="535">
      <c r="A535" s="2" t="n">
        <v>6.7</v>
      </c>
      <c r="B535" t="inlineStr">
        <is>
          <t>Neilpryde Hellcat</t>
        </is>
      </c>
      <c r="C535" s="3" t="n">
        <v>430</v>
      </c>
      <c r="D535" s="3" t="n">
        <v>200</v>
      </c>
      <c r="E535" t="inlineStr"/>
      <c r="F535" t="inlineStr"/>
      <c r="G535" t="inlineStr">
        <is>
          <t>defective</t>
        </is>
      </c>
      <c r="H535" s="4" t="n">
        <v>100</v>
      </c>
      <c r="I535" t="inlineStr">
        <is>
          <t>VB</t>
        </is>
      </c>
      <c r="J535" t="inlineStr">
        <is>
          <t>25421 Kreis Pinneberg - Pinneberg</t>
        </is>
      </c>
      <c r="K535" s="5" t="n">
        <v>45557</v>
      </c>
      <c r="L535" t="inlineStr"/>
      <c r="M535" s="6">
        <f>HYPERLINK("https://www.kleinanzeigen.de/s-anzeige/neilpryde-hellcat-6-7-defekt/2870668824-230-786", "Link")</f>
        <v/>
      </c>
      <c r="N535" s="6">
        <f>HYPERLINK("C:\Projects\Kleinanzeigen-Scraper\offer_images\2870668824", "Link")</f>
        <v/>
      </c>
      <c r="O535" t="inlineStr">
        <is>
          <t>Avé- Lallemant</t>
        </is>
      </c>
      <c r="P535" s="6">
        <f>HYPERLINK("https://www.kleinanzeigen.de/s-bestandsliste.html?userId=71416844", "Link")</f>
        <v/>
      </c>
      <c r="Q535" s="7" t="n">
        <v>45558.56431712963</v>
      </c>
      <c r="R535" s="3" t="inlineStr">
        <is>
          <t>345.15</t>
        </is>
      </c>
      <c r="S535" t="inlineStr">
        <is>
          <t>Köln</t>
        </is>
      </c>
    </row>
    <row r="536">
      <c r="A536" s="2" t="n">
        <v>4.4</v>
      </c>
      <c r="B536" t="inlineStr">
        <is>
          <t>Gun Sails Yeah</t>
        </is>
      </c>
      <c r="C536" s="3" t="inlineStr"/>
      <c r="D536" s="3" t="inlineStr"/>
      <c r="E536" t="inlineStr"/>
      <c r="F536" t="inlineStr"/>
      <c r="G536" t="inlineStr">
        <is>
          <t>used</t>
        </is>
      </c>
      <c r="H536" s="4" t="n">
        <v>150</v>
      </c>
      <c r="I536" t="inlineStr"/>
      <c r="J536" t="inlineStr">
        <is>
          <t>82194 Bayern - Gröbenzell</t>
        </is>
      </c>
      <c r="K536" s="5" t="n">
        <v>45557</v>
      </c>
      <c r="L536" t="inlineStr"/>
      <c r="M536" s="6">
        <f>HYPERLINK("https://www.kleinanzeigen.de/s-anzeige/gun-sails-yeah-4-4qm-windsurf-segel/2870843246-230-6350", "Link")</f>
        <v/>
      </c>
      <c r="N536" s="6">
        <f>HYPERLINK("C:\Projects\Kleinanzeigen-Scraper\offer_images\2870843246", "Link")</f>
        <v/>
      </c>
      <c r="O536" t="inlineStr">
        <is>
          <t>Jonas Grünewald</t>
        </is>
      </c>
      <c r="P536" s="6">
        <f>HYPERLINK("https://www.kleinanzeigen.de/s-bestandsliste.html?userId=3880896", "Link")</f>
        <v/>
      </c>
      <c r="Q536" s="7" t="n">
        <v>45558.56423611111</v>
      </c>
      <c r="R536" s="3" t="inlineStr">
        <is>
          <t>15.82</t>
        </is>
      </c>
      <c r="S536" t="inlineStr">
        <is>
          <t>München</t>
        </is>
      </c>
    </row>
    <row r="537">
      <c r="A537" s="2" t="n">
        <v>5.7</v>
      </c>
      <c r="B537" t="inlineStr">
        <is>
          <t>Gun Sails Target</t>
        </is>
      </c>
      <c r="C537" s="3" t="n">
        <v>4.52</v>
      </c>
      <c r="D537" s="3" t="n">
        <v>1.83</v>
      </c>
      <c r="E537" t="inlineStr"/>
      <c r="F537" t="inlineStr"/>
      <c r="G537" t="inlineStr">
        <is>
          <t>used</t>
        </is>
      </c>
      <c r="H537" s="4" t="n">
        <v>50</v>
      </c>
      <c r="I537" t="inlineStr">
        <is>
          <t>VB</t>
        </is>
      </c>
      <c r="J537" t="inlineStr">
        <is>
          <t>04416 Sachsen - Markkleeberg</t>
        </is>
      </c>
      <c r="K537" s="5" t="n">
        <v>45557</v>
      </c>
      <c r="L537" t="inlineStr"/>
      <c r="M537" s="6">
        <f>HYPERLINK("https://www.kleinanzeigen.de/s-anzeige/gun-sails-target-5-7m-windsurfsegel/2870840339-230-3911", "Link")</f>
        <v/>
      </c>
      <c r="N537" s="6">
        <f>HYPERLINK("C:\Projects\Kleinanzeigen-Scraper\offer_images\2870840339", "Link")</f>
        <v/>
      </c>
      <c r="O537" t="inlineStr">
        <is>
          <t>Sebastian Schüler</t>
        </is>
      </c>
      <c r="P537" s="6">
        <f>HYPERLINK("https://www.kleinanzeigen.de/s-bestandsliste.html?userId=7323109", "Link")</f>
        <v/>
      </c>
      <c r="Q537" s="7" t="n">
        <v>45558.56399305556</v>
      </c>
      <c r="R537" s="3" t="inlineStr">
        <is>
          <t>353.27</t>
        </is>
      </c>
      <c r="S537" t="inlineStr">
        <is>
          <t>München</t>
        </is>
      </c>
    </row>
    <row r="538">
      <c r="A538" s="2" t="n">
        <v>4.2</v>
      </c>
      <c r="B538" t="inlineStr">
        <is>
          <t>Maui Sails Legend</t>
        </is>
      </c>
      <c r="C538" s="3" t="n">
        <v>370</v>
      </c>
      <c r="D538" s="3" t="n">
        <v>155</v>
      </c>
      <c r="E538" t="inlineStr"/>
      <c r="F538" t="inlineStr">
        <is>
          <t>2012</t>
        </is>
      </c>
      <c r="G538" t="inlineStr">
        <is>
          <t>used</t>
        </is>
      </c>
      <c r="H538" s="4" t="n">
        <v>60</v>
      </c>
      <c r="I538" t="inlineStr"/>
      <c r="J538" t="inlineStr">
        <is>
          <t>23552 Schleswig-Holstein - Lübeck</t>
        </is>
      </c>
      <c r="K538" s="5" t="n">
        <v>45550</v>
      </c>
      <c r="L538" t="inlineStr">
        <is>
          <t>Sold</t>
        </is>
      </c>
      <c r="M538" s="6">
        <f>HYPERLINK("https://www.kleinanzeigen.de/s-anzeige/windsurf-segel-maui-sails-legend-4-2-2012/2864304966-230-415", "Link")</f>
        <v/>
      </c>
      <c r="N538" s="6">
        <f>HYPERLINK("C:\Projects\Kleinanzeigen-Scraper\offer_images\2864304966", "Link")</f>
        <v/>
      </c>
      <c r="O538" t="inlineStr">
        <is>
          <t>D.W.</t>
        </is>
      </c>
      <c r="P538" s="6">
        <f>HYPERLINK("https://www.kleinanzeigen.de/s-bestandsliste.html?userId=27204476", "Link")</f>
        <v/>
      </c>
      <c r="Q538" s="7" t="n">
        <v>45558.56346064815</v>
      </c>
      <c r="R538" s="3" t="inlineStr">
        <is>
          <t>412.54</t>
        </is>
      </c>
      <c r="S538" t="inlineStr">
        <is>
          <t>Köln</t>
        </is>
      </c>
    </row>
    <row r="539">
      <c r="A539" s="2" t="n">
        <v>7.9</v>
      </c>
      <c r="B539" t="inlineStr">
        <is>
          <t>Point 7 AC1</t>
        </is>
      </c>
      <c r="C539" s="3" t="n">
        <v>4.9</v>
      </c>
      <c r="D539" s="3" t="inlineStr"/>
      <c r="E539" t="inlineStr"/>
      <c r="F539" t="inlineStr"/>
      <c r="G539" t="inlineStr">
        <is>
          <t>used</t>
        </is>
      </c>
      <c r="H539" s="4" t="n">
        <v>180</v>
      </c>
      <c r="I539" t="inlineStr">
        <is>
          <t>VB</t>
        </is>
      </c>
      <c r="J539" t="inlineStr">
        <is>
          <t>46049 Nordrhein-Westfalen - Oberhausen</t>
        </is>
      </c>
      <c r="K539" s="5" t="n">
        <v>45557</v>
      </c>
      <c r="L539" t="inlineStr">
        <is>
          <t>Sold</t>
        </is>
      </c>
      <c r="M539" s="6">
        <f>HYPERLINK("https://www.kleinanzeigen.de/s-anzeige/windsurfsegel-point-7-ac1-7-9qm/2870681206-230-1285", "Link")</f>
        <v/>
      </c>
      <c r="N539" s="6">
        <f>HYPERLINK("C:\Projects\Kleinanzeigen-Scraper\offer_images\2870681206", "Link")</f>
        <v/>
      </c>
      <c r="O539" t="inlineStr">
        <is>
          <t>Glasen</t>
        </is>
      </c>
      <c r="P539" s="6">
        <f>HYPERLINK("https://www.kleinanzeigen.de/s-bestandsliste.html?userId=18556400", "Link")</f>
        <v/>
      </c>
      <c r="Q539" s="7" t="n">
        <v>45558.5633912037</v>
      </c>
      <c r="R539" s="3" t="inlineStr">
        <is>
          <t>59.60</t>
        </is>
      </c>
      <c r="S539" t="inlineStr">
        <is>
          <t>Köln</t>
        </is>
      </c>
    </row>
    <row r="540">
      <c r="A540" s="2" t="n">
        <v>5</v>
      </c>
      <c r="B540" t="inlineStr">
        <is>
          <t>Neilpryde Search</t>
        </is>
      </c>
      <c r="C540" s="3" t="inlineStr"/>
      <c r="D540" s="3" t="inlineStr"/>
      <c r="E540" t="inlineStr"/>
      <c r="F540" t="inlineStr"/>
      <c r="G540" t="inlineStr">
        <is>
          <t>used</t>
        </is>
      </c>
      <c r="H540" s="4" t="n">
        <v>99</v>
      </c>
      <c r="I540" t="inlineStr"/>
      <c r="J540" t="inlineStr">
        <is>
          <t>86169 Bayern - Augsburg</t>
        </is>
      </c>
      <c r="K540" s="5" t="n">
        <v>45558</v>
      </c>
      <c r="L540" t="inlineStr"/>
      <c r="M540" s="6">
        <f>HYPERLINK("https://www.kleinanzeigen.de/s-anzeige/neilpryde-search-5-0-windsurf-surfsegel-/2871453030-230-7524", "Link")</f>
        <v/>
      </c>
      <c r="N540" s="6">
        <f>HYPERLINK("C:\Projects\Kleinanzeigen-Scraper\offer_images\2871453030", "Link")</f>
        <v/>
      </c>
      <c r="O540" t="inlineStr">
        <is>
          <t>Andi</t>
        </is>
      </c>
      <c r="P540" s="6">
        <f>HYPERLINK("https://www.kleinanzeigen.de/s-bestandsliste.html?userId=4910389", "Link")</f>
        <v/>
      </c>
      <c r="Q540" s="7" t="n">
        <v>45558.56334490741</v>
      </c>
      <c r="R540" s="3" t="inlineStr">
        <is>
          <t>58.53</t>
        </is>
      </c>
      <c r="S540" t="inlineStr">
        <is>
          <t>München</t>
        </is>
      </c>
    </row>
    <row r="541">
      <c r="A541" s="2" t="n">
        <v>4.3</v>
      </c>
      <c r="B541" t="inlineStr">
        <is>
          <t>North Sails Infinity</t>
        </is>
      </c>
      <c r="C541" s="3" t="n">
        <v>445</v>
      </c>
      <c r="D541" s="3" t="n">
        <v>155</v>
      </c>
      <c r="E541" t="inlineStr"/>
      <c r="F541" t="inlineStr"/>
      <c r="G541" t="inlineStr">
        <is>
          <t>repaired</t>
        </is>
      </c>
      <c r="H541" s="4" t="n">
        <v>20</v>
      </c>
      <c r="I541" t="inlineStr"/>
      <c r="J541" t="inlineStr">
        <is>
          <t>32760 Nordrhein-Westfalen - Detmold</t>
        </is>
      </c>
      <c r="K541" s="5" t="n">
        <v>45557</v>
      </c>
      <c r="L541" t="inlineStr"/>
      <c r="M541" s="6">
        <f>HYPERLINK("https://www.kleinanzeigen.de/s-anzeige/surfsegel-4-3-qm-infinity-von-north-sails/2871349767-230-1795", "Link")</f>
        <v/>
      </c>
      <c r="N541" s="6">
        <f>HYPERLINK("C:\Projects\Kleinanzeigen-Scraper\offer_images\2871349767", "Link")</f>
        <v/>
      </c>
      <c r="O541" t="inlineStr">
        <is>
          <t>Privat</t>
        </is>
      </c>
      <c r="P541" s="6">
        <f>HYPERLINK("https://www.kleinanzeigen.de/s-bestandsliste.html?userId=17823233", "Link")</f>
        <v/>
      </c>
      <c r="Q541" s="7" t="n">
        <v>45558.56296296296</v>
      </c>
      <c r="R541" s="3" t="inlineStr">
        <is>
          <t>172.40</t>
        </is>
      </c>
      <c r="S541" t="inlineStr">
        <is>
          <t>Köln</t>
        </is>
      </c>
    </row>
    <row r="542">
      <c r="A542" s="2" t="n">
        <v>4.8</v>
      </c>
      <c r="B542" t="inlineStr">
        <is>
          <t>Sailloft Quad</t>
        </is>
      </c>
      <c r="C542" s="3" t="inlineStr"/>
      <c r="D542" s="3" t="inlineStr"/>
      <c r="E542" t="inlineStr"/>
      <c r="F542" t="inlineStr">
        <is>
          <t>2023</t>
        </is>
      </c>
      <c r="G542" t="inlineStr">
        <is>
          <t>new</t>
        </is>
      </c>
      <c r="H542" s="4" t="n">
        <v>375</v>
      </c>
      <c r="I542" t="inlineStr">
        <is>
          <t>VB</t>
        </is>
      </c>
      <c r="J542" t="inlineStr">
        <is>
          <t>45699 Herten</t>
        </is>
      </c>
      <c r="K542" s="5" t="n">
        <v>45557</v>
      </c>
      <c r="L542" t="inlineStr">
        <is>
          <t>Sold</t>
        </is>
      </c>
      <c r="M542" s="6">
        <f>HYPERLINK("https://www.dailydose.de/kleinanzeigen/detail.htm?ai=422997&amp;cf=kk&amp;pg=5&amp;ci=5", "Link")</f>
        <v/>
      </c>
      <c r="N542" s="6">
        <f>HYPERLINK("C:\Projects\Kleinanzeigen-Scraper\offer_images\422997", "Link")</f>
        <v/>
      </c>
      <c r="O542" t="inlineStr">
        <is>
          <t>Basti_51</t>
        </is>
      </c>
      <c r="P542" s="6">
        <f>HYPERLINK("https://www.dailydose.de/kleinanzeigen/user/20214", "Link")</f>
        <v/>
      </c>
      <c r="Q542" s="7" t="n">
        <v>45557.56763888889</v>
      </c>
      <c r="R542" s="3" t="inlineStr">
        <is>
          <t>73.42</t>
        </is>
      </c>
      <c r="S542" t="inlineStr">
        <is>
          <t>Köln</t>
        </is>
      </c>
    </row>
    <row r="543">
      <c r="A543" s="2" t="n">
        <v>8.6</v>
      </c>
      <c r="B543" t="inlineStr">
        <is>
          <t>Sailloft Ultimate</t>
        </is>
      </c>
      <c r="C543" s="3" t="inlineStr"/>
      <c r="D543" s="3" t="inlineStr"/>
      <c r="E543" t="inlineStr"/>
      <c r="F543" t="inlineStr"/>
      <c r="G543" t="inlineStr">
        <is>
          <t>used</t>
        </is>
      </c>
      <c r="H543" s="4" t="n">
        <v>149</v>
      </c>
      <c r="I543" t="inlineStr"/>
      <c r="J543" t="inlineStr">
        <is>
          <t>14167 Berlin</t>
        </is>
      </c>
      <c r="K543" s="5" t="n">
        <v>45557</v>
      </c>
      <c r="L543" t="inlineStr"/>
      <c r="M543" s="6">
        <f>HYPERLINK("https://www.dailydose.de/kleinanzeigen/detail.htm?ai=422985&amp;cf=kk&amp;pg=5&amp;ci=5", "Link")</f>
        <v/>
      </c>
      <c r="N543" s="6">
        <f>HYPERLINK("C:\Projects\Kleinanzeigen-Scraper\offer_images\422985", "Link")</f>
        <v/>
      </c>
      <c r="O543" t="inlineStr">
        <is>
          <t>BlueWave85</t>
        </is>
      </c>
      <c r="P543" s="6">
        <f>HYPERLINK("https://www.dailydose.de/kleinanzeigen/user/2556", "Link")</f>
        <v/>
      </c>
      <c r="Q543" s="7" t="n">
        <v>45557.56746527777</v>
      </c>
      <c r="R543" s="3" t="inlineStr">
        <is>
          <t>465.76</t>
        </is>
      </c>
      <c r="S543" t="inlineStr">
        <is>
          <t>Köln</t>
        </is>
      </c>
    </row>
    <row r="544">
      <c r="A544" s="2" t="n">
        <v>4</v>
      </c>
      <c r="B544" t="inlineStr">
        <is>
          <t>Sailloft Air</t>
        </is>
      </c>
      <c r="C544" s="3" t="inlineStr"/>
      <c r="D544" s="3" t="inlineStr"/>
      <c r="E544" t="inlineStr"/>
      <c r="F544" t="inlineStr">
        <is>
          <t>2019</t>
        </is>
      </c>
      <c r="G544" t="inlineStr">
        <is>
          <t>repaired</t>
        </is>
      </c>
      <c r="H544" s="4" t="n">
        <v>150</v>
      </c>
      <c r="I544" t="inlineStr"/>
      <c r="J544" t="inlineStr">
        <is>
          <t>22769 Hamburg</t>
        </is>
      </c>
      <c r="K544" s="5" t="n">
        <v>45557</v>
      </c>
      <c r="L544" t="inlineStr"/>
      <c r="M544" s="6">
        <f>HYPERLINK("https://www.dailydose.de/kleinanzeigen/detail.htm?ai=423000&amp;cf=kk&amp;pg=5&amp;ci=5", "Link")</f>
        <v/>
      </c>
      <c r="N544" s="6">
        <f>HYPERLINK("C:\Projects\Kleinanzeigen-Scraper\offer_images\423000", "Link")</f>
        <v/>
      </c>
      <c r="O544" t="inlineStr">
        <is>
          <t>Felix_77</t>
        </is>
      </c>
      <c r="P544" s="6">
        <f>HYPERLINK("https://www.dailydose.de/kleinanzeigen/user/8127", "Link")</f>
        <v/>
      </c>
      <c r="Q544" s="7" t="n">
        <v>45557.56611111111</v>
      </c>
      <c r="R544" s="3" t="inlineStr">
        <is>
          <t>356.14</t>
        </is>
      </c>
      <c r="S544" t="inlineStr">
        <is>
          <t>Köln</t>
        </is>
      </c>
    </row>
    <row r="545">
      <c r="A545" s="2" t="n">
        <v>4.8</v>
      </c>
      <c r="B545" t="inlineStr">
        <is>
          <t>Sailloft Air</t>
        </is>
      </c>
      <c r="C545" s="3" t="inlineStr"/>
      <c r="D545" s="3" t="inlineStr"/>
      <c r="E545" t="inlineStr"/>
      <c r="F545" t="inlineStr">
        <is>
          <t>2019</t>
        </is>
      </c>
      <c r="G545" t="inlineStr">
        <is>
          <t>used</t>
        </is>
      </c>
      <c r="H545" s="4" t="n">
        <v>190</v>
      </c>
      <c r="I545" t="inlineStr"/>
      <c r="J545" t="inlineStr">
        <is>
          <t>22769 Hamburg</t>
        </is>
      </c>
      <c r="K545" s="5" t="n">
        <v>45557</v>
      </c>
      <c r="L545" t="inlineStr">
        <is>
          <t>Sold</t>
        </is>
      </c>
      <c r="M545" s="6">
        <f>HYPERLINK("https://www.dailydose.de/kleinanzeigen/detail.htm?ai=422998&amp;cf=kk&amp;pg=4&amp;ci=5", "Link")</f>
        <v/>
      </c>
      <c r="N545" s="6">
        <f>HYPERLINK("C:\Projects\Kleinanzeigen-Scraper\offer_images\422998", "Link")</f>
        <v/>
      </c>
      <c r="O545" t="inlineStr">
        <is>
          <t>Felix_77</t>
        </is>
      </c>
      <c r="P545" s="6">
        <f>HYPERLINK("https://www.dailydose.de/kleinanzeigen/user/8127", "Link")</f>
        <v/>
      </c>
      <c r="Q545" s="7" t="n">
        <v>45557.56513888889</v>
      </c>
      <c r="R545" s="3" t="inlineStr">
        <is>
          <t>356.14</t>
        </is>
      </c>
      <c r="S545" t="inlineStr">
        <is>
          <t>Köln</t>
        </is>
      </c>
    </row>
    <row r="546">
      <c r="A546" s="2" t="n">
        <v>4.4</v>
      </c>
      <c r="B546" t="inlineStr">
        <is>
          <t>Sailloft Air</t>
        </is>
      </c>
      <c r="C546" s="3" t="inlineStr"/>
      <c r="D546" s="3" t="inlineStr"/>
      <c r="E546" t="inlineStr"/>
      <c r="F546" t="inlineStr">
        <is>
          <t>2018</t>
        </is>
      </c>
      <c r="G546" t="inlineStr">
        <is>
          <t>used</t>
        </is>
      </c>
      <c r="H546" s="4" t="n">
        <v>190</v>
      </c>
      <c r="I546" t="inlineStr"/>
      <c r="J546" t="inlineStr">
        <is>
          <t>22769 Hamburg</t>
        </is>
      </c>
      <c r="K546" s="5" t="n">
        <v>45557</v>
      </c>
      <c r="L546" t="inlineStr"/>
      <c r="M546" s="6">
        <f>HYPERLINK("https://www.dailydose.de/kleinanzeigen/detail.htm?ai=422999&amp;cf=kk&amp;pg=5&amp;ci=5", "Link")</f>
        <v/>
      </c>
      <c r="N546" s="6">
        <f>HYPERLINK("C:\Projects\Kleinanzeigen-Scraper\offer_images\422999", "Link")</f>
        <v/>
      </c>
      <c r="O546" t="inlineStr">
        <is>
          <t>Felix_77</t>
        </is>
      </c>
      <c r="P546" s="6">
        <f>HYPERLINK("https://www.dailydose.de/kleinanzeigen/user/8127", "Link")</f>
        <v/>
      </c>
      <c r="Q546" s="7" t="n">
        <v>45557.56447916666</v>
      </c>
      <c r="R546" s="3" t="inlineStr">
        <is>
          <t>356.14</t>
        </is>
      </c>
      <c r="S546" t="inlineStr">
        <is>
          <t>Köln</t>
        </is>
      </c>
    </row>
    <row r="547">
      <c r="A547" s="2" t="n">
        <v>7</v>
      </c>
      <c r="B547" t="inlineStr">
        <is>
          <t>Sailloft Ultimate</t>
        </is>
      </c>
      <c r="C547" s="3" t="inlineStr"/>
      <c r="D547" s="3" t="inlineStr"/>
      <c r="E547" t="inlineStr"/>
      <c r="F547" t="inlineStr">
        <is>
          <t>2016</t>
        </is>
      </c>
      <c r="G547" t="inlineStr">
        <is>
          <t>repaired</t>
        </is>
      </c>
      <c r="H547" s="4" t="n">
        <v>169</v>
      </c>
      <c r="I547" t="inlineStr"/>
      <c r="J547" t="inlineStr">
        <is>
          <t>14167 Berlin</t>
        </is>
      </c>
      <c r="K547" s="5" t="n">
        <v>45557</v>
      </c>
      <c r="L547" t="inlineStr"/>
      <c r="M547" s="6">
        <f>HYPERLINK("https://www.dailydose.de/kleinanzeigen/detail.htm?ai=422986&amp;cf=kk&amp;pg=5&amp;ci=5", "Link")</f>
        <v/>
      </c>
      <c r="N547" s="6">
        <f>HYPERLINK("C:\Projects\Kleinanzeigen-Scraper\offer_images\422986", "Link")</f>
        <v/>
      </c>
      <c r="O547" t="inlineStr">
        <is>
          <t>BlueWave85</t>
        </is>
      </c>
      <c r="P547" s="6">
        <f>HYPERLINK("https://www.dailydose.de/kleinanzeigen/user/2556", "Link")</f>
        <v/>
      </c>
      <c r="Q547" s="7" t="n">
        <v>45557.56408564815</v>
      </c>
      <c r="R547" s="3" t="inlineStr">
        <is>
          <t>465.76</t>
        </is>
      </c>
      <c r="S547" t="inlineStr">
        <is>
          <t>Köln</t>
        </is>
      </c>
    </row>
    <row r="548">
      <c r="A548" s="2" t="n">
        <v>6.2</v>
      </c>
      <c r="B548" t="inlineStr">
        <is>
          <t>North E-Type</t>
        </is>
      </c>
      <c r="C548" s="3" t="inlineStr"/>
      <c r="D548" s="3" t="inlineStr"/>
      <c r="E548" t="inlineStr"/>
      <c r="F548" t="inlineStr"/>
      <c r="G548" t="inlineStr">
        <is>
          <t>repaired</t>
        </is>
      </c>
      <c r="H548" s="4" t="n">
        <v>120</v>
      </c>
      <c r="I548" t="inlineStr"/>
      <c r="J548" t="inlineStr">
        <is>
          <t>72459 Baden-Württemberg - Albstadt</t>
        </is>
      </c>
      <c r="K548" s="5" t="n">
        <v>45555</v>
      </c>
      <c r="L548" t="inlineStr"/>
      <c r="M548" s="6">
        <f>HYPERLINK("https://www.kleinanzeigen.de/s-anzeige/north-segel-e-type-6-2/2869161113-230-8650", "Link")</f>
        <v/>
      </c>
      <c r="N548" s="6">
        <f>HYPERLINK("C:\Projects\Kleinanzeigen-Scraper\offer_images\2869161113", "Link")</f>
        <v/>
      </c>
      <c r="O548" t="inlineStr">
        <is>
          <t>Ulrich Reimann,  Albstadt</t>
        </is>
      </c>
      <c r="P548" s="6">
        <f>HYPERLINK("https://www.kleinanzeigen.de/s-bestandsliste.html?userId=42005082", "Link")</f>
        <v/>
      </c>
      <c r="Q548" s="7" t="n">
        <v>45557.56116898148</v>
      </c>
      <c r="R548" s="3" t="inlineStr">
        <is>
          <t>50.69</t>
        </is>
      </c>
      <c r="S548" t="inlineStr">
        <is>
          <t>Böblingen</t>
        </is>
      </c>
    </row>
    <row r="549">
      <c r="A549" s="2" t="n">
        <v>7</v>
      </c>
      <c r="B549" t="inlineStr">
        <is>
          <t>Sailloft Ultimate</t>
        </is>
      </c>
      <c r="C549" s="3" t="inlineStr"/>
      <c r="D549" s="3" t="inlineStr"/>
      <c r="E549" t="inlineStr"/>
      <c r="F549" t="inlineStr">
        <is>
          <t>2016</t>
        </is>
      </c>
      <c r="G549" t="inlineStr">
        <is>
          <t>repaired</t>
        </is>
      </c>
      <c r="H549" s="4" t="n">
        <v>169</v>
      </c>
      <c r="I549" t="inlineStr"/>
      <c r="J549" t="inlineStr">
        <is>
          <t>14167 Berlin - Steglitz</t>
        </is>
      </c>
      <c r="K549" s="5" t="n">
        <v>45557</v>
      </c>
      <c r="L549" t="inlineStr"/>
      <c r="M549" s="6">
        <f>HYPERLINK("https://www.kleinanzeigen.de/s-anzeige/sailloft-ultimate-2016-7-0-segel/2870231619-230-9639", "Link")</f>
        <v/>
      </c>
      <c r="N549" s="6">
        <f>HYPERLINK("C:\Projects\Kleinanzeigen-Scraper\offer_images\2870231619", "Link")</f>
        <v/>
      </c>
      <c r="O549" t="inlineStr">
        <is>
          <t>Frank S.</t>
        </is>
      </c>
      <c r="P549" s="6">
        <f>HYPERLINK("https://www.kleinanzeigen.de/s-bestandsliste.html?userId=20971530", "Link")</f>
        <v/>
      </c>
      <c r="Q549" s="7" t="n">
        <v>45557.56099537037</v>
      </c>
      <c r="R549" s="3" t="inlineStr">
        <is>
          <t>465.76</t>
        </is>
      </c>
      <c r="S549" t="inlineStr">
        <is>
          <t>Köln</t>
        </is>
      </c>
    </row>
    <row r="550">
      <c r="A550" s="2" t="n">
        <v>6</v>
      </c>
      <c r="B550" t="inlineStr">
        <is>
          <t>North Sails</t>
        </is>
      </c>
      <c r="C550" s="3" t="inlineStr"/>
      <c r="D550" s="3" t="inlineStr"/>
      <c r="E550" t="inlineStr"/>
      <c r="F550" t="inlineStr"/>
      <c r="G550" t="inlineStr">
        <is>
          <t>used</t>
        </is>
      </c>
      <c r="H550" s="4" t="n">
        <v>50</v>
      </c>
      <c r="I550" t="inlineStr">
        <is>
          <t>VB</t>
        </is>
      </c>
      <c r="J550" t="inlineStr">
        <is>
          <t>37136 Niedersachsen - Ebergötzen</t>
        </is>
      </c>
      <c r="K550" s="5" t="n">
        <v>45556</v>
      </c>
      <c r="L550" t="inlineStr"/>
      <c r="M550" s="6">
        <f>HYPERLINK("https://www.kleinanzeigen.de/s-anzeige/surfsegel-north-sails-6-0/2869674881-230-21280", "Link")</f>
        <v/>
      </c>
      <c r="N550" s="6">
        <f>HYPERLINK("C:\Projects\Kleinanzeigen-Scraper\offer_images\2869674881", "Link")</f>
        <v/>
      </c>
      <c r="O550" t="inlineStr">
        <is>
          <t>Schulze</t>
        </is>
      </c>
      <c r="P550" s="6">
        <f>HYPERLINK("https://www.kleinanzeigen.de/s-bestandsliste.html?userId=107033820", "Link")</f>
        <v/>
      </c>
      <c r="Q550" s="7" t="n">
        <v>45557.56026620371</v>
      </c>
      <c r="R550" s="3" t="inlineStr">
        <is>
          <t>233.19</t>
        </is>
      </c>
      <c r="S550" t="inlineStr">
        <is>
          <t>Köln</t>
        </is>
      </c>
    </row>
    <row r="551">
      <c r="A551" s="2" t="n">
        <v>7.7</v>
      </c>
      <c r="B551" t="inlineStr">
        <is>
          <t>North Warp</t>
        </is>
      </c>
      <c r="C551" s="3" t="inlineStr"/>
      <c r="D551" s="3" t="inlineStr"/>
      <c r="E551" t="inlineStr"/>
      <c r="F551" t="inlineStr">
        <is>
          <t>2017</t>
        </is>
      </c>
      <c r="G551" t="inlineStr">
        <is>
          <t>used</t>
        </is>
      </c>
      <c r="H551" s="4" t="n">
        <v>249</v>
      </c>
      <c r="I551" t="inlineStr"/>
      <c r="J551" t="inlineStr">
        <is>
          <t>86152 Bayern - Augsburg</t>
        </is>
      </c>
      <c r="K551" s="5" t="n">
        <v>45556</v>
      </c>
      <c r="L551" t="inlineStr"/>
      <c r="M551" s="6">
        <f>HYPERLINK("https://www.kleinanzeigen.de/s-anzeige/segel-north-warp-f-2017-7-7-m-gebraucht-/2869500032-230-7526", "Link")</f>
        <v/>
      </c>
      <c r="N551" s="6">
        <f>HYPERLINK("C:\Projects\Kleinanzeigen-Scraper\offer_images\2869500032", "Link")</f>
        <v/>
      </c>
      <c r="O551" t="inlineStr">
        <is>
          <t>Florian Leupold</t>
        </is>
      </c>
      <c r="P551" s="6">
        <f>HYPERLINK("https://www.kleinanzeigen.de/s-bestandsliste.html?userId=125849424", "Link")</f>
        <v/>
      </c>
      <c r="Q551" s="7" t="n">
        <v>45557.55966435185</v>
      </c>
      <c r="R551" s="3" t="inlineStr">
        <is>
          <t>56.62</t>
        </is>
      </c>
      <c r="S551" t="inlineStr">
        <is>
          <t>München</t>
        </is>
      </c>
    </row>
    <row r="552">
      <c r="A552" s="2" t="n">
        <v>8.6</v>
      </c>
      <c r="B552" t="inlineStr">
        <is>
          <t>Sailloft Ultimate</t>
        </is>
      </c>
      <c r="C552" s="3" t="inlineStr"/>
      <c r="D552" s="3" t="inlineStr"/>
      <c r="E552" t="inlineStr"/>
      <c r="F552" t="inlineStr"/>
      <c r="G552" t="inlineStr">
        <is>
          <t>used</t>
        </is>
      </c>
      <c r="H552" s="4" t="n">
        <v>149</v>
      </c>
      <c r="I552" t="inlineStr"/>
      <c r="J552" t="inlineStr">
        <is>
          <t>14167 Berlin - Steglitz</t>
        </is>
      </c>
      <c r="K552" s="5" t="n">
        <v>45557</v>
      </c>
      <c r="L552" t="inlineStr"/>
      <c r="M552" s="6">
        <f>HYPERLINK("https://www.kleinanzeigen.de/s-anzeige/sailloft-ultimate-8-6-segel/2870230723-230-9639", "Link")</f>
        <v/>
      </c>
      <c r="N552" s="6">
        <f>HYPERLINK("C:\Projects\Kleinanzeigen-Scraper\offer_images\2870230723", "Link")</f>
        <v/>
      </c>
      <c r="O552" t="inlineStr">
        <is>
          <t>Frank S.</t>
        </is>
      </c>
      <c r="P552" s="6">
        <f>HYPERLINK("https://www.kleinanzeigen.de/s-bestandsliste.html?userId=20971530", "Link")</f>
        <v/>
      </c>
      <c r="Q552" s="7" t="n">
        <v>45557.55946759259</v>
      </c>
      <c r="R552" s="3" t="inlineStr">
        <is>
          <t>465.76</t>
        </is>
      </c>
      <c r="S552" t="inlineStr">
        <is>
          <t>Köln</t>
        </is>
      </c>
    </row>
    <row r="553">
      <c r="A553" s="2" t="n">
        <v>8.1</v>
      </c>
      <c r="B553" t="inlineStr">
        <is>
          <t>Severne Turbo</t>
        </is>
      </c>
      <c r="C553" s="3" t="n">
        <v>492</v>
      </c>
      <c r="D553" s="3" t="n">
        <v>204</v>
      </c>
      <c r="E553" t="inlineStr"/>
      <c r="F553" t="inlineStr"/>
      <c r="G553" t="inlineStr">
        <is>
          <t>used</t>
        </is>
      </c>
      <c r="H553" s="4" t="n">
        <v>185</v>
      </c>
      <c r="I553" t="inlineStr">
        <is>
          <t>VB</t>
        </is>
      </c>
      <c r="J553" t="inlineStr">
        <is>
          <t>27568 Häfen - Bremerhaven</t>
        </is>
      </c>
      <c r="K553" s="5" t="n">
        <v>45557</v>
      </c>
      <c r="L553" t="inlineStr">
        <is>
          <t>Sold</t>
        </is>
      </c>
      <c r="M553" s="6">
        <f>HYPERLINK("https://www.kleinanzeigen.de/s-anzeige/severne-turbo-8-1m-/2870294974-230-7", "Link")</f>
        <v/>
      </c>
      <c r="N553" s="6">
        <f>HYPERLINK("C:\Projects\Kleinanzeigen-Scraper\offer_images\2870294974", "Link")</f>
        <v/>
      </c>
      <c r="O553" t="inlineStr">
        <is>
          <t>Dietmar</t>
        </is>
      </c>
      <c r="P553" s="6">
        <f>HYPERLINK("https://www.kleinanzeigen.de/s-bestandsliste.html?userId=22041845", "Link")</f>
        <v/>
      </c>
      <c r="Q553" s="7" t="n">
        <v>45557.55888888889</v>
      </c>
      <c r="R553" s="3" t="inlineStr">
        <is>
          <t>312.07</t>
        </is>
      </c>
      <c r="S553" t="inlineStr">
        <is>
          <t>Köln</t>
        </is>
      </c>
    </row>
    <row r="554">
      <c r="A554" s="2" t="n">
        <v>6.3</v>
      </c>
      <c r="B554" t="inlineStr">
        <is>
          <t>Sailoft Slam SLE</t>
        </is>
      </c>
      <c r="C554" s="3" t="n">
        <v>430</v>
      </c>
      <c r="D554" s="3" t="n">
        <v>180</v>
      </c>
      <c r="E554" t="inlineStr"/>
      <c r="F554" t="inlineStr"/>
      <c r="G554" t="inlineStr">
        <is>
          <t>used</t>
        </is>
      </c>
      <c r="H554" s="4" t="n">
        <v>100</v>
      </c>
      <c r="I554" t="inlineStr">
        <is>
          <t>VB</t>
        </is>
      </c>
      <c r="J554" t="inlineStr">
        <is>
          <t>75378 Baden-Württemberg - Bad Liebenzell</t>
        </is>
      </c>
      <c r="K554" s="5" t="n">
        <v>45557</v>
      </c>
      <c r="L554" t="inlineStr">
        <is>
          <t>Sold</t>
        </is>
      </c>
      <c r="M554" s="6">
        <f>HYPERLINK("https://www.kleinanzeigen.de/s-anzeige/windsurf-segel-sailoft-6-3m2/2870348137-230-8770", "Link")</f>
        <v/>
      </c>
      <c r="N554" s="6">
        <f>HYPERLINK("C:\Projects\Kleinanzeigen-Scraper\offer_images\2870348137", "Link")</f>
        <v/>
      </c>
      <c r="O554" t="inlineStr">
        <is>
          <t>Jan Mergelsberg</t>
        </is>
      </c>
      <c r="P554" s="6">
        <f>HYPERLINK("https://www.kleinanzeigen.de/s-bestandsliste.html?userId=28123858", "Link")</f>
        <v/>
      </c>
      <c r="Q554" s="7" t="n">
        <v>45557.55863425926</v>
      </c>
      <c r="R554" s="3" t="inlineStr">
        <is>
          <t>21.17</t>
        </is>
      </c>
      <c r="S554" t="inlineStr">
        <is>
          <t>Böblingen</t>
        </is>
      </c>
    </row>
    <row r="555">
      <c r="A555" s="2" t="n">
        <v>4.7</v>
      </c>
      <c r="B555" t="inlineStr">
        <is>
          <t>Hot Sails Maui</t>
        </is>
      </c>
      <c r="C555" s="3" t="inlineStr"/>
      <c r="D555" s="3" t="inlineStr"/>
      <c r="E555" t="inlineStr">
        <is>
          <t>Wave/Freestyle</t>
        </is>
      </c>
      <c r="F555" t="inlineStr"/>
      <c r="G555" t="inlineStr">
        <is>
          <t>used</t>
        </is>
      </c>
      <c r="H555" s="4" t="n">
        <v>180</v>
      </c>
      <c r="I555" t="inlineStr">
        <is>
          <t>VB</t>
        </is>
      </c>
      <c r="J555" t="inlineStr">
        <is>
          <t>21335 Niedersachsen - Lüneburg</t>
        </is>
      </c>
      <c r="K555" s="5" t="n">
        <v>45557</v>
      </c>
      <c r="L555" t="inlineStr">
        <is>
          <t>Sold</t>
        </is>
      </c>
      <c r="M555" s="6">
        <f>HYPERLINK("https://www.kleinanzeigen.de/s-anzeige/hot-sails-maui-4-7-tuch-windsurf-segel/2870658054-230-3260", "Link")</f>
        <v/>
      </c>
      <c r="N555" s="6">
        <f>HYPERLINK("C:\Projects\Kleinanzeigen-Scraper\offer_images\2870658054", "Link")</f>
        <v/>
      </c>
      <c r="O555" t="inlineStr">
        <is>
          <t>Avé- Lallemant</t>
        </is>
      </c>
      <c r="P555" s="6">
        <f>HYPERLINK("https://www.kleinanzeigen.de/s-bestandsliste.html?userId=71416844", "Link")</f>
        <v/>
      </c>
      <c r="Q555" s="7" t="n">
        <v>45557.55761574074</v>
      </c>
      <c r="R555" s="3" t="inlineStr">
        <is>
          <t>345.15</t>
        </is>
      </c>
      <c r="S555" t="inlineStr">
        <is>
          <t>Köln</t>
        </is>
      </c>
    </row>
    <row r="556">
      <c r="A556" s="2" t="n">
        <v>5.9</v>
      </c>
      <c r="B556" t="inlineStr">
        <is>
          <t>North Sails Volt</t>
        </is>
      </c>
      <c r="C556" s="3" t="inlineStr"/>
      <c r="D556" s="3" t="inlineStr"/>
      <c r="E556" t="inlineStr"/>
      <c r="F556" t="inlineStr"/>
      <c r="G556" t="inlineStr">
        <is>
          <t>used</t>
        </is>
      </c>
      <c r="H556" s="4" t="n">
        <v>139</v>
      </c>
      <c r="I556" t="inlineStr"/>
      <c r="J556" t="inlineStr">
        <is>
          <t>57080 Nordrhein-Westfalen - Siegen</t>
        </is>
      </c>
      <c r="K556" s="5" t="n">
        <v>45557</v>
      </c>
      <c r="L556" t="inlineStr"/>
      <c r="M556" s="6">
        <f>HYPERLINK("https://www.kleinanzeigen.de/s-anzeige/north-sails-volt-5-9/2870430333-230-1026", "Link")</f>
        <v/>
      </c>
      <c r="N556" s="6">
        <f>HYPERLINK("C:\Projects\Kleinanzeigen-Scraper\offer_images\2870430333", "Link")</f>
        <v/>
      </c>
      <c r="O556" t="inlineStr">
        <is>
          <t>Stahl</t>
        </is>
      </c>
      <c r="P556" s="6">
        <f>HYPERLINK("https://www.kleinanzeigen.de/s-bestandsliste.html?userId=7212601", "Link")</f>
        <v/>
      </c>
      <c r="Q556" s="7" t="n">
        <v>45557.5574537037</v>
      </c>
      <c r="R556" s="3" t="inlineStr">
        <is>
          <t>75.54</t>
        </is>
      </c>
      <c r="S556" t="inlineStr">
        <is>
          <t>Köln</t>
        </is>
      </c>
    </row>
    <row r="557">
      <c r="A557" s="2" t="n">
        <v>4.5</v>
      </c>
      <c r="B557" t="inlineStr">
        <is>
          <t>Gun Sails Top Wave</t>
        </is>
      </c>
      <c r="C557" s="3" t="n">
        <v>4</v>
      </c>
      <c r="D557" s="3" t="n">
        <v>1.2</v>
      </c>
      <c r="E557" t="inlineStr"/>
      <c r="F557" t="inlineStr"/>
      <c r="G557" t="inlineStr">
        <is>
          <t>used</t>
        </is>
      </c>
      <c r="H557" s="4" t="n">
        <v>55</v>
      </c>
      <c r="I557" t="inlineStr"/>
      <c r="J557" t="inlineStr">
        <is>
          <t>52457 Nordrhein-Westfalen - Aldenhoven</t>
        </is>
      </c>
      <c r="K557" s="5" t="n">
        <v>45557</v>
      </c>
      <c r="L557" t="inlineStr"/>
      <c r="M557" s="6">
        <f>HYPERLINK("https://www.kleinanzeigen.de/s-anzeige/gun-sails-4-5qm/2870573142-230-1721", "Link")</f>
        <v/>
      </c>
      <c r="N557" s="6">
        <f>HYPERLINK("C:\Projects\Kleinanzeigen-Scraper\offer_images\2870573142", "Link")</f>
        <v/>
      </c>
      <c r="O557" t="inlineStr">
        <is>
          <t>Klaus</t>
        </is>
      </c>
      <c r="P557" s="6">
        <f>HYPERLINK("https://www.kleinanzeigen.de/s-bestandsliste.html?userId=13660140", "Link")</f>
        <v/>
      </c>
      <c r="Q557" s="7" t="n">
        <v>45557.55716435185</v>
      </c>
      <c r="R557" s="3" t="inlineStr">
        <is>
          <t>48.38</t>
        </is>
      </c>
      <c r="S557" t="inlineStr">
        <is>
          <t>Köln</t>
        </is>
      </c>
    </row>
    <row r="558">
      <c r="A558" s="2" t="n">
        <v>5.4</v>
      </c>
      <c r="B558" t="inlineStr">
        <is>
          <t>Naish Boxer</t>
        </is>
      </c>
      <c r="C558" s="3" t="n">
        <v>400</v>
      </c>
      <c r="D558" s="3" t="inlineStr"/>
      <c r="E558" t="inlineStr"/>
      <c r="F558" t="inlineStr"/>
      <c r="G558" t="inlineStr">
        <is>
          <t>used</t>
        </is>
      </c>
      <c r="H558" s="4" t="n">
        <v>70</v>
      </c>
      <c r="I558" t="inlineStr">
        <is>
          <t>VB</t>
        </is>
      </c>
      <c r="J558" t="inlineStr">
        <is>
          <t>40627 Düsseldorf - Unterbach</t>
        </is>
      </c>
      <c r="K558" s="5" t="n">
        <v>45552</v>
      </c>
      <c r="L558" t="inlineStr">
        <is>
          <t>Sold</t>
        </is>
      </c>
      <c r="M558" s="6">
        <f>HYPERLINK("https://www.kleinanzeigen.de/s-anzeige/surfsegel-naish-boxer-5-4m-/2866737011-230-16750", "Link")</f>
        <v/>
      </c>
      <c r="N558" s="6">
        <f>HYPERLINK("C:\Projects\Kleinanzeigen-Scraper\offer_images\2866737011", "Link")</f>
        <v/>
      </c>
      <c r="O558" t="inlineStr">
        <is>
          <t>Adrian Becker</t>
        </is>
      </c>
      <c r="P558" s="6">
        <f>HYPERLINK("https://www.kleinanzeigen.de/s-bestandsliste.html?userId=13485948", "Link")</f>
        <v/>
      </c>
      <c r="Q558" s="7" t="n">
        <v>45557.55524305555</v>
      </c>
      <c r="R558" s="3" t="inlineStr">
        <is>
          <t>29.74</t>
        </is>
      </c>
      <c r="S558" t="inlineStr">
        <is>
          <t>Köln</t>
        </is>
      </c>
    </row>
    <row r="559">
      <c r="A559" s="2" t="n">
        <v>7.8</v>
      </c>
      <c r="B559" t="inlineStr">
        <is>
          <t>North Sails E-Pace</t>
        </is>
      </c>
      <c r="C559" s="3" t="n">
        <v>471</v>
      </c>
      <c r="D559" s="3" t="n">
        <v>209</v>
      </c>
      <c r="E559" t="inlineStr"/>
      <c r="F559" t="inlineStr"/>
      <c r="G559" t="inlineStr"/>
      <c r="H559" s="4" t="n">
        <v>195</v>
      </c>
      <c r="I559" t="inlineStr"/>
      <c r="J559" t="inlineStr">
        <is>
          <t>21029 Hamburg - Bergedorf</t>
        </is>
      </c>
      <c r="K559" s="5" t="n">
        <v>45556</v>
      </c>
      <c r="L559" t="inlineStr"/>
      <c r="M559" s="6">
        <f>HYPERLINK("https://www.kleinanzeigen.de/s-anzeige/north-sails-e-pace-7-8/2869493254-230-9519", "Link")</f>
        <v/>
      </c>
      <c r="N559" s="6">
        <f>HYPERLINK("C:\Projects\Kleinanzeigen-Scraper\offer_images\2869493254", "Link")</f>
        <v/>
      </c>
      <c r="O559" t="inlineStr">
        <is>
          <t>Js</t>
        </is>
      </c>
      <c r="P559" s="6">
        <f>HYPERLINK("https://www.kleinanzeigen.de/s-bestandsliste.html?userId=33355859", "Link")</f>
        <v/>
      </c>
      <c r="Q559" s="7" t="n">
        <v>45557.55421296296</v>
      </c>
      <c r="R559" s="3" t="inlineStr">
        <is>
          <t>360.67</t>
        </is>
      </c>
      <c r="S559" t="inlineStr">
        <is>
          <t>Köln</t>
        </is>
      </c>
    </row>
    <row r="560">
      <c r="A560" s="2" t="n">
        <v>6.2</v>
      </c>
      <c r="B560" t="inlineStr">
        <is>
          <t>North E-Pace</t>
        </is>
      </c>
      <c r="C560" s="3" t="n">
        <v>430</v>
      </c>
      <c r="D560" s="3" t="n">
        <v>193</v>
      </c>
      <c r="E560" t="inlineStr"/>
      <c r="F560" t="inlineStr">
        <is>
          <t>2014</t>
        </is>
      </c>
      <c r="G560" t="inlineStr"/>
      <c r="H560" s="4" t="n">
        <v>85</v>
      </c>
      <c r="I560" t="inlineStr"/>
      <c r="J560" t="inlineStr">
        <is>
          <t>21029 Hamburg - Bergedorf</t>
        </is>
      </c>
      <c r="K560" s="5" t="n">
        <v>45556</v>
      </c>
      <c r="L560" t="inlineStr"/>
      <c r="M560" s="6">
        <f>HYPERLINK("https://www.kleinanzeigen.de/s-anzeige/north-sails-e-pace-6-2/2869558285-230-9519", "Link")</f>
        <v/>
      </c>
      <c r="N560" s="6">
        <f>HYPERLINK("C:\Projects\Kleinanzeigen-Scraper\offer_images\2869558285", "Link")</f>
        <v/>
      </c>
      <c r="O560" t="inlineStr">
        <is>
          <t>Js</t>
        </is>
      </c>
      <c r="P560" s="6">
        <f>HYPERLINK("https://www.kleinanzeigen.de/s-bestandsliste.html?userId=33355859", "Link")</f>
        <v/>
      </c>
      <c r="Q560" s="7" t="n">
        <v>45557.55386574074</v>
      </c>
      <c r="R560" s="3" t="inlineStr">
        <is>
          <t>360.67</t>
        </is>
      </c>
      <c r="S560" t="inlineStr">
        <is>
          <t>Köln</t>
        </is>
      </c>
    </row>
    <row r="561">
      <c r="A561" s="2" t="n">
        <v>7</v>
      </c>
      <c r="B561" t="inlineStr">
        <is>
          <t>North Nova</t>
        </is>
      </c>
      <c r="C561" s="3" t="inlineStr"/>
      <c r="D561" s="3" t="inlineStr"/>
      <c r="E561" t="inlineStr"/>
      <c r="F561" t="inlineStr">
        <is>
          <t>2023/24</t>
        </is>
      </c>
      <c r="G561" t="inlineStr">
        <is>
          <t>new</t>
        </is>
      </c>
      <c r="H561" s="4" t="n">
        <v>480</v>
      </c>
      <c r="I561" t="inlineStr"/>
      <c r="J561" t="inlineStr">
        <is>
          <t>47809 Nordrhein-Westfalen - Krefeld</t>
        </is>
      </c>
      <c r="K561" s="5" t="n">
        <v>45556</v>
      </c>
      <c r="L561" t="inlineStr">
        <is>
          <t>Sold</t>
        </is>
      </c>
      <c r="M561" s="6">
        <f>HYPERLINK("https://www.kleinanzeigen.de/s-anzeige/neuer-north-nova-2023-24-7qm-neu-mit-bag-und-leash-pacific-blue/2869379349-230-1979", "Link")</f>
        <v/>
      </c>
      <c r="N561" s="6">
        <f>HYPERLINK("C:\Projects\Kleinanzeigen-Scraper\offer_images\2869379349", "Link")</f>
        <v/>
      </c>
      <c r="O561" t="inlineStr">
        <is>
          <t>Uwe</t>
        </is>
      </c>
      <c r="P561" s="6">
        <f>HYPERLINK("https://www.kleinanzeigen.de/s-bestandsliste.html?userId=126201475", "Link")</f>
        <v/>
      </c>
      <c r="Q561" s="7" t="n">
        <v>45557.55384259259</v>
      </c>
      <c r="R561" s="3" t="inlineStr">
        <is>
          <t>48.58</t>
        </is>
      </c>
      <c r="S561" t="inlineStr">
        <is>
          <t>Köln</t>
        </is>
      </c>
    </row>
    <row r="562">
      <c r="A562" s="2" t="n">
        <v>4.7</v>
      </c>
      <c r="B562" t="inlineStr">
        <is>
          <t>Duotone Super Hero</t>
        </is>
      </c>
      <c r="C562" s="3" t="n">
        <v>400</v>
      </c>
      <c r="D562" s="3" t="inlineStr"/>
      <c r="E562" t="inlineStr"/>
      <c r="F562" t="inlineStr">
        <is>
          <t>2024</t>
        </is>
      </c>
      <c r="G562" t="inlineStr"/>
      <c r="H562" s="4" t="n">
        <v>530</v>
      </c>
      <c r="I562" t="inlineStr"/>
      <c r="J562" t="inlineStr">
        <is>
          <t>38154 Königslutter</t>
        </is>
      </c>
      <c r="K562" s="5" t="n">
        <v>45556</v>
      </c>
      <c r="L562" t="inlineStr">
        <is>
          <t>Sold</t>
        </is>
      </c>
      <c r="M562" s="6">
        <f>HYPERLINK("https://www.dailydose.de/kleinanzeigen/detail.htm?ai=422954&amp;cf=kk&amp;pg=3&amp;ci=5", "Link")</f>
        <v/>
      </c>
      <c r="N562" s="6">
        <f>HYPERLINK("C:\Projects\Kleinanzeigen-Scraper\offer_images\422954", "Link")</f>
        <v/>
      </c>
      <c r="O562" t="inlineStr">
        <is>
          <t>Micha_113</t>
        </is>
      </c>
      <c r="P562" s="6">
        <f>HYPERLINK("https://www.dailydose.de/kleinanzeigen/user/16554", "Link")</f>
        <v/>
      </c>
      <c r="Q562" s="7" t="n">
        <v>45556.94736111111</v>
      </c>
      <c r="R562" s="3" t="inlineStr">
        <is>
          <t>303.77</t>
        </is>
      </c>
      <c r="S562" t="inlineStr">
        <is>
          <t>Köln</t>
        </is>
      </c>
    </row>
    <row r="563">
      <c r="A563" s="2" t="n">
        <v>4.1</v>
      </c>
      <c r="B563" t="inlineStr">
        <is>
          <t>Naish Force IV</t>
        </is>
      </c>
      <c r="C563" s="3" t="inlineStr"/>
      <c r="D563" s="3" t="inlineStr"/>
      <c r="E563" t="inlineStr"/>
      <c r="F563" t="inlineStr">
        <is>
          <t>2018</t>
        </is>
      </c>
      <c r="G563" t="inlineStr">
        <is>
          <t>used</t>
        </is>
      </c>
      <c r="H563" s="4" t="n">
        <v>200</v>
      </c>
      <c r="I563" t="inlineStr"/>
      <c r="J563" t="inlineStr">
        <is>
          <t>49525 Lengerich</t>
        </is>
      </c>
      <c r="K563" s="5" t="n">
        <v>45556</v>
      </c>
      <c r="L563" t="inlineStr"/>
      <c r="M563" s="6">
        <f>HYPERLINK("https://www.dailydose.de/kleinanzeigen/detail.htm?ai=422963&amp;cf=kk&amp;pg=5&amp;ci=5", "Link")</f>
        <v/>
      </c>
      <c r="N563" s="6">
        <f>HYPERLINK("C:\Projects\Kleinanzeigen-Scraper\offer_images\422963", "Link")</f>
        <v/>
      </c>
      <c r="O563" t="inlineStr">
        <is>
          <t>Andre Budke</t>
        </is>
      </c>
      <c r="P563" s="6">
        <f>HYPERLINK("https://www.dailydose.de/kleinanzeigen/user/3670", "Link")</f>
        <v/>
      </c>
      <c r="Q563" s="7" t="n">
        <v>45556.94646990741</v>
      </c>
      <c r="R563" s="3" t="inlineStr">
        <is>
          <t>149.46</t>
        </is>
      </c>
      <c r="S563" t="inlineStr">
        <is>
          <t>Köln</t>
        </is>
      </c>
    </row>
    <row r="564">
      <c r="A564" s="2" t="n">
        <v>4.7</v>
      </c>
      <c r="B564" t="inlineStr">
        <is>
          <t>Neilpryde Combat Wave HD</t>
        </is>
      </c>
      <c r="C564" s="3" t="n">
        <v>370</v>
      </c>
      <c r="D564" s="3" t="n">
        <v>164</v>
      </c>
      <c r="E564" t="inlineStr"/>
      <c r="F564" t="inlineStr"/>
      <c r="G564" t="inlineStr">
        <is>
          <t>used</t>
        </is>
      </c>
      <c r="H564" s="4" t="inlineStr">
        <is>
          <t>EUR 245</t>
        </is>
      </c>
      <c r="I564" t="inlineStr">
        <is>
          <t>VB</t>
        </is>
      </c>
      <c r="J564" t="inlineStr">
        <is>
          <t>47447 Moers</t>
        </is>
      </c>
      <c r="K564" s="5" t="n">
        <v>45556</v>
      </c>
      <c r="L564" t="inlineStr"/>
      <c r="M564" s="6">
        <f>HYPERLINK("https://www.dailydose.de/kleinanzeigen/detail.htm?ai=422948&amp;cf=kk&amp;pg=5&amp;ci=5", "Link")</f>
        <v/>
      </c>
      <c r="N564" s="6">
        <f>HYPERLINK("C:\Projects\Kleinanzeigen-Scraper\offer_images\422948", "Link")</f>
        <v/>
      </c>
      <c r="O564" t="inlineStr">
        <is>
          <t>Ralf_29</t>
        </is>
      </c>
      <c r="P564" s="6">
        <f>HYPERLINK("https://www.dailydose.de/kleinanzeigen/user/18391", "Link")</f>
        <v/>
      </c>
      <c r="Q564" s="7" t="n">
        <v>45556.94633101852</v>
      </c>
      <c r="R564" s="3" t="inlineStr">
        <is>
          <t>58.22</t>
        </is>
      </c>
      <c r="S564" t="inlineStr">
        <is>
          <t>Köln</t>
        </is>
      </c>
    </row>
    <row r="565">
      <c r="A565" s="2" t="n">
        <v>6.6</v>
      </c>
      <c r="B565" t="inlineStr">
        <is>
          <t>Gunsails Torro</t>
        </is>
      </c>
      <c r="C565" s="3" t="inlineStr"/>
      <c r="D565" s="3" t="inlineStr"/>
      <c r="E565" t="inlineStr"/>
      <c r="F565" t="inlineStr">
        <is>
          <t>2014</t>
        </is>
      </c>
      <c r="G565" t="inlineStr">
        <is>
          <t>used</t>
        </is>
      </c>
      <c r="H565" s="4" t="n">
        <v>70</v>
      </c>
      <c r="I565" t="inlineStr"/>
      <c r="J565" t="inlineStr">
        <is>
          <t>6212 Maurach am Achensee</t>
        </is>
      </c>
      <c r="K565" s="5" t="n">
        <v>45555</v>
      </c>
      <c r="L565" t="inlineStr">
        <is>
          <t>Sold</t>
        </is>
      </c>
      <c r="M565" s="6">
        <f>HYPERLINK("https://www.dailydose.de/kleinanzeigen/detail.htm?ai=422884&amp;cf=kk&amp;pg=5&amp;ci=5", "Link")</f>
        <v/>
      </c>
      <c r="N565" s="6">
        <f>HYPERLINK("C:\Projects\Kleinanzeigen-Scraper\offer_images\422884", "Link")</f>
        <v/>
      </c>
      <c r="O565" t="inlineStr">
        <is>
          <t>Patrick_66</t>
        </is>
      </c>
      <c r="P565" s="6">
        <f>HYPERLINK("https://www.dailydose.de/kleinanzeigen/user/18672", "Link")</f>
        <v/>
      </c>
      <c r="Q565" s="7" t="n">
        <v>45556.94616898148</v>
      </c>
      <c r="R565" s="3" t="inlineStr">
        <is>
          <t>80.30</t>
        </is>
      </c>
      <c r="S565" t="inlineStr">
        <is>
          <t>München</t>
        </is>
      </c>
    </row>
    <row r="566">
      <c r="A566" s="2" t="n">
        <v>3.4</v>
      </c>
      <c r="B566" t="inlineStr">
        <is>
          <t>Goya Bazaii Pro</t>
        </is>
      </c>
      <c r="C566" s="3" t="inlineStr"/>
      <c r="D566" s="3" t="inlineStr"/>
      <c r="E566" t="inlineStr"/>
      <c r="F566" t="inlineStr">
        <is>
          <t>2023</t>
        </is>
      </c>
      <c r="G566" t="inlineStr">
        <is>
          <t>new</t>
        </is>
      </c>
      <c r="H566" s="4" t="n">
        <v>400</v>
      </c>
      <c r="I566" t="inlineStr">
        <is>
          <t>VB</t>
        </is>
      </c>
      <c r="J566" t="inlineStr">
        <is>
          <t>18069 Rostock</t>
        </is>
      </c>
      <c r="K566" s="5" t="n">
        <v>45555</v>
      </c>
      <c r="L566" t="inlineStr">
        <is>
          <t>Sold</t>
        </is>
      </c>
      <c r="M566" s="6">
        <f>HYPERLINK("https://www.dailydose.de/kleinanzeigen/detail.htm?ai=422915&amp;cf=kk&amp;pg=5&amp;ci=5", "Link")</f>
        <v/>
      </c>
      <c r="N566" s="6">
        <f>HYPERLINK("C:\Projects\Kleinanzeigen-Scraper\offer_images\422915", "Link")</f>
        <v/>
      </c>
      <c r="O566" t="inlineStr">
        <is>
          <t>Lutz Graichen</t>
        </is>
      </c>
      <c r="P566" s="6">
        <f>HYPERLINK("https://www.dailydose.de/kleinanzeigen/user/14667", "Link")</f>
        <v/>
      </c>
      <c r="Q566" s="7" t="n">
        <v>45556.94517361111</v>
      </c>
      <c r="R566" s="3" t="inlineStr">
        <is>
          <t>493.58</t>
        </is>
      </c>
      <c r="S566" t="inlineStr">
        <is>
          <t>Köln</t>
        </is>
      </c>
    </row>
    <row r="567">
      <c r="A567" s="2" t="n">
        <v>6.2</v>
      </c>
      <c r="B567" t="inlineStr">
        <is>
          <t>Gun Sails Rapid</t>
        </is>
      </c>
      <c r="C567" s="3" t="n">
        <v>4.5</v>
      </c>
      <c r="D567" s="3" t="n">
        <v>1.8</v>
      </c>
      <c r="E567" t="inlineStr"/>
      <c r="F567" t="inlineStr"/>
      <c r="G567" t="inlineStr"/>
      <c r="H567" s="4" t="n">
        <v>99</v>
      </c>
      <c r="I567" t="inlineStr"/>
      <c r="J567" t="inlineStr">
        <is>
          <t>Versand 45772</t>
        </is>
      </c>
      <c r="K567" s="5" t="n">
        <v>45556</v>
      </c>
      <c r="L567" t="inlineStr">
        <is>
          <t>Sold</t>
        </is>
      </c>
      <c r="M567" s="6">
        <f>HYPERLINK("https://www.dailydose.de/kleinanzeigen/detail.htm?ai=422973&amp;cf=kk&amp;pg=3&amp;ci=5", "Link")</f>
        <v/>
      </c>
      <c r="N567" s="6">
        <f>HYPERLINK("C:\Projects\Kleinanzeigen-Scraper\offer_images\422973", "Link")</f>
        <v/>
      </c>
      <c r="O567" t="inlineStr">
        <is>
          <t>margarethe_22</t>
        </is>
      </c>
      <c r="P567" s="6">
        <f>HYPERLINK("https://www.dailydose.de/kleinanzeigen/user/15510", "Link")</f>
        <v/>
      </c>
      <c r="Q567" s="7" t="n">
        <v>45556.94484953704</v>
      </c>
      <c r="R567" s="3" t="inlineStr">
        <is>
          <t>84.29</t>
        </is>
      </c>
      <c r="S567" t="inlineStr">
        <is>
          <t>Köln</t>
        </is>
      </c>
    </row>
    <row r="568">
      <c r="A568" s="2" t="n">
        <v>6.5</v>
      </c>
      <c r="B568" t="inlineStr">
        <is>
          <t>Neil Pryde Ryde HD</t>
        </is>
      </c>
      <c r="C568" s="3" t="n">
        <v>430</v>
      </c>
      <c r="D568" s="3" t="n">
        <v>190</v>
      </c>
      <c r="E568" t="inlineStr"/>
      <c r="F568" t="inlineStr"/>
      <c r="G568" t="inlineStr">
        <is>
          <t>used</t>
        </is>
      </c>
      <c r="H568" s="4" t="inlineStr">
        <is>
          <t>EUR 350</t>
        </is>
      </c>
      <c r="I568" t="inlineStr">
        <is>
          <t>VB</t>
        </is>
      </c>
      <c r="J568" t="inlineStr">
        <is>
          <t>47447 Moers</t>
        </is>
      </c>
      <c r="K568" s="5" t="n">
        <v>45556</v>
      </c>
      <c r="L568" t="inlineStr">
        <is>
          <t>Sold</t>
        </is>
      </c>
      <c r="M568" s="6">
        <f>HYPERLINK("https://www.dailydose.de/kleinanzeigen/detail.htm?ai=422949&amp;cf=kk&amp;pg=3&amp;ci=5", "Link")</f>
        <v/>
      </c>
      <c r="N568" s="6">
        <f>HYPERLINK("C:\Projects\Kleinanzeigen-Scraper\offer_images\422949", "Link")</f>
        <v/>
      </c>
      <c r="O568" t="inlineStr">
        <is>
          <t>Ralf_29</t>
        </is>
      </c>
      <c r="P568" s="6">
        <f>HYPERLINK("https://www.dailydose.de/kleinanzeigen/user/18391", "Link")</f>
        <v/>
      </c>
      <c r="Q568" s="7" t="n">
        <v>45556.94484953704</v>
      </c>
      <c r="R568" s="3" t="inlineStr">
        <is>
          <t>58.22</t>
        </is>
      </c>
      <c r="S568" t="inlineStr">
        <is>
          <t>Köln</t>
        </is>
      </c>
    </row>
    <row r="569">
      <c r="A569" s="2" t="n">
        <v>6.5</v>
      </c>
      <c r="B569" t="inlineStr">
        <is>
          <t>Sailloft Cross</t>
        </is>
      </c>
      <c r="C569" s="3" t="n">
        <v>430</v>
      </c>
      <c r="D569" s="3" t="n">
        <v>199</v>
      </c>
      <c r="E569" t="inlineStr"/>
      <c r="F569" t="inlineStr"/>
      <c r="G569" t="inlineStr">
        <is>
          <t>used</t>
        </is>
      </c>
      <c r="H569" s="4" t="n">
        <v>99</v>
      </c>
      <c r="I569" t="inlineStr"/>
      <c r="J569" t="inlineStr">
        <is>
          <t>92637 Bayern - Weiden (Oberpfalz)</t>
        </is>
      </c>
      <c r="K569" s="5" t="n">
        <v>45519</v>
      </c>
      <c r="L569" t="inlineStr"/>
      <c r="M569" s="6">
        <f>HYPERLINK("https://www.kleinanzeigen.de/s-anzeige/surfsegel-sailloft-cross-6-5-qm/2837667260-230-7219", "Link")</f>
        <v/>
      </c>
      <c r="N569" s="6">
        <f>HYPERLINK("C:\Projects\Kleinanzeigen-Scraper\offer_images\2837667260", "Link")</f>
        <v/>
      </c>
      <c r="O569" t="inlineStr">
        <is>
          <t>Christian Wolf</t>
        </is>
      </c>
      <c r="P569" s="6">
        <f>HYPERLINK("https://www.kleinanzeigen.de/s-bestandsliste.html?userId=2309762", "Link")</f>
        <v/>
      </c>
      <c r="Q569" s="7" t="n">
        <v>45556.94340277778</v>
      </c>
      <c r="R569" s="3" t="inlineStr">
        <is>
          <t>176.14</t>
        </is>
      </c>
      <c r="S569" t="inlineStr">
        <is>
          <t>München</t>
        </is>
      </c>
    </row>
    <row r="570">
      <c r="A570" s="2" t="n">
        <v>4</v>
      </c>
      <c r="B570" t="inlineStr">
        <is>
          <t>ART Attack Wave/Slalom</t>
        </is>
      </c>
      <c r="C570" s="3" t="n">
        <v>405</v>
      </c>
      <c r="D570" s="3" t="n">
        <v>155</v>
      </c>
      <c r="E570" t="inlineStr">
        <is>
          <t>Slalom</t>
        </is>
      </c>
      <c r="F570" t="inlineStr"/>
      <c r="G570" t="inlineStr">
        <is>
          <t>used</t>
        </is>
      </c>
      <c r="H570" s="4" t="n">
        <v>70</v>
      </c>
      <c r="I570" t="inlineStr">
        <is>
          <t>VB</t>
        </is>
      </c>
      <c r="J570" t="inlineStr">
        <is>
          <t>74321 Baden-Württemberg - Bietigheim-Bissingen</t>
        </is>
      </c>
      <c r="K570" s="5" t="n">
        <v>45556</v>
      </c>
      <c r="L570" t="inlineStr">
        <is>
          <t>Sold</t>
        </is>
      </c>
      <c r="M570" s="6">
        <f>HYPERLINK("https://www.kleinanzeigen.de/s-anzeige/windsurf-segel-4-0-qm/2869367625-230-8681", "Link")</f>
        <v/>
      </c>
      <c r="N570" s="6">
        <f>HYPERLINK("C:\Projects\Kleinanzeigen-Scraper\offer_images\2869367625", "Link")</f>
        <v/>
      </c>
      <c r="O570" t="inlineStr">
        <is>
          <t>Andreas Jung</t>
        </is>
      </c>
      <c r="P570" s="6">
        <f>HYPERLINK("https://www.kleinanzeigen.de/s-bestandsliste.html?userId=12454431", "Link")</f>
        <v/>
      </c>
      <c r="Q570" s="7" t="n">
        <v>45556.94335648148</v>
      </c>
      <c r="R570" s="3" t="inlineStr">
        <is>
          <t>32.66</t>
        </is>
      </c>
      <c r="S570" t="inlineStr">
        <is>
          <t>Böblingen</t>
        </is>
      </c>
    </row>
    <row r="571">
      <c r="A571" s="2" t="n">
        <v>5.7</v>
      </c>
      <c r="B571" t="inlineStr">
        <is>
          <t>Gun Sails</t>
        </is>
      </c>
      <c r="C571" s="3" t="n">
        <v>4.55</v>
      </c>
      <c r="D571" s="3" t="n">
        <v>1.82</v>
      </c>
      <c r="E571" t="inlineStr"/>
      <c r="F571" t="inlineStr"/>
      <c r="G571" t="inlineStr">
        <is>
          <t>used</t>
        </is>
      </c>
      <c r="H571" s="4" t="n">
        <v>40</v>
      </c>
      <c r="I571" t="inlineStr">
        <is>
          <t>VB</t>
        </is>
      </c>
      <c r="J571" t="inlineStr">
        <is>
          <t>37136 Niedersachsen - Ebergötzen</t>
        </is>
      </c>
      <c r="K571" s="5" t="n">
        <v>45556</v>
      </c>
      <c r="L571" t="inlineStr"/>
      <c r="M571" s="6">
        <f>HYPERLINK("https://www.kleinanzeigen.de/s-anzeige/windsurfsegel-gun-sails/2869671003-230-21280", "Link")</f>
        <v/>
      </c>
      <c r="N571" s="6">
        <f>HYPERLINK("C:\Projects\Kleinanzeigen-Scraper\offer_images\2869671003", "Link")</f>
        <v/>
      </c>
      <c r="O571" t="inlineStr">
        <is>
          <t>Schulze</t>
        </is>
      </c>
      <c r="P571" s="6">
        <f>HYPERLINK("https://www.kleinanzeigen.de/s-bestandsliste.html?userId=107033820", "Link")</f>
        <v/>
      </c>
      <c r="Q571" s="7" t="n">
        <v>45556.94322916667</v>
      </c>
      <c r="R571" s="3" t="inlineStr">
        <is>
          <t>233.19</t>
        </is>
      </c>
      <c r="S571" t="inlineStr">
        <is>
          <t>Köln</t>
        </is>
      </c>
    </row>
    <row r="572">
      <c r="A572" s="2" t="n">
        <v>4.2</v>
      </c>
      <c r="B572" t="inlineStr">
        <is>
          <t>North Sails Instinct</t>
        </is>
      </c>
      <c r="C572" s="3" t="inlineStr"/>
      <c r="D572" s="3" t="inlineStr"/>
      <c r="E572" t="inlineStr"/>
      <c r="F572" t="inlineStr"/>
      <c r="G572" t="inlineStr">
        <is>
          <t>used</t>
        </is>
      </c>
      <c r="H572" s="4" t="n">
        <v>55</v>
      </c>
      <c r="I572" t="inlineStr">
        <is>
          <t>VB</t>
        </is>
      </c>
      <c r="J572" t="inlineStr">
        <is>
          <t>25355 Kreis Pinneberg - Barmstedt</t>
        </is>
      </c>
      <c r="K572" s="5" t="n">
        <v>45555</v>
      </c>
      <c r="L572" t="inlineStr"/>
      <c r="M572" s="6">
        <f>HYPERLINK("https://www.kleinanzeigen.de/s-anzeige/north-sails-instinct-4-2qm-segel-windsurf-northsails-no-neilpryde/2869181668-230-16677", "Link")</f>
        <v/>
      </c>
      <c r="N572" s="6">
        <f>HYPERLINK("C:\Projects\Kleinanzeigen-Scraper\offer_images\2869181668", "Link")</f>
        <v/>
      </c>
      <c r="O572" t="inlineStr">
        <is>
          <t>Hansi</t>
        </is>
      </c>
      <c r="P572" s="6">
        <f>HYPERLINK("https://www.kleinanzeigen.de/s-bestandsliste.html?userId=73580626", "Link")</f>
        <v/>
      </c>
      <c r="Q572" s="7" t="n">
        <v>45556.94261574074</v>
      </c>
      <c r="R572" s="3" t="inlineStr">
        <is>
          <t>371.91</t>
        </is>
      </c>
      <c r="S572" t="inlineStr">
        <is>
          <t>Köln</t>
        </is>
      </c>
    </row>
    <row r="573">
      <c r="A573" s="2" t="n">
        <v>6.3</v>
      </c>
      <c r="B573" t="inlineStr">
        <is>
          <t>Point 7 AC1</t>
        </is>
      </c>
      <c r="C573" s="3" t="inlineStr"/>
      <c r="D573" s="3" t="inlineStr"/>
      <c r="E573" t="inlineStr"/>
      <c r="F573" t="inlineStr"/>
      <c r="G573" t="inlineStr">
        <is>
          <t>used</t>
        </is>
      </c>
      <c r="H573" s="4" t="n">
        <v>75</v>
      </c>
      <c r="I573" t="inlineStr"/>
      <c r="J573" t="inlineStr">
        <is>
          <t>14770 Brandenburg - Brandenburg an der Havel</t>
        </is>
      </c>
      <c r="K573" s="5" t="n">
        <v>45556</v>
      </c>
      <c r="L573" t="inlineStr">
        <is>
          <t>Sold</t>
        </is>
      </c>
      <c r="M573" s="6">
        <f>HYPERLINK("https://www.kleinanzeigen.de/s-anzeige/windsurfsegel-point-7-ac-1-6-3/2869862318-230-7739", "Link")</f>
        <v/>
      </c>
      <c r="N573" s="6">
        <f>HYPERLINK("C:\Projects\Kleinanzeigen-Scraper\offer_images\2869862318", "Link")</f>
        <v/>
      </c>
      <c r="O573" t="inlineStr">
        <is>
          <t>Sven</t>
        </is>
      </c>
      <c r="P573" s="6">
        <f>HYPERLINK("https://www.kleinanzeigen.de/s-bestandsliste.html?userId=35875128", "Link")</f>
        <v/>
      </c>
      <c r="Q573" s="7" t="n">
        <v>45556.94237268518</v>
      </c>
      <c r="R573" s="3" t="inlineStr">
        <is>
          <t>416.86</t>
        </is>
      </c>
      <c r="S573" t="inlineStr">
        <is>
          <t>Köln</t>
        </is>
      </c>
    </row>
    <row r="574">
      <c r="A574" s="2" t="n">
        <v>4</v>
      </c>
      <c r="B574" t="inlineStr">
        <is>
          <t>Severne Freek</t>
        </is>
      </c>
      <c r="C574" s="3" t="inlineStr"/>
      <c r="D574" s="3" t="inlineStr"/>
      <c r="E574" t="inlineStr"/>
      <c r="F574" t="inlineStr">
        <is>
          <t>2023</t>
        </is>
      </c>
      <c r="G574" t="inlineStr">
        <is>
          <t>used</t>
        </is>
      </c>
      <c r="H574" s="4" t="n">
        <v>387</v>
      </c>
      <c r="I574" t="inlineStr"/>
      <c r="J574" t="inlineStr">
        <is>
          <t>86152 Bayern - Augsburg</t>
        </is>
      </c>
      <c r="K574" s="5" t="n">
        <v>45556</v>
      </c>
      <c r="L574" t="inlineStr"/>
      <c r="M574" s="6">
        <f>HYPERLINK("https://www.kleinanzeigen.de/s-anzeige/windsurf-segel-severne-freek-2023-4-0-m-gebraucht-/2869503868-230-7526", "Link")</f>
        <v/>
      </c>
      <c r="N574" s="6">
        <f>HYPERLINK("C:\Projects\Kleinanzeigen-Scraper\offer_images\2869503868", "Link")</f>
        <v/>
      </c>
      <c r="O574" t="inlineStr">
        <is>
          <t>Florian Leupold</t>
        </is>
      </c>
      <c r="P574" s="6">
        <f>HYPERLINK("https://www.kleinanzeigen.de/s-bestandsliste.html?userId=125849424", "Link")</f>
        <v/>
      </c>
      <c r="Q574" s="7" t="n">
        <v>45556.94215277778</v>
      </c>
      <c r="R574" s="3" t="inlineStr">
        <is>
          <t>56.62</t>
        </is>
      </c>
      <c r="S574" t="inlineStr">
        <is>
          <t>München</t>
        </is>
      </c>
    </row>
    <row r="575">
      <c r="A575" s="2" t="n">
        <v>6.3</v>
      </c>
      <c r="B575" t="inlineStr">
        <is>
          <t>Sailloft Bionic</t>
        </is>
      </c>
      <c r="C575" s="3" t="n">
        <v>460</v>
      </c>
      <c r="D575" s="3" t="n">
        <v>190</v>
      </c>
      <c r="E575" t="inlineStr">
        <is>
          <t>Wave</t>
        </is>
      </c>
      <c r="F575" t="inlineStr"/>
      <c r="G575" t="inlineStr">
        <is>
          <t>new</t>
        </is>
      </c>
      <c r="H575" s="4" t="n">
        <v>330</v>
      </c>
      <c r="I575" t="inlineStr"/>
      <c r="J575" t="inlineStr">
        <is>
          <t>85630 Kr. München - Grasbrunn</t>
        </is>
      </c>
      <c r="K575" s="5" t="n">
        <v>45509</v>
      </c>
      <c r="L575" t="inlineStr"/>
      <c r="M575" s="6">
        <f>HYPERLINK("https://www.kleinanzeigen.de/s-anzeige/sailloft-power-wave-segel-bionic-6-3-qm/2829524806-230-6184", "Link")</f>
        <v/>
      </c>
      <c r="N575" s="6">
        <f>HYPERLINK("C:\Projects\Kleinanzeigen-Scraper\offer_images\2829524806", "Link")</f>
        <v/>
      </c>
      <c r="O575" t="inlineStr">
        <is>
          <t>Wir</t>
        </is>
      </c>
      <c r="P575" s="6">
        <f>HYPERLINK("https://www.kleinanzeigen.de/s-bestandsliste.html?userId=8574103", "Link")</f>
        <v/>
      </c>
      <c r="Q575" s="7" t="n">
        <v>45556.94206018518</v>
      </c>
      <c r="R575" s="3" t="inlineStr">
        <is>
          <t>14.39</t>
        </is>
      </c>
      <c r="S575" t="inlineStr">
        <is>
          <t>München</t>
        </is>
      </c>
    </row>
    <row r="576">
      <c r="A576" s="2" t="n">
        <v>4.8</v>
      </c>
      <c r="B576" t="inlineStr">
        <is>
          <t>Sailloft Quad</t>
        </is>
      </c>
      <c r="C576" s="3" t="inlineStr"/>
      <c r="D576" s="3" t="inlineStr"/>
      <c r="E576" t="inlineStr"/>
      <c r="F576" t="inlineStr"/>
      <c r="G576" t="inlineStr">
        <is>
          <t>used</t>
        </is>
      </c>
      <c r="H576" s="4" t="n">
        <v>140</v>
      </c>
      <c r="I576" t="inlineStr"/>
      <c r="J576" t="inlineStr">
        <is>
          <t>24105 Schleswig-Holstein - Kiel</t>
        </is>
      </c>
      <c r="K576" s="5" t="n">
        <v>45527</v>
      </c>
      <c r="L576" t="inlineStr">
        <is>
          <t>Sold</t>
        </is>
      </c>
      <c r="M576" s="6">
        <f>HYPERLINK("https://www.kleinanzeigen.de/s-anzeige/windsurfsegel-surfsegel-sailloft-quad-4-8/2844002066-230-708", "Link")</f>
        <v/>
      </c>
      <c r="N576" s="6">
        <f>HYPERLINK("C:\Projects\Kleinanzeigen-Scraper\offer_images\2844002066", "Link")</f>
        <v/>
      </c>
      <c r="O576" t="inlineStr">
        <is>
          <t>Hanno Christiansen</t>
        </is>
      </c>
      <c r="P576" s="6">
        <f>HYPERLINK("https://www.kleinanzeigen.de/s-bestandsliste.html?userId=30205852", "Link")</f>
        <v/>
      </c>
      <c r="Q576" s="7" t="n">
        <v>45556.94179398148</v>
      </c>
      <c r="R576" s="3" t="inlineStr">
        <is>
          <t>435.05</t>
        </is>
      </c>
      <c r="S576" t="inlineStr">
        <is>
          <t>Köln</t>
        </is>
      </c>
    </row>
    <row r="577">
      <c r="A577" s="2" t="n">
        <v>7.8</v>
      </c>
      <c r="B577" t="inlineStr">
        <is>
          <t>North S-Type SL</t>
        </is>
      </c>
      <c r="C577" s="3" t="inlineStr"/>
      <c r="D577" s="3" t="inlineStr"/>
      <c r="E577" t="inlineStr"/>
      <c r="F577" t="inlineStr">
        <is>
          <t>2015</t>
        </is>
      </c>
      <c r="G577" t="inlineStr">
        <is>
          <t>used</t>
        </is>
      </c>
      <c r="H577" s="4" t="n">
        <v>320</v>
      </c>
      <c r="I577" t="inlineStr"/>
      <c r="J577" t="inlineStr">
        <is>
          <t>86152 Bayern - Augsburg</t>
        </is>
      </c>
      <c r="K577" s="5" t="n">
        <v>45555</v>
      </c>
      <c r="L577" t="inlineStr"/>
      <c r="M577" s="6">
        <f>HYPERLINK("https://www.kleinanzeigen.de/s-anzeige/segel-north-s-type-sl-2015-7-8-m-gebraucht-/2869067514-230-7526", "Link")</f>
        <v/>
      </c>
      <c r="N577" s="6">
        <f>HYPERLINK("C:\Projects\Kleinanzeigen-Scraper\offer_images\2869067514", "Link")</f>
        <v/>
      </c>
      <c r="O577" t="inlineStr">
        <is>
          <t>Florian Leupold</t>
        </is>
      </c>
      <c r="P577" s="6">
        <f>HYPERLINK("https://www.kleinanzeigen.de/s-bestandsliste.html?userId=125849424", "Link")</f>
        <v/>
      </c>
      <c r="Q577" s="7" t="n">
        <v>45556.9415625</v>
      </c>
      <c r="R577" s="3" t="inlineStr">
        <is>
          <t>56.62</t>
        </is>
      </c>
      <c r="S577" t="inlineStr">
        <is>
          <t>München</t>
        </is>
      </c>
    </row>
    <row r="578">
      <c r="A578" s="2" t="n">
        <v>4.8</v>
      </c>
      <c r="B578" t="inlineStr">
        <is>
          <t>NEILPRYDE THEFLY</t>
        </is>
      </c>
      <c r="C578" s="3" t="inlineStr"/>
      <c r="D578" s="3" t="inlineStr"/>
      <c r="E578" t="inlineStr"/>
      <c r="F578" t="inlineStr"/>
      <c r="G578" t="inlineStr">
        <is>
          <t>used</t>
        </is>
      </c>
      <c r="H578" s="4" t="n">
        <v>155</v>
      </c>
      <c r="I578" t="inlineStr"/>
      <c r="J578" t="inlineStr">
        <is>
          <t>80807 München - Schwabing-Freimann</t>
        </is>
      </c>
      <c r="K578" s="5" t="n">
        <v>45555</v>
      </c>
      <c r="L578" t="inlineStr"/>
      <c r="M578" s="6">
        <f>HYPERLINK("https://www.kleinanzeigen.de/s-anzeige/neilpryde-windsurf-segel-thefly-4-8/2869073236-230-16377", "Link")</f>
        <v/>
      </c>
      <c r="N578" s="6">
        <f>HYPERLINK("C:\Projects\Kleinanzeigen-Scraper\offer_images\2869073236", "Link")</f>
        <v/>
      </c>
      <c r="O578" t="inlineStr">
        <is>
          <t>Gerdi</t>
        </is>
      </c>
      <c r="P578" s="6">
        <f>HYPERLINK("https://www.kleinanzeigen.de/s-bestandsliste.html?userId=43660283", "Link")</f>
        <v/>
      </c>
      <c r="Q578" s="7" t="n">
        <v>45556.94142361111</v>
      </c>
      <c r="R578" s="3" t="inlineStr">
        <is>
          <t>5.67</t>
        </is>
      </c>
      <c r="S578" t="inlineStr">
        <is>
          <t>München</t>
        </is>
      </c>
    </row>
    <row r="579">
      <c r="A579" s="2" t="n">
        <v>6.8</v>
      </c>
      <c r="B579" t="inlineStr">
        <is>
          <t>Duotone Warp</t>
        </is>
      </c>
      <c r="C579" s="3" t="n">
        <v>4.83</v>
      </c>
      <c r="D579" s="3" t="inlineStr"/>
      <c r="E579" t="inlineStr"/>
      <c r="F579" t="inlineStr">
        <is>
          <t>2023</t>
        </is>
      </c>
      <c r="G579" t="inlineStr">
        <is>
          <t>repaired</t>
        </is>
      </c>
      <c r="H579" s="4" t="n">
        <v>180</v>
      </c>
      <c r="I579" t="inlineStr"/>
      <c r="J579" t="inlineStr">
        <is>
          <t>21493 Herzogtum Lauenburg - Schwarzenbek</t>
        </is>
      </c>
      <c r="K579" s="5" t="n">
        <v>45556</v>
      </c>
      <c r="L579" t="inlineStr">
        <is>
          <t>Sold</t>
        </is>
      </c>
      <c r="M579" s="6">
        <f>HYPERLINK("https://www.kleinanzeigen.de/s-anzeige/duotone-warp-6-8-slalom-segel-windsurfen-kein-mach-ac1-evo/2869521120-242-746", "Link")</f>
        <v/>
      </c>
      <c r="N579" s="6">
        <f>HYPERLINK("C:\Projects\Kleinanzeigen-Scraper\offer_images\2869521120", "Link")</f>
        <v/>
      </c>
      <c r="O579" t="inlineStr">
        <is>
          <t>Sebastian</t>
        </is>
      </c>
      <c r="P579" s="6">
        <f>HYPERLINK("https://www.kleinanzeigen.de/s-bestandsliste.html?userId=141573193", "Link")</f>
        <v/>
      </c>
      <c r="Q579" s="7" t="n">
        <v>45556.94141203703</v>
      </c>
      <c r="R579" s="3" t="inlineStr">
        <is>
          <t>378.85</t>
        </is>
      </c>
      <c r="S579" t="inlineStr">
        <is>
          <t>Köln</t>
        </is>
      </c>
    </row>
    <row r="580">
      <c r="A580" s="2" t="n">
        <v>8.199999999999999</v>
      </c>
      <c r="B580" t="inlineStr">
        <is>
          <t>Neil Pryde H2</t>
        </is>
      </c>
      <c r="C580" s="3" t="inlineStr"/>
      <c r="D580" s="3" t="inlineStr"/>
      <c r="E580" t="inlineStr"/>
      <c r="F580" t="inlineStr"/>
      <c r="G580" t="inlineStr">
        <is>
          <t>new</t>
        </is>
      </c>
      <c r="H580" s="4" t="n">
        <v>222</v>
      </c>
      <c r="I580" t="inlineStr">
        <is>
          <t>VB</t>
        </is>
      </c>
      <c r="J580" t="inlineStr">
        <is>
          <t>82515 Bayern - Wolfratshausen</t>
        </is>
      </c>
      <c r="K580" s="5" t="n">
        <v>45556</v>
      </c>
      <c r="L580" t="inlineStr"/>
      <c r="M580" s="6">
        <f>HYPERLINK("https://www.kleinanzeigen.de/s-anzeige/neil-pryde-h2-neilpryde-8-2qm/2869727996-230-5540", "Link")</f>
        <v/>
      </c>
      <c r="N580" s="6">
        <f>HYPERLINK("C:\Projects\Kleinanzeigen-Scraper\offer_images\2869727996", "Link")</f>
        <v/>
      </c>
      <c r="O580" t="inlineStr">
        <is>
          <t>Gerhard Radlmayr</t>
        </is>
      </c>
      <c r="P580" s="6">
        <f>HYPERLINK("https://www.kleinanzeigen.de/s-bestandsliste.html?userId=12219456", "Link")</f>
        <v/>
      </c>
      <c r="Q580" s="7" t="n">
        <v>45556.9411574074</v>
      </c>
      <c r="R580" s="3" t="inlineStr">
        <is>
          <t>27.06</t>
        </is>
      </c>
      <c r="S580" t="inlineStr">
        <is>
          <t>München</t>
        </is>
      </c>
    </row>
    <row r="581">
      <c r="A581" s="2" t="n">
        <v>5.1</v>
      </c>
      <c r="B581" t="inlineStr">
        <is>
          <t>Fanatic Hot Cam</t>
        </is>
      </c>
      <c r="C581" s="3" t="inlineStr"/>
      <c r="D581" s="3" t="inlineStr"/>
      <c r="E581" t="inlineStr"/>
      <c r="F581" t="inlineStr"/>
      <c r="G581" t="inlineStr">
        <is>
          <t>used</t>
        </is>
      </c>
      <c r="H581" s="4" t="n">
        <v>40</v>
      </c>
      <c r="I581" t="inlineStr"/>
      <c r="J581" t="inlineStr">
        <is>
          <t>72800 Baden-Württemberg - Eningen</t>
        </is>
      </c>
      <c r="K581" s="5" t="n">
        <v>45550</v>
      </c>
      <c r="L581" t="inlineStr">
        <is>
          <t>Sold</t>
        </is>
      </c>
      <c r="M581" s="6">
        <f>HYPERLINK("https://www.kleinanzeigen.de/s-anzeige/fanatic-hot-cam-windsurf-segel-5-1/2864883138-230-9352", "Link")</f>
        <v/>
      </c>
      <c r="N581" s="6">
        <f>HYPERLINK("C:\Projects\Kleinanzeigen-Scraper\offer_images\2864883138", "Link")</f>
        <v/>
      </c>
      <c r="O581" t="inlineStr">
        <is>
          <t>Dani</t>
        </is>
      </c>
      <c r="P581" s="6">
        <f>HYPERLINK("https://www.kleinanzeigen.de/s-bestandsliste.html?userId=26319259", "Link")</f>
        <v/>
      </c>
      <c r="Q581" s="7" t="n">
        <v>45556.94105324074</v>
      </c>
      <c r="R581" s="3" t="inlineStr">
        <is>
          <t>31.30</t>
        </is>
      </c>
      <c r="S581" t="inlineStr">
        <is>
          <t>Böblingen</t>
        </is>
      </c>
    </row>
    <row r="582">
      <c r="A582" s="2" t="n">
        <v>9</v>
      </c>
      <c r="B582" t="inlineStr">
        <is>
          <t>Sailloft Cross Pro</t>
        </is>
      </c>
      <c r="C582" s="3" t="inlineStr"/>
      <c r="D582" s="3" t="inlineStr"/>
      <c r="E582" t="inlineStr"/>
      <c r="F582" t="inlineStr"/>
      <c r="G582" t="inlineStr">
        <is>
          <t>used</t>
        </is>
      </c>
      <c r="H582" s="4" t="n">
        <v>145</v>
      </c>
      <c r="I582" t="inlineStr">
        <is>
          <t>VB</t>
        </is>
      </c>
      <c r="J582" t="inlineStr">
        <is>
          <t>18356 Mecklenburg-Vorpommern - Fuhlendorf (Vorpommern)</t>
        </is>
      </c>
      <c r="K582" s="5" t="n">
        <v>45523</v>
      </c>
      <c r="L582" t="inlineStr">
        <is>
          <t>Sold</t>
        </is>
      </c>
      <c r="M582" s="6">
        <f>HYPERLINK("https://www.kleinanzeigen.de/s-anzeige/sailloft-cross-pro-9-0/2841151871-230-25276", "Link")</f>
        <v/>
      </c>
      <c r="N582" s="6">
        <f>HYPERLINK("C:\Projects\Kleinanzeigen-Scraper\offer_images\2841151871", "Link")</f>
        <v/>
      </c>
      <c r="O582" t="inlineStr">
        <is>
          <t>Stephan Hergert</t>
        </is>
      </c>
      <c r="P582" s="6">
        <f>HYPERLINK("https://www.kleinanzeigen.de/s-bestandsliste.html?userId=17876078", "Link")</f>
        <v/>
      </c>
      <c r="Q582" s="7" t="n">
        <v>45556.94081018519</v>
      </c>
      <c r="R582" s="3" t="inlineStr">
        <is>
          <t>539.13</t>
        </is>
      </c>
      <c r="S582" t="inlineStr">
        <is>
          <t>Köln</t>
        </is>
      </c>
    </row>
    <row r="583">
      <c r="A583" s="2" t="n">
        <v>4.8</v>
      </c>
      <c r="B583" t="inlineStr">
        <is>
          <t>Sailloft Air</t>
        </is>
      </c>
      <c r="C583" s="3" t="inlineStr"/>
      <c r="D583" s="3" t="inlineStr"/>
      <c r="E583" t="inlineStr"/>
      <c r="F583" t="inlineStr">
        <is>
          <t>2019</t>
        </is>
      </c>
      <c r="G583" t="inlineStr">
        <is>
          <t>used</t>
        </is>
      </c>
      <c r="H583" s="4" t="n">
        <v>190</v>
      </c>
      <c r="I583" t="inlineStr"/>
      <c r="J583" t="inlineStr">
        <is>
          <t>22769 Hamburg - Altona</t>
        </is>
      </c>
      <c r="K583" s="5" t="n">
        <v>45556</v>
      </c>
      <c r="L583" t="inlineStr">
        <is>
          <t>Sold</t>
        </is>
      </c>
      <c r="M583" s="6">
        <f>HYPERLINK("https://www.kleinanzeigen.de/s-anzeige/windsurfsegel-sailloft-air-4-8/2869534006-230-9434", "Link")</f>
        <v/>
      </c>
      <c r="N583" s="6">
        <f>HYPERLINK("C:\Projects\Kleinanzeigen-Scraper\offer_images\2869534006", "Link")</f>
        <v/>
      </c>
      <c r="O583" t="inlineStr">
        <is>
          <t>Felix A</t>
        </is>
      </c>
      <c r="P583" s="6">
        <f>HYPERLINK("https://www.kleinanzeigen.de/s-bestandsliste.html?userId=35044893", "Link")</f>
        <v/>
      </c>
      <c r="Q583" s="7" t="n">
        <v>45556.94072916666</v>
      </c>
      <c r="R583" s="3" t="inlineStr">
        <is>
          <t>356.14</t>
        </is>
      </c>
      <c r="S583" t="inlineStr">
        <is>
          <t>Köln</t>
        </is>
      </c>
    </row>
    <row r="584">
      <c r="A584" s="2" t="n">
        <v>8</v>
      </c>
      <c r="B584" t="inlineStr">
        <is>
          <t>North Sails Warp</t>
        </is>
      </c>
      <c r="C584" s="3" t="n">
        <v>513</v>
      </c>
      <c r="D584" s="3" t="n">
        <v>223</v>
      </c>
      <c r="E584" t="inlineStr"/>
      <c r="F584" t="inlineStr"/>
      <c r="G584" t="inlineStr">
        <is>
          <t>used</t>
        </is>
      </c>
      <c r="H584" s="4" t="n">
        <v>50</v>
      </c>
      <c r="I584" t="inlineStr"/>
      <c r="J584" t="inlineStr">
        <is>
          <t>26129 Niedersachsen - Oldenburg</t>
        </is>
      </c>
      <c r="K584" s="5" t="n">
        <v>45556</v>
      </c>
      <c r="L584" t="inlineStr"/>
      <c r="M584" s="6">
        <f>HYPERLINK("https://www.kleinanzeigen.de/s-anzeige/north-sails-warp-8-0qm-windsurfsegel-surfsegel/2870098632-230-3113", "Link")</f>
        <v/>
      </c>
      <c r="N584" s="6">
        <f>HYPERLINK("C:\Projects\Kleinanzeigen-Scraper\offer_images\2870098632", "Link")</f>
        <v/>
      </c>
      <c r="O584" t="inlineStr">
        <is>
          <t>Stefan</t>
        </is>
      </c>
      <c r="P584" s="6">
        <f>HYPERLINK("https://www.kleinanzeigen.de/s-bestandsliste.html?userId=4116163", "Link")</f>
        <v/>
      </c>
      <c r="Q584" s="7" t="n">
        <v>45556.94070601852</v>
      </c>
      <c r="R584" s="3" t="inlineStr">
        <is>
          <t>259.47</t>
        </is>
      </c>
      <c r="S584" t="inlineStr">
        <is>
          <t>Köln</t>
        </is>
      </c>
    </row>
    <row r="585">
      <c r="A585" s="2" t="n">
        <v>4.4</v>
      </c>
      <c r="B585" t="inlineStr">
        <is>
          <t>Severne Freek</t>
        </is>
      </c>
      <c r="C585" s="3" t="inlineStr"/>
      <c r="D585" s="3" t="inlineStr"/>
      <c r="E585" t="inlineStr"/>
      <c r="F585" t="inlineStr">
        <is>
          <t>2023</t>
        </is>
      </c>
      <c r="G585" t="inlineStr">
        <is>
          <t>used</t>
        </is>
      </c>
      <c r="H585" s="4" t="n">
        <v>399</v>
      </c>
      <c r="I585" t="inlineStr"/>
      <c r="J585" t="inlineStr">
        <is>
          <t>86152 Bayern - Augsburg</t>
        </is>
      </c>
      <c r="K585" s="5" t="n">
        <v>45555</v>
      </c>
      <c r="L585" t="inlineStr"/>
      <c r="M585" s="6">
        <f>HYPERLINK("https://www.kleinanzeigen.de/s-anzeige/windsurf-segel-severne-freek-2023-4-4-m-gebraucht-/2869083234-230-7526", "Link")</f>
        <v/>
      </c>
      <c r="N585" s="6">
        <f>HYPERLINK("C:\Projects\Kleinanzeigen-Scraper\offer_images\2869083234", "Link")</f>
        <v/>
      </c>
      <c r="O585" t="inlineStr">
        <is>
          <t>Florian Leupold</t>
        </is>
      </c>
      <c r="P585" s="6">
        <f>HYPERLINK("https://www.kleinanzeigen.de/s-bestandsliste.html?userId=125849424", "Link")</f>
        <v/>
      </c>
      <c r="Q585" s="7" t="n">
        <v>45556.94048611111</v>
      </c>
      <c r="R585" s="3" t="inlineStr">
        <is>
          <t>56.62</t>
        </is>
      </c>
      <c r="S585" t="inlineStr">
        <is>
          <t>München</t>
        </is>
      </c>
    </row>
    <row r="586">
      <c r="A586" s="2" t="n">
        <v>3.9</v>
      </c>
      <c r="B586" t="inlineStr">
        <is>
          <t>Goya Banzai</t>
        </is>
      </c>
      <c r="C586" s="3" t="inlineStr"/>
      <c r="D586" s="3" t="inlineStr"/>
      <c r="E586" t="inlineStr">
        <is>
          <t>Quad Wave</t>
        </is>
      </c>
      <c r="F586" t="inlineStr"/>
      <c r="G586" t="inlineStr">
        <is>
          <t>used</t>
        </is>
      </c>
      <c r="H586" s="4" t="n">
        <v>145</v>
      </c>
      <c r="I586" t="inlineStr">
        <is>
          <t>VB</t>
        </is>
      </c>
      <c r="J586" t="inlineStr">
        <is>
          <t>88048 Baden-Württemberg - Friedrichshafen</t>
        </is>
      </c>
      <c r="K586" s="5" t="n">
        <v>45556</v>
      </c>
      <c r="L586" t="inlineStr"/>
      <c r="M586" s="6">
        <f>HYPERLINK("https://www.kleinanzeigen.de/s-anzeige/windsurfsegel-goya-banzai-3-9-quad-wave/2869567581-230-9212", "Link")</f>
        <v/>
      </c>
      <c r="N586" s="6">
        <f>HYPERLINK("C:\Projects\Kleinanzeigen-Scraper\offer_images\2869567581", "Link")</f>
        <v/>
      </c>
      <c r="O586" t="inlineStr">
        <is>
          <t>Lotti Maier</t>
        </is>
      </c>
      <c r="P586" s="6">
        <f>HYPERLINK("https://www.kleinanzeigen.de/s-bestandsliste.html?userId=16045975", "Link")</f>
        <v/>
      </c>
      <c r="Q586" s="7" t="n">
        <v>45556.93973379629</v>
      </c>
      <c r="R586" s="3" t="inlineStr">
        <is>
          <t>87.69</t>
        </is>
      </c>
      <c r="S586" t="inlineStr">
        <is>
          <t>Bonndorf</t>
        </is>
      </c>
    </row>
    <row r="587">
      <c r="A587" s="2" t="n">
        <v>4.4</v>
      </c>
      <c r="B587" t="inlineStr">
        <is>
          <t>Severne Freek</t>
        </is>
      </c>
      <c r="C587" s="3" t="inlineStr"/>
      <c r="D587" s="3" t="inlineStr"/>
      <c r="E587" t="inlineStr"/>
      <c r="F587" t="inlineStr">
        <is>
          <t>2020</t>
        </is>
      </c>
      <c r="G587" t="inlineStr">
        <is>
          <t>used</t>
        </is>
      </c>
      <c r="H587" s="4" t="n">
        <v>249</v>
      </c>
      <c r="I587" t="inlineStr"/>
      <c r="J587" t="inlineStr">
        <is>
          <t>86152 Bayern - Augsburg</t>
        </is>
      </c>
      <c r="K587" s="5" t="n">
        <v>45556</v>
      </c>
      <c r="L587" t="inlineStr"/>
      <c r="M587" s="6">
        <f>HYPERLINK("https://www.kleinanzeigen.de/s-anzeige/windsurf-segel-severne-freek-2020-4-4-m-gebraucht-/2869496940-230-7526", "Link")</f>
        <v/>
      </c>
      <c r="N587" s="6">
        <f>HYPERLINK("C:\Projects\Kleinanzeigen-Scraper\offer_images\2869496940", "Link")</f>
        <v/>
      </c>
      <c r="O587" t="inlineStr">
        <is>
          <t>Florian Leupold</t>
        </is>
      </c>
      <c r="P587" s="6">
        <f>HYPERLINK("https://www.kleinanzeigen.de/s-bestandsliste.html?userId=125849424", "Link")</f>
        <v/>
      </c>
      <c r="Q587" s="7" t="n">
        <v>45556.9393287037</v>
      </c>
      <c r="R587" s="3" t="inlineStr">
        <is>
          <t>56.62</t>
        </is>
      </c>
      <c r="S587" t="inlineStr">
        <is>
          <t>München</t>
        </is>
      </c>
    </row>
    <row r="588">
      <c r="A588" s="2" t="n">
        <v>6.2</v>
      </c>
      <c r="B588" t="inlineStr">
        <is>
          <t>GUN Sail Rapid</t>
        </is>
      </c>
      <c r="C588" s="3" t="inlineStr"/>
      <c r="D588" s="3" t="inlineStr"/>
      <c r="E588" t="inlineStr"/>
      <c r="F588" t="inlineStr"/>
      <c r="G588" t="inlineStr">
        <is>
          <t>used</t>
        </is>
      </c>
      <c r="H588" s="4" t="n">
        <v>99</v>
      </c>
      <c r="I588" t="inlineStr"/>
      <c r="J588" t="inlineStr">
        <is>
          <t>45772 Nordrhein-Westfalen - Marl</t>
        </is>
      </c>
      <c r="K588" s="5" t="n">
        <v>45556</v>
      </c>
      <c r="L588" t="inlineStr">
        <is>
          <t>Sold</t>
        </is>
      </c>
      <c r="M588" s="6">
        <f>HYPERLINK("https://www.kleinanzeigen.de/s-anzeige/gun-sail-rapid-6-2-windsurfen-segel-gun/2869501354-230-1772", "Link")</f>
        <v/>
      </c>
      <c r="N588" s="6">
        <f>HYPERLINK("C:\Projects\Kleinanzeigen-Scraper\offer_images\2869501354", "Link")</f>
        <v/>
      </c>
      <c r="O588" t="inlineStr">
        <is>
          <t>RRD</t>
        </is>
      </c>
      <c r="P588" s="6">
        <f>HYPERLINK("https://www.kleinanzeigen.de/s-bestandsliste.html?userId=13661901", "Link")</f>
        <v/>
      </c>
      <c r="Q588" s="7" t="n">
        <v>45556.93903935186</v>
      </c>
      <c r="R588" s="3" t="inlineStr">
        <is>
          <t>84.29</t>
        </is>
      </c>
      <c r="S588" t="inlineStr">
        <is>
          <t>Köln</t>
        </is>
      </c>
    </row>
    <row r="589">
      <c r="A589" s="2" t="n">
        <v>6.6</v>
      </c>
      <c r="B589" t="inlineStr">
        <is>
          <t>Duotone E Pace</t>
        </is>
      </c>
      <c r="C589" s="3" t="inlineStr"/>
      <c r="D589" s="3" t="inlineStr"/>
      <c r="E589" t="inlineStr"/>
      <c r="F589" t="inlineStr">
        <is>
          <t>2023</t>
        </is>
      </c>
      <c r="G589" t="inlineStr">
        <is>
          <t>repaired</t>
        </is>
      </c>
      <c r="H589" s="4" t="n">
        <v>450</v>
      </c>
      <c r="I589" t="inlineStr">
        <is>
          <t>VB</t>
        </is>
      </c>
      <c r="J589" t="inlineStr">
        <is>
          <t>86972 Bayern - Altenstadt</t>
        </is>
      </c>
      <c r="K589" s="5" t="n">
        <v>45556</v>
      </c>
      <c r="L589" t="inlineStr"/>
      <c r="M589" s="6">
        <f>HYPERLINK("https://www.kleinanzeigen.de/s-anzeige/duotone-e-pace-2023-freeridesegel-6-6-6-6qm-windsurf-windfoil/2869598200-230-6557", "Link")</f>
        <v/>
      </c>
      <c r="N589" s="6">
        <f>HYPERLINK("C:\Projects\Kleinanzeigen-Scraper\offer_images\2869598200", "Link")</f>
        <v/>
      </c>
      <c r="O589" t="inlineStr">
        <is>
          <t>Johannes</t>
        </is>
      </c>
      <c r="P589" s="6">
        <f>HYPERLINK("https://www.kleinanzeigen.de/s-bestandsliste.html?userId=43847253", "Link")</f>
        <v/>
      </c>
      <c r="Q589" s="7" t="n">
        <v>45556.93898148148</v>
      </c>
      <c r="R589" s="3" t="inlineStr">
        <is>
          <t>62.44</t>
        </is>
      </c>
      <c r="S589" t="inlineStr">
        <is>
          <t>München</t>
        </is>
      </c>
    </row>
    <row r="590">
      <c r="A590" s="2" t="n">
        <v>7.5</v>
      </c>
      <c r="B590" t="inlineStr">
        <is>
          <t>Neil Pryde V6 FreeRide</t>
        </is>
      </c>
      <c r="C590" s="3" t="inlineStr"/>
      <c r="D590" s="3" t="inlineStr"/>
      <c r="E590" t="inlineStr"/>
      <c r="F590" t="inlineStr"/>
      <c r="G590" t="inlineStr">
        <is>
          <t>used</t>
        </is>
      </c>
      <c r="H590" s="4" t="n">
        <v>130</v>
      </c>
      <c r="I590" t="inlineStr"/>
      <c r="J590" t="inlineStr">
        <is>
          <t>76448 Baden-Württemberg - Durmersheim</t>
        </is>
      </c>
      <c r="K590" s="5" t="n">
        <v>45546</v>
      </c>
      <c r="L590" t="inlineStr">
        <is>
          <t>Sold</t>
        </is>
      </c>
      <c r="M590" s="6">
        <f>HYPERLINK("https://www.kleinanzeigen.de/s-anzeige/surfsegel-neil-pryde-v6-freeride-7-5-windsurfen/2860407363-230-8165", "Link")</f>
        <v/>
      </c>
      <c r="N590" s="6">
        <f>HYPERLINK("C:\Projects\Kleinanzeigen-Scraper\offer_images\2860407363", "Link")</f>
        <v/>
      </c>
      <c r="O590" t="inlineStr">
        <is>
          <t>Thomas S.</t>
        </is>
      </c>
      <c r="P590" s="6">
        <f>HYPERLINK("https://www.kleinanzeigen.de/s-bestandsliste.html?userId=61821198", "Link")</f>
        <v/>
      </c>
      <c r="Q590" s="7" t="n">
        <v>45556.93864583333</v>
      </c>
      <c r="R590" s="3" t="inlineStr">
        <is>
          <t>10.55</t>
        </is>
      </c>
      <c r="S590" t="inlineStr">
        <is>
          <t>Karlsruhe</t>
        </is>
      </c>
    </row>
    <row r="591">
      <c r="A591" s="2" t="n">
        <v>6.5</v>
      </c>
      <c r="B591" t="inlineStr">
        <is>
          <t>Neil Pryde Solo</t>
        </is>
      </c>
      <c r="C591" s="3" t="n">
        <v>460</v>
      </c>
      <c r="D591" s="3" t="n">
        <v>195</v>
      </c>
      <c r="E591" t="inlineStr"/>
      <c r="F591" t="inlineStr"/>
      <c r="G591" t="inlineStr">
        <is>
          <t>used</t>
        </is>
      </c>
      <c r="H591" s="4" t="n">
        <v>99</v>
      </c>
      <c r="I591" t="inlineStr">
        <is>
          <t>VB</t>
        </is>
      </c>
      <c r="J591" t="inlineStr">
        <is>
          <t>25355 Kreis Pinneberg - Barmstedt</t>
        </is>
      </c>
      <c r="K591" s="5" t="n">
        <v>45555</v>
      </c>
      <c r="L591" t="inlineStr">
        <is>
          <t>Sold</t>
        </is>
      </c>
      <c r="M591" s="6">
        <f>HYPERLINK("https://www.kleinanzeigen.de/s-anzeige/neil-pryde-solo-6-5-qm-segel-windsurf-neilpryde/2869176442-230-16677", "Link")</f>
        <v/>
      </c>
      <c r="N591" s="6">
        <f>HYPERLINK("C:\Projects\Kleinanzeigen-Scraper\offer_images\2869176442", "Link")</f>
        <v/>
      </c>
      <c r="O591" t="inlineStr">
        <is>
          <t>Hansi</t>
        </is>
      </c>
      <c r="P591" s="6">
        <f>HYPERLINK("https://www.kleinanzeigen.de/s-bestandsliste.html?userId=73580626", "Link")</f>
        <v/>
      </c>
      <c r="Q591" s="7" t="n">
        <v>45556.93864583333</v>
      </c>
      <c r="R591" s="3" t="inlineStr">
        <is>
          <t>371.91</t>
        </is>
      </c>
      <c r="S591" t="inlineStr">
        <is>
          <t>Köln</t>
        </is>
      </c>
    </row>
    <row r="592">
      <c r="A592" s="2" t="n">
        <v>6.2</v>
      </c>
      <c r="B592" t="inlineStr">
        <is>
          <t>Severne Reflex III</t>
        </is>
      </c>
      <c r="C592" s="3" t="inlineStr"/>
      <c r="D592" s="3" t="inlineStr"/>
      <c r="E592" t="inlineStr"/>
      <c r="F592" t="inlineStr"/>
      <c r="G592" t="inlineStr">
        <is>
          <t>used</t>
        </is>
      </c>
      <c r="H592" s="4" t="n">
        <v>250</v>
      </c>
      <c r="I592" t="inlineStr">
        <is>
          <t>VB</t>
        </is>
      </c>
      <c r="J592" t="inlineStr">
        <is>
          <t>45661 Nordrhein-Westfalen - Recklinghausen</t>
        </is>
      </c>
      <c r="K592" s="5" t="n">
        <v>45555</v>
      </c>
      <c r="L592" t="inlineStr"/>
      <c r="M592" s="6">
        <f>HYPERLINK("https://www.kleinanzeigen.de/s-anzeige/surfsegel-severne-reflex-iii-6-2/2869175304-230-1986", "Link")</f>
        <v/>
      </c>
      <c r="N592" s="6">
        <f>HYPERLINK("C:\Projects\Kleinanzeigen-Scraper\offer_images\2869175304", "Link")</f>
        <v/>
      </c>
      <c r="O592" t="inlineStr">
        <is>
          <t>Thor</t>
        </is>
      </c>
      <c r="P592" s="6">
        <f>HYPERLINK("https://www.kleinanzeigen.de/s-bestandsliste.html?userId=2332887", "Link")</f>
        <v/>
      </c>
      <c r="Q592" s="7" t="n">
        <v>45556.93847222222</v>
      </c>
      <c r="R592" s="3" t="inlineStr">
        <is>
          <t>72.57</t>
        </is>
      </c>
      <c r="S592" t="inlineStr">
        <is>
          <t>Köln</t>
        </is>
      </c>
    </row>
    <row r="593">
      <c r="A593" s="2" t="n">
        <v>6.4</v>
      </c>
      <c r="B593" t="inlineStr">
        <is>
          <t>DUOTONE F-Pace</t>
        </is>
      </c>
      <c r="C593" s="3" t="n">
        <v>4.74</v>
      </c>
      <c r="D593" s="3" t="n">
        <v>170</v>
      </c>
      <c r="E593" t="inlineStr"/>
      <c r="F593" t="inlineStr"/>
      <c r="G593" t="inlineStr">
        <is>
          <t>repaired</t>
        </is>
      </c>
      <c r="H593" s="4" t="n">
        <v>150</v>
      </c>
      <c r="I593" t="inlineStr"/>
      <c r="J593" t="inlineStr">
        <is>
          <t>23774 Kreis Ostholstein - Heiligenhafen</t>
        </is>
      </c>
      <c r="K593" s="5" t="n">
        <v>45556</v>
      </c>
      <c r="L593" t="inlineStr"/>
      <c r="M593" s="6">
        <f>HYPERLINK("https://www.kleinanzeigen.de/s-anzeige/duotone-f-pace-6-4qm-windsurf-foil-segel/2869967815-230-427", "Link")</f>
        <v/>
      </c>
      <c r="N593" s="6">
        <f>HYPERLINK("C:\Projects\Kleinanzeigen-Scraper\offer_images\2869967815", "Link")</f>
        <v/>
      </c>
      <c r="O593" t="inlineStr">
        <is>
          <t>Herr Eike Rossner</t>
        </is>
      </c>
      <c r="P593" s="6">
        <f>HYPERLINK("https://www.kleinanzeigen.de/s-bestandsliste.html?userId=1649845", "Link")</f>
        <v/>
      </c>
      <c r="Q593" s="7" t="n">
        <v>45556.93820601852</v>
      </c>
      <c r="R593" s="3" t="inlineStr">
        <is>
          <t>467.75</t>
        </is>
      </c>
      <c r="S593" t="inlineStr">
        <is>
          <t>Köln</t>
        </is>
      </c>
    </row>
    <row r="594">
      <c r="A594" s="2" t="n">
        <v>4</v>
      </c>
      <c r="B594" t="inlineStr">
        <is>
          <t>Sailloft Air</t>
        </is>
      </c>
      <c r="C594" s="3" t="inlineStr"/>
      <c r="D594" s="3" t="inlineStr"/>
      <c r="E594" t="inlineStr"/>
      <c r="F594" t="inlineStr">
        <is>
          <t>2019</t>
        </is>
      </c>
      <c r="G594" t="inlineStr">
        <is>
          <t>repaired</t>
        </is>
      </c>
      <c r="H594" s="4" t="n">
        <v>150</v>
      </c>
      <c r="I594" t="inlineStr"/>
      <c r="J594" t="inlineStr">
        <is>
          <t>22769 Hamburg - Altona</t>
        </is>
      </c>
      <c r="K594" s="5" t="n">
        <v>45556</v>
      </c>
      <c r="L594" t="inlineStr"/>
      <c r="M594" s="6">
        <f>HYPERLINK("https://www.kleinanzeigen.de/s-anzeige/windsurfsegel-sailloft-air-4-0/2869546050-230-9434", "Link")</f>
        <v/>
      </c>
      <c r="N594" s="6">
        <f>HYPERLINK("C:\Projects\Kleinanzeigen-Scraper\offer_images\2869546050", "Link")</f>
        <v/>
      </c>
      <c r="O594" t="inlineStr">
        <is>
          <t>Felix A</t>
        </is>
      </c>
      <c r="P594" s="6">
        <f>HYPERLINK("https://www.kleinanzeigen.de/s-bestandsliste.html?userId=35044893", "Link")</f>
        <v/>
      </c>
      <c r="Q594" s="7" t="n">
        <v>45556.93806712963</v>
      </c>
      <c r="R594" s="3" t="inlineStr">
        <is>
          <t>356.14</t>
        </is>
      </c>
      <c r="S594" t="inlineStr">
        <is>
          <t>Köln</t>
        </is>
      </c>
    </row>
    <row r="595">
      <c r="A595" s="2" t="n">
        <v>4.2</v>
      </c>
      <c r="B595" t="inlineStr">
        <is>
          <t>Neilpryde TheFly</t>
        </is>
      </c>
      <c r="C595" s="3" t="inlineStr"/>
      <c r="D595" s="3" t="inlineStr"/>
      <c r="E595" t="inlineStr"/>
      <c r="F595" t="inlineStr"/>
      <c r="G595" t="inlineStr">
        <is>
          <t>repaired</t>
        </is>
      </c>
      <c r="H595" s="4" t="n">
        <v>69</v>
      </c>
      <c r="I595" t="inlineStr">
        <is>
          <t>VB</t>
        </is>
      </c>
      <c r="J595" t="inlineStr">
        <is>
          <t>24536 Schleswig-Holstein - Neumünster</t>
        </is>
      </c>
      <c r="K595" s="5" t="n">
        <v>45555</v>
      </c>
      <c r="L595" t="inlineStr"/>
      <c r="M595" s="6">
        <f>HYPERLINK("https://www.kleinanzeigen.de/s-anzeige/segel-neilpryde-thefly-4-2-qm/2869271978-230-20567", "Link")</f>
        <v/>
      </c>
      <c r="N595" s="6">
        <f>HYPERLINK("C:\Projects\Kleinanzeigen-Scraper\offer_images\2869271978", "Link")</f>
        <v/>
      </c>
      <c r="O595" t="inlineStr">
        <is>
          <t>Arne Rohkohl</t>
        </is>
      </c>
      <c r="P595" s="6">
        <f>HYPERLINK("https://www.kleinanzeigen.de/s-bestandsliste.html?userId=22682883", "Link")</f>
        <v/>
      </c>
      <c r="Q595" s="7" t="n">
        <v>45556.93803240741</v>
      </c>
      <c r="R595" s="3" t="inlineStr">
        <is>
          <t>408.57</t>
        </is>
      </c>
      <c r="S595" t="inlineStr">
        <is>
          <t>Köln</t>
        </is>
      </c>
    </row>
    <row r="596">
      <c r="A596" s="2" t="n">
        <v>3.7</v>
      </c>
      <c r="B596" t="inlineStr">
        <is>
          <t>Sailloft Curve</t>
        </is>
      </c>
      <c r="C596" s="3" t="inlineStr"/>
      <c r="D596" s="3" t="inlineStr"/>
      <c r="E596" t="inlineStr"/>
      <c r="F596" t="inlineStr">
        <is>
          <t>2012</t>
        </is>
      </c>
      <c r="G596" t="inlineStr">
        <is>
          <t>used</t>
        </is>
      </c>
      <c r="H596" s="4" t="n">
        <v>50</v>
      </c>
      <c r="I596" t="inlineStr"/>
      <c r="J596" t="inlineStr">
        <is>
          <t>31515 Niedersachsen - Wunstorf</t>
        </is>
      </c>
      <c r="K596" s="5" t="n">
        <v>45506</v>
      </c>
      <c r="L596" t="inlineStr">
        <is>
          <t>Sold</t>
        </is>
      </c>
      <c r="M596" s="6">
        <f>HYPERLINK("https://www.kleinanzeigen.de/s-anzeige/sailloft-curve-3-7qm/2827195563-230-2930", "Link")</f>
        <v/>
      </c>
      <c r="N596" s="6">
        <f>HYPERLINK("C:\Projects\Kleinanzeigen-Scraper\offer_images\2827195563", "Link")</f>
        <v/>
      </c>
      <c r="O596" t="inlineStr">
        <is>
          <t>Familie Sieverling</t>
        </is>
      </c>
      <c r="P596" s="6">
        <f>HYPERLINK("https://www.kleinanzeigen.de/s-bestandsliste.html?userId=23345927", "Link")</f>
        <v/>
      </c>
      <c r="Q596" s="7" t="n">
        <v>45556.93791666667</v>
      </c>
      <c r="R596" s="3" t="inlineStr">
        <is>
          <t>236.47</t>
        </is>
      </c>
      <c r="S596" t="inlineStr">
        <is>
          <t>Köln</t>
        </is>
      </c>
    </row>
    <row r="597">
      <c r="A597" s="2" t="n">
        <v>5.5</v>
      </c>
      <c r="B597" t="inlineStr">
        <is>
          <t>HiFly X Ride</t>
        </is>
      </c>
      <c r="C597" s="3" t="n">
        <v>460</v>
      </c>
      <c r="D597" s="3" t="n">
        <v>177</v>
      </c>
      <c r="E597" t="inlineStr"/>
      <c r="F597" t="inlineStr"/>
      <c r="G597" t="inlineStr">
        <is>
          <t>used</t>
        </is>
      </c>
      <c r="H597" s="4" t="n">
        <v>40</v>
      </c>
      <c r="I597" t="inlineStr">
        <is>
          <t>VB</t>
        </is>
      </c>
      <c r="J597" t="inlineStr">
        <is>
          <t>25355 Kreis Pinneberg - Barmstedt</t>
        </is>
      </c>
      <c r="K597" s="5" t="n">
        <v>45555</v>
      </c>
      <c r="L597" t="inlineStr"/>
      <c r="M597" s="6">
        <f>HYPERLINK("https://www.kleinanzeigen.de/s-anzeige/hifly-x-ride-5-5-qm-gaastra-segel-windsurf-no-neilpryde/2869187967-23-16677", "Link")</f>
        <v/>
      </c>
      <c r="N597" s="6">
        <f>HYPERLINK("C:\Projects\Kleinanzeigen-Scraper\offer_images\2869187967", "Link")</f>
        <v/>
      </c>
      <c r="O597" t="inlineStr">
        <is>
          <t>Hansi</t>
        </is>
      </c>
      <c r="P597" s="6">
        <f>HYPERLINK("https://www.kleinanzeigen.de/s-bestandsliste.html?userId=73580626", "Link")</f>
        <v/>
      </c>
      <c r="Q597" s="7" t="n">
        <v>45556.93782407408</v>
      </c>
      <c r="R597" s="3" t="inlineStr">
        <is>
          <t>371.91</t>
        </is>
      </c>
      <c r="S597" t="inlineStr">
        <is>
          <t>Köln</t>
        </is>
      </c>
    </row>
    <row r="598">
      <c r="A598" s="2" t="n">
        <v>9.300000000000001</v>
      </c>
      <c r="B598" t="inlineStr">
        <is>
          <t>Sailloft Mission</t>
        </is>
      </c>
      <c r="C598" s="3" t="n">
        <v>519</v>
      </c>
      <c r="D598" s="3" t="n">
        <v>241</v>
      </c>
      <c r="E598" t="inlineStr">
        <is>
          <t>Freerace</t>
        </is>
      </c>
      <c r="F598" t="inlineStr">
        <is>
          <t>2021</t>
        </is>
      </c>
      <c r="G598" t="inlineStr">
        <is>
          <t>used</t>
        </is>
      </c>
      <c r="H598" s="4" t="n">
        <v>290</v>
      </c>
      <c r="I598" t="inlineStr">
        <is>
          <t>VB</t>
        </is>
      </c>
      <c r="J598" t="inlineStr">
        <is>
          <t>21629 Niedersachsen - Neu Wulmstorf</t>
        </is>
      </c>
      <c r="K598" s="5" t="n">
        <v>45519</v>
      </c>
      <c r="L598" t="inlineStr"/>
      <c r="M598" s="6">
        <f>HYPERLINK("https://www.kleinanzeigen.de/s-anzeige/sailloft-mission-9-3m-freeracesegel-windsurfen/2837688058-230-2807", "Link")</f>
        <v/>
      </c>
      <c r="N598" s="6">
        <f>HYPERLINK("C:\Projects\Kleinanzeigen-Scraper\offer_images\2837688058", "Link")</f>
        <v/>
      </c>
      <c r="O598" t="inlineStr">
        <is>
          <t>Familie Rahlf</t>
        </is>
      </c>
      <c r="P598" s="6">
        <f>HYPERLINK("https://www.kleinanzeigen.de/s-bestandsliste.html?userId=16189628", "Link")</f>
        <v/>
      </c>
      <c r="Q598" s="7" t="n">
        <v>45556.93761574074</v>
      </c>
      <c r="R598" s="3" t="inlineStr">
        <is>
          <t>339.04</t>
        </is>
      </c>
      <c r="S598" t="inlineStr">
        <is>
          <t>Köln</t>
        </is>
      </c>
    </row>
    <row r="599">
      <c r="A599" s="2" t="n">
        <v>8</v>
      </c>
      <c r="B599" t="inlineStr">
        <is>
          <t>Gunsails X-Race</t>
        </is>
      </c>
      <c r="C599" s="3" t="n">
        <v>500</v>
      </c>
      <c r="D599" s="3" t="n">
        <v>222</v>
      </c>
      <c r="E599" t="inlineStr"/>
      <c r="F599" t="inlineStr"/>
      <c r="G599" t="inlineStr">
        <is>
          <t>used</t>
        </is>
      </c>
      <c r="H599" s="4" t="n">
        <v>50</v>
      </c>
      <c r="I599" t="inlineStr"/>
      <c r="J599" t="inlineStr">
        <is>
          <t>26129 Niedersachsen - Oldenburg</t>
        </is>
      </c>
      <c r="K599" s="5" t="n">
        <v>45556</v>
      </c>
      <c r="L599" t="inlineStr">
        <is>
          <t>Sold</t>
        </is>
      </c>
      <c r="M599" s="6">
        <f>HYPERLINK("https://www.kleinanzeigen.de/s-anzeige/gunsails-x-race-8-0qm-racesegel-surfsegel-windsurf-gun-sails/2870036124-230-3113", "Link")</f>
        <v/>
      </c>
      <c r="N599" s="6">
        <f>HYPERLINK("C:\Projects\Kleinanzeigen-Scraper\offer_images\2870036124", "Link")</f>
        <v/>
      </c>
      <c r="O599" t="inlineStr">
        <is>
          <t>Stefan</t>
        </is>
      </c>
      <c r="P599" s="6">
        <f>HYPERLINK("https://www.kleinanzeigen.de/s-bestandsliste.html?userId=4116163", "Link")</f>
        <v/>
      </c>
      <c r="Q599" s="7" t="n">
        <v>45556.93756944445</v>
      </c>
      <c r="R599" s="3" t="inlineStr">
        <is>
          <t>259.47</t>
        </is>
      </c>
      <c r="S599" t="inlineStr">
        <is>
          <t>Köln</t>
        </is>
      </c>
    </row>
    <row r="600">
      <c r="A600" s="2" t="n">
        <v>4.7</v>
      </c>
      <c r="B600" t="inlineStr">
        <is>
          <t>Neil Pryde Alpha</t>
        </is>
      </c>
      <c r="C600" s="3" t="n">
        <v>400</v>
      </c>
      <c r="D600" s="3" t="n">
        <v>167</v>
      </c>
      <c r="E600" t="inlineStr"/>
      <c r="F600" t="inlineStr"/>
      <c r="G600" t="inlineStr">
        <is>
          <t>used</t>
        </is>
      </c>
      <c r="H600" s="4" t="n">
        <v>135</v>
      </c>
      <c r="I600" t="inlineStr">
        <is>
          <t>VB</t>
        </is>
      </c>
      <c r="J600" t="inlineStr">
        <is>
          <t>25355 Kreis Pinneberg - Barmstedt</t>
        </is>
      </c>
      <c r="K600" s="5" t="n">
        <v>45555</v>
      </c>
      <c r="L600" t="inlineStr"/>
      <c r="M600" s="6">
        <f>HYPERLINK("https://www.kleinanzeigen.de/s-anzeige/neil-pryde-alpha-4-7-qm-segel-windsurf-neilpryde/2869173490-230-16677", "Link")</f>
        <v/>
      </c>
      <c r="N600" s="6">
        <f>HYPERLINK("C:\Projects\Kleinanzeigen-Scraper\offer_images\2869173490", "Link")</f>
        <v/>
      </c>
      <c r="O600" t="inlineStr">
        <is>
          <t>Hansi</t>
        </is>
      </c>
      <c r="P600" s="6">
        <f>HYPERLINK("https://www.kleinanzeigen.de/s-bestandsliste.html?userId=73580626", "Link")</f>
        <v/>
      </c>
      <c r="Q600" s="7" t="n">
        <v>45556.93716435185</v>
      </c>
      <c r="R600" s="3" t="inlineStr">
        <is>
          <t>371.91</t>
        </is>
      </c>
      <c r="S600" t="inlineStr">
        <is>
          <t>Köln</t>
        </is>
      </c>
    </row>
    <row r="601">
      <c r="A601" s="2" t="n">
        <v>4.4</v>
      </c>
      <c r="B601" t="inlineStr">
        <is>
          <t>Severne Freek</t>
        </is>
      </c>
      <c r="C601" s="3" t="inlineStr"/>
      <c r="D601" s="3" t="inlineStr"/>
      <c r="E601" t="inlineStr"/>
      <c r="F601" t="inlineStr">
        <is>
          <t>2017</t>
        </is>
      </c>
      <c r="G601" t="inlineStr">
        <is>
          <t>used</t>
        </is>
      </c>
      <c r="H601" s="4" t="n">
        <v>129</v>
      </c>
      <c r="I601" t="inlineStr"/>
      <c r="J601" t="inlineStr">
        <is>
          <t>86152 Bayern - Augsburg</t>
        </is>
      </c>
      <c r="K601" s="5" t="n">
        <v>45555</v>
      </c>
      <c r="L601" t="inlineStr"/>
      <c r="M601" s="6">
        <f>HYPERLINK("https://www.kleinanzeigen.de/s-anzeige/segel-severne-freek-2017-4-4-m-gebraucht-/2869065019-230-7526", "Link")</f>
        <v/>
      </c>
      <c r="N601" s="6">
        <f>HYPERLINK("C:\Projects\Kleinanzeigen-Scraper\offer_images\2869065019", "Link")</f>
        <v/>
      </c>
      <c r="O601" t="inlineStr">
        <is>
          <t>Florian Leupold</t>
        </is>
      </c>
      <c r="P601" s="6">
        <f>HYPERLINK("https://www.kleinanzeigen.de/s-bestandsliste.html?userId=125849424", "Link")</f>
        <v/>
      </c>
      <c r="Q601" s="7" t="n">
        <v>45556.93619212963</v>
      </c>
      <c r="R601" s="3" t="inlineStr">
        <is>
          <t>56.62</t>
        </is>
      </c>
      <c r="S601" t="inlineStr">
        <is>
          <t>München</t>
        </is>
      </c>
    </row>
    <row r="602">
      <c r="A602" s="2" t="n">
        <v>7.2</v>
      </c>
      <c r="B602" t="inlineStr">
        <is>
          <t>NeilPryde Hellcat</t>
        </is>
      </c>
      <c r="C602" s="3" t="inlineStr"/>
      <c r="D602" s="3" t="inlineStr"/>
      <c r="E602" t="inlineStr"/>
      <c r="F602" t="inlineStr">
        <is>
          <t>2017</t>
        </is>
      </c>
      <c r="G602" t="inlineStr">
        <is>
          <t>used</t>
        </is>
      </c>
      <c r="H602" s="4" t="n">
        <v>299</v>
      </c>
      <c r="I602" t="inlineStr"/>
      <c r="J602" t="inlineStr">
        <is>
          <t>86152 Bayern - Augsburg</t>
        </is>
      </c>
      <c r="K602" s="5" t="n">
        <v>45555</v>
      </c>
      <c r="L602" t="inlineStr"/>
      <c r="M602" s="6">
        <f>HYPERLINK("https://www.kleinanzeigen.de/s-anzeige/segel-neilpryde-hellcat-2017-7-2-m-gebraucht-/2869057552-230-7526", "Link")</f>
        <v/>
      </c>
      <c r="N602" s="6">
        <f>HYPERLINK("C:\Projects\Kleinanzeigen-Scraper\offer_images\2869057552", "Link")</f>
        <v/>
      </c>
      <c r="O602" t="inlineStr">
        <is>
          <t>Florian Leupold</t>
        </is>
      </c>
      <c r="P602" s="6">
        <f>HYPERLINK("https://www.kleinanzeigen.de/s-bestandsliste.html?userId=125849424", "Link")</f>
        <v/>
      </c>
      <c r="Q602" s="7" t="n">
        <v>45556.93616898148</v>
      </c>
      <c r="R602" s="3" t="inlineStr">
        <is>
          <t>56.62</t>
        </is>
      </c>
      <c r="S602" t="inlineStr">
        <is>
          <t>München</t>
        </is>
      </c>
    </row>
    <row r="603">
      <c r="A603" s="2" t="n">
        <v>7.3</v>
      </c>
      <c r="B603" t="inlineStr">
        <is>
          <t>North Sails Daytona</t>
        </is>
      </c>
      <c r="C603" s="3" t="n">
        <v>485</v>
      </c>
      <c r="D603" s="3" t="n">
        <v>210</v>
      </c>
      <c r="E603" t="inlineStr"/>
      <c r="F603" t="inlineStr"/>
      <c r="G603" t="inlineStr">
        <is>
          <t>repaired</t>
        </is>
      </c>
      <c r="H603" s="4" t="n">
        <v>50</v>
      </c>
      <c r="I603" t="inlineStr"/>
      <c r="J603" t="inlineStr">
        <is>
          <t>26129 Niedersachsen - Oldenburg</t>
        </is>
      </c>
      <c r="K603" s="5" t="n">
        <v>45556</v>
      </c>
      <c r="L603" t="inlineStr"/>
      <c r="M603" s="6">
        <f>HYPERLINK("https://www.kleinanzeigen.de/s-anzeige/north-sails-daytona-7-3qm-windsurfsegel-surfsegel/2870053685-230-3113", "Link")</f>
        <v/>
      </c>
      <c r="N603" s="6">
        <f>HYPERLINK("C:\Projects\Kleinanzeigen-Scraper\offer_images\2870053685", "Link")</f>
        <v/>
      </c>
      <c r="O603" t="inlineStr">
        <is>
          <t>Stefan</t>
        </is>
      </c>
      <c r="P603" s="6">
        <f>HYPERLINK("https://www.kleinanzeigen.de/s-bestandsliste.html?userId=4116163", "Link")</f>
        <v/>
      </c>
      <c r="Q603" s="7" t="n">
        <v>45556.93590277778</v>
      </c>
      <c r="R603" s="3" t="inlineStr">
        <is>
          <t>259.47</t>
        </is>
      </c>
      <c r="S603" t="inlineStr">
        <is>
          <t>Köln</t>
        </is>
      </c>
    </row>
    <row r="604">
      <c r="A604" s="2" t="n">
        <v>4.4</v>
      </c>
      <c r="B604" t="inlineStr">
        <is>
          <t>Severne Freek</t>
        </is>
      </c>
      <c r="C604" s="3" t="inlineStr"/>
      <c r="D604" s="3" t="inlineStr"/>
      <c r="E604" t="inlineStr"/>
      <c r="F604" t="inlineStr">
        <is>
          <t>2023</t>
        </is>
      </c>
      <c r="G604" t="inlineStr">
        <is>
          <t>used</t>
        </is>
      </c>
      <c r="H604" s="4" t="n">
        <v>358</v>
      </c>
      <c r="I604" t="inlineStr"/>
      <c r="J604" t="inlineStr">
        <is>
          <t>86152 Bayern - Augsburg</t>
        </is>
      </c>
      <c r="K604" s="5" t="n">
        <v>45556</v>
      </c>
      <c r="L604" t="inlineStr"/>
      <c r="M604" s="6">
        <f>HYPERLINK("https://www.kleinanzeigen.de/s-anzeige/windsurf-segel-severne-freek-2023-4-4-m-gebraucht-/2869506160-230-7526", "Link")</f>
        <v/>
      </c>
      <c r="N604" s="6">
        <f>HYPERLINK("C:\Projects\Kleinanzeigen-Scraper\offer_images\2869506160", "Link")</f>
        <v/>
      </c>
      <c r="O604" t="inlineStr">
        <is>
          <t>Florian Leupold</t>
        </is>
      </c>
      <c r="P604" s="6">
        <f>HYPERLINK("https://www.kleinanzeigen.de/s-bestandsliste.html?userId=125849424", "Link")</f>
        <v/>
      </c>
      <c r="Q604" s="7" t="n">
        <v>45556.93583333334</v>
      </c>
      <c r="R604" s="3" t="inlineStr">
        <is>
          <t>56.62</t>
        </is>
      </c>
      <c r="S604" t="inlineStr">
        <is>
          <t>München</t>
        </is>
      </c>
    </row>
    <row r="605">
      <c r="A605" s="2" t="n">
        <v>5.4</v>
      </c>
      <c r="B605" t="inlineStr">
        <is>
          <t>Neilpryde Atlas HD</t>
        </is>
      </c>
      <c r="C605" s="3" t="inlineStr"/>
      <c r="D605" s="3" t="inlineStr"/>
      <c r="E605" t="inlineStr"/>
      <c r="F605" t="inlineStr"/>
      <c r="G605" t="inlineStr">
        <is>
          <t>used</t>
        </is>
      </c>
      <c r="H605" s="4" t="n">
        <v>315</v>
      </c>
      <c r="I605" t="inlineStr">
        <is>
          <t>VB</t>
        </is>
      </c>
      <c r="J605" t="inlineStr">
        <is>
          <t>87549 Bayern - Rettenberg</t>
        </is>
      </c>
      <c r="K605" s="5" t="n">
        <v>45556</v>
      </c>
      <c r="L605" t="inlineStr"/>
      <c r="M605" s="6">
        <f>HYPERLINK("https://www.kleinanzeigen.de/s-anzeige/neilpryde-atlas-5-4-hd-segel-neil-pryde/2869916072-230-5531", "Link")</f>
        <v/>
      </c>
      <c r="N605" s="6">
        <f>HYPERLINK("C:\Projects\Kleinanzeigen-Scraper\offer_images\2869916072", "Link")</f>
        <v/>
      </c>
      <c r="O605" t="inlineStr">
        <is>
          <t>Marc</t>
        </is>
      </c>
      <c r="P605" s="6">
        <f>HYPERLINK("https://www.kleinanzeigen.de/s-bestandsliste.html?userId=11413798", "Link")</f>
        <v/>
      </c>
      <c r="Q605" s="7" t="n">
        <v>45556.93515046296</v>
      </c>
      <c r="R605" s="3" t="inlineStr">
        <is>
          <t>114.30</t>
        </is>
      </c>
      <c r="S605" t="inlineStr">
        <is>
          <t>München</t>
        </is>
      </c>
    </row>
    <row r="606">
      <c r="A606" s="2" t="n">
        <v>5</v>
      </c>
      <c r="B606" t="inlineStr">
        <is>
          <t>Neil Pryde Solo</t>
        </is>
      </c>
      <c r="C606" s="3" t="n">
        <v>400</v>
      </c>
      <c r="D606" s="3" t="n">
        <v>173</v>
      </c>
      <c r="E606" t="inlineStr"/>
      <c r="F606" t="inlineStr"/>
      <c r="G606" t="inlineStr">
        <is>
          <t>used</t>
        </is>
      </c>
      <c r="H606" s="4" t="n">
        <v>99</v>
      </c>
      <c r="I606" t="inlineStr">
        <is>
          <t>VB</t>
        </is>
      </c>
      <c r="J606" t="inlineStr">
        <is>
          <t>25355 Kreis Pinneberg - Barmstedt</t>
        </is>
      </c>
      <c r="K606" s="5" t="n">
        <v>45555</v>
      </c>
      <c r="L606" t="inlineStr">
        <is>
          <t>Sold</t>
        </is>
      </c>
      <c r="M606" s="6">
        <f>HYPERLINK("https://www.kleinanzeigen.de/s-anzeige/neil-pryde-solo-5-0-qm-segel-windsurf-neilpryde/2869179189-230-16677", "Link")</f>
        <v/>
      </c>
      <c r="N606" s="6">
        <f>HYPERLINK("C:\Projects\Kleinanzeigen-Scraper\offer_images\2869179189", "Link")</f>
        <v/>
      </c>
      <c r="O606" t="inlineStr">
        <is>
          <t>Hansi</t>
        </is>
      </c>
      <c r="P606" s="6">
        <f>HYPERLINK("https://www.kleinanzeigen.de/s-bestandsliste.html?userId=73580626", "Link")</f>
        <v/>
      </c>
      <c r="Q606" s="7" t="n">
        <v>45556.93512731481</v>
      </c>
      <c r="R606" s="3" t="inlineStr">
        <is>
          <t>371.91</t>
        </is>
      </c>
      <c r="S606" t="inlineStr">
        <is>
          <t>Köln</t>
        </is>
      </c>
    </row>
    <row r="607">
      <c r="A607" s="2" t="n">
        <v>15</v>
      </c>
      <c r="B607" t="inlineStr">
        <is>
          <t>North Reach</t>
        </is>
      </c>
      <c r="C607" s="3" t="inlineStr"/>
      <c r="D607" s="3" t="inlineStr"/>
      <c r="E607" t="inlineStr">
        <is>
          <t>Freeride</t>
        </is>
      </c>
      <c r="F607" t="inlineStr">
        <is>
          <t>2023</t>
        </is>
      </c>
      <c r="G607" t="inlineStr">
        <is>
          <t>used</t>
        </is>
      </c>
      <c r="H607" s="4" t="n">
        <v>840</v>
      </c>
      <c r="I607" t="inlineStr"/>
      <c r="J607" t="inlineStr">
        <is>
          <t>40474 Düsseldorf - Lohausen</t>
        </is>
      </c>
      <c r="K607" s="5" t="n">
        <v>45553</v>
      </c>
      <c r="L607" t="inlineStr"/>
      <c r="M607" s="6">
        <f>HYPERLINK("https://www.kleinanzeigen.de/s-anzeige/north-reach-2023-15-mt/2867618598-242-29972", "Link")</f>
        <v/>
      </c>
      <c r="N607" s="6">
        <f>HYPERLINK("C:\Projects\Kleinanzeigen-Scraper\offer_images\2867618598", "Link")</f>
        <v/>
      </c>
      <c r="O607" t="inlineStr">
        <is>
          <t>Siri</t>
        </is>
      </c>
      <c r="P607" s="6">
        <f>HYPERLINK("https://www.kleinanzeigen.de/s-bestandsliste.html?userId=141035834", "Link")</f>
        <v/>
      </c>
      <c r="Q607" s="7" t="n">
        <v>45556.93510416667</v>
      </c>
      <c r="R607" s="3" t="inlineStr">
        <is>
          <t>40.09</t>
        </is>
      </c>
      <c r="S607" t="inlineStr">
        <is>
          <t>Köln</t>
        </is>
      </c>
    </row>
    <row r="608">
      <c r="A608" s="2" t="n">
        <v>7.8</v>
      </c>
      <c r="B608" t="inlineStr">
        <is>
          <t>Severne Mach 4</t>
        </is>
      </c>
      <c r="C608" s="3" t="n">
        <v>488</v>
      </c>
      <c r="D608" s="3" t="n">
        <v>210</v>
      </c>
      <c r="E608" t="inlineStr"/>
      <c r="F608" t="inlineStr"/>
      <c r="G608" t="inlineStr">
        <is>
          <t>repaired</t>
        </is>
      </c>
      <c r="H608" s="4" t="n">
        <v>199</v>
      </c>
      <c r="I608" t="inlineStr"/>
      <c r="J608" t="inlineStr">
        <is>
          <t>59519 Nordrhein-Westfalen - Möhnesee</t>
        </is>
      </c>
      <c r="K608" s="5" t="n">
        <v>45556</v>
      </c>
      <c r="L608" t="inlineStr"/>
      <c r="M608" s="6">
        <f>HYPERLINK("https://www.kleinanzeigen.de/s-anzeige/windsurf-segel-severne-mach-4-in-7-8/2870093933-230-1455", "Link")</f>
        <v/>
      </c>
      <c r="N608" s="6">
        <f>HYPERLINK("C:\Projects\Kleinanzeigen-Scraper\offer_images\2870093933", "Link")</f>
        <v/>
      </c>
      <c r="O608" t="inlineStr">
        <is>
          <t>Christian Bach</t>
        </is>
      </c>
      <c r="P608" s="6">
        <f>HYPERLINK("https://www.kleinanzeigen.de/s-bestandsliste.html?userId=51095053", "Link")</f>
        <v/>
      </c>
      <c r="Q608" s="7" t="n">
        <v>45556.93503472222</v>
      </c>
      <c r="R608" s="3" t="inlineStr">
        <is>
          <t>101.02</t>
        </is>
      </c>
      <c r="S608" t="inlineStr">
        <is>
          <t>Köln</t>
        </is>
      </c>
    </row>
    <row r="609">
      <c r="A609" s="2" t="n">
        <v>12</v>
      </c>
      <c r="B609" t="inlineStr">
        <is>
          <t>North Dice (Duotone)</t>
        </is>
      </c>
      <c r="C609" s="3" t="inlineStr"/>
      <c r="D609" s="3" t="inlineStr"/>
      <c r="E609" t="inlineStr"/>
      <c r="F609" t="inlineStr">
        <is>
          <t>2018</t>
        </is>
      </c>
      <c r="G609" t="inlineStr">
        <is>
          <t>used</t>
        </is>
      </c>
      <c r="H609" s="4" t="n">
        <v>700</v>
      </c>
      <c r="I609" t="inlineStr">
        <is>
          <t>VB</t>
        </is>
      </c>
      <c r="J609" t="inlineStr">
        <is>
          <t>40217 Düsseldorf - Unterbilk</t>
        </is>
      </c>
      <c r="K609" s="5" t="n">
        <v>45556</v>
      </c>
      <c r="L609" t="inlineStr"/>
      <c r="M609" s="6">
        <f>HYPERLINK("https://www.kleinanzeigen.de/s-anzeige/north-dice-duotone-2018-12qm/2869705012-230-29962", "Link")</f>
        <v/>
      </c>
      <c r="N609" s="6">
        <f>HYPERLINK("C:\Projects\Kleinanzeigen-Scraper\offer_images\2869705012", "Link")</f>
        <v/>
      </c>
      <c r="O609" t="inlineStr">
        <is>
          <t>Paul</t>
        </is>
      </c>
      <c r="P609" s="6">
        <f>HYPERLINK("https://www.kleinanzeigen.de/s-bestandsliste.html?userId=5288275", "Link")</f>
        <v/>
      </c>
      <c r="Q609" s="7" t="n">
        <v>45556.93481481481</v>
      </c>
      <c r="R609" s="3" t="inlineStr">
        <is>
          <t>32.93</t>
        </is>
      </c>
      <c r="S609" t="inlineStr">
        <is>
          <t>Köln</t>
        </is>
      </c>
    </row>
    <row r="610">
      <c r="A610" s="2" t="n">
        <v>4.4</v>
      </c>
      <c r="B610" t="inlineStr">
        <is>
          <t>Sailloft Air</t>
        </is>
      </c>
      <c r="C610" s="3" t="inlineStr"/>
      <c r="D610" s="3" t="inlineStr"/>
      <c r="E610" t="inlineStr"/>
      <c r="F610" t="inlineStr">
        <is>
          <t>2018</t>
        </is>
      </c>
      <c r="G610" t="inlineStr">
        <is>
          <t>used</t>
        </is>
      </c>
      <c r="H610" s="4" t="n">
        <v>190</v>
      </c>
      <c r="I610" t="inlineStr"/>
      <c r="J610" t="inlineStr">
        <is>
          <t>22769 Hamburg - Altona</t>
        </is>
      </c>
      <c r="K610" s="5" t="n">
        <v>45556</v>
      </c>
      <c r="L610" t="inlineStr"/>
      <c r="M610" s="6">
        <f>HYPERLINK("https://www.kleinanzeigen.de/s-anzeige/windsurfsegel-sailloft-air-4-4/2869539734-230-9434", "Link")</f>
        <v/>
      </c>
      <c r="N610" s="6">
        <f>HYPERLINK("C:\Projects\Kleinanzeigen-Scraper\offer_images\2869539734", "Link")</f>
        <v/>
      </c>
      <c r="O610" t="inlineStr">
        <is>
          <t>Felix A</t>
        </is>
      </c>
      <c r="P610" s="6">
        <f>HYPERLINK("https://www.kleinanzeigen.de/s-bestandsliste.html?userId=35044893", "Link")</f>
        <v/>
      </c>
      <c r="Q610" s="7" t="n">
        <v>45556.93476851852</v>
      </c>
      <c r="R610" s="3" t="inlineStr">
        <is>
          <t>356.14</t>
        </is>
      </c>
      <c r="S610" t="inlineStr">
        <is>
          <t>Köln</t>
        </is>
      </c>
    </row>
    <row r="611">
      <c r="A611" s="2" t="n">
        <v>8</v>
      </c>
      <c r="B611" t="inlineStr">
        <is>
          <t>Severne NCX Pro</t>
        </is>
      </c>
      <c r="C611" s="3" t="n">
        <v>490</v>
      </c>
      <c r="D611" s="3" t="n">
        <v>204</v>
      </c>
      <c r="E611" t="inlineStr"/>
      <c r="F611" t="inlineStr"/>
      <c r="G611" t="inlineStr">
        <is>
          <t>used</t>
        </is>
      </c>
      <c r="H611" s="4" t="n">
        <v>190</v>
      </c>
      <c r="I611" t="inlineStr"/>
      <c r="J611" t="inlineStr">
        <is>
          <t>71067 Baden-Württemberg - Sindelfingen</t>
        </is>
      </c>
      <c r="K611" s="5" t="n">
        <v>45543</v>
      </c>
      <c r="L611" t="inlineStr">
        <is>
          <t>Sold</t>
        </is>
      </c>
      <c r="M611" s="6">
        <f>HYPERLINK("https://www.kleinanzeigen.de/s-anzeige/surfsegel-severne-ncx-pro-8-0/2857957904-230-8992", "Link")</f>
        <v/>
      </c>
      <c r="N611" s="6">
        <f>HYPERLINK("C:\Projects\Kleinanzeigen-Scraper\offer_images\2857957904", "Link")</f>
        <v/>
      </c>
      <c r="O611" t="inlineStr">
        <is>
          <t>MARE</t>
        </is>
      </c>
      <c r="P611" s="6">
        <f>HYPERLINK("https://www.kleinanzeigen.de/s-bestandsliste.html?userId=1047078", "Link")</f>
        <v/>
      </c>
      <c r="Q611" s="7" t="n">
        <v>45556.93465277777</v>
      </c>
      <c r="R611" s="3" t="inlineStr">
        <is>
          <t>5.96</t>
        </is>
      </c>
      <c r="S611" t="inlineStr">
        <is>
          <t>Böblingen</t>
        </is>
      </c>
    </row>
    <row r="612">
      <c r="A612" s="2" t="n">
        <v>6.7</v>
      </c>
      <c r="B612" t="inlineStr">
        <is>
          <t>Neilpryde Speedster</t>
        </is>
      </c>
      <c r="C612" s="3" t="n">
        <v>430</v>
      </c>
      <c r="D612" s="3" t="inlineStr">
        <is>
          <t>194-200</t>
        </is>
      </c>
      <c r="E612" t="inlineStr"/>
      <c r="F612" t="inlineStr">
        <is>
          <t>2021</t>
        </is>
      </c>
      <c r="G612" t="inlineStr">
        <is>
          <t>repaired</t>
        </is>
      </c>
      <c r="H612" s="4" t="n">
        <v>220</v>
      </c>
      <c r="I612" t="inlineStr"/>
      <c r="J612" t="inlineStr">
        <is>
          <t>04109 Leipzig (ggf. Karlsruhe | Saaler Bodden | Salzhaff nach Abstimmung)</t>
        </is>
      </c>
      <c r="K612" s="5" t="n">
        <v>45552</v>
      </c>
      <c r="L612" t="inlineStr">
        <is>
          <t>Sold</t>
        </is>
      </c>
      <c r="M612" s="6">
        <f>HYPERLINK("https://www.dailydose.de/kleinanzeigen/detail.htm?ai=422769&amp;cf=kk&amp;pg=5&amp;ci=5", "Link")</f>
        <v/>
      </c>
      <c r="N612" s="6">
        <f>HYPERLINK("C:\Projects\Kleinanzeigen-Scraper\offer_images\422769", "Link")</f>
        <v/>
      </c>
      <c r="O612" t="inlineStr">
        <is>
          <t>Seewasser</t>
        </is>
      </c>
      <c r="P612" s="6">
        <f>HYPERLINK("https://www.dailydose.de/kleinanzeigen/user/2170", "Link")</f>
        <v/>
      </c>
      <c r="Q612" s="7" t="n">
        <v>45555.56918981481</v>
      </c>
      <c r="R612" s="3" t="inlineStr">
        <is>
          <t>360.56</t>
        </is>
      </c>
      <c r="S612" t="inlineStr">
        <is>
          <t>München</t>
        </is>
      </c>
    </row>
    <row r="613">
      <c r="A613" s="2" t="n">
        <v>5.3</v>
      </c>
      <c r="B613" t="inlineStr">
        <is>
          <t>Vandal (Gaastra / GA Sails) Riot</t>
        </is>
      </c>
      <c r="C613" s="3" t="n">
        <v>400</v>
      </c>
      <c r="D613" s="3" t="n">
        <v>172</v>
      </c>
      <c r="E613" t="inlineStr"/>
      <c r="F613" t="inlineStr"/>
      <c r="G613" t="inlineStr">
        <is>
          <t>used</t>
        </is>
      </c>
      <c r="H613" s="4" t="n">
        <v>75</v>
      </c>
      <c r="I613" t="inlineStr">
        <is>
          <t>VB</t>
        </is>
      </c>
      <c r="J613" t="inlineStr">
        <is>
          <t>53844 Troisdorf (Bonn/Köln)</t>
        </is>
      </c>
      <c r="K613" s="5" t="n">
        <v>45552</v>
      </c>
      <c r="L613" t="inlineStr">
        <is>
          <t>Sold</t>
        </is>
      </c>
      <c r="M613" s="6">
        <f>HYPERLINK("https://www.dailydose.de/kleinanzeigen/detail.htm?ai=422779&amp;cf=kk&amp;pg=5&amp;ci=5", "Link")</f>
        <v/>
      </c>
      <c r="N613" s="6">
        <f>HYPERLINK("C:\Projects\Kleinanzeigen-Scraper\offer_images\422779", "Link")</f>
        <v/>
      </c>
      <c r="O613" t="inlineStr">
        <is>
          <t>GK</t>
        </is>
      </c>
      <c r="P613" s="6">
        <f>HYPERLINK("https://www.dailydose.de/kleinanzeigen/user/13476", "Link")</f>
        <v/>
      </c>
      <c r="Q613" s="7" t="n">
        <v>45555.56912037037</v>
      </c>
      <c r="R613" s="3" t="inlineStr">
        <is>
          <t>19.95</t>
        </is>
      </c>
      <c r="S613" t="inlineStr">
        <is>
          <t>Köln</t>
        </is>
      </c>
    </row>
    <row r="614">
      <c r="A614" s="2" t="n">
        <v>5.7</v>
      </c>
      <c r="B614" t="inlineStr">
        <is>
          <t>North Sails Ice</t>
        </is>
      </c>
      <c r="C614" s="3" t="n">
        <v>4.39</v>
      </c>
      <c r="D614" s="3" t="inlineStr">
        <is>
          <t>1.76-1.79</t>
        </is>
      </c>
      <c r="E614" t="inlineStr"/>
      <c r="F614" t="inlineStr"/>
      <c r="G614" t="inlineStr">
        <is>
          <t>used</t>
        </is>
      </c>
      <c r="H614" s="4" t="n">
        <v>80</v>
      </c>
      <c r="I614" t="inlineStr"/>
      <c r="J614" t="inlineStr">
        <is>
          <t>10119 Berlin</t>
        </is>
      </c>
      <c r="K614" s="5" t="n">
        <v>45555</v>
      </c>
      <c r="L614" t="inlineStr">
        <is>
          <t>Sold</t>
        </is>
      </c>
      <c r="M614" s="6">
        <f>HYPERLINK("https://www.dailydose.de/kleinanzeigen/detail.htm?ai=422890&amp;cf=kk&amp;pg=4&amp;ci=5", "Link")</f>
        <v/>
      </c>
      <c r="N614" s="6">
        <f>HYPERLINK("C:\Projects\Kleinanzeigen-Scraper\offer_images\422890", "Link")</f>
        <v/>
      </c>
      <c r="O614" t="inlineStr">
        <is>
          <t>surfberlin</t>
        </is>
      </c>
      <c r="P614" s="6">
        <f>HYPERLINK("https://www.dailydose.de/kleinanzeigen/user/2517", "Link")</f>
        <v/>
      </c>
      <c r="Q614" s="7" t="n">
        <v>45555.56877314814</v>
      </c>
      <c r="R614" s="3" t="inlineStr">
        <is>
          <t>478.06</t>
        </is>
      </c>
      <c r="S614" t="inlineStr">
        <is>
          <t>Köln</t>
        </is>
      </c>
    </row>
    <row r="615">
      <c r="A615" s="2" t="n">
        <v>5.2</v>
      </c>
      <c r="B615" t="inlineStr">
        <is>
          <t>Duotone Idol LTD</t>
        </is>
      </c>
      <c r="C615" s="3" t="inlineStr"/>
      <c r="D615" s="3" t="inlineStr"/>
      <c r="E615" t="inlineStr"/>
      <c r="F615" t="inlineStr">
        <is>
          <t>2024</t>
        </is>
      </c>
      <c r="G615" t="inlineStr">
        <is>
          <t>used</t>
        </is>
      </c>
      <c r="H615" s="4" t="n">
        <v>450</v>
      </c>
      <c r="I615" t="inlineStr"/>
      <c r="J615" t="inlineStr">
        <is>
          <t>Denmark</t>
        </is>
      </c>
      <c r="K615" s="5" t="n">
        <v>45553</v>
      </c>
      <c r="L615" t="inlineStr">
        <is>
          <t>Sold</t>
        </is>
      </c>
      <c r="M615" s="6">
        <f>HYPERLINK("https://www.dailydose.de/kleinanzeigen/detail.htm?ai=422793&amp;cf=kk&amp;pg=5&amp;ci=5", "Link")</f>
        <v/>
      </c>
      <c r="N615" s="6">
        <f>HYPERLINK("C:\Projects\Kleinanzeigen-Scraper\offer_images\422793", "Link")</f>
        <v/>
      </c>
      <c r="O615" t="inlineStr">
        <is>
          <t>Mikkel Lambaek Soerensen</t>
        </is>
      </c>
      <c r="P615" s="6">
        <f>HYPERLINK("https://www.dailydose.de/kleinanzeigen/user/16856", "Link")</f>
        <v/>
      </c>
      <c r="Q615" s="7" t="n">
        <v>45555.56861111111</v>
      </c>
      <c r="R615" s="3" t="inlineStr">
        <is>
          <t>571.88</t>
        </is>
      </c>
      <c r="S615" t="inlineStr">
        <is>
          <t>Köln</t>
        </is>
      </c>
    </row>
    <row r="616">
      <c r="A616" s="2" t="n">
        <v>4.2</v>
      </c>
      <c r="B616" t="inlineStr">
        <is>
          <t>Goya Banzai pro</t>
        </is>
      </c>
      <c r="C616" s="3" t="inlineStr"/>
      <c r="D616" s="3" t="inlineStr"/>
      <c r="E616" t="inlineStr"/>
      <c r="F616" t="inlineStr">
        <is>
          <t>2023</t>
        </is>
      </c>
      <c r="G616" t="inlineStr">
        <is>
          <t>repaired</t>
        </is>
      </c>
      <c r="H616" s="4" t="n">
        <v>390</v>
      </c>
      <c r="I616" t="inlineStr">
        <is>
          <t>VB</t>
        </is>
      </c>
      <c r="J616" t="inlineStr">
        <is>
          <t>24217 Schönberg</t>
        </is>
      </c>
      <c r="K616" s="5" t="n">
        <v>45552</v>
      </c>
      <c r="L616" t="inlineStr">
        <is>
          <t>Sold</t>
        </is>
      </c>
      <c r="M616" s="6">
        <f>HYPERLINK("https://www.dailydose.de/kleinanzeigen/detail.htm?ai=422754&amp;cf=kk&amp;pg=5&amp;ci=5", "Link")</f>
        <v/>
      </c>
      <c r="N616" s="6">
        <f>HYPERLINK("C:\Projects\Kleinanzeigen-Scraper\offer_images\422754", "Link")</f>
        <v/>
      </c>
      <c r="O616" t="inlineStr">
        <is>
          <t>charlotta</t>
        </is>
      </c>
      <c r="P616" s="6">
        <f>HYPERLINK("https://www.dailydose.de/kleinanzeigen/user/90", "Link")</f>
        <v/>
      </c>
      <c r="Q616" s="7" t="n">
        <v>45555.56855324074</v>
      </c>
      <c r="R616" s="3" t="inlineStr">
        <is>
          <t>447.79</t>
        </is>
      </c>
      <c r="S616" t="inlineStr">
        <is>
          <t>Köln</t>
        </is>
      </c>
    </row>
    <row r="617">
      <c r="A617" s="2" t="n">
        <v>4.2</v>
      </c>
      <c r="B617" t="inlineStr">
        <is>
          <t>GOYA BANZAI X</t>
        </is>
      </c>
      <c r="C617" s="3" t="inlineStr"/>
      <c r="D617" s="3" t="inlineStr"/>
      <c r="E617" t="inlineStr"/>
      <c r="F617" t="inlineStr">
        <is>
          <t>2023</t>
        </is>
      </c>
      <c r="G617" t="inlineStr">
        <is>
          <t>used</t>
        </is>
      </c>
      <c r="H617" s="4" t="n">
        <v>430</v>
      </c>
      <c r="I617" t="inlineStr"/>
      <c r="J617" t="inlineStr">
        <is>
          <t>67245</t>
        </is>
      </c>
      <c r="K617" s="5" t="n">
        <v>45555</v>
      </c>
      <c r="L617" t="inlineStr">
        <is>
          <t>Sold</t>
        </is>
      </c>
      <c r="M617" s="6">
        <f>HYPERLINK("https://www.dailydose.de/kleinanzeigen/detail.htm?ai=422878&amp;cf=kk&amp;pg=5&amp;ci=5", "Link")</f>
        <v/>
      </c>
      <c r="N617" s="6">
        <f>HYPERLINK("C:\Projects\Kleinanzeigen-Scraper\offer_images\422878", "Link")</f>
        <v/>
      </c>
      <c r="O617" t="inlineStr">
        <is>
          <t>Frank_74</t>
        </is>
      </c>
      <c r="P617" s="6">
        <f>HYPERLINK("https://www.dailydose.de/kleinanzeigen/user/6289", "Link")</f>
        <v/>
      </c>
      <c r="Q617" s="7" t="n">
        <v>45555.56840277778</v>
      </c>
      <c r="R617" s="3" t="inlineStr">
        <is>
          <t>56.18</t>
        </is>
      </c>
      <c r="S617" t="inlineStr">
        <is>
          <t>Karlsruhe</t>
        </is>
      </c>
    </row>
    <row r="618">
      <c r="A618" s="2" t="n">
        <v>7.8</v>
      </c>
      <c r="B618" t="inlineStr">
        <is>
          <t>Neil Pryde RS Racing EVO 5</t>
        </is>
      </c>
      <c r="C618" s="3" t="n">
        <v>460</v>
      </c>
      <c r="D618" s="3" t="n">
        <v>216</v>
      </c>
      <c r="E618" t="inlineStr">
        <is>
          <t>Slalom/Race</t>
        </is>
      </c>
      <c r="F618" t="inlineStr"/>
      <c r="G618" t="inlineStr">
        <is>
          <t>used</t>
        </is>
      </c>
      <c r="H618" s="4" t="n">
        <v>130</v>
      </c>
      <c r="I618" t="inlineStr"/>
      <c r="J618" t="inlineStr">
        <is>
          <t>14558 Nuthetal</t>
        </is>
      </c>
      <c r="K618" s="5" t="n">
        <v>45554</v>
      </c>
      <c r="L618" t="inlineStr">
        <is>
          <t>Sold</t>
        </is>
      </c>
      <c r="M618" s="6">
        <f>HYPERLINK("https://www.dailydose.de/kleinanzeigen/detail.htm?ai=422868&amp;cf=kk&amp;pg=5&amp;ci=5", "Link")</f>
        <v/>
      </c>
      <c r="N618" s="6">
        <f>HYPERLINK("C:\Projects\Kleinanzeigen-Scraper\offer_images\422868", "Link")</f>
        <v/>
      </c>
      <c r="O618" t="inlineStr">
        <is>
          <t>Guido_126</t>
        </is>
      </c>
      <c r="P618" s="6">
        <f>HYPERLINK("https://www.dailydose.de/kleinanzeigen/user/9574", "Link")</f>
        <v/>
      </c>
      <c r="Q618" s="7" t="n">
        <v>45555.56833333334</v>
      </c>
      <c r="R618" s="3" t="inlineStr">
        <is>
          <t>453.79</t>
        </is>
      </c>
      <c r="S618" t="inlineStr">
        <is>
          <t>Köln</t>
        </is>
      </c>
    </row>
    <row r="619">
      <c r="A619" s="2" t="n">
        <v>4</v>
      </c>
      <c r="B619" t="inlineStr">
        <is>
          <t>Sailloft AIR</t>
        </is>
      </c>
      <c r="C619" s="3" t="inlineStr"/>
      <c r="D619" s="3" t="inlineStr"/>
      <c r="E619" t="inlineStr"/>
      <c r="F619" t="inlineStr">
        <is>
          <t>2022</t>
        </is>
      </c>
      <c r="G619" t="inlineStr">
        <is>
          <t>repaired</t>
        </is>
      </c>
      <c r="H619" s="4" t="n">
        <v>220</v>
      </c>
      <c r="I619" t="inlineStr">
        <is>
          <t>VB</t>
        </is>
      </c>
      <c r="J619" t="inlineStr">
        <is>
          <t>24217 Schönberg</t>
        </is>
      </c>
      <c r="K619" s="5" t="n">
        <v>45552</v>
      </c>
      <c r="L619" t="inlineStr">
        <is>
          <t>Sold</t>
        </is>
      </c>
      <c r="M619" s="6">
        <f>HYPERLINK("https://www.dailydose.de/kleinanzeigen/detail.htm?ai=422757&amp;cf=kk&amp;pg=2&amp;ci=5", "Link")</f>
        <v/>
      </c>
      <c r="N619" s="6">
        <f>HYPERLINK("C:\Projects\Kleinanzeigen-Scraper\offer_images\422757", "Link")</f>
        <v/>
      </c>
      <c r="O619" t="inlineStr">
        <is>
          <t>charlotta</t>
        </is>
      </c>
      <c r="P619" s="6">
        <f>HYPERLINK("https://www.dailydose.de/kleinanzeigen/user/90", "Link")</f>
        <v/>
      </c>
      <c r="Q619" s="7" t="n">
        <v>45555.56813657407</v>
      </c>
      <c r="R619" s="3" t="inlineStr">
        <is>
          <t>447.79</t>
        </is>
      </c>
      <c r="S619" t="inlineStr">
        <is>
          <t>Köln</t>
        </is>
      </c>
    </row>
    <row r="620">
      <c r="A620" s="2" t="n">
        <v>6.2</v>
      </c>
      <c r="B620" t="inlineStr">
        <is>
          <t>Duotone E_Pace</t>
        </is>
      </c>
      <c r="C620" s="3" t="inlineStr"/>
      <c r="D620" s="3" t="inlineStr"/>
      <c r="E620" t="inlineStr"/>
      <c r="F620" t="inlineStr"/>
      <c r="G620" t="inlineStr">
        <is>
          <t>used</t>
        </is>
      </c>
      <c r="H620" s="4" t="n">
        <v>450</v>
      </c>
      <c r="I620" t="inlineStr">
        <is>
          <t>VB</t>
        </is>
      </c>
      <c r="J620" t="inlineStr">
        <is>
          <t>5020 Salzburg</t>
        </is>
      </c>
      <c r="K620" s="5" t="n">
        <v>45554</v>
      </c>
      <c r="L620" t="inlineStr">
        <is>
          <t>Sold</t>
        </is>
      </c>
      <c r="M620" s="6">
        <f>HYPERLINK("https://www.dailydose.de/kleinanzeigen/detail.htm?ai=422857&amp;cf=kk&amp;pg=5&amp;ci=5", "Link")</f>
        <v/>
      </c>
      <c r="N620" s="6">
        <f>HYPERLINK("C:\Projects\Kleinanzeigen-Scraper\offer_images\422857", "Link")</f>
        <v/>
      </c>
      <c r="O620" t="inlineStr">
        <is>
          <t>Leo_136</t>
        </is>
      </c>
      <c r="P620" s="6">
        <f>HYPERLINK("https://www.dailydose.de/kleinanzeigen/user/20977", "Link")</f>
        <v/>
      </c>
      <c r="Q620" s="7" t="n">
        <v>45555.56795138889</v>
      </c>
      <c r="R620" s="3" t="inlineStr">
        <is>
          <t>115.37</t>
        </is>
      </c>
      <c r="S620" t="inlineStr">
        <is>
          <t>München</t>
        </is>
      </c>
    </row>
    <row r="621">
      <c r="A621" s="2" t="n">
        <v>3.7</v>
      </c>
      <c r="B621" t="inlineStr">
        <is>
          <t>GOYA BANZAI X</t>
        </is>
      </c>
      <c r="C621" s="3" t="inlineStr"/>
      <c r="D621" s="3" t="inlineStr"/>
      <c r="E621" t="inlineStr"/>
      <c r="F621" t="inlineStr">
        <is>
          <t>2023</t>
        </is>
      </c>
      <c r="G621" t="inlineStr">
        <is>
          <t>used</t>
        </is>
      </c>
      <c r="H621" s="4" t="n">
        <v>420</v>
      </c>
      <c r="I621" t="inlineStr"/>
      <c r="J621" t="inlineStr">
        <is>
          <t>67245</t>
        </is>
      </c>
      <c r="K621" s="5" t="n">
        <v>45555</v>
      </c>
      <c r="L621" t="inlineStr">
        <is>
          <t>Sold</t>
        </is>
      </c>
      <c r="M621" s="6">
        <f>HYPERLINK("https://www.dailydose.de/kleinanzeigen/detail.htm?ai=422877&amp;cf=kk&amp;pg=5&amp;ci=5", "Link")</f>
        <v/>
      </c>
      <c r="N621" s="6">
        <f>HYPERLINK("C:\Projects\Kleinanzeigen-Scraper\offer_images\422877", "Link")</f>
        <v/>
      </c>
      <c r="O621" t="inlineStr">
        <is>
          <t>Frank_74</t>
        </is>
      </c>
      <c r="P621" s="6">
        <f>HYPERLINK("https://www.dailydose.de/kleinanzeigen/user/6289", "Link")</f>
        <v/>
      </c>
      <c r="Q621" s="7" t="n">
        <v>45555.56791666667</v>
      </c>
      <c r="R621" s="3" t="inlineStr">
        <is>
          <t>56.18</t>
        </is>
      </c>
      <c r="S621" t="inlineStr">
        <is>
          <t>Karlsruhe</t>
        </is>
      </c>
    </row>
    <row r="622">
      <c r="A622" s="2" t="n">
        <v>4</v>
      </c>
      <c r="B622" t="inlineStr">
        <is>
          <t>Goya Banzai Xpro</t>
        </is>
      </c>
      <c r="C622" s="3" t="inlineStr"/>
      <c r="D622" s="3" t="inlineStr"/>
      <c r="E622" t="inlineStr"/>
      <c r="F622" t="inlineStr">
        <is>
          <t>2023</t>
        </is>
      </c>
      <c r="G622" t="inlineStr">
        <is>
          <t>repaired</t>
        </is>
      </c>
      <c r="H622" s="4" t="n">
        <v>355</v>
      </c>
      <c r="I622" t="inlineStr">
        <is>
          <t>VB</t>
        </is>
      </c>
      <c r="J622" t="inlineStr">
        <is>
          <t>24217 Schönberg</t>
        </is>
      </c>
      <c r="K622" s="5" t="n">
        <v>45552</v>
      </c>
      <c r="L622" t="inlineStr">
        <is>
          <t>Sold</t>
        </is>
      </c>
      <c r="M622" s="6">
        <f>HYPERLINK("https://www.dailydose.de/kleinanzeigen/detail.htm?ai=422752&amp;cf=kk&amp;pg=5&amp;ci=5", "Link")</f>
        <v/>
      </c>
      <c r="N622" s="6">
        <f>HYPERLINK("C:\Projects\Kleinanzeigen-Scraper\offer_images\422752", "Link")</f>
        <v/>
      </c>
      <c r="O622" t="inlineStr">
        <is>
          <t>charlotta</t>
        </is>
      </c>
      <c r="P622" s="6">
        <f>HYPERLINK("https://www.dailydose.de/kleinanzeigen/user/90", "Link")</f>
        <v/>
      </c>
      <c r="Q622" s="7" t="n">
        <v>45555.56731481481</v>
      </c>
      <c r="R622" s="3" t="inlineStr">
        <is>
          <t>447.79</t>
        </is>
      </c>
      <c r="S622" t="inlineStr">
        <is>
          <t>Köln</t>
        </is>
      </c>
    </row>
    <row r="623">
      <c r="A623" s="2" t="n">
        <v>5.4</v>
      </c>
      <c r="B623" t="inlineStr">
        <is>
          <t>Neil Pryde The Fly</t>
        </is>
      </c>
      <c r="C623" s="3" t="n">
        <v>400</v>
      </c>
      <c r="D623" s="3" t="n">
        <v>173</v>
      </c>
      <c r="E623" t="inlineStr"/>
      <c r="F623" t="inlineStr"/>
      <c r="G623" t="inlineStr">
        <is>
          <t>used</t>
        </is>
      </c>
      <c r="H623" s="4" t="n">
        <v>170</v>
      </c>
      <c r="I623" t="inlineStr"/>
      <c r="J623" t="inlineStr">
        <is>
          <t>22085 HH/Kiel/Sylt</t>
        </is>
      </c>
      <c r="K623" s="5" t="n">
        <v>45551</v>
      </c>
      <c r="L623" t="inlineStr">
        <is>
          <t>Sold</t>
        </is>
      </c>
      <c r="M623" s="6">
        <f>HYPERLINK("https://www.dailydose.de/kleinanzeigen/detail.htm?ai=422745&amp;cf=kk&amp;pg=5&amp;ci=5", "Link")</f>
        <v/>
      </c>
      <c r="N623" s="6">
        <f>HYPERLINK("C:\Projects\Kleinanzeigen-Scraper\offer_images\422745", "Link")</f>
        <v/>
      </c>
      <c r="O623" t="inlineStr">
        <is>
          <t>KrisWave</t>
        </is>
      </c>
      <c r="P623" s="6">
        <f>HYPERLINK("https://www.dailydose.de/kleinanzeigen/user/25708", "Link")</f>
        <v/>
      </c>
      <c r="Q623" s="7" t="n">
        <v>45555.56689814815</v>
      </c>
      <c r="R623" s="3" t="inlineStr">
        <is>
          <t>359.41</t>
        </is>
      </c>
      <c r="S623" t="inlineStr">
        <is>
          <t>Köln</t>
        </is>
      </c>
    </row>
    <row r="624">
      <c r="A624" s="2" t="n">
        <v>7.4</v>
      </c>
      <c r="B624" t="inlineStr">
        <is>
          <t>Goya Nexus</t>
        </is>
      </c>
      <c r="C624" s="3" t="n">
        <v>460</v>
      </c>
      <c r="D624" s="3" t="inlineStr"/>
      <c r="E624" t="inlineStr"/>
      <c r="F624" t="inlineStr">
        <is>
          <t>2019</t>
        </is>
      </c>
      <c r="G624" t="inlineStr">
        <is>
          <t>new</t>
        </is>
      </c>
      <c r="H624" s="4" t="n">
        <v>240</v>
      </c>
      <c r="I624" t="inlineStr"/>
      <c r="J624" t="inlineStr">
        <is>
          <t>Stuttgart</t>
        </is>
      </c>
      <c r="K624" s="5" t="n">
        <v>45552</v>
      </c>
      <c r="L624" t="inlineStr">
        <is>
          <t>Sold</t>
        </is>
      </c>
      <c r="M624" s="6">
        <f>HYPERLINK("https://www.dailydose.de/kleinanzeigen/detail.htm?ai=422751&amp;cf=kk&amp;pg=5&amp;ci=5", "Link")</f>
        <v/>
      </c>
      <c r="N624" s="6">
        <f>HYPERLINK("C:\Projects\Kleinanzeigen-Scraper\offer_images\422751", "Link")</f>
        <v/>
      </c>
      <c r="O624" t="inlineStr">
        <is>
          <t>Roman_96</t>
        </is>
      </c>
      <c r="P624" s="6">
        <f>HYPERLINK("https://www.dailydose.de/kleinanzeigen/user/20905", "Link")</f>
        <v/>
      </c>
      <c r="Q624" s="7" t="n">
        <v>45555.56680555556</v>
      </c>
      <c r="R624" s="3" t="inlineStr">
        <is>
          <t>18.71</t>
        </is>
      </c>
      <c r="S624" t="inlineStr">
        <is>
          <t>Böblingen</t>
        </is>
      </c>
    </row>
    <row r="625">
      <c r="A625" s="2" t="n">
        <v>3.1</v>
      </c>
      <c r="B625" t="inlineStr">
        <is>
          <t>Simmer Blacktip</t>
        </is>
      </c>
      <c r="C625" s="3" t="inlineStr"/>
      <c r="D625" s="3" t="inlineStr"/>
      <c r="E625" t="inlineStr"/>
      <c r="F625" t="inlineStr">
        <is>
          <t>2023</t>
        </is>
      </c>
      <c r="G625" t="inlineStr">
        <is>
          <t>new</t>
        </is>
      </c>
      <c r="H625" s="4" t="inlineStr"/>
      <c r="I625" t="inlineStr">
        <is>
          <t>VB</t>
        </is>
      </c>
      <c r="J625" t="inlineStr">
        <is>
          <t>31515 Wunstorf</t>
        </is>
      </c>
      <c r="K625" s="5" t="n">
        <v>45553</v>
      </c>
      <c r="L625" t="inlineStr">
        <is>
          <t>Sold</t>
        </is>
      </c>
      <c r="M625" s="6">
        <f>HYPERLINK("https://www.dailydose.de/kleinanzeigen/detail.htm?ai=422822&amp;cf=kk&amp;pg=1&amp;ci=5", "Link")</f>
        <v/>
      </c>
      <c r="N625" s="6">
        <f>HYPERLINK("C:\Projects\Kleinanzeigen-Scraper\offer_images\422822", "Link")</f>
        <v/>
      </c>
      <c r="O625" t="inlineStr">
        <is>
          <t>sli</t>
        </is>
      </c>
      <c r="P625" s="6">
        <f>HYPERLINK("https://www.dailydose.de/kleinanzeigen/user/1312", "Link")</f>
        <v/>
      </c>
      <c r="Q625" s="7" t="n">
        <v>45555.56680555556</v>
      </c>
      <c r="R625" s="3" t="inlineStr">
        <is>
          <t>236.47</t>
        </is>
      </c>
      <c r="S625" t="inlineStr">
        <is>
          <t>Köln</t>
        </is>
      </c>
    </row>
    <row r="626">
      <c r="A626" s="2" t="n">
        <v>4.4</v>
      </c>
      <c r="B626" t="inlineStr">
        <is>
          <t>Sailloft AIR</t>
        </is>
      </c>
      <c r="C626" s="3" t="inlineStr"/>
      <c r="D626" s="3" t="inlineStr"/>
      <c r="E626" t="inlineStr"/>
      <c r="F626" t="inlineStr"/>
      <c r="G626" t="inlineStr">
        <is>
          <t>used</t>
        </is>
      </c>
      <c r="H626" s="4" t="n">
        <v>245</v>
      </c>
      <c r="I626" t="inlineStr">
        <is>
          <t>VB</t>
        </is>
      </c>
      <c r="J626" t="inlineStr">
        <is>
          <t>24217 Schönberg</t>
        </is>
      </c>
      <c r="K626" s="5" t="n">
        <v>45552</v>
      </c>
      <c r="L626" t="inlineStr">
        <is>
          <t>Sold</t>
        </is>
      </c>
      <c r="M626" s="6">
        <f>HYPERLINK("https://www.dailydose.de/kleinanzeigen/detail.htm?ai=422756&amp;cf=kk&amp;pg=5&amp;ci=5", "Link")</f>
        <v/>
      </c>
      <c r="N626" s="6">
        <f>HYPERLINK("C:\Projects\Kleinanzeigen-Scraper\offer_images\422756", "Link")</f>
        <v/>
      </c>
      <c r="O626" t="inlineStr">
        <is>
          <t>charlotta</t>
        </is>
      </c>
      <c r="P626" s="6">
        <f>HYPERLINK("https://www.dailydose.de/kleinanzeigen/user/90", "Link")</f>
        <v/>
      </c>
      <c r="Q626" s="7" t="n">
        <v>45555.56674768519</v>
      </c>
      <c r="R626" s="3" t="inlineStr">
        <is>
          <t>447.79</t>
        </is>
      </c>
      <c r="S626" t="inlineStr">
        <is>
          <t>Köln</t>
        </is>
      </c>
    </row>
    <row r="627">
      <c r="A627" s="2" t="n">
        <v>4.2</v>
      </c>
      <c r="B627" t="inlineStr">
        <is>
          <t>GOYA BANZAI X</t>
        </is>
      </c>
      <c r="C627" s="3" t="n">
        <v>370</v>
      </c>
      <c r="D627" s="3" t="inlineStr">
        <is>
          <t>149-152</t>
        </is>
      </c>
      <c r="E627" t="inlineStr">
        <is>
          <t>Freestyle</t>
        </is>
      </c>
      <c r="F627" t="inlineStr">
        <is>
          <t>2021/22</t>
        </is>
      </c>
      <c r="G627" t="inlineStr">
        <is>
          <t>new</t>
        </is>
      </c>
      <c r="H627" s="4" t="n">
        <v>325</v>
      </c>
      <c r="I627" t="inlineStr"/>
      <c r="J627" t="inlineStr">
        <is>
          <t>67245</t>
        </is>
      </c>
      <c r="K627" s="5" t="n">
        <v>45555</v>
      </c>
      <c r="L627" t="inlineStr">
        <is>
          <t>Sold</t>
        </is>
      </c>
      <c r="M627" s="6">
        <f>HYPERLINK("https://www.dailydose.de/kleinanzeigen/detail.htm?ai=422876&amp;cf=kk&amp;pg=5&amp;ci=5", "Link")</f>
        <v/>
      </c>
      <c r="N627" s="6">
        <f>HYPERLINK("C:\Projects\Kleinanzeigen-Scraper\offer_images\422876", "Link")</f>
        <v/>
      </c>
      <c r="O627" t="inlineStr">
        <is>
          <t>Frank_74</t>
        </is>
      </c>
      <c r="P627" s="6">
        <f>HYPERLINK("https://www.dailydose.de/kleinanzeigen/user/6289", "Link")</f>
        <v/>
      </c>
      <c r="Q627" s="7" t="n">
        <v>45555.56662037037</v>
      </c>
      <c r="R627" s="3" t="inlineStr">
        <is>
          <t>56.18</t>
        </is>
      </c>
      <c r="S627" t="inlineStr">
        <is>
          <t>Karlsruhe</t>
        </is>
      </c>
    </row>
    <row r="628">
      <c r="A628" s="2" t="n">
        <v>7.8</v>
      </c>
      <c r="B628" t="inlineStr">
        <is>
          <t>Loftsails Racingblade</t>
        </is>
      </c>
      <c r="C628" s="3" t="n">
        <v>484</v>
      </c>
      <c r="D628" s="3" t="n">
        <v>217</v>
      </c>
      <c r="E628" t="inlineStr"/>
      <c r="F628" t="inlineStr">
        <is>
          <t>2012</t>
        </is>
      </c>
      <c r="G628" t="inlineStr"/>
      <c r="H628" s="4" t="n">
        <v>150</v>
      </c>
      <c r="I628" t="inlineStr">
        <is>
          <t>VB</t>
        </is>
      </c>
      <c r="J628" t="inlineStr">
        <is>
          <t>21502 Geesthacht</t>
        </is>
      </c>
      <c r="K628" s="5" t="n">
        <v>45551</v>
      </c>
      <c r="L628" t="inlineStr">
        <is>
          <t>Sold</t>
        </is>
      </c>
      <c r="M628" s="6">
        <f>HYPERLINK("https://www.dailydose.de/kleinanzeigen/detail.htm?ai=422741&amp;cf=kk&amp;pg=5&amp;ci=5", "Link")</f>
        <v/>
      </c>
      <c r="N628" s="6">
        <f>HYPERLINK("C:\Projects\Kleinanzeigen-Scraper\offer_images\422741", "Link")</f>
        <v/>
      </c>
      <c r="O628" t="inlineStr">
        <is>
          <t>ZippL</t>
        </is>
      </c>
      <c r="P628" s="6">
        <f>HYPERLINK("https://www.dailydose.de/kleinanzeigen/user/19025", "Link")</f>
        <v/>
      </c>
      <c r="Q628" s="7" t="n">
        <v>45555.56655092593</v>
      </c>
      <c r="R628" s="3" t="inlineStr">
        <is>
          <t>364.52</t>
        </is>
      </c>
      <c r="S628" t="inlineStr">
        <is>
          <t>Köln</t>
        </is>
      </c>
    </row>
    <row r="629">
      <c r="A629" s="2" t="n">
        <v>4</v>
      </c>
      <c r="B629" t="inlineStr">
        <is>
          <t>RRD Wave Vogue BLKRBN</t>
        </is>
      </c>
      <c r="C629" s="3" t="n">
        <v>340</v>
      </c>
      <c r="D629" s="3" t="inlineStr">
        <is>
          <t>152-156</t>
        </is>
      </c>
      <c r="E629" t="inlineStr"/>
      <c r="F629" t="inlineStr">
        <is>
          <t>2024</t>
        </is>
      </c>
      <c r="G629" t="inlineStr">
        <is>
          <t>used</t>
        </is>
      </c>
      <c r="H629" s="4" t="n">
        <v>450</v>
      </c>
      <c r="I629" t="inlineStr">
        <is>
          <t>VB</t>
        </is>
      </c>
      <c r="J629" t="inlineStr">
        <is>
          <t>22043 Hamburg</t>
        </is>
      </c>
      <c r="K629" s="5" t="n">
        <v>45553</v>
      </c>
      <c r="L629" t="inlineStr">
        <is>
          <t>Sold</t>
        </is>
      </c>
      <c r="M629" s="6">
        <f>HYPERLINK("https://www.dailydose.de/kleinanzeigen/detail.htm?ai=422820&amp;cf=kk&amp;pg=5&amp;ci=5", "Link")</f>
        <v/>
      </c>
      <c r="N629" s="6">
        <f>HYPERLINK("C:\Projects\Kleinanzeigen-Scraper\offer_images\422820", "Link")</f>
        <v/>
      </c>
      <c r="O629" t="inlineStr">
        <is>
          <t>brettspiele</t>
        </is>
      </c>
      <c r="P629" s="6">
        <f>HYPERLINK("https://www.dailydose.de/kleinanzeigen/user/17962", "Link")</f>
        <v/>
      </c>
      <c r="Q629" s="7" t="n">
        <v>45555.56638888889</v>
      </c>
      <c r="R629" s="3" t="inlineStr">
        <is>
          <t>362.40</t>
        </is>
      </c>
      <c r="S629" t="inlineStr">
        <is>
          <t>Köln</t>
        </is>
      </c>
    </row>
    <row r="630">
      <c r="A630" s="2" t="n">
        <v>6</v>
      </c>
      <c r="B630" t="inlineStr">
        <is>
          <t>NeilPryde Fusion</t>
        </is>
      </c>
      <c r="C630" s="3" t="inlineStr"/>
      <c r="D630" s="3" t="inlineStr"/>
      <c r="E630" t="inlineStr"/>
      <c r="F630" t="inlineStr">
        <is>
          <t>2023</t>
        </is>
      </c>
      <c r="G630" t="inlineStr">
        <is>
          <t>used</t>
        </is>
      </c>
      <c r="H630" s="4" t="n">
        <v>350</v>
      </c>
      <c r="I630" t="inlineStr"/>
      <c r="J630" t="inlineStr">
        <is>
          <t>16816 Neuruppin</t>
        </is>
      </c>
      <c r="K630" s="5" t="n">
        <v>45553</v>
      </c>
      <c r="L630" t="inlineStr">
        <is>
          <t>Sold</t>
        </is>
      </c>
      <c r="M630" s="6">
        <f>HYPERLINK("https://www.dailydose.de/kleinanzeigen/detail.htm?ai=422796&amp;cf=kk&amp;pg=2&amp;ci=5", "Link")</f>
        <v/>
      </c>
      <c r="N630" s="6">
        <f>HYPERLINK("C:\Projects\Kleinanzeigen-Scraper\offer_images\422796", "Link")</f>
        <v/>
      </c>
      <c r="O630" t="inlineStr">
        <is>
          <t>Felix_50</t>
        </is>
      </c>
      <c r="P630" s="6">
        <f>HYPERLINK("https://www.dailydose.de/kleinanzeigen/user/8203", "Link")</f>
        <v/>
      </c>
      <c r="Q630" s="7" t="n">
        <v>45555.56627314815</v>
      </c>
      <c r="R630" s="3" t="inlineStr">
        <is>
          <t>454.95</t>
        </is>
      </c>
      <c r="S630" t="inlineStr">
        <is>
          <t>Köln</t>
        </is>
      </c>
    </row>
    <row r="631">
      <c r="A631" s="2" t="n">
        <v>4</v>
      </c>
      <c r="B631" t="inlineStr">
        <is>
          <t>Duotone Idol LTD</t>
        </is>
      </c>
      <c r="C631" s="3" t="inlineStr"/>
      <c r="D631" s="3" t="inlineStr"/>
      <c r="E631" t="inlineStr"/>
      <c r="F631" t="inlineStr">
        <is>
          <t>2024</t>
        </is>
      </c>
      <c r="G631" t="inlineStr">
        <is>
          <t>used</t>
        </is>
      </c>
      <c r="H631" s="4" t="n">
        <v>450</v>
      </c>
      <c r="I631" t="inlineStr"/>
      <c r="J631" t="inlineStr">
        <is>
          <t>Denmark</t>
        </is>
      </c>
      <c r="K631" s="5" t="n">
        <v>45553</v>
      </c>
      <c r="L631" t="inlineStr">
        <is>
          <t>Sold</t>
        </is>
      </c>
      <c r="M631" s="6">
        <f>HYPERLINK("https://www.dailydose.de/kleinanzeigen/detail.htm?ai=422791&amp;cf=kk&amp;pg=5&amp;ci=5", "Link")</f>
        <v/>
      </c>
      <c r="N631" s="6">
        <f>HYPERLINK("C:\Projects\Kleinanzeigen-Scraper\offer_images\422791", "Link")</f>
        <v/>
      </c>
      <c r="O631" t="inlineStr">
        <is>
          <t>Mikkel Lambaek Soerensen</t>
        </is>
      </c>
      <c r="P631" s="6">
        <f>HYPERLINK("https://www.dailydose.de/kleinanzeigen/user/16856", "Link")</f>
        <v/>
      </c>
      <c r="Q631" s="7" t="n">
        <v>45555.56607638889</v>
      </c>
      <c r="R631" s="3" t="inlineStr">
        <is>
          <t>571.88</t>
        </is>
      </c>
      <c r="S631" t="inlineStr">
        <is>
          <t>Köln</t>
        </is>
      </c>
    </row>
    <row r="632">
      <c r="A632" s="2" t="n">
        <v>4.5</v>
      </c>
      <c r="B632" t="inlineStr">
        <is>
          <t>Goya Banzai Pro</t>
        </is>
      </c>
      <c r="C632" s="3" t="n">
        <v>370</v>
      </c>
      <c r="D632" s="3" t="n">
        <v>393</v>
      </c>
      <c r="E632" t="inlineStr">
        <is>
          <t>Powerwave</t>
        </is>
      </c>
      <c r="F632" t="inlineStr">
        <is>
          <t>2023</t>
        </is>
      </c>
      <c r="G632" t="inlineStr">
        <is>
          <t>used</t>
        </is>
      </c>
      <c r="H632" s="4" t="n">
        <v>450</v>
      </c>
      <c r="I632" t="inlineStr">
        <is>
          <t>VB</t>
        </is>
      </c>
      <c r="J632" t="inlineStr">
        <is>
          <t>24217 Schönberg</t>
        </is>
      </c>
      <c r="K632" s="5" t="n">
        <v>45552</v>
      </c>
      <c r="L632" t="inlineStr">
        <is>
          <t>Sold</t>
        </is>
      </c>
      <c r="M632" s="6">
        <f>HYPERLINK("https://www.dailydose.de/kleinanzeigen/detail.htm?ai=422753&amp;cf=kk&amp;pg=5&amp;ci=5", "Link")</f>
        <v/>
      </c>
      <c r="N632" s="6">
        <f>HYPERLINK("C:\Projects\Kleinanzeigen-Scraper\offer_images\422753", "Link")</f>
        <v/>
      </c>
      <c r="O632" t="inlineStr">
        <is>
          <t>charlotta</t>
        </is>
      </c>
      <c r="P632" s="6">
        <f>HYPERLINK("https://www.dailydose.de/kleinanzeigen/user/90", "Link")</f>
        <v/>
      </c>
      <c r="Q632" s="7" t="n">
        <v>45555.56587962963</v>
      </c>
      <c r="R632" s="3" t="inlineStr">
        <is>
          <t>447.79</t>
        </is>
      </c>
      <c r="S632" t="inlineStr">
        <is>
          <t>Köln</t>
        </is>
      </c>
    </row>
    <row r="633">
      <c r="A633" s="2" t="n">
        <v>4.8</v>
      </c>
      <c r="B633" t="inlineStr">
        <is>
          <t>Duotone Idol LTD</t>
        </is>
      </c>
      <c r="C633" s="3" t="inlineStr"/>
      <c r="D633" s="3" t="inlineStr"/>
      <c r="E633" t="inlineStr"/>
      <c r="F633" t="inlineStr">
        <is>
          <t>2024</t>
        </is>
      </c>
      <c r="G633" t="inlineStr">
        <is>
          <t>used</t>
        </is>
      </c>
      <c r="H633" s="4" t="n">
        <v>450</v>
      </c>
      <c r="I633" t="inlineStr"/>
      <c r="J633" t="inlineStr">
        <is>
          <t>Denmark</t>
        </is>
      </c>
      <c r="K633" s="5" t="n">
        <v>45553</v>
      </c>
      <c r="L633" t="inlineStr">
        <is>
          <t>Sold</t>
        </is>
      </c>
      <c r="M633" s="6">
        <f>HYPERLINK("https://www.dailydose.de/kleinanzeigen/detail.htm?ai=422792&amp;cf=kk&amp;pg=5&amp;ci=5", "Link")</f>
        <v/>
      </c>
      <c r="N633" s="6">
        <f>HYPERLINK("C:\Projects\Kleinanzeigen-Scraper\offer_images\422792", "Link")</f>
        <v/>
      </c>
      <c r="O633" t="inlineStr">
        <is>
          <t>Mikkel Lambaek Soerensen</t>
        </is>
      </c>
      <c r="P633" s="6">
        <f>HYPERLINK("https://www.dailydose.de/kleinanzeigen/user/16856", "Link")</f>
        <v/>
      </c>
      <c r="Q633" s="7" t="n">
        <v>45555.56578703703</v>
      </c>
      <c r="R633" s="3" t="inlineStr">
        <is>
          <t>571.88</t>
        </is>
      </c>
      <c r="S633" t="inlineStr">
        <is>
          <t>Köln</t>
        </is>
      </c>
    </row>
    <row r="634">
      <c r="A634" s="2" t="n">
        <v>7.3</v>
      </c>
      <c r="B634" t="inlineStr">
        <is>
          <t>North Sails E-Type</t>
        </is>
      </c>
      <c r="C634" s="3" t="inlineStr"/>
      <c r="D634" s="3" t="inlineStr"/>
      <c r="E634" t="inlineStr">
        <is>
          <t>Freeride</t>
        </is>
      </c>
      <c r="F634" t="inlineStr"/>
      <c r="G634" t="inlineStr"/>
      <c r="H634" s="4" t="n">
        <v>130</v>
      </c>
      <c r="I634" t="inlineStr"/>
      <c r="J634" t="inlineStr">
        <is>
          <t>42697 Solingen</t>
        </is>
      </c>
      <c r="K634" s="5" t="n">
        <v>45553</v>
      </c>
      <c r="L634" t="inlineStr">
        <is>
          <t>Sold</t>
        </is>
      </c>
      <c r="M634" s="6">
        <f>HYPERLINK("https://www.dailydose.de/kleinanzeigen/detail.htm?ai=422781&amp;cf=kk&amp;pg=2&amp;ci=5", "Link")</f>
        <v/>
      </c>
      <c r="N634" s="6">
        <f>HYPERLINK("C:\Projects\Kleinanzeigen-Scraper\offer_images\422781", "Link")</f>
        <v/>
      </c>
      <c r="O634" t="inlineStr">
        <is>
          <t>Badehose</t>
        </is>
      </c>
      <c r="P634" s="6">
        <f>HYPERLINK("https://www.dailydose.de/kleinanzeigen/user/9297", "Link")</f>
        <v/>
      </c>
      <c r="Q634" s="7" t="n">
        <v>45555.5657175926</v>
      </c>
      <c r="R634" s="3" t="inlineStr">
        <is>
          <t>24.09</t>
        </is>
      </c>
      <c r="S634" t="inlineStr">
        <is>
          <t>Köln</t>
        </is>
      </c>
    </row>
    <row r="635">
      <c r="A635" s="2" t="n">
        <v>5.4</v>
      </c>
      <c r="B635" t="inlineStr">
        <is>
          <t>Naish Boxer</t>
        </is>
      </c>
      <c r="C635" s="3" t="n">
        <v>400</v>
      </c>
      <c r="D635" s="3" t="n">
        <v>170</v>
      </c>
      <c r="E635" t="inlineStr"/>
      <c r="F635" t="inlineStr"/>
      <c r="G635" t="inlineStr">
        <is>
          <t>used</t>
        </is>
      </c>
      <c r="H635" s="4" t="inlineStr">
        <is>
          <t>45 EUR</t>
        </is>
      </c>
      <c r="I635" t="inlineStr"/>
      <c r="J635" t="inlineStr">
        <is>
          <t>22395 Hamburg</t>
        </is>
      </c>
      <c r="K635" s="5" t="n">
        <v>45555</v>
      </c>
      <c r="L635" t="inlineStr">
        <is>
          <t>Sold</t>
        </is>
      </c>
      <c r="M635" s="6">
        <f>HYPERLINK("https://www.dailydose.de/kleinanzeigen/detail.htm?ai=422892&amp;cf=kk&amp;pg=1&amp;ci=5", "Link")</f>
        <v/>
      </c>
      <c r="N635" s="6">
        <f>HYPERLINK("C:\Projects\Kleinanzeigen-Scraper\offer_images\422892", "Link")</f>
        <v/>
      </c>
      <c r="O635" t="inlineStr">
        <is>
          <t>J_191</t>
        </is>
      </c>
      <c r="P635" s="6">
        <f>HYPERLINK("https://www.dailydose.de/kleinanzeigen/user/12219", "Link")</f>
        <v/>
      </c>
      <c r="Q635" s="7" t="n">
        <v>45555.56559027778</v>
      </c>
      <c r="R635" s="3" t="inlineStr">
        <is>
          <t>372.75</t>
        </is>
      </c>
      <c r="S635" t="inlineStr">
        <is>
          <t>Köln</t>
        </is>
      </c>
    </row>
    <row r="636">
      <c r="A636" s="2" t="n">
        <v>2.2</v>
      </c>
      <c r="B636" t="inlineStr">
        <is>
          <t>Neil Pryde Dragonfly</t>
        </is>
      </c>
      <c r="C636" s="3" t="inlineStr"/>
      <c r="D636" s="3" t="inlineStr"/>
      <c r="E636" t="inlineStr"/>
      <c r="F636" t="inlineStr"/>
      <c r="G636" t="inlineStr">
        <is>
          <t>used</t>
        </is>
      </c>
      <c r="H636" s="4" t="inlineStr">
        <is>
          <t>160 EUR</t>
        </is>
      </c>
      <c r="I636" t="inlineStr">
        <is>
          <t>VB</t>
        </is>
      </c>
      <c r="J636" t="inlineStr">
        <is>
          <t>Konstanz</t>
        </is>
      </c>
      <c r="K636" s="5" t="n">
        <v>45552</v>
      </c>
      <c r="L636" t="inlineStr">
        <is>
          <t>Sold</t>
        </is>
      </c>
      <c r="M636" s="6">
        <f>HYPERLINK("https://www.dailydose.de/kleinanzeigen/detail.htm?ai=422777&amp;cf=kk&amp;pg=5&amp;ci=5", "Link")</f>
        <v/>
      </c>
      <c r="N636" s="6">
        <f>HYPERLINK("C:\Projects\Kleinanzeigen-Scraper\offer_images\422777", "Link")</f>
        <v/>
      </c>
      <c r="O636" t="inlineStr">
        <is>
          <t>Mark_31</t>
        </is>
      </c>
      <c r="P636" s="6">
        <f>HYPERLINK("https://www.dailydose.de/kleinanzeigen/user/13887", "Link")</f>
        <v/>
      </c>
      <c r="Q636" s="7" t="n">
        <v>45555.56555555556</v>
      </c>
      <c r="R636" s="3" t="inlineStr">
        <is>
          <t>65.04</t>
        </is>
      </c>
      <c r="S636" t="inlineStr">
        <is>
          <t>Bonndorf</t>
        </is>
      </c>
    </row>
    <row r="637">
      <c r="A637" s="2" t="n">
        <v>4.2</v>
      </c>
      <c r="B637" t="inlineStr">
        <is>
          <t>Sailloft Curve</t>
        </is>
      </c>
      <c r="C637" s="3" t="inlineStr"/>
      <c r="D637" s="3" t="inlineStr"/>
      <c r="E637" t="inlineStr"/>
      <c r="F637" t="inlineStr"/>
      <c r="G637" t="inlineStr">
        <is>
          <t>used</t>
        </is>
      </c>
      <c r="H637" s="4" t="n">
        <v>70</v>
      </c>
      <c r="I637" t="inlineStr">
        <is>
          <t>VB</t>
        </is>
      </c>
      <c r="J637" t="inlineStr">
        <is>
          <t>22175 Wandsbek - Hamburg Bramfeld</t>
        </is>
      </c>
      <c r="K637" s="5" t="n">
        <v>45552</v>
      </c>
      <c r="L637" t="inlineStr">
        <is>
          <t>Sold</t>
        </is>
      </c>
      <c r="M637" s="6">
        <f>HYPERLINK("https://www.kleinanzeigen.de/s-anzeige/sailloft-curve-4-2/2866672667-230-9453", "Link")</f>
        <v/>
      </c>
      <c r="N637" s="6">
        <f>HYPERLINK("C:\Projects\Kleinanzeigen-Scraper\offer_images\2866672667", "Link")</f>
        <v/>
      </c>
      <c r="O637" t="inlineStr">
        <is>
          <t>Wolfgang</t>
        </is>
      </c>
      <c r="P637" s="6">
        <f>HYPERLINK("https://www.kleinanzeigen.de/s-bestandsliste.html?userId=12180310", "Link")</f>
        <v/>
      </c>
      <c r="Q637" s="7" t="n">
        <v>45555.56542824074</v>
      </c>
      <c r="R637" s="3" t="inlineStr">
        <is>
          <t>367.43</t>
        </is>
      </c>
      <c r="S637" t="inlineStr">
        <is>
          <t>Köln</t>
        </is>
      </c>
    </row>
    <row r="638">
      <c r="A638" s="2" t="n">
        <v>6</v>
      </c>
      <c r="B638" t="inlineStr">
        <is>
          <t>Duotone Unit</t>
        </is>
      </c>
      <c r="C638" s="3" t="inlineStr"/>
      <c r="D638" s="3" t="inlineStr"/>
      <c r="E638" t="inlineStr"/>
      <c r="F638" t="inlineStr"/>
      <c r="G638" t="inlineStr">
        <is>
          <t>repaired</t>
        </is>
      </c>
      <c r="H638" s="4" t="n">
        <v>500</v>
      </c>
      <c r="I638" t="inlineStr"/>
      <c r="J638" t="inlineStr">
        <is>
          <t>09306 Sachsen - Wechselburg</t>
        </is>
      </c>
      <c r="K638" s="5" t="n">
        <v>45553</v>
      </c>
      <c r="L638" t="inlineStr">
        <is>
          <t>Sold</t>
        </is>
      </c>
      <c r="M638" s="6">
        <f>HYPERLINK("https://www.kleinanzeigen.de/s-anzeige/duotone-unit-6-0/2867291344-230-23603", "Link")</f>
        <v/>
      </c>
      <c r="N638" s="6">
        <f>HYPERLINK("C:\Projects\Kleinanzeigen-Scraper\offer_images\2867291344", "Link")</f>
        <v/>
      </c>
      <c r="O638" t="inlineStr">
        <is>
          <t>nad flanders</t>
        </is>
      </c>
      <c r="P638" s="6">
        <f>HYPERLINK("https://www.kleinanzeigen.de/s-bestandsliste.html?userId=4065103", "Link")</f>
        <v/>
      </c>
      <c r="Q638" s="7" t="n">
        <v>45555.5654050926</v>
      </c>
      <c r="R638" s="3" t="inlineStr">
        <is>
          <t>335.10</t>
        </is>
      </c>
      <c r="S638" t="inlineStr">
        <is>
          <t>München</t>
        </is>
      </c>
    </row>
    <row r="639">
      <c r="A639" s="2" t="n">
        <v>8</v>
      </c>
      <c r="B639" t="inlineStr">
        <is>
          <t>Severne IQ Foil Youth</t>
        </is>
      </c>
      <c r="C639" s="3" t="inlineStr"/>
      <c r="D639" s="3" t="inlineStr"/>
      <c r="E639" t="inlineStr"/>
      <c r="F639" t="inlineStr"/>
      <c r="G639" t="inlineStr">
        <is>
          <t>used</t>
        </is>
      </c>
      <c r="H639" s="4" t="n">
        <v>420</v>
      </c>
      <c r="I639" t="inlineStr"/>
      <c r="J639" t="inlineStr">
        <is>
          <t>65812 Hessen - Bad Soden am Taunus</t>
        </is>
      </c>
      <c r="K639" s="5" t="n">
        <v>45552</v>
      </c>
      <c r="L639" t="inlineStr">
        <is>
          <t>Sold</t>
        </is>
      </c>
      <c r="M639" s="6">
        <f>HYPERLINK("https://www.kleinanzeigen.de/s-anzeige/iq-foil-youth-sail-severne-8-0-m2/2866797158-230-4544", "Link")</f>
        <v/>
      </c>
      <c r="N639" s="6">
        <f>HYPERLINK("C:\Projects\Kleinanzeigen-Scraper\offer_images\2866797158", "Link")</f>
        <v/>
      </c>
      <c r="O639" t="inlineStr">
        <is>
          <t>Yaman</t>
        </is>
      </c>
      <c r="P639" s="6">
        <f>HYPERLINK("https://www.kleinanzeigen.de/s-bestandsliste.html?userId=135459781", "Link")</f>
        <v/>
      </c>
      <c r="Q639" s="7" t="n">
        <v>45555.56534722223</v>
      </c>
      <c r="R639" s="3" t="inlineStr">
        <is>
          <t>128.06</t>
        </is>
      </c>
      <c r="S639" t="inlineStr">
        <is>
          <t>Karlsruhe</t>
        </is>
      </c>
    </row>
    <row r="640">
      <c r="A640" s="2" t="n">
        <v>7.7</v>
      </c>
      <c r="B640" t="inlineStr">
        <is>
          <t>Gunsails GSR</t>
        </is>
      </c>
      <c r="C640" s="3" t="inlineStr"/>
      <c r="D640" s="3" t="inlineStr"/>
      <c r="E640" t="inlineStr">
        <is>
          <t>Slalom</t>
        </is>
      </c>
      <c r="F640" t="inlineStr"/>
      <c r="G640" t="inlineStr">
        <is>
          <t>new</t>
        </is>
      </c>
      <c r="H640" s="4" t="n">
        <v>190</v>
      </c>
      <c r="I640" t="inlineStr"/>
      <c r="J640" t="inlineStr">
        <is>
          <t>21493 Herzogtum Lauenburg - Schwarzenbek</t>
        </is>
      </c>
      <c r="K640" s="5" t="n">
        <v>45552</v>
      </c>
      <c r="L640" t="inlineStr">
        <is>
          <t>Sold</t>
        </is>
      </c>
      <c r="M640" s="6">
        <f>HYPERLINK("https://www.kleinanzeigen.de/s-anzeige/gunsails-gsr-7-7-slalom-segel-windsurfen-kein-mach-warp-evo/2865966502-242-746", "Link")</f>
        <v/>
      </c>
      <c r="N640" s="6">
        <f>HYPERLINK("C:\Projects\Kleinanzeigen-Scraper\offer_images\2865966502", "Link")</f>
        <v/>
      </c>
      <c r="O640" t="inlineStr">
        <is>
          <t>Sebastian</t>
        </is>
      </c>
      <c r="P640" s="6">
        <f>HYPERLINK("https://www.kleinanzeigen.de/s-bestandsliste.html?userId=141573193", "Link")</f>
        <v/>
      </c>
      <c r="Q640" s="7" t="n">
        <v>45555.56525462963</v>
      </c>
      <c r="R640" s="3" t="inlineStr">
        <is>
          <t>378.85</t>
        </is>
      </c>
      <c r="S640" t="inlineStr">
        <is>
          <t>Köln</t>
        </is>
      </c>
    </row>
    <row r="641">
      <c r="A641" s="2" t="n">
        <v>6.3</v>
      </c>
      <c r="B641" t="inlineStr">
        <is>
          <t>The Gun Sail</t>
        </is>
      </c>
      <c r="C641" s="3" t="n">
        <v>4.82</v>
      </c>
      <c r="D641" s="3" t="n">
        <v>1.91</v>
      </c>
      <c r="E641" t="inlineStr">
        <is>
          <t>Wave Slalom</t>
        </is>
      </c>
      <c r="F641" t="inlineStr"/>
      <c r="G641" t="inlineStr">
        <is>
          <t>used</t>
        </is>
      </c>
      <c r="H641" s="4" t="n">
        <v>50</v>
      </c>
      <c r="I641" t="inlineStr">
        <is>
          <t>VB</t>
        </is>
      </c>
      <c r="J641" t="inlineStr">
        <is>
          <t>23556 Schleswig-Holstein - Lübeck</t>
        </is>
      </c>
      <c r="K641" s="5" t="n">
        <v>45554</v>
      </c>
      <c r="L641" t="inlineStr"/>
      <c r="M641" s="6">
        <f>HYPERLINK("https://www.kleinanzeigen.de/s-anzeige/the-gun-sail-6-3-wave-slalom-surfsegel/2868075624-230-413", "Link")</f>
        <v/>
      </c>
      <c r="N641" s="6">
        <f>HYPERLINK("C:\Projects\Kleinanzeigen-Scraper\offer_images\2868075624", "Link")</f>
        <v/>
      </c>
      <c r="O641" t="inlineStr">
        <is>
          <t>Stefan Koop</t>
        </is>
      </c>
      <c r="P641" s="6">
        <f>HYPERLINK("https://www.kleinanzeigen.de/s-bestandsliste.html?userId=8720419", "Link")</f>
        <v/>
      </c>
      <c r="Q641" s="7" t="n">
        <v>45555.56508101852</v>
      </c>
      <c r="R641" s="3" t="inlineStr">
        <is>
          <t>409.59</t>
        </is>
      </c>
      <c r="S641" t="inlineStr">
        <is>
          <t>Köln</t>
        </is>
      </c>
    </row>
    <row r="642">
      <c r="A642" s="2" t="n">
        <v>6</v>
      </c>
      <c r="B642" t="inlineStr">
        <is>
          <t>TEN CATE</t>
        </is>
      </c>
      <c r="C642" s="3" t="n">
        <v>4.26</v>
      </c>
      <c r="D642" s="3" t="n">
        <v>2.5</v>
      </c>
      <c r="E642" t="inlineStr"/>
      <c r="F642" t="inlineStr">
        <is>
          <t>1980s</t>
        </is>
      </c>
      <c r="G642" t="inlineStr">
        <is>
          <t>new</t>
        </is>
      </c>
      <c r="H642" s="4" t="n">
        <v>119</v>
      </c>
      <c r="I642" t="inlineStr">
        <is>
          <t>VB</t>
        </is>
      </c>
      <c r="J642" t="inlineStr">
        <is>
          <t>37124 Niedersachsen - Rosdorf</t>
        </is>
      </c>
      <c r="K642" s="5" t="n">
        <v>45552</v>
      </c>
      <c r="L642" t="inlineStr">
        <is>
          <t>Sold</t>
        </is>
      </c>
      <c r="M642" s="6">
        <f>HYPERLINK("https://www.kleinanzeigen.de/s-anzeige/vintage-ten-cate-windsurf-segel-6qm-neuwertig-gb-2-5m-1412-/1757581541-211-3133", "Link")</f>
        <v/>
      </c>
      <c r="N642" s="6">
        <f>HYPERLINK("C:\Projects\Kleinanzeigen-Scraper\offer_images\1757581541", "Link")</f>
        <v/>
      </c>
      <c r="O642" t="inlineStr">
        <is>
          <t>No user name</t>
        </is>
      </c>
      <c r="P642" s="6">
        <f>HYPERLINK("https://www.kleinanzeigen.deNo user link", "Link")</f>
        <v/>
      </c>
      <c r="Q642" s="7" t="n">
        <v>45555.56484953704</v>
      </c>
      <c r="R642" s="3" t="inlineStr">
        <is>
          <t>214.72</t>
        </is>
      </c>
      <c r="S642" t="inlineStr">
        <is>
          <t>Köln</t>
        </is>
      </c>
    </row>
    <row r="643">
      <c r="A643" s="2" t="n">
        <v>9</v>
      </c>
      <c r="B643" t="inlineStr">
        <is>
          <t>Duotone Evo SLS</t>
        </is>
      </c>
      <c r="C643" s="3" t="inlineStr"/>
      <c r="D643" s="3" t="inlineStr"/>
      <c r="E643" t="inlineStr"/>
      <c r="F643" t="inlineStr">
        <is>
          <t>2024</t>
        </is>
      </c>
      <c r="G643" t="inlineStr">
        <is>
          <t>new</t>
        </is>
      </c>
      <c r="H643" s="4" t="n">
        <v>1.3</v>
      </c>
      <c r="I643" t="inlineStr"/>
      <c r="J643" t="inlineStr">
        <is>
          <t>50823 Köln - Ehrenfeld</t>
        </is>
      </c>
      <c r="K643" s="5" t="n">
        <v>45553</v>
      </c>
      <c r="L643" t="inlineStr">
        <is>
          <t>Sold</t>
        </is>
      </c>
      <c r="M643" s="6">
        <f>HYPERLINK("https://www.kleinanzeigen.de/s-anzeige/duotone-evo-sls-9m-2024-perfekter-zustand/2867206682-230-981", "Link")</f>
        <v/>
      </c>
      <c r="N643" s="6">
        <f>HYPERLINK("C:\Projects\Kleinanzeigen-Scraper\offer_images\2867206682", "Link")</f>
        <v/>
      </c>
      <c r="O643" t="inlineStr">
        <is>
          <t>Steffi Brehmen</t>
        </is>
      </c>
      <c r="P643" s="6">
        <f>HYPERLINK("https://www.kleinanzeigen.de/s-bestandsliste.html?userId=17811639", "Link")</f>
        <v/>
      </c>
      <c r="Q643" s="7" t="n">
        <v>45555.56460648148</v>
      </c>
      <c r="R643" s="3" t="inlineStr">
        <is>
          <t>2.50</t>
        </is>
      </c>
      <c r="S643" t="inlineStr">
        <is>
          <t>Köln</t>
        </is>
      </c>
    </row>
    <row r="644">
      <c r="A644" s="2" t="n">
        <v>4</v>
      </c>
      <c r="B644" t="inlineStr">
        <is>
          <t>Severne Freek</t>
        </is>
      </c>
      <c r="C644" s="3" t="inlineStr"/>
      <c r="D644" s="3" t="inlineStr"/>
      <c r="E644" t="inlineStr">
        <is>
          <t>Freestyle</t>
        </is>
      </c>
      <c r="F644" t="inlineStr">
        <is>
          <t>2024</t>
        </is>
      </c>
      <c r="G644" t="inlineStr">
        <is>
          <t>new</t>
        </is>
      </c>
      <c r="H644" s="4" t="n">
        <v>700</v>
      </c>
      <c r="I644" t="inlineStr">
        <is>
          <t>VB</t>
        </is>
      </c>
      <c r="J644" t="inlineStr">
        <is>
          <t>48431 Nordrhein-Westfalen - Rheine</t>
        </is>
      </c>
      <c r="K644" s="5" t="n">
        <v>45555</v>
      </c>
      <c r="L644" t="inlineStr"/>
      <c r="M644" s="6">
        <f>HYPERLINK("https://www.kleinanzeigen.de/s-anzeige/2024-severne-freek-4-0-neu-windsurf-segel-freestyle/2868707228-230-1784", "Link")</f>
        <v/>
      </c>
      <c r="N644" s="6">
        <f>HYPERLINK("C:\Projects\Kleinanzeigen-Scraper\offer_images\2868707228", "Link")</f>
        <v/>
      </c>
      <c r="O644" t="inlineStr">
        <is>
          <t>soulsurfer1979</t>
        </is>
      </c>
      <c r="P644" s="6">
        <f>HYPERLINK("https://www.kleinanzeigen.de/s-bestandsliste.html?userId=4098948", "Link")</f>
        <v/>
      </c>
      <c r="Q644" s="7" t="n">
        <v>45555.56439814815</v>
      </c>
      <c r="R644" s="3" t="inlineStr">
        <is>
          <t>151.83</t>
        </is>
      </c>
      <c r="S644" t="inlineStr">
        <is>
          <t>Köln</t>
        </is>
      </c>
    </row>
    <row r="645">
      <c r="A645" s="2" t="n">
        <v>4.2</v>
      </c>
      <c r="B645" t="inlineStr">
        <is>
          <t>GOYA BANZAI X</t>
        </is>
      </c>
      <c r="C645" s="3" t="n">
        <v>370</v>
      </c>
      <c r="D645" s="3" t="inlineStr">
        <is>
          <t>152-149</t>
        </is>
      </c>
      <c r="E645" t="inlineStr">
        <is>
          <t>Freestyle</t>
        </is>
      </c>
      <c r="F645" t="inlineStr">
        <is>
          <t>2021/22</t>
        </is>
      </c>
      <c r="G645" t="inlineStr">
        <is>
          <t>new</t>
        </is>
      </c>
      <c r="H645" s="4" t="n">
        <v>325</v>
      </c>
      <c r="I645" t="inlineStr"/>
      <c r="J645" t="inlineStr">
        <is>
          <t>67245 Rheinland-Pfalz - Lambsheim</t>
        </is>
      </c>
      <c r="K645" s="5" t="n">
        <v>45555</v>
      </c>
      <c r="L645" t="inlineStr"/>
      <c r="M645" s="6">
        <f>HYPERLINK("https://www.kleinanzeigen.de/s-anzeige/goya-banzai-x-4-2-2021-22/2868552627-230-5186", "Link")</f>
        <v/>
      </c>
      <c r="N645" s="6">
        <f>HYPERLINK("C:\Projects\Kleinanzeigen-Scraper\offer_images\2868552627", "Link")</f>
        <v/>
      </c>
      <c r="O645" t="inlineStr">
        <is>
          <t>Frank</t>
        </is>
      </c>
      <c r="P645" s="6">
        <f>HYPERLINK("https://www.kleinanzeigen.de/s-bestandsliste.html?userId=8491603", "Link")</f>
        <v/>
      </c>
      <c r="Q645" s="7" t="n">
        <v>45555.56380787037</v>
      </c>
      <c r="R645" s="3" t="inlineStr">
        <is>
          <t>56.18</t>
        </is>
      </c>
      <c r="S645" t="inlineStr">
        <is>
          <t>Karlsruhe</t>
        </is>
      </c>
    </row>
    <row r="646">
      <c r="A646" s="2" t="n">
        <v>7.7</v>
      </c>
      <c r="B646" t="inlineStr">
        <is>
          <t>Neilpryde Speedster</t>
        </is>
      </c>
      <c r="C646" s="3" t="n">
        <v>460</v>
      </c>
      <c r="D646" s="3" t="n">
        <v>205</v>
      </c>
      <c r="E646" t="inlineStr"/>
      <c r="F646" t="inlineStr">
        <is>
          <t>2022</t>
        </is>
      </c>
      <c r="G646" t="inlineStr">
        <is>
          <t>used</t>
        </is>
      </c>
      <c r="H646" s="4" t="n">
        <v>275</v>
      </c>
      <c r="I646" t="inlineStr">
        <is>
          <t>VB</t>
        </is>
      </c>
      <c r="J646" t="inlineStr">
        <is>
          <t>25917 Schleswig-Holstein - Achtrup</t>
        </is>
      </c>
      <c r="K646" s="5" t="n">
        <v>45551</v>
      </c>
      <c r="L646" t="inlineStr"/>
      <c r="M646" s="6">
        <f>HYPERLINK("https://www.kleinanzeigen.de/s-anzeige/neilpryde-speedster-7-7-2022/2865501688-230-18118", "Link")</f>
        <v/>
      </c>
      <c r="N646" s="6">
        <f>HYPERLINK("C:\Projects\Kleinanzeigen-Scraper\offer_images\2865501688", "Link")</f>
        <v/>
      </c>
      <c r="O646" t="inlineStr">
        <is>
          <t>Bjørn</t>
        </is>
      </c>
      <c r="P646" s="6">
        <f>HYPERLINK("https://www.kleinanzeigen.de/s-bestandsliste.html?userId=10080735", "Link")</f>
        <v/>
      </c>
      <c r="Q646" s="7" t="n">
        <v>45555.56369212963</v>
      </c>
      <c r="R646" s="3" t="inlineStr">
        <is>
          <t>447.80</t>
        </is>
      </c>
      <c r="S646" t="inlineStr">
        <is>
          <t>Köln</t>
        </is>
      </c>
    </row>
    <row r="647">
      <c r="A647" s="2" t="n">
        <v>4.7</v>
      </c>
      <c r="B647" t="inlineStr">
        <is>
          <t>Duotone Super Hero SLS</t>
        </is>
      </c>
      <c r="C647" s="3" t="n">
        <v>400</v>
      </c>
      <c r="D647" s="3" t="inlineStr"/>
      <c r="E647" t="inlineStr"/>
      <c r="F647" t="inlineStr">
        <is>
          <t>2024</t>
        </is>
      </c>
      <c r="G647" t="inlineStr">
        <is>
          <t>used</t>
        </is>
      </c>
      <c r="H647" s="4" t="n">
        <v>510</v>
      </c>
      <c r="I647" t="inlineStr">
        <is>
          <t>VB</t>
        </is>
      </c>
      <c r="J647" t="inlineStr">
        <is>
          <t>38154 Niedersachsen - Königslutter am Elm</t>
        </is>
      </c>
      <c r="K647" s="5" t="n">
        <v>45553</v>
      </c>
      <c r="L647" t="inlineStr">
        <is>
          <t>Sold</t>
        </is>
      </c>
      <c r="M647" s="6">
        <f>HYPERLINK("https://www.kleinanzeigen.de/s-anzeige/duotone-super-hero-sls-4-7-2024/2867590475-230-14236", "Link")</f>
        <v/>
      </c>
      <c r="N647" s="6">
        <f>HYPERLINK("C:\Projects\Kleinanzeigen-Scraper\offer_images\2867590475", "Link")</f>
        <v/>
      </c>
      <c r="O647" t="inlineStr">
        <is>
          <t>M. Simoni</t>
        </is>
      </c>
      <c r="P647" s="6">
        <f>HYPERLINK("https://www.kleinanzeigen.de/s-bestandsliste.html?userId=43735199", "Link")</f>
        <v/>
      </c>
      <c r="Q647" s="7" t="n">
        <v>45555.56368055556</v>
      </c>
      <c r="R647" s="3" t="inlineStr">
        <is>
          <t>303.77</t>
        </is>
      </c>
      <c r="S647" t="inlineStr">
        <is>
          <t>Köln</t>
        </is>
      </c>
    </row>
    <row r="648">
      <c r="A648" s="2" t="n">
        <v>8.6</v>
      </c>
      <c r="B648" t="inlineStr">
        <is>
          <t>Gun Sails Vector</t>
        </is>
      </c>
      <c r="C648" s="3" t="inlineStr"/>
      <c r="D648" s="3" t="inlineStr"/>
      <c r="E648" t="inlineStr">
        <is>
          <t>Freerace</t>
        </is>
      </c>
      <c r="F648" t="inlineStr"/>
      <c r="G648" t="inlineStr">
        <is>
          <t>used</t>
        </is>
      </c>
      <c r="H648" s="4" t="n">
        <v>190</v>
      </c>
      <c r="I648" t="inlineStr">
        <is>
          <t>VB</t>
        </is>
      </c>
      <c r="J648" t="inlineStr">
        <is>
          <t>87452 Bayern - Altusried</t>
        </is>
      </c>
      <c r="K648" s="5" t="n">
        <v>45514</v>
      </c>
      <c r="L648" t="inlineStr"/>
      <c r="M648" s="6">
        <f>HYPERLINK("https://www.kleinanzeigen.de/s-anzeige/gun-sails-vector-8-6-freerace-3-cam/2833580386-230-7621", "Link")</f>
        <v/>
      </c>
      <c r="N648" s="6">
        <f>HYPERLINK("C:\Projects\Kleinanzeigen-Scraper\offer_images\2833580386", "Link")</f>
        <v/>
      </c>
      <c r="O648" t="inlineStr">
        <is>
          <t>Robert Scholz</t>
        </is>
      </c>
      <c r="P648" s="6">
        <f>HYPERLINK("https://www.kleinanzeigen.de/s-bestandsliste.html?userId=3884308", "Link")</f>
        <v/>
      </c>
      <c r="Q648" s="7" t="n">
        <v>45555.56356481482</v>
      </c>
      <c r="R648" s="3" t="inlineStr">
        <is>
          <t>109.83</t>
        </is>
      </c>
      <c r="S648" t="inlineStr">
        <is>
          <t>München</t>
        </is>
      </c>
    </row>
    <row r="649">
      <c r="A649" s="2" t="n">
        <v>8</v>
      </c>
      <c r="B649" t="inlineStr">
        <is>
          <t>Duotone Neo SLS</t>
        </is>
      </c>
      <c r="C649" s="3" t="inlineStr"/>
      <c r="D649" s="3" t="inlineStr"/>
      <c r="E649" t="inlineStr"/>
      <c r="F649" t="inlineStr">
        <is>
          <t>2023</t>
        </is>
      </c>
      <c r="G649" t="inlineStr">
        <is>
          <t>new</t>
        </is>
      </c>
      <c r="H649" s="4" t="n">
        <v>930</v>
      </c>
      <c r="I649" t="inlineStr">
        <is>
          <t>VB</t>
        </is>
      </c>
      <c r="J649" t="inlineStr">
        <is>
          <t>22763 Altona - Hamburg Ottensen</t>
        </is>
      </c>
      <c r="K649" s="5" t="n">
        <v>45552</v>
      </c>
      <c r="L649" t="inlineStr">
        <is>
          <t>Sold</t>
        </is>
      </c>
      <c r="M649" s="6">
        <f>HYPERLINK("https://www.kleinanzeigen.de/s-anzeige/duotone-neo-sls-8m2-2023-c04-mint-blue/2866771802-230-9505", "Link")</f>
        <v/>
      </c>
      <c r="N649" s="6">
        <f>HYPERLINK("C:\Projects\Kleinanzeigen-Scraper\offer_images\2866771802", "Link")</f>
        <v/>
      </c>
      <c r="O649" t="inlineStr">
        <is>
          <t>Peter Detjen</t>
        </is>
      </c>
      <c r="P649" s="6">
        <f>HYPERLINK("https://www.kleinanzeigen.de/s-bestandsliste.html?userId=19046965", "Link")</f>
        <v/>
      </c>
      <c r="Q649" s="7" t="n">
        <v>45555.56341435185</v>
      </c>
      <c r="R649" s="3" t="inlineStr">
        <is>
          <t>354.04</t>
        </is>
      </c>
      <c r="S649" t="inlineStr">
        <is>
          <t>Köln</t>
        </is>
      </c>
    </row>
    <row r="650">
      <c r="A650" s="2" t="n">
        <v>7.7</v>
      </c>
      <c r="B650" t="inlineStr">
        <is>
          <t>GA-Sails Cosmic</t>
        </is>
      </c>
      <c r="C650" s="3" t="n">
        <v>460</v>
      </c>
      <c r="D650" s="3" t="n">
        <v>211</v>
      </c>
      <c r="E650" t="inlineStr">
        <is>
          <t>Freerace</t>
        </is>
      </c>
      <c r="F650" t="inlineStr">
        <is>
          <t>2021</t>
        </is>
      </c>
      <c r="G650" t="inlineStr">
        <is>
          <t>new</t>
        </is>
      </c>
      <c r="H650" s="4" t="n">
        <v>495</v>
      </c>
      <c r="I650" t="inlineStr"/>
      <c r="J650" t="inlineStr">
        <is>
          <t>82319 Bayern - Starnberg</t>
        </is>
      </c>
      <c r="K650" s="5" t="n">
        <v>45554</v>
      </c>
      <c r="L650" t="inlineStr"/>
      <c r="M650" s="6">
        <f>HYPERLINK("https://www.kleinanzeigen.de/s-anzeige/ga-sails-cosmic-windsurf-freerace-segel-7-7-c1-blue-neu-2021/1815040892-230-5525", "Link")</f>
        <v/>
      </c>
      <c r="N650" s="6">
        <f>HYPERLINK("C:\Projects\Kleinanzeigen-Scraper\offer_images\1815040892", "Link")</f>
        <v/>
      </c>
      <c r="O650" t="inlineStr">
        <is>
          <t>No user name</t>
        </is>
      </c>
      <c r="P650" s="6">
        <f>HYPERLINK("https://www.kleinanzeigen.deNo user link", "Link")</f>
        <v/>
      </c>
      <c r="Q650" s="7" t="n">
        <v>45555.56317129629</v>
      </c>
      <c r="R650" s="3" t="inlineStr">
        <is>
          <t>23.17</t>
        </is>
      </c>
      <c r="S650" t="inlineStr">
        <is>
          <t>München</t>
        </is>
      </c>
    </row>
    <row r="651">
      <c r="A651" s="2" t="n">
        <v>7</v>
      </c>
      <c r="B651" t="inlineStr">
        <is>
          <t>North Evo</t>
        </is>
      </c>
      <c r="C651" s="3" t="inlineStr"/>
      <c r="D651" s="3" t="inlineStr"/>
      <c r="E651" t="inlineStr"/>
      <c r="F651" t="inlineStr"/>
      <c r="G651" t="inlineStr">
        <is>
          <t>used</t>
        </is>
      </c>
      <c r="H651" s="4" t="n">
        <v>120</v>
      </c>
      <c r="I651" t="inlineStr">
        <is>
          <t>VB</t>
        </is>
      </c>
      <c r="J651" t="inlineStr">
        <is>
          <t>27245 Niedersachsen - Kirchdorf</t>
        </is>
      </c>
      <c r="K651" s="5" t="n">
        <v>45551</v>
      </c>
      <c r="L651" t="inlineStr">
        <is>
          <t>Sold</t>
        </is>
      </c>
      <c r="M651" s="6">
        <f>HYPERLINK("https://www.kleinanzeigen.de/s-anzeige/north-evo-7m2-jetzt-duotone-/2865855911-230-1234", "Link")</f>
        <v/>
      </c>
      <c r="N651" s="6">
        <f>HYPERLINK("C:\Projects\Kleinanzeigen-Scraper\offer_images\2865855911", "Link")</f>
        <v/>
      </c>
      <c r="O651" t="inlineStr">
        <is>
          <t>Ingo kammacher</t>
        </is>
      </c>
      <c r="P651" s="6">
        <f>HYPERLINK("https://www.kleinanzeigen.de/s-bestandsliste.html?userId=31706560", "Link")</f>
        <v/>
      </c>
      <c r="Q651" s="7" t="n">
        <v>45555.56302083333</v>
      </c>
      <c r="R651" s="3" t="inlineStr">
        <is>
          <t>221.61</t>
        </is>
      </c>
      <c r="S651" t="inlineStr">
        <is>
          <t>Köln</t>
        </is>
      </c>
    </row>
    <row r="652">
      <c r="A652" s="2" t="n">
        <v>5.8</v>
      </c>
      <c r="B652" t="inlineStr">
        <is>
          <t>Neilpryde Atlas</t>
        </is>
      </c>
      <c r="C652" s="3" t="inlineStr"/>
      <c r="D652" s="3" t="inlineStr"/>
      <c r="E652" t="inlineStr"/>
      <c r="F652" t="inlineStr"/>
      <c r="G652" t="inlineStr">
        <is>
          <t>repaired</t>
        </is>
      </c>
      <c r="H652" s="4" t="n">
        <v>149</v>
      </c>
      <c r="I652" t="inlineStr">
        <is>
          <t>VB</t>
        </is>
      </c>
      <c r="J652" t="inlineStr">
        <is>
          <t>24536 Schleswig-Holstein - Neumünster</t>
        </is>
      </c>
      <c r="K652" s="5" t="n">
        <v>45554</v>
      </c>
      <c r="L652" t="inlineStr"/>
      <c r="M652" s="6">
        <f>HYPERLINK("https://www.kleinanzeigen.de/s-anzeige/segel-neilpryde-atlas-5-8/2868459860-230-20567", "Link")</f>
        <v/>
      </c>
      <c r="N652" s="6">
        <f>HYPERLINK("C:\Projects\Kleinanzeigen-Scraper\offer_images\2868459860", "Link")</f>
        <v/>
      </c>
      <c r="O652" t="inlineStr">
        <is>
          <t>Arne Rohkohl</t>
        </is>
      </c>
      <c r="P652" s="6">
        <f>HYPERLINK("https://www.kleinanzeigen.de/s-bestandsliste.html?userId=22682883", "Link")</f>
        <v/>
      </c>
      <c r="Q652" s="7" t="n">
        <v>45555.56289351852</v>
      </c>
      <c r="R652" s="3" t="inlineStr">
        <is>
          <t>408.57</t>
        </is>
      </c>
      <c r="S652" t="inlineStr">
        <is>
          <t>Köln</t>
        </is>
      </c>
    </row>
    <row r="653">
      <c r="A653" s="2" t="n">
        <v>5</v>
      </c>
      <c r="B653" t="inlineStr">
        <is>
          <t>Gaastra Power Speed</t>
        </is>
      </c>
      <c r="C653" s="3" t="n">
        <v>4.5</v>
      </c>
      <c r="D653" s="3" t="n">
        <v>1.6</v>
      </c>
      <c r="E653" t="inlineStr"/>
      <c r="F653" t="inlineStr"/>
      <c r="G653" t="inlineStr">
        <is>
          <t>new</t>
        </is>
      </c>
      <c r="H653" s="4" t="n">
        <v>50</v>
      </c>
      <c r="I653" t="inlineStr">
        <is>
          <t>VB</t>
        </is>
      </c>
      <c r="J653" t="inlineStr">
        <is>
          <t>86916 Bayern - Kaufering</t>
        </is>
      </c>
      <c r="K653" s="5" t="n">
        <v>45555</v>
      </c>
      <c r="L653" t="inlineStr"/>
      <c r="M653" s="6">
        <f>HYPERLINK("https://www.kleinanzeigen.de/s-anzeige/windsurf-segel-gaastra-power-speed-5-0/2868807378-230-7095", "Link")</f>
        <v/>
      </c>
      <c r="N653" s="6">
        <f>HYPERLINK("C:\Projects\Kleinanzeigen-Scraper\offer_images\2868807378", "Link")</f>
        <v/>
      </c>
      <c r="O653" t="inlineStr">
        <is>
          <t>Andreas</t>
        </is>
      </c>
      <c r="P653" s="6">
        <f>HYPERLINK("https://www.kleinanzeigen.de/s-bestandsliste.html?userId=13416913", "Link")</f>
        <v/>
      </c>
      <c r="Q653" s="7" t="n">
        <v>45555.5628125</v>
      </c>
      <c r="R653" s="3" t="inlineStr">
        <is>
          <t>52.17</t>
        </is>
      </c>
      <c r="S653" t="inlineStr">
        <is>
          <t>München</t>
        </is>
      </c>
    </row>
    <row r="654">
      <c r="A654" s="2" t="n">
        <v>9</v>
      </c>
      <c r="B654" t="inlineStr">
        <is>
          <t>Challenger Sails Fluido</t>
        </is>
      </c>
      <c r="C654" s="3" t="n">
        <v>490</v>
      </c>
      <c r="D654" s="3" t="inlineStr"/>
      <c r="E654" t="inlineStr"/>
      <c r="F654" t="inlineStr"/>
      <c r="G654" t="inlineStr">
        <is>
          <t>used</t>
        </is>
      </c>
      <c r="H654" s="4" t="n">
        <v>40</v>
      </c>
      <c r="I654" t="inlineStr"/>
      <c r="J654" t="inlineStr">
        <is>
          <t>47198 Duisburg - Homberg/Ruhrort/Baerl</t>
        </is>
      </c>
      <c r="K654" s="5" t="n">
        <v>45553</v>
      </c>
      <c r="L654" t="inlineStr"/>
      <c r="M654" s="6">
        <f>HYPERLINK("https://www.kleinanzeigen.de/s-anzeige/challenger-sails-fluido-9-0-windsurfen-surfsegel/2866941521-230-2140", "Link")</f>
        <v/>
      </c>
      <c r="N654" s="6">
        <f>HYPERLINK("C:\Projects\Kleinanzeigen-Scraper\offer_images\2866941521", "Link")</f>
        <v/>
      </c>
      <c r="O654" t="inlineStr">
        <is>
          <t>Stephan Kalbertod</t>
        </is>
      </c>
      <c r="P654" s="6">
        <f>HYPERLINK("https://www.kleinanzeigen.de/s-bestandsliste.html?userId=8064073", "Link")</f>
        <v/>
      </c>
      <c r="Q654" s="7" t="n">
        <v>45555.56277777778</v>
      </c>
      <c r="R654" s="3" t="inlineStr">
        <is>
          <t>59.95</t>
        </is>
      </c>
      <c r="S654" t="inlineStr">
        <is>
          <t>Köln</t>
        </is>
      </c>
    </row>
    <row r="655">
      <c r="A655" s="2" t="n">
        <v>5.4</v>
      </c>
      <c r="B655" t="inlineStr">
        <is>
          <t>Naish Boxer</t>
        </is>
      </c>
      <c r="C655" s="3" t="n">
        <v>400</v>
      </c>
      <c r="D655" s="3" t="n">
        <v>170</v>
      </c>
      <c r="E655" t="inlineStr"/>
      <c r="F655" t="inlineStr"/>
      <c r="G655" t="inlineStr">
        <is>
          <t>used</t>
        </is>
      </c>
      <c r="H655" s="4" t="n">
        <v>45</v>
      </c>
      <c r="I655" t="inlineStr">
        <is>
          <t>VB</t>
        </is>
      </c>
      <c r="J655" t="inlineStr">
        <is>
          <t>22395 Wandsbek - Hamburg Bergstedt</t>
        </is>
      </c>
      <c r="K655" s="5" t="n">
        <v>45555</v>
      </c>
      <c r="L655" t="inlineStr">
        <is>
          <t>Sold</t>
        </is>
      </c>
      <c r="M655" s="6">
        <f>HYPERLINK("https://www.kleinanzeigen.de/s-anzeige/segel-naish-boxer-5-4qm/2868675850-230-9470", "Link")</f>
        <v/>
      </c>
      <c r="N655" s="6">
        <f>HYPERLINK("C:\Projects\Kleinanzeigen-Scraper\offer_images\2868675850", "Link")</f>
        <v/>
      </c>
      <c r="O655" t="inlineStr">
        <is>
          <t>Jörg Hennicke</t>
        </is>
      </c>
      <c r="P655" s="6">
        <f>HYPERLINK("https://www.kleinanzeigen.de/s-bestandsliste.html?userId=1926526", "Link")</f>
        <v/>
      </c>
      <c r="Q655" s="7" t="n">
        <v>45555.56275462963</v>
      </c>
      <c r="R655" s="3" t="inlineStr">
        <is>
          <t>372.75</t>
        </is>
      </c>
      <c r="S655" t="inlineStr">
        <is>
          <t>Köln</t>
        </is>
      </c>
    </row>
    <row r="656">
      <c r="A656" s="2" t="n">
        <v>4.5</v>
      </c>
      <c r="B656" t="inlineStr">
        <is>
          <t>Duotone Slick</t>
        </is>
      </c>
      <c r="C656" s="3" t="inlineStr"/>
      <c r="D656" s="3" t="inlineStr"/>
      <c r="E656" t="inlineStr">
        <is>
          <t>Freeride &amp; Freestyle</t>
        </is>
      </c>
      <c r="F656" t="inlineStr">
        <is>
          <t>2024</t>
        </is>
      </c>
      <c r="G656" t="inlineStr">
        <is>
          <t>new</t>
        </is>
      </c>
      <c r="H656" s="4" t="n">
        <v>1.05</v>
      </c>
      <c r="I656" t="inlineStr"/>
      <c r="J656" t="inlineStr">
        <is>
          <t>88175 Bayern - Scheidegg</t>
        </is>
      </c>
      <c r="K656" s="5" t="n">
        <v>45555</v>
      </c>
      <c r="L656" t="inlineStr">
        <is>
          <t>Sold</t>
        </is>
      </c>
      <c r="M656" s="6">
        <f>HYPERLINK("https://www.kleinanzeigen.de/s-anzeige/2024-duotone-slick-4-5/2868647750-230-16917", "Link")</f>
        <v/>
      </c>
      <c r="N656" s="6">
        <f>HYPERLINK("C:\Projects\Kleinanzeigen-Scraper\offer_images\2868647750", "Link")</f>
        <v/>
      </c>
      <c r="O656" t="inlineStr">
        <is>
          <t>Heiko iko Häußler</t>
        </is>
      </c>
      <c r="P656" s="6">
        <f>HYPERLINK("https://www.kleinanzeigen.de/s-bestandsliste.html?userId=17371570", "Link")</f>
        <v/>
      </c>
      <c r="Q656" s="7" t="n">
        <v>45555.56258101852</v>
      </c>
      <c r="R656" s="3" t="inlineStr">
        <is>
          <t>116.81</t>
        </is>
      </c>
      <c r="S656" t="inlineStr">
        <is>
          <t>Bonndorf</t>
        </is>
      </c>
    </row>
    <row r="657">
      <c r="A657" s="2" t="n">
        <v>4</v>
      </c>
      <c r="B657" t="inlineStr">
        <is>
          <t>Goya Banzai Pro</t>
        </is>
      </c>
      <c r="C657" s="3" t="inlineStr"/>
      <c r="D657" s="3" t="inlineStr"/>
      <c r="E657" t="inlineStr">
        <is>
          <t>Wave</t>
        </is>
      </c>
      <c r="F657" t="inlineStr">
        <is>
          <t>2018</t>
        </is>
      </c>
      <c r="G657" t="inlineStr">
        <is>
          <t>used</t>
        </is>
      </c>
      <c r="H657" s="4" t="n">
        <v>250</v>
      </c>
      <c r="I657" t="inlineStr"/>
      <c r="J657" t="inlineStr">
        <is>
          <t>14089 Berlin - Kladow</t>
        </is>
      </c>
      <c r="K657" s="5" t="n">
        <v>45531</v>
      </c>
      <c r="L657" t="inlineStr"/>
      <c r="M657" s="6">
        <f>HYPERLINK("https://www.kleinanzeigen.de/s-anzeige/goya-banzai-pro-4-0qm-2018-sehr-guter-zustand/2847852633-230-23977", "Link")</f>
        <v/>
      </c>
      <c r="N657" s="6">
        <f>HYPERLINK("C:\Projects\Kleinanzeigen-Scraper\offer_images\2847852633", "Link")</f>
        <v/>
      </c>
      <c r="O657" t="inlineStr">
        <is>
          <t>KoiKoiKoi</t>
        </is>
      </c>
      <c r="P657" s="6">
        <f>HYPERLINK("https://www.kleinanzeigen.de/s-bestandsliste.html?userId=49686748", "Link")</f>
        <v/>
      </c>
      <c r="Q657" s="7" t="n">
        <v>45555.56258101852</v>
      </c>
      <c r="R657" s="3" t="inlineStr">
        <is>
          <t>459.79</t>
        </is>
      </c>
      <c r="S657" t="inlineStr">
        <is>
          <t>Köln</t>
        </is>
      </c>
    </row>
    <row r="658">
      <c r="A658" s="2" t="n">
        <v>4.7</v>
      </c>
      <c r="B658" t="inlineStr">
        <is>
          <t>Sailloft Curve</t>
        </is>
      </c>
      <c r="C658" s="3" t="inlineStr"/>
      <c r="D658" s="3" t="inlineStr"/>
      <c r="E658" t="inlineStr"/>
      <c r="F658" t="inlineStr"/>
      <c r="G658" t="inlineStr">
        <is>
          <t>used</t>
        </is>
      </c>
      <c r="H658" s="4" t="n">
        <v>70</v>
      </c>
      <c r="I658" t="inlineStr">
        <is>
          <t>VB</t>
        </is>
      </c>
      <c r="J658" t="inlineStr">
        <is>
          <t>22175 Wandsbek - Hamburg Bramfeld</t>
        </is>
      </c>
      <c r="K658" s="5" t="n">
        <v>45552</v>
      </c>
      <c r="L658" t="inlineStr">
        <is>
          <t>Sold</t>
        </is>
      </c>
      <c r="M658" s="6">
        <f>HYPERLINK("https://www.kleinanzeigen.de/s-anzeige/sailloft-curve-4-7/2866669840-230-9453", "Link")</f>
        <v/>
      </c>
      <c r="N658" s="6">
        <f>HYPERLINK("C:\Projects\Kleinanzeigen-Scraper\offer_images\2866669840", "Link")</f>
        <v/>
      </c>
      <c r="O658" t="inlineStr">
        <is>
          <t>Wolfgang</t>
        </is>
      </c>
      <c r="P658" s="6">
        <f>HYPERLINK("https://www.kleinanzeigen.de/s-bestandsliste.html?userId=12180310", "Link")</f>
        <v/>
      </c>
      <c r="Q658" s="7" t="n">
        <v>45555.56237268518</v>
      </c>
      <c r="R658" s="3" t="inlineStr">
        <is>
          <t>367.43</t>
        </is>
      </c>
      <c r="S658" t="inlineStr">
        <is>
          <t>Köln</t>
        </is>
      </c>
    </row>
    <row r="659">
      <c r="A659" s="2" t="n">
        <v>2</v>
      </c>
      <c r="B659" t="inlineStr">
        <is>
          <t>Neil Pryde Dragonfly</t>
        </is>
      </c>
      <c r="C659" s="3" t="inlineStr"/>
      <c r="D659" s="3" t="inlineStr"/>
      <c r="E659" t="inlineStr"/>
      <c r="F659" t="inlineStr"/>
      <c r="G659" t="inlineStr">
        <is>
          <t>new</t>
        </is>
      </c>
      <c r="H659" s="4" t="n">
        <v>300</v>
      </c>
      <c r="I659" t="inlineStr"/>
      <c r="J659" t="inlineStr">
        <is>
          <t>23554 Schleswig-Holstein - Lübeck</t>
        </is>
      </c>
      <c r="K659" s="5" t="n">
        <v>45555</v>
      </c>
      <c r="L659" t="inlineStr"/>
      <c r="M659" s="6">
        <f>HYPERLINK("https://www.kleinanzeigen.de/s-anzeige/windsurfen-segel-neil-pryde-dragonfly-2-0-top-zustand/2868487195-230-414", "Link")</f>
        <v/>
      </c>
      <c r="N659" s="6">
        <f>HYPERLINK("C:\Projects\Kleinanzeigen-Scraper\offer_images\2868487195", "Link")</f>
        <v/>
      </c>
      <c r="O659" t="inlineStr">
        <is>
          <t>Jennifer v.A.</t>
        </is>
      </c>
      <c r="P659" s="6">
        <f>HYPERLINK("https://www.kleinanzeigen.de/s-bestandsliste.html?userId=39863613", "Link")</f>
        <v/>
      </c>
      <c r="Q659" s="7" t="n">
        <v>45555.56234953704</v>
      </c>
      <c r="R659" s="3" t="inlineStr">
        <is>
          <t>414.06</t>
        </is>
      </c>
      <c r="S659" t="inlineStr">
        <is>
          <t>Köln</t>
        </is>
      </c>
    </row>
    <row r="660">
      <c r="A660" s="2" t="n">
        <v>5.8</v>
      </c>
      <c r="B660" t="inlineStr">
        <is>
          <t>Duotone e_pace</t>
        </is>
      </c>
      <c r="C660" s="3" t="n">
        <v>4.5</v>
      </c>
      <c r="D660" s="3" t="inlineStr"/>
      <c r="E660" t="inlineStr"/>
      <c r="F660" t="inlineStr">
        <is>
          <t>2023</t>
        </is>
      </c>
      <c r="G660" t="inlineStr">
        <is>
          <t>used</t>
        </is>
      </c>
      <c r="H660" s="4" t="n">
        <v>400</v>
      </c>
      <c r="I660" t="inlineStr">
        <is>
          <t>VB</t>
        </is>
      </c>
      <c r="J660" t="inlineStr">
        <is>
          <t>25917 Schleswig-Holstein - Achtrup</t>
        </is>
      </c>
      <c r="K660" s="5" t="n">
        <v>45551</v>
      </c>
      <c r="L660" t="inlineStr">
        <is>
          <t>Sold</t>
        </is>
      </c>
      <c r="M660" s="6">
        <f>HYPERLINK("https://www.kleinanzeigen.de/s-anzeige/duotone-e-pace-5-8-2023/2865508931-230-18118", "Link")</f>
        <v/>
      </c>
      <c r="N660" s="6">
        <f>HYPERLINK("C:\Projects\Kleinanzeigen-Scraper\offer_images\2865508931", "Link")</f>
        <v/>
      </c>
      <c r="O660" t="inlineStr">
        <is>
          <t>Bjørn</t>
        </is>
      </c>
      <c r="P660" s="6">
        <f>HYPERLINK("https://www.kleinanzeigen.de/s-bestandsliste.html?userId=10080735", "Link")</f>
        <v/>
      </c>
      <c r="Q660" s="7" t="n">
        <v>45555.56230324074</v>
      </c>
      <c r="R660" s="3" t="inlineStr">
        <is>
          <t>447.80</t>
        </is>
      </c>
      <c r="S660" t="inlineStr">
        <is>
          <t>Köln</t>
        </is>
      </c>
    </row>
    <row r="661">
      <c r="A661" s="2" t="n">
        <v>7</v>
      </c>
      <c r="B661" t="inlineStr">
        <is>
          <t>Duotone EVO SLS Pink Pig Limited Edition</t>
        </is>
      </c>
      <c r="C661" s="3" t="inlineStr"/>
      <c r="D661" s="3" t="inlineStr"/>
      <c r="E661" t="inlineStr"/>
      <c r="F661" t="inlineStr">
        <is>
          <t>2024</t>
        </is>
      </c>
      <c r="G661" t="inlineStr">
        <is>
          <t>new</t>
        </is>
      </c>
      <c r="H661" s="4" t="n">
        <v>1.5</v>
      </c>
      <c r="I661" t="inlineStr">
        <is>
          <t>VB</t>
        </is>
      </c>
      <c r="J661" t="inlineStr">
        <is>
          <t>72074 Baden-Württemberg - Tübingen</t>
        </is>
      </c>
      <c r="K661" s="5" t="n">
        <v>45553</v>
      </c>
      <c r="L661" t="inlineStr">
        <is>
          <t>Sold</t>
        </is>
      </c>
      <c r="M661" s="6">
        <f>HYPERLINK("https://www.kleinanzeigen.de/s-anzeige/duotone-evo-sls-7-qm-pink-pig-limited-edition-2024-porsche-design/2867582740-230-9095", "Link")</f>
        <v/>
      </c>
      <c r="N661" s="6">
        <f>HYPERLINK("C:\Projects\Kleinanzeigen-Scraper\offer_images\2867582740", "Link")</f>
        <v/>
      </c>
      <c r="O661" t="inlineStr">
        <is>
          <t>Timo Lang</t>
        </is>
      </c>
      <c r="P661" s="6">
        <f>HYPERLINK("https://www.kleinanzeigen.de/s-bestandsliste.html?userId=9591603", "Link")</f>
        <v/>
      </c>
      <c r="Q661" s="7" t="n">
        <v>45555.56216435185</v>
      </c>
      <c r="R661" s="3" t="inlineStr">
        <is>
          <t>13.72</t>
        </is>
      </c>
      <c r="S661" t="inlineStr">
        <is>
          <t>Böblingen</t>
        </is>
      </c>
    </row>
    <row r="662">
      <c r="A662" s="2" t="n">
        <v>5.5</v>
      </c>
      <c r="B662" t="inlineStr">
        <is>
          <t>Goya Fringe X Pro</t>
        </is>
      </c>
      <c r="C662" s="3" t="inlineStr"/>
      <c r="D662" s="3" t="inlineStr"/>
      <c r="E662" t="inlineStr"/>
      <c r="F662" t="inlineStr"/>
      <c r="G662" t="inlineStr">
        <is>
          <t>new</t>
        </is>
      </c>
      <c r="H662" s="4" t="n">
        <v>350</v>
      </c>
      <c r="I662" t="inlineStr">
        <is>
          <t>VB</t>
        </is>
      </c>
      <c r="J662" t="inlineStr">
        <is>
          <t>84095 Kr. Landshut - Furth</t>
        </is>
      </c>
      <c r="K662" s="5" t="n">
        <v>45539</v>
      </c>
      <c r="L662" t="inlineStr"/>
      <c r="M662" s="6">
        <f>HYPERLINK("https://www.kleinanzeigen.de/s-anzeige/goya-fringe-x-pro-in-5-5qm-in-top-zustand/2854301774-230-6398", "Link")</f>
        <v/>
      </c>
      <c r="N662" s="6">
        <f>HYPERLINK("C:\Projects\Kleinanzeigen-Scraper\offer_images\2854301774", "Link")</f>
        <v/>
      </c>
      <c r="O662" t="inlineStr">
        <is>
          <t>Niro</t>
        </is>
      </c>
      <c r="P662" s="6">
        <f>HYPERLINK("https://www.kleinanzeigen.de/s-bestandsliste.html?userId=22205576", "Link")</f>
        <v/>
      </c>
      <c r="Q662" s="7" t="n">
        <v>45555.56215277778</v>
      </c>
      <c r="R662" s="3" t="inlineStr">
        <is>
          <t>60.37</t>
        </is>
      </c>
      <c r="S662" t="inlineStr">
        <is>
          <t>München</t>
        </is>
      </c>
    </row>
    <row r="663">
      <c r="A663" s="2" t="n">
        <v>4.5</v>
      </c>
      <c r="B663" t="inlineStr">
        <is>
          <t>NeilPryde</t>
        </is>
      </c>
      <c r="C663" s="3" t="inlineStr"/>
      <c r="D663" s="3" t="inlineStr"/>
      <c r="E663" t="inlineStr"/>
      <c r="F663" t="inlineStr"/>
      <c r="G663" t="inlineStr">
        <is>
          <t>used</t>
        </is>
      </c>
      <c r="H663" s="4" t="n">
        <v>50</v>
      </c>
      <c r="I663" t="inlineStr"/>
      <c r="J663" t="inlineStr">
        <is>
          <t>78467 Baden-Württemberg - Konstanz</t>
        </is>
      </c>
      <c r="K663" s="5" t="n">
        <v>45555</v>
      </c>
      <c r="L663" t="inlineStr"/>
      <c r="M663" s="6">
        <f>HYPERLINK("https://www.kleinanzeigen.de/s-anzeige/4-5-qm-segel-neilpryde-windsurf-inkl-tasche/2868683569-230-9389", "Link")</f>
        <v/>
      </c>
      <c r="N663" s="6">
        <f>HYPERLINK("C:\Projects\Kleinanzeigen-Scraper\offer_images\2868683569", "Link")</f>
        <v/>
      </c>
      <c r="O663" t="inlineStr">
        <is>
          <t>Mats Biesinger</t>
        </is>
      </c>
      <c r="P663" s="6">
        <f>HYPERLINK("https://www.kleinanzeigen.de/s-bestandsliste.html?userId=140624530", "Link")</f>
        <v/>
      </c>
      <c r="Q663" s="7" t="n">
        <v>45555.56200231481</v>
      </c>
      <c r="R663" s="3" t="inlineStr">
        <is>
          <t>62.51</t>
        </is>
      </c>
      <c r="S663" t="inlineStr">
        <is>
          <t>Bonndorf</t>
        </is>
      </c>
    </row>
    <row r="664">
      <c r="A664" s="2" t="n">
        <v>5</v>
      </c>
      <c r="B664" t="inlineStr">
        <is>
          <t>NorthSails</t>
        </is>
      </c>
      <c r="C664" s="3" t="n">
        <v>4.21</v>
      </c>
      <c r="D664" s="3" t="n">
        <v>1.87</v>
      </c>
      <c r="E664" t="inlineStr"/>
      <c r="F664" t="inlineStr"/>
      <c r="G664" t="inlineStr">
        <is>
          <t>used</t>
        </is>
      </c>
      <c r="H664" s="4" t="n">
        <v>50</v>
      </c>
      <c r="I664" t="inlineStr"/>
      <c r="J664" t="inlineStr">
        <is>
          <t>78467 Baden-Württemberg - Konstanz</t>
        </is>
      </c>
      <c r="K664" s="5" t="n">
        <v>45555</v>
      </c>
      <c r="L664" t="inlineStr"/>
      <c r="M664" s="6">
        <f>HYPERLINK("https://www.kleinanzeigen.de/s-anzeige/5-0-qm-segel-northsails-windsurf-inkl-tasche/2868677143-230-9389", "Link")</f>
        <v/>
      </c>
      <c r="N664" s="6">
        <f>HYPERLINK("C:\Projects\Kleinanzeigen-Scraper\offer_images\2868677143", "Link")</f>
        <v/>
      </c>
      <c r="O664" t="inlineStr">
        <is>
          <t>Mats Biesinger</t>
        </is>
      </c>
      <c r="P664" s="6">
        <f>HYPERLINK("https://www.kleinanzeigen.de/s-bestandsliste.html?userId=140624530", "Link")</f>
        <v/>
      </c>
      <c r="Q664" s="7" t="n">
        <v>45555.56190972222</v>
      </c>
      <c r="R664" s="3" t="inlineStr">
        <is>
          <t>62.51</t>
        </is>
      </c>
      <c r="S664" t="inlineStr">
        <is>
          <t>Bonndorf</t>
        </is>
      </c>
    </row>
    <row r="665">
      <c r="A665" s="2" t="n">
        <v>6.9</v>
      </c>
      <c r="B665" t="inlineStr">
        <is>
          <t>Goya Nexus</t>
        </is>
      </c>
      <c r="C665" s="3" t="inlineStr"/>
      <c r="D665" s="3" t="inlineStr"/>
      <c r="E665" t="inlineStr"/>
      <c r="F665" t="inlineStr">
        <is>
          <t>2020</t>
        </is>
      </c>
      <c r="G665" t="inlineStr">
        <is>
          <t>used</t>
        </is>
      </c>
      <c r="H665" s="4" t="n">
        <v>330</v>
      </c>
      <c r="I665" t="inlineStr"/>
      <c r="J665" t="inlineStr">
        <is>
          <t>50321 Nordrhein-Westfalen - Brühl</t>
        </is>
      </c>
      <c r="K665" s="5" t="n">
        <v>45528</v>
      </c>
      <c r="L665" t="inlineStr">
        <is>
          <t>Sold</t>
        </is>
      </c>
      <c r="M665" s="6">
        <f>HYPERLINK("https://www.kleinanzeigen.de/s-anzeige/goya-nexus-6-9-2020-top/2845252596-230-1158", "Link")</f>
        <v/>
      </c>
      <c r="N665" s="6">
        <f>HYPERLINK("C:\Projects\Kleinanzeigen-Scraper\offer_images\2845252596", "Link")</f>
        <v/>
      </c>
      <c r="O665" t="inlineStr">
        <is>
          <t>Charlie</t>
        </is>
      </c>
      <c r="P665" s="6">
        <f>HYPERLINK("https://www.kleinanzeigen.de/s-bestandsliste.html?userId=12517484", "Link")</f>
        <v/>
      </c>
      <c r="Q665" s="7" t="n">
        <v>45555.56188657408</v>
      </c>
      <c r="R665" s="3" t="inlineStr">
        <is>
          <t>14.26</t>
        </is>
      </c>
      <c r="S665" t="inlineStr">
        <is>
          <t>Köln</t>
        </is>
      </c>
    </row>
    <row r="666">
      <c r="A666" s="2" t="n">
        <v>4.7</v>
      </c>
      <c r="B666" t="inlineStr">
        <is>
          <t>North Sails Convertigo</t>
        </is>
      </c>
      <c r="C666" s="3" t="inlineStr"/>
      <c r="D666" s="3" t="inlineStr"/>
      <c r="E666" t="inlineStr"/>
      <c r="F666" t="inlineStr"/>
      <c r="G666" t="inlineStr">
        <is>
          <t>used</t>
        </is>
      </c>
      <c r="H666" s="4" t="n">
        <v>30</v>
      </c>
      <c r="I666" t="inlineStr"/>
      <c r="J666" t="inlineStr">
        <is>
          <t>18057 Rostock - Kröpeliner-Tor-Vorstadt</t>
        </is>
      </c>
      <c r="K666" s="5" t="n">
        <v>45555</v>
      </c>
      <c r="L666" t="inlineStr"/>
      <c r="M666" s="6">
        <f>HYPERLINK("https://www.kleinanzeigen.de/s-anzeige/north-sails-convertigo-4-7-surf-segel/2868729676-230-156", "Link")</f>
        <v/>
      </c>
      <c r="N666" s="6">
        <f>HYPERLINK("C:\Projects\Kleinanzeigen-Scraper\offer_images\2868729676", "Link")</f>
        <v/>
      </c>
      <c r="O666" t="inlineStr">
        <is>
          <t>Hannes</t>
        </is>
      </c>
      <c r="P666" s="6">
        <f>HYPERLINK("https://www.kleinanzeigen.de/s-bestandsliste.html?userId=7903842", "Link")</f>
        <v/>
      </c>
      <c r="Q666" s="7" t="n">
        <v>45555.56175925926</v>
      </c>
      <c r="R666" s="3" t="inlineStr">
        <is>
          <t>494.07</t>
        </is>
      </c>
      <c r="S666" t="inlineStr">
        <is>
          <t>Köln</t>
        </is>
      </c>
    </row>
    <row r="667">
      <c r="A667" s="2" t="n">
        <v>8.6</v>
      </c>
      <c r="B667" t="inlineStr">
        <is>
          <t>Severne Overdrive M3</t>
        </is>
      </c>
      <c r="C667" s="3" t="n">
        <v>490</v>
      </c>
      <c r="D667" s="3" t="n">
        <v>210</v>
      </c>
      <c r="E667" t="inlineStr"/>
      <c r="F667" t="inlineStr"/>
      <c r="G667" t="inlineStr">
        <is>
          <t>used</t>
        </is>
      </c>
      <c r="H667" s="4" t="n">
        <v>300</v>
      </c>
      <c r="I667" t="inlineStr"/>
      <c r="J667" t="inlineStr">
        <is>
          <t>80639 Neuhausen-Nymphenburg - Neuhausen</t>
        </is>
      </c>
      <c r="K667" s="5" t="n">
        <v>45339</v>
      </c>
      <c r="L667" t="inlineStr">
        <is>
          <t>Sold</t>
        </is>
      </c>
      <c r="M667" s="6">
        <f>HYPERLINK("https://www.kleinanzeigen.de/s-anzeige/severne-overdrive-m3-8-6-windsurf-segel/2682125245-230-6420", "Link")</f>
        <v/>
      </c>
      <c r="N667" s="6">
        <f>HYPERLINK("C:\Projects\Kleinanzeigen-Scraper\offer_images\2682125245", "Link")</f>
        <v/>
      </c>
      <c r="O667" t="inlineStr">
        <is>
          <t>Andre Simlacher</t>
        </is>
      </c>
      <c r="P667" s="6">
        <f>HYPERLINK("https://www.kleinanzeigen.de/s-bestandsliste.html?userId=46137019", "Link")</f>
        <v/>
      </c>
      <c r="Q667" s="7" t="n">
        <v>45555.56173611111</v>
      </c>
      <c r="R667" s="3" t="inlineStr">
        <is>
          <t>4.83</t>
        </is>
      </c>
      <c r="S667" t="inlineStr">
        <is>
          <t>München</t>
        </is>
      </c>
    </row>
    <row r="668">
      <c r="A668" s="2" t="n">
        <v>7</v>
      </c>
      <c r="B668" t="inlineStr">
        <is>
          <t>Severne NPX</t>
        </is>
      </c>
      <c r="C668" s="3" t="n">
        <v>460</v>
      </c>
      <c r="D668" s="3" t="n">
        <v>190</v>
      </c>
      <c r="E668" t="inlineStr"/>
      <c r="F668" t="inlineStr"/>
      <c r="G668" t="inlineStr">
        <is>
          <t>used</t>
        </is>
      </c>
      <c r="H668" s="4" t="n">
        <v>460</v>
      </c>
      <c r="I668" t="inlineStr">
        <is>
          <t>VB</t>
        </is>
      </c>
      <c r="J668" t="inlineStr">
        <is>
          <t>87437 Bayern - Kempten</t>
        </is>
      </c>
      <c r="K668" s="5" t="n">
        <v>45552</v>
      </c>
      <c r="L668" t="inlineStr"/>
      <c r="M668" s="6">
        <f>HYPERLINK("https://www.kleinanzeigen.de/s-anzeige/windsurf-segel-severne-npx-7-0-qm-od-6-5-qm/2866727826-230-7620", "Link")</f>
        <v/>
      </c>
      <c r="N668" s="6">
        <f>HYPERLINK("C:\Projects\Kleinanzeigen-Scraper\offer_images\2866727826", "Link")</f>
        <v/>
      </c>
      <c r="O668" t="inlineStr">
        <is>
          <t>kiefert petra</t>
        </is>
      </c>
      <c r="P668" s="6">
        <f>HYPERLINK("https://www.kleinanzeigen.de/s-bestandsliste.html?userId=74090294", "Link")</f>
        <v/>
      </c>
      <c r="Q668" s="7" t="n">
        <v>45555.56163194445</v>
      </c>
      <c r="R668" s="3" t="inlineStr">
        <is>
          <t>101.34</t>
        </is>
      </c>
      <c r="S668" t="inlineStr">
        <is>
          <t>München</t>
        </is>
      </c>
    </row>
    <row r="669">
      <c r="A669" s="2" t="n">
        <v>4.5</v>
      </c>
      <c r="B669" t="inlineStr">
        <is>
          <t>Severne Blade</t>
        </is>
      </c>
      <c r="C669" s="3" t="n">
        <v>370</v>
      </c>
      <c r="D669" s="3" t="n">
        <v>159</v>
      </c>
      <c r="E669" t="inlineStr"/>
      <c r="F669" t="inlineStr">
        <is>
          <t>2021</t>
        </is>
      </c>
      <c r="G669" t="inlineStr">
        <is>
          <t>used</t>
        </is>
      </c>
      <c r="H669" s="4" t="n">
        <v>300</v>
      </c>
      <c r="I669" t="inlineStr">
        <is>
          <t>VB</t>
        </is>
      </c>
      <c r="J669" t="inlineStr">
        <is>
          <t>82377 Bayern - Penzberg</t>
        </is>
      </c>
      <c r="K669" s="5" t="n">
        <v>45360</v>
      </c>
      <c r="L669" t="inlineStr">
        <is>
          <t>Sold</t>
        </is>
      </c>
      <c r="M669" s="6">
        <f>HYPERLINK("https://www.kleinanzeigen.de/s-anzeige/segel-windsurfing-severne-blade-4-5-m-2021/2700952854-230-5620", "Link")</f>
        <v/>
      </c>
      <c r="N669" s="6">
        <f>HYPERLINK("C:\Projects\Kleinanzeigen-Scraper\offer_images\2700952854", "Link")</f>
        <v/>
      </c>
      <c r="O669" t="inlineStr">
        <is>
          <t>Willi</t>
        </is>
      </c>
      <c r="P669" s="6">
        <f>HYPERLINK("https://www.kleinanzeigen.de/s-bestandsliste.html?userId=24726674", "Link")</f>
        <v/>
      </c>
      <c r="Q669" s="7" t="n">
        <v>45555.56146990741</v>
      </c>
      <c r="R669" s="3" t="inlineStr">
        <is>
          <t>43.83</t>
        </is>
      </c>
      <c r="S669" t="inlineStr">
        <is>
          <t>München</t>
        </is>
      </c>
    </row>
    <row r="670">
      <c r="A670" s="2" t="n">
        <v>4.5</v>
      </c>
      <c r="B670" t="inlineStr">
        <is>
          <t>Ezzy Taka</t>
        </is>
      </c>
      <c r="C670" s="3" t="inlineStr"/>
      <c r="D670" s="3" t="inlineStr"/>
      <c r="E670" t="inlineStr"/>
      <c r="F670" t="inlineStr"/>
      <c r="G670" t="inlineStr">
        <is>
          <t>new</t>
        </is>
      </c>
      <c r="H670" s="4" t="n">
        <v>290</v>
      </c>
      <c r="I670" t="inlineStr"/>
      <c r="J670" t="inlineStr">
        <is>
          <t>38104 Niedersachsen - Braunschweig</t>
        </is>
      </c>
      <c r="K670" s="5" t="n">
        <v>45555</v>
      </c>
      <c r="L670" t="inlineStr"/>
      <c r="M670" s="6">
        <f>HYPERLINK("https://www.kleinanzeigen.de/s-anzeige/ezzy-taka-4-5-qm-windsurfen/2868528148-230-2463", "Link")</f>
        <v/>
      </c>
      <c r="N670" s="6">
        <f>HYPERLINK("C:\Projects\Kleinanzeigen-Scraper\offer_images\2868528148", "Link")</f>
        <v/>
      </c>
      <c r="O670" t="inlineStr">
        <is>
          <t>Matthias Lüdecke</t>
        </is>
      </c>
      <c r="P670" s="6">
        <f>HYPERLINK("https://www.kleinanzeigen.de/s-bestandsliste.html?userId=9731167", "Link")</f>
        <v/>
      </c>
      <c r="Q670" s="7" t="n">
        <v>45555.56137731481</v>
      </c>
      <c r="R670" s="3" t="inlineStr">
        <is>
          <t>291.30</t>
        </is>
      </c>
      <c r="S670" t="inlineStr">
        <is>
          <t>Köln</t>
        </is>
      </c>
    </row>
    <row r="671">
      <c r="A671" s="2" t="n">
        <v>5.5</v>
      </c>
      <c r="B671" t="inlineStr">
        <is>
          <t>Sailloft Cross</t>
        </is>
      </c>
      <c r="C671" s="3" t="inlineStr"/>
      <c r="D671" s="3" t="inlineStr"/>
      <c r="E671" t="inlineStr"/>
      <c r="F671" t="inlineStr"/>
      <c r="G671" t="inlineStr">
        <is>
          <t>used</t>
        </is>
      </c>
      <c r="H671" s="4" t="n">
        <v>99</v>
      </c>
      <c r="I671" t="inlineStr">
        <is>
          <t>VB</t>
        </is>
      </c>
      <c r="J671" t="inlineStr">
        <is>
          <t>31515 Niedersachsen - Wunstorf</t>
        </is>
      </c>
      <c r="K671" s="5" t="n">
        <v>45553</v>
      </c>
      <c r="L671" t="inlineStr"/>
      <c r="M671" s="6">
        <f>HYPERLINK("https://www.kleinanzeigen.de/s-anzeige/sailloft-cross-5-5/2867595223-230-2930", "Link")</f>
        <v/>
      </c>
      <c r="N671" s="6">
        <f>HYPERLINK("C:\Projects\Kleinanzeigen-Scraper\offer_images\2867595223", "Link")</f>
        <v/>
      </c>
      <c r="O671" t="inlineStr">
        <is>
          <t>VG Thorsten</t>
        </is>
      </c>
      <c r="P671" s="6">
        <f>HYPERLINK("https://www.kleinanzeigen.de/s-bestandsliste.html?userId=35843044", "Link")</f>
        <v/>
      </c>
      <c r="Q671" s="7" t="n">
        <v>45555.56122685185</v>
      </c>
      <c r="R671" s="3" t="inlineStr">
        <is>
          <t>236.47</t>
        </is>
      </c>
      <c r="S671" t="inlineStr">
        <is>
          <t>Köln</t>
        </is>
      </c>
    </row>
    <row r="672">
      <c r="A672" s="2" t="n">
        <v>6</v>
      </c>
      <c r="B672" t="inlineStr">
        <is>
          <t>ART Attack</t>
        </is>
      </c>
      <c r="C672" s="3" t="inlineStr"/>
      <c r="D672" s="3" t="inlineStr"/>
      <c r="E672" t="inlineStr"/>
      <c r="F672" t="inlineStr"/>
      <c r="G672" t="inlineStr">
        <is>
          <t>used</t>
        </is>
      </c>
      <c r="H672" s="4" t="n">
        <v>30</v>
      </c>
      <c r="I672" t="inlineStr">
        <is>
          <t>VB</t>
        </is>
      </c>
      <c r="J672" t="inlineStr">
        <is>
          <t>18057 Rostock - Kröpeliner-Tor-Vorstadt</t>
        </is>
      </c>
      <c r="K672" s="5" t="n">
        <v>45555</v>
      </c>
      <c r="L672" t="inlineStr"/>
      <c r="M672" s="6">
        <f>HYPERLINK("https://www.kleinanzeigen.de/s-anzeige/art-attack-6-0-windsurf-segel/2868736136-230-156", "Link")</f>
        <v/>
      </c>
      <c r="N672" s="6">
        <f>HYPERLINK("C:\Projects\Kleinanzeigen-Scraper\offer_images\2868736136", "Link")</f>
        <v/>
      </c>
      <c r="O672" t="inlineStr">
        <is>
          <t>Hannes</t>
        </is>
      </c>
      <c r="P672" s="6">
        <f>HYPERLINK("https://www.kleinanzeigen.de/s-bestandsliste.html?userId=7903842", "Link")</f>
        <v/>
      </c>
      <c r="Q672" s="7" t="n">
        <v>45555.56101851852</v>
      </c>
      <c r="R672" s="3" t="inlineStr">
        <is>
          <t>494.07</t>
        </is>
      </c>
      <c r="S672" t="inlineStr">
        <is>
          <t>Köln</t>
        </is>
      </c>
    </row>
    <row r="673">
      <c r="A673" s="2" t="n">
        <v>6.1</v>
      </c>
      <c r="B673" t="inlineStr">
        <is>
          <t>Gaastra Sails EUROFOIL</t>
        </is>
      </c>
      <c r="C673" s="3" t="inlineStr"/>
      <c r="D673" s="3" t="inlineStr"/>
      <c r="E673" t="inlineStr"/>
      <c r="F673" t="inlineStr"/>
      <c r="G673" t="inlineStr">
        <is>
          <t>used</t>
        </is>
      </c>
      <c r="H673" s="4" t="n">
        <v>15</v>
      </c>
      <c r="I673" t="inlineStr">
        <is>
          <t>VB</t>
        </is>
      </c>
      <c r="J673" t="inlineStr">
        <is>
          <t>47269 Duisburg - Duisburg-Süd</t>
        </is>
      </c>
      <c r="K673" s="5" t="n">
        <v>45553</v>
      </c>
      <c r="L673" t="inlineStr"/>
      <c r="M673" s="6">
        <f>HYPERLINK("https://www.kleinanzeigen.de/s-anzeige/gaastra-sails-eurofoil-6-1-6-1-windsurf-segel/2866976285-230-2132", "Link")</f>
        <v/>
      </c>
      <c r="N673" s="6">
        <f>HYPERLINK("C:\Projects\Kleinanzeigen-Scraper\offer_images\2866976285", "Link")</f>
        <v/>
      </c>
      <c r="O673" t="inlineStr">
        <is>
          <t>Maximilian von Reis</t>
        </is>
      </c>
      <c r="P673" s="6">
        <f>HYPERLINK("https://www.kleinanzeigen.de/s-bestandsliste.html?userId=37128809", "Link")</f>
        <v/>
      </c>
      <c r="Q673" s="7" t="n">
        <v>45555.56086805555</v>
      </c>
      <c r="R673" s="3" t="inlineStr">
        <is>
          <t>48.06</t>
        </is>
      </c>
      <c r="S673" t="inlineStr">
        <is>
          <t>Köln</t>
        </is>
      </c>
    </row>
    <row r="674">
      <c r="A674" s="2" t="n">
        <v>6</v>
      </c>
      <c r="B674" t="inlineStr">
        <is>
          <t>Duotone Evo</t>
        </is>
      </c>
      <c r="C674" s="3" t="inlineStr"/>
      <c r="D674" s="3" t="inlineStr"/>
      <c r="E674" t="inlineStr"/>
      <c r="F674" t="inlineStr">
        <is>
          <t>2024</t>
        </is>
      </c>
      <c r="G674" t="inlineStr">
        <is>
          <t>used</t>
        </is>
      </c>
      <c r="H674" s="4" t="n">
        <v>760</v>
      </c>
      <c r="I674" t="inlineStr"/>
      <c r="J674" t="inlineStr">
        <is>
          <t>39288 Sachsen-Anhalt - Burg</t>
        </is>
      </c>
      <c r="K674" s="5" t="n">
        <v>45551</v>
      </c>
      <c r="L674" t="inlineStr">
        <is>
          <t>Sold</t>
        </is>
      </c>
      <c r="M674" s="6">
        <f>HYPERLINK("https://www.kleinanzeigen.de/s-anzeige/evo-2024-duotone-wie-neu-6er/2865447189-230-2218", "Link")</f>
        <v/>
      </c>
      <c r="N674" s="6">
        <f>HYPERLINK("C:\Projects\Kleinanzeigen-Scraper\offer_images\2865447189", "Link")</f>
        <v/>
      </c>
      <c r="O674" t="inlineStr">
        <is>
          <t>Hilda</t>
        </is>
      </c>
      <c r="P674" s="6">
        <f>HYPERLINK("https://www.kleinanzeigen.de/s-bestandsliste.html?userId=80024246", "Link")</f>
        <v/>
      </c>
      <c r="Q674" s="7" t="n">
        <v>45555.56064814814</v>
      </c>
      <c r="R674" s="3" t="inlineStr">
        <is>
          <t>371.54</t>
        </is>
      </c>
      <c r="S674" t="inlineStr">
        <is>
          <t>Köln</t>
        </is>
      </c>
    </row>
    <row r="675">
      <c r="A675" s="2" t="n">
        <v>5.2</v>
      </c>
      <c r="B675" t="inlineStr">
        <is>
          <t>GUN SAILS</t>
        </is>
      </c>
      <c r="C675" s="3" t="n">
        <v>463</v>
      </c>
      <c r="D675" s="3" t="n">
        <v>175</v>
      </c>
      <c r="E675" t="inlineStr">
        <is>
          <t>Wave Slalom</t>
        </is>
      </c>
      <c r="F675" t="inlineStr"/>
      <c r="G675" t="inlineStr">
        <is>
          <t>used</t>
        </is>
      </c>
      <c r="H675" s="4" t="n">
        <v>50</v>
      </c>
      <c r="I675" t="inlineStr"/>
      <c r="J675" t="inlineStr">
        <is>
          <t>14129 Berlin - Zehlendorf</t>
        </is>
      </c>
      <c r="K675" s="5" t="n">
        <v>45553</v>
      </c>
      <c r="L675" t="inlineStr"/>
      <c r="M675" s="6">
        <f>HYPERLINK("https://www.kleinanzeigen.de/s-anzeige/windsurfsegel-gun-sails-5-2-qm-wave-slalom/2867480921-230-3530", "Link")</f>
        <v/>
      </c>
      <c r="N675" s="6">
        <f>HYPERLINK("C:\Projects\Kleinanzeigen-Scraper\offer_images\2867480921", "Link")</f>
        <v/>
      </c>
      <c r="O675" t="inlineStr">
        <is>
          <t>Thomas Kleisch</t>
        </is>
      </c>
      <c r="P675" s="6">
        <f>HYPERLINK("https://www.kleinanzeigen.de/s-bestandsliste.html?userId=48516926", "Link")</f>
        <v/>
      </c>
      <c r="Q675" s="7" t="n">
        <v>45555.56060185185</v>
      </c>
      <c r="R675" s="3" t="inlineStr">
        <is>
          <t>461.31</t>
        </is>
      </c>
      <c r="S675" t="inlineStr">
        <is>
          <t>Köln</t>
        </is>
      </c>
    </row>
    <row r="676">
      <c r="A676" s="2" t="n">
        <v>3.7</v>
      </c>
      <c r="B676" t="inlineStr">
        <is>
          <t>Sailloft Curve</t>
        </is>
      </c>
      <c r="C676" s="3" t="inlineStr"/>
      <c r="D676" s="3" t="inlineStr"/>
      <c r="E676" t="inlineStr"/>
      <c r="F676" t="inlineStr"/>
      <c r="G676" t="inlineStr">
        <is>
          <t>repaired</t>
        </is>
      </c>
      <c r="H676" s="4" t="n">
        <v>30</v>
      </c>
      <c r="I676" t="inlineStr"/>
      <c r="J676" t="inlineStr">
        <is>
          <t>22175 Wandsbek - Hamburg Bramfeld</t>
        </is>
      </c>
      <c r="K676" s="5" t="n">
        <v>45552</v>
      </c>
      <c r="L676" t="inlineStr">
        <is>
          <t>Sold</t>
        </is>
      </c>
      <c r="M676" s="6">
        <f>HYPERLINK("https://www.kleinanzeigen.de/s-anzeige/sailloft-curve-3-7/2866675939-230-9453", "Link")</f>
        <v/>
      </c>
      <c r="N676" s="6">
        <f>HYPERLINK("C:\Projects\Kleinanzeigen-Scraper\offer_images\2866675939", "Link")</f>
        <v/>
      </c>
      <c r="O676" t="inlineStr">
        <is>
          <t>Wolfgang</t>
        </is>
      </c>
      <c r="P676" s="6">
        <f>HYPERLINK("https://www.kleinanzeigen.de/s-bestandsliste.html?userId=12180310", "Link")</f>
        <v/>
      </c>
      <c r="Q676" s="7" t="n">
        <v>45555.56047453704</v>
      </c>
      <c r="R676" s="3" t="inlineStr">
        <is>
          <t>367.43</t>
        </is>
      </c>
      <c r="S676" t="inlineStr">
        <is>
          <t>Köln</t>
        </is>
      </c>
    </row>
    <row r="677">
      <c r="A677" s="2" t="n">
        <v>6.5</v>
      </c>
      <c r="B677" t="inlineStr">
        <is>
          <t>NORTH SAILS Quattro</t>
        </is>
      </c>
      <c r="C677" s="3" t="inlineStr">
        <is>
          <t>483-486</t>
        </is>
      </c>
      <c r="D677" s="3" t="inlineStr">
        <is>
          <t>196-199</t>
        </is>
      </c>
      <c r="E677" t="inlineStr"/>
      <c r="F677" t="inlineStr"/>
      <c r="G677" t="inlineStr">
        <is>
          <t>used</t>
        </is>
      </c>
      <c r="H677" s="4" t="n">
        <v>50</v>
      </c>
      <c r="I677" t="inlineStr"/>
      <c r="J677" t="inlineStr">
        <is>
          <t>14129 Berlin - Zehlendorf</t>
        </is>
      </c>
      <c r="K677" s="5" t="n">
        <v>45553</v>
      </c>
      <c r="L677" t="inlineStr"/>
      <c r="M677" s="6">
        <f>HYPERLINK("https://www.kleinanzeigen.de/s-anzeige/windsurfsegel-north-sails-6-5-qm-quattro/2867474881-230-3530", "Link")</f>
        <v/>
      </c>
      <c r="N677" s="6">
        <f>HYPERLINK("C:\Projects\Kleinanzeigen-Scraper\offer_images\2867474881", "Link")</f>
        <v/>
      </c>
      <c r="O677" t="inlineStr">
        <is>
          <t>Thomas Kleisch</t>
        </is>
      </c>
      <c r="P677" s="6">
        <f>HYPERLINK("https://www.kleinanzeigen.de/s-bestandsliste.html?userId=48516926", "Link")</f>
        <v/>
      </c>
      <c r="Q677" s="7" t="n">
        <v>45555.56045138889</v>
      </c>
      <c r="R677" s="3" t="inlineStr">
        <is>
          <t>461.31</t>
        </is>
      </c>
      <c r="S677" t="inlineStr">
        <is>
          <t>Köln</t>
        </is>
      </c>
    </row>
    <row r="678">
      <c r="A678" s="2" t="n">
        <v>6.3</v>
      </c>
      <c r="B678" t="inlineStr">
        <is>
          <t>Gun Sails Flash</t>
        </is>
      </c>
      <c r="C678" s="3" t="n">
        <v>461</v>
      </c>
      <c r="D678" s="3" t="n">
        <v>198</v>
      </c>
      <c r="E678" t="inlineStr">
        <is>
          <t>Freeride</t>
        </is>
      </c>
      <c r="F678" t="inlineStr"/>
      <c r="G678" t="inlineStr">
        <is>
          <t>used</t>
        </is>
      </c>
      <c r="H678" s="4" t="n">
        <v>75</v>
      </c>
      <c r="I678" t="inlineStr"/>
      <c r="J678" t="inlineStr">
        <is>
          <t>58239 Nordrhein-Westfalen - Schwerte</t>
        </is>
      </c>
      <c r="K678" s="5" t="n">
        <v>45555</v>
      </c>
      <c r="L678" t="inlineStr"/>
      <c r="M678" s="6">
        <f>HYPERLINK("https://www.kleinanzeigen.de/s-anzeige/gun-sails-flash-6-3-m-freeridesegel/2868671516-230-1916", "Link")</f>
        <v/>
      </c>
      <c r="N678" s="6">
        <f>HYPERLINK("C:\Projects\Kleinanzeigen-Scraper\offer_images\2868671516", "Link")</f>
        <v/>
      </c>
      <c r="O678" t="inlineStr">
        <is>
          <t>C V</t>
        </is>
      </c>
      <c r="P678" s="6">
        <f>HYPERLINK("https://www.kleinanzeigen.de/s-bestandsliste.html?userId=557571", "Link")</f>
        <v/>
      </c>
      <c r="Q678" s="7" t="n">
        <v>45555.56034722222</v>
      </c>
      <c r="R678" s="3" t="inlineStr">
        <is>
          <t>69.21</t>
        </is>
      </c>
      <c r="S678" t="inlineStr">
        <is>
          <t>Köln</t>
        </is>
      </c>
    </row>
    <row r="679">
      <c r="A679" s="2" t="n">
        <v>3</v>
      </c>
      <c r="B679" t="inlineStr">
        <is>
          <t>GA-Sails Foxx</t>
        </is>
      </c>
      <c r="C679" s="3" t="n">
        <v>323</v>
      </c>
      <c r="D679" s="3" t="n">
        <v>138</v>
      </c>
      <c r="E679" t="inlineStr">
        <is>
          <t>Youth Performance</t>
        </is>
      </c>
      <c r="F679" t="inlineStr">
        <is>
          <t>2021</t>
        </is>
      </c>
      <c r="G679" t="inlineStr">
        <is>
          <t>new</t>
        </is>
      </c>
      <c r="H679" s="4" t="n">
        <v>279</v>
      </c>
      <c r="I679" t="inlineStr"/>
      <c r="J679" t="inlineStr">
        <is>
          <t>82319 Bayern - Starnberg</t>
        </is>
      </c>
      <c r="K679" s="5" t="n">
        <v>45554</v>
      </c>
      <c r="L679" t="inlineStr"/>
      <c r="M679" s="6">
        <f>HYPERLINK("https://www.kleinanzeigen.de/s-anzeige/ga-sails-foxx-windsurf-kids-segel-3-0-qm-c1-red-green-2021/1815047417-230-5525", "Link")</f>
        <v/>
      </c>
      <c r="N679" s="6">
        <f>HYPERLINK("C:\Projects\Kleinanzeigen-Scraper\offer_images\1815047417", "Link")</f>
        <v/>
      </c>
      <c r="O679" t="inlineStr">
        <is>
          <t>No user name</t>
        </is>
      </c>
      <c r="P679" s="6">
        <f>HYPERLINK("https://www.kleinanzeigen.deNo user link", "Link")</f>
        <v/>
      </c>
      <c r="Q679" s="7" t="n">
        <v>45555.56030092593</v>
      </c>
      <c r="R679" s="3" t="inlineStr">
        <is>
          <t>23.17</t>
        </is>
      </c>
      <c r="S679" t="inlineStr">
        <is>
          <t>München</t>
        </is>
      </c>
    </row>
    <row r="680">
      <c r="A680" s="2" t="n">
        <v>6</v>
      </c>
      <c r="B680" t="inlineStr">
        <is>
          <t>Naish Park</t>
        </is>
      </c>
      <c r="C680" s="3" t="inlineStr"/>
      <c r="D680" s="3" t="inlineStr"/>
      <c r="E680" t="inlineStr"/>
      <c r="F680" t="inlineStr">
        <is>
          <t>2014</t>
        </is>
      </c>
      <c r="G680" t="inlineStr">
        <is>
          <t>new</t>
        </is>
      </c>
      <c r="H680" s="4" t="n">
        <v>300</v>
      </c>
      <c r="I680" t="inlineStr">
        <is>
          <t>VB</t>
        </is>
      </c>
      <c r="J680" t="inlineStr">
        <is>
          <t>18586 Mecklenburg-Vorpommern - Sellin</t>
        </is>
      </c>
      <c r="K680" s="5" t="n">
        <v>45554</v>
      </c>
      <c r="L680" t="inlineStr"/>
      <c r="M680" s="6">
        <f>HYPERLINK("https://www.kleinanzeigen.de/s-anzeige/naish-park-6/2868232752-230-19466", "Link")</f>
        <v/>
      </c>
      <c r="N680" s="6">
        <f>HYPERLINK("C:\Projects\Kleinanzeigen-Scraper\offer_images\2868232752", "Link")</f>
        <v/>
      </c>
      <c r="O680" t="inlineStr">
        <is>
          <t>Christian</t>
        </is>
      </c>
      <c r="P680" s="6">
        <f>HYPERLINK("https://www.kleinanzeigen.de/s-bestandsliste.html?userId=43105652", "Link")</f>
        <v/>
      </c>
      <c r="Q680" s="7" t="n">
        <v>45555.56015046296</v>
      </c>
      <c r="R680" s="3" t="inlineStr">
        <is>
          <t>591.22</t>
        </is>
      </c>
      <c r="S680" t="inlineStr">
        <is>
          <t>Köln</t>
        </is>
      </c>
    </row>
    <row r="681">
      <c r="A681" s="2" t="n">
        <v>4.7</v>
      </c>
      <c r="B681" t="inlineStr">
        <is>
          <t>Neilpryde Combat Wave HD</t>
        </is>
      </c>
      <c r="C681" s="3" t="n">
        <v>370</v>
      </c>
      <c r="D681" s="3" t="inlineStr"/>
      <c r="E681" t="inlineStr"/>
      <c r="F681" t="inlineStr">
        <is>
          <t>2018</t>
        </is>
      </c>
      <c r="G681" t="inlineStr">
        <is>
          <t>used</t>
        </is>
      </c>
      <c r="H681" s="4" t="n">
        <v>245</v>
      </c>
      <c r="I681" t="inlineStr">
        <is>
          <t>VB</t>
        </is>
      </c>
      <c r="J681" t="inlineStr">
        <is>
          <t>47447 Nordrhein-Westfalen - Moers</t>
        </is>
      </c>
      <c r="K681" s="5" t="n">
        <v>45553</v>
      </c>
      <c r="L681" t="inlineStr"/>
      <c r="M681" s="6">
        <f>HYPERLINK("https://www.kleinanzeigen.de/s-anzeige/combat-wave-hd-4-7m-neilpryde-segel/2867437773-230-2130", "Link")</f>
        <v/>
      </c>
      <c r="N681" s="6">
        <f>HYPERLINK("C:\Projects\Kleinanzeigen-Scraper\offer_images\2867437773", "Link")</f>
        <v/>
      </c>
      <c r="O681" t="inlineStr">
        <is>
          <t>Ralf</t>
        </is>
      </c>
      <c r="P681" s="6">
        <f>HYPERLINK("https://www.kleinanzeigen.de/s-bestandsliste.html?userId=2499087", "Link")</f>
        <v/>
      </c>
      <c r="Q681" s="7" t="n">
        <v>45555.56006944444</v>
      </c>
      <c r="R681" s="3" t="inlineStr">
        <is>
          <t>58.22</t>
        </is>
      </c>
      <c r="S681" t="inlineStr">
        <is>
          <t>Köln</t>
        </is>
      </c>
    </row>
    <row r="682">
      <c r="A682" s="2" t="n">
        <v>5.3</v>
      </c>
      <c r="B682" t="inlineStr">
        <is>
          <t>NorthSails</t>
        </is>
      </c>
      <c r="C682" s="3" t="n">
        <v>459</v>
      </c>
      <c r="D682" s="3" t="inlineStr"/>
      <c r="E682" t="inlineStr"/>
      <c r="F682" t="inlineStr"/>
      <c r="G682" t="inlineStr">
        <is>
          <t>used</t>
        </is>
      </c>
      <c r="H682" s="4" t="n">
        <v>50</v>
      </c>
      <c r="I682" t="inlineStr">
        <is>
          <t>VB</t>
        </is>
      </c>
      <c r="J682" t="inlineStr">
        <is>
          <t>78467 Baden-Württemberg - Konstanz</t>
        </is>
      </c>
      <c r="K682" s="5" t="n">
        <v>45555</v>
      </c>
      <c r="L682" t="inlineStr"/>
      <c r="M682" s="6">
        <f>HYPERLINK("https://www.kleinanzeigen.de/s-anzeige/5-3qm-segel-northsails-windsurf-inkl-tasche/2868674197-230-9389", "Link")</f>
        <v/>
      </c>
      <c r="N682" s="6">
        <f>HYPERLINK("C:\Projects\Kleinanzeigen-Scraper\offer_images\2868674197", "Link")</f>
        <v/>
      </c>
      <c r="O682" t="inlineStr">
        <is>
          <t>Mats Biesinger</t>
        </is>
      </c>
      <c r="P682" s="6">
        <f>HYPERLINK("https://www.kleinanzeigen.de/s-bestandsliste.html?userId=140624530", "Link")</f>
        <v/>
      </c>
      <c r="Q682" s="7" t="n">
        <v>45555.55996527777</v>
      </c>
      <c r="R682" s="3" t="inlineStr">
        <is>
          <t>62.51</t>
        </is>
      </c>
      <c r="S682" t="inlineStr">
        <is>
          <t>Bonndorf</t>
        </is>
      </c>
    </row>
    <row r="683">
      <c r="A683" s="2" t="n">
        <v>8.199999999999999</v>
      </c>
      <c r="B683" t="inlineStr">
        <is>
          <t>Neilpryde Hornet</t>
        </is>
      </c>
      <c r="C683" s="3" t="inlineStr"/>
      <c r="D683" s="3" t="inlineStr"/>
      <c r="E683" t="inlineStr"/>
      <c r="F683" t="inlineStr">
        <is>
          <t>2016</t>
        </is>
      </c>
      <c r="G683" t="inlineStr">
        <is>
          <t>used</t>
        </is>
      </c>
      <c r="H683" s="4" t="n">
        <v>250</v>
      </c>
      <c r="I683" t="inlineStr"/>
      <c r="J683" t="inlineStr">
        <is>
          <t>24257 Schleswig-Holstein - Köhn</t>
        </is>
      </c>
      <c r="K683" s="5" t="n">
        <v>45555</v>
      </c>
      <c r="L683" t="inlineStr"/>
      <c r="M683" s="6">
        <f>HYPERLINK("https://www.kleinanzeigen.de/s-anzeige/neilpryde-8-2-hornet-aus-2016-neuwertig/2868740619-230-27759", "Link")</f>
        <v/>
      </c>
      <c r="N683" s="6">
        <f>HYPERLINK("C:\Projects\Kleinanzeigen-Scraper\offer_images\2868740619", "Link")</f>
        <v/>
      </c>
      <c r="O683" t="inlineStr">
        <is>
          <t>M.Hardebusch</t>
        </is>
      </c>
      <c r="P683" s="6">
        <f>HYPERLINK("https://www.kleinanzeigen.de/s-bestandsliste.html?userId=4383097", "Link")</f>
        <v/>
      </c>
      <c r="Q683" s="7" t="n">
        <v>45555.55956018518</v>
      </c>
      <c r="R683" s="3" t="inlineStr">
        <is>
          <t>448.33</t>
        </is>
      </c>
      <c r="S683" t="inlineStr">
        <is>
          <t>Köln</t>
        </is>
      </c>
    </row>
    <row r="684">
      <c r="A684" s="2" t="n">
        <v>6.5</v>
      </c>
      <c r="B684" t="inlineStr">
        <is>
          <t>Duotone Slick</t>
        </is>
      </c>
      <c r="C684" s="3" t="inlineStr"/>
      <c r="D684" s="3" t="inlineStr"/>
      <c r="E684" t="inlineStr">
        <is>
          <t>Freestyle</t>
        </is>
      </c>
      <c r="F684" t="inlineStr">
        <is>
          <t>2023</t>
        </is>
      </c>
      <c r="G684" t="inlineStr">
        <is>
          <t>used</t>
        </is>
      </c>
      <c r="H684" s="4" t="n">
        <v>555</v>
      </c>
      <c r="I684" t="inlineStr">
        <is>
          <t>VB</t>
        </is>
      </c>
      <c r="J684" t="inlineStr">
        <is>
          <t>21465 Schleswig-Holstein - Reinbek</t>
        </is>
      </c>
      <c r="K684" s="5" t="n">
        <v>45554</v>
      </c>
      <c r="L684" t="inlineStr">
        <is>
          <t>Sold</t>
        </is>
      </c>
      <c r="M684" s="6">
        <f>HYPERLINK("https://www.kleinanzeigen.de/s-anzeige/duotone-slick-6-5qm-v3-modell-2023-ohne-schaeden/2868029150-230-13590", "Link")</f>
        <v/>
      </c>
      <c r="N684" s="6">
        <f>HYPERLINK("C:\Projects\Kleinanzeigen-Scraper\offer_images\2868029150", "Link")</f>
        <v/>
      </c>
      <c r="O684" t="inlineStr">
        <is>
          <t>Christian von Holten</t>
        </is>
      </c>
      <c r="P684" s="6">
        <f>HYPERLINK("https://www.kleinanzeigen.de/s-bestandsliste.html?userId=566678", "Link")</f>
        <v/>
      </c>
      <c r="Q684" s="7" t="n">
        <v>45555.55947916667</v>
      </c>
      <c r="R684" s="3" t="inlineStr">
        <is>
          <t>366.85</t>
        </is>
      </c>
      <c r="S684" t="inlineStr">
        <is>
          <t>Köln</t>
        </is>
      </c>
    </row>
    <row r="685">
      <c r="A685" s="2" t="n">
        <v>5</v>
      </c>
      <c r="B685" t="inlineStr">
        <is>
          <t>Duotone Slick</t>
        </is>
      </c>
      <c r="C685" s="3" t="inlineStr"/>
      <c r="D685" s="3" t="inlineStr"/>
      <c r="E685" t="inlineStr"/>
      <c r="F685" t="inlineStr">
        <is>
          <t>2023/24</t>
        </is>
      </c>
      <c r="G685" t="inlineStr">
        <is>
          <t>new</t>
        </is>
      </c>
      <c r="H685" s="4" t="n">
        <v>459</v>
      </c>
      <c r="I685" t="inlineStr"/>
      <c r="J685" t="inlineStr">
        <is>
          <t>55430 Rheinland-Pfalz - Oberwesel</t>
        </is>
      </c>
      <c r="K685" s="5" t="n">
        <v>45551</v>
      </c>
      <c r="L685" t="inlineStr">
        <is>
          <t>Sold</t>
        </is>
      </c>
      <c r="M685" s="6">
        <f>HYPERLINK("https://www.kleinanzeigen.de/s-anzeige/duotone-slick-5-0-2023-24-neu/2865848849-230-19504", "Link")</f>
        <v/>
      </c>
      <c r="N685" s="6">
        <f>HYPERLINK("C:\Projects\Kleinanzeigen-Scraper\offer_images\2865848849", "Link")</f>
        <v/>
      </c>
      <c r="O685" t="inlineStr">
        <is>
          <t>Voll</t>
        </is>
      </c>
      <c r="P685" s="6">
        <f>HYPERLINK("https://www.kleinanzeigen.de/s-bestandsliste.html?userId=29250937", "Link")</f>
        <v/>
      </c>
      <c r="Q685" s="7" t="n">
        <v>45555.55935185185</v>
      </c>
      <c r="R685" s="3" t="inlineStr">
        <is>
          <t>109.06</t>
        </is>
      </c>
      <c r="S685" t="inlineStr">
        <is>
          <t>Köln</t>
        </is>
      </c>
    </row>
    <row r="686">
      <c r="A686" s="2" t="n">
        <v>3.7</v>
      </c>
      <c r="B686" t="inlineStr">
        <is>
          <t>Goya Banzai X</t>
        </is>
      </c>
      <c r="C686" s="3" t="inlineStr"/>
      <c r="D686" s="3" t="inlineStr"/>
      <c r="E686" t="inlineStr"/>
      <c r="F686" t="inlineStr">
        <is>
          <t>2023</t>
        </is>
      </c>
      <c r="G686" t="inlineStr">
        <is>
          <t>used</t>
        </is>
      </c>
      <c r="H686" s="4" t="n">
        <v>420</v>
      </c>
      <c r="I686" t="inlineStr"/>
      <c r="J686" t="inlineStr">
        <is>
          <t>67245 Rheinland-Pfalz - Lambsheim</t>
        </is>
      </c>
      <c r="K686" s="5" t="n">
        <v>45555</v>
      </c>
      <c r="L686" t="inlineStr"/>
      <c r="M686" s="6">
        <f>HYPERLINK("https://www.kleinanzeigen.de/s-anzeige/goya-banzai-x-3-7-2023/2868554311-230-5186", "Link")</f>
        <v/>
      </c>
      <c r="N686" s="6">
        <f>HYPERLINK("C:\Projects\Kleinanzeigen-Scraper\offer_images\2868554311", "Link")</f>
        <v/>
      </c>
      <c r="O686" t="inlineStr">
        <is>
          <t>Frank</t>
        </is>
      </c>
      <c r="P686" s="6">
        <f>HYPERLINK("https://www.kleinanzeigen.de/s-bestandsliste.html?userId=8491603", "Link")</f>
        <v/>
      </c>
      <c r="Q686" s="7" t="n">
        <v>45555.55934027778</v>
      </c>
      <c r="R686" s="3" t="inlineStr">
        <is>
          <t>56.18</t>
        </is>
      </c>
      <c r="S686" t="inlineStr">
        <is>
          <t>Karlsruhe</t>
        </is>
      </c>
    </row>
    <row r="687">
      <c r="A687" s="2" t="n">
        <v>5</v>
      </c>
      <c r="B687" t="inlineStr">
        <is>
          <t>Ezzy wave</t>
        </is>
      </c>
      <c r="C687" s="3" t="n">
        <v>400</v>
      </c>
      <c r="D687" s="3" t="inlineStr"/>
      <c r="E687" t="inlineStr"/>
      <c r="F687" t="inlineStr">
        <is>
          <t>2021</t>
        </is>
      </c>
      <c r="G687" t="inlineStr">
        <is>
          <t>used</t>
        </is>
      </c>
      <c r="H687" s="4" t="n">
        <v>499</v>
      </c>
      <c r="I687" t="inlineStr">
        <is>
          <t>VB</t>
        </is>
      </c>
      <c r="J687" t="inlineStr">
        <is>
          <t>19055 Schwerin - Schelfstadt</t>
        </is>
      </c>
      <c r="K687" s="5" t="n">
        <v>45554</v>
      </c>
      <c r="L687" t="inlineStr"/>
      <c r="M687" s="6">
        <f>HYPERLINK("https://www.kleinanzeigen.de/s-anzeige/ezzy-wave-5-0-2021/2868394082-230-16512", "Link")</f>
        <v/>
      </c>
      <c r="N687" s="6">
        <f>HYPERLINK("C:\Projects\Kleinanzeigen-Scraper\offer_images\2868394082", "Link")</f>
        <v/>
      </c>
      <c r="O687" t="inlineStr">
        <is>
          <t>Christian</t>
        </is>
      </c>
      <c r="P687" s="6">
        <f>HYPERLINK("https://www.kleinanzeigen.de/s-bestandsliste.html?userId=45403196", "Link")</f>
        <v/>
      </c>
      <c r="Q687" s="7" t="n">
        <v>45555.55916666667</v>
      </c>
      <c r="R687" s="3" t="inlineStr">
        <is>
          <t>429.10</t>
        </is>
      </c>
      <c r="S687" t="inlineStr">
        <is>
          <t>Köln</t>
        </is>
      </c>
    </row>
    <row r="688">
      <c r="A688" s="2" t="n">
        <v>7.4</v>
      </c>
      <c r="B688" t="inlineStr">
        <is>
          <t>Neilpryde VX3</t>
        </is>
      </c>
      <c r="C688" s="3" t="n">
        <v>490</v>
      </c>
      <c r="D688" s="3" t="n">
        <v>216</v>
      </c>
      <c r="E688" t="inlineStr"/>
      <c r="F688" t="inlineStr"/>
      <c r="G688" t="inlineStr">
        <is>
          <t>defective</t>
        </is>
      </c>
      <c r="H688" s="4" t="n">
        <v>30</v>
      </c>
      <c r="I688" t="inlineStr"/>
      <c r="J688" t="inlineStr">
        <is>
          <t>18057 Rostock - Kröpeliner-Tor-Vorstadt</t>
        </is>
      </c>
      <c r="K688" s="5" t="n">
        <v>45555</v>
      </c>
      <c r="L688" t="inlineStr"/>
      <c r="M688" s="6">
        <f>HYPERLINK("https://www.kleinanzeigen.de/s-anzeige/neilpryde-vx3-7-4-surf-segel/2868743207-230-156", "Link")</f>
        <v/>
      </c>
      <c r="N688" s="6">
        <f>HYPERLINK("C:\Projects\Kleinanzeigen-Scraper\offer_images\2868743207", "Link")</f>
        <v/>
      </c>
      <c r="O688" t="inlineStr">
        <is>
          <t>Hannes</t>
        </is>
      </c>
      <c r="P688" s="6">
        <f>HYPERLINK("https://www.kleinanzeigen.de/s-bestandsliste.html?userId=7903842", "Link")</f>
        <v/>
      </c>
      <c r="Q688" s="7" t="n">
        <v>45555.5591087963</v>
      </c>
      <c r="R688" s="3" t="inlineStr">
        <is>
          <t>494.07</t>
        </is>
      </c>
      <c r="S688" t="inlineStr">
        <is>
          <t>Köln</t>
        </is>
      </c>
    </row>
    <row r="689">
      <c r="A689" s="2" t="n">
        <v>7.7</v>
      </c>
      <c r="B689" t="inlineStr">
        <is>
          <t>Duotone North Warp</t>
        </is>
      </c>
      <c r="C689" s="3" t="n">
        <v>4.5</v>
      </c>
      <c r="D689" s="3" t="n">
        <v>2.25</v>
      </c>
      <c r="E689" t="inlineStr"/>
      <c r="F689" t="inlineStr">
        <is>
          <t>2015</t>
        </is>
      </c>
      <c r="G689" t="inlineStr">
        <is>
          <t>used</t>
        </is>
      </c>
      <c r="H689" s="4" t="n">
        <v>190</v>
      </c>
      <c r="I689" t="inlineStr"/>
      <c r="J689" t="inlineStr">
        <is>
          <t>20457 Hamburg-Mitte - Hamburg St. Pauli</t>
        </is>
      </c>
      <c r="K689" s="5" t="n">
        <v>45553</v>
      </c>
      <c r="L689" t="inlineStr"/>
      <c r="M689" s="6">
        <f>HYPERLINK("https://www.kleinanzeigen.de/s-anzeige/segel-duotone-north-warp-racing-7-7qm/2867127194-230-9496", "Link")</f>
        <v/>
      </c>
      <c r="N689" s="6">
        <f>HYPERLINK("C:\Projects\Kleinanzeigen-Scraper\offer_images\2867127194", "Link")</f>
        <v/>
      </c>
      <c r="O689" t="inlineStr">
        <is>
          <t>Martin</t>
        </is>
      </c>
      <c r="P689" s="6">
        <f>HYPERLINK("https://www.kleinanzeigen.de/s-bestandsliste.html?userId=24786405", "Link")</f>
        <v/>
      </c>
      <c r="Q689" s="7" t="n">
        <v>45555.55900462963</v>
      </c>
      <c r="R689" s="3" t="inlineStr">
        <is>
          <t>354.54</t>
        </is>
      </c>
      <c r="S689" t="inlineStr">
        <is>
          <t>Köln</t>
        </is>
      </c>
    </row>
    <row r="690">
      <c r="A690" s="2" t="n">
        <v>6.4</v>
      </c>
      <c r="B690" t="inlineStr">
        <is>
          <t>Gun Sails Stream</t>
        </is>
      </c>
      <c r="C690" s="3" t="n">
        <v>452</v>
      </c>
      <c r="D690" s="3" t="n">
        <v>189</v>
      </c>
      <c r="E690" t="inlineStr"/>
      <c r="F690" t="inlineStr"/>
      <c r="G690" t="inlineStr">
        <is>
          <t>used</t>
        </is>
      </c>
      <c r="H690" s="4" t="n">
        <v>120</v>
      </c>
      <c r="I690" t="inlineStr">
        <is>
          <t>VB</t>
        </is>
      </c>
      <c r="J690" t="inlineStr">
        <is>
          <t>24119 Kiel - Kronshagen</t>
        </is>
      </c>
      <c r="K690" s="5" t="n">
        <v>45552</v>
      </c>
      <c r="L690" t="inlineStr"/>
      <c r="M690" s="6">
        <f>HYPERLINK("https://www.kleinanzeigen.de/s-anzeige/gun-sails-stream-6-4/2866196689-230-705", "Link")</f>
        <v/>
      </c>
      <c r="N690" s="6">
        <f>HYPERLINK("C:\Projects\Kleinanzeigen-Scraper\offer_images\2866196689", "Link")</f>
        <v/>
      </c>
      <c r="O690" t="inlineStr">
        <is>
          <t>Denis</t>
        </is>
      </c>
      <c r="P690" s="6">
        <f>HYPERLINK("https://www.kleinanzeigen.de/s-bestandsliste.html?userId=14237400", "Link")</f>
        <v/>
      </c>
      <c r="Q690" s="7" t="n">
        <v>45555.55899305556</v>
      </c>
      <c r="R690" s="3" t="inlineStr">
        <is>
          <t>432.46</t>
        </is>
      </c>
      <c r="S690" t="inlineStr">
        <is>
          <t>Köln</t>
        </is>
      </c>
    </row>
    <row r="691">
      <c r="A691" s="2" t="n">
        <v>5</v>
      </c>
      <c r="B691" t="inlineStr">
        <is>
          <t>Duotone Superhero</t>
        </is>
      </c>
      <c r="C691" s="3" t="inlineStr"/>
      <c r="D691" s="3" t="inlineStr"/>
      <c r="E691" t="inlineStr"/>
      <c r="F691" t="inlineStr">
        <is>
          <t>2021</t>
        </is>
      </c>
      <c r="G691" t="inlineStr">
        <is>
          <t>used</t>
        </is>
      </c>
      <c r="H691" s="4" t="n">
        <v>370</v>
      </c>
      <c r="I691" t="inlineStr"/>
      <c r="J691" t="inlineStr">
        <is>
          <t>22179 Wandsbek - Hamburg Bramfeld</t>
        </is>
      </c>
      <c r="K691" s="5" t="n">
        <v>45553</v>
      </c>
      <c r="L691" t="inlineStr">
        <is>
          <t>Sold</t>
        </is>
      </c>
      <c r="M691" s="6">
        <f>HYPERLINK("https://www.kleinanzeigen.de/s-anzeige/duotone-superhero-5-0-aus-2021/2867417503-230-9451", "Link")</f>
        <v/>
      </c>
      <c r="N691" s="6">
        <f>HYPERLINK("C:\Projects\Kleinanzeigen-Scraper\offer_images\2867417503", "Link")</f>
        <v/>
      </c>
      <c r="O691" t="inlineStr">
        <is>
          <t>Bernd</t>
        </is>
      </c>
      <c r="P691" s="6">
        <f>HYPERLINK("https://www.kleinanzeigen.de/s-bestandsliste.html?userId=4424213", "Link")</f>
        <v/>
      </c>
      <c r="Q691" s="7" t="n">
        <v>45555.55881944444</v>
      </c>
      <c r="R691" s="3" t="inlineStr">
        <is>
          <t>365.29</t>
        </is>
      </c>
      <c r="S691" t="inlineStr">
        <is>
          <t>Köln</t>
        </is>
      </c>
    </row>
    <row r="692">
      <c r="A692" s="2" t="n">
        <v>4.2</v>
      </c>
      <c r="B692" t="inlineStr">
        <is>
          <t>Goya Banzai</t>
        </is>
      </c>
      <c r="C692" s="3" t="inlineStr"/>
      <c r="D692" s="3" t="inlineStr"/>
      <c r="E692" t="inlineStr"/>
      <c r="F692" t="inlineStr"/>
      <c r="G692" t="inlineStr">
        <is>
          <t>used</t>
        </is>
      </c>
      <c r="H692" s="4" t="n">
        <v>235</v>
      </c>
      <c r="I692" t="inlineStr">
        <is>
          <t>VB</t>
        </is>
      </c>
      <c r="J692" t="inlineStr">
        <is>
          <t>24340 Schleswig-Holstein - Eckernförde</t>
        </is>
      </c>
      <c r="K692" s="5" t="n">
        <v>45537</v>
      </c>
      <c r="L692" t="inlineStr"/>
      <c r="M692" s="6">
        <f>HYPERLINK("https://www.kleinanzeigen.de/s-anzeige/goya-banzai-4-2/2852870645-230-13234", "Link")</f>
        <v/>
      </c>
      <c r="N692" s="6">
        <f>HYPERLINK("C:\Projects\Kleinanzeigen-Scraper\offer_images\2852870645", "Link")</f>
        <v/>
      </c>
      <c r="O692" t="inlineStr">
        <is>
          <t>Peter</t>
        </is>
      </c>
      <c r="P692" s="6">
        <f>HYPERLINK("https://www.kleinanzeigen.de/s-bestandsliste.html?userId=20678876", "Link")</f>
        <v/>
      </c>
      <c r="Q692" s="7" t="n">
        <v>45555.55877314815</v>
      </c>
      <c r="R692" s="3" t="inlineStr">
        <is>
          <t>434.69</t>
        </is>
      </c>
      <c r="S692" t="inlineStr">
        <is>
          <t>Köln</t>
        </is>
      </c>
    </row>
    <row r="693">
      <c r="A693" s="2" t="n">
        <v>5.3</v>
      </c>
      <c r="B693" t="inlineStr">
        <is>
          <t>NeilPryde</t>
        </is>
      </c>
      <c r="C693" s="3" t="inlineStr"/>
      <c r="D693" s="3" t="inlineStr"/>
      <c r="E693" t="inlineStr"/>
      <c r="F693" t="inlineStr"/>
      <c r="G693" t="inlineStr">
        <is>
          <t>used</t>
        </is>
      </c>
      <c r="H693" s="4" t="n">
        <v>50</v>
      </c>
      <c r="I693" t="inlineStr">
        <is>
          <t>VB</t>
        </is>
      </c>
      <c r="J693" t="inlineStr">
        <is>
          <t>78467 Baden-Württemberg - Konstanz</t>
        </is>
      </c>
      <c r="K693" s="5" t="n">
        <v>45555</v>
      </c>
      <c r="L693" t="inlineStr"/>
      <c r="M693" s="6">
        <f>HYPERLINK("https://www.kleinanzeigen.de/s-anzeige/5-3qm-segel-neilpryde-windsurf-inkl-tasche/2868681789-230-9389", "Link")</f>
        <v/>
      </c>
      <c r="N693" s="6">
        <f>HYPERLINK("C:\Projects\Kleinanzeigen-Scraper\offer_images\2868681789", "Link")</f>
        <v/>
      </c>
      <c r="O693" t="inlineStr">
        <is>
          <t>Mats Biesinger</t>
        </is>
      </c>
      <c r="P693" s="6">
        <f>HYPERLINK("https://www.kleinanzeigen.de/s-bestandsliste.html?userId=140624530", "Link")</f>
        <v/>
      </c>
      <c r="Q693" s="7" t="n">
        <v>45555.55850694444</v>
      </c>
      <c r="R693" s="3" t="inlineStr">
        <is>
          <t>62.51</t>
        </is>
      </c>
      <c r="S693" t="inlineStr">
        <is>
          <t>Bonndorf</t>
        </is>
      </c>
    </row>
    <row r="694">
      <c r="A694" s="2" t="n">
        <v>4.7</v>
      </c>
      <c r="B694" t="inlineStr">
        <is>
          <t>Simmer Style Vision</t>
        </is>
      </c>
      <c r="C694" s="3" t="inlineStr"/>
      <c r="D694" s="3" t="inlineStr"/>
      <c r="E694" t="inlineStr"/>
      <c r="F694" t="inlineStr"/>
      <c r="G694" t="inlineStr">
        <is>
          <t>used</t>
        </is>
      </c>
      <c r="H694" s="4" t="n">
        <v>88</v>
      </c>
      <c r="I694" t="inlineStr">
        <is>
          <t>VB</t>
        </is>
      </c>
      <c r="J694" t="inlineStr">
        <is>
          <t>50321 Nordrhein-Westfalen - Brühl</t>
        </is>
      </c>
      <c r="K694" s="5" t="n">
        <v>45552</v>
      </c>
      <c r="L694" t="inlineStr">
        <is>
          <t>Sold</t>
        </is>
      </c>
      <c r="M694" s="6">
        <f>HYPERLINK("https://www.kleinanzeigen.de/s-anzeige/surfsegel-simmer-style-vision-4-7/2866767613-230-1158", "Link")</f>
        <v/>
      </c>
      <c r="N694" s="6">
        <f>HYPERLINK("C:\Projects\Kleinanzeigen-Scraper\offer_images\2866767613", "Link")</f>
        <v/>
      </c>
      <c r="O694" t="inlineStr">
        <is>
          <t>Christoph S.</t>
        </is>
      </c>
      <c r="P694" s="6">
        <f>HYPERLINK("https://www.kleinanzeigen.de/s-bestandsliste.html?userId=32311279", "Link")</f>
        <v/>
      </c>
      <c r="Q694" s="7" t="n">
        <v>45555.55820601852</v>
      </c>
      <c r="R694" s="3" t="inlineStr">
        <is>
          <t>14.26</t>
        </is>
      </c>
      <c r="S694" t="inlineStr">
        <is>
          <t>Köln</t>
        </is>
      </c>
    </row>
    <row r="695">
      <c r="A695" s="2" t="n">
        <v>7.2</v>
      </c>
      <c r="B695" t="inlineStr">
        <is>
          <t>Neilpryde Hellcat</t>
        </is>
      </c>
      <c r="C695" s="3" t="n">
        <v>4.6</v>
      </c>
      <c r="D695" s="3" t="inlineStr"/>
      <c r="E695" t="inlineStr"/>
      <c r="F695" t="inlineStr"/>
      <c r="G695" t="inlineStr">
        <is>
          <t>repaired</t>
        </is>
      </c>
      <c r="H695" s="4" t="n">
        <v>45</v>
      </c>
      <c r="I695" t="inlineStr">
        <is>
          <t>VB</t>
        </is>
      </c>
      <c r="J695" t="inlineStr">
        <is>
          <t>25746 Dithmarschen - Lohe-Rickelshof</t>
        </is>
      </c>
      <c r="K695" s="5" t="n">
        <v>45551</v>
      </c>
      <c r="L695" t="inlineStr"/>
      <c r="M695" s="6">
        <f>HYPERLINK("https://www.kleinanzeigen.de/s-anzeige/windsurfsegel-neilpryde-hellcat-7-2-m2/2865833988-230-16650", "Link")</f>
        <v/>
      </c>
      <c r="N695" s="6">
        <f>HYPERLINK("C:\Projects\Kleinanzeigen-Scraper\offer_images\2865833988", "Link")</f>
        <v/>
      </c>
      <c r="O695" t="inlineStr">
        <is>
          <t>M. Elsen</t>
        </is>
      </c>
      <c r="P695" s="6">
        <f>HYPERLINK("https://www.kleinanzeigen.de/s-bestandsliste.html?userId=2258653", "Link")</f>
        <v/>
      </c>
      <c r="Q695" s="7" t="n">
        <v>45555.55813657407</v>
      </c>
      <c r="R695" s="3" t="inlineStr">
        <is>
          <t>389.26</t>
        </is>
      </c>
      <c r="S695" t="inlineStr">
        <is>
          <t>Köln</t>
        </is>
      </c>
    </row>
    <row r="696">
      <c r="A696" s="2" t="n">
        <v>6</v>
      </c>
      <c r="B696" t="inlineStr">
        <is>
          <t>Gaastra Swift</t>
        </is>
      </c>
      <c r="C696" s="3" t="n">
        <v>446</v>
      </c>
      <c r="D696" s="3" t="n">
        <v>191</v>
      </c>
      <c r="E696" t="inlineStr"/>
      <c r="F696" t="inlineStr"/>
      <c r="G696" t="inlineStr">
        <is>
          <t>used</t>
        </is>
      </c>
      <c r="H696" s="4" t="n">
        <v>70</v>
      </c>
      <c r="I696" t="inlineStr"/>
      <c r="J696" t="inlineStr">
        <is>
          <t>71254 Baden-Württemberg - Ditzingen</t>
        </is>
      </c>
      <c r="K696" s="5" t="n">
        <v>45554</v>
      </c>
      <c r="L696" t="inlineStr"/>
      <c r="M696" s="6">
        <f>HYPERLINK("https://www.kleinanzeigen.de/s-anzeige/windsurf-segel-surfsegel-gaastra-swift-6-0-6-0-camber/2867722946-230-8865", "Link")</f>
        <v/>
      </c>
      <c r="N696" s="6">
        <f>HYPERLINK("C:\Projects\Kleinanzeigen-Scraper\offer_images\2867722946", "Link")</f>
        <v/>
      </c>
      <c r="O696" t="inlineStr">
        <is>
          <t>Johannes Gaechter</t>
        </is>
      </c>
      <c r="P696" s="6">
        <f>HYPERLINK("https://www.kleinanzeigen.de/s-bestandsliste.html?userId=2640764", "Link")</f>
        <v/>
      </c>
      <c r="Q696" s="7" t="n">
        <v>45555.55813657407</v>
      </c>
      <c r="R696" s="3" t="inlineStr">
        <is>
          <t>18.57</t>
        </is>
      </c>
      <c r="S696" t="inlineStr">
        <is>
          <t>Böblingen</t>
        </is>
      </c>
    </row>
    <row r="697">
      <c r="A697" s="2" t="n">
        <v>4.7</v>
      </c>
      <c r="B697" t="inlineStr">
        <is>
          <t>Neilpryde Wave NR</t>
        </is>
      </c>
      <c r="C697" s="3" t="inlineStr"/>
      <c r="D697" s="3" t="inlineStr"/>
      <c r="E697" t="inlineStr"/>
      <c r="F697" t="inlineStr"/>
      <c r="G697" t="inlineStr">
        <is>
          <t>used</t>
        </is>
      </c>
      <c r="H697" s="4" t="n">
        <v>75</v>
      </c>
      <c r="I697" t="inlineStr"/>
      <c r="J697" t="inlineStr">
        <is>
          <t>78467 Baden-Württemberg - Konstanz</t>
        </is>
      </c>
      <c r="K697" s="5" t="n">
        <v>45551</v>
      </c>
      <c r="L697" t="inlineStr"/>
      <c r="M697" s="6">
        <f>HYPERLINK("https://www.kleinanzeigen.de/s-anzeige/neilpryde-wave-nr-surfsegel-4-7/2865612612-230-9389", "Link")</f>
        <v/>
      </c>
      <c r="N697" s="6">
        <f>HYPERLINK("C:\Projects\Kleinanzeigen-Scraper\offer_images\2865612612", "Link")</f>
        <v/>
      </c>
      <c r="O697" t="inlineStr">
        <is>
          <t>Reno</t>
        </is>
      </c>
      <c r="P697" s="6">
        <f>HYPERLINK("https://www.kleinanzeigen.de/s-bestandsliste.html?userId=17565138", "Link")</f>
        <v/>
      </c>
      <c r="Q697" s="7" t="n">
        <v>45555.558125</v>
      </c>
      <c r="R697" s="3" t="inlineStr">
        <is>
          <t>62.51</t>
        </is>
      </c>
      <c r="S697" t="inlineStr">
        <is>
          <t>Bonndorf</t>
        </is>
      </c>
    </row>
    <row r="698">
      <c r="A698" s="2" t="n">
        <v>4</v>
      </c>
      <c r="B698" t="inlineStr">
        <is>
          <t>Duotone Super Hero</t>
        </is>
      </c>
      <c r="C698" s="3" t="inlineStr"/>
      <c r="D698" s="3" t="inlineStr"/>
      <c r="E698" t="inlineStr"/>
      <c r="F698" t="inlineStr">
        <is>
          <t>2021</t>
        </is>
      </c>
      <c r="G698" t="inlineStr">
        <is>
          <t>new</t>
        </is>
      </c>
      <c r="H698" s="4" t="n">
        <v>280</v>
      </c>
      <c r="I698" t="inlineStr">
        <is>
          <t>VB</t>
        </is>
      </c>
      <c r="J698" t="inlineStr">
        <is>
          <t>18586 Mecklenburg-Vorpommern - Mönchgut, Ostseebad</t>
        </is>
      </c>
      <c r="K698" s="5" t="n">
        <v>45553</v>
      </c>
      <c r="L698" t="inlineStr">
        <is>
          <t>Sold</t>
        </is>
      </c>
      <c r="M698" s="6">
        <f>HYPERLINK("https://www.kleinanzeigen.de/s-anzeige/duotone-super-hero-4-0-top-zustand-ruegen-muenchen-/2866992016-230-120", "Link")</f>
        <v/>
      </c>
      <c r="N698" s="6">
        <f>HYPERLINK("C:\Projects\Kleinanzeigen-Scraper\offer_images\2866992016", "Link")</f>
        <v/>
      </c>
      <c r="O698" t="inlineStr">
        <is>
          <t>Markus Dobke</t>
        </is>
      </c>
      <c r="P698" s="6">
        <f>HYPERLINK("https://www.kleinanzeigen.de/s-bestandsliste.html?userId=8298259", "Link")</f>
        <v/>
      </c>
      <c r="Q698" s="7" t="n">
        <v>45555.55811342593</v>
      </c>
      <c r="R698" s="3" t="inlineStr">
        <is>
          <t>591.22</t>
        </is>
      </c>
      <c r="S698" t="inlineStr">
        <is>
          <t>Köln</t>
        </is>
      </c>
    </row>
    <row r="699">
      <c r="A699" s="2" t="n">
        <v>5.3</v>
      </c>
      <c r="B699" t="inlineStr">
        <is>
          <t>NeilPryde Firefly</t>
        </is>
      </c>
      <c r="C699" s="3" t="n">
        <v>4.18</v>
      </c>
      <c r="D699" s="3" t="inlineStr"/>
      <c r="E699" t="inlineStr"/>
      <c r="F699" t="inlineStr"/>
      <c r="G699" t="inlineStr">
        <is>
          <t>new</t>
        </is>
      </c>
      <c r="H699" s="4" t="n">
        <v>188</v>
      </c>
      <c r="I699" t="inlineStr"/>
      <c r="J699" t="inlineStr">
        <is>
          <t>80807 München - Schwabing-Freimann</t>
        </is>
      </c>
      <c r="K699" s="5" t="n">
        <v>45555</v>
      </c>
      <c r="L699" t="inlineStr">
        <is>
          <t>Sold</t>
        </is>
      </c>
      <c r="M699" s="6">
        <f>HYPERLINK("https://www.kleinanzeigen.de/s-anzeige/windsurf-segel-neilpryde-5-3-firefly/2868810409-230-16377", "Link")</f>
        <v/>
      </c>
      <c r="N699" s="6">
        <f>HYPERLINK("C:\Projects\Kleinanzeigen-Scraper\offer_images\2868810409", "Link")</f>
        <v/>
      </c>
      <c r="O699" t="inlineStr">
        <is>
          <t>Gerdi</t>
        </is>
      </c>
      <c r="P699" s="6">
        <f>HYPERLINK("https://www.kleinanzeigen.de/s-bestandsliste.html?userId=43660283", "Link")</f>
        <v/>
      </c>
      <c r="Q699" s="7" t="n">
        <v>45555.55810185185</v>
      </c>
      <c r="R699" s="3" t="inlineStr">
        <is>
          <t>5.67</t>
        </is>
      </c>
      <c r="S699" t="inlineStr">
        <is>
          <t>München</t>
        </is>
      </c>
    </row>
    <row r="700">
      <c r="A700" s="2" t="n">
        <v>4.8</v>
      </c>
      <c r="B700" t="inlineStr">
        <is>
          <t>Severne S1</t>
        </is>
      </c>
      <c r="C700" s="3" t="inlineStr"/>
      <c r="D700" s="3" t="inlineStr"/>
      <c r="E700" t="inlineStr"/>
      <c r="F700" t="inlineStr">
        <is>
          <t>2020</t>
        </is>
      </c>
      <c r="G700" t="inlineStr">
        <is>
          <t>used</t>
        </is>
      </c>
      <c r="H700" s="4" t="n">
        <v>230</v>
      </c>
      <c r="I700" t="inlineStr"/>
      <c r="J700" t="inlineStr">
        <is>
          <t>16348 Brandenburg - Wandlitz</t>
        </is>
      </c>
      <c r="K700" s="5" t="n">
        <v>45555</v>
      </c>
      <c r="L700" t="inlineStr">
        <is>
          <t>Sold</t>
        </is>
      </c>
      <c r="M700" s="6">
        <f>HYPERLINK("https://www.kleinanzeigen.de/s-anzeige/s1-severne-4-8er-segel-2020-/2868559950-230-7891", "Link")</f>
        <v/>
      </c>
      <c r="N700" s="6">
        <f>HYPERLINK("C:\Projects\Kleinanzeigen-Scraper\offer_images\2868559950", "Link")</f>
        <v/>
      </c>
      <c r="O700" t="inlineStr">
        <is>
          <t>ollie</t>
        </is>
      </c>
      <c r="P700" s="6">
        <f>HYPERLINK("https://www.kleinanzeigen.de/s-bestandsliste.html?userId=11096027", "Link")</f>
        <v/>
      </c>
      <c r="Q700" s="7" t="n">
        <v>45555.55803240741</v>
      </c>
      <c r="R700" s="3" t="inlineStr">
        <is>
          <t>493.28</t>
        </is>
      </c>
      <c r="S700" t="inlineStr">
        <is>
          <t>Köln</t>
        </is>
      </c>
    </row>
    <row r="701">
      <c r="A701" s="2" t="n">
        <v>7.5</v>
      </c>
      <c r="B701" t="inlineStr">
        <is>
          <t>Gun Sails</t>
        </is>
      </c>
      <c r="C701" s="3" t="inlineStr"/>
      <c r="D701" s="3" t="inlineStr"/>
      <c r="E701" t="inlineStr"/>
      <c r="F701" t="inlineStr"/>
      <c r="G701" t="inlineStr">
        <is>
          <t>used</t>
        </is>
      </c>
      <c r="H701" s="4" t="n">
        <v>230</v>
      </c>
      <c r="I701" t="inlineStr"/>
      <c r="J701" t="inlineStr">
        <is>
          <t>26524 Niedersachsen - Lütetsburg</t>
        </is>
      </c>
      <c r="K701" s="5" t="n">
        <v>45554</v>
      </c>
      <c r="L701" t="inlineStr"/>
      <c r="M701" s="6">
        <f>HYPERLINK("https://www.kleinanzeigen.de/s-anzeige/surf-segel-gun-sails-7-5/2867970822-230-2776", "Link")</f>
        <v/>
      </c>
      <c r="N701" s="6">
        <f>HYPERLINK("C:\Projects\Kleinanzeigen-Scraper\offer_images\2867970822", "Link")</f>
        <v/>
      </c>
      <c r="O701" t="inlineStr">
        <is>
          <t>Stamer</t>
        </is>
      </c>
      <c r="P701" s="6">
        <f>HYPERLINK("https://www.kleinanzeigen.de/s-bestandsliste.html?userId=72993106", "Link")</f>
        <v/>
      </c>
      <c r="Q701" s="7" t="n">
        <v>45555.55796296296</v>
      </c>
      <c r="R701" s="3" t="inlineStr">
        <is>
          <t>298.23</t>
        </is>
      </c>
      <c r="S701" t="inlineStr">
        <is>
          <t>Köln</t>
        </is>
      </c>
    </row>
    <row r="702">
      <c r="A702" s="2" t="n">
        <v>6.2</v>
      </c>
      <c r="B702" t="inlineStr">
        <is>
          <t>North Sails Match Race</t>
        </is>
      </c>
      <c r="C702" s="3" t="inlineStr"/>
      <c r="D702" s="3" t="inlineStr"/>
      <c r="E702" t="inlineStr">
        <is>
          <t>Freeride / Slalom</t>
        </is>
      </c>
      <c r="F702" t="inlineStr"/>
      <c r="G702" t="inlineStr">
        <is>
          <t>used</t>
        </is>
      </c>
      <c r="H702" s="4" t="n">
        <v>20</v>
      </c>
      <c r="I702" t="inlineStr">
        <is>
          <t>VB</t>
        </is>
      </c>
      <c r="J702" t="inlineStr">
        <is>
          <t>16928 Brandenburg - Pritzwalk</t>
        </is>
      </c>
      <c r="K702" s="5" t="n">
        <v>45551</v>
      </c>
      <c r="L702" t="inlineStr"/>
      <c r="M702" s="6">
        <f>HYPERLINK("https://www.kleinanzeigen.de/s-anzeige/north-sails-match-race-2-cam-slalom-segel-6-2-qm-anfaenger/2865482016-230-20825", "Link")</f>
        <v/>
      </c>
      <c r="N702" s="6">
        <f>HYPERLINK("C:\Projects\Kleinanzeigen-Scraper\offer_images\2865482016", "Link")</f>
        <v/>
      </c>
      <c r="O702" t="inlineStr">
        <is>
          <t>Toni</t>
        </is>
      </c>
      <c r="P702" s="6">
        <f>HYPERLINK("https://www.kleinanzeigen.de/s-bestandsliste.html?userId=52615401", "Link")</f>
        <v/>
      </c>
      <c r="Q702" s="7" t="n">
        <v>45555.55796296296</v>
      </c>
      <c r="R702" s="3" t="inlineStr">
        <is>
          <t>432.77</t>
        </is>
      </c>
      <c r="S702" t="inlineStr">
        <is>
          <t>Köln</t>
        </is>
      </c>
    </row>
    <row r="703">
      <c r="A703" s="2" t="n">
        <v>8.6</v>
      </c>
      <c r="B703" t="inlineStr">
        <is>
          <t>Neil Pryde RS Slalom MK IV</t>
        </is>
      </c>
      <c r="C703" s="3" t="n">
        <v>494</v>
      </c>
      <c r="D703" s="3" t="n">
        <v>220</v>
      </c>
      <c r="E703" t="inlineStr">
        <is>
          <t>Slalom</t>
        </is>
      </c>
      <c r="F703" t="inlineStr"/>
      <c r="G703" t="inlineStr">
        <is>
          <t>used</t>
        </is>
      </c>
      <c r="H703" s="4" t="n">
        <v>100</v>
      </c>
      <c r="I703" t="inlineStr"/>
      <c r="J703" t="inlineStr">
        <is>
          <t>70374 Stuttgart - Bad Cannstatt</t>
        </is>
      </c>
      <c r="K703" s="5" t="n">
        <v>45554</v>
      </c>
      <c r="L703" t="inlineStr"/>
      <c r="M703" s="6">
        <f>HYPERLINK("https://www.kleinanzeigen.de/s-anzeige/neil-pryde-rs-slalom-mk-iv-8-6-windsurfen/2868181865-230-9335", "Link")</f>
        <v/>
      </c>
      <c r="N703" s="6">
        <f>HYPERLINK("C:\Projects\Kleinanzeigen-Scraper\offer_images\2868181865", "Link")</f>
        <v/>
      </c>
      <c r="O703" t="inlineStr">
        <is>
          <t>Stephan</t>
        </is>
      </c>
      <c r="P703" s="6">
        <f>HYPERLINK("https://www.kleinanzeigen.de/s-bestandsliste.html?userId=35669520", "Link")</f>
        <v/>
      </c>
      <c r="Q703" s="7" t="n">
        <v>45555.5578587963</v>
      </c>
      <c r="R703" s="3" t="inlineStr">
        <is>
          <t>24.40</t>
        </is>
      </c>
      <c r="S703" t="inlineStr">
        <is>
          <t>Böblingen</t>
        </is>
      </c>
    </row>
    <row r="704">
      <c r="A704" s="2" t="n">
        <v>5</v>
      </c>
      <c r="B704" t="inlineStr">
        <is>
          <t>Duotone Neo SLS</t>
        </is>
      </c>
      <c r="C704" s="3" t="inlineStr"/>
      <c r="D704" s="3" t="inlineStr"/>
      <c r="E704" t="inlineStr">
        <is>
          <t>Wave</t>
        </is>
      </c>
      <c r="F704" t="inlineStr">
        <is>
          <t>2023</t>
        </is>
      </c>
      <c r="G704" t="inlineStr">
        <is>
          <t>used</t>
        </is>
      </c>
      <c r="H704" s="4" t="n">
        <v>850</v>
      </c>
      <c r="I704" t="inlineStr">
        <is>
          <t>VB</t>
        </is>
      </c>
      <c r="J704" t="inlineStr">
        <is>
          <t>22763 Altona - Hamburg Ottensen</t>
        </is>
      </c>
      <c r="K704" s="5" t="n">
        <v>45552</v>
      </c>
      <c r="L704" t="inlineStr">
        <is>
          <t>Sold</t>
        </is>
      </c>
      <c r="M704" s="6">
        <f>HYPERLINK("https://www.kleinanzeigen.de/s-anzeige/duotone-neo-sls-5m2-2023-c03-coral-red-blue/2866767240-230-9505", "Link")</f>
        <v/>
      </c>
      <c r="N704" s="6">
        <f>HYPERLINK("C:\Projects\Kleinanzeigen-Scraper\offer_images\2866767240", "Link")</f>
        <v/>
      </c>
      <c r="O704" t="inlineStr">
        <is>
          <t>Peter Detjen</t>
        </is>
      </c>
      <c r="P704" s="6">
        <f>HYPERLINK("https://www.kleinanzeigen.de/s-bestandsliste.html?userId=19046965", "Link")</f>
        <v/>
      </c>
      <c r="Q704" s="7" t="n">
        <v>45555.5578587963</v>
      </c>
      <c r="R704" s="3" t="inlineStr">
        <is>
          <t>354.04</t>
        </is>
      </c>
      <c r="S704" t="inlineStr">
        <is>
          <t>Köln</t>
        </is>
      </c>
    </row>
    <row r="705">
      <c r="A705" s="2" t="n">
        <v>6.2</v>
      </c>
      <c r="B705" t="inlineStr">
        <is>
          <t>Goya Eclipse</t>
        </is>
      </c>
      <c r="C705" s="3" t="inlineStr"/>
      <c r="D705" s="3" t="inlineStr"/>
      <c r="E705" t="inlineStr">
        <is>
          <t>Wave</t>
        </is>
      </c>
      <c r="F705" t="inlineStr"/>
      <c r="G705" t="inlineStr">
        <is>
          <t>repaired</t>
        </is>
      </c>
      <c r="H705" s="4" t="n">
        <v>40</v>
      </c>
      <c r="I705" t="inlineStr"/>
      <c r="J705" t="inlineStr">
        <is>
          <t>23775 Kreis Ostholstein - Großenbrode</t>
        </is>
      </c>
      <c r="K705" s="5" t="n">
        <v>45530</v>
      </c>
      <c r="L705" t="inlineStr"/>
      <c r="M705" s="6">
        <f>HYPERLINK("https://www.kleinanzeigen.de/s-anzeige/windsurfsegel-goya-eclipse-6-2/2846949799-230-429", "Link")</f>
        <v/>
      </c>
      <c r="N705" s="6">
        <f>HYPERLINK("C:\Projects\Kleinanzeigen-Scraper\offer_images\2846949799", "Link")</f>
        <v/>
      </c>
      <c r="O705" t="inlineStr">
        <is>
          <t>Mike</t>
        </is>
      </c>
      <c r="P705" s="6">
        <f>HYPERLINK("https://www.kleinanzeigen.de/s-bestandsliste.html?userId=140806844", "Link")</f>
        <v/>
      </c>
      <c r="Q705" s="7" t="n">
        <v>45555.55783564815</v>
      </c>
      <c r="R705" s="3" t="inlineStr">
        <is>
          <t>471.97</t>
        </is>
      </c>
      <c r="S705" t="inlineStr">
        <is>
          <t>Köln</t>
        </is>
      </c>
    </row>
    <row r="706">
      <c r="A706" s="2" t="n">
        <v>8</v>
      </c>
      <c r="B706" t="inlineStr">
        <is>
          <t>Gun Sails Vector</t>
        </is>
      </c>
      <c r="C706" s="3" t="n">
        <v>460</v>
      </c>
      <c r="D706" s="3" t="inlineStr"/>
      <c r="E706" t="inlineStr"/>
      <c r="F706" t="inlineStr"/>
      <c r="G706" t="inlineStr">
        <is>
          <t>used</t>
        </is>
      </c>
      <c r="H706" s="4" t="n">
        <v>155</v>
      </c>
      <c r="I706" t="inlineStr">
        <is>
          <t>VB</t>
        </is>
      </c>
      <c r="J706" t="inlineStr">
        <is>
          <t>87452 Bayern - Altusried</t>
        </is>
      </c>
      <c r="K706" s="5" t="n">
        <v>45514</v>
      </c>
      <c r="L706" t="inlineStr"/>
      <c r="M706" s="6">
        <f>HYPERLINK("https://www.kleinanzeigen.de/s-anzeige/gun-sails-vector-8-0-freerace-3-cam/2833583910-230-7621", "Link")</f>
        <v/>
      </c>
      <c r="N706" s="6">
        <f>HYPERLINK("C:\Projects\Kleinanzeigen-Scraper\offer_images\2833583910", "Link")</f>
        <v/>
      </c>
      <c r="O706" t="inlineStr">
        <is>
          <t>Robert Scholz</t>
        </is>
      </c>
      <c r="P706" s="6">
        <f>HYPERLINK("https://www.kleinanzeigen.de/s-bestandsliste.html?userId=3884308", "Link")</f>
        <v/>
      </c>
      <c r="Q706" s="7" t="n">
        <v>45555.55778935185</v>
      </c>
      <c r="R706" s="3" t="inlineStr">
        <is>
          <t>109.83</t>
        </is>
      </c>
      <c r="S706" t="inlineStr">
        <is>
          <t>München</t>
        </is>
      </c>
    </row>
    <row r="707">
      <c r="A707" s="2" t="n">
        <v>6.7</v>
      </c>
      <c r="B707" t="inlineStr">
        <is>
          <t>Neilpryde Speedster</t>
        </is>
      </c>
      <c r="C707" s="3" t="n">
        <v>430</v>
      </c>
      <c r="D707" s="3" t="inlineStr">
        <is>
          <t>194-200</t>
        </is>
      </c>
      <c r="E707" t="inlineStr"/>
      <c r="F707" t="inlineStr">
        <is>
          <t>2021</t>
        </is>
      </c>
      <c r="G707" t="inlineStr">
        <is>
          <t>repaired</t>
        </is>
      </c>
      <c r="H707" s="4" t="n">
        <v>220</v>
      </c>
      <c r="I707" t="inlineStr"/>
      <c r="J707" t="inlineStr">
        <is>
          <t>04109 Leipzig - Leipzig, Zentrum</t>
        </is>
      </c>
      <c r="K707" s="5" t="n">
        <v>45552</v>
      </c>
      <c r="L707" t="inlineStr">
        <is>
          <t>Sold</t>
        </is>
      </c>
      <c r="M707" s="6">
        <f>HYPERLINK("https://www.kleinanzeigen.de/s-anzeige/windsurfsegel-neilpryde-speedster-6-7-2021/2866379637-230-4258", "Link")</f>
        <v/>
      </c>
      <c r="N707" s="6">
        <f>HYPERLINK("C:\Projects\Kleinanzeigen-Scraper\offer_images\2866379637", "Link")</f>
        <v/>
      </c>
      <c r="O707" t="inlineStr">
        <is>
          <t>Thomas Wienforth</t>
        </is>
      </c>
      <c r="P707" s="6">
        <f>HYPERLINK("https://www.kleinanzeigen.de/s-bestandsliste.html?userId=33653993", "Link")</f>
        <v/>
      </c>
      <c r="Q707" s="7" t="n">
        <v>45555.55766203703</v>
      </c>
      <c r="R707" s="3" t="inlineStr">
        <is>
          <t>360.56</t>
        </is>
      </c>
      <c r="S707" t="inlineStr">
        <is>
          <t>München</t>
        </is>
      </c>
    </row>
    <row r="708">
      <c r="A708" s="2" t="n">
        <v>8.300000000000001</v>
      </c>
      <c r="B708" t="inlineStr">
        <is>
          <t>Point 7 AC2</t>
        </is>
      </c>
      <c r="C708" s="3" t="n">
        <v>4.9</v>
      </c>
      <c r="D708" s="3" t="n">
        <v>2.26</v>
      </c>
      <c r="E708" t="inlineStr">
        <is>
          <t>Racing</t>
        </is>
      </c>
      <c r="F708" t="inlineStr"/>
      <c r="G708" t="inlineStr">
        <is>
          <t>used</t>
        </is>
      </c>
      <c r="H708" s="4" t="n">
        <v>130</v>
      </c>
      <c r="I708" t="inlineStr"/>
      <c r="J708" t="inlineStr">
        <is>
          <t>24257 Schleswig-Holstein - Köhn</t>
        </is>
      </c>
      <c r="K708" s="5" t="n">
        <v>45555</v>
      </c>
      <c r="L708" t="inlineStr"/>
      <c r="M708" s="6">
        <f>HYPERLINK("https://www.kleinanzeigen.de/s-anzeige/point-7-ac2-8-3-m2-segel-mit-2-cambern/2868722813-230-27759", "Link")</f>
        <v/>
      </c>
      <c r="N708" s="6">
        <f>HYPERLINK("C:\Projects\Kleinanzeigen-Scraper\offer_images\2868722813", "Link")</f>
        <v/>
      </c>
      <c r="O708" t="inlineStr">
        <is>
          <t>M.Hardebusch</t>
        </is>
      </c>
      <c r="P708" s="6">
        <f>HYPERLINK("https://www.kleinanzeigen.de/s-bestandsliste.html?userId=4383097", "Link")</f>
        <v/>
      </c>
      <c r="Q708" s="7" t="n">
        <v>45555.55758101852</v>
      </c>
      <c r="R708" s="3" t="inlineStr">
        <is>
          <t>448.33</t>
        </is>
      </c>
      <c r="S708" t="inlineStr">
        <is>
          <t>Köln</t>
        </is>
      </c>
    </row>
    <row r="709">
      <c r="A709" s="2" t="n">
        <v>5</v>
      </c>
      <c r="B709" t="inlineStr">
        <is>
          <t>Duotone Slick SLS</t>
        </is>
      </c>
      <c r="C709" s="3" t="inlineStr"/>
      <c r="D709" s="3" t="inlineStr"/>
      <c r="E709" t="inlineStr"/>
      <c r="F709" t="inlineStr">
        <is>
          <t>2022/2023</t>
        </is>
      </c>
      <c r="G709" t="inlineStr">
        <is>
          <t>used</t>
        </is>
      </c>
      <c r="H709" s="4" t="n">
        <v>430</v>
      </c>
      <c r="I709" t="inlineStr">
        <is>
          <t>VB</t>
        </is>
      </c>
      <c r="J709" t="inlineStr">
        <is>
          <t>24161 Schleswig-Holstein - Altenholz</t>
        </is>
      </c>
      <c r="K709" s="5" t="n">
        <v>45554</v>
      </c>
      <c r="L709" t="inlineStr">
        <is>
          <t>Sold</t>
        </is>
      </c>
      <c r="M709" s="6">
        <f>HYPERLINK("https://www.kleinanzeigen.de/s-anzeige/duotone-slick-sls-5-0-2022-2023/2868339439-230-10597", "Link")</f>
        <v/>
      </c>
      <c r="N709" s="6">
        <f>HYPERLINK("C:\Projects\Kleinanzeigen-Scraper\offer_images\2868339439", "Link")</f>
        <v/>
      </c>
      <c r="O709" t="inlineStr">
        <is>
          <t>Florian</t>
        </is>
      </c>
      <c r="P709" s="6">
        <f>HYPERLINK("https://www.kleinanzeigen.de/s-bestandsliste.html?userId=9322422", "Link")</f>
        <v/>
      </c>
      <c r="Q709" s="7" t="n">
        <v>45555.55747685185</v>
      </c>
      <c r="R709" s="3" t="inlineStr">
        <is>
          <t>439.33</t>
        </is>
      </c>
      <c r="S709" t="inlineStr">
        <is>
          <t>Köln</t>
        </is>
      </c>
    </row>
    <row r="710">
      <c r="A710" s="2" t="n">
        <v>7.8</v>
      </c>
      <c r="B710" t="inlineStr">
        <is>
          <t>Severne Overdrive M2</t>
        </is>
      </c>
      <c r="C710" s="3" t="inlineStr"/>
      <c r="D710" s="3" t="inlineStr"/>
      <c r="E710" t="inlineStr"/>
      <c r="F710" t="inlineStr"/>
      <c r="G710" t="inlineStr">
        <is>
          <t>used</t>
        </is>
      </c>
      <c r="H710" s="4" t="n">
        <v>250</v>
      </c>
      <c r="I710" t="inlineStr"/>
      <c r="J710" t="inlineStr">
        <is>
          <t>80639 Neuhausen-Nymphenburg - Neuhausen</t>
        </is>
      </c>
      <c r="K710" s="5" t="n">
        <v>45339</v>
      </c>
      <c r="L710" t="inlineStr">
        <is>
          <t>Sold</t>
        </is>
      </c>
      <c r="M710" s="6">
        <f>HYPERLINK("https://www.kleinanzeigen.de/s-anzeige/severne-overdrive-m2-7-8-windsurf-segel/2682123184-230-6420", "Link")</f>
        <v/>
      </c>
      <c r="N710" s="6">
        <f>HYPERLINK("C:\Projects\Kleinanzeigen-Scraper\offer_images\2682123184", "Link")</f>
        <v/>
      </c>
      <c r="O710" t="inlineStr">
        <is>
          <t>Andre Simlacher</t>
        </is>
      </c>
      <c r="P710" s="6">
        <f>HYPERLINK("https://www.kleinanzeigen.de/s-bestandsliste.html?userId=46137019", "Link")</f>
        <v/>
      </c>
      <c r="Q710" s="7" t="n">
        <v>45555.5574537037</v>
      </c>
      <c r="R710" s="3" t="inlineStr">
        <is>
          <t>4.83</t>
        </is>
      </c>
      <c r="S710" t="inlineStr">
        <is>
          <t>München</t>
        </is>
      </c>
    </row>
    <row r="711">
      <c r="A711" s="2" t="n">
        <v>4.2</v>
      </c>
      <c r="B711" t="inlineStr">
        <is>
          <t>Duotone/North Vertigo</t>
        </is>
      </c>
      <c r="C711" s="3" t="n">
        <v>410</v>
      </c>
      <c r="D711" s="3" t="n">
        <v>162</v>
      </c>
      <c r="E711" t="inlineStr"/>
      <c r="F711" t="inlineStr"/>
      <c r="G711" t="inlineStr">
        <is>
          <t>used</t>
        </is>
      </c>
      <c r="H711" s="4" t="n">
        <v>130</v>
      </c>
      <c r="I711" t="inlineStr"/>
      <c r="J711" t="inlineStr">
        <is>
          <t>79618 Baden-Württemberg - Rheinfelden (Baden)</t>
        </is>
      </c>
      <c r="K711" s="5" t="n">
        <v>45552</v>
      </c>
      <c r="L711" t="inlineStr"/>
      <c r="M711" s="6">
        <f>HYPERLINK("https://www.kleinanzeigen.de/s-anzeige/windsurfsegel-duotone-north-vertigo-4-2-fast-wie-neu-segel/2866708063-230-8169", "Link")</f>
        <v/>
      </c>
      <c r="N711" s="6">
        <f>HYPERLINK("C:\Projects\Kleinanzeigen-Scraper\offer_images\2866708063", "Link")</f>
        <v/>
      </c>
      <c r="O711" t="inlineStr">
        <is>
          <t>B. L.</t>
        </is>
      </c>
      <c r="P711" s="6">
        <f>HYPERLINK("https://www.kleinanzeigen.de/s-bestandsliste.html?userId=36939917", "Link")</f>
        <v/>
      </c>
      <c r="Q711" s="7" t="n">
        <v>45555.55737268519</v>
      </c>
      <c r="R711" s="3" t="inlineStr">
        <is>
          <t>49.46</t>
        </is>
      </c>
      <c r="S711" t="inlineStr">
        <is>
          <t>Bonndorf</t>
        </is>
      </c>
    </row>
    <row r="712">
      <c r="A712" s="2" t="n">
        <v>4</v>
      </c>
      <c r="B712" t="inlineStr"/>
      <c r="C712" s="3" t="inlineStr"/>
      <c r="D712" s="3" t="inlineStr"/>
      <c r="E712" t="inlineStr"/>
      <c r="F712" t="inlineStr"/>
      <c r="G712" t="inlineStr">
        <is>
          <t>used</t>
        </is>
      </c>
      <c r="H712" s="4" t="n">
        <v>20</v>
      </c>
      <c r="I712" t="inlineStr"/>
      <c r="J712" t="inlineStr">
        <is>
          <t>30966 Niedersachsen - Hemmingen</t>
        </is>
      </c>
      <c r="K712" s="5" t="n">
        <v>45551</v>
      </c>
      <c r="L712" t="inlineStr">
        <is>
          <t>Sold</t>
        </is>
      </c>
      <c r="M712" s="6">
        <f>HYPERLINK("https://www.kleinanzeigen.de/s-anzeige/windsurf-segel-4-0/2865488203-230-2899", "Link")</f>
        <v/>
      </c>
      <c r="N712" s="6">
        <f>HYPERLINK("C:\Projects\Kleinanzeigen-Scraper\offer_images\2865488203", "Link")</f>
        <v/>
      </c>
      <c r="O712" t="inlineStr">
        <is>
          <t>Schröter</t>
        </is>
      </c>
      <c r="P712" s="6">
        <f>HYPERLINK("https://www.kleinanzeigen.de/s-bestandsliste.html?userId=13115082", "Link")</f>
        <v/>
      </c>
      <c r="Q712" s="7" t="n">
        <v>45555.55725694444</v>
      </c>
      <c r="R712" s="3" t="inlineStr">
        <is>
          <t>244.01</t>
        </is>
      </c>
      <c r="S712" t="inlineStr">
        <is>
          <t>Köln</t>
        </is>
      </c>
    </row>
    <row r="713">
      <c r="A713" s="2" t="n">
        <v>7.5</v>
      </c>
      <c r="B713" t="inlineStr">
        <is>
          <t>Neilpryde V6</t>
        </is>
      </c>
      <c r="C713" s="3" t="n">
        <v>460</v>
      </c>
      <c r="D713" s="3" t="n">
        <v>190</v>
      </c>
      <c r="E713" t="inlineStr"/>
      <c r="F713" t="inlineStr"/>
      <c r="G713" t="inlineStr">
        <is>
          <t>repaired</t>
        </is>
      </c>
      <c r="H713" s="4" t="n">
        <v>25</v>
      </c>
      <c r="I713" t="inlineStr">
        <is>
          <t>VB</t>
        </is>
      </c>
      <c r="J713" t="inlineStr">
        <is>
          <t>47589 Nordrhein-Westfalen - Uedem</t>
        </is>
      </c>
      <c r="K713" s="5" t="n">
        <v>45552</v>
      </c>
      <c r="L713" t="inlineStr"/>
      <c r="M713" s="6">
        <f>HYPERLINK("https://www.kleinanzeigen.de/s-anzeige/windsurfsegel-neilpryde-v6-7-5/2866606675-230-1148", "Link")</f>
        <v/>
      </c>
      <c r="N713" s="6">
        <f>HYPERLINK("C:\Projects\Kleinanzeigen-Scraper\offer_images\2866606675", "Link")</f>
        <v/>
      </c>
      <c r="O713" t="inlineStr">
        <is>
          <t>Dennis</t>
        </is>
      </c>
      <c r="P713" s="6">
        <f>HYPERLINK("https://www.kleinanzeigen.de/s-bestandsliste.html?userId=62393000", "Link")</f>
        <v/>
      </c>
      <c r="Q713" s="7" t="n">
        <v>45555.55697916666</v>
      </c>
      <c r="R713" s="3" t="inlineStr">
        <is>
          <t>94.07</t>
        </is>
      </c>
      <c r="S713" t="inlineStr">
        <is>
          <t>Köln</t>
        </is>
      </c>
    </row>
    <row r="714">
      <c r="A714" s="2" t="n">
        <v>4.5</v>
      </c>
      <c r="B714" t="inlineStr">
        <is>
          <t>Duotone Superhero</t>
        </is>
      </c>
      <c r="C714" s="3" t="inlineStr"/>
      <c r="D714" s="3" t="inlineStr"/>
      <c r="E714" t="inlineStr"/>
      <c r="F714" t="inlineStr">
        <is>
          <t>2021</t>
        </is>
      </c>
      <c r="G714" t="inlineStr">
        <is>
          <t>used</t>
        </is>
      </c>
      <c r="H714" s="4" t="n">
        <v>360</v>
      </c>
      <c r="I714" t="inlineStr"/>
      <c r="J714" t="inlineStr">
        <is>
          <t>22179 Wandsbek - Hamburg Bramfeld</t>
        </is>
      </c>
      <c r="K714" s="5" t="n">
        <v>45553</v>
      </c>
      <c r="L714" t="inlineStr">
        <is>
          <t>Sold</t>
        </is>
      </c>
      <c r="M714" s="6">
        <f>HYPERLINK("https://www.kleinanzeigen.de/s-anzeige/duotone-superhero-4-5-aus-2021/2867415107-230-9451", "Link")</f>
        <v/>
      </c>
      <c r="N714" s="6">
        <f>HYPERLINK("C:\Projects\Kleinanzeigen-Scraper\offer_images\2867415107", "Link")</f>
        <v/>
      </c>
      <c r="O714" t="inlineStr">
        <is>
          <t>Bernd</t>
        </is>
      </c>
      <c r="P714" s="6">
        <f>HYPERLINK("https://www.kleinanzeigen.de/s-bestandsliste.html?userId=4424213", "Link")</f>
        <v/>
      </c>
      <c r="Q714" s="7" t="n">
        <v>45555.55694444444</v>
      </c>
      <c r="R714" s="3" t="inlineStr">
        <is>
          <t>365.29</t>
        </is>
      </c>
      <c r="S714" t="inlineStr">
        <is>
          <t>Köln</t>
        </is>
      </c>
    </row>
    <row r="715">
      <c r="A715" s="2" t="n">
        <v>5.8</v>
      </c>
      <c r="B715" t="inlineStr">
        <is>
          <t>The Gun</t>
        </is>
      </c>
      <c r="C715" s="3" t="inlineStr"/>
      <c r="D715" s="3" t="n">
        <v>181</v>
      </c>
      <c r="E715" t="inlineStr">
        <is>
          <t>Wave Slalom</t>
        </is>
      </c>
      <c r="F715" t="inlineStr"/>
      <c r="G715" t="inlineStr">
        <is>
          <t>used</t>
        </is>
      </c>
      <c r="H715" s="4" t="n">
        <v>50</v>
      </c>
      <c r="I715" t="inlineStr">
        <is>
          <t>VB</t>
        </is>
      </c>
      <c r="J715" t="inlineStr">
        <is>
          <t>23556 Schleswig-Holstein - Lübeck</t>
        </is>
      </c>
      <c r="K715" s="5" t="n">
        <v>45554</v>
      </c>
      <c r="L715" t="inlineStr"/>
      <c r="M715" s="6">
        <f>HYPERLINK("https://www.kleinanzeigen.de/s-anzeige/the-gun-sail-5-8-wave-slalom-surfsegel/2868078977-230-413", "Link")</f>
        <v/>
      </c>
      <c r="N715" s="6">
        <f>HYPERLINK("C:\Projects\Kleinanzeigen-Scraper\offer_images\2868078977", "Link")</f>
        <v/>
      </c>
      <c r="O715" t="inlineStr">
        <is>
          <t>Stefan Koop</t>
        </is>
      </c>
      <c r="P715" s="6">
        <f>HYPERLINK("https://www.kleinanzeigen.de/s-bestandsliste.html?userId=8720419", "Link")</f>
        <v/>
      </c>
      <c r="Q715" s="7" t="n">
        <v>45555.55672453704</v>
      </c>
      <c r="R715" s="3" t="inlineStr">
        <is>
          <t>409.59</t>
        </is>
      </c>
      <c r="S715" t="inlineStr">
        <is>
          <t>Köln</t>
        </is>
      </c>
    </row>
    <row r="716">
      <c r="A716" s="2" t="n">
        <v>7</v>
      </c>
      <c r="B716" t="inlineStr">
        <is>
          <t>Neilpryde Ryde</t>
        </is>
      </c>
      <c r="C716" s="3" t="inlineStr">
        <is>
          <t>430/460</t>
        </is>
      </c>
      <c r="D716" s="3" t="n">
        <v>199</v>
      </c>
      <c r="E716" t="inlineStr"/>
      <c r="F716" t="inlineStr">
        <is>
          <t>2018</t>
        </is>
      </c>
      <c r="G716" t="inlineStr">
        <is>
          <t>repaired</t>
        </is>
      </c>
      <c r="H716" s="4" t="n">
        <v>189</v>
      </c>
      <c r="I716" t="inlineStr">
        <is>
          <t>VB</t>
        </is>
      </c>
      <c r="J716" t="inlineStr">
        <is>
          <t>04229 Leipzig - Schleußig</t>
        </is>
      </c>
      <c r="K716" s="5" t="n">
        <v>45552</v>
      </c>
      <c r="L716" t="inlineStr">
        <is>
          <t>Sold</t>
        </is>
      </c>
      <c r="M716" s="6">
        <f>HYPERLINK("https://www.kleinanzeigen.de/s-anzeige/neilpryde-ryde-7-0-2018-windsurf-segel/2866780687-230-30155", "Link")</f>
        <v/>
      </c>
      <c r="N716" s="6">
        <f>HYPERLINK("C:\Projects\Kleinanzeigen-Scraper\offer_images\2866780687", "Link")</f>
        <v/>
      </c>
      <c r="O716" t="inlineStr">
        <is>
          <t>Martin</t>
        </is>
      </c>
      <c r="P716" s="6">
        <f>HYPERLINK("https://www.kleinanzeigen.de/s-bestandsliste.html?userId=8472979", "Link")</f>
        <v/>
      </c>
      <c r="Q716" s="7" t="n">
        <v>45555.55668981482</v>
      </c>
      <c r="R716" s="3" t="inlineStr">
        <is>
          <t>358.53</t>
        </is>
      </c>
      <c r="S716" t="inlineStr">
        <is>
          <t>München</t>
        </is>
      </c>
    </row>
    <row r="717">
      <c r="A717" s="2" t="n">
        <v>3.4</v>
      </c>
      <c r="B717" t="inlineStr">
        <is>
          <t>Duotone Superhero</t>
        </is>
      </c>
      <c r="C717" s="3" t="inlineStr"/>
      <c r="D717" s="3" t="inlineStr"/>
      <c r="E717" t="inlineStr"/>
      <c r="F717" t="inlineStr">
        <is>
          <t>2020</t>
        </is>
      </c>
      <c r="G717" t="inlineStr">
        <is>
          <t>used</t>
        </is>
      </c>
      <c r="H717" s="4" t="n">
        <v>280</v>
      </c>
      <c r="I717" t="inlineStr"/>
      <c r="J717" t="inlineStr">
        <is>
          <t>22179 Wandsbek - Hamburg Bramfeld</t>
        </is>
      </c>
      <c r="K717" s="5" t="n">
        <v>45553</v>
      </c>
      <c r="L717" t="inlineStr">
        <is>
          <t>Sold</t>
        </is>
      </c>
      <c r="M717" s="6">
        <f>HYPERLINK("https://www.kleinanzeigen.de/s-anzeige/duotone-superhero-3-4-aus-2020/2867407746-230-9451", "Link")</f>
        <v/>
      </c>
      <c r="N717" s="6">
        <f>HYPERLINK("C:\Projects\Kleinanzeigen-Scraper\offer_images\2867407746", "Link")</f>
        <v/>
      </c>
      <c r="O717" t="inlineStr">
        <is>
          <t>Bernd</t>
        </is>
      </c>
      <c r="P717" s="6">
        <f>HYPERLINK("https://www.kleinanzeigen.de/s-bestandsliste.html?userId=4424213", "Link")</f>
        <v/>
      </c>
      <c r="Q717" s="7" t="n">
        <v>45555.55650462963</v>
      </c>
      <c r="R717" s="3" t="inlineStr">
        <is>
          <t>365.29</t>
        </is>
      </c>
      <c r="S717" t="inlineStr">
        <is>
          <t>Köln</t>
        </is>
      </c>
    </row>
    <row r="718">
      <c r="A718" s="2" t="n">
        <v>6</v>
      </c>
      <c r="B718" t="inlineStr">
        <is>
          <t>Duotone Slick</t>
        </is>
      </c>
      <c r="C718" s="3" t="inlineStr"/>
      <c r="D718" s="3" t="inlineStr"/>
      <c r="E718" t="inlineStr"/>
      <c r="F718" t="inlineStr">
        <is>
          <t>2023</t>
        </is>
      </c>
      <c r="G718" t="inlineStr">
        <is>
          <t>new</t>
        </is>
      </c>
      <c r="H718" s="4" t="n">
        <v>310</v>
      </c>
      <c r="I718" t="inlineStr">
        <is>
          <t>VB</t>
        </is>
      </c>
      <c r="J718" t="inlineStr">
        <is>
          <t>24360 Schleswig-Holstein - Barkelsby</t>
        </is>
      </c>
      <c r="K718" s="5" t="n">
        <v>45554</v>
      </c>
      <c r="L718" t="inlineStr">
        <is>
          <t>Sold</t>
        </is>
      </c>
      <c r="M718" s="6">
        <f>HYPERLINK("https://www.kleinanzeigen.de/s-anzeige/duotone-slick-6m/2868181343-230-511", "Link")</f>
        <v/>
      </c>
      <c r="N718" s="6">
        <f>HYPERLINK("C:\Projects\Kleinanzeigen-Scraper\offer_images\2868181343", "Link")</f>
        <v/>
      </c>
      <c r="O718" t="inlineStr">
        <is>
          <t>FF</t>
        </is>
      </c>
      <c r="P718" s="6">
        <f>HYPERLINK("https://www.kleinanzeigen.de/s-bestandsliste.html?userId=14200330", "Link")</f>
        <v/>
      </c>
      <c r="Q718" s="7" t="n">
        <v>45555.55650462963</v>
      </c>
      <c r="R718" s="3" t="inlineStr">
        <is>
          <t>441.65</t>
        </is>
      </c>
      <c r="S718" t="inlineStr">
        <is>
          <t>Köln</t>
        </is>
      </c>
    </row>
    <row r="719">
      <c r="A719" s="2" t="n">
        <v>8</v>
      </c>
      <c r="B719" t="inlineStr">
        <is>
          <t>Gunsails Gun Sails Vector</t>
        </is>
      </c>
      <c r="C719" s="3" t="n">
        <v>460</v>
      </c>
      <c r="D719" s="3" t="n">
        <v>222</v>
      </c>
      <c r="E719" t="inlineStr">
        <is>
          <t>Freerace</t>
        </is>
      </c>
      <c r="F719" t="inlineStr">
        <is>
          <t>2021</t>
        </is>
      </c>
      <c r="G719" t="inlineStr">
        <is>
          <t>new</t>
        </is>
      </c>
      <c r="H719" s="4" t="n">
        <v>125</v>
      </c>
      <c r="I719" t="inlineStr">
        <is>
          <t>VB</t>
        </is>
      </c>
      <c r="J719" t="inlineStr">
        <is>
          <t>40878 Nordrhein-Westfalen - Ratingen</t>
        </is>
      </c>
      <c r="K719" s="5" t="n">
        <v>45553</v>
      </c>
      <c r="L719" t="inlineStr"/>
      <c r="M719" s="6">
        <f>HYPERLINK("https://www.kleinanzeigen.de/s-anzeige/surfsegel-gunsails-gun-sails-vector-80-freerace/2867462473-230-1776", "Link")</f>
        <v/>
      </c>
      <c r="N719" s="6">
        <f>HYPERLINK("C:\Projects\Kleinanzeigen-Scraper\offer_images\2867462473", "Link")</f>
        <v/>
      </c>
      <c r="O719" t="inlineStr">
        <is>
          <t>Peter</t>
        </is>
      </c>
      <c r="P719" s="6">
        <f>HYPERLINK("https://www.kleinanzeigen.de/s-bestandsliste.html?userId=12647841", "Link")</f>
        <v/>
      </c>
      <c r="Q719" s="7" t="n">
        <v>45555.55635416666</v>
      </c>
      <c r="R719" s="3" t="inlineStr">
        <is>
          <t>40.43</t>
        </is>
      </c>
      <c r="S719" t="inlineStr">
        <is>
          <t>Köln</t>
        </is>
      </c>
    </row>
    <row r="720">
      <c r="A720" s="2" t="n">
        <v>5.4</v>
      </c>
      <c r="B720" t="inlineStr">
        <is>
          <t>FANATIC Slalom</t>
        </is>
      </c>
      <c r="C720" s="3" t="n">
        <v>455</v>
      </c>
      <c r="D720" s="3" t="n">
        <v>175</v>
      </c>
      <c r="E720" t="inlineStr">
        <is>
          <t>Slalom</t>
        </is>
      </c>
      <c r="F720" t="inlineStr"/>
      <c r="G720" t="inlineStr">
        <is>
          <t>used</t>
        </is>
      </c>
      <c r="H720" s="4" t="n">
        <v>20</v>
      </c>
      <c r="I720" t="inlineStr"/>
      <c r="J720" t="inlineStr">
        <is>
          <t>14129 Berlin - Zehlendorf</t>
        </is>
      </c>
      <c r="K720" s="5" t="n">
        <v>45554</v>
      </c>
      <c r="L720" t="inlineStr"/>
      <c r="M720" s="6">
        <f>HYPERLINK("https://www.kleinanzeigen.de/s-anzeige/windsurfsegel-fanatic-5-4-qm-slalom/2868323128-230-3530", "Link")</f>
        <v/>
      </c>
      <c r="N720" s="6">
        <f>HYPERLINK("C:\Projects\Kleinanzeigen-Scraper\offer_images\2868323128", "Link")</f>
        <v/>
      </c>
      <c r="O720" t="inlineStr">
        <is>
          <t>Thomas Kleisch</t>
        </is>
      </c>
      <c r="P720" s="6">
        <f>HYPERLINK("https://www.kleinanzeigen.de/s-bestandsliste.html?userId=48516926", "Link")</f>
        <v/>
      </c>
      <c r="Q720" s="7" t="n">
        <v>45555.55635416666</v>
      </c>
      <c r="R720" s="3" t="inlineStr">
        <is>
          <t>461.31</t>
        </is>
      </c>
      <c r="S720" t="inlineStr">
        <is>
          <t>Köln</t>
        </is>
      </c>
    </row>
    <row r="721">
      <c r="A721" s="2" t="n">
        <v>4.7</v>
      </c>
      <c r="B721" t="inlineStr">
        <is>
          <t>Loftsails LipWave</t>
        </is>
      </c>
      <c r="C721" s="3" t="n">
        <v>402</v>
      </c>
      <c r="D721" s="3" t="n">
        <v>169</v>
      </c>
      <c r="E721" t="inlineStr">
        <is>
          <t>Wave</t>
        </is>
      </c>
      <c r="F721" t="inlineStr"/>
      <c r="G721" t="inlineStr">
        <is>
          <t>used</t>
        </is>
      </c>
      <c r="H721" s="4" t="n">
        <v>60</v>
      </c>
      <c r="I721" t="inlineStr">
        <is>
          <t>VB</t>
        </is>
      </c>
      <c r="J721" t="inlineStr">
        <is>
          <t>45277 Essen - Essen-Ruhrhalbinsel</t>
        </is>
      </c>
      <c r="K721" s="5" t="n">
        <v>45553</v>
      </c>
      <c r="L721" t="inlineStr"/>
      <c r="M721" s="6">
        <f>HYPERLINK("https://www.kleinanzeigen.de/s-anzeige/loftsails-lipwave-4-7/2866923118-230-2041", "Link")</f>
        <v/>
      </c>
      <c r="N721" s="6">
        <f>HYPERLINK("C:\Projects\Kleinanzeigen-Scraper\offer_images\2866923118", "Link")</f>
        <v/>
      </c>
      <c r="O721" t="inlineStr">
        <is>
          <t>Bodo Balbach</t>
        </is>
      </c>
      <c r="P721" s="6">
        <f>HYPERLINK("https://www.kleinanzeigen.de/s-bestandsliste.html?userId=14778094", "Link")</f>
        <v/>
      </c>
      <c r="Q721" s="7" t="n">
        <v>45555.55633101852</v>
      </c>
      <c r="R721" s="3" t="inlineStr">
        <is>
          <t>483.01</t>
        </is>
      </c>
      <c r="S721" t="inlineStr">
        <is>
          <t>Köln</t>
        </is>
      </c>
    </row>
    <row r="722">
      <c r="A722" s="2" t="n">
        <v>4</v>
      </c>
      <c r="B722" t="inlineStr">
        <is>
          <t>Duotone Superhero</t>
        </is>
      </c>
      <c r="C722" s="3" t="inlineStr"/>
      <c r="D722" s="3" t="inlineStr"/>
      <c r="E722" t="inlineStr"/>
      <c r="F722" t="inlineStr">
        <is>
          <t>2021</t>
        </is>
      </c>
      <c r="G722" t="inlineStr">
        <is>
          <t>used</t>
        </is>
      </c>
      <c r="H722" s="4" t="n">
        <v>310</v>
      </c>
      <c r="I722" t="inlineStr"/>
      <c r="J722" t="inlineStr">
        <is>
          <t>22179 Wandsbek - Hamburg Bramfeld</t>
        </is>
      </c>
      <c r="K722" s="5" t="n">
        <v>45553</v>
      </c>
      <c r="L722" t="inlineStr">
        <is>
          <t>Sold</t>
        </is>
      </c>
      <c r="M722" s="6">
        <f>HYPERLINK("https://www.kleinanzeigen.de/s-anzeige/duotone-superhero-4-0-aus-2021/2867411751-230-9451", "Link")</f>
        <v/>
      </c>
      <c r="N722" s="6">
        <f>HYPERLINK("C:\Projects\Kleinanzeigen-Scraper\offer_images\2867411751", "Link")</f>
        <v/>
      </c>
      <c r="O722" t="inlineStr">
        <is>
          <t>Bernd</t>
        </is>
      </c>
      <c r="P722" s="6">
        <f>HYPERLINK("https://www.kleinanzeigen.de/s-bestandsliste.html?userId=4424213", "Link")</f>
        <v/>
      </c>
      <c r="Q722" s="7" t="n">
        <v>45555.55609953704</v>
      </c>
      <c r="R722" s="3" t="inlineStr">
        <is>
          <t>365.29</t>
        </is>
      </c>
      <c r="S722" t="inlineStr">
        <is>
          <t>Köln</t>
        </is>
      </c>
    </row>
    <row r="723">
      <c r="A723" s="2" t="n">
        <v>6.9</v>
      </c>
      <c r="B723" t="inlineStr">
        <is>
          <t>North Sails Duke</t>
        </is>
      </c>
      <c r="C723" s="3" t="inlineStr">
        <is>
          <t>470-472</t>
        </is>
      </c>
      <c r="D723" s="3" t="inlineStr">
        <is>
          <t>197-198</t>
        </is>
      </c>
      <c r="E723" t="inlineStr"/>
      <c r="F723" t="inlineStr"/>
      <c r="G723" t="inlineStr">
        <is>
          <t>used</t>
        </is>
      </c>
      <c r="H723" s="4" t="n">
        <v>90</v>
      </c>
      <c r="I723" t="inlineStr"/>
      <c r="J723" t="inlineStr">
        <is>
          <t>14129 Berlin - Zehlendorf</t>
        </is>
      </c>
      <c r="K723" s="5" t="n">
        <v>45553</v>
      </c>
      <c r="L723" t="inlineStr"/>
      <c r="M723" s="6">
        <f>HYPERLINK("https://www.kleinanzeigen.de/s-anzeige/windsurfsegel-north-sails-6-9-qm-duke/2867468392-230-3530", "Link")</f>
        <v/>
      </c>
      <c r="N723" s="6">
        <f>HYPERLINK("C:\Projects\Kleinanzeigen-Scraper\offer_images\2867468392", "Link")</f>
        <v/>
      </c>
      <c r="O723" t="inlineStr">
        <is>
          <t>Thomas Kleisch</t>
        </is>
      </c>
      <c r="P723" s="6">
        <f>HYPERLINK("https://www.kleinanzeigen.de/s-bestandsliste.html?userId=48516926", "Link")</f>
        <v/>
      </c>
      <c r="Q723" s="7" t="n">
        <v>45555.55600694445</v>
      </c>
      <c r="R723" s="3" t="inlineStr">
        <is>
          <t>461.31</t>
        </is>
      </c>
      <c r="S723" t="inlineStr">
        <is>
          <t>Köln</t>
        </is>
      </c>
    </row>
    <row r="724">
      <c r="A724" s="2" t="n">
        <v>6</v>
      </c>
      <c r="B724" t="inlineStr">
        <is>
          <t>Gun Sails Space</t>
        </is>
      </c>
      <c r="C724" s="3" t="n">
        <v>430</v>
      </c>
      <c r="D724" s="3" t="n">
        <v>187</v>
      </c>
      <c r="E724" t="inlineStr"/>
      <c r="F724" t="inlineStr"/>
      <c r="G724" t="inlineStr">
        <is>
          <t>used</t>
        </is>
      </c>
      <c r="H724" s="4" t="n">
        <v>25</v>
      </c>
      <c r="I724" t="inlineStr">
        <is>
          <t>VB</t>
        </is>
      </c>
      <c r="J724" t="inlineStr">
        <is>
          <t>24944 Flensburg - Mürwik</t>
        </is>
      </c>
      <c r="K724" s="5" t="n">
        <v>45551</v>
      </c>
      <c r="L724" t="inlineStr"/>
      <c r="M724" s="6">
        <f>HYPERLINK("https://www.kleinanzeigen.de/s-anzeige/segel-gun-sails-space-6-0/2865512158-230-27480", "Link")</f>
        <v/>
      </c>
      <c r="N724" s="6">
        <f>HYPERLINK("C:\Projects\Kleinanzeigen-Scraper\offer_images\2865512158", "Link")</f>
        <v/>
      </c>
      <c r="O724" t="inlineStr">
        <is>
          <t>Michael Martin</t>
        </is>
      </c>
      <c r="P724" s="6">
        <f>HYPERLINK("https://www.kleinanzeigen.de/s-bestandsliste.html?userId=53991148", "Link")</f>
        <v/>
      </c>
      <c r="Q724" s="7" t="n">
        <v>45555.55590277778</v>
      </c>
      <c r="R724" s="3" t="inlineStr">
        <is>
          <t>462.42</t>
        </is>
      </c>
      <c r="S724" t="inlineStr">
        <is>
          <t>Köln</t>
        </is>
      </c>
    </row>
    <row r="725">
      <c r="A725" s="2" t="n">
        <v>4.7</v>
      </c>
      <c r="B725" t="inlineStr">
        <is>
          <t>Goya Banzai X Pro</t>
        </is>
      </c>
      <c r="C725" s="3" t="n">
        <v>370</v>
      </c>
      <c r="D725" s="3" t="inlineStr"/>
      <c r="E725" t="inlineStr"/>
      <c r="F725" t="inlineStr"/>
      <c r="G725" t="inlineStr">
        <is>
          <t>repaired</t>
        </is>
      </c>
      <c r="H725" s="4" t="n">
        <v>350</v>
      </c>
      <c r="I725" t="inlineStr">
        <is>
          <t>VB</t>
        </is>
      </c>
      <c r="J725" t="inlineStr">
        <is>
          <t>22763 Altona - Hamburg Ottensen</t>
        </is>
      </c>
      <c r="K725" s="5" t="n">
        <v>45527</v>
      </c>
      <c r="L725" t="inlineStr"/>
      <c r="M725" s="6">
        <f>HYPERLINK("https://www.kleinanzeigen.de/s-anzeige/windsurfsegel-goya-banzai-x-pro/2844515420-230-9505", "Link")</f>
        <v/>
      </c>
      <c r="N725" s="6">
        <f>HYPERLINK("C:\Projects\Kleinanzeigen-Scraper\offer_images\2844515420", "Link")</f>
        <v/>
      </c>
      <c r="O725" t="inlineStr">
        <is>
          <t>S. Knapp</t>
        </is>
      </c>
      <c r="P725" s="6">
        <f>HYPERLINK("https://www.kleinanzeigen.de/s-bestandsliste.html?userId=6606329", "Link")</f>
        <v/>
      </c>
      <c r="Q725" s="7" t="n">
        <v>45555.55590277778</v>
      </c>
      <c r="R725" s="3" t="inlineStr">
        <is>
          <t>354.04</t>
        </is>
      </c>
      <c r="S725" t="inlineStr">
        <is>
          <t>Köln</t>
        </is>
      </c>
    </row>
    <row r="726">
      <c r="A726" s="2" t="n">
        <v>9</v>
      </c>
      <c r="B726" t="inlineStr">
        <is>
          <t>Duotone Rebel SLS</t>
        </is>
      </c>
      <c r="C726" s="3" t="inlineStr"/>
      <c r="D726" s="3" t="inlineStr"/>
      <c r="E726" t="inlineStr"/>
      <c r="F726" t="inlineStr">
        <is>
          <t>2022</t>
        </is>
      </c>
      <c r="G726" t="inlineStr">
        <is>
          <t>used</t>
        </is>
      </c>
      <c r="H726" s="4" t="n">
        <v>850</v>
      </c>
      <c r="I726" t="inlineStr"/>
      <c r="J726" t="inlineStr">
        <is>
          <t>24105 Schleswig-Holstein - Kiel</t>
        </is>
      </c>
      <c r="K726" s="5" t="n">
        <v>45552</v>
      </c>
      <c r="L726" t="inlineStr">
        <is>
          <t>Sold</t>
        </is>
      </c>
      <c r="M726" s="6">
        <f>HYPERLINK("https://www.kleinanzeigen.de/s-anzeige/duotone-rebel-sls-2022-9qm/2866401857-230-708", "Link")</f>
        <v/>
      </c>
      <c r="N726" s="6">
        <f>HYPERLINK("C:\Projects\Kleinanzeigen-Scraper\offer_images\2866401857", "Link")</f>
        <v/>
      </c>
      <c r="O726" t="inlineStr">
        <is>
          <t>Patrick</t>
        </is>
      </c>
      <c r="P726" s="6">
        <f>HYPERLINK("https://www.kleinanzeigen.de/s-bestandsliste.html?userId=10783000", "Link")</f>
        <v/>
      </c>
      <c r="Q726" s="7" t="n">
        <v>45555.55570601852</v>
      </c>
      <c r="R726" s="3" t="inlineStr">
        <is>
          <t>435.05</t>
        </is>
      </c>
      <c r="S726" t="inlineStr">
        <is>
          <t>Köln</t>
        </is>
      </c>
    </row>
    <row r="727">
      <c r="A727" s="2" t="n">
        <v>4.2</v>
      </c>
      <c r="B727" t="inlineStr">
        <is>
          <t>GOYA BANZAI X</t>
        </is>
      </c>
      <c r="C727" s="3" t="inlineStr"/>
      <c r="D727" s="3" t="inlineStr"/>
      <c r="E727" t="inlineStr"/>
      <c r="F727" t="inlineStr">
        <is>
          <t>2023</t>
        </is>
      </c>
      <c r="G727" t="inlineStr">
        <is>
          <t>used</t>
        </is>
      </c>
      <c r="H727" s="4" t="n">
        <v>430</v>
      </c>
      <c r="I727" t="inlineStr"/>
      <c r="J727" t="inlineStr">
        <is>
          <t>67245 Rheinland-Pfalz - Lambsheim</t>
        </is>
      </c>
      <c r="K727" s="5" t="n">
        <v>45555</v>
      </c>
      <c r="L727" t="inlineStr"/>
      <c r="M727" s="6">
        <f>HYPERLINK("https://www.kleinanzeigen.de/s-anzeige/goya-banzai-x-4-2-2023/2868558691-230-5186", "Link")</f>
        <v/>
      </c>
      <c r="N727" s="6">
        <f>HYPERLINK("C:\Projects\Kleinanzeigen-Scraper\offer_images\2868558691", "Link")</f>
        <v/>
      </c>
      <c r="O727" t="inlineStr">
        <is>
          <t>Frank</t>
        </is>
      </c>
      <c r="P727" s="6">
        <f>HYPERLINK("https://www.kleinanzeigen.de/s-bestandsliste.html?userId=8491603", "Link")</f>
        <v/>
      </c>
      <c r="Q727" s="7" t="n">
        <v>45555.55564814815</v>
      </c>
      <c r="R727" s="3" t="inlineStr">
        <is>
          <t>56.18</t>
        </is>
      </c>
      <c r="S727" t="inlineStr">
        <is>
          <t>Karlsruhe</t>
        </is>
      </c>
    </row>
    <row r="728">
      <c r="A728" s="2" t="n">
        <v>6.7</v>
      </c>
      <c r="B728" t="inlineStr">
        <is>
          <t>Neilpryde Speedster</t>
        </is>
      </c>
      <c r="C728" s="3" t="n">
        <v>430</v>
      </c>
      <c r="D728" s="3" t="n">
        <v>190</v>
      </c>
      <c r="E728" t="inlineStr"/>
      <c r="F728" t="inlineStr">
        <is>
          <t>2023</t>
        </is>
      </c>
      <c r="G728" t="inlineStr">
        <is>
          <t>used</t>
        </is>
      </c>
      <c r="H728" s="4" t="n">
        <v>355</v>
      </c>
      <c r="I728" t="inlineStr">
        <is>
          <t>VB</t>
        </is>
      </c>
      <c r="J728" t="inlineStr">
        <is>
          <t>25917 Schleswig-Holstein - Achtrup</t>
        </is>
      </c>
      <c r="K728" s="5" t="n">
        <v>45551</v>
      </c>
      <c r="L728" t="inlineStr"/>
      <c r="M728" s="6">
        <f>HYPERLINK("https://www.kleinanzeigen.de/s-anzeige/neilpryde-speedster-6-7-2023/2865505525-230-18118", "Link")</f>
        <v/>
      </c>
      <c r="N728" s="6">
        <f>HYPERLINK("C:\Projects\Kleinanzeigen-Scraper\offer_images\2865505525", "Link")</f>
        <v/>
      </c>
      <c r="O728" t="inlineStr">
        <is>
          <t>Bjørn</t>
        </is>
      </c>
      <c r="P728" s="6">
        <f>HYPERLINK("https://www.kleinanzeigen.de/s-bestandsliste.html?userId=10080735", "Link")</f>
        <v/>
      </c>
      <c r="Q728" s="7" t="n">
        <v>45555.55555555555</v>
      </c>
      <c r="R728" s="3" t="inlineStr">
        <is>
          <t>447.80</t>
        </is>
      </c>
      <c r="S728" t="inlineStr">
        <is>
          <t>Köln</t>
        </is>
      </c>
    </row>
    <row r="729">
      <c r="A729" s="2" t="n">
        <v>5.5</v>
      </c>
      <c r="B729" t="inlineStr">
        <is>
          <t>Neilpryde V8</t>
        </is>
      </c>
      <c r="C729" s="3" t="inlineStr"/>
      <c r="D729" s="3" t="inlineStr"/>
      <c r="E729" t="inlineStr"/>
      <c r="F729" t="inlineStr"/>
      <c r="G729" t="inlineStr">
        <is>
          <t>used</t>
        </is>
      </c>
      <c r="H729" s="4" t="n">
        <v>75</v>
      </c>
      <c r="I729" t="inlineStr"/>
      <c r="J729" t="inlineStr">
        <is>
          <t>78467 Baden-Württemberg - Konstanz</t>
        </is>
      </c>
      <c r="K729" s="5" t="n">
        <v>45551</v>
      </c>
      <c r="L729" t="inlineStr"/>
      <c r="M729" s="6">
        <f>HYPERLINK("https://www.kleinanzeigen.de/s-anzeige/neilpryde-v8-surfsegel/2865607484-230-9389", "Link")</f>
        <v/>
      </c>
      <c r="N729" s="6">
        <f>HYPERLINK("C:\Projects\Kleinanzeigen-Scraper\offer_images\2865607484", "Link")</f>
        <v/>
      </c>
      <c r="O729" t="inlineStr">
        <is>
          <t>Reno</t>
        </is>
      </c>
      <c r="P729" s="6">
        <f>HYPERLINK("https://www.kleinanzeigen.de/s-bestandsliste.html?userId=17565138", "Link")</f>
        <v/>
      </c>
      <c r="Q729" s="7" t="n">
        <v>45555.55545138889</v>
      </c>
      <c r="R729" s="3" t="inlineStr">
        <is>
          <t>62.51</t>
        </is>
      </c>
      <c r="S729" t="inlineStr">
        <is>
          <t>Bonndorf</t>
        </is>
      </c>
    </row>
    <row r="730">
      <c r="A730" s="2" t="n">
        <v>6</v>
      </c>
      <c r="B730" t="inlineStr">
        <is>
          <t>Duotone Slick</t>
        </is>
      </c>
      <c r="C730" s="3" t="inlineStr"/>
      <c r="D730" s="3" t="inlineStr"/>
      <c r="E730" t="inlineStr"/>
      <c r="F730" t="inlineStr">
        <is>
          <t>2021</t>
        </is>
      </c>
      <c r="G730" t="inlineStr">
        <is>
          <t>repaired</t>
        </is>
      </c>
      <c r="H730" s="4" t="n">
        <v>340</v>
      </c>
      <c r="I730" t="inlineStr">
        <is>
          <t>VB</t>
        </is>
      </c>
      <c r="J730" t="inlineStr">
        <is>
          <t>50679 Innenstadt - Köln Deutz</t>
        </is>
      </c>
      <c r="K730" s="5" t="n">
        <v>45550</v>
      </c>
      <c r="L730" t="inlineStr">
        <is>
          <t>Sold</t>
        </is>
      </c>
      <c r="M730" s="6">
        <f>HYPERLINK("https://www.kleinanzeigen.de/s-anzeige/duotone-slick-6-0-m-einzelverkauf-4-5er-ist-verkauft/2864211435-230-988", "Link")</f>
        <v/>
      </c>
      <c r="N730" s="6">
        <f>HYPERLINK("C:\Projects\Kleinanzeigen-Scraper\offer_images\2864211435", "Link")</f>
        <v/>
      </c>
      <c r="O730" t="inlineStr">
        <is>
          <t>Peter H</t>
        </is>
      </c>
      <c r="P730" s="6">
        <f>HYPERLINK("https://www.kleinanzeigen.de/s-bestandsliste.html?userId=18482154", "Link")</f>
        <v/>
      </c>
      <c r="Q730" s="7" t="n">
        <v>45555.55538194445</v>
      </c>
      <c r="R730" s="3" t="inlineStr">
        <is>
          <t>1.61</t>
        </is>
      </c>
      <c r="S730" t="inlineStr">
        <is>
          <t>Köln</t>
        </is>
      </c>
    </row>
    <row r="731">
      <c r="A731" s="2" t="n">
        <v>7</v>
      </c>
      <c r="B731" t="inlineStr">
        <is>
          <t>Neilpryde</t>
        </is>
      </c>
      <c r="C731" s="3" t="n">
        <v>480</v>
      </c>
      <c r="D731" s="3" t="n">
        <v>207</v>
      </c>
      <c r="E731" t="inlineStr"/>
      <c r="F731" t="inlineStr"/>
      <c r="G731" t="inlineStr"/>
      <c r="H731" s="4" t="inlineStr">
        <is>
          <t>Zu verschenken</t>
        </is>
      </c>
      <c r="I731" t="inlineStr"/>
      <c r="J731" t="inlineStr">
        <is>
          <t>78147 Baden-Württemberg - Vöhrenbach</t>
        </is>
      </c>
      <c r="K731" s="5" t="n">
        <v>45552</v>
      </c>
      <c r="L731" t="inlineStr">
        <is>
          <t>Sold</t>
        </is>
      </c>
      <c r="M731" s="6">
        <f>HYPERLINK("https://www.kleinanzeigen.de/s-anzeige/surfensegel-von-neilpryde/2866161955-230-9110", "Link")</f>
        <v/>
      </c>
      <c r="N731" s="6">
        <f>HYPERLINK("C:\Projects\Kleinanzeigen-Scraper\offer_images\2866161955", "Link")</f>
        <v/>
      </c>
      <c r="O731" t="inlineStr">
        <is>
          <t>Noah</t>
        </is>
      </c>
      <c r="P731" s="6">
        <f>HYPERLINK("https://www.kleinanzeigen.de/s-bestandsliste.html?userId=86722393", "Link")</f>
        <v/>
      </c>
      <c r="Q731" s="7" t="n">
        <v>45555.55533564815</v>
      </c>
      <c r="R731" s="3" t="inlineStr">
        <is>
          <t>25.57</t>
        </is>
      </c>
      <c r="S731" t="inlineStr">
        <is>
          <t>Bonndorf</t>
        </is>
      </c>
    </row>
    <row r="732">
      <c r="A732" s="2" t="n">
        <v>5</v>
      </c>
      <c r="B732" t="inlineStr">
        <is>
          <t>Neilpryde RAF Vortex</t>
        </is>
      </c>
      <c r="C732" s="3" t="n">
        <v>4.1</v>
      </c>
      <c r="D732" s="3" t="n">
        <v>1.75</v>
      </c>
      <c r="E732" t="inlineStr"/>
      <c r="F732" t="inlineStr"/>
      <c r="G732" t="inlineStr">
        <is>
          <t>used</t>
        </is>
      </c>
      <c r="H732" s="4" t="n">
        <v>90</v>
      </c>
      <c r="I732" t="inlineStr"/>
      <c r="J732" t="inlineStr">
        <is>
          <t>14532 Brandenburg - Kleinmachnow</t>
        </is>
      </c>
      <c r="K732" s="5" t="n">
        <v>45552</v>
      </c>
      <c r="L732" t="inlineStr"/>
      <c r="M732" s="6">
        <f>HYPERLINK("https://www.kleinanzeigen.de/s-anzeige/surfsegel-5-0-neilpryde-raf-vortex-/2866457606-230-7775", "Link")</f>
        <v/>
      </c>
      <c r="N732" s="6">
        <f>HYPERLINK("C:\Projects\Kleinanzeigen-Scraper\offer_images\2866457606", "Link")</f>
        <v/>
      </c>
      <c r="O732" t="inlineStr">
        <is>
          <t>Michaela</t>
        </is>
      </c>
      <c r="P732" s="6">
        <f>HYPERLINK("https://www.kleinanzeigen.de/s-bestandsliste.html?userId=74330775", "Link")</f>
        <v/>
      </c>
      <c r="Q732" s="7" t="n">
        <v>45555.55515046296</v>
      </c>
      <c r="R732" s="3" t="inlineStr">
        <is>
          <t>458.23</t>
        </is>
      </c>
      <c r="S732" t="inlineStr">
        <is>
          <t>Köln</t>
        </is>
      </c>
    </row>
    <row r="733">
      <c r="A733" s="2" t="n">
        <v>4</v>
      </c>
      <c r="B733" t="inlineStr">
        <is>
          <t>Duotone Idol LTD</t>
        </is>
      </c>
      <c r="C733" s="3" t="inlineStr"/>
      <c r="D733" s="3" t="n">
        <v>147</v>
      </c>
      <c r="E733" t="inlineStr">
        <is>
          <t>Freestyle</t>
        </is>
      </c>
      <c r="F733" t="inlineStr">
        <is>
          <t>2025</t>
        </is>
      </c>
      <c r="G733" t="inlineStr">
        <is>
          <t>repaired</t>
        </is>
      </c>
      <c r="H733" s="4" t="n">
        <v>120</v>
      </c>
      <c r="I733" t="inlineStr"/>
      <c r="J733" t="inlineStr">
        <is>
          <t>49681 Niedersachsen - Garrel</t>
        </is>
      </c>
      <c r="K733" s="5" t="n">
        <v>45552</v>
      </c>
      <c r="L733" t="inlineStr">
        <is>
          <t>Sold</t>
        </is>
      </c>
      <c r="M733" s="6">
        <f>HYPERLINK("https://www.kleinanzeigen.de/s-anzeige/duotone-idol-ltd-4-0-segel-windsurfen-northsails-freestyle/2866390454-230-2596", "Link")</f>
        <v/>
      </c>
      <c r="N733" s="6">
        <f>HYPERLINK("C:\Projects\Kleinanzeigen-Scraper\offer_images\2866390454", "Link")</f>
        <v/>
      </c>
      <c r="O733" t="inlineStr">
        <is>
          <t>Stephan Fitze</t>
        </is>
      </c>
      <c r="P733" s="6">
        <f>HYPERLINK("https://www.kleinanzeigen.de/s-bestandsliste.html?userId=10377312", "Link")</f>
        <v/>
      </c>
      <c r="Q733" s="7" t="n">
        <v>45555.55503472222</v>
      </c>
      <c r="R733" s="3" t="inlineStr">
        <is>
          <t>238.04</t>
        </is>
      </c>
      <c r="S733" t="inlineStr">
        <is>
          <t>Köln</t>
        </is>
      </c>
    </row>
    <row r="734">
      <c r="A734" s="2" t="n">
        <v>5.6</v>
      </c>
      <c r="B734" t="inlineStr">
        <is>
          <t>Neilpryde</t>
        </is>
      </c>
      <c r="C734" s="3" t="n">
        <v>430</v>
      </c>
      <c r="D734" s="3" t="inlineStr"/>
      <c r="E734" t="inlineStr"/>
      <c r="F734" t="inlineStr"/>
      <c r="G734" t="inlineStr">
        <is>
          <t>used</t>
        </is>
      </c>
      <c r="H734" s="4" t="n">
        <v>50</v>
      </c>
      <c r="I734" t="inlineStr">
        <is>
          <t>VB</t>
        </is>
      </c>
      <c r="J734" t="inlineStr">
        <is>
          <t>78467 Baden-Württemberg - Konstanz</t>
        </is>
      </c>
      <c r="K734" s="5" t="n">
        <v>45555</v>
      </c>
      <c r="L734" t="inlineStr"/>
      <c r="M734" s="6">
        <f>HYPERLINK("https://www.kleinanzeigen.de/s-anzeige/5-6-qm-segel-neilpryde-windsurf-inkl-tasche/2868672234-230-9389", "Link")</f>
        <v/>
      </c>
      <c r="N734" s="6">
        <f>HYPERLINK("C:\Projects\Kleinanzeigen-Scraper\offer_images\2868672234", "Link")</f>
        <v/>
      </c>
      <c r="O734" t="inlineStr">
        <is>
          <t>Mats Biesinger</t>
        </is>
      </c>
      <c r="P734" s="6">
        <f>HYPERLINK("https://www.kleinanzeigen.de/s-bestandsliste.html?userId=140624530", "Link")</f>
        <v/>
      </c>
      <c r="Q734" s="7" t="n">
        <v>45555.555</v>
      </c>
      <c r="R734" s="3" t="inlineStr">
        <is>
          <t>62.51</t>
        </is>
      </c>
      <c r="S734" t="inlineStr">
        <is>
          <t>Bonndorf</t>
        </is>
      </c>
    </row>
    <row r="735">
      <c r="A735" s="2" t="n">
        <v>5.5</v>
      </c>
      <c r="B735" t="inlineStr">
        <is>
          <t>NeilPryde Wave</t>
        </is>
      </c>
      <c r="C735" s="3" t="inlineStr"/>
      <c r="D735" s="3" t="inlineStr"/>
      <c r="E735" t="inlineStr">
        <is>
          <t>Wave</t>
        </is>
      </c>
      <c r="F735" t="inlineStr"/>
      <c r="G735" t="inlineStr">
        <is>
          <t>used</t>
        </is>
      </c>
      <c r="H735" s="4" t="n">
        <v>10</v>
      </c>
      <c r="I735" t="inlineStr"/>
      <c r="J735" t="inlineStr">
        <is>
          <t>18057 Rostock - Kröpeliner-Tor-Vorstadt</t>
        </is>
      </c>
      <c r="K735" s="5" t="n">
        <v>45551</v>
      </c>
      <c r="L735" t="inlineStr"/>
      <c r="M735" s="6">
        <f>HYPERLINK("https://www.kleinanzeigen.de/s-anzeige/neilpryde-5-5-wave-windsurfsegel-windsurfing/2865609567-230-156", "Link")</f>
        <v/>
      </c>
      <c r="N735" s="6">
        <f>HYPERLINK("C:\Projects\Kleinanzeigen-Scraper\offer_images\2865609567", "Link")</f>
        <v/>
      </c>
      <c r="O735" t="inlineStr">
        <is>
          <t>VD</t>
        </is>
      </c>
      <c r="P735" s="6">
        <f>HYPERLINK("https://www.kleinanzeigen.de/s-bestandsliste.html?userId=14405869", "Link")</f>
        <v/>
      </c>
      <c r="Q735" s="7" t="n">
        <v>45555.5549537037</v>
      </c>
      <c r="R735" s="3" t="inlineStr">
        <is>
          <t>494.07</t>
        </is>
      </c>
      <c r="S735" t="inlineStr">
        <is>
          <t>Köln</t>
        </is>
      </c>
    </row>
    <row r="736">
      <c r="A736" s="2" t="n">
        <v>6.3</v>
      </c>
      <c r="B736" t="inlineStr">
        <is>
          <t>Goya Banzai</t>
        </is>
      </c>
      <c r="C736" s="3" t="inlineStr"/>
      <c r="D736" s="3" t="inlineStr"/>
      <c r="E736" t="inlineStr"/>
      <c r="F736" t="inlineStr"/>
      <c r="G736" t="inlineStr">
        <is>
          <t>used, repaired</t>
        </is>
      </c>
      <c r="H736" s="4" t="n">
        <v>145</v>
      </c>
      <c r="I736" t="inlineStr"/>
      <c r="J736" t="inlineStr">
        <is>
          <t>81476 München - Thalk.Obersendl.-Forsten-Fürstenr.-Solln</t>
        </is>
      </c>
      <c r="K736" s="5" t="n">
        <v>45551</v>
      </c>
      <c r="L736" t="inlineStr">
        <is>
          <t>Sold</t>
        </is>
      </c>
      <c r="M736" s="6">
        <f>HYPERLINK("https://www.kleinanzeigen.de/s-anzeige/goya-banzai-powerwave-sail-6-3-qm-windsurf-segel/2865459216-230-6436", "Link")</f>
        <v/>
      </c>
      <c r="N736" s="6">
        <f>HYPERLINK("C:\Projects\Kleinanzeigen-Scraper\offer_images\2865459216", "Link")</f>
        <v/>
      </c>
      <c r="O736" t="inlineStr">
        <is>
          <t>Mike</t>
        </is>
      </c>
      <c r="P736" s="6">
        <f>HYPERLINK("https://www.kleinanzeigen.de/s-bestandsliste.html?userId=27971111", "Link")</f>
        <v/>
      </c>
      <c r="Q736" s="7" t="n">
        <v>45555.55490740741</v>
      </c>
      <c r="R736" s="3" t="inlineStr">
        <is>
          <t>8.19</t>
        </is>
      </c>
      <c r="S736" t="inlineStr">
        <is>
          <t>München</t>
        </is>
      </c>
    </row>
    <row r="737">
      <c r="A737" s="2" t="inlineStr"/>
      <c r="B737" t="inlineStr">
        <is>
          <t>Duotone Slick</t>
        </is>
      </c>
      <c r="C737" s="3" t="inlineStr"/>
      <c r="D737" s="3" t="inlineStr"/>
      <c r="E737" t="inlineStr">
        <is>
          <t>Freeride/Freestyle</t>
        </is>
      </c>
      <c r="F737" t="inlineStr">
        <is>
          <t>2024</t>
        </is>
      </c>
      <c r="G737" t="inlineStr">
        <is>
          <t>new</t>
        </is>
      </c>
      <c r="H737" s="4" t="n">
        <v>969</v>
      </c>
      <c r="I737" t="inlineStr"/>
      <c r="J737" t="inlineStr">
        <is>
          <t>82319 Bayern - Starnberg</t>
        </is>
      </c>
      <c r="K737" s="5" t="n">
        <v>45551</v>
      </c>
      <c r="L737" t="inlineStr">
        <is>
          <t>Sold</t>
        </is>
      </c>
      <c r="M737" s="6">
        <f>HYPERLINK("https://www.kleinanzeigen.de/s-anzeige/dtf-duotone-slick-2024-neu-/2739100713-230-5525", "Link")</f>
        <v/>
      </c>
      <c r="N737" s="6">
        <f>HYPERLINK("C:\Projects\Kleinanzeigen-Scraper\offer_images\2739100713", "Link")</f>
        <v/>
      </c>
      <c r="O737" t="inlineStr">
        <is>
          <t>No user name</t>
        </is>
      </c>
      <c r="P737" s="6">
        <f>HYPERLINK("https://www.kleinanzeigen.deNo user link", "Link")</f>
        <v/>
      </c>
      <c r="Q737" s="7" t="n">
        <v>45555.55487268518</v>
      </c>
      <c r="R737" s="3" t="inlineStr">
        <is>
          <t>23.17</t>
        </is>
      </c>
      <c r="S737" t="inlineStr">
        <is>
          <t>München</t>
        </is>
      </c>
    </row>
    <row r="738">
      <c r="A738" s="2" t="n">
        <v>6</v>
      </c>
      <c r="B738" t="inlineStr">
        <is>
          <t>North Dice</t>
        </is>
      </c>
      <c r="C738" s="3" t="inlineStr"/>
      <c r="D738" s="3" t="inlineStr"/>
      <c r="E738" t="inlineStr"/>
      <c r="F738" t="inlineStr">
        <is>
          <t>2016/2017</t>
        </is>
      </c>
      <c r="G738" t="inlineStr">
        <is>
          <t>used</t>
        </is>
      </c>
      <c r="H738" s="4" t="n">
        <v>200</v>
      </c>
      <c r="I738" t="inlineStr"/>
      <c r="J738" t="inlineStr">
        <is>
          <t>09306 Sachsen - Wechselburg</t>
        </is>
      </c>
      <c r="K738" s="5" t="n">
        <v>45553</v>
      </c>
      <c r="L738" t="inlineStr"/>
      <c r="M738" s="6">
        <f>HYPERLINK("https://www.kleinanzeigen.de/s-anzeige/north-dice-6-qm/2867283636-230-23603", "Link")</f>
        <v/>
      </c>
      <c r="N738" s="6">
        <f>HYPERLINK("C:\Projects\Kleinanzeigen-Scraper\offer_images\2867283636", "Link")</f>
        <v/>
      </c>
      <c r="O738" t="inlineStr">
        <is>
          <t>nad flanders</t>
        </is>
      </c>
      <c r="P738" s="6">
        <f>HYPERLINK("https://www.kleinanzeigen.de/s-bestandsliste.html?userId=4065103", "Link")</f>
        <v/>
      </c>
      <c r="Q738" s="7" t="n">
        <v>45555.55467592592</v>
      </c>
      <c r="R738" s="3" t="inlineStr">
        <is>
          <t>335.10</t>
        </is>
      </c>
      <c r="S738" t="inlineStr">
        <is>
          <t>München</t>
        </is>
      </c>
    </row>
    <row r="739">
      <c r="A739" s="2" t="n">
        <v>7</v>
      </c>
      <c r="B739" t="inlineStr">
        <is>
          <t>Duotone Ventis</t>
        </is>
      </c>
      <c r="C739" s="3" t="inlineStr"/>
      <c r="D739" s="3" t="inlineStr"/>
      <c r="E739" t="inlineStr"/>
      <c r="F739" t="inlineStr">
        <is>
          <t>2024/2025</t>
        </is>
      </c>
      <c r="G739" t="inlineStr">
        <is>
          <t>used</t>
        </is>
      </c>
      <c r="H739" s="4" t="n">
        <v>1.199</v>
      </c>
      <c r="I739" t="inlineStr"/>
      <c r="J739" t="inlineStr">
        <is>
          <t>88400 Baden-Württemberg - Biberach an der Riß</t>
        </is>
      </c>
      <c r="K739" s="5" t="n">
        <v>45554</v>
      </c>
      <c r="L739" t="inlineStr">
        <is>
          <t>Sold</t>
        </is>
      </c>
      <c r="M739" s="6">
        <f>HYPERLINK("https://www.kleinanzeigen.de/s-anzeige/duotone-ventis-7-0-2024-2025-top-/2868479804-230-8706", "Link")</f>
        <v/>
      </c>
      <c r="N739" s="6">
        <f>HYPERLINK("C:\Projects\Kleinanzeigen-Scraper\offer_images\2868479804", "Link")</f>
        <v/>
      </c>
      <c r="O739" t="inlineStr">
        <is>
          <t>Vogelfrei</t>
        </is>
      </c>
      <c r="P739" s="6">
        <f>HYPERLINK("https://www.kleinanzeigen.de/s-bestandsliste.html?userId=26557248", "Link")</f>
        <v/>
      </c>
      <c r="Q739" s="7" t="n">
        <v>45555.55447916667</v>
      </c>
      <c r="R739" s="3" t="inlineStr">
        <is>
          <t>89.53</t>
        </is>
      </c>
      <c r="S739" t="inlineStr">
        <is>
          <t>Böblingen</t>
        </is>
      </c>
    </row>
    <row r="740">
      <c r="A740" s="2" t="n">
        <v>9</v>
      </c>
      <c r="B740" t="inlineStr">
        <is>
          <t>NeilPryde RS-Racing Evo XIII</t>
        </is>
      </c>
      <c r="C740" s="3" t="n">
        <v>538</v>
      </c>
      <c r="D740" s="3" t="inlineStr">
        <is>
          <t>215-222</t>
        </is>
      </c>
      <c r="E740" t="inlineStr"/>
      <c r="F740" t="inlineStr">
        <is>
          <t>2022</t>
        </is>
      </c>
      <c r="G740" t="inlineStr">
        <is>
          <t>used</t>
        </is>
      </c>
      <c r="H740" s="4" t="n">
        <v>499</v>
      </c>
      <c r="I740" t="inlineStr"/>
      <c r="J740" t="inlineStr">
        <is>
          <t>86647 Buttenwiesen</t>
        </is>
      </c>
      <c r="K740" s="5" t="n">
        <v>45551</v>
      </c>
      <c r="L740" t="inlineStr">
        <is>
          <t>Sold</t>
        </is>
      </c>
      <c r="M740" s="6">
        <f>HYPERLINK("https://www.dailydose.de/kleinanzeigen/detail.htm?ai=422719&amp;cf=kk&amp;pg=5&amp;ci=5", "Link")</f>
        <v/>
      </c>
      <c r="N740" s="6">
        <f>HYPERLINK("C:\Projects\Kleinanzeigen-Scraper\offer_images\422719", "Link")</f>
        <v/>
      </c>
      <c r="O740" t="inlineStr">
        <is>
          <t>Berni_157</t>
        </is>
      </c>
      <c r="P740" s="6">
        <f>HYPERLINK("https://www.dailydose.de/kleinanzeigen/user/20813", "Link")</f>
        <v/>
      </c>
      <c r="Q740" s="7" t="n">
        <v>45551.60392361111</v>
      </c>
      <c r="R740" s="3" t="inlineStr">
        <is>
          <t>81.65</t>
        </is>
      </c>
      <c r="S740" t="inlineStr">
        <is>
          <t>München</t>
        </is>
      </c>
    </row>
    <row r="741">
      <c r="A741" s="2" t="n">
        <v>5.4</v>
      </c>
      <c r="B741" t="inlineStr">
        <is>
          <t>Gaastra / GA Manic</t>
        </is>
      </c>
      <c r="C741" s="3" t="inlineStr"/>
      <c r="D741" s="3" t="inlineStr"/>
      <c r="E741" t="inlineStr"/>
      <c r="F741" t="inlineStr">
        <is>
          <t>2019</t>
        </is>
      </c>
      <c r="G741" t="inlineStr">
        <is>
          <t>used</t>
        </is>
      </c>
      <c r="H741" s="4" t="n">
        <v>160</v>
      </c>
      <c r="I741" t="inlineStr"/>
      <c r="J741" t="inlineStr">
        <is>
          <t>51149 Köln</t>
        </is>
      </c>
      <c r="K741" s="5" t="n">
        <v>45551</v>
      </c>
      <c r="L741" t="inlineStr">
        <is>
          <t>Sold</t>
        </is>
      </c>
      <c r="M741" s="6">
        <f>HYPERLINK("https://www.dailydose.de/kleinanzeigen/detail.htm?ai=422716&amp;cf=kk&amp;pg=4&amp;ci=5", "Link")</f>
        <v/>
      </c>
      <c r="N741" s="6">
        <f>HYPERLINK("C:\Projects\Kleinanzeigen-Scraper\offer_images\422716", "Link")</f>
        <v/>
      </c>
      <c r="O741" t="inlineStr">
        <is>
          <t>joJo62</t>
        </is>
      </c>
      <c r="P741" s="6">
        <f>HYPERLINK("https://www.dailydose.de/kleinanzeigen/user/2725", "Link")</f>
        <v/>
      </c>
      <c r="Q741" s="7" t="n">
        <v>45551.60149305555</v>
      </c>
      <c r="R741" s="3" t="inlineStr">
        <is>
          <t>7.40</t>
        </is>
      </c>
      <c r="S741" t="inlineStr">
        <is>
          <t>Köln</t>
        </is>
      </c>
    </row>
    <row r="742">
      <c r="A742" s="2" t="n">
        <v>5.4</v>
      </c>
      <c r="B742" t="inlineStr">
        <is>
          <t>NeilPryde Atlas HD</t>
        </is>
      </c>
      <c r="C742" s="3" t="n">
        <v>426</v>
      </c>
      <c r="D742" s="3" t="n">
        <v>127</v>
      </c>
      <c r="E742" t="inlineStr"/>
      <c r="F742" t="inlineStr">
        <is>
          <t>2021</t>
        </is>
      </c>
      <c r="G742" t="inlineStr">
        <is>
          <t>used</t>
        </is>
      </c>
      <c r="H742" s="4" t="n">
        <v>285</v>
      </c>
      <c r="I742" t="inlineStr"/>
      <c r="J742" t="inlineStr">
        <is>
          <t>23816</t>
        </is>
      </c>
      <c r="K742" s="5" t="n">
        <v>45551</v>
      </c>
      <c r="L742" t="inlineStr">
        <is>
          <t>Sold</t>
        </is>
      </c>
      <c r="M742" s="6">
        <f>HYPERLINK("https://www.dailydose.de/kleinanzeigen/detail.htm?ai=422711&amp;cf=kk&amp;pg=5&amp;ci=5", "Link")</f>
        <v/>
      </c>
      <c r="N742" s="6">
        <f>HYPERLINK("C:\Projects\Kleinanzeigen-Scraper\offer_images\422711", "Link")</f>
        <v/>
      </c>
      <c r="O742" t="inlineStr">
        <is>
          <t>henning_167</t>
        </is>
      </c>
      <c r="P742" s="6">
        <f>HYPERLINK("https://www.dailydose.de/kleinanzeigen/user/10083", "Link")</f>
        <v/>
      </c>
      <c r="Q742" s="7" t="n">
        <v>45551.60135416667</v>
      </c>
      <c r="R742" s="3" t="inlineStr">
        <is>
          <t>393.75</t>
        </is>
      </c>
      <c r="S742" t="inlineStr">
        <is>
          <t>Köln</t>
        </is>
      </c>
    </row>
    <row r="743">
      <c r="A743" s="2" t="n">
        <v>4.5</v>
      </c>
      <c r="B743" t="inlineStr">
        <is>
          <t>Gaastra / GA Manic HD</t>
        </is>
      </c>
      <c r="C743" s="3" t="inlineStr"/>
      <c r="D743" s="3" t="inlineStr"/>
      <c r="E743" t="inlineStr"/>
      <c r="F743" t="inlineStr">
        <is>
          <t>2020</t>
        </is>
      </c>
      <c r="G743" t="inlineStr">
        <is>
          <t>used</t>
        </is>
      </c>
      <c r="H743" s="4" t="n">
        <v>160</v>
      </c>
      <c r="I743" t="inlineStr"/>
      <c r="J743" t="inlineStr">
        <is>
          <t>51149  Köln</t>
        </is>
      </c>
      <c r="K743" s="5" t="n">
        <v>45551</v>
      </c>
      <c r="L743" t="inlineStr">
        <is>
          <t>Sold</t>
        </is>
      </c>
      <c r="M743" s="6">
        <f>HYPERLINK("https://www.dailydose.de/kleinanzeigen/detail.htm?ai=422713&amp;cf=kk&amp;pg=5&amp;ci=5", "Link")</f>
        <v/>
      </c>
      <c r="N743" s="6">
        <f>HYPERLINK("C:\Projects\Kleinanzeigen-Scraper\offer_images\422713", "Link")</f>
        <v/>
      </c>
      <c r="O743" t="inlineStr">
        <is>
          <t>joJo62</t>
        </is>
      </c>
      <c r="P743" s="6">
        <f>HYPERLINK("https://www.dailydose.de/kleinanzeigen/user/2725", "Link")</f>
        <v/>
      </c>
      <c r="Q743" s="7" t="n">
        <v>45551.60116898148</v>
      </c>
      <c r="R743" s="3" t="inlineStr">
        <is>
          <t>7.40</t>
        </is>
      </c>
      <c r="S743" t="inlineStr">
        <is>
          <t>Köln</t>
        </is>
      </c>
    </row>
    <row r="744">
      <c r="A744" s="2" t="n">
        <v>4.7</v>
      </c>
      <c r="B744" t="inlineStr">
        <is>
          <t>NeilPryde Combat HD</t>
        </is>
      </c>
      <c r="C744" s="3" t="n">
        <v>395</v>
      </c>
      <c r="D744" s="3" t="n">
        <v>186</v>
      </c>
      <c r="E744" t="inlineStr"/>
      <c r="F744" t="inlineStr">
        <is>
          <t>2020</t>
        </is>
      </c>
      <c r="G744" t="inlineStr">
        <is>
          <t>used</t>
        </is>
      </c>
      <c r="H744" s="4" t="n">
        <v>285</v>
      </c>
      <c r="I744" t="inlineStr"/>
      <c r="J744" t="inlineStr">
        <is>
          <t>23816</t>
        </is>
      </c>
      <c r="K744" s="5" t="n">
        <v>45551</v>
      </c>
      <c r="L744" t="inlineStr">
        <is>
          <t>Sold</t>
        </is>
      </c>
      <c r="M744" s="6">
        <f>HYPERLINK("https://www.dailydose.de/kleinanzeigen/detail.htm?ai=422712&amp;cf=kk&amp;pg=5&amp;ci=5", "Link")</f>
        <v/>
      </c>
      <c r="N744" s="6">
        <f>HYPERLINK("C:\Projects\Kleinanzeigen-Scraper\offer_images\422712", "Link")</f>
        <v/>
      </c>
      <c r="O744" t="inlineStr">
        <is>
          <t>henning_167</t>
        </is>
      </c>
      <c r="P744" s="6">
        <f>HYPERLINK("https://www.dailydose.de/kleinanzeigen/user/10083", "Link")</f>
        <v/>
      </c>
      <c r="Q744" s="7" t="n">
        <v>45551.60055555555</v>
      </c>
      <c r="R744" s="3" t="inlineStr">
        <is>
          <t>393.75</t>
        </is>
      </c>
      <c r="S744" t="inlineStr">
        <is>
          <t>Köln</t>
        </is>
      </c>
    </row>
    <row r="745">
      <c r="A745" s="2" t="n">
        <v>8</v>
      </c>
      <c r="B745" t="inlineStr">
        <is>
          <t>Duotone EVO D/LAB</t>
        </is>
      </c>
      <c r="C745" s="3" t="inlineStr"/>
      <c r="D745" s="3" t="inlineStr"/>
      <c r="E745" t="inlineStr"/>
      <c r="F745" t="inlineStr">
        <is>
          <t>2023/2024</t>
        </is>
      </c>
      <c r="G745" t="inlineStr">
        <is>
          <t>used</t>
        </is>
      </c>
      <c r="H745" s="4" t="n">
        <v>1.49</v>
      </c>
      <c r="I745" t="inlineStr">
        <is>
          <t>VB</t>
        </is>
      </c>
      <c r="J745" t="inlineStr">
        <is>
          <t>22559 Altona - Hamburg Rissen</t>
        </is>
      </c>
      <c r="K745" s="5" t="n">
        <v>45543</v>
      </c>
      <c r="L745" t="inlineStr">
        <is>
          <t>Sold</t>
        </is>
      </c>
      <c r="M745" s="6">
        <f>HYPERLINK("https://www.kleinanzeigen.de/s-anzeige/duotone-evo-d-lab-8qm-2023-24/2857539649-230-9507", "Link")</f>
        <v/>
      </c>
      <c r="N745" s="6">
        <f>HYPERLINK("C:\Projects\Kleinanzeigen-Scraper\offer_images\2857539649", "Link")</f>
        <v/>
      </c>
      <c r="O745" t="inlineStr">
        <is>
          <t>Hanno Steyer</t>
        </is>
      </c>
      <c r="P745" s="6">
        <f>HYPERLINK("https://www.kleinanzeigen.de/s-bestandsliste.html?userId=90258185", "Link")</f>
        <v/>
      </c>
      <c r="Q745" s="7" t="n">
        <v>45551.59938657407</v>
      </c>
      <c r="R745" s="3" t="inlineStr">
        <is>
          <t>350.33</t>
        </is>
      </c>
      <c r="S745" t="inlineStr">
        <is>
          <t>Köln</t>
        </is>
      </c>
    </row>
    <row r="746">
      <c r="A746" s="2" t="n">
        <v>4.2</v>
      </c>
      <c r="B746" t="inlineStr">
        <is>
          <t>North / Duotone Volt</t>
        </is>
      </c>
      <c r="C746" s="3" t="inlineStr"/>
      <c r="D746" s="3" t="inlineStr"/>
      <c r="E746" t="inlineStr"/>
      <c r="F746" t="inlineStr"/>
      <c r="G746" t="inlineStr">
        <is>
          <t>used</t>
        </is>
      </c>
      <c r="H746" s="4" t="n">
        <v>120</v>
      </c>
      <c r="I746" t="inlineStr">
        <is>
          <t>VB</t>
        </is>
      </c>
      <c r="J746" t="inlineStr">
        <is>
          <t>21465 Herzogtum Lauenburg - Wentorf</t>
        </is>
      </c>
      <c r="K746" s="5" t="n">
        <v>45544</v>
      </c>
      <c r="L746" t="inlineStr">
        <is>
          <t>Sold</t>
        </is>
      </c>
      <c r="M746" s="6">
        <f>HYPERLINK("https://www.kleinanzeigen.de/s-anzeige/north-duotone-volt-4-2/2858951463-230-766", "Link")</f>
        <v/>
      </c>
      <c r="N746" s="6">
        <f>HYPERLINK("C:\Projects\Kleinanzeigen-Scraper\offer_images\2858951463", "Link")</f>
        <v/>
      </c>
      <c r="O746" t="inlineStr">
        <is>
          <t>sven</t>
        </is>
      </c>
      <c r="P746" s="6">
        <f>HYPERLINK("https://www.kleinanzeigen.de/s-bestandsliste.html?userId=11701508", "Link")</f>
        <v/>
      </c>
      <c r="Q746" s="7" t="n">
        <v>45551.59862268518</v>
      </c>
      <c r="R746" s="3" t="inlineStr">
        <is>
          <t>366.85</t>
        </is>
      </c>
      <c r="S746" t="inlineStr">
        <is>
          <t>Köln</t>
        </is>
      </c>
    </row>
    <row r="747">
      <c r="A747" s="2" t="n">
        <v>9</v>
      </c>
      <c r="B747" t="inlineStr">
        <is>
          <t>Duotone Evo Sls Porsche Edition</t>
        </is>
      </c>
      <c r="C747" s="3" t="inlineStr"/>
      <c r="D747" s="3" t="inlineStr"/>
      <c r="E747" t="inlineStr"/>
      <c r="F747" t="inlineStr">
        <is>
          <t>2024</t>
        </is>
      </c>
      <c r="G747" t="inlineStr">
        <is>
          <t>used</t>
        </is>
      </c>
      <c r="H747" s="4" t="n">
        <v>1.6</v>
      </c>
      <c r="I747" t="inlineStr">
        <is>
          <t>VB</t>
        </is>
      </c>
      <c r="J747" t="inlineStr">
        <is>
          <t>25980 Sylt - Westerland</t>
        </is>
      </c>
      <c r="K747" s="5" t="n">
        <v>45551</v>
      </c>
      <c r="L747" t="inlineStr">
        <is>
          <t>Sold</t>
        </is>
      </c>
      <c r="M747" s="6">
        <f>HYPERLINK("https://www.kleinanzeigen.de/s-anzeige/duotone-evo-sls-porsche-edition-9qm/2865184056-230-634", "Link")</f>
        <v/>
      </c>
      <c r="N747" s="6">
        <f>HYPERLINK("C:\Projects\Kleinanzeigen-Scraper\offer_images\2865184056", "Link")</f>
        <v/>
      </c>
      <c r="O747" t="inlineStr">
        <is>
          <t>Benje</t>
        </is>
      </c>
      <c r="P747" s="6">
        <f>HYPERLINK("https://www.kleinanzeigen.de/s-bestandsliste.html?userId=42224523", "Link")</f>
        <v/>
      </c>
      <c r="Q747" s="7" t="n">
        <v>45551.59859953704</v>
      </c>
      <c r="R747" s="3" t="inlineStr">
        <is>
          <t>448.30</t>
        </is>
      </c>
      <c r="S747" t="inlineStr">
        <is>
          <t>Köln</t>
        </is>
      </c>
    </row>
    <row r="748">
      <c r="A748" s="2" t="n">
        <v>6</v>
      </c>
      <c r="B748" t="inlineStr">
        <is>
          <t>Gun Sails Torro</t>
        </is>
      </c>
      <c r="C748" s="3" t="inlineStr"/>
      <c r="D748" s="3" t="inlineStr"/>
      <c r="E748" t="inlineStr"/>
      <c r="F748" t="inlineStr"/>
      <c r="G748" t="inlineStr">
        <is>
          <t>new</t>
        </is>
      </c>
      <c r="H748" s="4" t="n">
        <v>180</v>
      </c>
      <c r="I748" t="inlineStr">
        <is>
          <t>VB</t>
        </is>
      </c>
      <c r="J748" t="inlineStr">
        <is>
          <t>88048 Baden-Württemberg - Friedrichshafen</t>
        </is>
      </c>
      <c r="K748" s="5" t="n">
        <v>45551</v>
      </c>
      <c r="L748" t="inlineStr">
        <is>
          <t>Sold</t>
        </is>
      </c>
      <c r="M748" s="6">
        <f>HYPERLINK("https://www.kleinanzeigen.de/s-anzeige/gun-sails-torro-6-0/2865280468-230-9212", "Link")</f>
        <v/>
      </c>
      <c r="N748" s="6">
        <f>HYPERLINK("C:\Projects\Kleinanzeigen-Scraper\offer_images\2865280468", "Link")</f>
        <v/>
      </c>
      <c r="O748" t="inlineStr">
        <is>
          <t>Niko</t>
        </is>
      </c>
      <c r="P748" s="6">
        <f>HYPERLINK("https://www.kleinanzeigen.de/s-bestandsliste.html?userId=14298532", "Link")</f>
        <v/>
      </c>
      <c r="Q748" s="7" t="n">
        <v>45551.59815972222</v>
      </c>
      <c r="R748" s="3" t="inlineStr">
        <is>
          <t>87.69</t>
        </is>
      </c>
      <c r="S748" t="inlineStr">
        <is>
          <t>Bonndorf</t>
        </is>
      </c>
    </row>
    <row r="749">
      <c r="A749" s="2" t="n">
        <v>4.7</v>
      </c>
      <c r="B749" t="inlineStr">
        <is>
          <t>Goya Eclipse</t>
        </is>
      </c>
      <c r="C749" s="3" t="inlineStr"/>
      <c r="D749" s="3" t="inlineStr"/>
      <c r="E749" t="inlineStr"/>
      <c r="F749" t="inlineStr"/>
      <c r="G749" t="inlineStr">
        <is>
          <t>used</t>
        </is>
      </c>
      <c r="H749" s="4" t="n">
        <v>100</v>
      </c>
      <c r="I749" t="inlineStr">
        <is>
          <t>VB</t>
        </is>
      </c>
      <c r="J749" t="inlineStr">
        <is>
          <t>88048 Baden-Württemberg - Friedrichshafen</t>
        </is>
      </c>
      <c r="K749" s="5" t="n">
        <v>45551</v>
      </c>
      <c r="L749" t="inlineStr"/>
      <c r="M749" s="6">
        <f>HYPERLINK("https://www.kleinanzeigen.de/s-anzeige/goya-eclipse-4-7-windsurf-segel/2865287717-230-9212", "Link")</f>
        <v/>
      </c>
      <c r="N749" s="6">
        <f>HYPERLINK("C:\Projects\Kleinanzeigen-Scraper\offer_images\2865287717", "Link")</f>
        <v/>
      </c>
      <c r="O749" t="inlineStr">
        <is>
          <t>Niko</t>
        </is>
      </c>
      <c r="P749" s="6">
        <f>HYPERLINK("https://www.kleinanzeigen.de/s-bestandsliste.html?userId=14298532", "Link")</f>
        <v/>
      </c>
      <c r="Q749" s="7" t="n">
        <v>45551.59659722223</v>
      </c>
      <c r="R749" s="3" t="inlineStr">
        <is>
          <t>87.69</t>
        </is>
      </c>
      <c r="S749" t="inlineStr">
        <is>
          <t>Bonndorf</t>
        </is>
      </c>
    </row>
    <row r="750">
      <c r="A750" s="2" t="n">
        <v>6</v>
      </c>
      <c r="B750" t="inlineStr">
        <is>
          <t>Mistral Streamline</t>
        </is>
      </c>
      <c r="C750" s="3" t="n">
        <v>4.63</v>
      </c>
      <c r="D750" s="3" t="n">
        <v>2</v>
      </c>
      <c r="E750" t="inlineStr"/>
      <c r="F750" t="inlineStr"/>
      <c r="G750" t="inlineStr">
        <is>
          <t>used</t>
        </is>
      </c>
      <c r="H750" s="4" t="n">
        <v>40</v>
      </c>
      <c r="I750" t="inlineStr"/>
      <c r="J750" t="inlineStr">
        <is>
          <t>41564 Nordrhein-Westfalen - Kaarst</t>
        </is>
      </c>
      <c r="K750" s="5" t="n">
        <v>45550</v>
      </c>
      <c r="L750" t="inlineStr">
        <is>
          <t>Sold</t>
        </is>
      </c>
      <c r="M750" s="6">
        <f>HYPERLINK("https://www.kleinanzeigen.de/s-anzeige/mistral-streamline-windsurf-segel-6-0/2864805723-230-2107", "Link")</f>
        <v/>
      </c>
      <c r="N750" s="6">
        <f>HYPERLINK("C:\Projects\Kleinanzeigen-Scraper\offer_images\2864805723", "Link")</f>
        <v/>
      </c>
      <c r="O750" t="inlineStr">
        <is>
          <t>Hans-Jürgen</t>
        </is>
      </c>
      <c r="P750" s="6">
        <f>HYPERLINK("https://www.kleinanzeigen.de/s-bestandsliste.html?userId=67801432", "Link")</f>
        <v/>
      </c>
      <c r="Q750" s="7" t="n">
        <v>45551.59599537037</v>
      </c>
      <c r="R750" s="3" t="inlineStr">
        <is>
          <t>39.22</t>
        </is>
      </c>
      <c r="S750" t="inlineStr">
        <is>
          <t>Köln</t>
        </is>
      </c>
    </row>
    <row r="751">
      <c r="A751" s="2" t="n">
        <v>5.2</v>
      </c>
      <c r="B751" t="inlineStr">
        <is>
          <t>Gun Sails Yeah</t>
        </is>
      </c>
      <c r="C751" s="3" t="inlineStr"/>
      <c r="D751" s="3" t="inlineStr"/>
      <c r="E751" t="inlineStr"/>
      <c r="F751" t="inlineStr"/>
      <c r="G751" t="inlineStr">
        <is>
          <t>used</t>
        </is>
      </c>
      <c r="H751" s="4" t="n">
        <v>130</v>
      </c>
      <c r="I751" t="inlineStr">
        <is>
          <t>VB</t>
        </is>
      </c>
      <c r="J751" t="inlineStr">
        <is>
          <t>88048 Baden-Württemberg - Friedrichshafen</t>
        </is>
      </c>
      <c r="K751" s="5" t="n">
        <v>45551</v>
      </c>
      <c r="L751" t="inlineStr"/>
      <c r="M751" s="6">
        <f>HYPERLINK("https://www.kleinanzeigen.de/s-anzeige/gun-sails-yeah-5-2-2020-windsurf-segel/2865292442-230-9212", "Link")</f>
        <v/>
      </c>
      <c r="N751" s="6">
        <f>HYPERLINK("C:\Projects\Kleinanzeigen-Scraper\offer_images\2865292442", "Link")</f>
        <v/>
      </c>
      <c r="O751" t="inlineStr">
        <is>
          <t>Niko</t>
        </is>
      </c>
      <c r="P751" s="6">
        <f>HYPERLINK("https://www.kleinanzeigen.de/s-bestandsliste.html?userId=14298532", "Link")</f>
        <v/>
      </c>
      <c r="Q751" s="7" t="n">
        <v>45551.59577546296</v>
      </c>
      <c r="R751" s="3" t="inlineStr">
        <is>
          <t>87.69</t>
        </is>
      </c>
      <c r="S751" t="inlineStr">
        <is>
          <t>Bonndorf</t>
        </is>
      </c>
    </row>
    <row r="752">
      <c r="A752" s="2" t="n">
        <v>4.2</v>
      </c>
      <c r="B752" t="inlineStr">
        <is>
          <t>Mistral Slalom</t>
        </is>
      </c>
      <c r="C752" s="3" t="inlineStr"/>
      <c r="D752" s="3" t="inlineStr"/>
      <c r="E752" t="inlineStr"/>
      <c r="F752" t="inlineStr"/>
      <c r="G752" t="inlineStr">
        <is>
          <t>used</t>
        </is>
      </c>
      <c r="H752" s="4" t="n">
        <v>40</v>
      </c>
      <c r="I752" t="inlineStr"/>
      <c r="J752" t="inlineStr">
        <is>
          <t>41564 Nordrhein-Westfalen - Kaarst</t>
        </is>
      </c>
      <c r="K752" s="5" t="n">
        <v>45550</v>
      </c>
      <c r="L752" t="inlineStr">
        <is>
          <t>Sold</t>
        </is>
      </c>
      <c r="M752" s="6">
        <f>HYPERLINK("https://www.kleinanzeigen.de/s-anzeige/mistral-slalom-windsurf-segel-4-2/2864803869-230-2107", "Link")</f>
        <v/>
      </c>
      <c r="N752" s="6">
        <f>HYPERLINK("C:\Projects\Kleinanzeigen-Scraper\offer_images\2864803869", "Link")</f>
        <v/>
      </c>
      <c r="O752" t="inlineStr">
        <is>
          <t>Hans-Jürgen</t>
        </is>
      </c>
      <c r="P752" s="6">
        <f>HYPERLINK("https://www.kleinanzeigen.de/s-bestandsliste.html?userId=67801432", "Link")</f>
        <v/>
      </c>
      <c r="Q752" s="7" t="n">
        <v>45551.59505787037</v>
      </c>
      <c r="R752" s="3" t="inlineStr">
        <is>
          <t>39.22</t>
        </is>
      </c>
      <c r="S752" t="inlineStr">
        <is>
          <t>Köln</t>
        </is>
      </c>
    </row>
    <row r="753">
      <c r="A753" s="2" t="n">
        <v>4.8</v>
      </c>
      <c r="B753" t="inlineStr">
        <is>
          <t>Maui Sails Loco Pro</t>
        </is>
      </c>
      <c r="C753" s="3" t="n">
        <v>400</v>
      </c>
      <c r="D753" s="3" t="inlineStr"/>
      <c r="E753" t="inlineStr"/>
      <c r="F753" t="inlineStr">
        <is>
          <t>2014</t>
        </is>
      </c>
      <c r="G753" t="inlineStr">
        <is>
          <t>used</t>
        </is>
      </c>
      <c r="H753" s="4" t="n">
        <v>60</v>
      </c>
      <c r="I753" t="inlineStr"/>
      <c r="J753" t="inlineStr">
        <is>
          <t>23552 Schleswig-Holstein - Lübeck</t>
        </is>
      </c>
      <c r="K753" s="5" t="n">
        <v>45550</v>
      </c>
      <c r="L753" t="inlineStr">
        <is>
          <t>Sold</t>
        </is>
      </c>
      <c r="M753" s="6">
        <f>HYPERLINK("https://www.kleinanzeigen.de/s-anzeige/windsurf-segel-maui-sails-loco-pro-4-8-2014/2864248566-230-415", "Link")</f>
        <v/>
      </c>
      <c r="N753" s="6">
        <f>HYPERLINK("C:\Projects\Kleinanzeigen-Scraper\offer_images\2864248566", "Link")</f>
        <v/>
      </c>
      <c r="O753" t="inlineStr">
        <is>
          <t>D.W.</t>
        </is>
      </c>
      <c r="P753" s="6">
        <f>HYPERLINK("https://www.kleinanzeigen.de/s-bestandsliste.html?userId=27204476", "Link")</f>
        <v/>
      </c>
      <c r="Q753" s="7" t="n">
        <v>45551.59461805555</v>
      </c>
      <c r="R753" s="3" t="inlineStr">
        <is>
          <t>412.54</t>
        </is>
      </c>
      <c r="S753" t="inlineStr">
        <is>
          <t>Köln</t>
        </is>
      </c>
    </row>
    <row r="754">
      <c r="A754" s="2" t="n">
        <v>4.7</v>
      </c>
      <c r="B754" t="inlineStr">
        <is>
          <t>Duotone SuperHero</t>
        </is>
      </c>
      <c r="C754" s="3" t="inlineStr"/>
      <c r="D754" s="3" t="inlineStr"/>
      <c r="E754" t="inlineStr"/>
      <c r="F754" t="inlineStr">
        <is>
          <t>2023</t>
        </is>
      </c>
      <c r="G754" t="inlineStr">
        <is>
          <t>new</t>
        </is>
      </c>
      <c r="H754" s="4" t="n">
        <v>450</v>
      </c>
      <c r="I754" t="inlineStr"/>
      <c r="J754" t="inlineStr">
        <is>
          <t>22607 Altona - Hamburg Groß Flottbek</t>
        </is>
      </c>
      <c r="K754" s="5" t="n">
        <v>45543</v>
      </c>
      <c r="L754" t="inlineStr">
        <is>
          <t>Sold</t>
        </is>
      </c>
      <c r="M754" s="6">
        <f>HYPERLINK("https://www.kleinanzeigen.de/s-anzeige/duotone-superhero-4-7-2023/2857399430-230-9500", "Link")</f>
        <v/>
      </c>
      <c r="N754" s="6">
        <f>HYPERLINK("C:\Projects\Kleinanzeigen-Scraper\offer_images\2857399430", "Link")</f>
        <v/>
      </c>
      <c r="O754" t="inlineStr">
        <is>
          <t>Anton</t>
        </is>
      </c>
      <c r="P754" s="6">
        <f>HYPERLINK("https://www.kleinanzeigen.de/s-bestandsliste.html?userId=17826480", "Link")</f>
        <v/>
      </c>
      <c r="Q754" s="7" t="n">
        <v>45551.59454861111</v>
      </c>
      <c r="R754" s="3" t="inlineStr">
        <is>
          <t>354.01</t>
        </is>
      </c>
      <c r="S754" t="inlineStr">
        <is>
          <t>Köln</t>
        </is>
      </c>
    </row>
    <row r="755">
      <c r="A755" s="2" t="n">
        <v>4.2</v>
      </c>
      <c r="B755" t="inlineStr">
        <is>
          <t>Simmer Onshore</t>
        </is>
      </c>
      <c r="C755" s="3" t="n">
        <v>396</v>
      </c>
      <c r="D755" s="3" t="n">
        <v>149</v>
      </c>
      <c r="E755" t="inlineStr">
        <is>
          <t>Wave</t>
        </is>
      </c>
      <c r="F755" t="inlineStr"/>
      <c r="G755" t="inlineStr">
        <is>
          <t>used</t>
        </is>
      </c>
      <c r="H755" s="4" t="n">
        <v>20</v>
      </c>
      <c r="I755" t="inlineStr"/>
      <c r="J755" t="inlineStr">
        <is>
          <t>22844 Schleswig-Holstein - Norderstedt</t>
        </is>
      </c>
      <c r="K755" s="5" t="n">
        <v>45551</v>
      </c>
      <c r="L755" t="inlineStr">
        <is>
          <t>Sold</t>
        </is>
      </c>
      <c r="M755" s="6">
        <f>HYPERLINK("https://www.kleinanzeigen.de/s-anzeige/windsurfsegel-segel-4-2-m-simmer-onshore-wave/2865145720-230-797", "Link")</f>
        <v/>
      </c>
      <c r="N755" s="6">
        <f>HYPERLINK("C:\Projects\Kleinanzeigen-Scraper\offer_images\2865145720", "Link")</f>
        <v/>
      </c>
      <c r="O755" t="inlineStr">
        <is>
          <t>Ben</t>
        </is>
      </c>
      <c r="P755" s="6">
        <f>HYPERLINK("https://www.kleinanzeigen.de/s-bestandsliste.html?userId=25666860", "Link")</f>
        <v/>
      </c>
      <c r="Q755" s="7" t="n">
        <v>45551.59444444445</v>
      </c>
      <c r="R755" s="3" t="inlineStr">
        <is>
          <t>373.10</t>
        </is>
      </c>
      <c r="S755" t="inlineStr">
        <is>
          <t>Köln</t>
        </is>
      </c>
    </row>
    <row r="756">
      <c r="A756" s="2" t="n">
        <v>8.4</v>
      </c>
      <c r="B756" t="inlineStr">
        <is>
          <t>Duotone Warp</t>
        </is>
      </c>
      <c r="C756" s="3" t="inlineStr"/>
      <c r="D756" s="3" t="inlineStr"/>
      <c r="E756" t="inlineStr"/>
      <c r="F756" t="inlineStr">
        <is>
          <t>2020</t>
        </is>
      </c>
      <c r="G756" t="inlineStr">
        <is>
          <t>used</t>
        </is>
      </c>
      <c r="H756" s="4" t="n">
        <v>222</v>
      </c>
      <c r="I756" t="inlineStr">
        <is>
          <t>VB</t>
        </is>
      </c>
      <c r="J756" t="inlineStr">
        <is>
          <t>94469 Bayern - Deggendorf</t>
        </is>
      </c>
      <c r="K756" s="5" t="n">
        <v>45543</v>
      </c>
      <c r="L756" t="inlineStr">
        <is>
          <t>Sold</t>
        </is>
      </c>
      <c r="M756" s="6">
        <f>HYPERLINK("https://www.kleinanzeigen.de/s-anzeige/duotone-warp-8-4-2020/2857489695-230-16909", "Link")</f>
        <v/>
      </c>
      <c r="N756" s="6">
        <f>HYPERLINK("C:\Projects\Kleinanzeigen-Scraper\offer_images\2857489695", "Link")</f>
        <v/>
      </c>
      <c r="O756" t="inlineStr">
        <is>
          <t>Angelika</t>
        </is>
      </c>
      <c r="P756" s="6">
        <f>HYPERLINK("https://www.kleinanzeigen.de/s-bestandsliste.html?userId=17694301", "Link")</f>
        <v/>
      </c>
      <c r="Q756" s="7" t="n">
        <v>45551.5937962963</v>
      </c>
      <c r="R756" s="3" t="inlineStr">
        <is>
          <t>130.17</t>
        </is>
      </c>
      <c r="S756" t="inlineStr">
        <is>
          <t>München</t>
        </is>
      </c>
    </row>
    <row r="757">
      <c r="A757" s="2" t="n">
        <v>7</v>
      </c>
      <c r="B757" t="inlineStr">
        <is>
          <t>Duotone Neo</t>
        </is>
      </c>
      <c r="C757" s="3" t="inlineStr"/>
      <c r="D757" s="3" t="inlineStr"/>
      <c r="E757" t="inlineStr"/>
      <c r="F757" t="inlineStr">
        <is>
          <t>2024</t>
        </is>
      </c>
      <c r="G757" t="inlineStr">
        <is>
          <t>used</t>
        </is>
      </c>
      <c r="H757" s="4" t="n">
        <v>1.35</v>
      </c>
      <c r="I757" t="inlineStr">
        <is>
          <t>VB</t>
        </is>
      </c>
      <c r="J757" t="inlineStr">
        <is>
          <t>25980 Sylt - Westerland</t>
        </is>
      </c>
      <c r="K757" s="5" t="n">
        <v>45551</v>
      </c>
      <c r="L757" t="inlineStr">
        <is>
          <t>Sold</t>
        </is>
      </c>
      <c r="M757" s="6">
        <f>HYPERLINK("https://www.kleinanzeigen.de/s-anzeige/duotone-neo-concept-blue-7qm/2865186990-230-634", "Link")</f>
        <v/>
      </c>
      <c r="N757" s="6">
        <f>HYPERLINK("C:\Projects\Kleinanzeigen-Scraper\offer_images\2865186990", "Link")</f>
        <v/>
      </c>
      <c r="O757" t="inlineStr">
        <is>
          <t>Benje</t>
        </is>
      </c>
      <c r="P757" s="6">
        <f>HYPERLINK("https://www.kleinanzeigen.de/s-bestandsliste.html?userId=42224523", "Link")</f>
        <v/>
      </c>
      <c r="Q757" s="7" t="n">
        <v>45551.59377314815</v>
      </c>
      <c r="R757" s="3" t="inlineStr">
        <is>
          <t>448.30</t>
        </is>
      </c>
      <c r="S757" t="inlineStr">
        <is>
          <t>Köln</t>
        </is>
      </c>
    </row>
    <row r="758">
      <c r="A758" s="2" t="n">
        <v>6.9</v>
      </c>
      <c r="B758" t="inlineStr">
        <is>
          <t>Gun Sails Torro</t>
        </is>
      </c>
      <c r="C758" s="3" t="n">
        <v>457</v>
      </c>
      <c r="D758" s="3" t="n">
        <v>198</v>
      </c>
      <c r="E758" t="inlineStr">
        <is>
          <t>Bump and Jump, Freemove</t>
        </is>
      </c>
      <c r="F758" t="inlineStr">
        <is>
          <t>2021</t>
        </is>
      </c>
      <c r="G758" t="inlineStr">
        <is>
          <t>used</t>
        </is>
      </c>
      <c r="H758" s="4" t="n">
        <v>200</v>
      </c>
      <c r="I758" t="inlineStr">
        <is>
          <t>VB</t>
        </is>
      </c>
      <c r="J758" t="inlineStr">
        <is>
          <t>23701 Kreis Ostholstein - Süsel</t>
        </is>
      </c>
      <c r="K758" s="5" t="n">
        <v>45551</v>
      </c>
      <c r="L758" t="inlineStr"/>
      <c r="M758" s="6">
        <f>HYPERLINK("https://www.kleinanzeigen.de/s-anzeige/windsurfen-windsurfsegel-gun-sails-torro-6-9-2021/2865181884-230-460", "Link")</f>
        <v/>
      </c>
      <c r="N758" s="6">
        <f>HYPERLINK("C:\Projects\Kleinanzeigen-Scraper\offer_images\2865181884", "Link")</f>
        <v/>
      </c>
      <c r="O758" t="inlineStr">
        <is>
          <t>Gunnar</t>
        </is>
      </c>
      <c r="P758" s="6">
        <f>HYPERLINK("https://www.kleinanzeigen.de/s-bestandsliste.html?userId=18278794", "Link")</f>
        <v/>
      </c>
      <c r="Q758" s="7" t="n">
        <v>45551.5934375</v>
      </c>
      <c r="R758" s="3" t="inlineStr">
        <is>
          <t>431.90</t>
        </is>
      </c>
      <c r="S758" t="inlineStr">
        <is>
          <t>Köln</t>
        </is>
      </c>
    </row>
    <row r="759">
      <c r="A759" s="2" t="n">
        <v>3.6</v>
      </c>
      <c r="B759" t="inlineStr">
        <is>
          <t>F2 Fun Unlimited</t>
        </is>
      </c>
      <c r="C759" s="3" t="n">
        <v>4</v>
      </c>
      <c r="D759" s="3" t="n">
        <v>1.45</v>
      </c>
      <c r="E759" t="inlineStr"/>
      <c r="F759" t="inlineStr"/>
      <c r="G759" t="inlineStr">
        <is>
          <t>used</t>
        </is>
      </c>
      <c r="H759" s="4" t="n">
        <v>40</v>
      </c>
      <c r="I759" t="inlineStr"/>
      <c r="J759" t="inlineStr">
        <is>
          <t>41564 Nordrhein-Westfalen - Kaarst</t>
        </is>
      </c>
      <c r="K759" s="5" t="n">
        <v>45550</v>
      </c>
      <c r="L759" t="inlineStr">
        <is>
          <t>Sold</t>
        </is>
      </c>
      <c r="M759" s="6">
        <f>HYPERLINK("https://www.kleinanzeigen.de/s-anzeige/f2-fun-unlimited-windsurf-segel-3-6/2864798268-230-2107", "Link")</f>
        <v/>
      </c>
      <c r="N759" s="6">
        <f>HYPERLINK("C:\Projects\Kleinanzeigen-Scraper\offer_images\2864798268", "Link")</f>
        <v/>
      </c>
      <c r="O759" t="inlineStr">
        <is>
          <t>Hans-Jürgen</t>
        </is>
      </c>
      <c r="P759" s="6">
        <f>HYPERLINK("https://www.kleinanzeigen.de/s-bestandsliste.html?userId=67801432", "Link")</f>
        <v/>
      </c>
      <c r="Q759" s="7" t="n">
        <v>45551.59271990741</v>
      </c>
      <c r="R759" s="3" t="inlineStr">
        <is>
          <t>39.22</t>
        </is>
      </c>
      <c r="S759" t="inlineStr">
        <is>
          <t>Köln</t>
        </is>
      </c>
    </row>
    <row r="760">
      <c r="A760" s="2" t="n">
        <v>4.7</v>
      </c>
      <c r="B760" t="inlineStr">
        <is>
          <t>North / Duotone Volt</t>
        </is>
      </c>
      <c r="C760" s="3" t="n">
        <v>400</v>
      </c>
      <c r="D760" s="3" t="n">
        <v>146</v>
      </c>
      <c r="E760" t="inlineStr"/>
      <c r="F760" t="inlineStr">
        <is>
          <t>2013</t>
        </is>
      </c>
      <c r="G760" t="inlineStr">
        <is>
          <t>used</t>
        </is>
      </c>
      <c r="H760" s="4" t="n">
        <v>130</v>
      </c>
      <c r="I760" t="inlineStr">
        <is>
          <t>VB</t>
        </is>
      </c>
      <c r="J760" t="inlineStr">
        <is>
          <t>21465 Herzogtum Lauenburg - Wentorf</t>
        </is>
      </c>
      <c r="K760" s="5" t="n">
        <v>45544</v>
      </c>
      <c r="L760" t="inlineStr">
        <is>
          <t>Sold</t>
        </is>
      </c>
      <c r="M760" s="6">
        <f>HYPERLINK("https://www.kleinanzeigen.de/s-anzeige/north-duotone-volt-4-7/2858953020-230-766", "Link")</f>
        <v/>
      </c>
      <c r="N760" s="6">
        <f>HYPERLINK("C:\Projects\Kleinanzeigen-Scraper\offer_images\2858953020", "Link")</f>
        <v/>
      </c>
      <c r="O760" t="inlineStr">
        <is>
          <t>sven</t>
        </is>
      </c>
      <c r="P760" s="6">
        <f>HYPERLINK("https://www.kleinanzeigen.de/s-bestandsliste.html?userId=11701508", "Link")</f>
        <v/>
      </c>
      <c r="Q760" s="7" t="n">
        <v>45551.59212962963</v>
      </c>
      <c r="R760" s="3" t="inlineStr">
        <is>
          <t>366.85</t>
        </is>
      </c>
      <c r="S760" t="inlineStr">
        <is>
          <t>Köln</t>
        </is>
      </c>
    </row>
    <row r="761">
      <c r="A761" s="2" t="n">
        <v>4.2</v>
      </c>
      <c r="B761" t="inlineStr">
        <is>
          <t>Duotone SuperHero</t>
        </is>
      </c>
      <c r="C761" s="3" t="inlineStr"/>
      <c r="D761" s="3" t="inlineStr"/>
      <c r="E761" t="inlineStr"/>
      <c r="F761" t="inlineStr">
        <is>
          <t>2023</t>
        </is>
      </c>
      <c r="G761" t="inlineStr">
        <is>
          <t>new</t>
        </is>
      </c>
      <c r="H761" s="4" t="n">
        <v>430</v>
      </c>
      <c r="I761" t="inlineStr"/>
      <c r="J761" t="inlineStr">
        <is>
          <t>22607 Altona - Hamburg Groß Flottbek</t>
        </is>
      </c>
      <c r="K761" s="5" t="n">
        <v>45543</v>
      </c>
      <c r="L761" t="inlineStr">
        <is>
          <t>Sold</t>
        </is>
      </c>
      <c r="M761" s="6">
        <f>HYPERLINK("https://www.kleinanzeigen.de/s-anzeige/duotone-superhero-4-2-2023/2857397730-230-9500", "Link")</f>
        <v/>
      </c>
      <c r="N761" s="6">
        <f>HYPERLINK("C:\Projects\Kleinanzeigen-Scraper\offer_images\2857397730", "Link")</f>
        <v/>
      </c>
      <c r="O761" t="inlineStr">
        <is>
          <t>Anton</t>
        </is>
      </c>
      <c r="P761" s="6">
        <f>HYPERLINK("https://www.kleinanzeigen.de/s-bestandsliste.html?userId=17826480", "Link")</f>
        <v/>
      </c>
      <c r="Q761" s="7" t="n">
        <v>45551.59123842593</v>
      </c>
      <c r="R761" s="3" t="inlineStr">
        <is>
          <t>354.01</t>
        </is>
      </c>
      <c r="S761" t="inlineStr">
        <is>
          <t>Köln</t>
        </is>
      </c>
    </row>
    <row r="762">
      <c r="A762" s="2" t="n">
        <v>5.7</v>
      </c>
      <c r="B762" t="inlineStr">
        <is>
          <t>North Sails Ice</t>
        </is>
      </c>
      <c r="C762" s="3" t="n">
        <v>439</v>
      </c>
      <c r="D762" s="3" t="inlineStr">
        <is>
          <t>176-179</t>
        </is>
      </c>
      <c r="E762" t="inlineStr"/>
      <c r="F762" t="inlineStr"/>
      <c r="G762" t="inlineStr">
        <is>
          <t>used</t>
        </is>
      </c>
      <c r="H762" s="4" t="n">
        <v>89</v>
      </c>
      <c r="I762" t="inlineStr">
        <is>
          <t>VB</t>
        </is>
      </c>
      <c r="J762" t="inlineStr">
        <is>
          <t>10119 Berlin - Mitte</t>
        </is>
      </c>
      <c r="K762" s="5" t="n">
        <v>45551</v>
      </c>
      <c r="L762" t="inlineStr">
        <is>
          <t>Sold</t>
        </is>
      </c>
      <c r="M762" s="6">
        <f>HYPERLINK("https://www.kleinanzeigen.de/s-anzeige/north-sails-ice-5-7-windsurf-segel/2865050207-230-3519", "Link")</f>
        <v/>
      </c>
      <c r="N762" s="6">
        <f>HYPERLINK("C:\Projects\Kleinanzeigen-Scraper\offer_images\2865050207", "Link")</f>
        <v/>
      </c>
      <c r="O762" t="inlineStr">
        <is>
          <t>Philipp</t>
        </is>
      </c>
      <c r="P762" s="6">
        <f>HYPERLINK("https://www.kleinanzeigen.de/s-bestandsliste.html?userId=24592729", "Link")</f>
        <v/>
      </c>
      <c r="Q762" s="7" t="n">
        <v>45551.59097222222</v>
      </c>
      <c r="R762" s="3" t="inlineStr">
        <is>
          <t>478.06</t>
        </is>
      </c>
      <c r="S762" t="inlineStr">
        <is>
          <t>Köln</t>
        </is>
      </c>
    </row>
    <row r="763">
      <c r="A763" s="2" t="n">
        <v>5</v>
      </c>
      <c r="B763" t="inlineStr">
        <is>
          <t>Duotone Slick SLS</t>
        </is>
      </c>
      <c r="C763" s="3" t="inlineStr"/>
      <c r="D763" s="3" t="inlineStr"/>
      <c r="E763" t="inlineStr"/>
      <c r="F763" t="inlineStr">
        <is>
          <t>2022</t>
        </is>
      </c>
      <c r="G763" t="inlineStr">
        <is>
          <t>used</t>
        </is>
      </c>
      <c r="H763" s="4" t="n">
        <v>390</v>
      </c>
      <c r="I763" t="inlineStr">
        <is>
          <t>VB</t>
        </is>
      </c>
      <c r="J763" t="inlineStr">
        <is>
          <t>91161 Bayern - Hilpoltstein</t>
        </is>
      </c>
      <c r="K763" s="5" t="n">
        <v>45543</v>
      </c>
      <c r="L763" t="inlineStr">
        <is>
          <t>Sold</t>
        </is>
      </c>
      <c r="M763" s="6">
        <f>HYPERLINK("https://www.kleinanzeigen.de/s-anzeige/duotone-slick-sls-5-qm-2022/2857611357-230-5624", "Link")</f>
        <v/>
      </c>
      <c r="N763" s="6">
        <f>HYPERLINK("C:\Projects\Kleinanzeigen-Scraper\offer_images\2857611357", "Link")</f>
        <v/>
      </c>
      <c r="O763" t="inlineStr">
        <is>
          <t>Norbert</t>
        </is>
      </c>
      <c r="P763" s="6">
        <f>HYPERLINK("https://www.kleinanzeigen.de/s-bestandsliste.html?userId=24313827", "Link")</f>
        <v/>
      </c>
      <c r="Q763" s="7" t="n">
        <v>45551.59069444444</v>
      </c>
      <c r="R763" s="3" t="inlineStr">
        <is>
          <t>118.01</t>
        </is>
      </c>
      <c r="S763" t="inlineStr">
        <is>
          <t>München</t>
        </is>
      </c>
    </row>
    <row r="764">
      <c r="A764" s="2" t="n">
        <v>12</v>
      </c>
      <c r="B764" t="inlineStr">
        <is>
          <t>Duotone Evo</t>
        </is>
      </c>
      <c r="C764" s="3" t="inlineStr"/>
      <c r="D764" s="3" t="inlineStr"/>
      <c r="E764" t="inlineStr"/>
      <c r="F764" t="inlineStr">
        <is>
          <t>2024</t>
        </is>
      </c>
      <c r="G764" t="inlineStr">
        <is>
          <t>used</t>
        </is>
      </c>
      <c r="H764" s="4" t="n">
        <v>1.4</v>
      </c>
      <c r="I764" t="inlineStr">
        <is>
          <t>VB</t>
        </is>
      </c>
      <c r="J764" t="inlineStr">
        <is>
          <t>25980 Sylt - Westerland</t>
        </is>
      </c>
      <c r="K764" s="5" t="n">
        <v>45551</v>
      </c>
      <c r="L764" t="inlineStr">
        <is>
          <t>Sold</t>
        </is>
      </c>
      <c r="M764" s="6">
        <f>HYPERLINK("https://www.kleinanzeigen.de/s-anzeige/duotone-evo-concept-blue-12qm/2865188355-230-634", "Link")</f>
        <v/>
      </c>
      <c r="N764" s="6">
        <f>HYPERLINK("C:\Projects\Kleinanzeigen-Scraper\offer_images\2865188355", "Link")</f>
        <v/>
      </c>
      <c r="O764" t="inlineStr">
        <is>
          <t>Benje</t>
        </is>
      </c>
      <c r="P764" s="6">
        <f>HYPERLINK("https://www.kleinanzeigen.de/s-bestandsliste.html?userId=42224523", "Link")</f>
        <v/>
      </c>
      <c r="Q764" s="7" t="n">
        <v>45551.5906712963</v>
      </c>
      <c r="R764" s="3" t="inlineStr">
        <is>
          <t>448.30</t>
        </is>
      </c>
      <c r="S764" t="inlineStr">
        <is>
          <t>Köln</t>
        </is>
      </c>
    </row>
    <row r="765">
      <c r="A765" s="2" t="n">
        <v>8</v>
      </c>
      <c r="B765" t="inlineStr">
        <is>
          <t>Severne HGO</t>
        </is>
      </c>
      <c r="C765" s="3" t="n">
        <v>522</v>
      </c>
      <c r="D765" s="3" t="n">
        <v>220</v>
      </c>
      <c r="E765" t="inlineStr">
        <is>
          <t>Foil Racing</t>
        </is>
      </c>
      <c r="F765" t="inlineStr">
        <is>
          <t>2024</t>
        </is>
      </c>
      <c r="G765" t="inlineStr">
        <is>
          <t>new</t>
        </is>
      </c>
      <c r="H765" s="4" t="n">
        <v>650</v>
      </c>
      <c r="I765" t="inlineStr"/>
      <c r="J765" t="inlineStr">
        <is>
          <t>82237 Bayern - Wörthsee</t>
        </is>
      </c>
      <c r="K765" s="5" t="n">
        <v>45331</v>
      </c>
      <c r="L765" t="inlineStr">
        <is>
          <t>Sold</t>
        </is>
      </c>
      <c r="M765" s="6">
        <f>HYPERLINK("https://www.kleinanzeigen.de/s-anzeige/severne-foilsegel-8-0-qm-iq-class-v2/2674682368-230-6355", "Link")</f>
        <v/>
      </c>
      <c r="N765" s="6">
        <f>HYPERLINK("C:\Projects\Kleinanzeigen-Scraper\offer_images\2674682368", "Link")</f>
        <v/>
      </c>
      <c r="O765" t="inlineStr">
        <is>
          <t>Markus Steinlein</t>
        </is>
      </c>
      <c r="P765" s="6">
        <f>HYPERLINK("https://www.kleinanzeigen.de/s-bestandsliste.html?userId=44341452", "Link")</f>
        <v/>
      </c>
      <c r="Q765" s="7" t="n">
        <v>45551.58935185185</v>
      </c>
      <c r="R765" s="3" t="inlineStr">
        <is>
          <t>28.59</t>
        </is>
      </c>
      <c r="S765" t="inlineStr">
        <is>
          <t>München</t>
        </is>
      </c>
    </row>
    <row r="766">
      <c r="A766" s="2" t="n">
        <v>4.2</v>
      </c>
      <c r="B766" t="inlineStr">
        <is>
          <t>Maui Sails Legend</t>
        </is>
      </c>
      <c r="C766" s="3" t="inlineStr"/>
      <c r="D766" s="3" t="inlineStr"/>
      <c r="E766" t="inlineStr"/>
      <c r="F766" t="inlineStr">
        <is>
          <t>2012</t>
        </is>
      </c>
      <c r="G766" t="inlineStr">
        <is>
          <t>used</t>
        </is>
      </c>
      <c r="H766" s="4" t="n">
        <v>60</v>
      </c>
      <c r="I766" t="inlineStr"/>
      <c r="J766" t="inlineStr">
        <is>
          <t>23684 Scharbeutz</t>
        </is>
      </c>
      <c r="K766" s="5" t="n">
        <v>45550</v>
      </c>
      <c r="L766" t="inlineStr">
        <is>
          <t>Sold</t>
        </is>
      </c>
      <c r="M766" s="6">
        <f>HYPERLINK("https://www.dailydose.de/kleinanzeigen/detail.htm?ai=422653&amp;cf=kk&amp;pg=5&amp;ci=5", "Link")</f>
        <v/>
      </c>
      <c r="N766" s="6">
        <f>HYPERLINK("C:\Projects\Kleinanzeigen-Scraper\offer_images\422653", "Link")</f>
        <v/>
      </c>
      <c r="O766" t="inlineStr">
        <is>
          <t>DBW</t>
        </is>
      </c>
      <c r="P766" s="6">
        <f>HYPERLINK("https://www.dailydose.de/kleinanzeigen/user/26416", "Link")</f>
        <v/>
      </c>
      <c r="Q766" s="7" t="n">
        <v>45551.41559027778</v>
      </c>
      <c r="R766" s="3" t="inlineStr">
        <is>
          <t>427.15</t>
        </is>
      </c>
      <c r="S766" t="inlineStr">
        <is>
          <t>Köln</t>
        </is>
      </c>
    </row>
    <row r="767">
      <c r="A767" s="2" t="n">
        <v>5.7</v>
      </c>
      <c r="B767" t="inlineStr">
        <is>
          <t>RRD Style Pro</t>
        </is>
      </c>
      <c r="C767" s="3" t="n">
        <v>440</v>
      </c>
      <c r="D767" s="3" t="n">
        <v>178</v>
      </c>
      <c r="E767" t="inlineStr"/>
      <c r="F767" t="inlineStr"/>
      <c r="G767" t="inlineStr">
        <is>
          <t>used</t>
        </is>
      </c>
      <c r="H767" s="4" t="n">
        <v>120</v>
      </c>
      <c r="I767" t="inlineStr"/>
      <c r="J767" t="inlineStr">
        <is>
          <t>78187 Geisingen</t>
        </is>
      </c>
      <c r="K767" s="5" t="n">
        <v>45550</v>
      </c>
      <c r="L767" t="inlineStr">
        <is>
          <t>Sold</t>
        </is>
      </c>
      <c r="M767" s="6">
        <f>HYPERLINK("https://www.dailydose.de/kleinanzeigen/detail.htm?ai=422625&amp;cf=kk&amp;pg=5&amp;ci=5", "Link")</f>
        <v/>
      </c>
      <c r="N767" s="6">
        <f>HYPERLINK("C:\Projects\Kleinanzeigen-Scraper\offer_images\422625", "Link")</f>
        <v/>
      </c>
      <c r="O767" t="inlineStr">
        <is>
          <t>surferto</t>
        </is>
      </c>
      <c r="P767" s="6">
        <f>HYPERLINK("https://www.dailydose.de/kleinanzeigen/user/23808", "Link")</f>
        <v/>
      </c>
      <c r="Q767" s="7" t="n">
        <v>45551.41539351852</v>
      </c>
      <c r="R767" s="3" t="inlineStr">
        <is>
          <t>24.74</t>
        </is>
      </c>
      <c r="S767" t="inlineStr">
        <is>
          <t>Bonndorf</t>
        </is>
      </c>
    </row>
    <row r="768">
      <c r="A768" s="2" t="n">
        <v>4</v>
      </c>
      <c r="B768" t="inlineStr">
        <is>
          <t>Sailloft Air</t>
        </is>
      </c>
      <c r="C768" s="3" t="n">
        <v>370</v>
      </c>
      <c r="D768" s="3" t="n">
        <v>148</v>
      </c>
      <c r="E768" t="inlineStr"/>
      <c r="F768" t="inlineStr">
        <is>
          <t>2021</t>
        </is>
      </c>
      <c r="G768" t="inlineStr">
        <is>
          <t>used</t>
        </is>
      </c>
      <c r="H768" s="4" t="n">
        <v>220</v>
      </c>
      <c r="I768" t="inlineStr"/>
      <c r="J768" t="inlineStr">
        <is>
          <t>18439 Stralsund</t>
        </is>
      </c>
      <c r="K768" s="5" t="n">
        <v>45549</v>
      </c>
      <c r="L768" t="inlineStr">
        <is>
          <t>Sold</t>
        </is>
      </c>
      <c r="M768" s="6">
        <f>HYPERLINK("https://www.dailydose.de/kleinanzeigen/detail.htm?ai=422588&amp;cf=kk&amp;pg=5&amp;ci=5", "Link")</f>
        <v/>
      </c>
      <c r="N768" s="6">
        <f>HYPERLINK("C:\Projects\Kleinanzeigen-Scraper\offer_images\422588", "Link")</f>
        <v/>
      </c>
      <c r="O768" t="inlineStr">
        <is>
          <t>Benni</t>
        </is>
      </c>
      <c r="P768" s="6">
        <f>HYPERLINK("https://www.dailydose.de/kleinanzeigen/user/2454", "Link")</f>
        <v/>
      </c>
      <c r="Q768" s="7" t="n">
        <v>45551.41520833333</v>
      </c>
      <c r="R768" s="3" t="inlineStr">
        <is>
          <t>557.94</t>
        </is>
      </c>
      <c r="S768" t="inlineStr">
        <is>
          <t>Köln</t>
        </is>
      </c>
    </row>
    <row r="769">
      <c r="A769" s="2" t="n">
        <v>7</v>
      </c>
      <c r="B769" t="inlineStr">
        <is>
          <t>NeilPryde RS:Racing Evo 8</t>
        </is>
      </c>
      <c r="C769" s="3" t="n">
        <v>471</v>
      </c>
      <c r="D769" s="3" t="inlineStr">
        <is>
          <t>196-201</t>
        </is>
      </c>
      <c r="E769" t="inlineStr">
        <is>
          <t>Race-Slalom</t>
        </is>
      </c>
      <c r="F769" t="inlineStr"/>
      <c r="G769" t="inlineStr">
        <is>
          <t>used</t>
        </is>
      </c>
      <c r="H769" s="4" t="n">
        <v>290</v>
      </c>
      <c r="I769" t="inlineStr">
        <is>
          <t>VB</t>
        </is>
      </c>
      <c r="J769" t="inlineStr">
        <is>
          <t>65193 Rhein-Main</t>
        </is>
      </c>
      <c r="K769" s="5" t="n">
        <v>45550</v>
      </c>
      <c r="L769" t="inlineStr">
        <is>
          <t>Sold</t>
        </is>
      </c>
      <c r="M769" s="6">
        <f>HYPERLINK("https://www.dailydose.de/kleinanzeigen/detail.htm?ai=422692&amp;cf=kk&amp;pg=5&amp;ci=5", "Link")</f>
        <v/>
      </c>
      <c r="N769" s="6">
        <f>HYPERLINK("C:\Projects\Kleinanzeigen-Scraper\offer_images\422692", "Link")</f>
        <v/>
      </c>
      <c r="O769" t="inlineStr">
        <is>
          <t>Chris_122</t>
        </is>
      </c>
      <c r="P769" s="6">
        <f>HYPERLINK("https://www.dailydose.de/kleinanzeigen/user/15032", "Link")</f>
        <v/>
      </c>
      <c r="Q769" s="7" t="n">
        <v>45551.41479166667</v>
      </c>
      <c r="R769" s="3" t="inlineStr">
        <is>
          <t>121.83</t>
        </is>
      </c>
      <c r="S769" t="inlineStr">
        <is>
          <t>Karlsruhe</t>
        </is>
      </c>
    </row>
    <row r="770">
      <c r="A770" s="2" t="n">
        <v>4.2</v>
      </c>
      <c r="B770" t="inlineStr">
        <is>
          <t>Neil Pryde Banzai Pro</t>
        </is>
      </c>
      <c r="C770" s="3" t="n">
        <v>370</v>
      </c>
      <c r="D770" s="3" t="inlineStr"/>
      <c r="E770" t="inlineStr"/>
      <c r="F770" t="inlineStr"/>
      <c r="G770" t="inlineStr">
        <is>
          <t>new</t>
        </is>
      </c>
      <c r="H770" s="4" t="n">
        <v>450</v>
      </c>
      <c r="I770" t="inlineStr"/>
      <c r="J770" t="inlineStr">
        <is>
          <t>22085 HH/Kiel/Sylt</t>
        </is>
      </c>
      <c r="K770" s="5" t="n">
        <v>45550</v>
      </c>
      <c r="L770" t="inlineStr">
        <is>
          <t>Sold</t>
        </is>
      </c>
      <c r="M770" s="6">
        <f>HYPERLINK("https://www.dailydose.de/kleinanzeigen/detail.htm?ai=422666&amp;cf=kk&amp;pg=5&amp;ci=5", "Link")</f>
        <v/>
      </c>
      <c r="N770" s="6">
        <f>HYPERLINK("C:\Projects\Kleinanzeigen-Scraper\offer_images\422666", "Link")</f>
        <v/>
      </c>
      <c r="O770" t="inlineStr">
        <is>
          <t>KrisWave</t>
        </is>
      </c>
      <c r="P770" s="6">
        <f>HYPERLINK("https://www.dailydose.de/kleinanzeigen/user/25708", "Link")</f>
        <v/>
      </c>
      <c r="Q770" s="7" t="n">
        <v>45551.41475694445</v>
      </c>
      <c r="R770" s="3" t="inlineStr">
        <is>
          <t>359.41</t>
        </is>
      </c>
      <c r="S770" t="inlineStr">
        <is>
          <t>Köln</t>
        </is>
      </c>
    </row>
    <row r="771">
      <c r="A771" s="2" t="n">
        <v>5.3</v>
      </c>
      <c r="B771" t="inlineStr">
        <is>
          <t>Goya Banzai X Pro</t>
        </is>
      </c>
      <c r="C771" s="3" t="inlineStr">
        <is>
          <t>400-426</t>
        </is>
      </c>
      <c r="D771" s="3" t="inlineStr">
        <is>
          <t>162-165</t>
        </is>
      </c>
      <c r="E771" t="inlineStr"/>
      <c r="F771" t="inlineStr">
        <is>
          <t>22/23</t>
        </is>
      </c>
      <c r="G771" t="inlineStr">
        <is>
          <t>repaired</t>
        </is>
      </c>
      <c r="H771" s="4" t="n">
        <v>400</v>
      </c>
      <c r="I771" t="inlineStr"/>
      <c r="J771" t="inlineStr">
        <is>
          <t>22307 Hamburg</t>
        </is>
      </c>
      <c r="K771" s="5" t="n">
        <v>45550</v>
      </c>
      <c r="L771" t="inlineStr">
        <is>
          <t>Sold</t>
        </is>
      </c>
      <c r="M771" s="6">
        <f>HYPERLINK("https://www.dailydose.de/kleinanzeigen/detail.htm?ai=422638&amp;cf=kk&amp;pg=5&amp;ci=5", "Link")</f>
        <v/>
      </c>
      <c r="N771" s="6">
        <f>HYPERLINK("C:\Projects\Kleinanzeigen-Scraper\offer_images\422638", "Link")</f>
        <v/>
      </c>
      <c r="O771" t="inlineStr">
        <is>
          <t>henning.rothfuss</t>
        </is>
      </c>
      <c r="P771" s="6">
        <f>HYPERLINK("https://www.dailydose.de/kleinanzeigen/user/180", "Link")</f>
        <v/>
      </c>
      <c r="Q771" s="7" t="n">
        <v>45551.41475694445</v>
      </c>
      <c r="R771" s="3" t="inlineStr">
        <is>
          <t>362.75</t>
        </is>
      </c>
      <c r="S771" t="inlineStr">
        <is>
          <t>Köln</t>
        </is>
      </c>
    </row>
    <row r="772">
      <c r="A772" s="2" t="n">
        <v>4.5</v>
      </c>
      <c r="B772" t="inlineStr">
        <is>
          <t>GA Sails Manic-HD</t>
        </is>
      </c>
      <c r="C772" s="3" t="inlineStr"/>
      <c r="D772" s="3" t="inlineStr"/>
      <c r="E772" t="inlineStr"/>
      <c r="F772" t="inlineStr">
        <is>
          <t>2024</t>
        </is>
      </c>
      <c r="G772" t="inlineStr">
        <is>
          <t>used</t>
        </is>
      </c>
      <c r="H772" s="4" t="n">
        <v>330</v>
      </c>
      <c r="I772" t="inlineStr"/>
      <c r="J772" t="inlineStr">
        <is>
          <t>24539 Neumünster</t>
        </is>
      </c>
      <c r="K772" s="5" t="n">
        <v>45550</v>
      </c>
      <c r="L772" t="inlineStr">
        <is>
          <t>Sold</t>
        </is>
      </c>
      <c r="M772" s="6">
        <f>HYPERLINK("https://www.dailydose.de/kleinanzeigen/detail.htm?ai=422675&amp;cf=kk&amp;pg=5&amp;ci=5", "Link")</f>
        <v/>
      </c>
      <c r="N772" s="6">
        <f>HYPERLINK("C:\Projects\Kleinanzeigen-Scraper\offer_images\422675", "Link")</f>
        <v/>
      </c>
      <c r="O772" t="inlineStr">
        <is>
          <t>Lars Bubelach</t>
        </is>
      </c>
      <c r="P772" s="6">
        <f>HYPERLINK("https://www.dailydose.de/kleinanzeigen/user/14076", "Link")</f>
        <v/>
      </c>
      <c r="Q772" s="7" t="n">
        <v>45551.41472222222</v>
      </c>
      <c r="R772" s="3" t="inlineStr">
        <is>
          <t>402.09</t>
        </is>
      </c>
      <c r="S772" t="inlineStr">
        <is>
          <t>Köln</t>
        </is>
      </c>
    </row>
    <row r="773">
      <c r="A773" s="2" t="n">
        <v>4.8</v>
      </c>
      <c r="B773" t="inlineStr">
        <is>
          <t>Maui Sails Loco Pro</t>
        </is>
      </c>
      <c r="C773" s="3" t="inlineStr"/>
      <c r="D773" s="3" t="inlineStr"/>
      <c r="E773" t="inlineStr"/>
      <c r="F773" t="inlineStr">
        <is>
          <t>2014</t>
        </is>
      </c>
      <c r="G773" t="inlineStr">
        <is>
          <t>used</t>
        </is>
      </c>
      <c r="H773" s="4" t="n">
        <v>60</v>
      </c>
      <c r="I773" t="inlineStr"/>
      <c r="J773" t="inlineStr">
        <is>
          <t>23684 Scharbeutz</t>
        </is>
      </c>
      <c r="K773" s="5" t="n">
        <v>45550</v>
      </c>
      <c r="L773" t="inlineStr">
        <is>
          <t>Sold</t>
        </is>
      </c>
      <c r="M773" s="6">
        <f>HYPERLINK("https://www.dailydose.de/kleinanzeigen/detail.htm?ai=422648&amp;cf=kk&amp;pg=2&amp;ci=5", "Link")</f>
        <v/>
      </c>
      <c r="N773" s="6">
        <f>HYPERLINK("C:\Projects\Kleinanzeigen-Scraper\offer_images\422648", "Link")</f>
        <v/>
      </c>
      <c r="O773" t="inlineStr">
        <is>
          <t>DBW</t>
        </is>
      </c>
      <c r="P773" s="6">
        <f>HYPERLINK("https://www.dailydose.de/kleinanzeigen/user/26416", "Link")</f>
        <v/>
      </c>
      <c r="Q773" s="7" t="n">
        <v>45551.41469907408</v>
      </c>
      <c r="R773" s="3" t="inlineStr">
        <is>
          <t>427.15</t>
        </is>
      </c>
      <c r="S773" t="inlineStr">
        <is>
          <t>Köln</t>
        </is>
      </c>
    </row>
    <row r="774">
      <c r="A774" s="2" t="n">
        <v>9.5</v>
      </c>
      <c r="B774" t="inlineStr">
        <is>
          <t>NeilPryde RS:Slalom MK IV</t>
        </is>
      </c>
      <c r="C774" s="3" t="n">
        <v>520</v>
      </c>
      <c r="D774" s="3" t="n">
        <v>232</v>
      </c>
      <c r="E774" t="inlineStr"/>
      <c r="F774" t="inlineStr"/>
      <c r="G774" t="inlineStr">
        <is>
          <t>used</t>
        </is>
      </c>
      <c r="H774" s="4" t="n">
        <v>270</v>
      </c>
      <c r="I774" t="inlineStr">
        <is>
          <t>VB</t>
        </is>
      </c>
      <c r="J774" t="inlineStr">
        <is>
          <t>65193 Rhein-Main</t>
        </is>
      </c>
      <c r="K774" s="5" t="n">
        <v>45550</v>
      </c>
      <c r="L774" t="inlineStr">
        <is>
          <t>Sold</t>
        </is>
      </c>
      <c r="M774" s="6">
        <f>HYPERLINK("https://www.dailydose.de/kleinanzeigen/detail.htm?ai=422683&amp;cf=kk&amp;pg=5&amp;ci=5", "Link")</f>
        <v/>
      </c>
      <c r="N774" s="6">
        <f>HYPERLINK("C:\Projects\Kleinanzeigen-Scraper\offer_images\422683", "Link")</f>
        <v/>
      </c>
      <c r="O774" t="inlineStr">
        <is>
          <t>Chris_122</t>
        </is>
      </c>
      <c r="P774" s="6">
        <f>HYPERLINK("https://www.dailydose.de/kleinanzeigen/user/15032", "Link")</f>
        <v/>
      </c>
      <c r="Q774" s="7" t="n">
        <v>45551.41446759259</v>
      </c>
      <c r="R774" s="3" t="inlineStr">
        <is>
          <t>121.83</t>
        </is>
      </c>
      <c r="S774" t="inlineStr">
        <is>
          <t>Karlsruhe</t>
        </is>
      </c>
    </row>
    <row r="775">
      <c r="A775" s="2" t="n">
        <v>7</v>
      </c>
      <c r="B775" t="inlineStr">
        <is>
          <t>Severne Turbo M4</t>
        </is>
      </c>
      <c r="C775" s="3" t="n">
        <v>430</v>
      </c>
      <c r="D775" s="3" t="n">
        <v>190</v>
      </c>
      <c r="E775" t="inlineStr"/>
      <c r="F775" t="inlineStr"/>
      <c r="G775" t="inlineStr">
        <is>
          <t>used</t>
        </is>
      </c>
      <c r="H775" s="4" t="n">
        <v>290</v>
      </c>
      <c r="I775" t="inlineStr">
        <is>
          <t>VB</t>
        </is>
      </c>
      <c r="J775" t="inlineStr">
        <is>
          <t>45239 Essen</t>
        </is>
      </c>
      <c r="K775" s="5" t="n">
        <v>45550</v>
      </c>
      <c r="L775" t="inlineStr">
        <is>
          <t>Sold</t>
        </is>
      </c>
      <c r="M775" s="6">
        <f>HYPERLINK("https://www.dailydose.de/kleinanzeigen/detail.htm?ai=422678&amp;cf=kk&amp;pg=5&amp;ci=5", "Link")</f>
        <v/>
      </c>
      <c r="N775" s="6">
        <f>HYPERLINK("C:\Projects\Kleinanzeigen-Scraper\offer_images\422678", "Link")</f>
        <v/>
      </c>
      <c r="O775" t="inlineStr">
        <is>
          <t>Michael_136</t>
        </is>
      </c>
      <c r="P775" s="6">
        <f>HYPERLINK("https://www.dailydose.de/kleinanzeigen/user/16647", "Link")</f>
        <v/>
      </c>
      <c r="Q775" s="7" t="n">
        <v>45551.41444444445</v>
      </c>
      <c r="R775" s="3" t="inlineStr">
        <is>
          <t>49.14</t>
        </is>
      </c>
      <c r="S775" t="inlineStr">
        <is>
          <t>Köln</t>
        </is>
      </c>
    </row>
    <row r="776">
      <c r="A776" s="2" t="n">
        <v>5.2</v>
      </c>
      <c r="B776" t="inlineStr">
        <is>
          <t>Point-7 Slash</t>
        </is>
      </c>
      <c r="C776" s="3" t="inlineStr"/>
      <c r="D776" s="3" t="inlineStr"/>
      <c r="E776" t="inlineStr"/>
      <c r="F776" t="inlineStr">
        <is>
          <t>2023</t>
        </is>
      </c>
      <c r="G776" t="inlineStr">
        <is>
          <t>new</t>
        </is>
      </c>
      <c r="H776" s="4" t="n">
        <v>439</v>
      </c>
      <c r="I776" t="inlineStr"/>
      <c r="J776" t="inlineStr">
        <is>
          <t>53909 Zülpich</t>
        </is>
      </c>
      <c r="K776" s="5" t="n">
        <v>45550</v>
      </c>
      <c r="L776" t="inlineStr">
        <is>
          <t>Sold</t>
        </is>
      </c>
      <c r="M776" s="6">
        <f>HYPERLINK("https://www.dailydose.de/kleinanzeigen/detail.htm?ai=422687&amp;cf=kk&amp;pg=5&amp;ci=5", "Link")</f>
        <v/>
      </c>
      <c r="N776" s="6">
        <f>HYPERLINK("C:\Projects\Kleinanzeigen-Scraper\offer_images\422687", "Link")</f>
        <v/>
      </c>
      <c r="O776" t="inlineStr">
        <is>
          <t>Kalle_56</t>
        </is>
      </c>
      <c r="P776" s="6">
        <f>HYPERLINK("https://www.dailydose.de/kleinanzeigen/user/13113", "Link")</f>
        <v/>
      </c>
      <c r="Q776" s="7" t="n">
        <v>45551.41440972222</v>
      </c>
      <c r="R776" s="3" t="inlineStr">
        <is>
          <t>36.28</t>
        </is>
      </c>
      <c r="S776" t="inlineStr">
        <is>
          <t>Köln</t>
        </is>
      </c>
    </row>
    <row r="777">
      <c r="A777" s="2" t="n">
        <v>9.5</v>
      </c>
      <c r="B777" t="inlineStr">
        <is>
          <t>Ezzy Lion</t>
        </is>
      </c>
      <c r="C777" s="3" t="n">
        <v>490</v>
      </c>
      <c r="D777" s="3" t="inlineStr">
        <is>
          <t>239-247</t>
        </is>
      </c>
      <c r="E777" t="inlineStr"/>
      <c r="F777" t="inlineStr"/>
      <c r="G777" t="inlineStr">
        <is>
          <t>used</t>
        </is>
      </c>
      <c r="H777" s="4" t="n">
        <v>350</v>
      </c>
      <c r="I777" t="inlineStr">
        <is>
          <t>VB</t>
        </is>
      </c>
      <c r="J777" t="inlineStr">
        <is>
          <t>52080 Aachen</t>
        </is>
      </c>
      <c r="K777" s="5" t="n">
        <v>45550</v>
      </c>
      <c r="L777" t="inlineStr">
        <is>
          <t>Sold</t>
        </is>
      </c>
      <c r="M777" s="6">
        <f>HYPERLINK("https://www.dailydose.de/kleinanzeigen/detail.htm?ai=422619&amp;cf=kk&amp;pg=5&amp;ci=5", "Link")</f>
        <v/>
      </c>
      <c r="N777" s="6">
        <f>HYPERLINK("C:\Projects\Kleinanzeigen-Scraper\offer_images\422619", "Link")</f>
        <v/>
      </c>
      <c r="O777" t="inlineStr">
        <is>
          <t>Ralf_14</t>
        </is>
      </c>
      <c r="P777" s="6">
        <f>HYPERLINK("https://www.dailydose.de/kleinanzeigen/user/10502", "Link")</f>
        <v/>
      </c>
      <c r="Q777" s="7" t="n">
        <v>45551.414375</v>
      </c>
      <c r="R777" s="3" t="inlineStr">
        <is>
          <t>58.05</t>
        </is>
      </c>
      <c r="S777" t="inlineStr">
        <is>
          <t>Köln</t>
        </is>
      </c>
    </row>
    <row r="778">
      <c r="A778" s="2" t="n">
        <v>4.8</v>
      </c>
      <c r="B778" t="inlineStr">
        <is>
          <t>Point-7 Slash</t>
        </is>
      </c>
      <c r="C778" s="3" t="inlineStr"/>
      <c r="D778" s="3" t="inlineStr"/>
      <c r="E778" t="inlineStr"/>
      <c r="F778" t="inlineStr">
        <is>
          <t>2023</t>
        </is>
      </c>
      <c r="G778" t="inlineStr">
        <is>
          <t>new</t>
        </is>
      </c>
      <c r="H778" s="4" t="n">
        <v>429</v>
      </c>
      <c r="I778" t="inlineStr"/>
      <c r="J778" t="inlineStr">
        <is>
          <t>53909 Zülpich</t>
        </is>
      </c>
      <c r="K778" s="5" t="n">
        <v>45550</v>
      </c>
      <c r="L778" t="inlineStr">
        <is>
          <t>Sold</t>
        </is>
      </c>
      <c r="M778" s="6">
        <f>HYPERLINK("https://www.dailydose.de/kleinanzeigen/detail.htm?ai=422686&amp;cf=kk&amp;pg=5&amp;ci=5", "Link")</f>
        <v/>
      </c>
      <c r="N778" s="6">
        <f>HYPERLINK("C:\Projects\Kleinanzeigen-Scraper\offer_images\422686", "Link")</f>
        <v/>
      </c>
      <c r="O778" t="inlineStr">
        <is>
          <t>Kalle_56</t>
        </is>
      </c>
      <c r="P778" s="6">
        <f>HYPERLINK("https://www.dailydose.de/kleinanzeigen/user/13113", "Link")</f>
        <v/>
      </c>
      <c r="Q778" s="7" t="n">
        <v>45551.41405092592</v>
      </c>
      <c r="R778" s="3" t="inlineStr">
        <is>
          <t>36.28</t>
        </is>
      </c>
      <c r="S778" t="inlineStr">
        <is>
          <t>Köln</t>
        </is>
      </c>
    </row>
    <row r="779">
      <c r="A779" s="2" t="n">
        <v>4.7</v>
      </c>
      <c r="B779" t="inlineStr">
        <is>
          <t>Goya Banzai X Pro</t>
        </is>
      </c>
      <c r="C779" s="3" t="inlineStr"/>
      <c r="D779" s="3" t="inlineStr"/>
      <c r="E779" t="inlineStr"/>
      <c r="F779" t="inlineStr">
        <is>
          <t>22/23</t>
        </is>
      </c>
      <c r="G779" t="inlineStr">
        <is>
          <t>used</t>
        </is>
      </c>
      <c r="H779" s="4" t="n">
        <v>420</v>
      </c>
      <c r="I779" t="inlineStr"/>
      <c r="J779" t="inlineStr">
        <is>
          <t>22307 Hamburg</t>
        </is>
      </c>
      <c r="K779" s="5" t="n">
        <v>45550</v>
      </c>
      <c r="L779" t="inlineStr">
        <is>
          <t>Sold</t>
        </is>
      </c>
      <c r="M779" s="6">
        <f>HYPERLINK("https://www.dailydose.de/kleinanzeigen/detail.htm?ai=422639&amp;cf=kk&amp;pg=5&amp;ci=5", "Link")</f>
        <v/>
      </c>
      <c r="N779" s="6">
        <f>HYPERLINK("C:\Projects\Kleinanzeigen-Scraper\offer_images\422639", "Link")</f>
        <v/>
      </c>
      <c r="O779" t="inlineStr">
        <is>
          <t>henning.rothfuss</t>
        </is>
      </c>
      <c r="P779" s="6">
        <f>HYPERLINK("https://www.dailydose.de/kleinanzeigen/user/180", "Link")</f>
        <v/>
      </c>
      <c r="Q779" s="7" t="n">
        <v>45551.41388888889</v>
      </c>
      <c r="R779" s="3" t="inlineStr">
        <is>
          <t>362.75</t>
        </is>
      </c>
      <c r="S779" t="inlineStr">
        <is>
          <t>Köln</t>
        </is>
      </c>
    </row>
    <row r="780">
      <c r="A780" s="2" t="n">
        <v>3.6</v>
      </c>
      <c r="B780" t="inlineStr">
        <is>
          <t>Point-7 Slash</t>
        </is>
      </c>
      <c r="C780" s="3" t="inlineStr"/>
      <c r="D780" s="3" t="inlineStr"/>
      <c r="E780" t="inlineStr"/>
      <c r="F780" t="inlineStr">
        <is>
          <t>2023</t>
        </is>
      </c>
      <c r="G780" t="inlineStr">
        <is>
          <t>new</t>
        </is>
      </c>
      <c r="H780" s="4" t="n">
        <v>400</v>
      </c>
      <c r="I780" t="inlineStr"/>
      <c r="J780" t="inlineStr">
        <is>
          <t>53909 Zülpich</t>
        </is>
      </c>
      <c r="K780" s="5" t="n">
        <v>45550</v>
      </c>
      <c r="L780" t="inlineStr">
        <is>
          <t>Sold</t>
        </is>
      </c>
      <c r="M780" s="6">
        <f>HYPERLINK("https://www.dailydose.de/kleinanzeigen/detail.htm?ai=422682&amp;cf=kk&amp;pg=5&amp;ci=5", "Link")</f>
        <v/>
      </c>
      <c r="N780" s="6">
        <f>HYPERLINK("C:\Projects\Kleinanzeigen-Scraper\offer_images\422682", "Link")</f>
        <v/>
      </c>
      <c r="O780" t="inlineStr">
        <is>
          <t>Kalle_56</t>
        </is>
      </c>
      <c r="P780" s="6">
        <f>HYPERLINK("https://www.dailydose.de/kleinanzeigen/user/13113", "Link")</f>
        <v/>
      </c>
      <c r="Q780" s="7" t="n">
        <v>45551.41381944445</v>
      </c>
      <c r="R780" s="3" t="inlineStr">
        <is>
          <t>36.28</t>
        </is>
      </c>
      <c r="S780" t="inlineStr">
        <is>
          <t>Köln</t>
        </is>
      </c>
    </row>
    <row r="781">
      <c r="A781" s="2" t="n">
        <v>4</v>
      </c>
      <c r="B781" t="inlineStr">
        <is>
          <t>Point-7 Slash</t>
        </is>
      </c>
      <c r="C781" s="3" t="inlineStr"/>
      <c r="D781" s="3" t="inlineStr"/>
      <c r="E781" t="inlineStr"/>
      <c r="F781" t="inlineStr">
        <is>
          <t>2023</t>
        </is>
      </c>
      <c r="G781" t="inlineStr">
        <is>
          <t>new</t>
        </is>
      </c>
      <c r="H781" s="4" t="n">
        <v>410</v>
      </c>
      <c r="I781" t="inlineStr"/>
      <c r="J781" t="inlineStr">
        <is>
          <t>53909 Zülpich</t>
        </is>
      </c>
      <c r="K781" s="5" t="n">
        <v>45550</v>
      </c>
      <c r="L781" t="inlineStr">
        <is>
          <t>Sold</t>
        </is>
      </c>
      <c r="M781" s="6">
        <f>HYPERLINK("https://www.dailydose.de/kleinanzeigen/detail.htm?ai=422684&amp;cf=kk&amp;pg=5&amp;ci=5", "Link")</f>
        <v/>
      </c>
      <c r="N781" s="6">
        <f>HYPERLINK("C:\Projects\Kleinanzeigen-Scraper\offer_images\422684", "Link")</f>
        <v/>
      </c>
      <c r="O781" t="inlineStr">
        <is>
          <t>Kalle_56</t>
        </is>
      </c>
      <c r="P781" s="6">
        <f>HYPERLINK("https://www.dailydose.de/kleinanzeigen/user/13113", "Link")</f>
        <v/>
      </c>
      <c r="Q781" s="7" t="n">
        <v>45551.41378472222</v>
      </c>
      <c r="R781" s="3" t="inlineStr">
        <is>
          <t>36.28</t>
        </is>
      </c>
      <c r="S781" t="inlineStr">
        <is>
          <t>Köln</t>
        </is>
      </c>
    </row>
    <row r="782">
      <c r="A782" s="2" t="n">
        <v>6.8</v>
      </c>
      <c r="B782" t="inlineStr">
        <is>
          <t>Point-7 AC-Z</t>
        </is>
      </c>
      <c r="C782" s="3" t="n">
        <v>4.3</v>
      </c>
      <c r="D782" s="3" t="inlineStr"/>
      <c r="E782" t="inlineStr"/>
      <c r="F782" t="inlineStr">
        <is>
          <t>2022</t>
        </is>
      </c>
      <c r="G782" t="inlineStr">
        <is>
          <t>new</t>
        </is>
      </c>
      <c r="H782" s="4" t="n">
        <v>480</v>
      </c>
      <c r="I782" t="inlineStr"/>
      <c r="J782" t="inlineStr">
        <is>
          <t>53909 Zülpich</t>
        </is>
      </c>
      <c r="K782" s="5" t="n">
        <v>45550</v>
      </c>
      <c r="L782" t="inlineStr">
        <is>
          <t>Sold</t>
        </is>
      </c>
      <c r="M782" s="6">
        <f>HYPERLINK("https://www.dailydose.de/kleinanzeigen/detail.htm?ai=422689&amp;cf=kk&amp;pg=5&amp;ci=5", "Link")</f>
        <v/>
      </c>
      <c r="N782" s="6">
        <f>HYPERLINK("C:\Projects\Kleinanzeigen-Scraper\offer_images\422689", "Link")</f>
        <v/>
      </c>
      <c r="O782" t="inlineStr">
        <is>
          <t>Kalle_56</t>
        </is>
      </c>
      <c r="P782" s="6">
        <f>HYPERLINK("https://www.dailydose.de/kleinanzeigen/user/13113", "Link")</f>
        <v/>
      </c>
      <c r="Q782" s="7" t="n">
        <v>45551.41363425926</v>
      </c>
      <c r="R782" s="3" t="inlineStr">
        <is>
          <t>36.28</t>
        </is>
      </c>
      <c r="S782" t="inlineStr">
        <is>
          <t>Köln</t>
        </is>
      </c>
    </row>
    <row r="783">
      <c r="A783" s="2" t="n">
        <v>3.5</v>
      </c>
      <c r="B783" t="inlineStr">
        <is>
          <t>Severne Blade</t>
        </is>
      </c>
      <c r="C783" s="3" t="inlineStr"/>
      <c r="D783" s="3" t="inlineStr"/>
      <c r="E783" t="inlineStr"/>
      <c r="F783" t="inlineStr"/>
      <c r="G783" t="inlineStr">
        <is>
          <t>used</t>
        </is>
      </c>
      <c r="H783" s="4" t="n">
        <v>180</v>
      </c>
      <c r="I783" t="inlineStr"/>
      <c r="J783" t="inlineStr">
        <is>
          <t>58540 Nordrhein-Westfalen - Meinerzhagen</t>
        </is>
      </c>
      <c r="K783" s="5" t="n">
        <v>45550</v>
      </c>
      <c r="L783" t="inlineStr">
        <is>
          <t>Sold</t>
        </is>
      </c>
      <c r="M783" s="6">
        <f>HYPERLINK("https://www.dailydose.de/kleinanzeigen/detail.htm?ai=422611&amp;cf=kk&amp;pg=2&amp;ci=5", "Link")</f>
        <v/>
      </c>
      <c r="N783" s="6">
        <f>HYPERLINK("C:\Projects\Kleinanzeigen-Scraper\offer_images\422611", "Link")</f>
        <v/>
      </c>
      <c r="O783" t="inlineStr">
        <is>
          <t>tivitac</t>
        </is>
      </c>
      <c r="P783" s="6">
        <f>HYPERLINK("https://www.dailydose.de/kleinanzeigen/user/1938", "Link")</f>
        <v/>
      </c>
      <c r="Q783" s="7" t="n">
        <v>45551.41354166667</v>
      </c>
      <c r="R783" s="3" t="inlineStr">
        <is>
          <t>56.25</t>
        </is>
      </c>
      <c r="S783" t="inlineStr">
        <is>
          <t>Köln</t>
        </is>
      </c>
    </row>
    <row r="784">
      <c r="A784" s="2" t="n">
        <v>4.8</v>
      </c>
      <c r="B784" t="inlineStr">
        <is>
          <t>Neil Pryde The Fly</t>
        </is>
      </c>
      <c r="C784" s="3" t="n">
        <v>370</v>
      </c>
      <c r="D784" s="3" t="n">
        <v>165</v>
      </c>
      <c r="E784" t="inlineStr"/>
      <c r="F784" t="inlineStr"/>
      <c r="G784" t="inlineStr">
        <is>
          <t>used</t>
        </is>
      </c>
      <c r="H784" s="4" t="n">
        <v>160</v>
      </c>
      <c r="I784" t="inlineStr"/>
      <c r="J784" t="inlineStr">
        <is>
          <t>22085 HH/Kiel/Sylt</t>
        </is>
      </c>
      <c r="K784" s="5" t="n">
        <v>45550</v>
      </c>
      <c r="L784" t="inlineStr">
        <is>
          <t>Sold</t>
        </is>
      </c>
      <c r="M784" s="6">
        <f>HYPERLINK("https://www.dailydose.de/kleinanzeigen/detail.htm?ai=422665&amp;cf=kk&amp;pg=5&amp;ci=5", "Link")</f>
        <v/>
      </c>
      <c r="N784" s="6">
        <f>HYPERLINK("C:\Projects\Kleinanzeigen-Scraper\offer_images\422665", "Link")</f>
        <v/>
      </c>
      <c r="O784" t="inlineStr">
        <is>
          <t>KrisWave</t>
        </is>
      </c>
      <c r="P784" s="6">
        <f>HYPERLINK("https://www.dailydose.de/kleinanzeigen/user/25708", "Link")</f>
        <v/>
      </c>
      <c r="Q784" s="7" t="n">
        <v>45551.41347222222</v>
      </c>
      <c r="R784" s="3" t="inlineStr">
        <is>
          <t>359.41</t>
        </is>
      </c>
      <c r="S784" t="inlineStr">
        <is>
          <t>Köln</t>
        </is>
      </c>
    </row>
    <row r="785">
      <c r="A785" s="2" t="n">
        <v>5.8</v>
      </c>
      <c r="B785" t="inlineStr">
        <is>
          <t>Neil Pryde Atlas</t>
        </is>
      </c>
      <c r="C785" s="3" t="n">
        <v>4</v>
      </c>
      <c r="D785" s="3" t="n">
        <v>1.82</v>
      </c>
      <c r="E785" t="inlineStr"/>
      <c r="F785" t="inlineStr"/>
      <c r="G785" t="inlineStr">
        <is>
          <t>used</t>
        </is>
      </c>
      <c r="H785" s="4" t="n">
        <v>110</v>
      </c>
      <c r="I785" t="inlineStr"/>
      <c r="J785" t="inlineStr">
        <is>
          <t>22085 HH/Kiel/Sylt</t>
        </is>
      </c>
      <c r="K785" s="5" t="n">
        <v>45550</v>
      </c>
      <c r="L785" t="inlineStr">
        <is>
          <t>Sold</t>
        </is>
      </c>
      <c r="M785" s="6">
        <f>HYPERLINK("https://www.dailydose.de/kleinanzeigen/detail.htm?ai=422662&amp;cf=kk&amp;pg=5&amp;ci=5", "Link")</f>
        <v/>
      </c>
      <c r="N785" s="6">
        <f>HYPERLINK("C:\Projects\Kleinanzeigen-Scraper\offer_images\422662", "Link")</f>
        <v/>
      </c>
      <c r="O785" t="inlineStr">
        <is>
          <t>KrisWave</t>
        </is>
      </c>
      <c r="P785" s="6">
        <f>HYPERLINK("https://www.dailydose.de/kleinanzeigen/user/25708", "Link")</f>
        <v/>
      </c>
      <c r="Q785" s="7" t="n">
        <v>45551.41321759259</v>
      </c>
      <c r="R785" s="3" t="inlineStr">
        <is>
          <t>359.41</t>
        </is>
      </c>
      <c r="S785" t="inlineStr">
        <is>
          <t>Köln</t>
        </is>
      </c>
    </row>
    <row r="786">
      <c r="A786" s="2" t="n">
        <v>8.6</v>
      </c>
      <c r="B786" t="inlineStr">
        <is>
          <t>Severne Race</t>
        </is>
      </c>
      <c r="C786" s="3" t="n">
        <v>490</v>
      </c>
      <c r="D786" s="3" t="n">
        <v>235</v>
      </c>
      <c r="E786" t="inlineStr"/>
      <c r="F786" t="inlineStr"/>
      <c r="G786" t="inlineStr">
        <is>
          <t>repaired</t>
        </is>
      </c>
      <c r="H786" s="4" t="n">
        <v>80</v>
      </c>
      <c r="I786" t="inlineStr"/>
      <c r="J786" t="inlineStr">
        <is>
          <t>34295 Edermünde</t>
        </is>
      </c>
      <c r="K786" s="5" t="n">
        <v>45550</v>
      </c>
      <c r="L786" t="inlineStr">
        <is>
          <t>Sold</t>
        </is>
      </c>
      <c r="M786" s="6">
        <f>HYPERLINK("https://www.dailydose.de/kleinanzeigen/detail.htm?ai=422667&amp;cf=kk&amp;pg=1&amp;ci=5", "Link")</f>
        <v/>
      </c>
      <c r="N786" s="6">
        <f>HYPERLINK("C:\Projects\Kleinanzeigen-Scraper\offer_images\422667", "Link")</f>
        <v/>
      </c>
      <c r="O786" t="inlineStr">
        <is>
          <t>Wolfgang Schierer</t>
        </is>
      </c>
      <c r="P786" s="6">
        <f>HYPERLINK("https://www.dailydose.de/kleinanzeigen/user/25346", "Link")</f>
        <v/>
      </c>
      <c r="Q786" s="7" t="n">
        <v>45551.4128587963</v>
      </c>
      <c r="R786" s="3" t="inlineStr">
        <is>
          <t>172.77</t>
        </is>
      </c>
      <c r="S786" t="inlineStr">
        <is>
          <t>Köln</t>
        </is>
      </c>
    </row>
    <row r="787">
      <c r="A787" s="2" t="n">
        <v>4</v>
      </c>
      <c r="B787" t="inlineStr">
        <is>
          <t>Severne Blade</t>
        </is>
      </c>
      <c r="C787" s="3" t="inlineStr"/>
      <c r="D787" s="3" t="inlineStr"/>
      <c r="E787" t="inlineStr"/>
      <c r="F787" t="inlineStr"/>
      <c r="G787" t="inlineStr">
        <is>
          <t>repaired</t>
        </is>
      </c>
      <c r="H787" s="4" t="n">
        <v>180</v>
      </c>
      <c r="I787" t="inlineStr"/>
      <c r="J787" t="inlineStr">
        <is>
          <t>58540 Nordrhein-Westfalen - Meinerzhagen</t>
        </is>
      </c>
      <c r="K787" s="5" t="n">
        <v>45550</v>
      </c>
      <c r="L787" t="inlineStr">
        <is>
          <t>Sold</t>
        </is>
      </c>
      <c r="M787" s="6">
        <f>HYPERLINK("https://www.dailydose.de/kleinanzeigen/detail.htm?ai=422612&amp;cf=kk&amp;pg=2&amp;ci=5", "Link")</f>
        <v/>
      </c>
      <c r="N787" s="6">
        <f>HYPERLINK("C:\Projects\Kleinanzeigen-Scraper\offer_images\422612", "Link")</f>
        <v/>
      </c>
      <c r="O787" t="inlineStr">
        <is>
          <t>tivitac</t>
        </is>
      </c>
      <c r="P787" s="6">
        <f>HYPERLINK("https://www.dailydose.de/kleinanzeigen/user/1938", "Link")</f>
        <v/>
      </c>
      <c r="Q787" s="7" t="n">
        <v>45551.41280092593</v>
      </c>
      <c r="R787" s="3" t="inlineStr">
        <is>
          <t>56.25</t>
        </is>
      </c>
      <c r="S787" t="inlineStr">
        <is>
          <t>Köln</t>
        </is>
      </c>
    </row>
    <row r="788">
      <c r="A788" s="2" t="n">
        <v>8.6</v>
      </c>
      <c r="B788" t="inlineStr">
        <is>
          <t>NeilPryde RS:Slalom MK IV</t>
        </is>
      </c>
      <c r="C788" s="3" t="n">
        <v>494</v>
      </c>
      <c r="D788" s="3" t="n">
        <v>223</v>
      </c>
      <c r="E788" t="inlineStr"/>
      <c r="F788" t="inlineStr"/>
      <c r="G788" t="inlineStr">
        <is>
          <t>used</t>
        </is>
      </c>
      <c r="H788" s="4" t="n">
        <v>260</v>
      </c>
      <c r="I788" t="inlineStr">
        <is>
          <t>VB</t>
        </is>
      </c>
      <c r="J788" t="inlineStr">
        <is>
          <t>65193 Rhein-Main</t>
        </is>
      </c>
      <c r="K788" s="5" t="n">
        <v>45550</v>
      </c>
      <c r="L788" t="inlineStr">
        <is>
          <t>Sold</t>
        </is>
      </c>
      <c r="M788" s="6">
        <f>HYPERLINK("https://www.dailydose.de/kleinanzeigen/detail.htm?ai=422681&amp;cf=kk&amp;pg=5&amp;ci=5", "Link")</f>
        <v/>
      </c>
      <c r="N788" s="6">
        <f>HYPERLINK("C:\Projects\Kleinanzeigen-Scraper\offer_images\422681", "Link")</f>
        <v/>
      </c>
      <c r="O788" t="inlineStr">
        <is>
          <t>Chris_122</t>
        </is>
      </c>
      <c r="P788" s="6">
        <f>HYPERLINK("https://www.dailydose.de/kleinanzeigen/user/15032", "Link")</f>
        <v/>
      </c>
      <c r="Q788" s="7" t="n">
        <v>45551.41274305555</v>
      </c>
      <c r="R788" s="3" t="inlineStr">
        <is>
          <t>121.83</t>
        </is>
      </c>
      <c r="S788" t="inlineStr">
        <is>
          <t>Karlsruhe</t>
        </is>
      </c>
    </row>
    <row r="789">
      <c r="A789" s="2" t="n">
        <v>3.7</v>
      </c>
      <c r="B789" t="inlineStr">
        <is>
          <t>Goya Banzai X Pro</t>
        </is>
      </c>
      <c r="C789" s="3" t="inlineStr"/>
      <c r="D789" s="3" t="inlineStr"/>
      <c r="E789" t="inlineStr"/>
      <c r="F789" t="inlineStr">
        <is>
          <t>21</t>
        </is>
      </c>
      <c r="G789" t="inlineStr">
        <is>
          <t>new</t>
        </is>
      </c>
      <c r="H789" s="4" t="n">
        <v>380</v>
      </c>
      <c r="I789" t="inlineStr"/>
      <c r="J789" t="inlineStr">
        <is>
          <t>22307 Hamburg</t>
        </is>
      </c>
      <c r="K789" s="5" t="n">
        <v>45550</v>
      </c>
      <c r="L789" t="inlineStr">
        <is>
          <t>Sold</t>
        </is>
      </c>
      <c r="M789" s="6">
        <f>HYPERLINK("https://www.dailydose.de/kleinanzeigen/detail.htm?ai=422633&amp;cf=kk&amp;pg=5&amp;ci=5", "Link")</f>
        <v/>
      </c>
      <c r="N789" s="6">
        <f>HYPERLINK("C:\Projects\Kleinanzeigen-Scraper\offer_images\422633", "Link")</f>
        <v/>
      </c>
      <c r="O789" t="inlineStr">
        <is>
          <t>henning.rothfuss</t>
        </is>
      </c>
      <c r="P789" s="6">
        <f>HYPERLINK("https://www.dailydose.de/kleinanzeigen/user/180", "Link")</f>
        <v/>
      </c>
      <c r="Q789" s="7" t="n">
        <v>45551.41232638889</v>
      </c>
      <c r="R789" s="3" t="inlineStr">
        <is>
          <t>362.75</t>
        </is>
      </c>
      <c r="S789" t="inlineStr">
        <is>
          <t>Köln</t>
        </is>
      </c>
    </row>
    <row r="790">
      <c r="A790" s="2" t="n">
        <v>4.2</v>
      </c>
      <c r="B790" t="inlineStr">
        <is>
          <t>Goya Banzai X Pro</t>
        </is>
      </c>
      <c r="C790" s="3" t="inlineStr"/>
      <c r="D790" s="3" t="inlineStr"/>
      <c r="E790" t="inlineStr"/>
      <c r="F790" t="inlineStr">
        <is>
          <t>22/23</t>
        </is>
      </c>
      <c r="G790" t="inlineStr">
        <is>
          <t>used</t>
        </is>
      </c>
      <c r="H790" s="4" t="n">
        <v>430</v>
      </c>
      <c r="I790" t="inlineStr"/>
      <c r="J790" t="inlineStr">
        <is>
          <t>22307 Hamburg</t>
        </is>
      </c>
      <c r="K790" s="5" t="n">
        <v>45550</v>
      </c>
      <c r="L790" t="inlineStr">
        <is>
          <t>Sold</t>
        </is>
      </c>
      <c r="M790" s="6">
        <f>HYPERLINK("https://www.dailydose.de/kleinanzeigen/detail.htm?ai=422637&amp;cf=kk&amp;pg=5&amp;ci=5", "Link")</f>
        <v/>
      </c>
      <c r="N790" s="6">
        <f>HYPERLINK("C:\Projects\Kleinanzeigen-Scraper\offer_images\422637", "Link")</f>
        <v/>
      </c>
      <c r="O790" t="inlineStr">
        <is>
          <t>henning.rothfuss</t>
        </is>
      </c>
      <c r="P790" s="6">
        <f>HYPERLINK("https://www.dailydose.de/kleinanzeigen/user/180", "Link")</f>
        <v/>
      </c>
      <c r="Q790" s="7" t="n">
        <v>45551.41209490741</v>
      </c>
      <c r="R790" s="3" t="inlineStr">
        <is>
          <t>362.75</t>
        </is>
      </c>
      <c r="S790" t="inlineStr">
        <is>
          <t>Köln</t>
        </is>
      </c>
    </row>
    <row r="791">
      <c r="A791" s="2" t="n">
        <v>7.8</v>
      </c>
      <c r="B791" t="inlineStr">
        <is>
          <t>Point-7 AC-Z</t>
        </is>
      </c>
      <c r="C791" s="3" t="n">
        <v>4.2</v>
      </c>
      <c r="D791" s="3" t="inlineStr"/>
      <c r="E791" t="inlineStr"/>
      <c r="F791" t="inlineStr">
        <is>
          <t>2022</t>
        </is>
      </c>
      <c r="G791" t="inlineStr">
        <is>
          <t>new</t>
        </is>
      </c>
      <c r="H791" s="4" t="n">
        <v>500</v>
      </c>
      <c r="I791" t="inlineStr"/>
      <c r="J791" t="inlineStr">
        <is>
          <t>53909 Zülpich</t>
        </is>
      </c>
      <c r="K791" s="5" t="n">
        <v>45550</v>
      </c>
      <c r="L791" t="inlineStr">
        <is>
          <t>Sold</t>
        </is>
      </c>
      <c r="M791" s="6">
        <f>HYPERLINK("https://www.dailydose.de/kleinanzeigen/detail.htm?ai=422690&amp;cf=kk&amp;pg=5&amp;ci=5", "Link")</f>
        <v/>
      </c>
      <c r="N791" s="6">
        <f>HYPERLINK("C:\Projects\Kleinanzeigen-Scraper\offer_images\422690", "Link")</f>
        <v/>
      </c>
      <c r="O791" t="inlineStr">
        <is>
          <t>Kalle_56</t>
        </is>
      </c>
      <c r="P791" s="6">
        <f>HYPERLINK("https://www.dailydose.de/kleinanzeigen/user/13113", "Link")</f>
        <v/>
      </c>
      <c r="Q791" s="7" t="n">
        <v>45551.41196759259</v>
      </c>
      <c r="R791" s="3" t="inlineStr">
        <is>
          <t>36.28</t>
        </is>
      </c>
      <c r="S791" t="inlineStr">
        <is>
          <t>Köln</t>
        </is>
      </c>
    </row>
    <row r="792">
      <c r="A792" s="2" t="n">
        <v>4.4</v>
      </c>
      <c r="B792" t="inlineStr">
        <is>
          <t>Point-7 Slash</t>
        </is>
      </c>
      <c r="C792" s="3" t="inlineStr"/>
      <c r="D792" s="3" t="inlineStr"/>
      <c r="E792" t="inlineStr"/>
      <c r="F792" t="inlineStr">
        <is>
          <t>2023</t>
        </is>
      </c>
      <c r="G792" t="inlineStr">
        <is>
          <t>new</t>
        </is>
      </c>
      <c r="H792" s="4" t="n">
        <v>420</v>
      </c>
      <c r="I792" t="inlineStr"/>
      <c r="J792" t="inlineStr">
        <is>
          <t>53909 Zülpich</t>
        </is>
      </c>
      <c r="K792" s="5" t="n">
        <v>45550</v>
      </c>
      <c r="L792" t="inlineStr">
        <is>
          <t>Sold</t>
        </is>
      </c>
      <c r="M792" s="6">
        <f>HYPERLINK("https://www.dailydose.de/kleinanzeigen/detail.htm?ai=422685&amp;cf=kk&amp;pg=5&amp;ci=5", "Link")</f>
        <v/>
      </c>
      <c r="N792" s="6">
        <f>HYPERLINK("C:\Projects\Kleinanzeigen-Scraper\offer_images\422685", "Link")</f>
        <v/>
      </c>
      <c r="O792" t="inlineStr">
        <is>
          <t>Kalle_56</t>
        </is>
      </c>
      <c r="P792" s="6">
        <f>HYPERLINK("https://www.dailydose.de/kleinanzeigen/user/13113", "Link")</f>
        <v/>
      </c>
      <c r="Q792" s="7" t="n">
        <v>45551.411875</v>
      </c>
      <c r="R792" s="3" t="inlineStr">
        <is>
          <t>36.28</t>
        </is>
      </c>
      <c r="S792" t="inlineStr">
        <is>
          <t>Köln</t>
        </is>
      </c>
    </row>
    <row r="793">
      <c r="A793" s="2" t="n">
        <v>7.8</v>
      </c>
      <c r="B793" t="inlineStr">
        <is>
          <t>NeilPryde RS:Racing Evo 7</t>
        </is>
      </c>
      <c r="C793" s="3" t="n">
        <v>492</v>
      </c>
      <c r="D793" s="3" t="n">
        <v>217</v>
      </c>
      <c r="E793" t="inlineStr">
        <is>
          <t>Race-Slalom</t>
        </is>
      </c>
      <c r="F793" t="inlineStr"/>
      <c r="G793" t="inlineStr">
        <is>
          <t>used</t>
        </is>
      </c>
      <c r="H793" s="4" t="n">
        <v>250</v>
      </c>
      <c r="I793" t="inlineStr">
        <is>
          <t>VB</t>
        </is>
      </c>
      <c r="J793" t="inlineStr">
        <is>
          <t>65193 Rhein-Main</t>
        </is>
      </c>
      <c r="K793" s="5" t="n">
        <v>45550</v>
      </c>
      <c r="L793" t="inlineStr">
        <is>
          <t>Sold</t>
        </is>
      </c>
      <c r="M793" s="6">
        <f>HYPERLINK("https://www.dailydose.de/kleinanzeigen/detail.htm?ai=422691&amp;cf=kk&amp;pg=5&amp;ci=5", "Link")</f>
        <v/>
      </c>
      <c r="N793" s="6">
        <f>HYPERLINK("C:\Projects\Kleinanzeigen-Scraper\offer_images\422691", "Link")</f>
        <v/>
      </c>
      <c r="O793" t="inlineStr">
        <is>
          <t>Chris_122</t>
        </is>
      </c>
      <c r="P793" s="6">
        <f>HYPERLINK("https://www.dailydose.de/kleinanzeigen/user/15032", "Link")</f>
        <v/>
      </c>
      <c r="Q793" s="7" t="n">
        <v>45551.41184027777</v>
      </c>
      <c r="R793" s="3" t="inlineStr">
        <is>
          <t>121.83</t>
        </is>
      </c>
      <c r="S793" t="inlineStr">
        <is>
          <t>Karlsruhe</t>
        </is>
      </c>
    </row>
    <row r="794">
      <c r="A794" s="2" t="n">
        <v>5.9</v>
      </c>
      <c r="B794" t="inlineStr">
        <is>
          <t>Pacific</t>
        </is>
      </c>
      <c r="C794" s="3" t="n">
        <v>430</v>
      </c>
      <c r="D794" s="3" t="n">
        <v>185</v>
      </c>
      <c r="E794" t="inlineStr"/>
      <c r="F794" t="inlineStr"/>
      <c r="G794" t="inlineStr">
        <is>
          <t>used</t>
        </is>
      </c>
      <c r="H794" s="4" t="n">
        <v>50</v>
      </c>
      <c r="I794" t="inlineStr">
        <is>
          <t>VB</t>
        </is>
      </c>
      <c r="J794" t="inlineStr">
        <is>
          <t>37574 Niedersachsen - Einbeck</t>
        </is>
      </c>
      <c r="K794" s="5" t="n">
        <v>45550</v>
      </c>
      <c r="L794" t="inlineStr">
        <is>
          <t>Sold</t>
        </is>
      </c>
      <c r="M794" s="6">
        <f>HYPERLINK("https://www.kleinanzeigen.de/s-anzeige/windsurf-segel-pacific-5-9-qm/2864485122-230-2842", "Link")</f>
        <v/>
      </c>
      <c r="N794" s="6">
        <f>HYPERLINK("C:\Projects\Kleinanzeigen-Scraper\offer_images\2864485122", "Link")</f>
        <v/>
      </c>
      <c r="O794" t="inlineStr">
        <is>
          <t>M. Fischer</t>
        </is>
      </c>
      <c r="P794" s="6">
        <f>HYPERLINK("https://www.kleinanzeigen.de/s-bestandsliste.html?userId=4803195", "Link")</f>
        <v/>
      </c>
      <c r="Q794" s="7" t="n">
        <v>45551.41148148148</v>
      </c>
      <c r="R794" s="3" t="inlineStr">
        <is>
          <t>226.22</t>
        </is>
      </c>
      <c r="S794" t="inlineStr">
        <is>
          <t>Köln</t>
        </is>
      </c>
    </row>
    <row r="795">
      <c r="A795" s="2" t="n">
        <v>5.5</v>
      </c>
      <c r="B795" t="inlineStr">
        <is>
          <t>Duotone Unit D Lab</t>
        </is>
      </c>
      <c r="C795" s="3" t="inlineStr"/>
      <c r="D795" s="3" t="inlineStr"/>
      <c r="E795" t="inlineStr"/>
      <c r="F795" t="inlineStr">
        <is>
          <t>2024</t>
        </is>
      </c>
      <c r="G795" t="inlineStr">
        <is>
          <t>new</t>
        </is>
      </c>
      <c r="H795" s="4" t="n">
        <v>1.15</v>
      </c>
      <c r="I795" t="inlineStr"/>
      <c r="J795" t="inlineStr">
        <is>
          <t>82449 Bayern - Uffing</t>
        </is>
      </c>
      <c r="K795" s="5" t="n">
        <v>45550</v>
      </c>
      <c r="L795" t="inlineStr">
        <is>
          <t>Sold</t>
        </is>
      </c>
      <c r="M795" s="6">
        <f>HYPERLINK("https://www.kleinanzeigen.de/s-anzeige/duotone-unit-d-lab-5-5-2024/2864098098-230-5553", "Link")</f>
        <v/>
      </c>
      <c r="N795" s="6">
        <f>HYPERLINK("C:\Projects\Kleinanzeigen-Scraper\offer_images\2864098098", "Link")</f>
        <v/>
      </c>
      <c r="O795" t="inlineStr">
        <is>
          <t>Bert Lammel</t>
        </is>
      </c>
      <c r="P795" s="6">
        <f>HYPERLINK("https://www.kleinanzeigen.de/s-bestandsliste.html?userId=11036507", "Link")</f>
        <v/>
      </c>
      <c r="Q795" s="7" t="n">
        <v>45551.41145833334</v>
      </c>
      <c r="R795" s="3" t="inlineStr">
        <is>
          <t>58.83</t>
        </is>
      </c>
      <c r="S795" t="inlineStr">
        <is>
          <t>München</t>
        </is>
      </c>
    </row>
    <row r="796">
      <c r="A796" s="2" t="n">
        <v>6</v>
      </c>
      <c r="B796" t="inlineStr">
        <is>
          <t>TEN CATE</t>
        </is>
      </c>
      <c r="C796" s="3" t="n">
        <v>4.26</v>
      </c>
      <c r="D796" s="3" t="n">
        <v>2.5</v>
      </c>
      <c r="E796" t="inlineStr"/>
      <c r="F796" t="inlineStr">
        <is>
          <t>1980s</t>
        </is>
      </c>
      <c r="G796" t="inlineStr">
        <is>
          <t>used</t>
        </is>
      </c>
      <c r="H796" s="4" t="n">
        <v>109</v>
      </c>
      <c r="I796" t="inlineStr">
        <is>
          <t>VB</t>
        </is>
      </c>
      <c r="J796" t="inlineStr">
        <is>
          <t>37124 Niedersachsen - Rosdorf</t>
        </is>
      </c>
      <c r="K796" s="5" t="n">
        <v>45549</v>
      </c>
      <c r="L796" t="inlineStr">
        <is>
          <t>Sold</t>
        </is>
      </c>
      <c r="M796" s="6">
        <f>HYPERLINK("https://www.kleinanzeigen.de/s-anzeige/vintage-ten-cate-windsurf-segel-6qm-gb-2-5-m-vl-4-26-1199-/2737463960-230-3133", "Link")</f>
        <v/>
      </c>
      <c r="N796" s="6">
        <f>HYPERLINK("C:\Projects\Kleinanzeigen-Scraper\offer_images\2737463960", "Link")</f>
        <v/>
      </c>
      <c r="O796" t="inlineStr">
        <is>
          <t>No user name</t>
        </is>
      </c>
      <c r="P796" s="6">
        <f>HYPERLINK("https://www.kleinanzeigen.deNo user link", "Link")</f>
        <v/>
      </c>
      <c r="Q796" s="7" t="n">
        <v>45551.41135416667</v>
      </c>
      <c r="R796" s="3" t="inlineStr">
        <is>
          <t>214.72</t>
        </is>
      </c>
      <c r="S796" t="inlineStr">
        <is>
          <t>Köln</t>
        </is>
      </c>
    </row>
    <row r="797">
      <c r="A797" s="2" t="n">
        <v>7.5</v>
      </c>
      <c r="B797" t="inlineStr">
        <is>
          <t>North Fun Lite</t>
        </is>
      </c>
      <c r="C797" s="3" t="inlineStr"/>
      <c r="D797" s="3" t="inlineStr"/>
      <c r="E797" t="inlineStr"/>
      <c r="F797" t="inlineStr"/>
      <c r="G797" t="inlineStr">
        <is>
          <t>used</t>
        </is>
      </c>
      <c r="H797" s="4" t="n">
        <v>40</v>
      </c>
      <c r="I797" t="inlineStr"/>
      <c r="J797" t="inlineStr">
        <is>
          <t>41564 Nordrhein-Westfalen - Kaarst</t>
        </is>
      </c>
      <c r="K797" s="5" t="n">
        <v>45550</v>
      </c>
      <c r="L797" t="inlineStr"/>
      <c r="M797" s="6">
        <f>HYPERLINK("https://www.kleinanzeigen.de/s-anzeige/north-windsurf-segel-fun-lite-7-5/2864783921-230-2107", "Link")</f>
        <v/>
      </c>
      <c r="N797" s="6">
        <f>HYPERLINK("C:\Projects\Kleinanzeigen-Scraper\offer_images\2864783921", "Link")</f>
        <v/>
      </c>
      <c r="O797" t="inlineStr">
        <is>
          <t>Hans-Jürgen</t>
        </is>
      </c>
      <c r="P797" s="6">
        <f>HYPERLINK("https://www.kleinanzeigen.de/s-bestandsliste.html?userId=67801432", "Link")</f>
        <v/>
      </c>
      <c r="Q797" s="7" t="n">
        <v>45551.41133101852</v>
      </c>
      <c r="R797" s="3" t="inlineStr">
        <is>
          <t>39.22</t>
        </is>
      </c>
      <c r="S797" t="inlineStr">
        <is>
          <t>Köln</t>
        </is>
      </c>
    </row>
    <row r="798">
      <c r="A798" s="2" t="n">
        <v>5</v>
      </c>
      <c r="B798" t="inlineStr">
        <is>
          <t>Duotone Unit D-Lab</t>
        </is>
      </c>
      <c r="C798" s="3" t="inlineStr"/>
      <c r="D798" s="3" t="inlineStr"/>
      <c r="E798" t="inlineStr"/>
      <c r="F798" t="inlineStr">
        <is>
          <t>2024</t>
        </is>
      </c>
      <c r="G798" t="inlineStr">
        <is>
          <t>new</t>
        </is>
      </c>
      <c r="H798" s="4" t="n">
        <v>1.19</v>
      </c>
      <c r="I798" t="inlineStr">
        <is>
          <t>VB</t>
        </is>
      </c>
      <c r="J798" t="inlineStr">
        <is>
          <t>87561 Bayern - Oberstdorf</t>
        </is>
      </c>
      <c r="K798" s="5" t="n">
        <v>45550</v>
      </c>
      <c r="L798" t="inlineStr">
        <is>
          <t>Sold</t>
        </is>
      </c>
      <c r="M798" s="6">
        <f>HYPERLINK("https://www.kleinanzeigen.de/s-anzeige/duotone-unit-5-0-d-lab-2024-np-2200-/2864820292-230-5529", "Link")</f>
        <v/>
      </c>
      <c r="N798" s="6">
        <f>HYPERLINK("C:\Projects\Kleinanzeigen-Scraper\offer_images\2864820292", "Link")</f>
        <v/>
      </c>
      <c r="O798" t="inlineStr">
        <is>
          <t>Michael</t>
        </is>
      </c>
      <c r="P798" s="6">
        <f>HYPERLINK("https://www.kleinanzeigen.de/s-bestandsliste.html?userId=22551579", "Link")</f>
        <v/>
      </c>
      <c r="Q798" s="7" t="n">
        <v>45551.4108912037</v>
      </c>
      <c r="R798" s="3" t="inlineStr">
        <is>
          <t>128.77</t>
        </is>
      </c>
      <c r="S798" t="inlineStr">
        <is>
          <t>München</t>
        </is>
      </c>
    </row>
    <row r="799">
      <c r="A799" s="2" t="n">
        <v>6.6</v>
      </c>
      <c r="B799" t="inlineStr">
        <is>
          <t>Sailloft Ultimate</t>
        </is>
      </c>
      <c r="C799" s="3" t="n">
        <v>430</v>
      </c>
      <c r="D799" s="3" t="inlineStr"/>
      <c r="E799" t="inlineStr"/>
      <c r="F799" t="inlineStr">
        <is>
          <t>2023</t>
        </is>
      </c>
      <c r="G799" t="inlineStr">
        <is>
          <t>repaired</t>
        </is>
      </c>
      <c r="H799" s="4" t="n">
        <v>280</v>
      </c>
      <c r="I799" t="inlineStr"/>
      <c r="J799" t="inlineStr">
        <is>
          <t>10115 Berlin - Mitte</t>
        </is>
      </c>
      <c r="K799" s="5" t="n">
        <v>45188</v>
      </c>
      <c r="L799" t="inlineStr"/>
      <c r="M799" s="6">
        <f>HYPERLINK("https://www.kleinanzeigen.de/s-anzeige/sailloft-segel-ultimate-6-6-2023/2550069176-230-9668", "Link")</f>
        <v/>
      </c>
      <c r="N799" s="6">
        <f>HYPERLINK("C:\Projects\Kleinanzeigen-Scraper\offer_images\2550069176", "Link")</f>
        <v/>
      </c>
      <c r="O799" t="inlineStr">
        <is>
          <t>Pelle Bo Behrendt</t>
        </is>
      </c>
      <c r="P799" s="6">
        <f>HYPERLINK("https://www.kleinanzeigen.de/s-bestandsliste.html?userId=122741826", "Link")</f>
        <v/>
      </c>
      <c r="Q799" s="7" t="n">
        <v>45551.4108449074</v>
      </c>
      <c r="R799" s="3" t="inlineStr">
        <is>
          <t>476.33</t>
        </is>
      </c>
      <c r="S799" t="inlineStr">
        <is>
          <t>Köln</t>
        </is>
      </c>
    </row>
    <row r="800">
      <c r="A800" s="2" t="n">
        <v>5.9</v>
      </c>
      <c r="B800" t="inlineStr">
        <is>
          <t>Severne</t>
        </is>
      </c>
      <c r="C800" s="3" t="n">
        <v>430</v>
      </c>
      <c r="D800" s="3" t="n">
        <v>181</v>
      </c>
      <c r="E800" t="inlineStr"/>
      <c r="F800" t="inlineStr"/>
      <c r="G800" t="inlineStr">
        <is>
          <t>used</t>
        </is>
      </c>
      <c r="H800" s="4" t="n">
        <v>60</v>
      </c>
      <c r="I800" t="inlineStr">
        <is>
          <t>VB</t>
        </is>
      </c>
      <c r="J800" t="inlineStr">
        <is>
          <t>86971 Bayern - Peiting</t>
        </is>
      </c>
      <c r="K800" s="5" t="n">
        <v>45394</v>
      </c>
      <c r="L800" t="inlineStr">
        <is>
          <t>Sold</t>
        </is>
      </c>
      <c r="M800" s="6">
        <f>HYPERLINK("https://www.kleinanzeigen.de/s-anzeige/windsurfsegel-severne-5-9/2732615243-230-5561", "Link")</f>
        <v/>
      </c>
      <c r="N800" s="6">
        <f>HYPERLINK("C:\Projects\Kleinanzeigen-Scraper\offer_images\2732615243", "Link")</f>
        <v/>
      </c>
      <c r="O800" t="inlineStr">
        <is>
          <t>flo</t>
        </is>
      </c>
      <c r="P800" s="6">
        <f>HYPERLINK("https://www.kleinanzeigen.de/s-bestandsliste.html?userId=7617148", "Link")</f>
        <v/>
      </c>
      <c r="Q800" s="7" t="n">
        <v>45551.41060185185</v>
      </c>
      <c r="R800" s="3" t="inlineStr">
        <is>
          <t>61.76</t>
        </is>
      </c>
      <c r="S800" t="inlineStr">
        <is>
          <t>München</t>
        </is>
      </c>
    </row>
    <row r="801">
      <c r="A801" s="2" t="n">
        <v>8.4</v>
      </c>
      <c r="B801" t="inlineStr">
        <is>
          <t>North Sails S Type</t>
        </is>
      </c>
      <c r="C801" s="3" t="inlineStr"/>
      <c r="D801" s="3" t="inlineStr"/>
      <c r="E801" t="inlineStr">
        <is>
          <t>Slalom</t>
        </is>
      </c>
      <c r="F801" t="inlineStr"/>
      <c r="G801" t="inlineStr">
        <is>
          <t>used</t>
        </is>
      </c>
      <c r="H801" s="4" t="n">
        <v>190</v>
      </c>
      <c r="I801" t="inlineStr">
        <is>
          <t>VB</t>
        </is>
      </c>
      <c r="J801" t="inlineStr">
        <is>
          <t>23769 Kreis Ostholstein - Fehmarn</t>
        </is>
      </c>
      <c r="K801" s="5" t="n">
        <v>45541</v>
      </c>
      <c r="L801" t="inlineStr">
        <is>
          <t>Sold</t>
        </is>
      </c>
      <c r="M801" s="6">
        <f>HYPERLINK("https://www.kleinanzeigen.de/s-anzeige/north-sails-s-type-8-4-windsurfsegel-tausch-moeglich/2855632367-230-19951", "Link")</f>
        <v/>
      </c>
      <c r="N801" s="6">
        <f>HYPERLINK("C:\Projects\Kleinanzeigen-Scraper\offer_images\2855632367", "Link")</f>
        <v/>
      </c>
      <c r="O801" t="inlineStr">
        <is>
          <t>Mika Dahmen</t>
        </is>
      </c>
      <c r="P801" s="6">
        <f>HYPERLINK("https://www.kleinanzeigen.de/s-bestandsliste.html?userId=58464745", "Link")</f>
        <v/>
      </c>
      <c r="Q801" s="7" t="n">
        <v>45551.4105787037</v>
      </c>
      <c r="R801" s="3" t="inlineStr">
        <is>
          <t>483.01</t>
        </is>
      </c>
      <c r="S801" t="inlineStr">
        <is>
          <t>Köln</t>
        </is>
      </c>
    </row>
    <row r="802">
      <c r="A802" s="2" t="n">
        <v>5.8</v>
      </c>
      <c r="B802" t="inlineStr">
        <is>
          <t>Duotone E_Pace</t>
        </is>
      </c>
      <c r="C802" s="3" t="inlineStr"/>
      <c r="D802" s="3" t="n">
        <v>183</v>
      </c>
      <c r="E802" t="inlineStr"/>
      <c r="F802" t="inlineStr">
        <is>
          <t>2021</t>
        </is>
      </c>
      <c r="G802" t="inlineStr">
        <is>
          <t>new</t>
        </is>
      </c>
      <c r="H802" s="4" t="n">
        <v>375</v>
      </c>
      <c r="I802" t="inlineStr">
        <is>
          <t>VB</t>
        </is>
      </c>
      <c r="J802" t="inlineStr">
        <is>
          <t>24103 Kiel - Mitte</t>
        </is>
      </c>
      <c r="K802" s="5" t="n">
        <v>45550</v>
      </c>
      <c r="L802" t="inlineStr">
        <is>
          <t>Sold</t>
        </is>
      </c>
      <c r="M802" s="6">
        <f>HYPERLINK("https://www.kleinanzeigen.de/s-anzeige/duotone-windsurfsegel-2021-e-pace-5-8qm/2864839879-230-710", "Link")</f>
        <v/>
      </c>
      <c r="N802" s="6">
        <f>HYPERLINK("C:\Projects\Kleinanzeigen-Scraper\offer_images\2864839879", "Link")</f>
        <v/>
      </c>
      <c r="O802" t="inlineStr">
        <is>
          <t>Pascal</t>
        </is>
      </c>
      <c r="P802" s="6">
        <f>HYPERLINK("https://www.kleinanzeigen.de/s-bestandsliste.html?userId=40838098", "Link")</f>
        <v/>
      </c>
      <c r="Q802" s="7" t="n">
        <v>45551.41052083333</v>
      </c>
      <c r="R802" s="3" t="inlineStr">
        <is>
          <t>433.13</t>
        </is>
      </c>
      <c r="S802" t="inlineStr">
        <is>
          <t>Köln</t>
        </is>
      </c>
    </row>
    <row r="803">
      <c r="A803" s="2" t="n">
        <v>4.2</v>
      </c>
      <c r="B803" t="inlineStr">
        <is>
          <t>North Hero</t>
        </is>
      </c>
      <c r="C803" s="3" t="inlineStr"/>
      <c r="D803" s="3" t="inlineStr"/>
      <c r="E803" t="inlineStr"/>
      <c r="F803" t="inlineStr">
        <is>
          <t>2015</t>
        </is>
      </c>
      <c r="G803" t="inlineStr">
        <is>
          <t>used</t>
        </is>
      </c>
      <c r="H803" s="4" t="n">
        <v>110</v>
      </c>
      <c r="I803" t="inlineStr">
        <is>
          <t>VB</t>
        </is>
      </c>
      <c r="J803" t="inlineStr">
        <is>
          <t>45473 Nordrhein-Westfalen - Mülheim (Ruhr)</t>
        </is>
      </c>
      <c r="K803" s="5" t="n">
        <v>45550</v>
      </c>
      <c r="L803" t="inlineStr">
        <is>
          <t>Sold</t>
        </is>
      </c>
      <c r="M803" s="6">
        <f>HYPERLINK("https://www.kleinanzeigen.de/s-anzeige/north-hero-4-2-jetzt-duotone-/2864026742-230-2062", "Link")</f>
        <v/>
      </c>
      <c r="N803" s="6">
        <f>HYPERLINK("C:\Projects\Kleinanzeigen-Scraper\offer_images\2864026742", "Link")</f>
        <v/>
      </c>
      <c r="O803" t="inlineStr">
        <is>
          <t>Benedict</t>
        </is>
      </c>
      <c r="P803" s="6">
        <f>HYPERLINK("https://www.kleinanzeigen.de/s-bestandsliste.html?userId=13040713", "Link")</f>
        <v/>
      </c>
      <c r="Q803" s="7" t="n">
        <v>45551.41048611111</v>
      </c>
      <c r="R803" s="3" t="inlineStr">
        <is>
          <t>56.15</t>
        </is>
      </c>
      <c r="S803" t="inlineStr">
        <is>
          <t>Köln</t>
        </is>
      </c>
    </row>
    <row r="804">
      <c r="A804" s="2" t="n">
        <v>4.5</v>
      </c>
      <c r="B804" t="inlineStr">
        <is>
          <t>Duotone Super Hero</t>
        </is>
      </c>
      <c r="C804" s="3" t="inlineStr"/>
      <c r="D804" s="3" t="inlineStr"/>
      <c r="E804" t="inlineStr"/>
      <c r="F804" t="inlineStr">
        <is>
          <t>2024</t>
        </is>
      </c>
      <c r="G804" t="inlineStr">
        <is>
          <t>repaired</t>
        </is>
      </c>
      <c r="H804" s="4" t="n">
        <v>399</v>
      </c>
      <c r="I804" t="inlineStr"/>
      <c r="J804" t="inlineStr">
        <is>
          <t>22397 Wandsbek - Hamburg Duvenstedt</t>
        </is>
      </c>
      <c r="K804" s="5" t="n">
        <v>45550</v>
      </c>
      <c r="L804" t="inlineStr">
        <is>
          <t>Sold</t>
        </is>
      </c>
      <c r="M804" s="6">
        <f>HYPERLINK("https://www.kleinanzeigen.de/s-anzeige/duotone-super-hero-4-5-aus-2024/2864895732-230-9473", "Link")</f>
        <v/>
      </c>
      <c r="N804" s="6">
        <f>HYPERLINK("C:\Projects\Kleinanzeigen-Scraper\offer_images\2864895732", "Link")</f>
        <v/>
      </c>
      <c r="O804" t="inlineStr">
        <is>
          <t>Jan-Peter Hintze</t>
        </is>
      </c>
      <c r="P804" s="6">
        <f>HYPERLINK("https://www.kleinanzeigen.de/s-bestandsliste.html?userId=4860716", "Link")</f>
        <v/>
      </c>
      <c r="Q804" s="7" t="n">
        <v>45551.4103125</v>
      </c>
      <c r="R804" s="3" t="inlineStr">
        <is>
          <t>373.25</t>
        </is>
      </c>
      <c r="S804" t="inlineStr">
        <is>
          <t>Köln</t>
        </is>
      </c>
    </row>
    <row r="805">
      <c r="A805" s="2" t="n">
        <v>7</v>
      </c>
      <c r="B805" t="inlineStr">
        <is>
          <t>NeilPryde RS:Racing Evo 8</t>
        </is>
      </c>
      <c r="C805" s="3" t="n">
        <v>471</v>
      </c>
      <c r="D805" s="3" t="inlineStr">
        <is>
          <t>196-201</t>
        </is>
      </c>
      <c r="E805" t="inlineStr"/>
      <c r="F805" t="inlineStr"/>
      <c r="G805" t="inlineStr">
        <is>
          <t>used</t>
        </is>
      </c>
      <c r="H805" s="4" t="n">
        <v>290</v>
      </c>
      <c r="I805" t="inlineStr">
        <is>
          <t>VB</t>
        </is>
      </c>
      <c r="J805" t="inlineStr">
        <is>
          <t>65193 Hessen - Wiesbaden</t>
        </is>
      </c>
      <c r="K805" s="5" t="n">
        <v>45550</v>
      </c>
      <c r="L805" t="inlineStr"/>
      <c r="M805" s="6">
        <f>HYPERLINK("https://www.kleinanzeigen.de/s-anzeige/neilpryde-rs-racing-evo-8-7-0-m-windsurf-segel/2864941719-230-4909", "Link")</f>
        <v/>
      </c>
      <c r="N805" s="6">
        <f>HYPERLINK("C:\Projects\Kleinanzeigen-Scraper\offer_images\2864941719", "Link")</f>
        <v/>
      </c>
      <c r="O805" t="inlineStr">
        <is>
          <t>Chris</t>
        </is>
      </c>
      <c r="P805" s="6">
        <f>HYPERLINK("https://www.kleinanzeigen.de/s-bestandsliste.html?userId=84691925", "Link")</f>
        <v/>
      </c>
      <c r="Q805" s="7" t="n">
        <v>45551.4102662037</v>
      </c>
      <c r="R805" s="3" t="inlineStr">
        <is>
          <t>121.83</t>
        </is>
      </c>
      <c r="S805" t="inlineStr">
        <is>
          <t>Karlsruhe</t>
        </is>
      </c>
    </row>
    <row r="806">
      <c r="A806" s="2" t="n">
        <v>6.9</v>
      </c>
      <c r="B806" t="inlineStr">
        <is>
          <t>North Volt HD</t>
        </is>
      </c>
      <c r="C806" s="3" t="inlineStr"/>
      <c r="D806" s="3" t="inlineStr"/>
      <c r="E806" t="inlineStr"/>
      <c r="F806" t="inlineStr">
        <is>
          <t>2021</t>
        </is>
      </c>
      <c r="G806" t="inlineStr">
        <is>
          <t>used</t>
        </is>
      </c>
      <c r="H806" s="4" t="n">
        <v>250</v>
      </c>
      <c r="I806" t="inlineStr">
        <is>
          <t>VB</t>
        </is>
      </c>
      <c r="J806" t="inlineStr">
        <is>
          <t>45473 Nordrhein-Westfalen - Mülheim (Ruhr)</t>
        </is>
      </c>
      <c r="K806" s="5" t="n">
        <v>45550</v>
      </c>
      <c r="L806" t="inlineStr">
        <is>
          <t>Sold</t>
        </is>
      </c>
      <c r="M806" s="6">
        <f>HYPERLINK("https://www.kleinanzeigen.de/s-anzeige/north-volt-hd-6-9-jetzt-duotone-/2864038621-230-2062", "Link")</f>
        <v/>
      </c>
      <c r="N806" s="6">
        <f>HYPERLINK("C:\Projects\Kleinanzeigen-Scraper\offer_images\2864038621", "Link")</f>
        <v/>
      </c>
      <c r="O806" t="inlineStr">
        <is>
          <t>Benedict</t>
        </is>
      </c>
      <c r="P806" s="6">
        <f>HYPERLINK("https://www.kleinanzeigen.de/s-bestandsliste.html?userId=13040713", "Link")</f>
        <v/>
      </c>
      <c r="Q806" s="7" t="n">
        <v>45551.4102199074</v>
      </c>
      <c r="R806" s="3" t="inlineStr">
        <is>
          <t>56.15</t>
        </is>
      </c>
      <c r="S806" t="inlineStr">
        <is>
          <t>Köln</t>
        </is>
      </c>
    </row>
    <row r="807">
      <c r="A807" s="2" t="n">
        <v>4.7</v>
      </c>
      <c r="B807" t="inlineStr">
        <is>
          <t>Duotone Super Hero</t>
        </is>
      </c>
      <c r="C807" s="3" t="n">
        <v>400</v>
      </c>
      <c r="D807" s="3" t="inlineStr">
        <is>
          <t>163-203</t>
        </is>
      </c>
      <c r="E807" t="inlineStr"/>
      <c r="F807" t="inlineStr"/>
      <c r="G807" t="inlineStr">
        <is>
          <t>used</t>
        </is>
      </c>
      <c r="H807" s="4" t="n">
        <v>270</v>
      </c>
      <c r="I807" t="inlineStr">
        <is>
          <t>VB</t>
        </is>
      </c>
      <c r="J807" t="inlineStr">
        <is>
          <t>45473 Nordrhein-Westfalen - Mülheim (Ruhr)</t>
        </is>
      </c>
      <c r="K807" s="5" t="n">
        <v>45550</v>
      </c>
      <c r="L807" t="inlineStr">
        <is>
          <t>Sold</t>
        </is>
      </c>
      <c r="M807" s="6">
        <f>HYPERLINK("https://www.kleinanzeigen.de/s-anzeige/duotone-super-hero-4-7/2864032377-230-2062", "Link")</f>
        <v/>
      </c>
      <c r="N807" s="6">
        <f>HYPERLINK("C:\Projects\Kleinanzeigen-Scraper\offer_images\2864032377", "Link")</f>
        <v/>
      </c>
      <c r="O807" t="inlineStr">
        <is>
          <t>Benedict</t>
        </is>
      </c>
      <c r="P807" s="6">
        <f>HYPERLINK("https://www.kleinanzeigen.de/s-bestandsliste.html?userId=13040713", "Link")</f>
        <v/>
      </c>
      <c r="Q807" s="7" t="n">
        <v>45551.41019675926</v>
      </c>
      <c r="R807" s="3" t="inlineStr">
        <is>
          <t>56.15</t>
        </is>
      </c>
      <c r="S807" t="inlineStr">
        <is>
          <t>Köln</t>
        </is>
      </c>
    </row>
    <row r="808">
      <c r="A808" s="2" t="n">
        <v>4.4</v>
      </c>
      <c r="B808" t="inlineStr">
        <is>
          <t>Sailloft Air</t>
        </is>
      </c>
      <c r="C808" s="3" t="inlineStr"/>
      <c r="D808" s="3" t="inlineStr"/>
      <c r="E808" t="inlineStr"/>
      <c r="F808" t="inlineStr"/>
      <c r="G808" t="inlineStr">
        <is>
          <t>repaired</t>
        </is>
      </c>
      <c r="H808" s="4" t="n">
        <v>210</v>
      </c>
      <c r="I808" t="inlineStr"/>
      <c r="J808" t="inlineStr">
        <is>
          <t>21109 Hamburg-Mitte - Hamburg Wilhelmsburg</t>
        </is>
      </c>
      <c r="K808" s="5" t="n">
        <v>45550</v>
      </c>
      <c r="L808" t="inlineStr"/>
      <c r="M808" s="6">
        <f>HYPERLINK("https://www.kleinanzeigen.de/s-anzeige/sailloft-air-4-4qm-freestyle-windsurfsegel/2864152641-230-9442", "Link")</f>
        <v/>
      </c>
      <c r="N808" s="6">
        <f>HYPERLINK("C:\Projects\Kleinanzeigen-Scraper\offer_images\2864152641", "Link")</f>
        <v/>
      </c>
      <c r="O808" t="inlineStr">
        <is>
          <t>Julian</t>
        </is>
      </c>
      <c r="P808" s="6">
        <f>HYPERLINK("https://www.kleinanzeigen.de/s-bestandsliste.html?userId=20845543", "Link")</f>
        <v/>
      </c>
      <c r="Q808" s="7" t="n">
        <v>45551.41013888889</v>
      </c>
      <c r="R808" s="3" t="inlineStr">
        <is>
          <t>353.16</t>
        </is>
      </c>
      <c r="S808" t="inlineStr">
        <is>
          <t>Köln</t>
        </is>
      </c>
    </row>
    <row r="809">
      <c r="A809" s="2" t="n">
        <v>4.4</v>
      </c>
      <c r="B809" t="inlineStr">
        <is>
          <t>Duotone Idol Ltd</t>
        </is>
      </c>
      <c r="C809" s="3" t="n">
        <v>400</v>
      </c>
      <c r="D809" s="3" t="n">
        <v>152</v>
      </c>
      <c r="E809" t="inlineStr"/>
      <c r="F809" t="inlineStr">
        <is>
          <t>2024</t>
        </is>
      </c>
      <c r="G809" t="inlineStr">
        <is>
          <t>used</t>
        </is>
      </c>
      <c r="H809" s="4" t="n">
        <v>480</v>
      </c>
      <c r="I809" t="inlineStr">
        <is>
          <t>VB</t>
        </is>
      </c>
      <c r="J809" t="inlineStr">
        <is>
          <t>70736 Baden-Württemberg - Fellbach</t>
        </is>
      </c>
      <c r="K809" s="5" t="n">
        <v>45550</v>
      </c>
      <c r="L809" t="inlineStr">
        <is>
          <t>Sold</t>
        </is>
      </c>
      <c r="M809" s="6">
        <f>HYPERLINK("https://www.kleinanzeigen.de/s-anzeige/duotone-idol-ltd-4-4-2024/2864876769-230-8889", "Link")</f>
        <v/>
      </c>
      <c r="N809" s="6">
        <f>HYPERLINK("C:\Projects\Kleinanzeigen-Scraper\offer_images\2864876769", "Link")</f>
        <v/>
      </c>
      <c r="O809" t="inlineStr">
        <is>
          <t>Bernd</t>
        </is>
      </c>
      <c r="P809" s="6">
        <f>HYPERLINK("https://www.kleinanzeigen.de/s-bestandsliste.html?userId=20168129", "Link")</f>
        <v/>
      </c>
      <c r="Q809" s="7" t="n">
        <v>45551.40998842593</v>
      </c>
      <c r="R809" s="3" t="inlineStr">
        <is>
          <t>28.05</t>
        </is>
      </c>
      <c r="S809" t="inlineStr">
        <is>
          <t>Böblingen</t>
        </is>
      </c>
    </row>
    <row r="810">
      <c r="A810" s="2" t="n">
        <v>5.4</v>
      </c>
      <c r="B810" t="inlineStr">
        <is>
          <t>V5</t>
        </is>
      </c>
      <c r="C810" s="3" t="n">
        <v>460</v>
      </c>
      <c r="D810" s="3" t="n">
        <v>177</v>
      </c>
      <c r="E810" t="inlineStr"/>
      <c r="F810" t="inlineStr"/>
      <c r="G810" t="inlineStr">
        <is>
          <t>repaired</t>
        </is>
      </c>
      <c r="H810" s="4" t="n">
        <v>15</v>
      </c>
      <c r="I810" t="inlineStr"/>
      <c r="J810" t="inlineStr">
        <is>
          <t>24105 Schleswig-Holstein - Kiel</t>
        </is>
      </c>
      <c r="K810" s="5" t="n">
        <v>45549</v>
      </c>
      <c r="L810" t="inlineStr">
        <is>
          <t>Sold</t>
        </is>
      </c>
      <c r="M810" s="6">
        <f>HYPERLINK("https://www.kleinanzeigen.de/s-anzeige/5-4-windsurf-segel-v5/2863083755-230-708", "Link")</f>
        <v/>
      </c>
      <c r="N810" s="6">
        <f>HYPERLINK("C:\Projects\Kleinanzeigen-Scraper\offer_images\2863083755", "Link")</f>
        <v/>
      </c>
      <c r="O810" t="inlineStr">
        <is>
          <t>Daniel</t>
        </is>
      </c>
      <c r="P810" s="6">
        <f>HYPERLINK("https://www.kleinanzeigen.de/s-bestandsliste.html?userId=68041566", "Link")</f>
        <v/>
      </c>
      <c r="Q810" s="7" t="n">
        <v>45551.40983796296</v>
      </c>
      <c r="R810" s="3" t="inlineStr">
        <is>
          <t>435.05</t>
        </is>
      </c>
      <c r="S810" t="inlineStr">
        <is>
          <t>Köln</t>
        </is>
      </c>
    </row>
    <row r="811">
      <c r="A811" s="2" t="n">
        <v>9.199999999999999</v>
      </c>
      <c r="B811" t="inlineStr">
        <is>
          <t>Point 7 ac one</t>
        </is>
      </c>
      <c r="C811" s="3" t="n">
        <v>490</v>
      </c>
      <c r="D811" s="3" t="n">
        <v>240</v>
      </c>
      <c r="E811" t="inlineStr">
        <is>
          <t>Slalom</t>
        </is>
      </c>
      <c r="F811" t="inlineStr">
        <is>
          <t>2023</t>
        </is>
      </c>
      <c r="G811" t="inlineStr">
        <is>
          <t>used</t>
        </is>
      </c>
      <c r="H811" s="4" t="n">
        <v>120</v>
      </c>
      <c r="I811" t="inlineStr">
        <is>
          <t>VB</t>
        </is>
      </c>
      <c r="J811" t="inlineStr">
        <is>
          <t>94315 Bayern - Straubing</t>
        </is>
      </c>
      <c r="K811" s="5" t="n">
        <v>45537</v>
      </c>
      <c r="L811" t="inlineStr"/>
      <c r="M811" s="6">
        <f>HYPERLINK("https://www.kleinanzeigen.de/s-anzeige/point-7-ac-one-slalom-segel-in-9-2/2852600653-230-7337", "Link")</f>
        <v/>
      </c>
      <c r="N811" s="6">
        <f>HYPERLINK("C:\Projects\Kleinanzeigen-Scraper\offer_images\2852600653", "Link")</f>
        <v/>
      </c>
      <c r="O811" t="inlineStr">
        <is>
          <t>markus</t>
        </is>
      </c>
      <c r="P811" s="6">
        <f>HYPERLINK("https://www.kleinanzeigen.de/s-bestandsliste.html?userId=7206810", "Link")</f>
        <v/>
      </c>
      <c r="Q811" s="7" t="n">
        <v>45551.4097800926</v>
      </c>
      <c r="R811" s="3" t="inlineStr">
        <is>
          <t>110.14</t>
        </is>
      </c>
      <c r="S811" t="inlineStr">
        <is>
          <t>München</t>
        </is>
      </c>
    </row>
    <row r="812">
      <c r="A812" s="2" t="n">
        <v>5.2</v>
      </c>
      <c r="B812" t="inlineStr">
        <is>
          <t>Severne Freek</t>
        </is>
      </c>
      <c r="C812" s="3" t="n">
        <v>430</v>
      </c>
      <c r="D812" s="3" t="n">
        <v>166</v>
      </c>
      <c r="E812" t="inlineStr"/>
      <c r="F812" t="inlineStr"/>
      <c r="G812" t="inlineStr">
        <is>
          <t>used</t>
        </is>
      </c>
      <c r="H812" s="4" t="n">
        <v>350</v>
      </c>
      <c r="I812" t="inlineStr"/>
      <c r="J812" t="inlineStr">
        <is>
          <t>10437 Pankow - Prenzlauer Berg</t>
        </is>
      </c>
      <c r="K812" s="5" t="n">
        <v>45549</v>
      </c>
      <c r="L812" t="inlineStr"/>
      <c r="M812" s="6">
        <f>HYPERLINK("https://www.kleinanzeigen.de/s-anzeige/severne-freek-5-2-windsurfsegel/2863233751-230-3491", "Link")</f>
        <v/>
      </c>
      <c r="N812" s="6">
        <f>HYPERLINK("C:\Projects\Kleinanzeigen-Scraper\offer_images\2863233751", "Link")</f>
        <v/>
      </c>
      <c r="O812" t="inlineStr">
        <is>
          <t>Benny</t>
        </is>
      </c>
      <c r="P812" s="6">
        <f>HYPERLINK("https://www.kleinanzeigen.de/s-bestandsliste.html?userId=10690681", "Link")</f>
        <v/>
      </c>
      <c r="Q812" s="7" t="n">
        <v>45551.40975694444</v>
      </c>
      <c r="R812" s="3" t="inlineStr">
        <is>
          <t>478.70</t>
        </is>
      </c>
      <c r="S812" t="inlineStr">
        <is>
          <t>Köln</t>
        </is>
      </c>
    </row>
    <row r="813">
      <c r="A813" s="2" t="n">
        <v>4</v>
      </c>
      <c r="B813" t="inlineStr">
        <is>
          <t>Sailloft Air</t>
        </is>
      </c>
      <c r="C813" s="3" t="inlineStr"/>
      <c r="D813" s="3" t="inlineStr"/>
      <c r="E813" t="inlineStr">
        <is>
          <t>Freestyle</t>
        </is>
      </c>
      <c r="F813" t="inlineStr">
        <is>
          <t>2023</t>
        </is>
      </c>
      <c r="G813" t="inlineStr">
        <is>
          <t>new</t>
        </is>
      </c>
      <c r="H813" s="4" t="n">
        <v>430</v>
      </c>
      <c r="I813" t="inlineStr"/>
      <c r="J813" t="inlineStr">
        <is>
          <t>21109 Hamburg-Mitte - Hamburg Wilhelmsburg</t>
        </is>
      </c>
      <c r="K813" s="5" t="n">
        <v>45550</v>
      </c>
      <c r="L813" t="inlineStr"/>
      <c r="M813" s="6">
        <f>HYPERLINK("https://www.kleinanzeigen.de/s-anzeige/sailloft-air-segel-4-0-windsurf-freestyle/2864153231-230-9442", "Link")</f>
        <v/>
      </c>
      <c r="N813" s="6">
        <f>HYPERLINK("C:\Projects\Kleinanzeigen-Scraper\offer_images\2864153231", "Link")</f>
        <v/>
      </c>
      <c r="O813" t="inlineStr">
        <is>
          <t>Julian</t>
        </is>
      </c>
      <c r="P813" s="6">
        <f>HYPERLINK("https://www.kleinanzeigen.de/s-bestandsliste.html?userId=20845543", "Link")</f>
        <v/>
      </c>
      <c r="Q813" s="7" t="n">
        <v>45551.40960648148</v>
      </c>
      <c r="R813" s="3" t="inlineStr">
        <is>
          <t>353.16</t>
        </is>
      </c>
      <c r="S813" t="inlineStr">
        <is>
          <t>Köln</t>
        </is>
      </c>
    </row>
    <row r="814">
      <c r="A814" s="2" t="n">
        <v>7</v>
      </c>
      <c r="B814" t="inlineStr">
        <is>
          <t>Severne Turbo M4</t>
        </is>
      </c>
      <c r="C814" s="3" t="n">
        <v>430</v>
      </c>
      <c r="D814" s="3" t="n">
        <v>190</v>
      </c>
      <c r="E814" t="inlineStr"/>
      <c r="F814" t="inlineStr"/>
      <c r="G814" t="inlineStr">
        <is>
          <t>used</t>
        </is>
      </c>
      <c r="H814" s="4" t="n">
        <v>290</v>
      </c>
      <c r="I814" t="inlineStr">
        <is>
          <t>VB</t>
        </is>
      </c>
      <c r="J814" t="inlineStr">
        <is>
          <t>45239 Essen - Essen-Werden</t>
        </is>
      </c>
      <c r="K814" s="5" t="n">
        <v>45550</v>
      </c>
      <c r="L814" t="inlineStr"/>
      <c r="M814" s="6">
        <f>HYPERLINK("https://www.kleinanzeigen.de/s-anzeige/severne-turbo-m4-7-0-red-windsurf-segel/2864177585-230-2044", "Link")</f>
        <v/>
      </c>
      <c r="N814" s="6">
        <f>HYPERLINK("C:\Projects\Kleinanzeigen-Scraper\offer_images\2864177585", "Link")</f>
        <v/>
      </c>
      <c r="O814" t="inlineStr">
        <is>
          <t>Michael Roelofs</t>
        </is>
      </c>
      <c r="P814" s="6">
        <f>HYPERLINK("https://www.kleinanzeigen.de/s-bestandsliste.html?userId=19408772", "Link")</f>
        <v/>
      </c>
      <c r="Q814" s="7" t="n">
        <v>45551.40956018519</v>
      </c>
      <c r="R814" s="3" t="inlineStr">
        <is>
          <t>49.14</t>
        </is>
      </c>
      <c r="S814" t="inlineStr">
        <is>
          <t>Köln</t>
        </is>
      </c>
    </row>
    <row r="815">
      <c r="A815" s="2" t="n">
        <v>6.5</v>
      </c>
      <c r="B815" t="inlineStr">
        <is>
          <t>North Sails Sting 3D</t>
        </is>
      </c>
      <c r="C815" s="3" t="inlineStr"/>
      <c r="D815" s="3" t="inlineStr"/>
      <c r="E815" t="inlineStr"/>
      <c r="F815" t="inlineStr"/>
      <c r="G815" t="inlineStr">
        <is>
          <t>used</t>
        </is>
      </c>
      <c r="H815" s="4" t="n">
        <v>10</v>
      </c>
      <c r="I815" t="inlineStr">
        <is>
          <t>VB</t>
        </is>
      </c>
      <c r="J815" t="inlineStr">
        <is>
          <t>40595 Düsseldorf - Garath</t>
        </is>
      </c>
      <c r="K815" s="5" t="n">
        <v>45549</v>
      </c>
      <c r="L815" t="inlineStr">
        <is>
          <t>Sold</t>
        </is>
      </c>
      <c r="M815" s="6">
        <f>HYPERLINK("https://www.kleinanzeigen.de/s-anzeige/windsurfsegel-north-sails-6-5-sting-3d-surfsegel/2863036977-230-2078", "Link")</f>
        <v/>
      </c>
      <c r="N815" s="6">
        <f>HYPERLINK("C:\Projects\Kleinanzeigen-Scraper\offer_images\2863036977", "Link")</f>
        <v/>
      </c>
      <c r="O815" t="inlineStr">
        <is>
          <t>Rafael</t>
        </is>
      </c>
      <c r="P815" s="6">
        <f>HYPERLINK("https://www.kleinanzeigen.de/s-bestandsliste.html?userId=9106967", "Link")</f>
        <v/>
      </c>
      <c r="Q815" s="7" t="n">
        <v>45551.40943287037</v>
      </c>
      <c r="R815" s="3" t="inlineStr">
        <is>
          <t>22.73</t>
        </is>
      </c>
      <c r="S815" t="inlineStr">
        <is>
          <t>Köln</t>
        </is>
      </c>
    </row>
    <row r="816">
      <c r="A816" s="2" t="n">
        <v>9.4</v>
      </c>
      <c r="B816" t="inlineStr">
        <is>
          <t>Point 7 Ac-z</t>
        </is>
      </c>
      <c r="C816" s="3" t="inlineStr"/>
      <c r="D816" s="3" t="inlineStr"/>
      <c r="E816" t="inlineStr"/>
      <c r="F816" t="inlineStr"/>
      <c r="G816" t="inlineStr">
        <is>
          <t>used</t>
        </is>
      </c>
      <c r="H816" s="4" t="n">
        <v>300</v>
      </c>
      <c r="I816" t="inlineStr"/>
      <c r="J816" t="inlineStr">
        <is>
          <t>52457 Nordrhein-Westfalen - Aldenhoven</t>
        </is>
      </c>
      <c r="K816" s="5" t="n">
        <v>45537</v>
      </c>
      <c r="L816" t="inlineStr">
        <is>
          <t>Sold</t>
        </is>
      </c>
      <c r="M816" s="6">
        <f>HYPERLINK("https://www.kleinanzeigen.de/s-anzeige/point-7-ac-z-9-4/2852850907-230-1721", "Link")</f>
        <v/>
      </c>
      <c r="N816" s="6">
        <f>HYPERLINK("C:\Projects\Kleinanzeigen-Scraper\offer_images\2852850907", "Link")</f>
        <v/>
      </c>
      <c r="O816" t="inlineStr">
        <is>
          <t>Klaus</t>
        </is>
      </c>
      <c r="P816" s="6">
        <f>HYPERLINK("https://www.kleinanzeigen.de/s-bestandsliste.html?userId=13660140", "Link")</f>
        <v/>
      </c>
      <c r="Q816" s="7" t="n">
        <v>45551.40943287037</v>
      </c>
      <c r="R816" s="3" t="inlineStr">
        <is>
          <t>48.38</t>
        </is>
      </c>
      <c r="S816" t="inlineStr">
        <is>
          <t>Köln</t>
        </is>
      </c>
    </row>
    <row r="817">
      <c r="A817" s="2" t="n">
        <v>7.5</v>
      </c>
      <c r="B817" t="inlineStr">
        <is>
          <t>Gunsails Sunray</t>
        </is>
      </c>
      <c r="C817" s="3" t="n">
        <v>471</v>
      </c>
      <c r="D817" s="3" t="n">
        <v>210</v>
      </c>
      <c r="E817" t="inlineStr"/>
      <c r="F817" t="inlineStr"/>
      <c r="G817" t="inlineStr">
        <is>
          <t>used</t>
        </is>
      </c>
      <c r="H817" s="4" t="n">
        <v>90</v>
      </c>
      <c r="I817" t="inlineStr"/>
      <c r="J817" t="inlineStr">
        <is>
          <t>30455 Hannover - Ahlem-Badenstedt-Davenstedt</t>
        </is>
      </c>
      <c r="K817" s="5" t="n">
        <v>45550</v>
      </c>
      <c r="L817" t="inlineStr">
        <is>
          <t>Sold</t>
        </is>
      </c>
      <c r="M817" s="6">
        <f>HYPERLINK("https://www.kleinanzeigen.de/s-anzeige/windsurfen-segel-gunsails-sunray-7-5/2863934998-230-3194", "Link")</f>
        <v/>
      </c>
      <c r="N817" s="6">
        <f>HYPERLINK("C:\Projects\Kleinanzeigen-Scraper\offer_images\2863934998", "Link")</f>
        <v/>
      </c>
      <c r="O817" t="inlineStr">
        <is>
          <t>T. W.</t>
        </is>
      </c>
      <c r="P817" s="6">
        <f>HYPERLINK("https://www.kleinanzeigen.de/s-bestandsliste.html?userId=13909142", "Link")</f>
        <v/>
      </c>
      <c r="Q817" s="7" t="n">
        <v>45551.40940972222</v>
      </c>
      <c r="R817" s="3" t="inlineStr">
        <is>
          <t>245.03</t>
        </is>
      </c>
      <c r="S817" t="inlineStr">
        <is>
          <t>Köln</t>
        </is>
      </c>
    </row>
    <row r="818">
      <c r="A818" s="2" t="n">
        <v>4.7</v>
      </c>
      <c r="B818" t="inlineStr">
        <is>
          <t>North</t>
        </is>
      </c>
      <c r="C818" s="3" t="inlineStr">
        <is>
          <t>19-21</t>
        </is>
      </c>
      <c r="D818" s="3" t="n">
        <v>172</v>
      </c>
      <c r="E818" t="inlineStr"/>
      <c r="F818" t="inlineStr"/>
      <c r="G818" t="inlineStr"/>
      <c r="H818" s="4" t="n">
        <v>40</v>
      </c>
      <c r="I818" t="inlineStr">
        <is>
          <t>VB</t>
        </is>
      </c>
      <c r="J818" t="inlineStr">
        <is>
          <t>70437 Stuttgart - Zuffenhausen</t>
        </is>
      </c>
      <c r="K818" s="5" t="n">
        <v>45549</v>
      </c>
      <c r="L818" t="inlineStr">
        <is>
          <t>Sold</t>
        </is>
      </c>
      <c r="M818" s="6">
        <f>HYPERLINK("https://www.kleinanzeigen.de/s-anzeige/north-segel-4-7-qm/2863214945-230-9593", "Link")</f>
        <v/>
      </c>
      <c r="N818" s="6">
        <f>HYPERLINK("C:\Projects\Kleinanzeigen-Scraper\offer_images\2863214945", "Link")</f>
        <v/>
      </c>
      <c r="O818" t="inlineStr">
        <is>
          <t>Karsten</t>
        </is>
      </c>
      <c r="P818" s="6">
        <f>HYPERLINK("https://www.kleinanzeigen.de/s-bestandsliste.html?userId=28749853", "Link")</f>
        <v/>
      </c>
      <c r="Q818" s="7" t="n">
        <v>45551.4091550926</v>
      </c>
      <c r="R818" s="3" t="inlineStr">
        <is>
          <t>24.41</t>
        </is>
      </c>
      <c r="S818" t="inlineStr">
        <is>
          <t>Böblingen</t>
        </is>
      </c>
    </row>
    <row r="819">
      <c r="A819" s="2" t="n">
        <v>3.8</v>
      </c>
      <c r="B819" t="inlineStr">
        <is>
          <t>Severne Redback</t>
        </is>
      </c>
      <c r="C819" s="3" t="inlineStr"/>
      <c r="D819" s="3" t="inlineStr"/>
      <c r="E819" t="inlineStr">
        <is>
          <t>Wave</t>
        </is>
      </c>
      <c r="F819" t="inlineStr">
        <is>
          <t>2023</t>
        </is>
      </c>
      <c r="G819" t="inlineStr">
        <is>
          <t>used</t>
        </is>
      </c>
      <c r="H819" s="4" t="n">
        <v>340</v>
      </c>
      <c r="I819" t="inlineStr"/>
      <c r="J819" t="inlineStr">
        <is>
          <t>24118 Kiel - Ravensberg-Brunswik-Düsternbrook</t>
        </is>
      </c>
      <c r="K819" s="5" t="n">
        <v>45365</v>
      </c>
      <c r="L819" t="inlineStr">
        <is>
          <t>Sold</t>
        </is>
      </c>
      <c r="M819" s="6">
        <f>HYPERLINK("https://www.kleinanzeigen.de/s-anzeige/severne-redback-3-8-top-zustand-wave-kindersegel-wie-s-1/2706071285-230-704", "Link")</f>
        <v/>
      </c>
      <c r="N819" s="6">
        <f>HYPERLINK("C:\Projects\Kleinanzeigen-Scraper\offer_images\2706071285", "Link")</f>
        <v/>
      </c>
      <c r="O819" t="inlineStr">
        <is>
          <t>Leon</t>
        </is>
      </c>
      <c r="P819" s="6">
        <f>HYPERLINK("https://www.kleinanzeigen.de/s-bestandsliste.html?userId=66304477", "Link")</f>
        <v/>
      </c>
      <c r="Q819" s="7" t="n">
        <v>45551.40913194444</v>
      </c>
      <c r="R819" s="3" t="inlineStr">
        <is>
          <t>434.29</t>
        </is>
      </c>
      <c r="S819" t="inlineStr">
        <is>
          <t>Köln</t>
        </is>
      </c>
    </row>
    <row r="820">
      <c r="A820" s="2" t="n">
        <v>10</v>
      </c>
      <c r="B820" t="inlineStr">
        <is>
          <t>Duotone Evo</t>
        </is>
      </c>
      <c r="C820" s="3" t="inlineStr"/>
      <c r="D820" s="3" t="inlineStr"/>
      <c r="E820" t="inlineStr"/>
      <c r="F820" t="inlineStr">
        <is>
          <t>2022</t>
        </is>
      </c>
      <c r="G820" t="inlineStr">
        <is>
          <t>repaired</t>
        </is>
      </c>
      <c r="H820" s="4" t="n">
        <v>650</v>
      </c>
      <c r="I820" t="inlineStr">
        <is>
          <t>VB</t>
        </is>
      </c>
      <c r="J820" t="inlineStr">
        <is>
          <t>13357 Berlin - Mitte</t>
        </is>
      </c>
      <c r="K820" s="5" t="n">
        <v>45550</v>
      </c>
      <c r="L820" t="inlineStr">
        <is>
          <t>Sold</t>
        </is>
      </c>
      <c r="M820" s="6">
        <f>HYPERLINK("https://www.kleinanzeigen.de/s-anzeige/duotone-evo-10-2022/2864488192-230-9677", "Link")</f>
        <v/>
      </c>
      <c r="N820" s="6">
        <f>HYPERLINK("C:\Projects\Kleinanzeigen-Scraper\offer_images\2864488192", "Link")</f>
        <v/>
      </c>
      <c r="O820" t="inlineStr">
        <is>
          <t>Martin</t>
        </is>
      </c>
      <c r="P820" s="6">
        <f>HYPERLINK("https://www.kleinanzeigen.de/s-bestandsliste.html?userId=130724075", "Link")</f>
        <v/>
      </c>
      <c r="Q820" s="7" t="n">
        <v>45551.40902777778</v>
      </c>
      <c r="R820" s="3" t="inlineStr">
        <is>
          <t>477.06</t>
        </is>
      </c>
      <c r="S820" t="inlineStr">
        <is>
          <t>Köln</t>
        </is>
      </c>
    </row>
    <row r="821">
      <c r="A821" s="2" t="n">
        <v>5</v>
      </c>
      <c r="B821" t="inlineStr">
        <is>
          <t>Neilpryde Fly II Pro</t>
        </is>
      </c>
      <c r="C821" s="3" t="inlineStr"/>
      <c r="D821" s="3" t="inlineStr"/>
      <c r="E821" t="inlineStr"/>
      <c r="F821" t="inlineStr">
        <is>
          <t>2024</t>
        </is>
      </c>
      <c r="G821" t="inlineStr">
        <is>
          <t>used</t>
        </is>
      </c>
      <c r="H821" s="4" t="n">
        <v>950</v>
      </c>
      <c r="I821" t="inlineStr">
        <is>
          <t>VB</t>
        </is>
      </c>
      <c r="J821" t="inlineStr">
        <is>
          <t>85640 Kr. München - Putzbrunn</t>
        </is>
      </c>
      <c r="K821" s="5" t="n">
        <v>45550</v>
      </c>
      <c r="L821" t="inlineStr"/>
      <c r="M821" s="6">
        <f>HYPERLINK("https://www.kleinanzeigen.de/s-anzeige/gebrauchtes-neilpryde-fly-ii-pro-05-2024/2863912966-230-6182", "Link")</f>
        <v/>
      </c>
      <c r="N821" s="6">
        <f>HYPERLINK("C:\Projects\Kleinanzeigen-Scraper\offer_images\2863912966", "Link")</f>
        <v/>
      </c>
      <c r="O821" t="inlineStr">
        <is>
          <t>Ivano</t>
        </is>
      </c>
      <c r="P821" s="6">
        <f>HYPERLINK("https://www.kleinanzeigen.de/s-bestandsliste.html?userId=140866439", "Link")</f>
        <v/>
      </c>
      <c r="Q821" s="7" t="n">
        <v>45551.40898148148</v>
      </c>
      <c r="R821" s="3" t="inlineStr">
        <is>
          <t>11.31</t>
        </is>
      </c>
      <c r="S821" t="inlineStr">
        <is>
          <t>München</t>
        </is>
      </c>
    </row>
    <row r="822">
      <c r="A822" s="2" t="n">
        <v>6</v>
      </c>
      <c r="B822" t="inlineStr">
        <is>
          <t>Duotone Slick SLS</t>
        </is>
      </c>
      <c r="C822" s="3" t="inlineStr"/>
      <c r="D822" s="3" t="inlineStr"/>
      <c r="E822" t="inlineStr"/>
      <c r="F822" t="inlineStr">
        <is>
          <t>2023</t>
        </is>
      </c>
      <c r="G822" t="inlineStr">
        <is>
          <t>repaired</t>
        </is>
      </c>
      <c r="H822" s="4" t="n">
        <v>480</v>
      </c>
      <c r="I822" t="inlineStr">
        <is>
          <t>VB</t>
        </is>
      </c>
      <c r="J822" t="inlineStr">
        <is>
          <t>85088 Bayern - Vohburg an der Donau</t>
        </is>
      </c>
      <c r="K822" s="5" t="n">
        <v>45550</v>
      </c>
      <c r="L822" t="inlineStr">
        <is>
          <t>Sold</t>
        </is>
      </c>
      <c r="M822" s="6">
        <f>HYPERLINK("https://www.kleinanzeigen.de/s-anzeige/duotone-slick-sls-2023-6-0-m2/2864360021-230-7604", "Link")</f>
        <v/>
      </c>
      <c r="N822" s="6">
        <f>HYPERLINK("C:\Projects\Kleinanzeigen-Scraper\offer_images\2864360021", "Link")</f>
        <v/>
      </c>
      <c r="O822" t="inlineStr">
        <is>
          <t>S. K.</t>
        </is>
      </c>
      <c r="P822" s="6">
        <f>HYPERLINK("https://www.kleinanzeigen.de/s-bestandsliste.html?userId=125212238", "Link")</f>
        <v/>
      </c>
      <c r="Q822" s="7" t="n">
        <v>45551.40883101852</v>
      </c>
      <c r="R822" s="3" t="inlineStr">
        <is>
          <t>70.41</t>
        </is>
      </c>
      <c r="S822" t="inlineStr">
        <is>
          <t>München</t>
        </is>
      </c>
    </row>
    <row r="823">
      <c r="A823" s="2" t="n">
        <v>3.5</v>
      </c>
      <c r="B823" t="inlineStr">
        <is>
          <t>North Salis</t>
        </is>
      </c>
      <c r="C823" s="3" t="inlineStr"/>
      <c r="D823" s="3" t="inlineStr"/>
      <c r="E823" t="inlineStr"/>
      <c r="F823" t="inlineStr"/>
      <c r="G823" t="inlineStr">
        <is>
          <t>new</t>
        </is>
      </c>
      <c r="H823" s="4" t="n">
        <v>60</v>
      </c>
      <c r="I823" t="inlineStr"/>
      <c r="J823" t="inlineStr">
        <is>
          <t>65205 Wiesbaden - Nordenstadt</t>
        </is>
      </c>
      <c r="K823" s="5" t="n">
        <v>45550</v>
      </c>
      <c r="L823" t="inlineStr">
        <is>
          <t>Sold</t>
        </is>
      </c>
      <c r="M823" s="6">
        <f>HYPERLINK("https://www.kleinanzeigen.de/s-anzeige/3-5-m-north-salis-neuwertig-auch-fuer-sup-gut-geeignet/2863776820-230-4913", "Link")</f>
        <v/>
      </c>
      <c r="N823" s="6">
        <f>HYPERLINK("C:\Projects\Kleinanzeigen-Scraper\offer_images\2863776820", "Link")</f>
        <v/>
      </c>
      <c r="O823" t="inlineStr">
        <is>
          <t>Stefan Eisenacher</t>
        </is>
      </c>
      <c r="P823" s="6">
        <f>HYPERLINK("https://www.kleinanzeigen.de/s-bestandsliste.html?userId=2668414", "Link")</f>
        <v/>
      </c>
      <c r="Q823" s="7" t="n">
        <v>45551.40868055556</v>
      </c>
      <c r="R823" s="3" t="inlineStr">
        <is>
          <t>116.77</t>
        </is>
      </c>
      <c r="S823" t="inlineStr">
        <is>
          <t>Karlsruhe</t>
        </is>
      </c>
    </row>
    <row r="824">
      <c r="A824" s="2" t="n">
        <v>8.199999999999999</v>
      </c>
      <c r="B824" t="inlineStr">
        <is>
          <t>Neilpryde H2 Racing</t>
        </is>
      </c>
      <c r="C824" s="3" t="n">
        <v>490</v>
      </c>
      <c r="D824" s="3" t="n">
        <v>218</v>
      </c>
      <c r="E824" t="inlineStr"/>
      <c r="F824" t="inlineStr"/>
      <c r="G824" t="inlineStr">
        <is>
          <t>used</t>
        </is>
      </c>
      <c r="H824" s="4" t="n">
        <v>150</v>
      </c>
      <c r="I824" t="inlineStr">
        <is>
          <t>VB</t>
        </is>
      </c>
      <c r="J824" t="inlineStr">
        <is>
          <t>24582 Schleswig-Holstein - Bordesholm</t>
        </is>
      </c>
      <c r="K824" s="5" t="n">
        <v>45550</v>
      </c>
      <c r="L824" t="inlineStr">
        <is>
          <t>Sold</t>
        </is>
      </c>
      <c r="M824" s="6">
        <f>HYPERLINK("https://www.kleinanzeigen.de/s-anzeige/neilpryde-h2-racing-8-2/2864315160-230-10590", "Link")</f>
        <v/>
      </c>
      <c r="N824" s="6">
        <f>HYPERLINK("C:\Projects\Kleinanzeigen-Scraper\offer_images\2864315160", "Link")</f>
        <v/>
      </c>
      <c r="O824" t="inlineStr">
        <is>
          <t>Herbst</t>
        </is>
      </c>
      <c r="P824" s="6">
        <f>HYPERLINK("https://www.kleinanzeigen.de/s-bestandsliste.html?userId=22981411", "Link")</f>
        <v/>
      </c>
      <c r="Q824" s="7" t="n">
        <v>45551.40863425926</v>
      </c>
      <c r="R824" s="3" t="inlineStr">
        <is>
          <t>413.93</t>
        </is>
      </c>
      <c r="S824" t="inlineStr">
        <is>
          <t>Köln</t>
        </is>
      </c>
    </row>
    <row r="825">
      <c r="A825" s="2" t="n">
        <v>6.5</v>
      </c>
      <c r="B825" t="inlineStr">
        <is>
          <t>HD2 Monofilm</t>
        </is>
      </c>
      <c r="C825" s="3" t="inlineStr"/>
      <c r="D825" s="3" t="inlineStr"/>
      <c r="E825" t="inlineStr"/>
      <c r="F825" t="inlineStr">
        <is>
          <t>2022</t>
        </is>
      </c>
      <c r="G825" t="inlineStr">
        <is>
          <t>used</t>
        </is>
      </c>
      <c r="H825" s="4" t="n">
        <v>600</v>
      </c>
      <c r="I825" t="inlineStr">
        <is>
          <t>VB</t>
        </is>
      </c>
      <c r="J825" t="inlineStr">
        <is>
          <t>06846 Sachsen-Anhalt - Dessau-Roßlau</t>
        </is>
      </c>
      <c r="K825" s="5" t="n">
        <v>45550</v>
      </c>
      <c r="L825" t="inlineStr">
        <is>
          <t>Sold</t>
        </is>
      </c>
      <c r="M825" s="6">
        <f>HYPERLINK("https://www.kleinanzeigen.de/s-anzeige/windsurf-segel-hd2-monofilm-rig-2022-gr-6-5/2864002500-230-2405", "Link")</f>
        <v/>
      </c>
      <c r="N825" s="6">
        <f>HYPERLINK("C:\Projects\Kleinanzeigen-Scraper\offer_images\2864002500", "Link")</f>
        <v/>
      </c>
      <c r="O825" t="inlineStr">
        <is>
          <t>Tobias.F</t>
        </is>
      </c>
      <c r="P825" s="6">
        <f>HYPERLINK("https://www.kleinanzeigen.de/s-bestandsliste.html?userId=1936686", "Link")</f>
        <v/>
      </c>
      <c r="Q825" s="7" t="n">
        <v>45551.40862268519</v>
      </c>
      <c r="R825" s="3" t="inlineStr">
        <is>
          <t>377.25</t>
        </is>
      </c>
      <c r="S825" t="inlineStr">
        <is>
          <t>Köln</t>
        </is>
      </c>
    </row>
    <row r="826">
      <c r="A826" s="2" t="n">
        <v>7.8</v>
      </c>
      <c r="B826" t="inlineStr">
        <is>
          <t>NeilPryde RS:Racing Evo 7</t>
        </is>
      </c>
      <c r="C826" s="3" t="n">
        <v>492</v>
      </c>
      <c r="D826" s="3" t="n">
        <v>217</v>
      </c>
      <c r="E826" t="inlineStr">
        <is>
          <t>Race-Slalom</t>
        </is>
      </c>
      <c r="F826" t="inlineStr"/>
      <c r="G826" t="inlineStr">
        <is>
          <t>used</t>
        </is>
      </c>
      <c r="H826" s="4" t="n">
        <v>250</v>
      </c>
      <c r="I826" t="inlineStr">
        <is>
          <t>VB</t>
        </is>
      </c>
      <c r="J826" t="inlineStr">
        <is>
          <t>65193 Hessen - Wiesbaden</t>
        </is>
      </c>
      <c r="K826" s="5" t="n">
        <v>45550</v>
      </c>
      <c r="L826" t="inlineStr"/>
      <c r="M826" s="6">
        <f>HYPERLINK("https://www.kleinanzeigen.de/s-anzeige/neilpryde-rs-racing-evo-7-7-8-m-windsurf-segel/2864943657-230-4909", "Link")</f>
        <v/>
      </c>
      <c r="N826" s="6">
        <f>HYPERLINK("C:\Projects\Kleinanzeigen-Scraper\offer_images\2864943657", "Link")</f>
        <v/>
      </c>
      <c r="O826" t="inlineStr">
        <is>
          <t>Chris</t>
        </is>
      </c>
      <c r="P826" s="6">
        <f>HYPERLINK("https://www.kleinanzeigen.de/s-bestandsliste.html?userId=84691925", "Link")</f>
        <v/>
      </c>
      <c r="Q826" s="7" t="n">
        <v>45551.40850694444</v>
      </c>
      <c r="R826" s="3" t="inlineStr">
        <is>
          <t>121.83</t>
        </is>
      </c>
      <c r="S826" t="inlineStr">
        <is>
          <t>Karlsruhe</t>
        </is>
      </c>
    </row>
    <row r="827">
      <c r="A827" s="2" t="n">
        <v>3.5</v>
      </c>
      <c r="B827" t="inlineStr">
        <is>
          <t>Duotone Slick SLS</t>
        </is>
      </c>
      <c r="C827" s="3" t="inlineStr"/>
      <c r="D827" s="3" t="inlineStr"/>
      <c r="E827" t="inlineStr"/>
      <c r="F827" t="inlineStr"/>
      <c r="G827" t="inlineStr">
        <is>
          <t>repaired</t>
        </is>
      </c>
      <c r="H827" s="4" t="n">
        <v>300</v>
      </c>
      <c r="I827" t="inlineStr"/>
      <c r="J827" t="inlineStr">
        <is>
          <t>88662 Baden-Württemberg - Überlingen</t>
        </is>
      </c>
      <c r="K827" s="5" t="n">
        <v>45550</v>
      </c>
      <c r="L827" t="inlineStr">
        <is>
          <t>Sold</t>
        </is>
      </c>
      <c r="M827" s="6">
        <f>HYPERLINK("https://www.kleinanzeigen.de/s-anzeige/duotone-slick-sls-3-5qm-schnaeppchen/2864782189-230-9207", "Link")</f>
        <v/>
      </c>
      <c r="N827" s="6">
        <f>HYPERLINK("C:\Projects\Kleinanzeigen-Scraper\offer_images\2864782189", "Link")</f>
        <v/>
      </c>
      <c r="O827" t="inlineStr">
        <is>
          <t>Fanny</t>
        </is>
      </c>
      <c r="P827" s="6">
        <f>HYPERLINK("https://www.kleinanzeigen.de/s-bestandsliste.html?userId=17888909", "Link")</f>
        <v/>
      </c>
      <c r="Q827" s="7" t="n">
        <v>45551.40847222223</v>
      </c>
      <c r="R827" s="3" t="inlineStr">
        <is>
          <t>60.60</t>
        </is>
      </c>
      <c r="S827" t="inlineStr">
        <is>
          <t>Bonndorf</t>
        </is>
      </c>
    </row>
    <row r="828">
      <c r="A828" s="2" t="n">
        <v>6</v>
      </c>
      <c r="B828" t="inlineStr">
        <is>
          <t>Sailloft Cross</t>
        </is>
      </c>
      <c r="C828" s="3" t="n">
        <v>450</v>
      </c>
      <c r="D828" s="3" t="n">
        <v>186</v>
      </c>
      <c r="E828" t="inlineStr"/>
      <c r="F828" t="inlineStr">
        <is>
          <t>2023</t>
        </is>
      </c>
      <c r="G828" t="inlineStr">
        <is>
          <t>new</t>
        </is>
      </c>
      <c r="H828" s="4" t="n">
        <v>429</v>
      </c>
      <c r="I828" t="inlineStr"/>
      <c r="J828" t="inlineStr">
        <is>
          <t>13127 Berlin - Pankow</t>
        </is>
      </c>
      <c r="K828" s="5" t="n">
        <v>45550</v>
      </c>
      <c r="L828" t="inlineStr">
        <is>
          <t>Sold</t>
        </is>
      </c>
      <c r="M828" s="6">
        <f>HYPERLINK("https://www.kleinanzeigen.de/s-anzeige/-sailloft-cross-6-0-m-2-neuwertig-berlin-top-windsurfen-segel/2863688658-230-3465", "Link")</f>
        <v/>
      </c>
      <c r="N828" s="6">
        <f>HYPERLINK("C:\Projects\Kleinanzeigen-Scraper\offer_images\2863688658", "Link")</f>
        <v/>
      </c>
      <c r="O828" t="inlineStr">
        <is>
          <t>Daniel Düsentrieb</t>
        </is>
      </c>
      <c r="P828" s="6">
        <f>HYPERLINK("https://www.kleinanzeigen.de/s-bestandsliste.html?userId=5840406", "Link")</f>
        <v/>
      </c>
      <c r="Q828" s="7" t="n">
        <v>45551.40800925926</v>
      </c>
      <c r="R828" s="3" t="inlineStr">
        <is>
          <t>482.48</t>
        </is>
      </c>
      <c r="S828" t="inlineStr">
        <is>
          <t>Köln</t>
        </is>
      </c>
    </row>
    <row r="829">
      <c r="A829" s="2" t="inlineStr"/>
      <c r="B829" t="inlineStr">
        <is>
          <t>NORTH SAILS Ice</t>
        </is>
      </c>
      <c r="C829" s="3" t="inlineStr">
        <is>
          <t>340-400</t>
        </is>
      </c>
      <c r="D829" s="3" t="inlineStr"/>
      <c r="E829" t="inlineStr"/>
      <c r="F829" t="inlineStr"/>
      <c r="G829" t="inlineStr">
        <is>
          <t>new</t>
        </is>
      </c>
      <c r="H829" s="4" t="n">
        <v>179</v>
      </c>
      <c r="I829" t="inlineStr"/>
      <c r="J829" t="inlineStr">
        <is>
          <t>10119 Pankow - Prenzlauer Berg</t>
        </is>
      </c>
      <c r="K829" s="5" t="n">
        <v>45550</v>
      </c>
      <c r="L829" t="inlineStr"/>
      <c r="M829" s="6">
        <f>HYPERLINK("https://www.kleinanzeigen.de/s-anzeige/north-sails-ice-3-7-5-latten-wave-segel-top-zustand/2864805938-230-9660", "Link")</f>
        <v/>
      </c>
      <c r="N829" s="6">
        <f>HYPERLINK("C:\Projects\Kleinanzeigen-Scraper\offer_images\2864805938", "Link")</f>
        <v/>
      </c>
      <c r="O829" t="inlineStr">
        <is>
          <t>Andreas</t>
        </is>
      </c>
      <c r="P829" s="6">
        <f>HYPERLINK("https://www.kleinanzeigen.de/s-bestandsliste.html?userId=245621", "Link")</f>
        <v/>
      </c>
      <c r="Q829" s="7" t="n">
        <v>45551.40799768519</v>
      </c>
      <c r="R829" s="3" t="inlineStr">
        <is>
          <t>478.06</t>
        </is>
      </c>
      <c r="S829" t="inlineStr">
        <is>
          <t>Köln</t>
        </is>
      </c>
    </row>
    <row r="830">
      <c r="A830" s="2" t="n">
        <v>8</v>
      </c>
      <c r="B830" t="inlineStr">
        <is>
          <t>Naish Pivot</t>
        </is>
      </c>
      <c r="C830" s="3" t="inlineStr"/>
      <c r="D830" s="3" t="inlineStr"/>
      <c r="E830" t="inlineStr"/>
      <c r="F830" t="inlineStr">
        <is>
          <t>2022</t>
        </is>
      </c>
      <c r="G830" t="inlineStr">
        <is>
          <t>used</t>
        </is>
      </c>
      <c r="H830" s="4" t="n">
        <v>635</v>
      </c>
      <c r="I830" t="inlineStr">
        <is>
          <t>VB</t>
        </is>
      </c>
      <c r="J830" t="inlineStr">
        <is>
          <t>80339 München - Schwanthalerhöhe</t>
        </is>
      </c>
      <c r="K830" s="5" t="n">
        <v>45550</v>
      </c>
      <c r="L830" t="inlineStr"/>
      <c r="M830" s="6">
        <f>HYPERLINK("https://www.kleinanzeigen.de/s-anzeige/naish-pivot-2022-8-qm-blau/2864943760-230-6444", "Link")</f>
        <v/>
      </c>
      <c r="N830" s="6">
        <f>HYPERLINK("C:\Projects\Kleinanzeigen-Scraper\offer_images\2864943760", "Link")</f>
        <v/>
      </c>
      <c r="O830" t="inlineStr">
        <is>
          <t>Max</t>
        </is>
      </c>
      <c r="P830" s="6">
        <f>HYPERLINK("https://www.kleinanzeigen.de/s-bestandsliste.html?userId=26465580", "Link")</f>
        <v/>
      </c>
      <c r="Q830" s="7" t="n">
        <v>45551.40769675926</v>
      </c>
      <c r="R830" s="3" t="inlineStr">
        <is>
          <t>2.57</t>
        </is>
      </c>
      <c r="S830" t="inlineStr">
        <is>
          <t>München</t>
        </is>
      </c>
    </row>
    <row r="831">
      <c r="A831" s="2" t="n">
        <v>7</v>
      </c>
      <c r="B831" t="inlineStr">
        <is>
          <t>Duotone Ventis</t>
        </is>
      </c>
      <c r="C831" s="3" t="inlineStr"/>
      <c r="D831" s="3" t="inlineStr"/>
      <c r="E831" t="inlineStr"/>
      <c r="F831" t="inlineStr">
        <is>
          <t>2025</t>
        </is>
      </c>
      <c r="G831" t="inlineStr">
        <is>
          <t>new</t>
        </is>
      </c>
      <c r="H831" s="4" t="n">
        <v>980</v>
      </c>
      <c r="I831" t="inlineStr"/>
      <c r="J831" t="inlineStr">
        <is>
          <t>76137 Baden-Württemberg - Karlsruhe</t>
        </is>
      </c>
      <c r="K831" s="5" t="n">
        <v>45549</v>
      </c>
      <c r="L831" t="inlineStr">
        <is>
          <t>Sold</t>
        </is>
      </c>
      <c r="M831" s="6">
        <f>HYPERLINK("https://www.kleinanzeigen.de/s-anzeige/duotone-ventis-7-0-2025/2863630978-230-9192", "Link")</f>
        <v/>
      </c>
      <c r="N831" s="6">
        <f>HYPERLINK("C:\Projects\Kleinanzeigen-Scraper\offer_images\2863630978", "Link")</f>
        <v/>
      </c>
      <c r="O831" t="inlineStr">
        <is>
          <t>Sebastian</t>
        </is>
      </c>
      <c r="P831" s="6">
        <f>HYPERLINK("https://www.kleinanzeigen.de/s-bestandsliste.html?userId=20276111", "Link")</f>
        <v/>
      </c>
      <c r="Q831" s="7" t="n">
        <v>45551.40769675926</v>
      </c>
      <c r="R831" s="3" t="inlineStr">
        <is>
          <t>1.87</t>
        </is>
      </c>
      <c r="S831" t="inlineStr">
        <is>
          <t>Karlsruhe</t>
        </is>
      </c>
    </row>
    <row r="832">
      <c r="A832" s="2" t="n">
        <v>5.2</v>
      </c>
      <c r="B832" t="inlineStr">
        <is>
          <t>Severne Freek</t>
        </is>
      </c>
      <c r="C832" s="3" t="inlineStr"/>
      <c r="D832" s="3" t="inlineStr"/>
      <c r="E832" t="inlineStr">
        <is>
          <t>Freestyle</t>
        </is>
      </c>
      <c r="F832" t="inlineStr">
        <is>
          <t>2022</t>
        </is>
      </c>
      <c r="G832" t="inlineStr">
        <is>
          <t>used</t>
        </is>
      </c>
      <c r="H832" s="4" t="n">
        <v>295</v>
      </c>
      <c r="I832" t="inlineStr"/>
      <c r="J832" t="inlineStr">
        <is>
          <t>69198 Baden-Württemberg - Schriesheim</t>
        </is>
      </c>
      <c r="K832" s="5" t="n">
        <v>45550</v>
      </c>
      <c r="L832" t="inlineStr">
        <is>
          <t>Sold</t>
        </is>
      </c>
      <c r="M832" s="6">
        <f>HYPERLINK("https://www.kleinanzeigen.de/s-anzeige/freestyle-segel-severne-freek-5-2-weiss-windsurfen/2864270615-230-8270", "Link")</f>
        <v/>
      </c>
      <c r="N832" s="6">
        <f>HYPERLINK("C:\Projects\Kleinanzeigen-Scraper\offer_images\2864270615", "Link")</f>
        <v/>
      </c>
      <c r="O832" t="inlineStr">
        <is>
          <t>Sven</t>
        </is>
      </c>
      <c r="P832" s="6">
        <f>HYPERLINK("https://www.kleinanzeigen.de/s-bestandsliste.html?userId=15271620", "Link")</f>
        <v/>
      </c>
      <c r="Q832" s="7" t="n">
        <v>45551.40767361111</v>
      </c>
      <c r="R832" s="3" t="inlineStr">
        <is>
          <t>57.18</t>
        </is>
      </c>
      <c r="S832" t="inlineStr">
        <is>
          <t>Karlsruhe</t>
        </is>
      </c>
    </row>
    <row r="833">
      <c r="A833" s="2" t="n">
        <v>5</v>
      </c>
      <c r="B833" t="inlineStr">
        <is>
          <t>North Infinity</t>
        </is>
      </c>
      <c r="C833" s="3" t="n">
        <v>4.65</v>
      </c>
      <c r="D833" s="3" t="n">
        <v>1.71</v>
      </c>
      <c r="E833" t="inlineStr"/>
      <c r="F833" t="inlineStr"/>
      <c r="G833" t="inlineStr">
        <is>
          <t>used</t>
        </is>
      </c>
      <c r="H833" s="4" t="n">
        <v>40</v>
      </c>
      <c r="I833" t="inlineStr"/>
      <c r="J833" t="inlineStr">
        <is>
          <t>41564 Nordrhein-Westfalen - Kaarst</t>
        </is>
      </c>
      <c r="K833" s="5" t="n">
        <v>45550</v>
      </c>
      <c r="L833" t="inlineStr"/>
      <c r="M833" s="6">
        <f>HYPERLINK("https://www.kleinanzeigen.de/s-anzeige/north-windsurf-segel-infinity-5-0/2864789849-230-2107", "Link")</f>
        <v/>
      </c>
      <c r="N833" s="6">
        <f>HYPERLINK("C:\Projects\Kleinanzeigen-Scraper\offer_images\2864789849", "Link")</f>
        <v/>
      </c>
      <c r="O833" t="inlineStr">
        <is>
          <t>Hans-Jürgen</t>
        </is>
      </c>
      <c r="P833" s="6">
        <f>HYPERLINK("https://www.kleinanzeigen.de/s-bestandsliste.html?userId=67801432", "Link")</f>
        <v/>
      </c>
      <c r="Q833" s="7" t="n">
        <v>45551.4074537037</v>
      </c>
      <c r="R833" s="3" t="inlineStr">
        <is>
          <t>39.22</t>
        </is>
      </c>
      <c r="S833" t="inlineStr">
        <is>
          <t>Köln</t>
        </is>
      </c>
    </row>
    <row r="834">
      <c r="A834" s="2" t="n">
        <v>8.199999999999999</v>
      </c>
      <c r="B834" t="inlineStr">
        <is>
          <t>Duotone E Pace HD</t>
        </is>
      </c>
      <c r="C834" s="3" t="inlineStr"/>
      <c r="D834" s="3" t="inlineStr"/>
      <c r="E834" t="inlineStr"/>
      <c r="F834" t="inlineStr">
        <is>
          <t>2023</t>
        </is>
      </c>
      <c r="G834" t="inlineStr">
        <is>
          <t>new</t>
        </is>
      </c>
      <c r="H834" s="4" t="n">
        <v>550</v>
      </c>
      <c r="I834" t="inlineStr">
        <is>
          <t>VB</t>
        </is>
      </c>
      <c r="J834" t="inlineStr">
        <is>
          <t>82396 Bayern - Pähl</t>
        </is>
      </c>
      <c r="K834" s="5" t="n">
        <v>45550</v>
      </c>
      <c r="L834" t="inlineStr">
        <is>
          <t>Sold</t>
        </is>
      </c>
      <c r="M834" s="6">
        <f>HYPERLINK("https://www.kleinanzeigen.de/s-anzeige/duotone-e-pace-hd-8-2-wie-neu/2864095585-230-5569", "Link")</f>
        <v/>
      </c>
      <c r="N834" s="6">
        <f>HYPERLINK("C:\Projects\Kleinanzeigen-Scraper\offer_images\2864095585", "Link")</f>
        <v/>
      </c>
      <c r="O834" t="inlineStr">
        <is>
          <t>Daniel</t>
        </is>
      </c>
      <c r="P834" s="6">
        <f>HYPERLINK("https://www.kleinanzeigen.de/s-bestandsliste.html?userId=121477358", "Link")</f>
        <v/>
      </c>
      <c r="Q834" s="7" t="n">
        <v>45551.40744212963</v>
      </c>
      <c r="R834" s="3" t="inlineStr">
        <is>
          <t>38.54</t>
        </is>
      </c>
      <c r="S834" t="inlineStr">
        <is>
          <t>München</t>
        </is>
      </c>
    </row>
    <row r="835">
      <c r="A835" s="2" t="n">
        <v>7.3</v>
      </c>
      <c r="B835" t="inlineStr">
        <is>
          <t>Custom Made Sail</t>
        </is>
      </c>
      <c r="C835" s="3" t="inlineStr"/>
      <c r="D835" s="3" t="inlineStr"/>
      <c r="E835" t="inlineStr"/>
      <c r="F835" t="inlineStr">
        <is>
          <t>2001</t>
        </is>
      </c>
      <c r="G835" t="inlineStr">
        <is>
          <t>used, repaired</t>
        </is>
      </c>
      <c r="H835" s="4" t="n">
        <v>25</v>
      </c>
      <c r="I835" t="inlineStr">
        <is>
          <t>VB</t>
        </is>
      </c>
      <c r="J835" t="inlineStr">
        <is>
          <t>21382 Niedersachsen - Brietlingen</t>
        </is>
      </c>
      <c r="K835" s="5" t="n">
        <v>45290</v>
      </c>
      <c r="L835" t="inlineStr"/>
      <c r="M835" s="6">
        <f>HYPERLINK("https://www.kleinanzeigen.de/s-anzeige/windsurfsegel-sailloft/2639724658-230-603", "Link")</f>
        <v/>
      </c>
      <c r="N835" s="6">
        <f>HYPERLINK("C:\Projects\Kleinanzeigen-Scraper\offer_images\2639724658", "Link")</f>
        <v/>
      </c>
      <c r="O835" t="inlineStr">
        <is>
          <t>andreas</t>
        </is>
      </c>
      <c r="P835" s="6">
        <f>HYPERLINK("https://www.kleinanzeigen.de/s-bestandsliste.html?userId=24357545", "Link")</f>
        <v/>
      </c>
      <c r="Q835" s="7" t="n">
        <v>45551.40717592592</v>
      </c>
      <c r="R835" s="3" t="inlineStr">
        <is>
          <t>357.31</t>
        </is>
      </c>
      <c r="S835" t="inlineStr">
        <is>
          <t>Köln</t>
        </is>
      </c>
    </row>
    <row r="836">
      <c r="A836" s="2" t="n">
        <v>7</v>
      </c>
      <c r="B836" t="inlineStr">
        <is>
          <t>Severne Gator</t>
        </is>
      </c>
      <c r="C836" s="3" t="inlineStr"/>
      <c r="D836" s="3" t="inlineStr"/>
      <c r="E836" t="inlineStr"/>
      <c r="F836" t="inlineStr">
        <is>
          <t>2022</t>
        </is>
      </c>
      <c r="G836" t="inlineStr">
        <is>
          <t>used</t>
        </is>
      </c>
      <c r="H836" s="4" t="n">
        <v>380</v>
      </c>
      <c r="I836" t="inlineStr"/>
      <c r="J836" t="inlineStr">
        <is>
          <t>48477 Nordrhein-Westfalen - Hörstel</t>
        </is>
      </c>
      <c r="K836" s="5" t="n">
        <v>45549</v>
      </c>
      <c r="L836" t="inlineStr"/>
      <c r="M836" s="6">
        <f>HYPERLINK("https://www.kleinanzeigen.de/s-anzeige/severne-gator-segel-7-0-m2-bj-22/2863541791-230-1253", "Link")</f>
        <v/>
      </c>
      <c r="N836" s="6">
        <f>HYPERLINK("C:\Projects\Kleinanzeigen-Scraper\offer_images\2863541791", "Link")</f>
        <v/>
      </c>
      <c r="O836" t="inlineStr">
        <is>
          <t>Rhode</t>
        </is>
      </c>
      <c r="P836" s="6">
        <f>HYPERLINK("https://www.kleinanzeigen.de/s-bestandsliste.html?userId=11671928", "Link")</f>
        <v/>
      </c>
      <c r="Q836" s="7" t="n">
        <v>45551.40709490741</v>
      </c>
      <c r="R836" s="3" t="inlineStr">
        <is>
          <t>157.42</t>
        </is>
      </c>
      <c r="S836" t="inlineStr">
        <is>
          <t>Köln</t>
        </is>
      </c>
    </row>
    <row r="837">
      <c r="A837" s="2" t="n">
        <v>5</v>
      </c>
      <c r="B837" t="inlineStr">
        <is>
          <t>Duotone Unit</t>
        </is>
      </c>
      <c r="C837" s="3" t="inlineStr"/>
      <c r="D837" s="3" t="inlineStr"/>
      <c r="E837" t="inlineStr"/>
      <c r="F837" t="inlineStr">
        <is>
          <t>2024</t>
        </is>
      </c>
      <c r="G837" t="inlineStr">
        <is>
          <t>used</t>
        </is>
      </c>
      <c r="H837" s="4" t="n">
        <v>619</v>
      </c>
      <c r="I837" t="inlineStr">
        <is>
          <t>VB</t>
        </is>
      </c>
      <c r="J837" t="inlineStr">
        <is>
          <t>78224 Baden-Württemberg - Singen</t>
        </is>
      </c>
      <c r="K837" s="5" t="n">
        <v>45550</v>
      </c>
      <c r="L837" t="inlineStr">
        <is>
          <t>Sold</t>
        </is>
      </c>
      <c r="M837" s="6">
        <f>HYPERLINK("https://www.kleinanzeigen.de/s-anzeige/duotone-unit-5-0-2024/2864378432-230-9397", "Link")</f>
        <v/>
      </c>
      <c r="N837" s="6">
        <f>HYPERLINK("C:\Projects\Kleinanzeigen-Scraper\offer_images\2864378432", "Link")</f>
        <v/>
      </c>
      <c r="O837" t="inlineStr">
        <is>
          <t>Herr Rathgeb</t>
        </is>
      </c>
      <c r="P837" s="6">
        <f>HYPERLINK("https://www.kleinanzeigen.de/s-bestandsliste.html?userId=2651736", "Link")</f>
        <v/>
      </c>
      <c r="Q837" s="7" t="n">
        <v>45551.40707175926</v>
      </c>
      <c r="R837" s="3" t="inlineStr">
        <is>
          <t>40.33</t>
        </is>
      </c>
      <c r="S837" t="inlineStr">
        <is>
          <t>Bonndorf</t>
        </is>
      </c>
    </row>
    <row r="838">
      <c r="A838" s="2" t="n">
        <v>6.8</v>
      </c>
      <c r="B838" t="inlineStr">
        <is>
          <t>Duotone Warp</t>
        </is>
      </c>
      <c r="C838" s="3" t="n">
        <v>4.83</v>
      </c>
      <c r="D838" s="3" t="inlineStr"/>
      <c r="E838" t="inlineStr"/>
      <c r="F838" t="inlineStr">
        <is>
          <t>2023</t>
        </is>
      </c>
      <c r="G838" t="inlineStr">
        <is>
          <t>repaired</t>
        </is>
      </c>
      <c r="H838" s="4" t="n">
        <v>190</v>
      </c>
      <c r="I838" t="inlineStr"/>
      <c r="J838" t="inlineStr">
        <is>
          <t>21493 Herzogtum Lauenburg - Schwarzenbek</t>
        </is>
      </c>
      <c r="K838" s="5" t="n">
        <v>45550</v>
      </c>
      <c r="L838" t="inlineStr">
        <is>
          <t>Sold</t>
        </is>
      </c>
      <c r="M838" s="6">
        <f>HYPERLINK("https://www.kleinanzeigen.de/s-anzeige/duotone-warp-6-8-slalom-segel-windsurfen/2864903379-230-746", "Link")</f>
        <v/>
      </c>
      <c r="N838" s="6">
        <f>HYPERLINK("C:\Projects\Kleinanzeigen-Scraper\offer_images\2864903379", "Link")</f>
        <v/>
      </c>
      <c r="O838" t="inlineStr">
        <is>
          <t>Sebastian</t>
        </is>
      </c>
      <c r="P838" s="6">
        <f>HYPERLINK("https://www.kleinanzeigen.de/s-bestandsliste.html?userId=141573193", "Link")</f>
        <v/>
      </c>
      <c r="Q838" s="7" t="n">
        <v>45551.40703703704</v>
      </c>
      <c r="R838" s="3" t="inlineStr">
        <is>
          <t>378.85</t>
        </is>
      </c>
      <c r="S838" t="inlineStr">
        <is>
          <t>Köln</t>
        </is>
      </c>
    </row>
    <row r="839">
      <c r="A839" s="2" t="n">
        <v>7</v>
      </c>
      <c r="B839" t="inlineStr">
        <is>
          <t>NORTH Sails Tonic</t>
        </is>
      </c>
      <c r="C839" s="3" t="n">
        <v>4.95</v>
      </c>
      <c r="D839" s="3" t="inlineStr"/>
      <c r="E839" t="inlineStr"/>
      <c r="F839" t="inlineStr"/>
      <c r="G839" t="inlineStr">
        <is>
          <t>used</t>
        </is>
      </c>
      <c r="H839" s="4" t="n">
        <v>60</v>
      </c>
      <c r="I839" t="inlineStr">
        <is>
          <t>VB</t>
        </is>
      </c>
      <c r="J839" t="inlineStr">
        <is>
          <t>01454 Sachsen - Radeberg</t>
        </is>
      </c>
      <c r="K839" s="5" t="n">
        <v>45550</v>
      </c>
      <c r="L839" t="inlineStr">
        <is>
          <t>Sold</t>
        </is>
      </c>
      <c r="M839" s="6">
        <f>HYPERLINK("https://www.kleinanzeigen.de/s-anzeige/windsurf-segel-north-sails-tonic-7-qm/2863724850-230-4132", "Link")</f>
        <v/>
      </c>
      <c r="N839" s="6">
        <f>HYPERLINK("C:\Projects\Kleinanzeigen-Scraper\offer_images\2863724850", "Link")</f>
        <v/>
      </c>
      <c r="O839" t="inlineStr">
        <is>
          <t>Eberth</t>
        </is>
      </c>
      <c r="P839" s="6">
        <f>HYPERLINK("https://www.kleinanzeigen.de/s-bestandsliste.html?userId=1560613", "Link")</f>
        <v/>
      </c>
      <c r="Q839" s="7" t="n">
        <v>45551.40702546296</v>
      </c>
      <c r="R839" s="3" t="inlineStr">
        <is>
          <t>373.94</t>
        </is>
      </c>
      <c r="S839" t="inlineStr">
        <is>
          <t>München</t>
        </is>
      </c>
    </row>
    <row r="840">
      <c r="A840" s="2" t="n">
        <v>4.7</v>
      </c>
      <c r="B840" t="inlineStr">
        <is>
          <t>KA KAOS</t>
        </is>
      </c>
      <c r="C840" s="3" t="inlineStr"/>
      <c r="D840" s="3" t="inlineStr"/>
      <c r="E840" t="inlineStr"/>
      <c r="F840" t="inlineStr"/>
      <c r="G840" t="inlineStr">
        <is>
          <t>used</t>
        </is>
      </c>
      <c r="H840" s="4" t="n">
        <v>99</v>
      </c>
      <c r="I840" t="inlineStr"/>
      <c r="J840" t="inlineStr">
        <is>
          <t>75382 Baden-Württemberg - Althengstett</t>
        </is>
      </c>
      <c r="K840" s="5" t="n">
        <v>45550</v>
      </c>
      <c r="L840" t="inlineStr">
        <is>
          <t>Sold</t>
        </is>
      </c>
      <c r="M840" s="6">
        <f>HYPERLINK("https://www.kleinanzeigen.de/s-anzeige/ka-segel-kaos-4-7qm-wavesegel-windsurf/2864694414-230-8769", "Link")</f>
        <v/>
      </c>
      <c r="N840" s="6">
        <f>HYPERLINK("C:\Projects\Kleinanzeigen-Scraper\offer_images\2864694414", "Link")</f>
        <v/>
      </c>
      <c r="O840" t="inlineStr">
        <is>
          <t>Andreas</t>
        </is>
      </c>
      <c r="P840" s="6">
        <f>HYPERLINK("https://www.kleinanzeigen.de/s-bestandsliste.html?userId=33461646", "Link")</f>
        <v/>
      </c>
      <c r="Q840" s="7" t="n">
        <v>45551.40695601852</v>
      </c>
      <c r="R840" s="3" t="inlineStr">
        <is>
          <t>14.99</t>
        </is>
      </c>
      <c r="S840" t="inlineStr">
        <is>
          <t>Böblingen</t>
        </is>
      </c>
    </row>
    <row r="841">
      <c r="A841" s="2" t="n">
        <v>4.5</v>
      </c>
      <c r="B841" t="inlineStr">
        <is>
          <t>Severne Blade</t>
        </is>
      </c>
      <c r="C841" s="3" t="n">
        <v>400</v>
      </c>
      <c r="D841" s="3" t="inlineStr"/>
      <c r="E841" t="inlineStr"/>
      <c r="F841" t="inlineStr"/>
      <c r="G841" t="inlineStr"/>
      <c r="H841" s="4" t="n">
        <v>320</v>
      </c>
      <c r="I841" t="inlineStr"/>
      <c r="J841" t="inlineStr">
        <is>
          <t>85630 Kr. München - Grasbrunn</t>
        </is>
      </c>
      <c r="K841" s="5" t="n">
        <v>45549</v>
      </c>
      <c r="L841" t="inlineStr"/>
      <c r="M841" s="6">
        <f>HYPERLINK("https://www.kleinanzeigen.de/s-anzeige/severne-blade-4-5-qm/2863071226-230-6184", "Link")</f>
        <v/>
      </c>
      <c r="N841" s="6">
        <f>HYPERLINK("C:\Projects\Kleinanzeigen-Scraper\offer_images\2863071226", "Link")</f>
        <v/>
      </c>
      <c r="O841" t="inlineStr">
        <is>
          <t>Wir</t>
        </is>
      </c>
      <c r="P841" s="6">
        <f>HYPERLINK("https://www.kleinanzeigen.de/s-bestandsliste.html?userId=8574103", "Link")</f>
        <v/>
      </c>
      <c r="Q841" s="7" t="n">
        <v>45551.40689814815</v>
      </c>
      <c r="R841" s="3" t="inlineStr">
        <is>
          <t>14.39</t>
        </is>
      </c>
      <c r="S841" t="inlineStr">
        <is>
          <t>München</t>
        </is>
      </c>
    </row>
    <row r="842">
      <c r="A842" s="2" t="n">
        <v>5.3</v>
      </c>
      <c r="B842" t="inlineStr">
        <is>
          <t>North Volt</t>
        </is>
      </c>
      <c r="C842" s="3" t="n">
        <v>4.3</v>
      </c>
      <c r="D842" s="3" t="n">
        <v>1.7</v>
      </c>
      <c r="E842" t="inlineStr">
        <is>
          <t>Wave</t>
        </is>
      </c>
      <c r="F842" t="inlineStr">
        <is>
          <t>2018</t>
        </is>
      </c>
      <c r="G842" t="inlineStr">
        <is>
          <t>used</t>
        </is>
      </c>
      <c r="H842" s="4" t="n">
        <v>100</v>
      </c>
      <c r="I842" t="inlineStr">
        <is>
          <t>VB</t>
        </is>
      </c>
      <c r="J842" t="inlineStr">
        <is>
          <t>45473 Nordrhein-Westfalen - Mülheim (Ruhr)</t>
        </is>
      </c>
      <c r="K842" s="5" t="n">
        <v>45550</v>
      </c>
      <c r="L842" t="inlineStr">
        <is>
          <t>Sold</t>
        </is>
      </c>
      <c r="M842" s="6">
        <f>HYPERLINK("https://www.kleinanzeigen.de/s-anzeige/north-volt-5-3-jetzt-duotone-/2864029391-230-2062", "Link")</f>
        <v/>
      </c>
      <c r="N842" s="6">
        <f>HYPERLINK("C:\Projects\Kleinanzeigen-Scraper\offer_images\2864029391", "Link")</f>
        <v/>
      </c>
      <c r="O842" t="inlineStr">
        <is>
          <t>Benedict</t>
        </is>
      </c>
      <c r="P842" s="6">
        <f>HYPERLINK("https://www.kleinanzeigen.de/s-bestandsliste.html?userId=13040713", "Link")</f>
        <v/>
      </c>
      <c r="Q842" s="7" t="n">
        <v>45551.4068287037</v>
      </c>
      <c r="R842" s="3" t="inlineStr">
        <is>
          <t>56.15</t>
        </is>
      </c>
      <c r="S842" t="inlineStr">
        <is>
          <t>Köln</t>
        </is>
      </c>
    </row>
    <row r="843">
      <c r="A843" s="2" t="n">
        <v>4.8</v>
      </c>
      <c r="B843" t="inlineStr">
        <is>
          <t>Duotone Idol Ltd</t>
        </is>
      </c>
      <c r="C843" s="3" t="n">
        <v>420</v>
      </c>
      <c r="D843" s="3" t="n">
        <v>158</v>
      </c>
      <c r="E843" t="inlineStr"/>
      <c r="F843" t="inlineStr">
        <is>
          <t>2024</t>
        </is>
      </c>
      <c r="G843" t="inlineStr">
        <is>
          <t>used</t>
        </is>
      </c>
      <c r="H843" s="4" t="n">
        <v>440</v>
      </c>
      <c r="I843" t="inlineStr">
        <is>
          <t>VB</t>
        </is>
      </c>
      <c r="J843" t="inlineStr">
        <is>
          <t>70736 Baden-Württemberg - Fellbach</t>
        </is>
      </c>
      <c r="K843" s="5" t="n">
        <v>45550</v>
      </c>
      <c r="L843" t="inlineStr">
        <is>
          <t>Sold</t>
        </is>
      </c>
      <c r="M843" s="6">
        <f>HYPERLINK("https://www.kleinanzeigen.de/s-anzeige/duotone-idol-ltd-4-8-2024/2864863958-230-8889", "Link")</f>
        <v/>
      </c>
      <c r="N843" s="6">
        <f>HYPERLINK("C:\Projects\Kleinanzeigen-Scraper\offer_images\2864863958", "Link")</f>
        <v/>
      </c>
      <c r="O843" t="inlineStr">
        <is>
          <t>Bernd</t>
        </is>
      </c>
      <c r="P843" s="6">
        <f>HYPERLINK("https://www.kleinanzeigen.de/s-bestandsliste.html?userId=20168129", "Link")</f>
        <v/>
      </c>
      <c r="Q843" s="7" t="n">
        <v>45551.40642361111</v>
      </c>
      <c r="R843" s="3" t="inlineStr">
        <is>
          <t>28.05</t>
        </is>
      </c>
      <c r="S843" t="inlineStr">
        <is>
          <t>Böblingen</t>
        </is>
      </c>
    </row>
    <row r="844">
      <c r="A844" s="2" t="n">
        <v>9</v>
      </c>
      <c r="B844" t="inlineStr">
        <is>
          <t>Neilpryde V8</t>
        </is>
      </c>
      <c r="C844" s="3" t="inlineStr"/>
      <c r="D844" s="3" t="inlineStr"/>
      <c r="E844" t="inlineStr"/>
      <c r="F844" t="inlineStr"/>
      <c r="G844" t="inlineStr">
        <is>
          <t>used</t>
        </is>
      </c>
      <c r="H844" s="4" t="n">
        <v>145</v>
      </c>
      <c r="I844" t="inlineStr"/>
      <c r="J844" t="inlineStr">
        <is>
          <t>85055 Bayern - Ingolstadt</t>
        </is>
      </c>
      <c r="K844" s="5" t="n">
        <v>45550</v>
      </c>
      <c r="L844" t="inlineStr">
        <is>
          <t>Sold</t>
        </is>
      </c>
      <c r="M844" s="6">
        <f>HYPERLINK("https://www.kleinanzeigen.de/s-anzeige/neilpryde-v8-9-qm/2863886741-230-7613", "Link")</f>
        <v/>
      </c>
      <c r="N844" s="6">
        <f>HYPERLINK("C:\Projects\Kleinanzeigen-Scraper\offer_images\2863886741", "Link")</f>
        <v/>
      </c>
      <c r="O844" t="inlineStr">
        <is>
          <t>Erwin E.</t>
        </is>
      </c>
      <c r="P844" s="6">
        <f>HYPERLINK("https://www.kleinanzeigen.de/s-bestandsliste.html?userId=7749088", "Link")</f>
        <v/>
      </c>
      <c r="Q844" s="7" t="n">
        <v>45551.40634259259</v>
      </c>
      <c r="R844" s="3" t="inlineStr">
        <is>
          <t>73.53</t>
        </is>
      </c>
      <c r="S844" t="inlineStr">
        <is>
          <t>München</t>
        </is>
      </c>
    </row>
    <row r="845">
      <c r="A845" s="2" t="n">
        <v>6</v>
      </c>
      <c r="B845" t="inlineStr">
        <is>
          <t>North Infinity</t>
        </is>
      </c>
      <c r="C845" s="3" t="n">
        <v>4.6</v>
      </c>
      <c r="D845" s="3" t="n">
        <v>185</v>
      </c>
      <c r="E845" t="inlineStr"/>
      <c r="F845" t="inlineStr"/>
      <c r="G845" t="inlineStr">
        <is>
          <t>used</t>
        </is>
      </c>
      <c r="H845" s="4" t="n">
        <v>40</v>
      </c>
      <c r="I845" t="inlineStr"/>
      <c r="J845" t="inlineStr">
        <is>
          <t>41564 Nordrhein-Westfalen - Kaarst</t>
        </is>
      </c>
      <c r="K845" s="5" t="n">
        <v>45550</v>
      </c>
      <c r="L845" t="inlineStr"/>
      <c r="M845" s="6">
        <f>HYPERLINK("https://www.kleinanzeigen.de/s-anzeige/north-windsurf-segel-infinity-6-0/2864792276-230-2107", "Link")</f>
        <v/>
      </c>
      <c r="N845" s="6">
        <f>HYPERLINK("C:\Projects\Kleinanzeigen-Scraper\offer_images\2864792276", "Link")</f>
        <v/>
      </c>
      <c r="O845" t="inlineStr">
        <is>
          <t>Hans-Jürgen</t>
        </is>
      </c>
      <c r="P845" s="6">
        <f>HYPERLINK("https://www.kleinanzeigen.de/s-bestandsliste.html?userId=67801432", "Link")</f>
        <v/>
      </c>
      <c r="Q845" s="7" t="n">
        <v>45551.40625</v>
      </c>
      <c r="R845" s="3" t="inlineStr">
        <is>
          <t>39.22</t>
        </is>
      </c>
      <c r="S845" t="inlineStr">
        <is>
          <t>Köln</t>
        </is>
      </c>
    </row>
    <row r="846">
      <c r="A846" s="2" t="n">
        <v>4.5</v>
      </c>
      <c r="B846" t="inlineStr">
        <is>
          <t>DUOTONE DLab</t>
        </is>
      </c>
      <c r="C846" s="3" t="inlineStr"/>
      <c r="D846" s="3" t="inlineStr"/>
      <c r="E846" t="inlineStr"/>
      <c r="F846" t="inlineStr">
        <is>
          <t>2024</t>
        </is>
      </c>
      <c r="G846" t="inlineStr">
        <is>
          <t>new</t>
        </is>
      </c>
      <c r="H846" s="4" t="n">
        <v>750</v>
      </c>
      <c r="I846" t="inlineStr">
        <is>
          <t>VB</t>
        </is>
      </c>
      <c r="J846" t="inlineStr">
        <is>
          <t>06862 Sachsen-Anhalt - Dessau-Roßlau</t>
        </is>
      </c>
      <c r="K846" s="5" t="n">
        <v>45550</v>
      </c>
      <c r="L846" t="inlineStr">
        <is>
          <t>Sold</t>
        </is>
      </c>
      <c r="M846" s="6">
        <f>HYPERLINK("https://www.kleinanzeigen.de/s-anzeige/duotone-dlab-4-5qm-2024/2864617875-230-16984", "Link")</f>
        <v/>
      </c>
      <c r="N846" s="6">
        <f>HYPERLINK("C:\Projects\Kleinanzeigen-Scraper\offer_images\2864617875", "Link")</f>
        <v/>
      </c>
      <c r="O846" t="inlineStr">
        <is>
          <t>A.Schulze</t>
        </is>
      </c>
      <c r="P846" s="6">
        <f>HYPERLINK("https://www.kleinanzeigen.de/s-bestandsliste.html?userId=60449032", "Link")</f>
        <v/>
      </c>
      <c r="Q846" s="7" t="n">
        <v>45551.40623842592</v>
      </c>
      <c r="R846" s="3" t="inlineStr">
        <is>
          <t>383.71</t>
        </is>
      </c>
      <c r="S846" t="inlineStr">
        <is>
          <t>Köln</t>
        </is>
      </c>
    </row>
    <row r="847">
      <c r="A847" s="2" t="n">
        <v>4.5</v>
      </c>
      <c r="B847" t="inlineStr">
        <is>
          <t>North Sails</t>
        </is>
      </c>
      <c r="C847" s="3" t="inlineStr"/>
      <c r="D847" s="3" t="inlineStr"/>
      <c r="E847" t="inlineStr">
        <is>
          <t>Wave</t>
        </is>
      </c>
      <c r="F847" t="inlineStr">
        <is>
          <t>2013</t>
        </is>
      </c>
      <c r="G847" t="inlineStr">
        <is>
          <t>used</t>
        </is>
      </c>
      <c r="H847" s="4" t="n">
        <v>150</v>
      </c>
      <c r="I847" t="inlineStr">
        <is>
          <t>VB</t>
        </is>
      </c>
      <c r="J847" t="inlineStr">
        <is>
          <t>78462 Baden-Württemberg - Konstanz</t>
        </is>
      </c>
      <c r="K847" s="5" t="n">
        <v>45550</v>
      </c>
      <c r="L847" t="inlineStr">
        <is>
          <t>Sold</t>
        </is>
      </c>
      <c r="M847" s="6">
        <f>HYPERLINK("https://www.kleinanzeigen.de/s-anzeige/windsurfsegel-north-sails-hero-4-5qm/2864577317-230-9390", "Link")</f>
        <v/>
      </c>
      <c r="N847" s="6">
        <f>HYPERLINK("C:\Projects\Kleinanzeigen-Scraper\offer_images\2864577317", "Link")</f>
        <v/>
      </c>
      <c r="O847" t="inlineStr">
        <is>
          <t>Simon Hils</t>
        </is>
      </c>
      <c r="P847" s="6">
        <f>HYPERLINK("https://www.kleinanzeigen.de/s-bestandsliste.html?userId=88087458", "Link")</f>
        <v/>
      </c>
      <c r="Q847" s="7" t="n">
        <v>45551.40600694445</v>
      </c>
      <c r="R847" s="3" t="inlineStr">
        <is>
          <t>64.75</t>
        </is>
      </c>
      <c r="S847" t="inlineStr">
        <is>
          <t>Bonndorf</t>
        </is>
      </c>
    </row>
    <row r="848">
      <c r="A848" s="2" t="n">
        <v>7.9</v>
      </c>
      <c r="B848" t="inlineStr">
        <is>
          <t>Point7 ac1</t>
        </is>
      </c>
      <c r="C848" s="3" t="inlineStr"/>
      <c r="D848" s="3" t="inlineStr"/>
      <c r="E848" t="inlineStr"/>
      <c r="F848" t="inlineStr"/>
      <c r="G848" t="inlineStr">
        <is>
          <t>used</t>
        </is>
      </c>
      <c r="H848" s="4" t="n">
        <v>150</v>
      </c>
      <c r="I848" t="inlineStr"/>
      <c r="J848" t="inlineStr">
        <is>
          <t>12307 Berlin - Tempelhof</t>
        </is>
      </c>
      <c r="K848" s="5" t="n">
        <v>45537</v>
      </c>
      <c r="L848" t="inlineStr">
        <is>
          <t>Sold</t>
        </is>
      </c>
      <c r="M848" s="6">
        <f>HYPERLINK("https://www.kleinanzeigen.de/s-anzeige/point7-ac1-7-9m2/2852761586-230-3412", "Link")</f>
        <v/>
      </c>
      <c r="N848" s="6">
        <f>HYPERLINK("C:\Projects\Kleinanzeigen-Scraper\offer_images\2852761586", "Link")</f>
        <v/>
      </c>
      <c r="O848" t="inlineStr">
        <is>
          <t>Kai</t>
        </is>
      </c>
      <c r="P848" s="6">
        <f>HYPERLINK("https://www.kleinanzeigen.de/s-bestandsliste.html?userId=23144864", "Link")</f>
        <v/>
      </c>
      <c r="Q848" s="7" t="n">
        <v>45551.40597222222</v>
      </c>
      <c r="R848" s="3" t="inlineStr">
        <is>
          <t>472.49</t>
        </is>
      </c>
      <c r="S848" t="inlineStr">
        <is>
          <t>Köln</t>
        </is>
      </c>
    </row>
    <row r="849">
      <c r="A849" s="2" t="n">
        <v>4.5</v>
      </c>
      <c r="B849" t="inlineStr">
        <is>
          <t>Duotone UNIT</t>
        </is>
      </c>
      <c r="C849" s="3" t="inlineStr"/>
      <c r="D849" s="3" t="inlineStr"/>
      <c r="E849" t="inlineStr"/>
      <c r="F849" t="inlineStr">
        <is>
          <t>2024</t>
        </is>
      </c>
      <c r="G849" t="inlineStr">
        <is>
          <t>repaired</t>
        </is>
      </c>
      <c r="H849" s="4" t="n">
        <v>500</v>
      </c>
      <c r="I849" t="inlineStr"/>
      <c r="J849" t="inlineStr">
        <is>
          <t>02763 Sachsen - Zittau</t>
        </is>
      </c>
      <c r="K849" s="5" t="n">
        <v>45550</v>
      </c>
      <c r="L849" t="inlineStr">
        <is>
          <t>Sold</t>
        </is>
      </c>
      <c r="M849" s="6">
        <f>HYPERLINK("https://www.kleinanzeigen.de/s-anzeige/duotone-unit-2024-4-5m-/2863654985-230-4087", "Link")</f>
        <v/>
      </c>
      <c r="N849" s="6">
        <f>HYPERLINK("C:\Projects\Kleinanzeigen-Scraper\offer_images\2863654985", "Link")</f>
        <v/>
      </c>
      <c r="O849" t="inlineStr">
        <is>
          <t>PETR KADLEC</t>
        </is>
      </c>
      <c r="P849" s="6">
        <f>HYPERLINK("https://www.kleinanzeigen.de/s-bestandsliste.html?userId=90070661", "Link")</f>
        <v/>
      </c>
      <c r="Q849" s="7" t="n">
        <v>45551.40589120371</v>
      </c>
      <c r="R849" s="3" t="inlineStr">
        <is>
          <t>386.37</t>
        </is>
      </c>
      <c r="S849" t="inlineStr">
        <is>
          <t>München</t>
        </is>
      </c>
    </row>
    <row r="850">
      <c r="A850" s="2" t="n">
        <v>7.7</v>
      </c>
      <c r="B850" t="inlineStr">
        <is>
          <t>Gun GSR</t>
        </is>
      </c>
      <c r="C850" s="3" t="inlineStr"/>
      <c r="D850" s="3" t="inlineStr"/>
      <c r="E850" t="inlineStr"/>
      <c r="F850" t="inlineStr"/>
      <c r="G850" t="inlineStr"/>
      <c r="H850" s="4" t="n">
        <v>150</v>
      </c>
      <c r="I850" t="inlineStr">
        <is>
          <t>VB</t>
        </is>
      </c>
      <c r="J850" t="inlineStr">
        <is>
          <t>48291 Nordrhein-Westfalen - Telgte</t>
        </is>
      </c>
      <c r="K850" s="5" t="n">
        <v>45550</v>
      </c>
      <c r="L850" t="inlineStr">
        <is>
          <t>Sold</t>
        </is>
      </c>
      <c r="M850" s="6">
        <f>HYPERLINK("https://www.kleinanzeigen.de/s-anzeige/windsurf-segel-gun-gsr-7-7m-/2863781503-230-1305", "Link")</f>
        <v/>
      </c>
      <c r="N850" s="6">
        <f>HYPERLINK("C:\Projects\Kleinanzeigen-Scraper\offer_images\2863781503", "Link")</f>
        <v/>
      </c>
      <c r="O850" t="inlineStr">
        <is>
          <t>Wolfgang Bahr.</t>
        </is>
      </c>
      <c r="P850" s="6">
        <f>HYPERLINK("https://www.kleinanzeigen.de/s-bestandsliste.html?userId=2855007", "Link")</f>
        <v/>
      </c>
      <c r="Q850" s="7" t="n">
        <v>45551.40589120371</v>
      </c>
      <c r="R850" s="3" t="inlineStr">
        <is>
          <t>129.80</t>
        </is>
      </c>
      <c r="S850" t="inlineStr">
        <is>
          <t>Köln</t>
        </is>
      </c>
    </row>
    <row r="851">
      <c r="A851" s="2" t="n">
        <v>9</v>
      </c>
      <c r="B851" t="inlineStr">
        <is>
          <t>Duotone Evo</t>
        </is>
      </c>
      <c r="C851" s="3" t="inlineStr"/>
      <c r="D851" s="3" t="inlineStr"/>
      <c r="E851" t="inlineStr"/>
      <c r="F851" t="inlineStr">
        <is>
          <t>2024</t>
        </is>
      </c>
      <c r="G851" t="inlineStr">
        <is>
          <t>used, repaired</t>
        </is>
      </c>
      <c r="H851" s="4" t="n">
        <v>950</v>
      </c>
      <c r="I851" t="inlineStr"/>
      <c r="J851" t="inlineStr">
        <is>
          <t>10437 Pankow - Prenzlauer Berg</t>
        </is>
      </c>
      <c r="K851" s="5" t="n">
        <v>45548</v>
      </c>
      <c r="L851" t="inlineStr">
        <is>
          <t>Sold</t>
        </is>
      </c>
      <c r="M851" s="6">
        <f>HYPERLINK("https://www.kleinanzeigen.de/s-anzeige/duotone-evo-2024-9m/2861921509-230-3491", "Link")</f>
        <v/>
      </c>
      <c r="N851" s="6">
        <f>HYPERLINK("C:\Projects\Kleinanzeigen-Scraper\offer_images\2861921509", "Link")</f>
        <v/>
      </c>
      <c r="O851" t="inlineStr">
        <is>
          <t>Fynn</t>
        </is>
      </c>
      <c r="P851" s="6">
        <f>HYPERLINK("https://www.kleinanzeigen.de/s-bestandsliste.html?userId=143794609", "Link")</f>
        <v/>
      </c>
      <c r="Q851" s="7" t="n">
        <v>45551.40559027778</v>
      </c>
      <c r="R851" s="3" t="inlineStr">
        <is>
          <t>304.19</t>
        </is>
      </c>
      <c r="S851" t="inlineStr">
        <is>
          <t>Köln</t>
        </is>
      </c>
    </row>
    <row r="852">
      <c r="A852" s="2" t="n">
        <v>7</v>
      </c>
      <c r="B852" t="inlineStr"/>
      <c r="C852" s="3" t="inlineStr"/>
      <c r="D852" s="3" t="inlineStr"/>
      <c r="E852" t="inlineStr"/>
      <c r="F852" t="inlineStr"/>
      <c r="G852" t="inlineStr">
        <is>
          <t>used</t>
        </is>
      </c>
      <c r="H852" s="4" t="inlineStr">
        <is>
          <t>Zu verschenken</t>
        </is>
      </c>
      <c r="I852" t="inlineStr"/>
      <c r="J852" t="inlineStr">
        <is>
          <t>14612 Brandenburg - Falkensee</t>
        </is>
      </c>
      <c r="K852" s="5" t="n">
        <v>45550</v>
      </c>
      <c r="L852" t="inlineStr">
        <is>
          <t>Sold</t>
        </is>
      </c>
      <c r="M852" s="6">
        <f>HYPERLINK("https://www.kleinanzeigen.de/s-anzeige/verschenke-ein-7-0m-2-segel-zum-windsurfen/2864532451-230-7729", "Link")</f>
        <v/>
      </c>
      <c r="N852" s="6">
        <f>HYPERLINK("C:\Projects\Kleinanzeigen-Scraper\offer_images\2864532451", "Link")</f>
        <v/>
      </c>
      <c r="O852" t="inlineStr">
        <is>
          <t>Stephan Brendel</t>
        </is>
      </c>
      <c r="P852" s="6">
        <f>HYPERLINK("https://www.kleinanzeigen.de/s-bestandsliste.html?userId=6479445", "Link")</f>
        <v/>
      </c>
      <c r="Q852" s="7" t="n">
        <v>45551.40540509259</v>
      </c>
      <c r="R852" s="3" t="inlineStr">
        <is>
          <t>458.53</t>
        </is>
      </c>
      <c r="S852" t="inlineStr">
        <is>
          <t>Köln</t>
        </is>
      </c>
    </row>
    <row r="853">
      <c r="A853" s="2" t="n">
        <v>6</v>
      </c>
      <c r="B853" t="inlineStr">
        <is>
          <t>NPU Sails</t>
        </is>
      </c>
      <c r="C853" s="3" t="inlineStr"/>
      <c r="D853" s="3" t="inlineStr"/>
      <c r="E853" t="inlineStr"/>
      <c r="F853" t="inlineStr"/>
      <c r="G853" t="inlineStr">
        <is>
          <t>used</t>
        </is>
      </c>
      <c r="H853" s="4" t="n">
        <v>30</v>
      </c>
      <c r="I853" t="inlineStr">
        <is>
          <t>VB</t>
        </is>
      </c>
      <c r="J853" t="inlineStr">
        <is>
          <t>10247 Friedrichshain-Kreuzberg - Friedrichshain</t>
        </is>
      </c>
      <c r="K853" s="5" t="n">
        <v>45549</v>
      </c>
      <c r="L853" t="inlineStr">
        <is>
          <t>Sold</t>
        </is>
      </c>
      <c r="M853" s="6">
        <f>HYPERLINK("https://www.kleinanzeigen.de/s-anzeige/windsurf-segel-npu-sails-6-0-qm/2862970658-230-3353", "Link")</f>
        <v/>
      </c>
      <c r="N853" s="6">
        <f>HYPERLINK("C:\Projects\Kleinanzeigen-Scraper\offer_images\2862970658", "Link")</f>
        <v/>
      </c>
      <c r="O853" t="inlineStr">
        <is>
          <t>Lieberenz</t>
        </is>
      </c>
      <c r="P853" s="6">
        <f>HYPERLINK("https://www.kleinanzeigen.de/s-bestandsliste.html?userId=17290731", "Link")</f>
        <v/>
      </c>
      <c r="Q853" s="7" t="n">
        <v>45551.40534722222</v>
      </c>
      <c r="R853" s="3" t="inlineStr">
        <is>
          <t>481.24</t>
        </is>
      </c>
      <c r="S853" t="inlineStr">
        <is>
          <t>Köln</t>
        </is>
      </c>
    </row>
    <row r="854">
      <c r="A854" s="2" t="n">
        <v>6</v>
      </c>
      <c r="B854" t="inlineStr">
        <is>
          <t>VB-Sails RAINBOW</t>
        </is>
      </c>
      <c r="C854" s="3" t="n">
        <v>4.35</v>
      </c>
      <c r="D854" s="3" t="n">
        <v>2.3</v>
      </c>
      <c r="E854" t="inlineStr"/>
      <c r="F854" t="inlineStr">
        <is>
          <t>1980s</t>
        </is>
      </c>
      <c r="G854" t="inlineStr">
        <is>
          <t>used</t>
        </is>
      </c>
      <c r="H854" s="4" t="n">
        <v>109</v>
      </c>
      <c r="I854" t="inlineStr"/>
      <c r="J854" t="inlineStr">
        <is>
          <t>37124 Niedersachsen - Rosdorf</t>
        </is>
      </c>
      <c r="K854" s="5" t="n">
        <v>45549</v>
      </c>
      <c r="L854" t="inlineStr">
        <is>
          <t>Sold</t>
        </is>
      </c>
      <c r="M854" s="6">
        <f>HYPERLINK("https://www.kleinanzeigen.de/s-anzeige/vintage-6qm-windsurf-segel-rainbow-vl-4-35-gb-2-3-deko-1373-/2737644053-230-3133", "Link")</f>
        <v/>
      </c>
      <c r="N854" s="6">
        <f>HYPERLINK("C:\Projects\Kleinanzeigen-Scraper\offer_images\2737644053", "Link")</f>
        <v/>
      </c>
      <c r="O854" t="inlineStr">
        <is>
          <t>No user name</t>
        </is>
      </c>
      <c r="P854" s="6">
        <f>HYPERLINK("https://www.kleinanzeigen.deNo user link", "Link")</f>
        <v/>
      </c>
      <c r="Q854" s="7" t="n">
        <v>45551.40534722222</v>
      </c>
      <c r="R854" s="3" t="inlineStr">
        <is>
          <t>214.72</t>
        </is>
      </c>
      <c r="S854" t="inlineStr">
        <is>
          <t>Köln</t>
        </is>
      </c>
    </row>
    <row r="855">
      <c r="A855" s="2" t="n">
        <v>6.4</v>
      </c>
      <c r="B855" t="inlineStr">
        <is>
          <t>North Infinity</t>
        </is>
      </c>
      <c r="C855" s="3" t="n">
        <v>4.7</v>
      </c>
      <c r="D855" s="3" t="n">
        <v>192</v>
      </c>
      <c r="E855" t="inlineStr"/>
      <c r="F855" t="inlineStr"/>
      <c r="G855" t="inlineStr">
        <is>
          <t>repaired</t>
        </is>
      </c>
      <c r="H855" s="4" t="inlineStr">
        <is>
          <t>Zu verschenken</t>
        </is>
      </c>
      <c r="I855" t="inlineStr"/>
      <c r="J855" t="inlineStr">
        <is>
          <t>42697 Nordrhein-Westfalen - Solingen</t>
        </is>
      </c>
      <c r="K855" s="5" t="n">
        <v>45549</v>
      </c>
      <c r="L855" t="inlineStr">
        <is>
          <t>Sold</t>
        </is>
      </c>
      <c r="M855" s="6">
        <f>HYPERLINK("https://www.kleinanzeigen.de/s-anzeige/north-infinity-6-4-windsurfsegel-zu-verschenken/2863233622-230-2125", "Link")</f>
        <v/>
      </c>
      <c r="N855" s="6">
        <f>HYPERLINK("C:\Projects\Kleinanzeigen-Scraper\offer_images\2863233622", "Link")</f>
        <v/>
      </c>
      <c r="O855" t="inlineStr">
        <is>
          <t>Chris Wordtmann</t>
        </is>
      </c>
      <c r="P855" s="6">
        <f>HYPERLINK("https://www.kleinanzeigen.de/s-bestandsliste.html?userId=9738972", "Link")</f>
        <v/>
      </c>
      <c r="Q855" s="7" t="n">
        <v>45551.40525462963</v>
      </c>
      <c r="R855" s="3" t="inlineStr">
        <is>
          <t>24.09</t>
        </is>
      </c>
      <c r="S855" t="inlineStr">
        <is>
          <t>Köln</t>
        </is>
      </c>
    </row>
    <row r="856">
      <c r="A856" s="2" t="n">
        <v>7.5</v>
      </c>
      <c r="B856" t="inlineStr">
        <is>
          <t>Point 7 AC-X</t>
        </is>
      </c>
      <c r="C856" s="3" t="n">
        <v>478</v>
      </c>
      <c r="D856" s="3" t="n">
        <v>206</v>
      </c>
      <c r="E856" t="inlineStr"/>
      <c r="F856" t="inlineStr"/>
      <c r="G856" t="inlineStr">
        <is>
          <t>used</t>
        </is>
      </c>
      <c r="H856" s="4" t="n">
        <v>225</v>
      </c>
      <c r="I856" t="inlineStr"/>
      <c r="J856" t="inlineStr">
        <is>
          <t>81476 München - Thalk.Obersendl.-Forsten-Fürstenr.-Solln</t>
        </is>
      </c>
      <c r="K856" s="5" t="n">
        <v>45550</v>
      </c>
      <c r="L856" t="inlineStr">
        <is>
          <t>Sold</t>
        </is>
      </c>
      <c r="M856" s="6">
        <f>HYPERLINK("https://www.kleinanzeigen.de/s-anzeige/windsurf-segel-point-7-ac-x-7-5-qm/2864927390-230-6436", "Link")</f>
        <v/>
      </c>
      <c r="N856" s="6">
        <f>HYPERLINK("C:\Projects\Kleinanzeigen-Scraper\offer_images\2864927390", "Link")</f>
        <v/>
      </c>
      <c r="O856" t="inlineStr">
        <is>
          <t>Mike</t>
        </is>
      </c>
      <c r="P856" s="6">
        <f>HYPERLINK("https://www.kleinanzeigen.de/s-bestandsliste.html?userId=27971111", "Link")</f>
        <v/>
      </c>
      <c r="Q856" s="7" t="n">
        <v>45551.40524305555</v>
      </c>
      <c r="R856" s="3" t="inlineStr">
        <is>
          <t>8.19</t>
        </is>
      </c>
      <c r="S856" t="inlineStr">
        <is>
          <t>München</t>
        </is>
      </c>
    </row>
    <row r="857">
      <c r="A857" s="2" t="n">
        <v>7.8</v>
      </c>
      <c r="B857" t="inlineStr">
        <is>
          <t>Loftsails Racingblade</t>
        </is>
      </c>
      <c r="C857" s="3" t="n">
        <v>484</v>
      </c>
      <c r="D857" s="3" t="n">
        <v>217</v>
      </c>
      <c r="E857" t="inlineStr"/>
      <c r="F857" t="inlineStr"/>
      <c r="G857" t="inlineStr">
        <is>
          <t>used</t>
        </is>
      </c>
      <c r="H857" s="4" t="n">
        <v>150</v>
      </c>
      <c r="I857" t="inlineStr">
        <is>
          <t>VB</t>
        </is>
      </c>
      <c r="J857" t="inlineStr">
        <is>
          <t>01454 Sachsen - Radeberg</t>
        </is>
      </c>
      <c r="K857" s="5" t="n">
        <v>45550</v>
      </c>
      <c r="L857" t="inlineStr"/>
      <c r="M857" s="6">
        <f>HYPERLINK("https://www.kleinanzeigen.de/s-anzeige/windsurf-segel-7-8-qm-loftsails-racingblade/2863715032-230-4132", "Link")</f>
        <v/>
      </c>
      <c r="N857" s="6">
        <f>HYPERLINK("C:\Projects\Kleinanzeigen-Scraper\offer_images\2863715032", "Link")</f>
        <v/>
      </c>
      <c r="O857" t="inlineStr">
        <is>
          <t>Eberth</t>
        </is>
      </c>
      <c r="P857" s="6">
        <f>HYPERLINK("https://www.kleinanzeigen.de/s-bestandsliste.html?userId=1560613", "Link")</f>
        <v/>
      </c>
      <c r="Q857" s="7" t="n">
        <v>45550.99850694444</v>
      </c>
      <c r="R857" s="3" t="inlineStr">
        <is>
          <t>373.94</t>
        </is>
      </c>
      <c r="S857" t="inlineStr">
        <is>
          <t>München</t>
        </is>
      </c>
    </row>
    <row r="858">
      <c r="A858" s="2" t="n">
        <v>5.8</v>
      </c>
      <c r="B858" t="inlineStr">
        <is>
          <t>Vandal Venture</t>
        </is>
      </c>
      <c r="C858" s="3" t="inlineStr"/>
      <c r="D858" s="3" t="inlineStr"/>
      <c r="E858" t="inlineStr"/>
      <c r="F858" t="inlineStr"/>
      <c r="G858" t="inlineStr">
        <is>
          <t>used</t>
        </is>
      </c>
      <c r="H858" s="4" t="n">
        <v>199</v>
      </c>
      <c r="I858" t="inlineStr"/>
      <c r="J858" t="inlineStr">
        <is>
          <t>87527 Bayern - Sonthofen</t>
        </is>
      </c>
      <c r="K858" s="5" t="n">
        <v>45550</v>
      </c>
      <c r="L858" t="inlineStr"/>
      <c r="M858" s="6">
        <f>HYPERLINK("https://www.kleinanzeigen.de/s-anzeige/windsurfen-segel-vandal-venture-5-8/2863788044-230-5537", "Link")</f>
        <v/>
      </c>
      <c r="N858" s="6">
        <f>HYPERLINK("C:\Projects\Kleinanzeigen-Scraper\offer_images\2863788044", "Link")</f>
        <v/>
      </c>
      <c r="O858" t="inlineStr">
        <is>
          <t>Robby</t>
        </is>
      </c>
      <c r="P858" s="6">
        <f>HYPERLINK("https://www.kleinanzeigen.de/s-bestandsliste.html?userId=25281524", "Link")</f>
        <v/>
      </c>
      <c r="Q858" s="7" t="n">
        <v>45550.99844907408</v>
      </c>
      <c r="R858" s="3" t="inlineStr">
        <is>
          <t>118.69</t>
        </is>
      </c>
      <c r="S858" t="inlineStr">
        <is>
          <t>München</t>
        </is>
      </c>
    </row>
    <row r="859">
      <c r="A859" s="2" t="n">
        <v>6</v>
      </c>
      <c r="B859" t="inlineStr">
        <is>
          <t>Naish ADX</t>
        </is>
      </c>
      <c r="C859" s="3" t="inlineStr"/>
      <c r="D859" s="3" t="inlineStr"/>
      <c r="E859" t="inlineStr"/>
      <c r="F859" t="inlineStr">
        <is>
          <t>2024</t>
        </is>
      </c>
      <c r="G859" t="inlineStr">
        <is>
          <t>new</t>
        </is>
      </c>
      <c r="H859" s="4" t="n">
        <v>750</v>
      </c>
      <c r="I859" t="inlineStr"/>
      <c r="J859" t="inlineStr">
        <is>
          <t>85276 Bayern - Pfaffenhofen a.d. Ilm</t>
        </is>
      </c>
      <c r="K859" s="5" t="n">
        <v>45550</v>
      </c>
      <c r="L859" t="inlineStr">
        <is>
          <t>Sold</t>
        </is>
      </c>
      <c r="M859" s="6">
        <f>HYPERLINK("https://www.kleinanzeigen.de/s-anzeige/naish-adx-2024-6-0-neuwertig/2864391727-230-5850", "Link")</f>
        <v/>
      </c>
      <c r="N859" s="6">
        <f>HYPERLINK("C:\Projects\Kleinanzeigen-Scraper\offer_images\2864391727", "Link")</f>
        <v/>
      </c>
      <c r="O859" t="inlineStr">
        <is>
          <t>OG</t>
        </is>
      </c>
      <c r="P859" s="6">
        <f>HYPERLINK("https://www.kleinanzeigen.de/s-bestandsliste.html?userId=22659257", "Link")</f>
        <v/>
      </c>
      <c r="Q859" s="7" t="n">
        <v>45550.99815972222</v>
      </c>
      <c r="R859" s="3" t="inlineStr">
        <is>
          <t>47.13</t>
        </is>
      </c>
      <c r="S859" t="inlineStr">
        <is>
          <t>München</t>
        </is>
      </c>
    </row>
    <row r="860">
      <c r="A860" s="2" t="n">
        <v>5.6</v>
      </c>
      <c r="B860" t="inlineStr">
        <is>
          <t>Sailloft Quad</t>
        </is>
      </c>
      <c r="C860" s="3" t="inlineStr"/>
      <c r="D860" s="3" t="inlineStr"/>
      <c r="E860" t="inlineStr"/>
      <c r="F860" t="inlineStr"/>
      <c r="G860" t="inlineStr">
        <is>
          <t>used</t>
        </is>
      </c>
      <c r="H860" s="4" t="n">
        <v>350</v>
      </c>
      <c r="I860" t="inlineStr">
        <is>
          <t>VB</t>
        </is>
      </c>
      <c r="J860" t="inlineStr">
        <is>
          <t>25462 Kreis Pinneberg - Rellingen</t>
        </is>
      </c>
      <c r="K860" s="5" t="n">
        <v>45543</v>
      </c>
      <c r="L860" t="inlineStr">
        <is>
          <t>Sold</t>
        </is>
      </c>
      <c r="M860" s="6">
        <f>HYPERLINK("https://www.kleinanzeigen.de/s-anzeige/sailloft-5-6-m2-quad/2857241988-230-787", "Link")</f>
        <v/>
      </c>
      <c r="N860" s="6">
        <f>HYPERLINK("C:\Projects\Kleinanzeigen-Scraper\offer_images\2857241988", "Link")</f>
        <v/>
      </c>
      <c r="O860" t="inlineStr">
        <is>
          <t>Michael</t>
        </is>
      </c>
      <c r="P860" s="6">
        <f>HYPERLINK("https://www.kleinanzeigen.de/s-bestandsliste.html?userId=9538273", "Link")</f>
        <v/>
      </c>
      <c r="Q860" s="7" t="n">
        <v>45550.99790509259</v>
      </c>
      <c r="R860" s="3" t="inlineStr">
        <is>
          <t>359.53</t>
        </is>
      </c>
      <c r="S860" t="inlineStr">
        <is>
          <t>Köln</t>
        </is>
      </c>
    </row>
    <row r="861">
      <c r="A861" s="2" t="n">
        <v>4.2</v>
      </c>
      <c r="B861" t="inlineStr">
        <is>
          <t>GOYA BANZAI X</t>
        </is>
      </c>
      <c r="C861" s="3" t="n">
        <v>370</v>
      </c>
      <c r="D861" s="3" t="inlineStr">
        <is>
          <t>152-149</t>
        </is>
      </c>
      <c r="E861" t="inlineStr">
        <is>
          <t>Freestyle</t>
        </is>
      </c>
      <c r="F861" t="inlineStr">
        <is>
          <t>2021/22</t>
        </is>
      </c>
      <c r="G861" t="inlineStr">
        <is>
          <t>new</t>
        </is>
      </c>
      <c r="H861" s="4" t="n">
        <v>325</v>
      </c>
      <c r="I861" t="inlineStr"/>
      <c r="J861" t="inlineStr">
        <is>
          <t>67245 Rheinland-Pfalz - Lambsheim</t>
        </is>
      </c>
      <c r="K861" s="5" t="n">
        <v>45534</v>
      </c>
      <c r="L861" t="inlineStr">
        <is>
          <t>Sold</t>
        </is>
      </c>
      <c r="M861" s="6">
        <f>HYPERLINK("https://www.kleinanzeigen.de/s-anzeige/goya-banzai-x-4-2-2021-22/2849814016-230-5186", "Link")</f>
        <v/>
      </c>
      <c r="N861" s="6">
        <f>HYPERLINK("C:\Projects\Kleinanzeigen-Scraper\offer_images\2849814016", "Link")</f>
        <v/>
      </c>
      <c r="O861" t="inlineStr">
        <is>
          <t>Frank</t>
        </is>
      </c>
      <c r="P861" s="6">
        <f>HYPERLINK("https://www.kleinanzeigen.de/s-bestandsliste.html?userId=8491603", "Link")</f>
        <v/>
      </c>
      <c r="Q861" s="7" t="n">
        <v>45550.99773148148</v>
      </c>
      <c r="R861" s="3" t="inlineStr">
        <is>
          <t>56.18</t>
        </is>
      </c>
      <c r="S861" t="inlineStr">
        <is>
          <t>Karlsruhe</t>
        </is>
      </c>
    </row>
    <row r="862">
      <c r="A862" s="2" t="n">
        <v>7.5</v>
      </c>
      <c r="B862" t="inlineStr">
        <is>
          <t>Point 7 ACX</t>
        </is>
      </c>
      <c r="C862" s="3" t="inlineStr"/>
      <c r="D862" s="3" t="inlineStr"/>
      <c r="E862" t="inlineStr">
        <is>
          <t>Slalom</t>
        </is>
      </c>
      <c r="F862" t="inlineStr"/>
      <c r="G862" t="inlineStr">
        <is>
          <t>used</t>
        </is>
      </c>
      <c r="H862" s="4" t="n">
        <v>220</v>
      </c>
      <c r="I862" t="inlineStr"/>
      <c r="J862" t="inlineStr">
        <is>
          <t>69168 Baden-Württemberg - Wiesloch</t>
        </is>
      </c>
      <c r="K862" s="5" t="n">
        <v>45536</v>
      </c>
      <c r="L862" t="inlineStr">
        <is>
          <t>Sold</t>
        </is>
      </c>
      <c r="M862" s="6">
        <f>HYPERLINK("https://www.kleinanzeigen.de/s-anzeige/point-7-acx-7-5/2851879612-230-8259", "Link")</f>
        <v/>
      </c>
      <c r="N862" s="6">
        <f>HYPERLINK("C:\Projects\Kleinanzeigen-Scraper\offer_images\2851879612", "Link")</f>
        <v/>
      </c>
      <c r="O862" t="inlineStr">
        <is>
          <t>Stahl Michael</t>
        </is>
      </c>
      <c r="P862" s="6">
        <f>HYPERLINK("https://www.kleinanzeigen.de/s-bestandsliste.html?userId=21030499", "Link")</f>
        <v/>
      </c>
      <c r="Q862" s="7" t="n">
        <v>45550.99746527777</v>
      </c>
      <c r="R862" s="3" t="inlineStr">
        <is>
          <t>38.40</t>
        </is>
      </c>
      <c r="S862" t="inlineStr">
        <is>
          <t>Karlsruhe</t>
        </is>
      </c>
    </row>
    <row r="863">
      <c r="A863" s="2" t="n">
        <v>4.2</v>
      </c>
      <c r="B863" t="inlineStr">
        <is>
          <t>North Orbital</t>
        </is>
      </c>
      <c r="C863" s="3" t="n">
        <v>4.1</v>
      </c>
      <c r="D863" s="3" t="n">
        <v>1.45</v>
      </c>
      <c r="E863" t="inlineStr"/>
      <c r="F863" t="inlineStr"/>
      <c r="G863" t="inlineStr">
        <is>
          <t>used</t>
        </is>
      </c>
      <c r="H863" s="4" t="n">
        <v>40</v>
      </c>
      <c r="I863" t="inlineStr"/>
      <c r="J863" t="inlineStr">
        <is>
          <t>41564 Nordrhein-Westfalen - Kaarst</t>
        </is>
      </c>
      <c r="K863" s="5" t="n">
        <v>45550</v>
      </c>
      <c r="L863" t="inlineStr"/>
      <c r="M863" s="6">
        <f>HYPERLINK("https://www.kleinanzeigen.de/s-anzeige/north-windsurf-segel-orbital-4-2/2864795504-230-2107", "Link")</f>
        <v/>
      </c>
      <c r="N863" s="6">
        <f>HYPERLINK("C:\Projects\Kleinanzeigen-Scraper\offer_images\2864795504", "Link")</f>
        <v/>
      </c>
      <c r="O863" t="inlineStr">
        <is>
          <t>Hans-Jürgen</t>
        </is>
      </c>
      <c r="P863" s="6">
        <f>HYPERLINK("https://www.kleinanzeigen.de/s-bestandsliste.html?userId=67801432", "Link")</f>
        <v/>
      </c>
      <c r="Q863" s="7" t="n">
        <v>45550.99724537037</v>
      </c>
      <c r="R863" s="3" t="inlineStr">
        <is>
          <t>39.22</t>
        </is>
      </c>
      <c r="S863" t="inlineStr">
        <is>
          <t>Köln</t>
        </is>
      </c>
    </row>
    <row r="864">
      <c r="A864" s="2" t="n">
        <v>3.5</v>
      </c>
      <c r="B864" t="inlineStr">
        <is>
          <t>Duotone Unit</t>
        </is>
      </c>
      <c r="C864" s="3" t="inlineStr"/>
      <c r="D864" s="3" t="inlineStr"/>
      <c r="E864" t="inlineStr"/>
      <c r="F864" t="inlineStr">
        <is>
          <t>2024</t>
        </is>
      </c>
      <c r="G864" t="inlineStr">
        <is>
          <t>repaired</t>
        </is>
      </c>
      <c r="H864" s="4" t="n">
        <v>600</v>
      </c>
      <c r="I864" t="inlineStr">
        <is>
          <t>VB</t>
        </is>
      </c>
      <c r="J864" t="inlineStr">
        <is>
          <t>85640 Kr. München - Putzbrunn</t>
        </is>
      </c>
      <c r="K864" s="5" t="n">
        <v>45550</v>
      </c>
      <c r="L864" t="inlineStr">
        <is>
          <t>Sold</t>
        </is>
      </c>
      <c r="M864" s="6">
        <f>HYPERLINK("https://www.kleinanzeigen.de/s-anzeige/gebrauchtes-duotone-unit-3-5-2024/2864344770-230-6182", "Link")</f>
        <v/>
      </c>
      <c r="N864" s="6">
        <f>HYPERLINK("C:\Projects\Kleinanzeigen-Scraper\offer_images\2864344770", "Link")</f>
        <v/>
      </c>
      <c r="O864" t="inlineStr">
        <is>
          <t>Ivano</t>
        </is>
      </c>
      <c r="P864" s="6">
        <f>HYPERLINK("https://www.kleinanzeigen.de/s-bestandsliste.html?userId=140866439", "Link")</f>
        <v/>
      </c>
      <c r="Q864" s="7" t="n">
        <v>45550.99707175926</v>
      </c>
      <c r="R864" s="3" t="inlineStr">
        <is>
          <t>11.31</t>
        </is>
      </c>
      <c r="S864" t="inlineStr">
        <is>
          <t>München</t>
        </is>
      </c>
    </row>
    <row r="865">
      <c r="A865" s="2" t="n">
        <v>6.7</v>
      </c>
      <c r="B865" t="inlineStr">
        <is>
          <t>Neilpryde Hellcat</t>
        </is>
      </c>
      <c r="C865" s="3" t="n">
        <v>430</v>
      </c>
      <c r="D865" s="3" t="n">
        <v>190</v>
      </c>
      <c r="E865" t="inlineStr"/>
      <c r="F865" t="inlineStr"/>
      <c r="G865" t="inlineStr">
        <is>
          <t>used</t>
        </is>
      </c>
      <c r="H865" s="4" t="n">
        <v>139</v>
      </c>
      <c r="I865" t="inlineStr">
        <is>
          <t>VB</t>
        </is>
      </c>
      <c r="J865" t="inlineStr">
        <is>
          <t>25746 Dithmarschen - Lohe-Rickelshof</t>
        </is>
      </c>
      <c r="K865" s="5" t="n">
        <v>45550</v>
      </c>
      <c r="L865" t="inlineStr">
        <is>
          <t>Sold</t>
        </is>
      </c>
      <c r="M865" s="6">
        <f>HYPERLINK("https://www.kleinanzeigen.de/s-anzeige/windsurfsegel-6-7m2-neilpryde-hellcat-segel/2863901721-230-16650", "Link")</f>
        <v/>
      </c>
      <c r="N865" s="6">
        <f>HYPERLINK("C:\Projects\Kleinanzeigen-Scraper\offer_images\2863901721", "Link")</f>
        <v/>
      </c>
      <c r="O865" t="inlineStr">
        <is>
          <t>M. Elsen</t>
        </is>
      </c>
      <c r="P865" s="6">
        <f>HYPERLINK("https://www.kleinanzeigen.de/s-bestandsliste.html?userId=2258653", "Link")</f>
        <v/>
      </c>
      <c r="Q865" s="7" t="n">
        <v>45550.99703703704</v>
      </c>
      <c r="R865" s="3" t="inlineStr">
        <is>
          <t>389.26</t>
        </is>
      </c>
      <c r="S865" t="inlineStr">
        <is>
          <t>Köln</t>
        </is>
      </c>
    </row>
    <row r="866">
      <c r="A866" s="2" t="n">
        <v>6.5</v>
      </c>
      <c r="B866" t="inlineStr">
        <is>
          <t>North Tonic</t>
        </is>
      </c>
      <c r="C866" s="3" t="n">
        <v>473</v>
      </c>
      <c r="D866" s="3" t="n">
        <v>196</v>
      </c>
      <c r="E866" t="inlineStr"/>
      <c r="F866" t="inlineStr"/>
      <c r="G866" t="inlineStr">
        <is>
          <t>used</t>
        </is>
      </c>
      <c r="H866" s="4" t="n">
        <v>180</v>
      </c>
      <c r="I866" t="inlineStr">
        <is>
          <t>VB</t>
        </is>
      </c>
      <c r="J866" t="inlineStr">
        <is>
          <t>76227 Baden-Württemberg - Karlsruhe</t>
        </is>
      </c>
      <c r="K866" s="5" t="n">
        <v>45550</v>
      </c>
      <c r="L866" t="inlineStr">
        <is>
          <t>Sold</t>
        </is>
      </c>
      <c r="M866" s="6">
        <f>HYPERLINK("https://www.kleinanzeigen.de/s-anzeige/surfsegel-6-5m2-north-modell-tonic-folie/2864028609-230-9197", "Link")</f>
        <v/>
      </c>
      <c r="N866" s="6">
        <f>HYPERLINK("C:\Projects\Kleinanzeigen-Scraper\offer_images\2864028609", "Link")</f>
        <v/>
      </c>
      <c r="O866" t="inlineStr">
        <is>
          <t>Markus Heinrich</t>
        </is>
      </c>
      <c r="P866" s="6">
        <f>HYPERLINK("https://www.kleinanzeigen.de/s-bestandsliste.html?userId=68470068", "Link")</f>
        <v/>
      </c>
      <c r="Q866" s="7" t="n">
        <v>45550.99686342593</v>
      </c>
      <c r="R866" s="3" t="inlineStr">
        <is>
          <t>6.23</t>
        </is>
      </c>
      <c r="S866" t="inlineStr">
        <is>
          <t>Karlsruhe</t>
        </is>
      </c>
    </row>
    <row r="867">
      <c r="A867" s="2" t="n">
        <v>5</v>
      </c>
      <c r="B867" t="inlineStr">
        <is>
          <t>North Sails Ego</t>
        </is>
      </c>
      <c r="C867" s="3" t="inlineStr"/>
      <c r="D867" s="3" t="inlineStr"/>
      <c r="E867" t="inlineStr"/>
      <c r="F867" t="inlineStr"/>
      <c r="G867" t="inlineStr">
        <is>
          <t>used</t>
        </is>
      </c>
      <c r="H867" s="4" t="n">
        <v>60</v>
      </c>
      <c r="I867" t="inlineStr"/>
      <c r="J867" t="inlineStr">
        <is>
          <t>69198 Baden-Württemberg - Schriesheim</t>
        </is>
      </c>
      <c r="K867" s="5" t="n">
        <v>45549</v>
      </c>
      <c r="L867" t="inlineStr">
        <is>
          <t>Sold</t>
        </is>
      </c>
      <c r="M867" s="6">
        <f>HYPERLINK("https://www.kleinanzeigen.de/s-anzeige/north-sails-ego-5-0-segel/2863399752-230-8270", "Link")</f>
        <v/>
      </c>
      <c r="N867" s="6">
        <f>HYPERLINK("C:\Projects\Kleinanzeigen-Scraper\offer_images\2863399752", "Link")</f>
        <v/>
      </c>
      <c r="O867" t="inlineStr">
        <is>
          <t>Sven</t>
        </is>
      </c>
      <c r="P867" s="6">
        <f>HYPERLINK("https://www.kleinanzeigen.de/s-bestandsliste.html?userId=15271620", "Link")</f>
        <v/>
      </c>
      <c r="Q867" s="7" t="n">
        <v>45550.99675925926</v>
      </c>
      <c r="R867" s="3" t="inlineStr">
        <is>
          <t>57.18</t>
        </is>
      </c>
      <c r="S867" t="inlineStr">
        <is>
          <t>Karlsruhe</t>
        </is>
      </c>
    </row>
    <row r="868">
      <c r="A868" s="2" t="n">
        <v>4.7</v>
      </c>
      <c r="B868" t="inlineStr">
        <is>
          <t>NP Neilpryde Combat Pro</t>
        </is>
      </c>
      <c r="C868" s="3" t="n">
        <v>370</v>
      </c>
      <c r="D868" s="3" t="n">
        <v>165</v>
      </c>
      <c r="E868" t="inlineStr"/>
      <c r="F868" t="inlineStr">
        <is>
          <t>2022</t>
        </is>
      </c>
      <c r="G868" t="inlineStr">
        <is>
          <t>used</t>
        </is>
      </c>
      <c r="H868" s="4" t="n">
        <v>325</v>
      </c>
      <c r="I868" t="inlineStr">
        <is>
          <t>VB</t>
        </is>
      </c>
      <c r="J868" t="inlineStr">
        <is>
          <t>24105 Schleswig-Holstein - Kiel</t>
        </is>
      </c>
      <c r="K868" s="5" t="n">
        <v>45479</v>
      </c>
      <c r="L868" t="inlineStr">
        <is>
          <t>Sold</t>
        </is>
      </c>
      <c r="M868" s="6">
        <f>HYPERLINK("https://www.kleinanzeigen.de/s-anzeige/np-neilpryde-combat-4-7-wave-windsurf-segel/2805521076-230-708", "Link")</f>
        <v/>
      </c>
      <c r="N868" s="6">
        <f>HYPERLINK("C:\Projects\Kleinanzeigen-Scraper\offer_images\2805521076", "Link")</f>
        <v/>
      </c>
      <c r="O868" t="inlineStr">
        <is>
          <t>Leo Richter</t>
        </is>
      </c>
      <c r="P868" s="6">
        <f>HYPERLINK("https://www.kleinanzeigen.de/s-bestandsliste.html?userId=56454387", "Link")</f>
        <v/>
      </c>
      <c r="Q868" s="7" t="n">
        <v>45550.99673611111</v>
      </c>
      <c r="R868" s="3" t="inlineStr">
        <is>
          <t>435.05</t>
        </is>
      </c>
      <c r="S868" t="inlineStr">
        <is>
          <t>Köln</t>
        </is>
      </c>
    </row>
    <row r="869">
      <c r="A869" s="2" t="n">
        <v>8.6</v>
      </c>
      <c r="B869" t="inlineStr">
        <is>
          <t>NeilPryde RS:Slalom MK IV</t>
        </is>
      </c>
      <c r="C869" s="3" t="n">
        <v>494</v>
      </c>
      <c r="D869" s="3" t="n">
        <v>223</v>
      </c>
      <c r="E869" t="inlineStr">
        <is>
          <t>Slalom</t>
        </is>
      </c>
      <c r="F869" t="inlineStr"/>
      <c r="G869" t="inlineStr">
        <is>
          <t>used</t>
        </is>
      </c>
      <c r="H869" s="4" t="n">
        <v>260</v>
      </c>
      <c r="I869" t="inlineStr">
        <is>
          <t>VB</t>
        </is>
      </c>
      <c r="J869" t="inlineStr">
        <is>
          <t>65193 Hessen - Wiesbaden</t>
        </is>
      </c>
      <c r="K869" s="5" t="n">
        <v>45550</v>
      </c>
      <c r="L869" t="inlineStr"/>
      <c r="M869" s="6">
        <f>HYPERLINK("https://www.kleinanzeigen.de/s-anzeige/neilpryde-rs-slalom-8-6-m-mk-iv-windsurf-segel/2864945768-230-4909", "Link")</f>
        <v/>
      </c>
      <c r="N869" s="6">
        <f>HYPERLINK("C:\Projects\Kleinanzeigen-Scraper\offer_images\2864945768", "Link")</f>
        <v/>
      </c>
      <c r="O869" t="inlineStr">
        <is>
          <t>Chris</t>
        </is>
      </c>
      <c r="P869" s="6">
        <f>HYPERLINK("https://www.kleinanzeigen.de/s-bestandsliste.html?userId=84691925", "Link")</f>
        <v/>
      </c>
      <c r="Q869" s="7" t="n">
        <v>45550.99645833333</v>
      </c>
      <c r="R869" s="3" t="inlineStr">
        <is>
          <t>121.83</t>
        </is>
      </c>
      <c r="S869" t="inlineStr">
        <is>
          <t>Karlsruhe</t>
        </is>
      </c>
    </row>
    <row r="870">
      <c r="A870" s="2" t="n">
        <v>5.7</v>
      </c>
      <c r="B870" t="inlineStr">
        <is>
          <t>Duotone Super Hero</t>
        </is>
      </c>
      <c r="C870" s="3" t="n">
        <v>430</v>
      </c>
      <c r="D870" s="3" t="inlineStr"/>
      <c r="E870" t="inlineStr"/>
      <c r="F870" t="inlineStr"/>
      <c r="G870" t="inlineStr">
        <is>
          <t>used</t>
        </is>
      </c>
      <c r="H870" s="4" t="n">
        <v>330</v>
      </c>
      <c r="I870" t="inlineStr">
        <is>
          <t>VB</t>
        </is>
      </c>
      <c r="J870" t="inlineStr">
        <is>
          <t>45473 Nordrhein-Westfalen - Mülheim (Ruhr)</t>
        </is>
      </c>
      <c r="K870" s="5" t="n">
        <v>45550</v>
      </c>
      <c r="L870" t="inlineStr">
        <is>
          <t>Sold</t>
        </is>
      </c>
      <c r="M870" s="6">
        <f>HYPERLINK("https://www.kleinanzeigen.de/s-anzeige/duotone-super-hero-5-7/2864034921-230-2062", "Link")</f>
        <v/>
      </c>
      <c r="N870" s="6">
        <f>HYPERLINK("C:\Projects\Kleinanzeigen-Scraper\offer_images\2864034921", "Link")</f>
        <v/>
      </c>
      <c r="O870" t="inlineStr">
        <is>
          <t>Benedict</t>
        </is>
      </c>
      <c r="P870" s="6">
        <f>HYPERLINK("https://www.kleinanzeigen.de/s-bestandsliste.html?userId=13040713", "Link")</f>
        <v/>
      </c>
      <c r="Q870" s="7" t="n">
        <v>45550.99612268519</v>
      </c>
      <c r="R870" s="3" t="inlineStr">
        <is>
          <t>56.15</t>
        </is>
      </c>
      <c r="S870" t="inlineStr">
        <is>
          <t>Köln</t>
        </is>
      </c>
    </row>
    <row r="871">
      <c r="A871" s="2" t="n">
        <v>8.6</v>
      </c>
      <c r="B871" t="inlineStr">
        <is>
          <t>GUN SAILS Vector</t>
        </is>
      </c>
      <c r="C871" s="3" t="n">
        <v>503</v>
      </c>
      <c r="D871" s="3" t="inlineStr">
        <is>
          <t>230-223</t>
        </is>
      </c>
      <c r="E871" t="inlineStr">
        <is>
          <t>Freerace</t>
        </is>
      </c>
      <c r="F871" t="inlineStr"/>
      <c r="G871" t="inlineStr">
        <is>
          <t>used</t>
        </is>
      </c>
      <c r="H871" s="4" t="n">
        <v>230</v>
      </c>
      <c r="I871" t="inlineStr">
        <is>
          <t>VB</t>
        </is>
      </c>
      <c r="J871" t="inlineStr">
        <is>
          <t>66740 Saarland - Saarlouis</t>
        </is>
      </c>
      <c r="K871" s="5" t="n">
        <v>45537</v>
      </c>
      <c r="L871" t="inlineStr"/>
      <c r="M871" s="6">
        <f>HYPERLINK("https://www.kleinanzeigen.de/s-anzeige/gun-sails-vector-8-6-windsurfsegel-gunsails-freerace/2852700110-230-369", "Link")</f>
        <v/>
      </c>
      <c r="N871" s="6">
        <f>HYPERLINK("C:\Projects\Kleinanzeigen-Scraper\offer_images\2852700110", "Link")</f>
        <v/>
      </c>
      <c r="O871" t="inlineStr">
        <is>
          <t>Dieter N.</t>
        </is>
      </c>
      <c r="P871" s="6">
        <f>HYPERLINK("https://www.kleinanzeigen.de/s-bestandsliste.html?userId=56515497", "Link")</f>
        <v/>
      </c>
      <c r="Q871" s="7" t="n">
        <v>45550.99605324074</v>
      </c>
      <c r="R871" s="3" t="inlineStr">
        <is>
          <t>124.87</t>
        </is>
      </c>
      <c r="S871" t="inlineStr">
        <is>
          <t>Karlsruhe</t>
        </is>
      </c>
    </row>
    <row r="872">
      <c r="A872" s="2" t="n">
        <v>4.2</v>
      </c>
      <c r="B872" t="inlineStr">
        <is>
          <t>North</t>
        </is>
      </c>
      <c r="C872" s="3" t="n">
        <v>410</v>
      </c>
      <c r="D872" s="3" t="n">
        <v>155</v>
      </c>
      <c r="E872" t="inlineStr"/>
      <c r="F872" t="inlineStr"/>
      <c r="G872" t="inlineStr"/>
      <c r="H872" s="4" t="n">
        <v>30</v>
      </c>
      <c r="I872" t="inlineStr">
        <is>
          <t>VB</t>
        </is>
      </c>
      <c r="J872" t="inlineStr">
        <is>
          <t>70437 Stuttgart - Zuffenhausen</t>
        </is>
      </c>
      <c r="K872" s="5" t="n">
        <v>45549</v>
      </c>
      <c r="L872" t="inlineStr">
        <is>
          <t>Sold</t>
        </is>
      </c>
      <c r="M872" s="6">
        <f>HYPERLINK("https://www.kleinanzeigen.de/s-anzeige/north-segel-4-2-qm/2863217236-230-9593", "Link")</f>
        <v/>
      </c>
      <c r="N872" s="6">
        <f>HYPERLINK("C:\Projects\Kleinanzeigen-Scraper\offer_images\2863217236", "Link")</f>
        <v/>
      </c>
      <c r="O872" t="inlineStr">
        <is>
          <t>Karsten</t>
        </is>
      </c>
      <c r="P872" s="6">
        <f>HYPERLINK("https://www.kleinanzeigen.de/s-bestandsliste.html?userId=28749853", "Link")</f>
        <v/>
      </c>
      <c r="Q872" s="7" t="n">
        <v>45550.99597222222</v>
      </c>
      <c r="R872" s="3" t="inlineStr">
        <is>
          <t>24.41</t>
        </is>
      </c>
      <c r="S872" t="inlineStr">
        <is>
          <t>Böblingen</t>
        </is>
      </c>
    </row>
    <row r="873">
      <c r="A873" s="2" t="n">
        <v>5</v>
      </c>
      <c r="B873" t="inlineStr">
        <is>
          <t>NORTH SAILS</t>
        </is>
      </c>
      <c r="C873" s="3" t="n">
        <v>4.4</v>
      </c>
      <c r="D873" s="3" t="n">
        <v>1.7</v>
      </c>
      <c r="E873" t="inlineStr"/>
      <c r="F873" t="inlineStr"/>
      <c r="G873" t="inlineStr">
        <is>
          <t>used</t>
        </is>
      </c>
      <c r="H873" s="4" t="n">
        <v>189</v>
      </c>
      <c r="I873" t="inlineStr">
        <is>
          <t>VB</t>
        </is>
      </c>
      <c r="J873" t="inlineStr">
        <is>
          <t>37124 Niedersachsen - Rosdorf</t>
        </is>
      </c>
      <c r="K873" s="5" t="n">
        <v>45550</v>
      </c>
      <c r="L873" t="inlineStr">
        <is>
          <t>Sold</t>
        </is>
      </c>
      <c r="M873" s="6">
        <f>HYPERLINK("https://www.kleinanzeigen.de/s-anzeige/surfsegel-north-sails-5-0-2486-/2475685168-230-3133", "Link")</f>
        <v/>
      </c>
      <c r="N873" s="6">
        <f>HYPERLINK("C:\Projects\Kleinanzeigen-Scraper\offer_images\2475685168", "Link")</f>
        <v/>
      </c>
      <c r="O873" t="inlineStr">
        <is>
          <t>No user name</t>
        </is>
      </c>
      <c r="P873" s="6">
        <f>HYPERLINK("https://www.kleinanzeigen.deNo user link", "Link")</f>
        <v/>
      </c>
      <c r="Q873" s="7" t="n">
        <v>45550.9958912037</v>
      </c>
      <c r="R873" s="3" t="inlineStr">
        <is>
          <t>214.72</t>
        </is>
      </c>
      <c r="S873" t="inlineStr">
        <is>
          <t>Köln</t>
        </is>
      </c>
    </row>
    <row r="874">
      <c r="A874" s="2" t="n">
        <v>5.3</v>
      </c>
      <c r="B874" t="inlineStr">
        <is>
          <t>North Zeta</t>
        </is>
      </c>
      <c r="C874" s="3" t="n">
        <v>4.4</v>
      </c>
      <c r="D874" s="3" t="n">
        <v>1.68</v>
      </c>
      <c r="E874" t="inlineStr"/>
      <c r="F874" t="inlineStr"/>
      <c r="G874" t="inlineStr">
        <is>
          <t>used</t>
        </is>
      </c>
      <c r="H874" s="4" t="n">
        <v>70</v>
      </c>
      <c r="I874" t="inlineStr"/>
      <c r="J874" t="inlineStr">
        <is>
          <t>88045 Baden-Württemberg - Friedrichshafen</t>
        </is>
      </c>
      <c r="K874" s="5" t="n">
        <v>45549</v>
      </c>
      <c r="L874" t="inlineStr">
        <is>
          <t>Sold</t>
        </is>
      </c>
      <c r="M874" s="6">
        <f>HYPERLINK("https://www.kleinanzeigen.de/s-anzeige/windsurf-segel-north-zeta-5-3-inkl-mast-30-carbon/2863445669-230-9213", "Link")</f>
        <v/>
      </c>
      <c r="N874" s="6">
        <f>HYPERLINK("C:\Projects\Kleinanzeigen-Scraper\offer_images\2863445669", "Link")</f>
        <v/>
      </c>
      <c r="O874" t="inlineStr">
        <is>
          <t>R.M.</t>
        </is>
      </c>
      <c r="P874" s="6">
        <f>HYPERLINK("https://www.kleinanzeigen.de/s-bestandsliste.html?userId=56059820", "Link")</f>
        <v/>
      </c>
      <c r="Q874" s="7" t="n">
        <v>45550.99578703703</v>
      </c>
      <c r="R874" s="3" t="inlineStr">
        <is>
          <t>85.70</t>
        </is>
      </c>
      <c r="S874" t="inlineStr">
        <is>
          <t>Bonndorf</t>
        </is>
      </c>
    </row>
    <row r="875">
      <c r="A875" s="2" t="n">
        <v>9.5</v>
      </c>
      <c r="B875" t="inlineStr">
        <is>
          <t>NeilPryde RS:Slalom MK IV</t>
        </is>
      </c>
      <c r="C875" s="3" t="n">
        <v>490</v>
      </c>
      <c r="D875" s="3" t="n">
        <v>233</v>
      </c>
      <c r="E875" t="inlineStr">
        <is>
          <t>Slalom</t>
        </is>
      </c>
      <c r="F875" t="inlineStr"/>
      <c r="G875" t="inlineStr">
        <is>
          <t>used</t>
        </is>
      </c>
      <c r="H875" s="4" t="n">
        <v>270</v>
      </c>
      <c r="I875" t="inlineStr">
        <is>
          <t>VB</t>
        </is>
      </c>
      <c r="J875" t="inlineStr">
        <is>
          <t>65193 Hessen - Wiesbaden</t>
        </is>
      </c>
      <c r="K875" s="5" t="n">
        <v>45550</v>
      </c>
      <c r="L875" t="inlineStr"/>
      <c r="M875" s="6">
        <f>HYPERLINK("https://www.kleinanzeigen.de/s-anzeige/neilpryde-rs-slalom-9-5-m-mk-iv-windsurf-segel/2864948495-230-4909", "Link")</f>
        <v/>
      </c>
      <c r="N875" s="6">
        <f>HYPERLINK("C:\Projects\Kleinanzeigen-Scraper\offer_images\2864948495", "Link")</f>
        <v/>
      </c>
      <c r="O875" t="inlineStr">
        <is>
          <t>Chris</t>
        </is>
      </c>
      <c r="P875" s="6">
        <f>HYPERLINK("https://www.kleinanzeigen.de/s-bestandsliste.html?userId=84691925", "Link")</f>
        <v/>
      </c>
      <c r="Q875" s="7" t="n">
        <v>45550.99561342593</v>
      </c>
      <c r="R875" s="3" t="inlineStr">
        <is>
          <t>121.83</t>
        </is>
      </c>
      <c r="S875" t="inlineStr">
        <is>
          <t>Karlsruhe</t>
        </is>
      </c>
    </row>
    <row r="876">
      <c r="A876" s="2" t="n">
        <v>3.6</v>
      </c>
      <c r="B876" t="inlineStr">
        <is>
          <t>POINT7 SALT</t>
        </is>
      </c>
      <c r="C876" s="3" t="n">
        <v>364</v>
      </c>
      <c r="D876" s="3" t="n">
        <v>148</v>
      </c>
      <c r="E876" t="inlineStr"/>
      <c r="F876" t="inlineStr"/>
      <c r="G876" t="inlineStr">
        <is>
          <t>used</t>
        </is>
      </c>
      <c r="H876" s="4" t="n">
        <v>115</v>
      </c>
      <c r="I876" t="inlineStr"/>
      <c r="J876" t="inlineStr">
        <is>
          <t>18445 Mecklenburg-Vorpommern - Klausdorf</t>
        </is>
      </c>
      <c r="K876" s="5" t="n">
        <v>45556</v>
      </c>
      <c r="L876" t="inlineStr">
        <is>
          <t>Sold</t>
        </is>
      </c>
      <c r="M876" s="6">
        <f>HYPERLINK("https://www.kleinanzeigen.de/s-anzeige/windsurfsegel-point7-salt-3-6-in-gutem-zustand/2843167539-230-26176", "Link")</f>
        <v/>
      </c>
      <c r="N876" s="6">
        <f>HYPERLINK("C:\Projects\Kleinanzeigen-Scraper\offer_images\2843167539", "Link")</f>
        <v/>
      </c>
      <c r="O876" t="inlineStr">
        <is>
          <t>Frank Goetze</t>
        </is>
      </c>
      <c r="P876" s="6">
        <f>HYPERLINK("https://www.kleinanzeigen.de/s-bestandsliste.html?userId=42255991", "Link")</f>
        <v/>
      </c>
      <c r="Q876" s="7" t="n">
        <v>45550.99543981482</v>
      </c>
      <c r="R876" s="3" t="inlineStr">
        <is>
          <t>559.35</t>
        </is>
      </c>
      <c r="S876" t="inlineStr">
        <is>
          <t>Köln</t>
        </is>
      </c>
    </row>
    <row r="877">
      <c r="A877" s="2" t="n">
        <v>7</v>
      </c>
      <c r="B877" t="inlineStr">
        <is>
          <t>North Spectro</t>
        </is>
      </c>
      <c r="C877" s="3" t="n">
        <v>4.8</v>
      </c>
      <c r="D877" s="3" t="n">
        <v>2.02</v>
      </c>
      <c r="E877" t="inlineStr"/>
      <c r="F877" t="inlineStr"/>
      <c r="G877" t="inlineStr">
        <is>
          <t>used</t>
        </is>
      </c>
      <c r="H877" s="4" t="n">
        <v>80</v>
      </c>
      <c r="I877" t="inlineStr">
        <is>
          <t>VB</t>
        </is>
      </c>
      <c r="J877" t="inlineStr">
        <is>
          <t>67434 Rheinland-Pfalz - Neustadt an der Weinstraße</t>
        </is>
      </c>
      <c r="K877" s="5" t="n">
        <v>45550</v>
      </c>
      <c r="L877" t="inlineStr">
        <is>
          <t>Sold</t>
        </is>
      </c>
      <c r="M877" s="6">
        <f>HYPERLINK("https://www.kleinanzeigen.de/s-anzeige/windsurfsegel-north-spectro-7-0-m2/2863990396-230-5372", "Link")</f>
        <v/>
      </c>
      <c r="N877" s="6">
        <f>HYPERLINK("C:\Projects\Kleinanzeigen-Scraper\offer_images\2863990396", "Link")</f>
        <v/>
      </c>
      <c r="O877" t="inlineStr">
        <is>
          <t>Thomas Droege</t>
        </is>
      </c>
      <c r="P877" s="6">
        <f>HYPERLINK("https://www.kleinanzeigen.de/s-bestandsliste.html?userId=36524172", "Link")</f>
        <v/>
      </c>
      <c r="Q877" s="7" t="n">
        <v>45550.99523148148</v>
      </c>
      <c r="R877" s="3" t="inlineStr">
        <is>
          <t>43.04</t>
        </is>
      </c>
      <c r="S877" t="inlineStr">
        <is>
          <t>Karlsruhe</t>
        </is>
      </c>
    </row>
    <row r="878">
      <c r="A878" s="2" t="n">
        <v>8</v>
      </c>
      <c r="B878" t="inlineStr">
        <is>
          <t>Point 7 AC-X</t>
        </is>
      </c>
      <c r="C878" s="3" t="n">
        <v>492</v>
      </c>
      <c r="D878" s="3" t="n">
        <v>340</v>
      </c>
      <c r="E878" t="inlineStr"/>
      <c r="F878" t="inlineStr"/>
      <c r="G878" t="inlineStr">
        <is>
          <t>used</t>
        </is>
      </c>
      <c r="H878" s="4" t="n">
        <v>299</v>
      </c>
      <c r="I878" t="inlineStr"/>
      <c r="J878" t="inlineStr">
        <is>
          <t>80689 München - Laim</t>
        </is>
      </c>
      <c r="K878" s="5" t="n">
        <v>45534</v>
      </c>
      <c r="L878" t="inlineStr"/>
      <c r="M878" s="6">
        <f>HYPERLINK("https://www.kleinanzeigen.de/s-anzeige/point-7-ac-x-8-0/2850141687-230-16395", "Link")</f>
        <v/>
      </c>
      <c r="N878" s="6">
        <f>HYPERLINK("C:\Projects\Kleinanzeigen-Scraper\offer_images\2850141687", "Link")</f>
        <v/>
      </c>
      <c r="O878" t="inlineStr">
        <is>
          <t>Alexander</t>
        </is>
      </c>
      <c r="P878" s="6">
        <f>HYPERLINK("https://www.kleinanzeigen.de/s-bestandsliste.html?userId=33961566", "Link")</f>
        <v/>
      </c>
      <c r="Q878" s="7" t="n">
        <v>45550.99518518519</v>
      </c>
      <c r="R878" s="3" t="inlineStr">
        <is>
          <t>6.18</t>
        </is>
      </c>
      <c r="S878" t="inlineStr">
        <is>
          <t>München</t>
        </is>
      </c>
    </row>
    <row r="879">
      <c r="A879" s="2" t="n">
        <v>3.6</v>
      </c>
      <c r="B879" t="inlineStr">
        <is>
          <t>North Infinity</t>
        </is>
      </c>
      <c r="C879" s="3" t="n">
        <v>380</v>
      </c>
      <c r="D879" s="3" t="n">
        <v>145</v>
      </c>
      <c r="E879" t="inlineStr"/>
      <c r="F879" t="inlineStr"/>
      <c r="G879" t="inlineStr">
        <is>
          <t>used</t>
        </is>
      </c>
      <c r="H879" s="4" t="n">
        <v>40</v>
      </c>
      <c r="I879" t="inlineStr"/>
      <c r="J879" t="inlineStr">
        <is>
          <t>41564 Nordrhein-Westfalen - Kaarst</t>
        </is>
      </c>
      <c r="K879" s="5" t="n">
        <v>45550</v>
      </c>
      <c r="L879" t="inlineStr"/>
      <c r="M879" s="6">
        <f>HYPERLINK("https://www.kleinanzeigen.de/s-anzeige/north-windsurf-segel-infinity-3-6/2864813529-230-2107", "Link")</f>
        <v/>
      </c>
      <c r="N879" s="6">
        <f>HYPERLINK("C:\Projects\Kleinanzeigen-Scraper\offer_images\2864813529", "Link")</f>
        <v/>
      </c>
      <c r="O879" t="inlineStr">
        <is>
          <t>Hans-Jürgen</t>
        </is>
      </c>
      <c r="P879" s="6">
        <f>HYPERLINK("https://www.kleinanzeigen.de/s-bestandsliste.html?userId=67801432", "Link")</f>
        <v/>
      </c>
      <c r="Q879" s="7" t="n">
        <v>45550.99516203703</v>
      </c>
      <c r="R879" s="3" t="inlineStr">
        <is>
          <t>39.22</t>
        </is>
      </c>
      <c r="S879" t="inlineStr">
        <is>
          <t>Köln</t>
        </is>
      </c>
    </row>
    <row r="880">
      <c r="A880" s="2" t="n">
        <v>5</v>
      </c>
      <c r="B880" t="inlineStr">
        <is>
          <t>North Carve</t>
        </is>
      </c>
      <c r="C880" s="3" t="inlineStr"/>
      <c r="D880" s="3" t="inlineStr"/>
      <c r="E880" t="inlineStr"/>
      <c r="F880" t="inlineStr">
        <is>
          <t>2021</t>
        </is>
      </c>
      <c r="G880" t="inlineStr">
        <is>
          <t>used</t>
        </is>
      </c>
      <c r="H880" s="4" t="n">
        <v>350</v>
      </c>
      <c r="I880" t="inlineStr">
        <is>
          <t>VB</t>
        </is>
      </c>
      <c r="J880" t="inlineStr">
        <is>
          <t>26757 Niedersachsen - Borkum</t>
        </is>
      </c>
      <c r="K880" s="5" t="n">
        <v>45550</v>
      </c>
      <c r="L880" t="inlineStr">
        <is>
          <t>Sold</t>
        </is>
      </c>
      <c r="M880" s="6">
        <f>HYPERLINK("https://www.kleinanzeigen.de/s-anzeige/north-carve/2863938719-230-2447", "Link")</f>
        <v/>
      </c>
      <c r="N880" s="6">
        <f>HYPERLINK("C:\Projects\Kleinanzeigen-Scraper\offer_images\2863938719", "Link")</f>
        <v/>
      </c>
      <c r="O880" t="inlineStr">
        <is>
          <t>Klaas Im Sande</t>
        </is>
      </c>
      <c r="P880" s="6">
        <f>HYPERLINK("https://www.kleinanzeigen.de/s-bestandsliste.html?userId=84904614", "Link")</f>
        <v/>
      </c>
      <c r="Q880" s="7" t="n">
        <v>45550.99512731482</v>
      </c>
      <c r="R880" s="3" t="inlineStr">
        <is>
          <t>295.18</t>
        </is>
      </c>
      <c r="S880" t="inlineStr">
        <is>
          <t>Köln</t>
        </is>
      </c>
    </row>
    <row r="881">
      <c r="A881" s="2" t="n">
        <v>5</v>
      </c>
      <c r="B881" t="inlineStr">
        <is>
          <t>Duotone Super Hero</t>
        </is>
      </c>
      <c r="C881" s="3" t="inlineStr"/>
      <c r="D881" s="3" t="inlineStr"/>
      <c r="E881" t="inlineStr"/>
      <c r="F881" t="inlineStr"/>
      <c r="G881" t="inlineStr">
        <is>
          <t>used</t>
        </is>
      </c>
      <c r="H881" s="4" t="n">
        <v>255</v>
      </c>
      <c r="I881" t="inlineStr"/>
      <c r="J881" t="inlineStr">
        <is>
          <t>91301 Bayern - Forchheim</t>
        </is>
      </c>
      <c r="K881" s="5" t="n">
        <v>45550</v>
      </c>
      <c r="L881" t="inlineStr">
        <is>
          <t>Sold</t>
        </is>
      </c>
      <c r="M881" s="6">
        <f>HYPERLINK("https://www.kleinanzeigen.de/s-anzeige/duotone-super-hero-5-0/2864705738-230-6278", "Link")</f>
        <v/>
      </c>
      <c r="N881" s="6">
        <f>HYPERLINK("C:\Projects\Kleinanzeigen-Scraper\offer_images\2864705738", "Link")</f>
        <v/>
      </c>
      <c r="O881" t="inlineStr">
        <is>
          <t>Hartmut Specht</t>
        </is>
      </c>
      <c r="P881" s="6">
        <f>HYPERLINK("https://www.kleinanzeigen.de/s-bestandsliste.html?userId=17941459", "Link")</f>
        <v/>
      </c>
      <c r="Q881" s="7" t="n">
        <v>45550.99511574074</v>
      </c>
      <c r="R881" s="3" t="inlineStr">
        <is>
          <t>180.34</t>
        </is>
      </c>
      <c r="S881" t="inlineStr">
        <is>
          <t>München</t>
        </is>
      </c>
    </row>
    <row r="882">
      <c r="A882" s="2" t="n">
        <v>6</v>
      </c>
      <c r="B882" t="inlineStr">
        <is>
          <t>Vintage SAILBOARD</t>
        </is>
      </c>
      <c r="C882" s="3" t="n">
        <v>4.4</v>
      </c>
      <c r="D882" s="3" t="n">
        <v>1.95</v>
      </c>
      <c r="E882" t="inlineStr"/>
      <c r="F882" t="inlineStr">
        <is>
          <t>1980s</t>
        </is>
      </c>
      <c r="G882" t="inlineStr">
        <is>
          <t>new</t>
        </is>
      </c>
      <c r="H882" s="4" t="n">
        <v>98</v>
      </c>
      <c r="I882" t="inlineStr">
        <is>
          <t>VB</t>
        </is>
      </c>
      <c r="J882" t="inlineStr">
        <is>
          <t>37124 Niedersachsen - Rosdorf</t>
        </is>
      </c>
      <c r="K882" s="5" t="n">
        <v>45549</v>
      </c>
      <c r="L882" t="inlineStr">
        <is>
          <t>Sold</t>
        </is>
      </c>
      <c r="M882" s="6">
        <f>HYPERLINK("https://www.kleinanzeigen.de/s-anzeige/vintage-sailboard-windsurf-segel-unbenutzt-ca-6qm-1200-/2737653909-230-3133", "Link")</f>
        <v/>
      </c>
      <c r="N882" s="6">
        <f>HYPERLINK("C:\Projects\Kleinanzeigen-Scraper\offer_images\2737653909", "Link")</f>
        <v/>
      </c>
      <c r="O882" t="inlineStr">
        <is>
          <t>No user name</t>
        </is>
      </c>
      <c r="P882" s="6">
        <f>HYPERLINK("https://www.kleinanzeigen.deNo user link", "Link")</f>
        <v/>
      </c>
      <c r="Q882" s="7" t="n">
        <v>45550.99502314815</v>
      </c>
      <c r="R882" s="3" t="inlineStr">
        <is>
          <t>214.72</t>
        </is>
      </c>
      <c r="S882" t="inlineStr">
        <is>
          <t>Köln</t>
        </is>
      </c>
    </row>
    <row r="883">
      <c r="A883" s="2" t="n">
        <v>3.7</v>
      </c>
      <c r="B883" t="inlineStr">
        <is>
          <t>North Hero</t>
        </is>
      </c>
      <c r="C883" s="3" t="n">
        <v>370</v>
      </c>
      <c r="D883" s="3" t="n">
        <v>143</v>
      </c>
      <c r="E883" t="inlineStr"/>
      <c r="F883" t="inlineStr">
        <is>
          <t>2015</t>
        </is>
      </c>
      <c r="G883" t="inlineStr">
        <is>
          <t>used</t>
        </is>
      </c>
      <c r="H883" s="4" t="n">
        <v>110</v>
      </c>
      <c r="I883" t="inlineStr">
        <is>
          <t>VB</t>
        </is>
      </c>
      <c r="J883" t="inlineStr">
        <is>
          <t>45473 Nordrhein-Westfalen - Mülheim (Ruhr)</t>
        </is>
      </c>
      <c r="K883" s="5" t="n">
        <v>45550</v>
      </c>
      <c r="L883" t="inlineStr">
        <is>
          <t>Sold</t>
        </is>
      </c>
      <c r="M883" s="6">
        <f>HYPERLINK("https://www.kleinanzeigen.de/s-anzeige/north-hero-3-7-jetzt-duotone-/2864023977-230-2062", "Link")</f>
        <v/>
      </c>
      <c r="N883" s="6">
        <f>HYPERLINK("C:\Projects\Kleinanzeigen-Scraper\offer_images\2864023977", "Link")</f>
        <v/>
      </c>
      <c r="O883" t="inlineStr">
        <is>
          <t>Benedict</t>
        </is>
      </c>
      <c r="P883" s="6">
        <f>HYPERLINK("https://www.kleinanzeigen.de/s-bestandsliste.html?userId=13040713", "Link")</f>
        <v/>
      </c>
      <c r="Q883" s="7" t="n">
        <v>45550.99483796296</v>
      </c>
      <c r="R883" s="3" t="inlineStr">
        <is>
          <t>56.15</t>
        </is>
      </c>
      <c r="S883" t="inlineStr">
        <is>
          <t>Köln</t>
        </is>
      </c>
    </row>
    <row r="884">
      <c r="A884" s="2" t="n">
        <v>5.5</v>
      </c>
      <c r="B884" t="inlineStr">
        <is>
          <t>Severne Blade</t>
        </is>
      </c>
      <c r="C884" s="3" t="inlineStr"/>
      <c r="D884" s="3" t="inlineStr"/>
      <c r="E884" t="inlineStr"/>
      <c r="F884" t="inlineStr">
        <is>
          <t>2019</t>
        </is>
      </c>
      <c r="G884" t="inlineStr">
        <is>
          <t>used</t>
        </is>
      </c>
      <c r="H884" s="4" t="n">
        <v>240</v>
      </c>
      <c r="I884" t="inlineStr"/>
      <c r="J884" t="inlineStr">
        <is>
          <t>48477 Nordrhein-Westfalen - Hörstel</t>
        </is>
      </c>
      <c r="K884" s="5" t="n">
        <v>45549</v>
      </c>
      <c r="L884" t="inlineStr">
        <is>
          <t>Sold</t>
        </is>
      </c>
      <c r="M884" s="6">
        <f>HYPERLINK("https://www.kleinanzeigen.de/s-anzeige/severne-blade-5-5-m2-u-6-2-m2/2863532347-230-1253", "Link")</f>
        <v/>
      </c>
      <c r="N884" s="6">
        <f>HYPERLINK("C:\Projects\Kleinanzeigen-Scraper\offer_images\2863532347", "Link")</f>
        <v/>
      </c>
      <c r="O884" t="inlineStr">
        <is>
          <t>Rhode</t>
        </is>
      </c>
      <c r="P884" s="6">
        <f>HYPERLINK("https://www.kleinanzeigen.de/s-bestandsliste.html?userId=11671928", "Link")</f>
        <v/>
      </c>
      <c r="Q884" s="7" t="n">
        <v>45550.99480324074</v>
      </c>
      <c r="R884" s="3" t="inlineStr">
        <is>
          <t>157.42</t>
        </is>
      </c>
      <c r="S884" t="inlineStr">
        <is>
          <t>Köln</t>
        </is>
      </c>
    </row>
    <row r="885">
      <c r="A885" s="2" t="n">
        <v>4</v>
      </c>
      <c r="B885" t="inlineStr">
        <is>
          <t>Duotone Slick SLS</t>
        </is>
      </c>
      <c r="C885" s="3" t="inlineStr"/>
      <c r="D885" s="3" t="inlineStr"/>
      <c r="E885" t="inlineStr"/>
      <c r="F885" t="inlineStr">
        <is>
          <t>2023</t>
        </is>
      </c>
      <c r="G885" t="inlineStr">
        <is>
          <t>used</t>
        </is>
      </c>
      <c r="H885" s="4" t="n">
        <v>480</v>
      </c>
      <c r="I885" t="inlineStr">
        <is>
          <t>VB</t>
        </is>
      </c>
      <c r="J885" t="inlineStr">
        <is>
          <t>85088 Bayern - Vohburg an der Donau</t>
        </is>
      </c>
      <c r="K885" s="5" t="n">
        <v>45550</v>
      </c>
      <c r="L885" t="inlineStr">
        <is>
          <t>Sold</t>
        </is>
      </c>
      <c r="M885" s="6">
        <f>HYPERLINK("https://www.kleinanzeigen.de/s-anzeige/slick-sls-duotone-2023-4m2/2864449648-230-7604", "Link")</f>
        <v/>
      </c>
      <c r="N885" s="6">
        <f>HYPERLINK("C:\Projects\Kleinanzeigen-Scraper\offer_images\2864449648", "Link")</f>
        <v/>
      </c>
      <c r="O885" t="inlineStr">
        <is>
          <t>S. K.</t>
        </is>
      </c>
      <c r="P885" s="6">
        <f>HYPERLINK("https://www.kleinanzeigen.de/s-bestandsliste.html?userId=125212238", "Link")</f>
        <v/>
      </c>
      <c r="Q885" s="7" t="n">
        <v>45550.99474537037</v>
      </c>
      <c r="R885" s="3" t="inlineStr">
        <is>
          <t>70.41</t>
        </is>
      </c>
      <c r="S885" t="inlineStr">
        <is>
          <t>München</t>
        </is>
      </c>
    </row>
    <row r="886">
      <c r="A886" s="2" t="n">
        <v>5.6</v>
      </c>
      <c r="B886" t="inlineStr">
        <is>
          <t>Sailloft Ultimate</t>
        </is>
      </c>
      <c r="C886" s="3" t="n">
        <v>400</v>
      </c>
      <c r="D886" s="3" t="inlineStr"/>
      <c r="E886" t="inlineStr"/>
      <c r="F886" t="inlineStr">
        <is>
          <t>2023</t>
        </is>
      </c>
      <c r="G886" t="inlineStr">
        <is>
          <t>new</t>
        </is>
      </c>
      <c r="H886" s="4" t="n">
        <v>429</v>
      </c>
      <c r="I886" t="inlineStr"/>
      <c r="J886" t="inlineStr">
        <is>
          <t>13127 Berlin - Pankow</t>
        </is>
      </c>
      <c r="K886" s="5" t="n">
        <v>45550</v>
      </c>
      <c r="L886" t="inlineStr">
        <is>
          <t>Sold</t>
        </is>
      </c>
      <c r="M886" s="6">
        <f>HYPERLINK("https://www.kleinanzeigen.de/s-anzeige/-sailloft-ultimate-5-6-m-2-segel-neuwertig-camber-rdm-2023/2863687598-230-3465", "Link")</f>
        <v/>
      </c>
      <c r="N886" s="6">
        <f>HYPERLINK("C:\Projects\Kleinanzeigen-Scraper\offer_images\2863687598", "Link")</f>
        <v/>
      </c>
      <c r="O886" t="inlineStr">
        <is>
          <t>Daniel Düsentrieb</t>
        </is>
      </c>
      <c r="P886" s="6">
        <f>HYPERLINK("https://www.kleinanzeigen.de/s-bestandsliste.html?userId=5840406", "Link")</f>
        <v/>
      </c>
      <c r="Q886" s="7" t="n">
        <v>45550.99467592593</v>
      </c>
      <c r="R886" s="3" t="inlineStr">
        <is>
          <t>482.48</t>
        </is>
      </c>
      <c r="S886" t="inlineStr">
        <is>
          <t>Köln</t>
        </is>
      </c>
    </row>
    <row r="887">
      <c r="A887" s="2" t="n">
        <v>3.75</v>
      </c>
      <c r="B887" t="inlineStr">
        <is>
          <t>NAISH Alana</t>
        </is>
      </c>
      <c r="C887" s="3" t="inlineStr"/>
      <c r="D887" s="3" t="inlineStr"/>
      <c r="E887" t="inlineStr"/>
      <c r="F887" t="inlineStr"/>
      <c r="G887" t="inlineStr">
        <is>
          <t>new</t>
        </is>
      </c>
      <c r="H887" s="4" t="n">
        <v>60</v>
      </c>
      <c r="I887" t="inlineStr">
        <is>
          <t>VB</t>
        </is>
      </c>
      <c r="J887" t="inlineStr">
        <is>
          <t>21029 Hamburg - Bergedorf</t>
        </is>
      </c>
      <c r="K887" s="5" t="n">
        <v>45506</v>
      </c>
      <c r="L887" t="inlineStr">
        <is>
          <t>Sold</t>
        </is>
      </c>
      <c r="M887" s="6">
        <f>HYPERLINK("https://www.kleinanzeigen.de/s-anzeige/naish-windsurfsegel-surfsegelalana-3-75-nagelneu/2827250862-230-9519", "Link")</f>
        <v/>
      </c>
      <c r="N887" s="6">
        <f>HYPERLINK("C:\Projects\Kleinanzeigen-Scraper\offer_images\2827250862", "Link")</f>
        <v/>
      </c>
      <c r="O887" t="inlineStr">
        <is>
          <t>Claudia Landolt</t>
        </is>
      </c>
      <c r="P887" s="6">
        <f>HYPERLINK("https://www.kleinanzeigen.de/s-bestandsliste.html?userId=41801464", "Link")</f>
        <v/>
      </c>
      <c r="Q887" s="7" t="n">
        <v>45550.9946412037</v>
      </c>
      <c r="R887" s="3" t="inlineStr">
        <is>
          <t>360.67</t>
        </is>
      </c>
      <c r="S887" t="inlineStr">
        <is>
          <t>Köln</t>
        </is>
      </c>
    </row>
    <row r="888">
      <c r="A888" s="2" t="n">
        <v>4.2</v>
      </c>
      <c r="B888" t="inlineStr">
        <is>
          <t>NORTH SAILS Hero</t>
        </is>
      </c>
      <c r="C888" s="3" t="inlineStr">
        <is>
          <t>370-400</t>
        </is>
      </c>
      <c r="D888" s="3" t="inlineStr"/>
      <c r="E888" t="inlineStr"/>
      <c r="F888" t="inlineStr"/>
      <c r="G888" t="inlineStr">
        <is>
          <t>used</t>
        </is>
      </c>
      <c r="H888" s="4" t="n">
        <v>111</v>
      </c>
      <c r="I888" t="inlineStr"/>
      <c r="J888" t="inlineStr">
        <is>
          <t>10119 Pankow - Prenzlauer Berg</t>
        </is>
      </c>
      <c r="K888" s="5" t="n">
        <v>45550</v>
      </c>
      <c r="L888" t="inlineStr">
        <is>
          <t>Sold</t>
        </is>
      </c>
      <c r="M888" s="6">
        <f>HYPERLINK("https://www.kleinanzeigen.de/s-anzeige/north-sails-hero-4-2-code-mad-super-4-latten-segel-now-duotone/2864783055-230-9660", "Link")</f>
        <v/>
      </c>
      <c r="N888" s="6">
        <f>HYPERLINK("C:\Projects\Kleinanzeigen-Scraper\offer_images\2864783055", "Link")</f>
        <v/>
      </c>
      <c r="O888" t="inlineStr">
        <is>
          <t>Andreas</t>
        </is>
      </c>
      <c r="P888" s="6">
        <f>HYPERLINK("https://www.kleinanzeigen.de/s-bestandsliste.html?userId=245621", "Link")</f>
        <v/>
      </c>
      <c r="Q888" s="7" t="n">
        <v>45550.99444444444</v>
      </c>
      <c r="R888" s="3" t="inlineStr">
        <is>
          <t>478.06</t>
        </is>
      </c>
      <c r="S888" t="inlineStr">
        <is>
          <t>Köln</t>
        </is>
      </c>
    </row>
    <row r="889">
      <c r="A889" s="2" t="n">
        <v>7</v>
      </c>
      <c r="B889" t="inlineStr">
        <is>
          <t>Naish Lift RN</t>
        </is>
      </c>
      <c r="C889" s="3" t="n">
        <v>460</v>
      </c>
      <c r="D889" s="3" t="n">
        <v>160</v>
      </c>
      <c r="E889" t="inlineStr">
        <is>
          <t>Foil, Freeride</t>
        </is>
      </c>
      <c r="F889" t="inlineStr">
        <is>
          <t>S26</t>
        </is>
      </c>
      <c r="G889" t="inlineStr">
        <is>
          <t>new</t>
        </is>
      </c>
      <c r="H889" s="4" t="n">
        <v>399</v>
      </c>
      <c r="I889" t="inlineStr"/>
      <c r="J889" t="inlineStr">
        <is>
          <t>41069 Nordrhein-Westfalen - Mönchengladbach</t>
        </is>
      </c>
      <c r="K889" s="5" t="n">
        <v>45506</v>
      </c>
      <c r="L889" t="inlineStr">
        <is>
          <t>Sold</t>
        </is>
      </c>
      <c r="M889" s="6">
        <f>HYPERLINK("https://www.kleinanzeigen.de/s-anzeige/naish-lift-rn-7-0-s26-foilsegel-freeridesegel/2827317651-230-1970", "Link")</f>
        <v/>
      </c>
      <c r="N889" s="6">
        <f>HYPERLINK("C:\Projects\Kleinanzeigen-Scraper\offer_images\2827317651", "Link")</f>
        <v/>
      </c>
      <c r="O889" t="inlineStr">
        <is>
          <t>A.+ D. Scheer</t>
        </is>
      </c>
      <c r="P889" s="6">
        <f>HYPERLINK("https://www.kleinanzeigen.de/s-bestandsliste.html?userId=31054327", "Link")</f>
        <v/>
      </c>
      <c r="Q889" s="7" t="n">
        <v>45550.99425925926</v>
      </c>
      <c r="R889" s="3" t="inlineStr">
        <is>
          <t>47.11</t>
        </is>
      </c>
      <c r="S889" t="inlineStr">
        <is>
          <t>Köln</t>
        </is>
      </c>
    </row>
    <row r="890">
      <c r="A890" s="2" t="n">
        <v>6.8</v>
      </c>
      <c r="B890" t="inlineStr">
        <is>
          <t>RRD Fire</t>
        </is>
      </c>
      <c r="C890" s="3" t="inlineStr"/>
      <c r="D890" s="3" t="inlineStr"/>
      <c r="E890" t="inlineStr"/>
      <c r="F890" t="inlineStr"/>
      <c r="G890" t="inlineStr">
        <is>
          <t>used</t>
        </is>
      </c>
      <c r="H890" s="4" t="n">
        <v>390</v>
      </c>
      <c r="I890" t="inlineStr">
        <is>
          <t>VB</t>
        </is>
      </c>
      <c r="J890" t="inlineStr">
        <is>
          <t>73453 Baden-Württemberg - Abtsgmünd</t>
        </is>
      </c>
      <c r="K890" s="5" t="n">
        <v>45549</v>
      </c>
      <c r="L890" t="inlineStr"/>
      <c r="M890" s="6">
        <f>HYPERLINK("https://www.kleinanzeigen.de/s-anzeige/rrd-fire-6-8-qm-segel-fast-wie-neu/2863271859-230-9080", "Link")</f>
        <v/>
      </c>
      <c r="N890" s="6">
        <f>HYPERLINK("C:\Projects\Kleinanzeigen-Scraper\offer_images\2863271859", "Link")</f>
        <v/>
      </c>
      <c r="O890" t="inlineStr">
        <is>
          <t>Grothe</t>
        </is>
      </c>
      <c r="P890" s="6">
        <f>HYPERLINK("https://www.kleinanzeigen.de/s-bestandsliste.html?userId=20084188", "Link")</f>
        <v/>
      </c>
      <c r="Q890" s="7" t="n">
        <v>45550.99368055556</v>
      </c>
      <c r="R890" s="3" t="inlineStr">
        <is>
          <t>78.08</t>
        </is>
      </c>
      <c r="S890" t="inlineStr">
        <is>
          <t>Böblingen</t>
        </is>
      </c>
    </row>
    <row r="891">
      <c r="A891" s="2" t="n">
        <v>6.7</v>
      </c>
      <c r="B891" t="inlineStr">
        <is>
          <t>Point 7 ac2</t>
        </is>
      </c>
      <c r="C891" s="3" t="inlineStr"/>
      <c r="D891" s="3" t="inlineStr"/>
      <c r="E891" t="inlineStr"/>
      <c r="F891" t="inlineStr"/>
      <c r="G891" t="inlineStr">
        <is>
          <t>used</t>
        </is>
      </c>
      <c r="H891" s="4" t="n">
        <v>180</v>
      </c>
      <c r="I891" t="inlineStr"/>
      <c r="J891" t="inlineStr">
        <is>
          <t>12307 Berlin - Tempelhof</t>
        </is>
      </c>
      <c r="K891" s="5" t="n">
        <v>45537</v>
      </c>
      <c r="L891" t="inlineStr">
        <is>
          <t>Sold</t>
        </is>
      </c>
      <c r="M891" s="6">
        <f>HYPERLINK("https://www.kleinanzeigen.de/s-anzeige/point-7-ac2-6-7m2/2852759560-230-3412", "Link")</f>
        <v/>
      </c>
      <c r="N891" s="6">
        <f>HYPERLINK("C:\Projects\Kleinanzeigen-Scraper\offer_images\2852759560", "Link")</f>
        <v/>
      </c>
      <c r="O891" t="inlineStr">
        <is>
          <t>Kai</t>
        </is>
      </c>
      <c r="P891" s="6">
        <f>HYPERLINK("https://www.kleinanzeigen.de/s-bestandsliste.html?userId=23144864", "Link")</f>
        <v/>
      </c>
      <c r="Q891" s="7" t="n">
        <v>45550.99359953704</v>
      </c>
      <c r="R891" s="3" t="inlineStr">
        <is>
          <t>472.49</t>
        </is>
      </c>
      <c r="S891" t="inlineStr">
        <is>
          <t>Köln</t>
        </is>
      </c>
    </row>
    <row r="892">
      <c r="A892" s="2" t="n">
        <v>7.2</v>
      </c>
      <c r="B892" t="inlineStr">
        <is>
          <t>Neilpryde V8</t>
        </is>
      </c>
      <c r="C892" s="3" t="n">
        <v>460</v>
      </c>
      <c r="D892" s="3" t="inlineStr">
        <is>
          <t>199-204</t>
        </is>
      </c>
      <c r="E892" t="inlineStr"/>
      <c r="F892" t="inlineStr"/>
      <c r="G892" t="inlineStr">
        <is>
          <t>repaired</t>
        </is>
      </c>
      <c r="H892" s="4" t="n">
        <v>200</v>
      </c>
      <c r="I892" t="inlineStr">
        <is>
          <t>VB</t>
        </is>
      </c>
      <c r="J892" t="inlineStr">
        <is>
          <t>24582 Schleswig-Holstein - Bordesholm</t>
        </is>
      </c>
      <c r="K892" s="5" t="n">
        <v>45550</v>
      </c>
      <c r="L892" t="inlineStr"/>
      <c r="M892" s="6">
        <f>HYPERLINK("https://www.kleinanzeigen.de/s-anzeige/neilpryde-v8-7-2/2864321498-230-10590", "Link")</f>
        <v/>
      </c>
      <c r="N892" s="6">
        <f>HYPERLINK("C:\Projects\Kleinanzeigen-Scraper\offer_images\2864321498", "Link")</f>
        <v/>
      </c>
      <c r="O892" t="inlineStr">
        <is>
          <t>Herbst</t>
        </is>
      </c>
      <c r="P892" s="6">
        <f>HYPERLINK("https://www.kleinanzeigen.de/s-bestandsliste.html?userId=22981411", "Link")</f>
        <v/>
      </c>
      <c r="Q892" s="7" t="n">
        <v>45550.99344907407</v>
      </c>
      <c r="R892" s="3" t="inlineStr">
        <is>
          <t>413.93</t>
        </is>
      </c>
      <c r="S892" t="inlineStr">
        <is>
          <t>Köln</t>
        </is>
      </c>
    </row>
    <row r="893">
      <c r="A893" s="2" t="n">
        <v>4.1</v>
      </c>
      <c r="B893" t="inlineStr">
        <is>
          <t>Naish Force IV</t>
        </is>
      </c>
      <c r="C893" s="3" t="inlineStr"/>
      <c r="D893" s="3" t="inlineStr"/>
      <c r="E893" t="inlineStr"/>
      <c r="F893" t="inlineStr">
        <is>
          <t>2018</t>
        </is>
      </c>
      <c r="G893" t="inlineStr">
        <is>
          <t>used</t>
        </is>
      </c>
      <c r="H893" s="4" t="n">
        <v>200</v>
      </c>
      <c r="I893" t="inlineStr"/>
      <c r="J893" t="inlineStr">
        <is>
          <t>49525 Nordrhein-Westfalen - Lengerich</t>
        </is>
      </c>
      <c r="K893" s="5" t="n">
        <v>45550</v>
      </c>
      <c r="L893" t="inlineStr"/>
      <c r="M893" s="6">
        <f>HYPERLINK("https://www.kleinanzeigen.de/s-anzeige/naish-force-iv-4-1-windsurfen-surfen/2864320467-230-1257", "Link")</f>
        <v/>
      </c>
      <c r="N893" s="6">
        <f>HYPERLINK("C:\Projects\Kleinanzeigen-Scraper\offer_images\2864320467", "Link")</f>
        <v/>
      </c>
      <c r="O893" t="inlineStr">
        <is>
          <t>Andre Budke</t>
        </is>
      </c>
      <c r="P893" s="6">
        <f>HYPERLINK("https://www.kleinanzeigen.de/s-bestandsliste.html?userId=21734450", "Link")</f>
        <v/>
      </c>
      <c r="Q893" s="7" t="n">
        <v>45550.99331018519</v>
      </c>
      <c r="R893" s="3" t="inlineStr">
        <is>
          <t>149.46</t>
        </is>
      </c>
      <c r="S893" t="inlineStr">
        <is>
          <t>Köln</t>
        </is>
      </c>
    </row>
    <row r="894">
      <c r="A894" s="2" t="n">
        <v>4.7</v>
      </c>
      <c r="B894" t="inlineStr">
        <is>
          <t>Arrows Craze</t>
        </is>
      </c>
      <c r="C894" s="3" t="n">
        <v>400</v>
      </c>
      <c r="D894" s="3" t="inlineStr">
        <is>
          <t>159-163</t>
        </is>
      </c>
      <c r="E894" t="inlineStr"/>
      <c r="F894" t="inlineStr"/>
      <c r="G894" t="inlineStr">
        <is>
          <t>used</t>
        </is>
      </c>
      <c r="H894" s="4" t="n">
        <v>99</v>
      </c>
      <c r="I894" t="inlineStr">
        <is>
          <t>VB</t>
        </is>
      </c>
      <c r="J894" t="inlineStr">
        <is>
          <t>76287 Rheinstetten</t>
        </is>
      </c>
      <c r="K894" s="5" t="n">
        <v>45548</v>
      </c>
      <c r="L894" t="inlineStr">
        <is>
          <t>Sold</t>
        </is>
      </c>
      <c r="M894" s="6">
        <f>HYPERLINK("https://www.dailydose.de/kleinanzeigen/detail.htm?ai=422529&amp;cf=kk&amp;pg=5&amp;ci=5", "Link")</f>
        <v/>
      </c>
      <c r="N894" s="6">
        <f>HYPERLINK("C:\Projects\Kleinanzeigen-Scraper\offer_images\422529", "Link")</f>
        <v/>
      </c>
      <c r="O894" t="inlineStr">
        <is>
          <t>Epplesee</t>
        </is>
      </c>
      <c r="P894" s="6">
        <f>HYPERLINK("https://www.dailydose.de/kleinanzeigen/user/7173", "Link")</f>
        <v/>
      </c>
      <c r="Q894" s="7" t="n">
        <v>45549.5846875</v>
      </c>
      <c r="R894" s="3" t="inlineStr">
        <is>
          <t>7.05</t>
        </is>
      </c>
      <c r="S894" t="inlineStr">
        <is>
          <t>Karlsruhe</t>
        </is>
      </c>
    </row>
    <row r="895">
      <c r="A895" s="2" t="n">
        <v>5.4</v>
      </c>
      <c r="B895" t="inlineStr">
        <is>
          <t>North Sails Duke</t>
        </is>
      </c>
      <c r="C895" s="3" t="inlineStr"/>
      <c r="D895" s="3" t="inlineStr"/>
      <c r="E895" t="inlineStr"/>
      <c r="F895" t="inlineStr"/>
      <c r="G895" t="inlineStr">
        <is>
          <t>repaired</t>
        </is>
      </c>
      <c r="H895" s="4" t="n">
        <v>119</v>
      </c>
      <c r="I895" t="inlineStr">
        <is>
          <t>VB</t>
        </is>
      </c>
      <c r="J895" t="inlineStr">
        <is>
          <t>76287 Rheinstetten</t>
        </is>
      </c>
      <c r="K895" s="5" t="n">
        <v>45548</v>
      </c>
      <c r="L895" t="inlineStr">
        <is>
          <t>Sold</t>
        </is>
      </c>
      <c r="M895" s="6">
        <f>HYPERLINK("https://www.dailydose.de/kleinanzeigen/detail.htm?ai=422531&amp;cf=kk&amp;pg=5&amp;ci=5", "Link")</f>
        <v/>
      </c>
      <c r="N895" s="6">
        <f>HYPERLINK("C:\Projects\Kleinanzeigen-Scraper\offer_images\422531", "Link")</f>
        <v/>
      </c>
      <c r="O895" t="inlineStr">
        <is>
          <t>Epplesee</t>
        </is>
      </c>
      <c r="P895" s="6">
        <f>HYPERLINK("https://www.dailydose.de/kleinanzeigen/user/7173", "Link")</f>
        <v/>
      </c>
      <c r="Q895" s="7" t="n">
        <v>45549.58465277778</v>
      </c>
      <c r="R895" s="3" t="inlineStr">
        <is>
          <t>7.05</t>
        </is>
      </c>
      <c r="S895" t="inlineStr">
        <is>
          <t>Karlsruhe</t>
        </is>
      </c>
    </row>
    <row r="896">
      <c r="A896" s="2" t="n">
        <v>4.7</v>
      </c>
      <c r="B896" t="inlineStr">
        <is>
          <t>North Sails Hero</t>
        </is>
      </c>
      <c r="C896" s="3" t="inlineStr"/>
      <c r="D896" s="3" t="inlineStr"/>
      <c r="E896" t="inlineStr"/>
      <c r="F896" t="inlineStr">
        <is>
          <t>2014</t>
        </is>
      </c>
      <c r="G896" t="inlineStr">
        <is>
          <t>used</t>
        </is>
      </c>
      <c r="H896" s="4" t="n">
        <v>120</v>
      </c>
      <c r="I896" t="inlineStr">
        <is>
          <t>VB</t>
        </is>
      </c>
      <c r="J896" t="inlineStr">
        <is>
          <t>40724 Hilden</t>
        </is>
      </c>
      <c r="K896" s="5" t="n">
        <v>45549</v>
      </c>
      <c r="L896" t="inlineStr">
        <is>
          <t>Sold</t>
        </is>
      </c>
      <c r="M896" s="6">
        <f>HYPERLINK("https://www.dailydose.de/kleinanzeigen/detail.htm?ai=422563&amp;cf=kk&amp;pg=5&amp;ci=5", "Link")</f>
        <v/>
      </c>
      <c r="N896" s="6">
        <f>HYPERLINK("C:\Projects\Kleinanzeigen-Scraper\offer_images\422563", "Link")</f>
        <v/>
      </c>
      <c r="O896" t="inlineStr">
        <is>
          <t>Roland</t>
        </is>
      </c>
      <c r="P896" s="6">
        <f>HYPERLINK("https://www.dailydose.de/kleinanzeigen/user/7206", "Link")</f>
        <v/>
      </c>
      <c r="Q896" s="7" t="n">
        <v>45549.58462962963</v>
      </c>
      <c r="R896" s="3" t="inlineStr">
        <is>
          <t>26.51</t>
        </is>
      </c>
      <c r="S896" t="inlineStr">
        <is>
          <t>Köln</t>
        </is>
      </c>
    </row>
    <row r="897">
      <c r="A897" s="2" t="n">
        <v>4.2</v>
      </c>
      <c r="B897" t="inlineStr">
        <is>
          <t>North Sails Hero</t>
        </is>
      </c>
      <c r="C897" s="3" t="inlineStr"/>
      <c r="D897" s="3" t="inlineStr"/>
      <c r="E897" t="inlineStr">
        <is>
          <t>Wave</t>
        </is>
      </c>
      <c r="F897" t="inlineStr">
        <is>
          <t>2014</t>
        </is>
      </c>
      <c r="G897" t="inlineStr">
        <is>
          <t>used</t>
        </is>
      </c>
      <c r="H897" s="4" t="n">
        <v>110</v>
      </c>
      <c r="I897" t="inlineStr">
        <is>
          <t>VB</t>
        </is>
      </c>
      <c r="J897" t="inlineStr">
        <is>
          <t>40724 Hilden</t>
        </is>
      </c>
      <c r="K897" s="5" t="n">
        <v>45549</v>
      </c>
      <c r="L897" t="inlineStr">
        <is>
          <t>Sold</t>
        </is>
      </c>
      <c r="M897" s="6">
        <f>HYPERLINK("https://www.dailydose.de/kleinanzeigen/detail.htm?ai=422564&amp;cf=kk&amp;pg=5&amp;ci=5", "Link")</f>
        <v/>
      </c>
      <c r="N897" s="6">
        <f>HYPERLINK("C:\Projects\Kleinanzeigen-Scraper\offer_images\422564", "Link")</f>
        <v/>
      </c>
      <c r="O897" t="inlineStr">
        <is>
          <t>Roland</t>
        </is>
      </c>
      <c r="P897" s="6">
        <f>HYPERLINK("https://www.dailydose.de/kleinanzeigen/user/7206", "Link")</f>
        <v/>
      </c>
      <c r="Q897" s="7" t="n">
        <v>45549.58461805555</v>
      </c>
      <c r="R897" s="3" t="inlineStr">
        <is>
          <t>26.51</t>
        </is>
      </c>
      <c r="S897" t="inlineStr">
        <is>
          <t>Köln</t>
        </is>
      </c>
    </row>
    <row r="898">
      <c r="A898" s="2" t="n">
        <v>3.7</v>
      </c>
      <c r="B898" t="inlineStr">
        <is>
          <t>North Sails Hero</t>
        </is>
      </c>
      <c r="C898" s="3" t="inlineStr"/>
      <c r="D898" s="3" t="inlineStr"/>
      <c r="E898" t="inlineStr">
        <is>
          <t>Wave</t>
        </is>
      </c>
      <c r="F898" t="inlineStr">
        <is>
          <t>2014</t>
        </is>
      </c>
      <c r="G898" t="inlineStr">
        <is>
          <t>used</t>
        </is>
      </c>
      <c r="H898" s="4" t="n">
        <v>120</v>
      </c>
      <c r="I898" t="inlineStr">
        <is>
          <t>VB</t>
        </is>
      </c>
      <c r="J898" t="inlineStr">
        <is>
          <t>40724 Hilden</t>
        </is>
      </c>
      <c r="K898" s="5" t="n">
        <v>45549</v>
      </c>
      <c r="L898" t="inlineStr">
        <is>
          <t>Sold</t>
        </is>
      </c>
      <c r="M898" s="6">
        <f>HYPERLINK("https://www.dailydose.de/kleinanzeigen/detail.htm?ai=422565&amp;cf=kk&amp;pg=2&amp;ci=5", "Link")</f>
        <v/>
      </c>
      <c r="N898" s="6">
        <f>HYPERLINK("C:\Projects\Kleinanzeigen-Scraper\offer_images\422565", "Link")</f>
        <v/>
      </c>
      <c r="O898" t="inlineStr">
        <is>
          <t>Roland</t>
        </is>
      </c>
      <c r="P898" s="6">
        <f>HYPERLINK("https://www.dailydose.de/kleinanzeigen/user/7206", "Link")</f>
        <v/>
      </c>
      <c r="Q898" s="7" t="n">
        <v>45549.58394675926</v>
      </c>
      <c r="R898" s="3" t="inlineStr">
        <is>
          <t>26.51</t>
        </is>
      </c>
      <c r="S898" t="inlineStr">
        <is>
          <t>Köln</t>
        </is>
      </c>
    </row>
    <row r="899">
      <c r="A899" s="2" t="n">
        <v>8</v>
      </c>
      <c r="B899" t="inlineStr">
        <is>
          <t>Gunsails GS-F</t>
        </is>
      </c>
      <c r="C899" s="3" t="inlineStr"/>
      <c r="D899" s="3" t="inlineStr"/>
      <c r="E899" t="inlineStr"/>
      <c r="F899" t="inlineStr"/>
      <c r="G899" t="inlineStr">
        <is>
          <t>used</t>
        </is>
      </c>
      <c r="H899" s="4" t="n">
        <v>229</v>
      </c>
      <c r="I899" t="inlineStr"/>
      <c r="J899" t="inlineStr">
        <is>
          <t>24211 Preetz</t>
        </is>
      </c>
      <c r="K899" s="5" t="n">
        <v>45549</v>
      </c>
      <c r="L899" t="inlineStr">
        <is>
          <t>Sold</t>
        </is>
      </c>
      <c r="M899" s="6">
        <f>HYPERLINK("https://www.dailydose.de/kleinanzeigen/detail.htm?ai=422552&amp;cf=kk&amp;pg=4&amp;ci=5", "Link")</f>
        <v/>
      </c>
      <c r="N899" s="6">
        <f>HYPERLINK("C:\Projects\Kleinanzeigen-Scraper\offer_images\422552", "Link")</f>
        <v/>
      </c>
      <c r="O899" t="inlineStr">
        <is>
          <t>YoSurf</t>
        </is>
      </c>
      <c r="P899" s="6">
        <f>HYPERLINK("https://www.dailydose.de/kleinanzeigen/user/23069", "Link")</f>
        <v/>
      </c>
      <c r="Q899" s="7" t="n">
        <v>45549.5834375</v>
      </c>
      <c r="R899" s="3" t="inlineStr">
        <is>
          <t>429.47</t>
        </is>
      </c>
      <c r="S899" t="inlineStr">
        <is>
          <t>Köln</t>
        </is>
      </c>
    </row>
    <row r="900">
      <c r="A900" s="2" t="n">
        <v>6.2</v>
      </c>
      <c r="B900" t="inlineStr">
        <is>
          <t>Duotone Duke C12</t>
        </is>
      </c>
      <c r="C900" s="3" t="n">
        <v>430</v>
      </c>
      <c r="D900" s="3" t="n">
        <v>182</v>
      </c>
      <c r="E900" t="inlineStr"/>
      <c r="F900" t="inlineStr">
        <is>
          <t>2024</t>
        </is>
      </c>
      <c r="G900" t="inlineStr">
        <is>
          <t>new</t>
        </is>
      </c>
      <c r="H900" s="4" t="n">
        <v>490</v>
      </c>
      <c r="I900" t="inlineStr"/>
      <c r="J900" t="inlineStr">
        <is>
          <t>8402 Graz</t>
        </is>
      </c>
      <c r="K900" s="5" t="n">
        <v>45549</v>
      </c>
      <c r="L900" t="inlineStr">
        <is>
          <t>Sold</t>
        </is>
      </c>
      <c r="M900" s="6">
        <f>HYPERLINK("https://www.dailydose.de/kleinanzeigen/detail.htm?ai=422550&amp;cf=kk&amp;pg=4&amp;ci=5", "Link")</f>
        <v/>
      </c>
      <c r="N900" s="6">
        <f>HYPERLINK("C:\Projects\Kleinanzeigen-Scraper\offer_images\422550", "Link")</f>
        <v/>
      </c>
      <c r="O900" t="inlineStr">
        <is>
          <t>Mario_117</t>
        </is>
      </c>
      <c r="P900" s="6">
        <f>HYPERLINK("https://www.dailydose.de/kleinanzeigen/user/16485", "Link")</f>
        <v/>
      </c>
      <c r="Q900" s="7" t="n">
        <v>45549.58331018518</v>
      </c>
      <c r="R900" s="3" t="inlineStr">
        <is>
          <t>313.03</t>
        </is>
      </c>
      <c r="S900" t="inlineStr">
        <is>
          <t>München</t>
        </is>
      </c>
    </row>
    <row r="901">
      <c r="A901" s="2" t="n">
        <v>5.3</v>
      </c>
      <c r="B901" t="inlineStr">
        <is>
          <t>North Sails Hero hybrid</t>
        </is>
      </c>
      <c r="C901" s="3" t="inlineStr"/>
      <c r="D901" s="3" t="inlineStr"/>
      <c r="E901" t="inlineStr"/>
      <c r="F901" t="inlineStr">
        <is>
          <t>2016</t>
        </is>
      </c>
      <c r="G901" t="inlineStr">
        <is>
          <t>used</t>
        </is>
      </c>
      <c r="H901" s="4" t="n">
        <v>160</v>
      </c>
      <c r="I901" t="inlineStr">
        <is>
          <t>VB</t>
        </is>
      </c>
      <c r="J901" t="inlineStr">
        <is>
          <t>40724 Hilden</t>
        </is>
      </c>
      <c r="K901" s="5" t="n">
        <v>45549</v>
      </c>
      <c r="L901" t="inlineStr">
        <is>
          <t>Sold</t>
        </is>
      </c>
      <c r="M901" s="6">
        <f>HYPERLINK("https://www.dailydose.de/kleinanzeigen/detail.htm?ai=422561&amp;cf=kk&amp;pg=2&amp;ci=5", "Link")</f>
        <v/>
      </c>
      <c r="N901" s="6">
        <f>HYPERLINK("C:\Projects\Kleinanzeigen-Scraper\offer_images\422561", "Link")</f>
        <v/>
      </c>
      <c r="O901" t="inlineStr">
        <is>
          <t>Roland</t>
        </is>
      </c>
      <c r="P901" s="6">
        <f>HYPERLINK("https://www.dailydose.de/kleinanzeigen/user/7206", "Link")</f>
        <v/>
      </c>
      <c r="Q901" s="7" t="n">
        <v>45549.58314814815</v>
      </c>
      <c r="R901" s="3" t="inlineStr">
        <is>
          <t>26.51</t>
        </is>
      </c>
      <c r="S901" t="inlineStr">
        <is>
          <t>Köln</t>
        </is>
      </c>
    </row>
    <row r="902">
      <c r="A902" s="2" t="n">
        <v>6.9</v>
      </c>
      <c r="B902" t="inlineStr">
        <is>
          <t>S2MAUI Hornet</t>
        </is>
      </c>
      <c r="C902" s="3" t="inlineStr"/>
      <c r="D902" s="3" t="inlineStr"/>
      <c r="E902" t="inlineStr">
        <is>
          <t>Freeride Foil</t>
        </is>
      </c>
      <c r="F902" t="inlineStr">
        <is>
          <t>2021</t>
        </is>
      </c>
      <c r="G902" t="inlineStr">
        <is>
          <t>used</t>
        </is>
      </c>
      <c r="H902" s="4" t="n">
        <v>250</v>
      </c>
      <c r="I902" t="inlineStr">
        <is>
          <t>VB</t>
        </is>
      </c>
      <c r="J902" t="inlineStr">
        <is>
          <t>81829 München</t>
        </is>
      </c>
      <c r="K902" s="5" t="n">
        <v>45548</v>
      </c>
      <c r="L902" t="inlineStr">
        <is>
          <t>Sold</t>
        </is>
      </c>
      <c r="M902" s="6">
        <f>HYPERLINK("https://www.dailydose.de/kleinanzeigen/detail.htm?ai=422548&amp;cf=kk&amp;pg=5&amp;ci=5", "Link")</f>
        <v/>
      </c>
      <c r="N902" s="6">
        <f>HYPERLINK("C:\Projects\Kleinanzeigen-Scraper\offer_images\422548", "Link")</f>
        <v/>
      </c>
      <c r="O902" t="inlineStr">
        <is>
          <t>Robert_57</t>
        </is>
      </c>
      <c r="P902" s="6">
        <f>HYPERLINK("https://www.dailydose.de/kleinanzeigen/user/20139", "Link")</f>
        <v/>
      </c>
      <c r="Q902" s="7" t="n">
        <v>45549.58302083334</v>
      </c>
      <c r="R902" s="3" t="inlineStr">
        <is>
          <t>8.51</t>
        </is>
      </c>
      <c r="S902" t="inlineStr">
        <is>
          <t>München</t>
        </is>
      </c>
    </row>
    <row r="903">
      <c r="A903" s="2" t="n">
        <v>7.2</v>
      </c>
      <c r="B903" t="inlineStr">
        <is>
          <t>F2 Arrows Craze</t>
        </is>
      </c>
      <c r="C903" s="3" t="inlineStr"/>
      <c r="D903" s="3" t="inlineStr"/>
      <c r="E903" t="inlineStr"/>
      <c r="F903" t="inlineStr"/>
      <c r="G903" t="inlineStr">
        <is>
          <t>used</t>
        </is>
      </c>
      <c r="H903" s="4" t="n">
        <v>119</v>
      </c>
      <c r="I903" t="inlineStr">
        <is>
          <t>VB</t>
        </is>
      </c>
      <c r="J903" t="inlineStr">
        <is>
          <t>76287 Rheinstetten</t>
        </is>
      </c>
      <c r="K903" s="5" t="n">
        <v>45548</v>
      </c>
      <c r="L903" t="inlineStr">
        <is>
          <t>Sold</t>
        </is>
      </c>
      <c r="M903" s="6">
        <f>HYPERLINK("https://www.dailydose.de/kleinanzeigen/detail.htm?ai=422530&amp;cf=kk&amp;pg=3&amp;ci=5", "Link")</f>
        <v/>
      </c>
      <c r="N903" s="6">
        <f>HYPERLINK("C:\Projects\Kleinanzeigen-Scraper\offer_images\422530", "Link")</f>
        <v/>
      </c>
      <c r="O903" t="inlineStr">
        <is>
          <t>Epplesee</t>
        </is>
      </c>
      <c r="P903" s="6">
        <f>HYPERLINK("https://www.dailydose.de/kleinanzeigen/user/7173", "Link")</f>
        <v/>
      </c>
      <c r="Q903" s="7" t="n">
        <v>45549.5827662037</v>
      </c>
      <c r="R903" s="3" t="inlineStr">
        <is>
          <t>7.05</t>
        </is>
      </c>
      <c r="S903" t="inlineStr">
        <is>
          <t>Karlsruhe</t>
        </is>
      </c>
    </row>
    <row r="904">
      <c r="A904" s="2" t="n">
        <v>6.4</v>
      </c>
      <c r="B904" t="inlineStr">
        <is>
          <t>North Sails Duke</t>
        </is>
      </c>
      <c r="C904" s="3" t="inlineStr"/>
      <c r="D904" s="3" t="inlineStr"/>
      <c r="E904" t="inlineStr"/>
      <c r="F904" t="inlineStr"/>
      <c r="G904" t="inlineStr">
        <is>
          <t>used</t>
        </is>
      </c>
      <c r="H904" s="4" t="n">
        <v>119</v>
      </c>
      <c r="I904" t="inlineStr">
        <is>
          <t>VB</t>
        </is>
      </c>
      <c r="J904" t="inlineStr">
        <is>
          <t>76287 Rheinstetten</t>
        </is>
      </c>
      <c r="K904" s="5" t="n">
        <v>45548</v>
      </c>
      <c r="L904" t="inlineStr">
        <is>
          <t>Sold</t>
        </is>
      </c>
      <c r="M904" s="6">
        <f>HYPERLINK("https://www.dailydose.de/kleinanzeigen/detail.htm?ai=422532&amp;cf=kk&amp;pg=5&amp;ci=5", "Link")</f>
        <v/>
      </c>
      <c r="N904" s="6">
        <f>HYPERLINK("C:\Projects\Kleinanzeigen-Scraper\offer_images\422532", "Link")</f>
        <v/>
      </c>
      <c r="O904" t="inlineStr">
        <is>
          <t>Epplesee</t>
        </is>
      </c>
      <c r="P904" s="6">
        <f>HYPERLINK("https://www.dailydose.de/kleinanzeigen/user/7173", "Link")</f>
        <v/>
      </c>
      <c r="Q904" s="7" t="n">
        <v>45549.58273148148</v>
      </c>
      <c r="R904" s="3" t="inlineStr">
        <is>
          <t>7.05</t>
        </is>
      </c>
      <c r="S904" t="inlineStr">
        <is>
          <t>Karlsruhe</t>
        </is>
      </c>
    </row>
    <row r="905">
      <c r="A905" s="2" t="n">
        <v>5.8</v>
      </c>
      <c r="B905" t="inlineStr">
        <is>
          <t>Point-7 AC-Z</t>
        </is>
      </c>
      <c r="C905" s="3" t="inlineStr"/>
      <c r="D905" s="3" t="inlineStr"/>
      <c r="E905" t="inlineStr"/>
      <c r="F905" t="inlineStr">
        <is>
          <t>2023</t>
        </is>
      </c>
      <c r="G905" t="inlineStr">
        <is>
          <t>new</t>
        </is>
      </c>
      <c r="H905" s="4" t="n">
        <v>400</v>
      </c>
      <c r="I905" t="inlineStr">
        <is>
          <t>VB</t>
        </is>
      </c>
      <c r="J905" t="inlineStr">
        <is>
          <t>24229 Dänischenhagen</t>
        </is>
      </c>
      <c r="K905" s="5" t="n">
        <v>45549</v>
      </c>
      <c r="L905" t="inlineStr">
        <is>
          <t>Sold</t>
        </is>
      </c>
      <c r="M905" s="6">
        <f>HYPERLINK("https://www.dailydose.de/kleinanzeigen/detail.htm?ai=422572&amp;cf=kk&amp;pg=5&amp;ci=5", "Link")</f>
        <v/>
      </c>
      <c r="N905" s="6">
        <f>HYPERLINK("C:\Projects\Kleinanzeigen-Scraper\offer_images\422572", "Link")</f>
        <v/>
      </c>
      <c r="O905" t="inlineStr">
        <is>
          <t>AntonEck</t>
        </is>
      </c>
      <c r="P905" s="6">
        <f>HYPERLINK("https://www.dailydose.de/kleinanzeigen/user/26407", "Link")</f>
        <v/>
      </c>
      <c r="Q905" s="7" t="n">
        <v>45549.58273148148</v>
      </c>
      <c r="R905" s="3" t="inlineStr">
        <is>
          <t>445.58</t>
        </is>
      </c>
      <c r="S905" t="inlineStr">
        <is>
          <t>Köln</t>
        </is>
      </c>
    </row>
    <row r="906">
      <c r="A906" s="2" t="n">
        <v>5.5</v>
      </c>
      <c r="B906" t="inlineStr">
        <is>
          <t>Goya Banzai Pro 11</t>
        </is>
      </c>
      <c r="C906" s="3" t="inlineStr"/>
      <c r="D906" s="3" t="inlineStr"/>
      <c r="E906" t="inlineStr">
        <is>
          <t>Wave</t>
        </is>
      </c>
      <c r="F906" t="inlineStr">
        <is>
          <t>2024</t>
        </is>
      </c>
      <c r="G906" t="inlineStr">
        <is>
          <t>new</t>
        </is>
      </c>
      <c r="H906" s="4" t="n">
        <v>575</v>
      </c>
      <c r="I906" t="inlineStr"/>
      <c r="J906" t="inlineStr">
        <is>
          <t>49078 Osnabrück</t>
        </is>
      </c>
      <c r="K906" s="5" t="n">
        <v>45548</v>
      </c>
      <c r="L906" t="inlineStr">
        <is>
          <t>Sold</t>
        </is>
      </c>
      <c r="M906" s="6">
        <f>HYPERLINK("https://www.dailydose.de/kleinanzeigen/detail.htm?ai=422508&amp;cf=kk&amp;pg=3&amp;ci=5", "Link")</f>
        <v/>
      </c>
      <c r="N906" s="6">
        <f>HYPERLINK("C:\Projects\Kleinanzeigen-Scraper\offer_images\422508", "Link")</f>
        <v/>
      </c>
      <c r="O906" t="inlineStr">
        <is>
          <t>lh_85</t>
        </is>
      </c>
      <c r="P906" s="6">
        <f>HYPERLINK("https://www.dailydose.de/kleinanzeigen/user/14043", "Link")</f>
        <v/>
      </c>
      <c r="Q906" s="7" t="n">
        <v>45549.58267361111</v>
      </c>
      <c r="R906" s="3" t="inlineStr">
        <is>
          <t>163.24</t>
        </is>
      </c>
      <c r="S906" t="inlineStr">
        <is>
          <t>Köln</t>
        </is>
      </c>
    </row>
    <row r="907">
      <c r="A907" s="2" t="n">
        <v>5.2</v>
      </c>
      <c r="B907" t="inlineStr">
        <is>
          <t>RRD Style Pro</t>
        </is>
      </c>
      <c r="C907" s="3" t="n">
        <v>400</v>
      </c>
      <c r="D907" s="3" t="n">
        <v>158</v>
      </c>
      <c r="E907" t="inlineStr"/>
      <c r="F907" t="inlineStr">
        <is>
          <t>2022</t>
        </is>
      </c>
      <c r="G907" t="inlineStr">
        <is>
          <t>used</t>
        </is>
      </c>
      <c r="H907" s="4" t="n">
        <v>480</v>
      </c>
      <c r="I907" t="inlineStr">
        <is>
          <t>VB</t>
        </is>
      </c>
      <c r="J907" t="inlineStr">
        <is>
          <t>12203 Berlin</t>
        </is>
      </c>
      <c r="K907" s="5" t="n">
        <v>45548</v>
      </c>
      <c r="L907" t="inlineStr">
        <is>
          <t>Sold</t>
        </is>
      </c>
      <c r="M907" s="6">
        <f>HYPERLINK("https://www.dailydose.de/kleinanzeigen/detail.htm?ai=422512&amp;cf=kk&amp;pg=5&amp;ci=5", "Link")</f>
        <v/>
      </c>
      <c r="N907" s="6">
        <f>HYPERLINK("C:\Projects\Kleinanzeigen-Scraper\offer_images\422512", "Link")</f>
        <v/>
      </c>
      <c r="O907" t="inlineStr">
        <is>
          <t>Superfreek</t>
        </is>
      </c>
      <c r="P907" s="6">
        <f>HYPERLINK("https://www.dailydose.de/kleinanzeigen/user/14374", "Link")</f>
        <v/>
      </c>
      <c r="Q907" s="7" t="n">
        <v>45549.58263888889</v>
      </c>
      <c r="R907" s="3" t="inlineStr">
        <is>
          <t>468.79</t>
        </is>
      </c>
      <c r="S907" t="inlineStr">
        <is>
          <t>Köln</t>
        </is>
      </c>
    </row>
    <row r="908">
      <c r="A908" s="2" t="n">
        <v>4.5</v>
      </c>
      <c r="B908" t="inlineStr">
        <is>
          <t>Goya Banzai Pro 11</t>
        </is>
      </c>
      <c r="C908" s="3" t="inlineStr"/>
      <c r="D908" s="3" t="inlineStr"/>
      <c r="E908" t="inlineStr">
        <is>
          <t>Wave</t>
        </is>
      </c>
      <c r="F908" t="inlineStr">
        <is>
          <t>2024</t>
        </is>
      </c>
      <c r="G908" t="inlineStr">
        <is>
          <t>new</t>
        </is>
      </c>
      <c r="H908" s="4" t="n">
        <v>550</v>
      </c>
      <c r="I908" t="inlineStr"/>
      <c r="J908" t="inlineStr">
        <is>
          <t>49078 Osnabrück</t>
        </is>
      </c>
      <c r="K908" s="5" t="n">
        <v>45548</v>
      </c>
      <c r="L908" t="inlineStr">
        <is>
          <t>Sold</t>
        </is>
      </c>
      <c r="M908" s="6">
        <f>HYPERLINK("https://www.dailydose.de/kleinanzeigen/detail.htm?ai=422507&amp;cf=kk&amp;pg=5&amp;ci=5", "Link")</f>
        <v/>
      </c>
      <c r="N908" s="6">
        <f>HYPERLINK("C:\Projects\Kleinanzeigen-Scraper\offer_images\422507", "Link")</f>
        <v/>
      </c>
      <c r="O908" t="inlineStr">
        <is>
          <t>lh_85</t>
        </is>
      </c>
      <c r="P908" s="6">
        <f>HYPERLINK("https://www.dailydose.de/kleinanzeigen/user/14043", "Link")</f>
        <v/>
      </c>
      <c r="Q908" s="7" t="n">
        <v>45549.58222222222</v>
      </c>
      <c r="R908" s="3" t="inlineStr">
        <is>
          <t>163.24</t>
        </is>
      </c>
      <c r="S908" t="inlineStr">
        <is>
          <t>Köln</t>
        </is>
      </c>
    </row>
    <row r="909">
      <c r="A909" s="2" t="n">
        <v>9</v>
      </c>
      <c r="B909" t="inlineStr">
        <is>
          <t>Sailloft Ultimate Foil</t>
        </is>
      </c>
      <c r="C909" s="3" t="inlineStr"/>
      <c r="D909" s="3" t="inlineStr"/>
      <c r="E909" t="inlineStr"/>
      <c r="F909" t="inlineStr"/>
      <c r="G909" t="inlineStr">
        <is>
          <t>used</t>
        </is>
      </c>
      <c r="H909" s="4" t="n">
        <v>219</v>
      </c>
      <c r="I909" t="inlineStr">
        <is>
          <t>VB</t>
        </is>
      </c>
      <c r="J909" t="inlineStr">
        <is>
          <t>24211 Preetz</t>
        </is>
      </c>
      <c r="K909" s="5" t="n">
        <v>45549</v>
      </c>
      <c r="L909" t="inlineStr">
        <is>
          <t>Sold</t>
        </is>
      </c>
      <c r="M909" s="6">
        <f>HYPERLINK("https://www.dailydose.de/kleinanzeigen/detail.htm?ai=422551&amp;cf=kk&amp;pg=4&amp;ci=5", "Link")</f>
        <v/>
      </c>
      <c r="N909" s="6">
        <f>HYPERLINK("C:\Projects\Kleinanzeigen-Scraper\offer_images\422551", "Link")</f>
        <v/>
      </c>
      <c r="O909" t="inlineStr">
        <is>
          <t>YoSurf</t>
        </is>
      </c>
      <c r="P909" s="6">
        <f>HYPERLINK("https://www.dailydose.de/kleinanzeigen/user/23069", "Link")</f>
        <v/>
      </c>
      <c r="Q909" s="7" t="n">
        <v>45549.58166666667</v>
      </c>
      <c r="R909" s="3" t="inlineStr">
        <is>
          <t>429.47</t>
        </is>
      </c>
      <c r="S909" t="inlineStr">
        <is>
          <t>Köln</t>
        </is>
      </c>
    </row>
    <row r="910">
      <c r="A910" s="2" t="n">
        <v>4.5</v>
      </c>
      <c r="B910" t="inlineStr">
        <is>
          <t>Gunsails Top Wave</t>
        </is>
      </c>
      <c r="C910" s="3" t="inlineStr"/>
      <c r="D910" s="3" t="inlineStr"/>
      <c r="E910" t="inlineStr"/>
      <c r="F910" t="inlineStr"/>
      <c r="G910" t="inlineStr">
        <is>
          <t>used</t>
        </is>
      </c>
      <c r="H910" s="4" t="n">
        <v>125</v>
      </c>
      <c r="I910" t="inlineStr">
        <is>
          <t>VB</t>
        </is>
      </c>
      <c r="J910" t="inlineStr">
        <is>
          <t>60435 Frankfurt am Main - Eckenheim</t>
        </is>
      </c>
      <c r="K910" s="5" t="n">
        <v>45015</v>
      </c>
      <c r="L910" t="inlineStr"/>
      <c r="M910" s="6">
        <f>HYPERLINK("https://www.kleinanzeigen.de/s-anzeige/gun-sails-top-wave-4-5-windsurfing-segel/2400878481-230-16323", "Link")</f>
        <v/>
      </c>
      <c r="N910" s="6">
        <f>HYPERLINK("C:\Projects\Kleinanzeigen-Scraper\offer_images\2400878481", "Link")</f>
        <v/>
      </c>
      <c r="O910" t="inlineStr">
        <is>
          <t>kathy</t>
        </is>
      </c>
      <c r="P910" s="6">
        <f>HYPERLINK("https://www.kleinanzeigen.de/s-bestandsliste.html?userId=50657477", "Link")</f>
        <v/>
      </c>
      <c r="Q910" s="7" t="n">
        <v>45549.58131944444</v>
      </c>
      <c r="R910" s="3" t="inlineStr">
        <is>
          <t>130.34</t>
        </is>
      </c>
      <c r="S910" t="inlineStr">
        <is>
          <t>Karlsruhe</t>
        </is>
      </c>
    </row>
    <row r="911">
      <c r="A911" s="2" t="n">
        <v>5.4</v>
      </c>
      <c r="B911" t="inlineStr">
        <is>
          <t>NeilPryde RS Flight EVO 3</t>
        </is>
      </c>
      <c r="C911" s="3" t="n">
        <v>430</v>
      </c>
      <c r="D911" s="3" t="n">
        <v>176</v>
      </c>
      <c r="E911" t="inlineStr"/>
      <c r="F911" t="inlineStr">
        <is>
          <t>2022</t>
        </is>
      </c>
      <c r="G911" t="inlineStr">
        <is>
          <t>used</t>
        </is>
      </c>
      <c r="H911" s="4" t="n">
        <v>420</v>
      </c>
      <c r="I911" t="inlineStr">
        <is>
          <t>VB</t>
        </is>
      </c>
      <c r="J911" t="inlineStr">
        <is>
          <t>99991 Unstrut-Hainich - Weberstedt</t>
        </is>
      </c>
      <c r="K911" s="5" t="n">
        <v>45500</v>
      </c>
      <c r="L911" t="inlineStr">
        <is>
          <t>Sold</t>
        </is>
      </c>
      <c r="M911" s="6">
        <f>HYPERLINK("https://www.kleinanzeigen.de/s-anzeige/neilpryde-rs-flight-evo-3-2022-5-4-foil-segel/2822284845-230-27803", "Link")</f>
        <v/>
      </c>
      <c r="N911" s="6">
        <f>HYPERLINK("C:\Projects\Kleinanzeigen-Scraper\offer_images\2822284845", "Link")</f>
        <v/>
      </c>
      <c r="O911" t="inlineStr">
        <is>
          <t>Dirk Kolberg</t>
        </is>
      </c>
      <c r="P911" s="6">
        <f>HYPERLINK("https://www.kleinanzeigen.de/s-bestandsliste.html?userId=57653293", "Link")</f>
        <v/>
      </c>
      <c r="Q911" s="7" t="n">
        <v>45549.58130787037</v>
      </c>
      <c r="R911" s="3" t="inlineStr">
        <is>
          <t>254.19</t>
        </is>
      </c>
      <c r="S911" t="inlineStr">
        <is>
          <t>Köln</t>
        </is>
      </c>
    </row>
    <row r="912">
      <c r="A912" s="2" t="n">
        <v>6</v>
      </c>
      <c r="B912" t="inlineStr">
        <is>
          <t>Gun Sails TEMPO</t>
        </is>
      </c>
      <c r="C912" s="3" t="n">
        <v>445</v>
      </c>
      <c r="D912" s="3" t="n">
        <v>193</v>
      </c>
      <c r="E912" t="inlineStr">
        <is>
          <t>Freeride</t>
        </is>
      </c>
      <c r="F912" t="inlineStr"/>
      <c r="G912" t="inlineStr">
        <is>
          <t>used, very good condition</t>
        </is>
      </c>
      <c r="H912" s="4" t="n">
        <v>99</v>
      </c>
      <c r="I912" t="inlineStr">
        <is>
          <t>VB</t>
        </is>
      </c>
      <c r="J912" t="inlineStr">
        <is>
          <t>23909 Herzogtum Lauenburg - Ratzeburg</t>
        </is>
      </c>
      <c r="K912" s="5" t="n">
        <v>45547</v>
      </c>
      <c r="L912" t="inlineStr">
        <is>
          <t>Sold</t>
        </is>
      </c>
      <c r="M912" s="6">
        <f>HYPERLINK("https://www.kleinanzeigen.de/s-anzeige/gun-sails-tempo-6-0-freeride-no-cam-segel/2861258753-230-811", "Link")</f>
        <v/>
      </c>
      <c r="N912" s="6">
        <f>HYPERLINK("C:\Projects\Kleinanzeigen-Scraper\offer_images\2861258753", "Link")</f>
        <v/>
      </c>
      <c r="O912" t="inlineStr">
        <is>
          <t>Silvia S.</t>
        </is>
      </c>
      <c r="P912" s="6">
        <f>HYPERLINK("https://www.kleinanzeigen.de/s-bestandsliste.html?userId=86555296", "Link")</f>
        <v/>
      </c>
      <c r="Q912" s="7" t="n">
        <v>45549.5812962963</v>
      </c>
      <c r="R912" s="3" t="inlineStr">
        <is>
          <t>401.75</t>
        </is>
      </c>
      <c r="S912" t="inlineStr">
        <is>
          <t>Köln</t>
        </is>
      </c>
    </row>
    <row r="913">
      <c r="A913" s="2" t="n">
        <v>4.7</v>
      </c>
      <c r="B913" t="inlineStr">
        <is>
          <t>NeilPryde Fly Wing</t>
        </is>
      </c>
      <c r="C913" s="3" t="inlineStr"/>
      <c r="D913" s="3" t="inlineStr"/>
      <c r="E913" t="inlineStr"/>
      <c r="F913" t="inlineStr">
        <is>
          <t>2023</t>
        </is>
      </c>
      <c r="G913" t="inlineStr">
        <is>
          <t>new</t>
        </is>
      </c>
      <c r="H913" s="4" t="n">
        <v>685</v>
      </c>
      <c r="I913" t="inlineStr"/>
      <c r="J913" t="inlineStr">
        <is>
          <t>82319 Bayern - Starnberg</t>
        </is>
      </c>
      <c r="K913" s="5" t="n">
        <v>45541</v>
      </c>
      <c r="L913" t="inlineStr">
        <is>
          <t>Sold</t>
        </is>
      </c>
      <c r="M913" s="6">
        <f>HYPERLINK("https://www.kleinanzeigen.de/s-anzeige/neilpryde-fly-wing-4-7qm-blue-2023-neu-/2442896842-230-5525", "Link")</f>
        <v/>
      </c>
      <c r="N913" s="6">
        <f>HYPERLINK("C:\Projects\Kleinanzeigen-Scraper\offer_images\2442896842", "Link")</f>
        <v/>
      </c>
      <c r="O913" t="inlineStr">
        <is>
          <t>No user name</t>
        </is>
      </c>
      <c r="P913" s="6">
        <f>HYPERLINK("https://www.kleinanzeigen.deNo user link", "Link")</f>
        <v/>
      </c>
      <c r="Q913" s="7" t="n">
        <v>45549.58128472222</v>
      </c>
      <c r="R913" s="3" t="inlineStr">
        <is>
          <t>23.17</t>
        </is>
      </c>
      <c r="S913" t="inlineStr">
        <is>
          <t>München</t>
        </is>
      </c>
    </row>
    <row r="914">
      <c r="A914" s="2" t="n">
        <v>4.8</v>
      </c>
      <c r="B914" t="inlineStr">
        <is>
          <t>Point 7 Slash</t>
        </is>
      </c>
      <c r="C914" s="3" t="n">
        <v>370</v>
      </c>
      <c r="D914" s="3" t="n">
        <v>156</v>
      </c>
      <c r="E914" t="inlineStr"/>
      <c r="F914" t="inlineStr"/>
      <c r="G914" t="inlineStr">
        <is>
          <t>used</t>
        </is>
      </c>
      <c r="H914" s="4" t="n">
        <v>160</v>
      </c>
      <c r="I914" t="inlineStr">
        <is>
          <t>VB</t>
        </is>
      </c>
      <c r="J914" t="inlineStr">
        <is>
          <t>79539 Baden-Württemberg - Lörrach</t>
        </is>
      </c>
      <c r="K914" s="5" t="n">
        <v>45496</v>
      </c>
      <c r="L914" t="inlineStr">
        <is>
          <t>Sold</t>
        </is>
      </c>
      <c r="M914" s="6">
        <f>HYPERLINK("https://www.kleinanzeigen.de/s-anzeige/point-7-slash-4-8-freestyle-zu-verkaufen/2819301835-230-8080", "Link")</f>
        <v/>
      </c>
      <c r="N914" s="6">
        <f>HYPERLINK("C:\Projects\Kleinanzeigen-Scraper\offer_images\2819301835", "Link")</f>
        <v/>
      </c>
      <c r="O914" t="inlineStr">
        <is>
          <t>Martina Gräf-Lehmann</t>
        </is>
      </c>
      <c r="P914" s="6">
        <f>HYPERLINK("https://www.kleinanzeigen.de/s-bestandsliste.html?userId=36584215", "Link")</f>
        <v/>
      </c>
      <c r="Q914" s="7" t="n">
        <v>45549.58128472222</v>
      </c>
      <c r="R914" s="3" t="inlineStr">
        <is>
          <t>54.91</t>
        </is>
      </c>
      <c r="S914" t="inlineStr">
        <is>
          <t>Bonndorf</t>
        </is>
      </c>
    </row>
    <row r="915">
      <c r="A915" s="2" t="n">
        <v>2.25</v>
      </c>
      <c r="B915" t="inlineStr">
        <is>
          <t>Goya Scion</t>
        </is>
      </c>
      <c r="C915" s="3" t="inlineStr"/>
      <c r="D915" s="3" t="inlineStr"/>
      <c r="E915" t="inlineStr"/>
      <c r="F915" t="inlineStr"/>
      <c r="G915" t="inlineStr">
        <is>
          <t>used</t>
        </is>
      </c>
      <c r="H915" s="4" t="n">
        <v>300</v>
      </c>
      <c r="I915" t="inlineStr">
        <is>
          <t>VB</t>
        </is>
      </c>
      <c r="J915" t="inlineStr">
        <is>
          <t>85301 Bayern - Schweitenkirchen</t>
        </is>
      </c>
      <c r="K915" s="5" t="n">
        <v>45478</v>
      </c>
      <c r="L915" t="inlineStr">
        <is>
          <t>Sold</t>
        </is>
      </c>
      <c r="M915" s="6">
        <f>HYPERLINK("https://www.kleinanzeigen.de/s-anzeige/goya-scion-2-25-surfsegel-foil-windfoil-no-banzai-bounce-fringe/2804595071-230-5847", "Link")</f>
        <v/>
      </c>
      <c r="N915" s="6">
        <f>HYPERLINK("C:\Projects\Kleinanzeigen-Scraper\offer_images\2804595071", "Link")</f>
        <v/>
      </c>
      <c r="O915" t="inlineStr">
        <is>
          <t>Michael Laußer</t>
        </is>
      </c>
      <c r="P915" s="6">
        <f>HYPERLINK("https://www.kleinanzeigen.de/s-bestandsliste.html?userId=6669985", "Link")</f>
        <v/>
      </c>
      <c r="Q915" s="7" t="n">
        <v>45549.58128472222</v>
      </c>
      <c r="R915" s="3" t="inlineStr">
        <is>
          <t>43.29</t>
        </is>
      </c>
      <c r="S915" t="inlineStr">
        <is>
          <t>München</t>
        </is>
      </c>
    </row>
    <row r="916">
      <c r="A916" s="2" t="n">
        <v>4.7</v>
      </c>
      <c r="B916" t="inlineStr">
        <is>
          <t>Neilpryde XS-Wave</t>
        </is>
      </c>
      <c r="C916" s="3" t="inlineStr"/>
      <c r="D916" s="3" t="inlineStr"/>
      <c r="E916" t="inlineStr">
        <is>
          <t>Wave</t>
        </is>
      </c>
      <c r="F916" t="inlineStr"/>
      <c r="G916" t="inlineStr">
        <is>
          <t>used</t>
        </is>
      </c>
      <c r="H916" s="4" t="n">
        <v>110</v>
      </c>
      <c r="I916" t="inlineStr"/>
      <c r="J916" t="inlineStr">
        <is>
          <t>83059 Bayern - Kolbermoor</t>
        </is>
      </c>
      <c r="K916" s="5" t="n">
        <v>45438</v>
      </c>
      <c r="L916" t="inlineStr"/>
      <c r="M916" s="6">
        <f>HYPERLINK("https://www.kleinanzeigen.de/s-anzeige/surfsegel-neilpryde-xs-wave-4-7/2772115252-230-6257", "Link")</f>
        <v/>
      </c>
      <c r="N916" s="6">
        <f>HYPERLINK("C:\Projects\Kleinanzeigen-Scraper\offer_images\2772115252", "Link")</f>
        <v/>
      </c>
      <c r="O916" t="inlineStr">
        <is>
          <t>Altmann Andreas</t>
        </is>
      </c>
      <c r="P916" s="6">
        <f>HYPERLINK("https://www.kleinanzeigen.de/s-bestandsliste.html?userId=28027913", "Link")</f>
        <v/>
      </c>
      <c r="Q916" s="7" t="n">
        <v>45549.58126157407</v>
      </c>
      <c r="R916" s="3" t="inlineStr">
        <is>
          <t>48.45</t>
        </is>
      </c>
      <c r="S916" t="inlineStr">
        <is>
          <t>München</t>
        </is>
      </c>
    </row>
    <row r="917">
      <c r="A917" s="2" t="n">
        <v>4.7</v>
      </c>
      <c r="B917" t="inlineStr">
        <is>
          <t>Naish Force Four</t>
        </is>
      </c>
      <c r="C917" s="3" t="n">
        <v>400</v>
      </c>
      <c r="D917" s="3" t="n">
        <v>160</v>
      </c>
      <c r="E917" t="inlineStr"/>
      <c r="F917" t="inlineStr"/>
      <c r="G917" t="inlineStr">
        <is>
          <t>repaired</t>
        </is>
      </c>
      <c r="H917" s="4" t="n">
        <v>200</v>
      </c>
      <c r="I917" t="inlineStr">
        <is>
          <t>VB</t>
        </is>
      </c>
      <c r="J917" t="inlineStr">
        <is>
          <t>21037 Bergedorf - Kirchwerder</t>
        </is>
      </c>
      <c r="K917" s="5" t="n">
        <v>45512</v>
      </c>
      <c r="L917" t="inlineStr"/>
      <c r="M917" s="6">
        <f>HYPERLINK("https://www.kleinanzeigen.de/s-anzeige/windsurfsegel-naish-force-4-4-7m2/2831969879-230-18570", "Link")</f>
        <v/>
      </c>
      <c r="N917" s="6">
        <f>HYPERLINK("C:\Projects\Kleinanzeigen-Scraper\offer_images\2831969879", "Link")</f>
        <v/>
      </c>
      <c r="O917" t="inlineStr">
        <is>
          <t>Windsurfing Hamburg GmbH</t>
        </is>
      </c>
      <c r="P917" s="6">
        <f>HYPERLINK("https://www.kleinanzeigen.de/s-bestandsliste.html?userId=68035383", "Link")</f>
        <v/>
      </c>
      <c r="Q917" s="7" t="n">
        <v>45549.58126157407</v>
      </c>
      <c r="R917" s="3" t="inlineStr">
        <is>
          <t>354.05</t>
        </is>
      </c>
      <c r="S917" t="inlineStr">
        <is>
          <t>Köln</t>
        </is>
      </c>
    </row>
    <row r="918">
      <c r="A918" s="2" t="n">
        <v>7.8</v>
      </c>
      <c r="B918" t="inlineStr">
        <is>
          <t>Sailloft Ultimate</t>
        </is>
      </c>
      <c r="C918" s="3" t="inlineStr"/>
      <c r="D918" s="3" t="inlineStr"/>
      <c r="E918" t="inlineStr">
        <is>
          <t>Slalom</t>
        </is>
      </c>
      <c r="F918" t="inlineStr">
        <is>
          <t>2019</t>
        </is>
      </c>
      <c r="G918" t="inlineStr">
        <is>
          <t>used</t>
        </is>
      </c>
      <c r="H918" s="4" t="n">
        <v>200</v>
      </c>
      <c r="I918" t="inlineStr">
        <is>
          <t>VB</t>
        </is>
      </c>
      <c r="J918" t="inlineStr">
        <is>
          <t>22459 Eimsbüttel - Hamburg Niendorf</t>
        </is>
      </c>
      <c r="K918" s="5" t="n">
        <v>45477</v>
      </c>
      <c r="L918" t="inlineStr"/>
      <c r="M918" s="6">
        <f>HYPERLINK("https://www.kleinanzeigen.de/s-anzeige/sailloft-ultimate-7-8m-2019-slalomsegel/2804239688-230-16475", "Link")</f>
        <v/>
      </c>
      <c r="N918" s="6">
        <f>HYPERLINK("C:\Projects\Kleinanzeigen-Scraper\offer_images\2804239688", "Link")</f>
        <v/>
      </c>
      <c r="O918" t="inlineStr">
        <is>
          <t>Paul</t>
        </is>
      </c>
      <c r="P918" s="6">
        <f>HYPERLINK("https://www.kleinanzeigen.de/s-bestandsliste.html?userId=14853881", "Link")</f>
        <v/>
      </c>
      <c r="Q918" s="7" t="n">
        <v>45549.58126157407</v>
      </c>
      <c r="R918" s="3" t="inlineStr">
        <is>
          <t>361.89</t>
        </is>
      </c>
      <c r="S918" t="inlineStr">
        <is>
          <t>Köln</t>
        </is>
      </c>
    </row>
    <row r="919">
      <c r="A919" s="2" t="n">
        <v>7.8</v>
      </c>
      <c r="B919" t="inlineStr">
        <is>
          <t>North Sails E-type</t>
        </is>
      </c>
      <c r="C919" s="3" t="inlineStr"/>
      <c r="D919" s="3" t="inlineStr"/>
      <c r="E919" t="inlineStr"/>
      <c r="F919" t="inlineStr"/>
      <c r="G919" t="inlineStr">
        <is>
          <t>used</t>
        </is>
      </c>
      <c r="H919" s="4" t="n">
        <v>220</v>
      </c>
      <c r="I919" t="inlineStr">
        <is>
          <t>VB</t>
        </is>
      </c>
      <c r="J919" t="inlineStr">
        <is>
          <t>89233 Bayern - Neu Ulm</t>
        </is>
      </c>
      <c r="K919" s="5" t="n">
        <v>45545</v>
      </c>
      <c r="L919" t="inlineStr">
        <is>
          <t>Sold</t>
        </is>
      </c>
      <c r="M919" s="6">
        <f>HYPERLINK("https://www.kleinanzeigen.de/s-anzeige/segel-north-sails-e-type-7-8/2859477158-230-6682", "Link")</f>
        <v/>
      </c>
      <c r="N919" s="6">
        <f>HYPERLINK("C:\Projects\Kleinanzeigen-Scraper\offer_images\2859477158", "Link")</f>
        <v/>
      </c>
      <c r="O919" t="inlineStr">
        <is>
          <t>Jack</t>
        </is>
      </c>
      <c r="P919" s="6">
        <f>HYPERLINK("https://www.kleinanzeigen.de/s-bestandsliste.html?userId=138223897", "Link")</f>
        <v/>
      </c>
      <c r="Q919" s="7" t="n">
        <v>45549.58123842593</v>
      </c>
      <c r="R919" s="3" t="inlineStr">
        <is>
          <t>86.39</t>
        </is>
      </c>
      <c r="S919" t="inlineStr">
        <is>
          <t>Böblingen</t>
        </is>
      </c>
    </row>
    <row r="920">
      <c r="A920" s="2" t="n">
        <v>5.4</v>
      </c>
      <c r="B920" t="inlineStr">
        <is>
          <t>Point7 F1e</t>
        </is>
      </c>
      <c r="C920" s="3" t="inlineStr"/>
      <c r="D920" s="3" t="inlineStr"/>
      <c r="E920" t="inlineStr">
        <is>
          <t>Bump and Jump</t>
        </is>
      </c>
      <c r="F920" t="inlineStr">
        <is>
          <t>2021</t>
        </is>
      </c>
      <c r="G920" t="inlineStr">
        <is>
          <t>new</t>
        </is>
      </c>
      <c r="H920" s="4" t="n">
        <v>450</v>
      </c>
      <c r="I920" t="inlineStr"/>
      <c r="J920" t="inlineStr">
        <is>
          <t>51103 Köln - Höhenberg</t>
        </is>
      </c>
      <c r="K920" s="5" t="n">
        <v>45412</v>
      </c>
      <c r="L920" t="inlineStr"/>
      <c r="M920" s="6">
        <f>HYPERLINK("https://www.kleinanzeigen.de/s-anzeige/point7-f1e-5-4-2021/2749481498-230-21981", "Link")</f>
        <v/>
      </c>
      <c r="N920" s="6">
        <f>HYPERLINK("C:\Projects\Kleinanzeigen-Scraper\offer_images\2749481498", "Link")</f>
        <v/>
      </c>
      <c r="O920" t="inlineStr">
        <is>
          <t>Mik</t>
        </is>
      </c>
      <c r="P920" s="6">
        <f>HYPERLINK("https://www.kleinanzeigen.de/s-bestandsliste.html?userId=963688", "Link")</f>
        <v/>
      </c>
      <c r="Q920" s="7" t="n">
        <v>45549.58121527778</v>
      </c>
      <c r="R920" s="3" t="inlineStr">
        <is>
          <t>4.19</t>
        </is>
      </c>
      <c r="S920" t="inlineStr">
        <is>
          <t>Köln</t>
        </is>
      </c>
    </row>
    <row r="921">
      <c r="A921" s="2" t="n">
        <v>8</v>
      </c>
      <c r="B921" t="inlineStr">
        <is>
          <t>Severne IQ Foil Youth</t>
        </is>
      </c>
      <c r="C921" s="3" t="inlineStr"/>
      <c r="D921" s="3" t="inlineStr"/>
      <c r="E921" t="inlineStr"/>
      <c r="F921" t="inlineStr"/>
      <c r="G921" t="inlineStr">
        <is>
          <t>new</t>
        </is>
      </c>
      <c r="H921" s="4" t="n">
        <v>500</v>
      </c>
      <c r="I921" t="inlineStr"/>
      <c r="J921" t="inlineStr">
        <is>
          <t>65812 Hessen - Bad Soden am Taunus</t>
        </is>
      </c>
      <c r="K921" s="5" t="n">
        <v>45488</v>
      </c>
      <c r="L921" t="inlineStr">
        <is>
          <t>Sold</t>
        </is>
      </c>
      <c r="M921" s="6">
        <f>HYPERLINK("https://www.kleinanzeigen.de/s-anzeige/sail-severne-8-0-iq-foil-youth/2812919341-230-4544", "Link")</f>
        <v/>
      </c>
      <c r="N921" s="6">
        <f>HYPERLINK("C:\Projects\Kleinanzeigen-Scraper\offer_images\2812919341", "Link")</f>
        <v/>
      </c>
      <c r="O921" t="inlineStr">
        <is>
          <t>Yaman</t>
        </is>
      </c>
      <c r="P921" s="6">
        <f>HYPERLINK("https://www.kleinanzeigen.de/s-bestandsliste.html?userId=135459781", "Link")</f>
        <v/>
      </c>
      <c r="Q921" s="7" t="n">
        <v>45549.58119212963</v>
      </c>
      <c r="R921" s="3" t="inlineStr">
        <is>
          <t>128.06</t>
        </is>
      </c>
      <c r="S921" t="inlineStr">
        <is>
          <t>Karlsruhe</t>
        </is>
      </c>
    </row>
    <row r="922">
      <c r="A922" s="2" t="n">
        <v>5.8</v>
      </c>
      <c r="B922" t="inlineStr">
        <is>
          <t>NeilPryde ATLAS</t>
        </is>
      </c>
      <c r="C922" s="3" t="n">
        <v>430</v>
      </c>
      <c r="D922" s="3" t="n">
        <v>186</v>
      </c>
      <c r="E922" t="inlineStr"/>
      <c r="F922" t="inlineStr">
        <is>
          <t>2022/23</t>
        </is>
      </c>
      <c r="G922" t="inlineStr">
        <is>
          <t>new</t>
        </is>
      </c>
      <c r="H922" s="4" t="n">
        <v>400</v>
      </c>
      <c r="I922" t="inlineStr"/>
      <c r="J922" t="inlineStr">
        <is>
          <t>86399 Bayern - Bobingen</t>
        </is>
      </c>
      <c r="K922" s="5" t="n">
        <v>45499</v>
      </c>
      <c r="L922" t="inlineStr">
        <is>
          <t>Sold</t>
        </is>
      </c>
      <c r="M922" s="6">
        <f>HYPERLINK("https://www.kleinanzeigen.de/s-anzeige/neilpryde-atlas-5-8-fuer-400-/2821555277-230-7129", "Link")</f>
        <v/>
      </c>
      <c r="N922" s="6">
        <f>HYPERLINK("C:\Projects\Kleinanzeigen-Scraper\offer_images\2821555277", "Link")</f>
        <v/>
      </c>
      <c r="O922" t="inlineStr">
        <is>
          <t>Uli Seifert</t>
        </is>
      </c>
      <c r="P922" s="6">
        <f>HYPERLINK("https://www.kleinanzeigen.de/s-bestandsliste.html?userId=31534580", "Link")</f>
        <v/>
      </c>
      <c r="Q922" s="7" t="n">
        <v>45549.58116898148</v>
      </c>
      <c r="R922" s="3" t="inlineStr">
        <is>
          <t>60.93</t>
        </is>
      </c>
      <c r="S922" t="inlineStr">
        <is>
          <t>München</t>
        </is>
      </c>
    </row>
    <row r="923">
      <c r="A923" s="2" t="n">
        <v>4</v>
      </c>
      <c r="B923" t="inlineStr">
        <is>
          <t>Duotone Unit</t>
        </is>
      </c>
      <c r="C923" s="3" t="inlineStr"/>
      <c r="D923" s="3" t="inlineStr"/>
      <c r="E923" t="inlineStr"/>
      <c r="F923" t="inlineStr">
        <is>
          <t>2022</t>
        </is>
      </c>
      <c r="G923" t="inlineStr">
        <is>
          <t>repaired</t>
        </is>
      </c>
      <c r="H923" s="4" t="n">
        <v>300</v>
      </c>
      <c r="I923" t="inlineStr">
        <is>
          <t>VB</t>
        </is>
      </c>
      <c r="J923" t="inlineStr">
        <is>
          <t>22609 Altona - Hamburg Othmarschen</t>
        </is>
      </c>
      <c r="K923" s="5" t="n">
        <v>45542</v>
      </c>
      <c r="L923" t="inlineStr">
        <is>
          <t>Sold</t>
        </is>
      </c>
      <c r="M923" s="6">
        <f>HYPERLINK("https://www.kleinanzeigen.de/s-anzeige/duotone-unit-4-0-2022-guenstig/2856409098-230-9501", "Link")</f>
        <v/>
      </c>
      <c r="N923" s="6">
        <f>HYPERLINK("C:\Projects\Kleinanzeigen-Scraper\offer_images\2856409098", "Link")</f>
        <v/>
      </c>
      <c r="O923" t="inlineStr">
        <is>
          <t>Oli</t>
        </is>
      </c>
      <c r="P923" s="6">
        <f>HYPERLINK("https://www.kleinanzeigen.de/s-bestandsliste.html?userId=65930765", "Link")</f>
        <v/>
      </c>
      <c r="Q923" s="7" t="n">
        <v>45549.58115740741</v>
      </c>
      <c r="R923" s="3" t="inlineStr">
        <is>
          <t>351.06</t>
        </is>
      </c>
      <c r="S923" t="inlineStr">
        <is>
          <t>Köln</t>
        </is>
      </c>
    </row>
    <row r="924">
      <c r="A924" s="2" t="n">
        <v>7</v>
      </c>
      <c r="B924" t="inlineStr">
        <is>
          <t>Ezzy Hydra Pro</t>
        </is>
      </c>
      <c r="C924" s="3" t="n">
        <v>430</v>
      </c>
      <c r="D924" s="3" t="inlineStr"/>
      <c r="E924" t="inlineStr"/>
      <c r="F924" t="inlineStr"/>
      <c r="G924" t="inlineStr">
        <is>
          <t>used</t>
        </is>
      </c>
      <c r="H924" s="4" t="n">
        <v>240</v>
      </c>
      <c r="I924" t="inlineStr"/>
      <c r="J924" t="inlineStr">
        <is>
          <t>38448 Niedersachsen - Wolfsburg</t>
        </is>
      </c>
      <c r="K924" s="5" t="n">
        <v>45443</v>
      </c>
      <c r="L924" t="inlineStr"/>
      <c r="M924" s="6">
        <f>HYPERLINK("https://www.kleinanzeigen.de/s-anzeige/ezzy-hydra-pro-7-0-windfoil-segel-windsurf/2775837325-230-3075", "Link")</f>
        <v/>
      </c>
      <c r="N924" s="6">
        <f>HYPERLINK("C:\Projects\Kleinanzeigen-Scraper\offer_images\2775837325", "Link")</f>
        <v/>
      </c>
      <c r="O924" t="inlineStr">
        <is>
          <t>JR</t>
        </is>
      </c>
      <c r="P924" s="6">
        <f>HYPERLINK("https://www.kleinanzeigen.de/s-bestandsliste.html?userId=17550243", "Link")</f>
        <v/>
      </c>
      <c r="Q924" s="7" t="n">
        <v>45549.58115740741</v>
      </c>
      <c r="R924" s="3" t="inlineStr">
        <is>
          <t>315.19</t>
        </is>
      </c>
      <c r="S924" t="inlineStr">
        <is>
          <t>Köln</t>
        </is>
      </c>
    </row>
    <row r="925">
      <c r="A925" s="2" t="n">
        <v>7.1</v>
      </c>
      <c r="B925" t="inlineStr">
        <is>
          <t>Naish Rally</t>
        </is>
      </c>
      <c r="C925" s="3" t="n">
        <v>4.9</v>
      </c>
      <c r="D925" s="3" t="n">
        <v>2.25</v>
      </c>
      <c r="E925" t="inlineStr"/>
      <c r="F925" t="inlineStr"/>
      <c r="G925" t="inlineStr">
        <is>
          <t>used</t>
        </is>
      </c>
      <c r="H925" s="4" t="n">
        <v>180</v>
      </c>
      <c r="I925" t="inlineStr"/>
      <c r="J925" t="inlineStr">
        <is>
          <t>93309 Bayern - Kelheim</t>
        </is>
      </c>
      <c r="K925" s="5" t="n">
        <v>45543</v>
      </c>
      <c r="L925" t="inlineStr"/>
      <c r="M925" s="6">
        <f>HYPERLINK("https://www.kleinanzeigen.de/s-anzeige/naish-rally-7-1-m2/2857043779-230-6235", "Link")</f>
        <v/>
      </c>
      <c r="N925" s="6">
        <f>HYPERLINK("C:\Projects\Kleinanzeigen-Scraper\offer_images\2857043779", "Link")</f>
        <v/>
      </c>
      <c r="O925" t="inlineStr">
        <is>
          <t>MS</t>
        </is>
      </c>
      <c r="P925" s="6">
        <f>HYPERLINK("https://www.kleinanzeigen.de/s-bestandsliste.html?userId=19708796", "Link")</f>
        <v/>
      </c>
      <c r="Q925" s="7" t="n">
        <v>45549.58113425926</v>
      </c>
      <c r="R925" s="3" t="inlineStr">
        <is>
          <t>88.18</t>
        </is>
      </c>
      <c r="S925" t="inlineStr">
        <is>
          <t>München</t>
        </is>
      </c>
    </row>
    <row r="926">
      <c r="A926" s="2" t="n">
        <v>5.2</v>
      </c>
      <c r="B926" t="inlineStr">
        <is>
          <t>Naish Sprint</t>
        </is>
      </c>
      <c r="C926" s="3" t="n">
        <v>400</v>
      </c>
      <c r="D926" s="3" t="n">
        <v>166</v>
      </c>
      <c r="E926" t="inlineStr"/>
      <c r="F926" t="inlineStr"/>
      <c r="G926" t="inlineStr">
        <is>
          <t>new</t>
        </is>
      </c>
      <c r="H926" s="4" t="n">
        <v>260</v>
      </c>
      <c r="I926" t="inlineStr"/>
      <c r="J926" t="inlineStr">
        <is>
          <t>82467 Bayern - Garmisch-Partenkirchen</t>
        </is>
      </c>
      <c r="K926" s="5" t="n">
        <v>45539</v>
      </c>
      <c r="L926" t="inlineStr"/>
      <c r="M926" s="6">
        <f>HYPERLINK("https://www.kleinanzeigen.de/s-anzeige/windsurfsegel-naish-sprint-5-2-neuwertig/2853828528-230-6338", "Link")</f>
        <v/>
      </c>
      <c r="N926" s="6">
        <f>HYPERLINK("C:\Projects\Kleinanzeigen-Scraper\offer_images\2853828528", "Link")</f>
        <v/>
      </c>
      <c r="O926" t="inlineStr">
        <is>
          <t>Stephan</t>
        </is>
      </c>
      <c r="P926" s="6">
        <f>HYPERLINK("https://www.kleinanzeigen.de/s-bestandsliste.html?userId=24549656", "Link")</f>
        <v/>
      </c>
      <c r="Q926" s="7" t="n">
        <v>45549.58111111111</v>
      </c>
      <c r="R926" s="3" t="inlineStr">
        <is>
          <t>80.76</t>
        </is>
      </c>
      <c r="S926" t="inlineStr">
        <is>
          <t>München</t>
        </is>
      </c>
    </row>
    <row r="927">
      <c r="A927" s="2" t="n">
        <v>4.7</v>
      </c>
      <c r="B927" t="inlineStr">
        <is>
          <t>Duotone Super Hero SLS</t>
        </is>
      </c>
      <c r="C927" s="3" t="inlineStr"/>
      <c r="D927" s="3" t="inlineStr"/>
      <c r="E927" t="inlineStr"/>
      <c r="F927" t="inlineStr">
        <is>
          <t>2024</t>
        </is>
      </c>
      <c r="G927" t="inlineStr">
        <is>
          <t>used</t>
        </is>
      </c>
      <c r="H927" s="4" t="n">
        <v>530</v>
      </c>
      <c r="I927" t="inlineStr">
        <is>
          <t>VB</t>
        </is>
      </c>
      <c r="J927" t="inlineStr">
        <is>
          <t>38154 Niedersachsen - Königslutter am Elm</t>
        </is>
      </c>
      <c r="K927" s="5" t="n">
        <v>45546</v>
      </c>
      <c r="L927" t="inlineStr">
        <is>
          <t>Sold</t>
        </is>
      </c>
      <c r="M927" s="6">
        <f>HYPERLINK("https://www.kleinanzeigen.de/s-anzeige/duotone-super-hero-sls-4-7-2024/2859952424-230-14236", "Link")</f>
        <v/>
      </c>
      <c r="N927" s="6">
        <f>HYPERLINK("C:\Projects\Kleinanzeigen-Scraper\offer_images\2859952424", "Link")</f>
        <v/>
      </c>
      <c r="O927" t="inlineStr">
        <is>
          <t>M. Simoni</t>
        </is>
      </c>
      <c r="P927" s="6">
        <f>HYPERLINK("https://www.kleinanzeigen.de/s-bestandsliste.html?userId=43735199", "Link")</f>
        <v/>
      </c>
      <c r="Q927" s="7" t="n">
        <v>45549.58111111111</v>
      </c>
      <c r="R927" s="3" t="inlineStr">
        <is>
          <t>303.77</t>
        </is>
      </c>
      <c r="S927" t="inlineStr">
        <is>
          <t>Köln</t>
        </is>
      </c>
    </row>
    <row r="928">
      <c r="A928" s="2" t="n">
        <v>4.4</v>
      </c>
      <c r="B928" t="inlineStr">
        <is>
          <t>Severne Foilfreek</t>
        </is>
      </c>
      <c r="C928" s="3" t="n">
        <v>400</v>
      </c>
      <c r="D928" s="3" t="n">
        <v>149</v>
      </c>
      <c r="E928" t="inlineStr"/>
      <c r="F928" t="inlineStr">
        <is>
          <t>2024</t>
        </is>
      </c>
      <c r="G928" t="inlineStr">
        <is>
          <t>new</t>
        </is>
      </c>
      <c r="H928" s="4" t="n">
        <v>420</v>
      </c>
      <c r="I928" t="inlineStr"/>
      <c r="J928" t="inlineStr">
        <is>
          <t>69198 Baden-Württemberg - Schriesheim</t>
        </is>
      </c>
      <c r="K928" s="5" t="n">
        <v>45509</v>
      </c>
      <c r="L928" t="inlineStr"/>
      <c r="M928" s="6">
        <f>HYPERLINK("https://www.kleinanzeigen.de/s-anzeige/severne-foilfreek-2024-4-4-unbenutzt-windsurfsegel-foil/2829623508-230-8270", "Link")</f>
        <v/>
      </c>
      <c r="N928" s="6">
        <f>HYPERLINK("C:\Projects\Kleinanzeigen-Scraper\offer_images\2829623508", "Link")</f>
        <v/>
      </c>
      <c r="O928" t="inlineStr">
        <is>
          <t>L. Götz</t>
        </is>
      </c>
      <c r="P928" s="6">
        <f>HYPERLINK("https://www.kleinanzeigen.de/s-bestandsliste.html?userId=119868044", "Link")</f>
        <v/>
      </c>
      <c r="Q928" s="7" t="n">
        <v>45549.58111111111</v>
      </c>
      <c r="R928" s="3" t="inlineStr">
        <is>
          <t>57.18</t>
        </is>
      </c>
      <c r="S928" t="inlineStr">
        <is>
          <t>Karlsruhe</t>
        </is>
      </c>
    </row>
    <row r="929">
      <c r="A929" s="2" t="n">
        <v>4.5</v>
      </c>
      <c r="B929" t="inlineStr">
        <is>
          <t>NeilPryde Combat HD</t>
        </is>
      </c>
      <c r="C929" s="3" t="inlineStr"/>
      <c r="D929" s="3" t="inlineStr"/>
      <c r="E929" t="inlineStr"/>
      <c r="F929" t="inlineStr">
        <is>
          <t>2022</t>
        </is>
      </c>
      <c r="G929" t="inlineStr">
        <is>
          <t>used, repaired</t>
        </is>
      </c>
      <c r="H929" s="4" t="n">
        <v>280</v>
      </c>
      <c r="I929" t="inlineStr">
        <is>
          <t>VB</t>
        </is>
      </c>
      <c r="J929" t="inlineStr">
        <is>
          <t>47918 Nordrhein-Westfalen - Tönisvorst</t>
        </is>
      </c>
      <c r="K929" s="5" t="n">
        <v>45518</v>
      </c>
      <c r="L929" t="inlineStr">
        <is>
          <t>Sold</t>
        </is>
      </c>
      <c r="M929" s="6">
        <f>HYPERLINK("https://www.kleinanzeigen.de/s-anzeige/windsurfsegel-neilpryde-combat-hd-4-5-aus-2022/2836780742-230-1121", "Link")</f>
        <v/>
      </c>
      <c r="N929" s="6">
        <f>HYPERLINK("C:\Projects\Kleinanzeigen-Scraper\offer_images\2836780742", "Link")</f>
        <v/>
      </c>
      <c r="O929" t="inlineStr">
        <is>
          <t>Ulrich Lufen</t>
        </is>
      </c>
      <c r="P929" s="6">
        <f>HYPERLINK("https://www.kleinanzeigen.de/s-bestandsliste.html?userId=28551898", "Link")</f>
        <v/>
      </c>
      <c r="Q929" s="7" t="n">
        <v>45549.58111111111</v>
      </c>
      <c r="R929" s="3" t="inlineStr">
        <is>
          <t>56.00</t>
        </is>
      </c>
      <c r="S929" t="inlineStr">
        <is>
          <t>Köln</t>
        </is>
      </c>
    </row>
    <row r="930">
      <c r="A930" s="2" t="n">
        <v>4.1</v>
      </c>
      <c r="B930" t="inlineStr">
        <is>
          <t>Naish Force Three</t>
        </is>
      </c>
      <c r="C930" s="3" t="inlineStr"/>
      <c r="D930" s="3" t="inlineStr"/>
      <c r="E930" t="inlineStr"/>
      <c r="F930" t="inlineStr"/>
      <c r="G930" t="inlineStr">
        <is>
          <t>repaired</t>
        </is>
      </c>
      <c r="H930" s="4" t="n">
        <v>40</v>
      </c>
      <c r="I930" t="inlineStr"/>
      <c r="J930" t="inlineStr">
        <is>
          <t>29699 Niedersachsen - Bomlitz</t>
        </is>
      </c>
      <c r="K930" s="5" t="n">
        <v>45457</v>
      </c>
      <c r="L930" t="inlineStr">
        <is>
          <t>Sold</t>
        </is>
      </c>
      <c r="M930" s="6">
        <f>HYPERLINK("https://www.kleinanzeigen.de/s-anzeige/naish-force-three-4-1qm-windsurfsegel/2788254058-230-3293", "Link")</f>
        <v/>
      </c>
      <c r="N930" s="6">
        <f>HYPERLINK("C:\Projects\Kleinanzeigen-Scraper\offer_images\2788254058", "Link")</f>
        <v/>
      </c>
      <c r="O930" t="inlineStr">
        <is>
          <t>Marvin</t>
        </is>
      </c>
      <c r="P930" s="6">
        <f>HYPERLINK("https://www.kleinanzeigen.de/s-bestandsliste.html?userId=18511564", "Link")</f>
        <v/>
      </c>
      <c r="Q930" s="7" t="n">
        <v>45549.58111111111</v>
      </c>
      <c r="R930" s="3" t="inlineStr">
        <is>
          <t>286.63</t>
        </is>
      </c>
      <c r="S930" t="inlineStr">
        <is>
          <t>Köln</t>
        </is>
      </c>
    </row>
    <row r="931">
      <c r="A931" s="2" t="n">
        <v>2.75</v>
      </c>
      <c r="B931" t="inlineStr">
        <is>
          <t>Goya Scion X Pro</t>
        </is>
      </c>
      <c r="C931" s="3" t="inlineStr"/>
      <c r="D931" s="3" t="inlineStr"/>
      <c r="E931" t="inlineStr">
        <is>
          <t>Wave</t>
        </is>
      </c>
      <c r="F931" t="inlineStr">
        <is>
          <t>2022/23</t>
        </is>
      </c>
      <c r="G931" t="inlineStr">
        <is>
          <t>new</t>
        </is>
      </c>
      <c r="H931" s="4" t="n">
        <v>523</v>
      </c>
      <c r="I931" t="inlineStr">
        <is>
          <t>VB</t>
        </is>
      </c>
      <c r="J931" t="inlineStr">
        <is>
          <t>82319 Bayern - Starnberg</t>
        </is>
      </c>
      <c r="K931" s="5" t="n">
        <v>45540</v>
      </c>
      <c r="L931" t="inlineStr"/>
      <c r="M931" s="6">
        <f>HYPERLINK("https://www.kleinanzeigen.de/s-anzeige/goya-scion-x-pro-2-75-m2-youth-3-batten-red-2022-23-segel/2185217791-230-5525", "Link")</f>
        <v/>
      </c>
      <c r="N931" s="6">
        <f>HYPERLINK("C:\Projects\Kleinanzeigen-Scraper\offer_images\2185217791", "Link")</f>
        <v/>
      </c>
      <c r="O931" t="inlineStr">
        <is>
          <t>No user name</t>
        </is>
      </c>
      <c r="P931" s="6">
        <f>HYPERLINK("https://www.kleinanzeigen.deNo user link", "Link")</f>
        <v/>
      </c>
      <c r="Q931" s="7" t="n">
        <v>45549.58108796296</v>
      </c>
      <c r="R931" s="3" t="inlineStr">
        <is>
          <t>23.17</t>
        </is>
      </c>
      <c r="S931" t="inlineStr">
        <is>
          <t>München</t>
        </is>
      </c>
    </row>
    <row r="932">
      <c r="A932" s="2" t="n">
        <v>8</v>
      </c>
      <c r="B932" t="inlineStr">
        <is>
          <t>North Reach</t>
        </is>
      </c>
      <c r="C932" s="3" t="inlineStr"/>
      <c r="D932" s="3" t="inlineStr"/>
      <c r="E932" t="inlineStr">
        <is>
          <t>Freestyle, Big Air, Wave, Foil</t>
        </is>
      </c>
      <c r="F932" t="inlineStr">
        <is>
          <t>2023</t>
        </is>
      </c>
      <c r="G932" t="inlineStr">
        <is>
          <t>used</t>
        </is>
      </c>
      <c r="H932" s="4" t="n">
        <v>690</v>
      </c>
      <c r="I932" t="inlineStr">
        <is>
          <t>VB</t>
        </is>
      </c>
      <c r="J932" t="inlineStr">
        <is>
          <t>86573 Bayern - Obergriesbach</t>
        </is>
      </c>
      <c r="K932" s="5" t="n">
        <v>45547</v>
      </c>
      <c r="L932" t="inlineStr">
        <is>
          <t>Sold</t>
        </is>
      </c>
      <c r="M932" s="6">
        <f>HYPERLINK("https://www.kleinanzeigen.de/s-anzeige/north-reach-2023-8m-neu/2861351843-230-7197", "Link")</f>
        <v/>
      </c>
      <c r="N932" s="6">
        <f>HYPERLINK("C:\Projects\Kleinanzeigen-Scraper\offer_images\2861351843", "Link")</f>
        <v/>
      </c>
      <c r="O932" t="inlineStr">
        <is>
          <t>Daniel</t>
        </is>
      </c>
      <c r="P932" s="6">
        <f>HYPERLINK("https://www.kleinanzeigen.de/s-bestandsliste.html?userId=144265443", "Link")</f>
        <v/>
      </c>
      <c r="Q932" s="7" t="n">
        <v>45549.58105324074</v>
      </c>
      <c r="R932" s="3" t="inlineStr">
        <is>
          <t>49.21</t>
        </is>
      </c>
      <c r="S932" t="inlineStr">
        <is>
          <t>München</t>
        </is>
      </c>
    </row>
    <row r="933">
      <c r="A933" s="2" t="n">
        <v>6.8</v>
      </c>
      <c r="B933" t="inlineStr">
        <is>
          <t>Gun Sails</t>
        </is>
      </c>
      <c r="C933" s="3" t="n">
        <v>485</v>
      </c>
      <c r="D933" s="3" t="n">
        <v>194</v>
      </c>
      <c r="E933" t="inlineStr"/>
      <c r="F933" t="inlineStr"/>
      <c r="G933" t="inlineStr">
        <is>
          <t>used</t>
        </is>
      </c>
      <c r="H933" s="4" t="n">
        <v>65</v>
      </c>
      <c r="I933" t="inlineStr">
        <is>
          <t>VB</t>
        </is>
      </c>
      <c r="J933" t="inlineStr">
        <is>
          <t>79117 Baden-Württemberg - Freiburg im Breisgau</t>
        </is>
      </c>
      <c r="K933" s="5" t="n">
        <v>45543</v>
      </c>
      <c r="L933" t="inlineStr"/>
      <c r="M933" s="6">
        <f>HYPERLINK("https://www.kleinanzeigen.de/s-anzeige/surfsegel-6-8-gun-sails/2857361512-230-9365", "Link")</f>
        <v/>
      </c>
      <c r="N933" s="6">
        <f>HYPERLINK("C:\Projects\Kleinanzeigen-Scraper\offer_images\2857361512", "Link")</f>
        <v/>
      </c>
      <c r="O933" t="inlineStr">
        <is>
          <t>Kurt Leistikow</t>
        </is>
      </c>
      <c r="P933" s="6">
        <f>HYPERLINK("https://www.kleinanzeigen.de/s-bestandsliste.html?userId=28069952", "Link")</f>
        <v/>
      </c>
      <c r="Q933" s="7" t="n">
        <v>45549.58105324074</v>
      </c>
      <c r="R933" s="3" t="inlineStr">
        <is>
          <t>36.56</t>
        </is>
      </c>
      <c r="S933" t="inlineStr">
        <is>
          <t>Bonndorf</t>
        </is>
      </c>
    </row>
    <row r="934">
      <c r="A934" s="2" t="n">
        <v>7.2</v>
      </c>
      <c r="B934" t="inlineStr">
        <is>
          <t>Neilpryde Spirit</t>
        </is>
      </c>
      <c r="C934" s="3" t="n">
        <v>4.1</v>
      </c>
      <c r="D934" s="3" t="n">
        <v>2.1</v>
      </c>
      <c r="E934" t="inlineStr"/>
      <c r="F934" t="inlineStr"/>
      <c r="G934" t="inlineStr">
        <is>
          <t>used</t>
        </is>
      </c>
      <c r="H934" s="4" t="n">
        <v>50</v>
      </c>
      <c r="I934" t="inlineStr"/>
      <c r="J934" t="inlineStr">
        <is>
          <t>81667 München - Au-Haidhausen</t>
        </is>
      </c>
      <c r="K934" s="5" t="n">
        <v>45494</v>
      </c>
      <c r="L934" t="inlineStr">
        <is>
          <t>Sold</t>
        </is>
      </c>
      <c r="M934" s="6">
        <f>HYPERLINK("https://www.kleinanzeigen.de/s-anzeige/neilpryde-spirit-7-2/2817709568-230-6454", "Link")</f>
        <v/>
      </c>
      <c r="N934" s="6">
        <f>HYPERLINK("C:\Projects\Kleinanzeigen-Scraper\offer_images\2817709568", "Link")</f>
        <v/>
      </c>
      <c r="O934" t="inlineStr">
        <is>
          <t>Thomas Schmidt</t>
        </is>
      </c>
      <c r="P934" s="6">
        <f>HYPERLINK("https://www.kleinanzeigen.de/s-bestandsliste.html?userId=32453391", "Link")</f>
        <v/>
      </c>
      <c r="Q934" s="7" t="n">
        <v>45549.58100694444</v>
      </c>
      <c r="R934" s="3" t="inlineStr">
        <is>
          <t>2.06</t>
        </is>
      </c>
      <c r="S934" t="inlineStr">
        <is>
          <t>München</t>
        </is>
      </c>
    </row>
    <row r="935">
      <c r="A935" s="2" t="n">
        <v>5.3</v>
      </c>
      <c r="B935" t="inlineStr">
        <is>
          <t>North Sails ego</t>
        </is>
      </c>
      <c r="C935" s="3" t="inlineStr"/>
      <c r="D935" s="3" t="inlineStr"/>
      <c r="E935" t="inlineStr"/>
      <c r="F935" t="inlineStr"/>
      <c r="G935" t="inlineStr">
        <is>
          <t>used</t>
        </is>
      </c>
      <c r="H935" s="4" t="n">
        <v>50</v>
      </c>
      <c r="I935" t="inlineStr">
        <is>
          <t>VB</t>
        </is>
      </c>
      <c r="J935" t="inlineStr">
        <is>
          <t>30853 Niedersachsen - Langenhagen</t>
        </is>
      </c>
      <c r="K935" s="5" t="n">
        <v>45538</v>
      </c>
      <c r="L935" t="inlineStr">
        <is>
          <t>Sold</t>
        </is>
      </c>
      <c r="M935" s="6">
        <f>HYPERLINK("https://www.kleinanzeigen.de/s-anzeige/north-sails-ego-5-3-orange/2853153815-230-3044", "Link")</f>
        <v/>
      </c>
      <c r="N935" s="6">
        <f>HYPERLINK("C:\Projects\Kleinanzeigen-Scraper\offer_images\2853153815", "Link")</f>
        <v/>
      </c>
      <c r="O935" t="inlineStr">
        <is>
          <t>Michael</t>
        </is>
      </c>
      <c r="P935" s="6">
        <f>HYPERLINK("https://www.kleinanzeigen.de/s-bestandsliste.html?userId=55548288", "Link")</f>
        <v/>
      </c>
      <c r="Q935" s="7" t="n">
        <v>45549.58100694444</v>
      </c>
      <c r="R935" s="3" t="inlineStr">
        <is>
          <t>254.90</t>
        </is>
      </c>
      <c r="S935" t="inlineStr">
        <is>
          <t>Köln</t>
        </is>
      </c>
    </row>
    <row r="936">
      <c r="A936" s="2" t="n">
        <v>2.2</v>
      </c>
      <c r="B936" t="inlineStr">
        <is>
          <t>Gun Sails Dragon</t>
        </is>
      </c>
      <c r="C936" s="3" t="inlineStr"/>
      <c r="D936" s="3" t="inlineStr"/>
      <c r="E936" t="inlineStr"/>
      <c r="F936" t="inlineStr"/>
      <c r="G936" t="inlineStr">
        <is>
          <t>new</t>
        </is>
      </c>
      <c r="H936" s="4" t="n">
        <v>150</v>
      </c>
      <c r="I936" t="inlineStr">
        <is>
          <t>VB</t>
        </is>
      </c>
      <c r="J936" t="inlineStr">
        <is>
          <t>85457 Bayern - Wörth Kr. Erding</t>
        </is>
      </c>
      <c r="K936" s="5" t="n">
        <v>45342</v>
      </c>
      <c r="L936" t="inlineStr">
        <is>
          <t>Sold</t>
        </is>
      </c>
      <c r="M936" s="6">
        <f>HYPERLINK("https://www.kleinanzeigen.de/s-anzeige/gun-sails-dragon-2-2-2-2-kindersegel-neu-inkl-zubehoer/2685315560-230-6575", "Link")</f>
        <v/>
      </c>
      <c r="N936" s="6">
        <f>HYPERLINK("C:\Projects\Kleinanzeigen-Scraper\offer_images\2685315560", "Link")</f>
        <v/>
      </c>
      <c r="O936" t="inlineStr">
        <is>
          <t>Blady</t>
        </is>
      </c>
      <c r="P936" s="6">
        <f>HYPERLINK("https://www.kleinanzeigen.de/s-bestandsliste.html?userId=26863079", "Link")</f>
        <v/>
      </c>
      <c r="Q936" s="7" t="n">
        <v>45549.5809837963</v>
      </c>
      <c r="R936" s="3" t="inlineStr">
        <is>
          <t>27.38</t>
        </is>
      </c>
      <c r="S936" t="inlineStr">
        <is>
          <t>München</t>
        </is>
      </c>
    </row>
    <row r="937">
      <c r="A937" s="2" t="n">
        <v>7.2</v>
      </c>
      <c r="B937" t="inlineStr">
        <is>
          <t>Neilpryde V8</t>
        </is>
      </c>
      <c r="C937" s="3" t="inlineStr"/>
      <c r="D937" s="3" t="inlineStr"/>
      <c r="E937" t="inlineStr"/>
      <c r="F937" t="inlineStr"/>
      <c r="G937" t="inlineStr"/>
      <c r="H937" s="4" t="n">
        <v>177</v>
      </c>
      <c r="I937" t="inlineStr"/>
      <c r="J937" t="inlineStr">
        <is>
          <t>50858 Köln - Junkersdorf</t>
        </is>
      </c>
      <c r="K937" s="5" t="n">
        <v>45530</v>
      </c>
      <c r="L937" t="inlineStr">
        <is>
          <t>Sold</t>
        </is>
      </c>
      <c r="M937" s="6">
        <f>HYPERLINK("https://www.kleinanzeigen.de/s-anzeige/verkauft-neilpryde-neil-pryde-v8-segel-7-2/2847230588-230-17139", "Link")</f>
        <v/>
      </c>
      <c r="N937" s="6">
        <f>HYPERLINK("C:\Projects\Kleinanzeigen-Scraper\offer_images\2847230588", "Link")</f>
        <v/>
      </c>
      <c r="O937" t="inlineStr">
        <is>
          <t>Ingo Riemann</t>
        </is>
      </c>
      <c r="P937" s="6">
        <f>HYPERLINK("https://www.kleinanzeigen.de/s-bestandsliste.html?userId=54165116", "Link")</f>
        <v/>
      </c>
      <c r="Q937" s="7" t="n">
        <v>45549.5809837963</v>
      </c>
      <c r="R937" s="3" t="inlineStr">
        <is>
          <t>7.26</t>
        </is>
      </c>
      <c r="S937" t="inlineStr">
        <is>
          <t>Köln</t>
        </is>
      </c>
    </row>
    <row r="938">
      <c r="A938" s="2" t="n">
        <v>4.2</v>
      </c>
      <c r="B938" t="inlineStr">
        <is>
          <t>Gaastra Manic</t>
        </is>
      </c>
      <c r="C938" s="3" t="n">
        <v>370</v>
      </c>
      <c r="D938" s="3" t="n">
        <v>156</v>
      </c>
      <c r="E938" t="inlineStr"/>
      <c r="F938" t="inlineStr"/>
      <c r="G938" t="inlineStr">
        <is>
          <t>used</t>
        </is>
      </c>
      <c r="H938" s="4" t="n">
        <v>60</v>
      </c>
      <c r="I938" t="inlineStr"/>
      <c r="J938" t="inlineStr">
        <is>
          <t>45721 Nordrhein-Westfalen - Haltern am See</t>
        </is>
      </c>
      <c r="K938" s="5" t="n">
        <v>45536</v>
      </c>
      <c r="L938" t="inlineStr">
        <is>
          <t>Sold</t>
        </is>
      </c>
      <c r="M938" s="6">
        <f>HYPERLINK("https://www.kleinanzeigen.de/s-anzeige/gaastra-manic-4-2-qm-surfsegel-ga-sails-no-north-neil-pryde-/2851954026-230-1336", "Link")</f>
        <v/>
      </c>
      <c r="N938" s="6">
        <f>HYPERLINK("C:\Projects\Kleinanzeigen-Scraper\offer_images\2851954026", "Link")</f>
        <v/>
      </c>
      <c r="O938" t="inlineStr">
        <is>
          <t>Andreas</t>
        </is>
      </c>
      <c r="P938" s="6">
        <f>HYPERLINK("https://www.kleinanzeigen.de/s-bestandsliste.html?userId=14411595", "Link")</f>
        <v/>
      </c>
      <c r="Q938" s="7" t="n">
        <v>45549.5809837963</v>
      </c>
      <c r="R938" s="3" t="inlineStr">
        <is>
          <t>95.03</t>
        </is>
      </c>
      <c r="S938" t="inlineStr">
        <is>
          <t>Köln</t>
        </is>
      </c>
    </row>
    <row r="939">
      <c r="A939" s="2" t="n">
        <v>10</v>
      </c>
      <c r="B939" t="inlineStr">
        <is>
          <t>Naish</t>
        </is>
      </c>
      <c r="C939" s="3" t="inlineStr"/>
      <c r="D939" s="3" t="inlineStr"/>
      <c r="E939" t="inlineStr"/>
      <c r="F939" t="inlineStr">
        <is>
          <t>2017</t>
        </is>
      </c>
      <c r="G939" t="inlineStr">
        <is>
          <t>used</t>
        </is>
      </c>
      <c r="H939" s="4" t="n">
        <v>200</v>
      </c>
      <c r="I939" t="inlineStr"/>
      <c r="J939" t="inlineStr">
        <is>
          <t>10827 Berlin - Schöneberg</t>
        </is>
      </c>
      <c r="K939" s="5" t="n">
        <v>45539</v>
      </c>
      <c r="L939" t="inlineStr"/>
      <c r="M939" s="6">
        <f>HYPERLINK("https://www.kleinanzeigen.de/s-anzeige/naish-10-m2-2017/2854070784-230-3447", "Link")</f>
        <v/>
      </c>
      <c r="N939" s="6">
        <f>HYPERLINK("C:\Projects\Kleinanzeigen-Scraper\offer_images\2854070784", "Link")</f>
        <v/>
      </c>
      <c r="O939" t="inlineStr">
        <is>
          <t>Florian Weber</t>
        </is>
      </c>
      <c r="P939" s="6">
        <f>HYPERLINK("https://www.kleinanzeigen.de/s-bestandsliste.html?userId=28201774", "Link")</f>
        <v/>
      </c>
      <c r="Q939" s="7" t="n">
        <v>45549.58097222223</v>
      </c>
      <c r="R939" s="3" t="inlineStr">
        <is>
          <t>473.04</t>
        </is>
      </c>
      <c r="S939" t="inlineStr">
        <is>
          <t>Köln</t>
        </is>
      </c>
    </row>
    <row r="940">
      <c r="A940" s="2" t="n">
        <v>5.8</v>
      </c>
      <c r="B940" t="inlineStr">
        <is>
          <t>NeilPryde Atlas Pro</t>
        </is>
      </c>
      <c r="C940" s="3" t="n">
        <v>430</v>
      </c>
      <c r="D940" s="3" t="n">
        <v>179</v>
      </c>
      <c r="E940" t="inlineStr"/>
      <c r="F940" t="inlineStr">
        <is>
          <t>2022</t>
        </is>
      </c>
      <c r="G940" t="inlineStr">
        <is>
          <t>new</t>
        </is>
      </c>
      <c r="H940" s="4" t="n">
        <v>479</v>
      </c>
      <c r="I940" t="inlineStr"/>
      <c r="J940" t="inlineStr">
        <is>
          <t>82319 Bayern - Starnberg</t>
        </is>
      </c>
      <c r="K940" s="5" t="n">
        <v>45557</v>
      </c>
      <c r="L940" t="inlineStr"/>
      <c r="M940" s="6">
        <f>HYPERLINK("https://www.kleinanzeigen.de/s-anzeige/neilpryde-atlas-pro-5-8qm-segel-aqua-pink-grapefruit-2022-neu-/2481462987-230-5525", "Link")</f>
        <v/>
      </c>
      <c r="N940" s="6">
        <f>HYPERLINK("C:\Projects\Kleinanzeigen-Scraper\offer_images\2481462987", "Link")</f>
        <v/>
      </c>
      <c r="O940" t="inlineStr">
        <is>
          <t>No user name</t>
        </is>
      </c>
      <c r="P940" s="6">
        <f>HYPERLINK("https://www.kleinanzeigen.deNo user link", "Link")</f>
        <v/>
      </c>
      <c r="Q940" s="7" t="n">
        <v>45549.58096064815</v>
      </c>
      <c r="R940" s="3" t="inlineStr">
        <is>
          <t>23.17</t>
        </is>
      </c>
      <c r="S940" t="inlineStr">
        <is>
          <t>München</t>
        </is>
      </c>
    </row>
    <row r="941">
      <c r="A941" s="2" t="n">
        <v>9.4</v>
      </c>
      <c r="B941" t="inlineStr">
        <is>
          <t>Sailloft Ultimate</t>
        </is>
      </c>
      <c r="C941" s="3" t="inlineStr"/>
      <c r="D941" s="3" t="inlineStr"/>
      <c r="E941" t="inlineStr"/>
      <c r="F941" t="inlineStr">
        <is>
          <t>2023</t>
        </is>
      </c>
      <c r="G941" t="inlineStr">
        <is>
          <t>used</t>
        </is>
      </c>
      <c r="H941" s="4" t="n">
        <v>330</v>
      </c>
      <c r="I941" t="inlineStr">
        <is>
          <t>VB</t>
        </is>
      </c>
      <c r="J941" t="inlineStr">
        <is>
          <t>44791 Bochum - Bochum-Ost</t>
        </is>
      </c>
      <c r="K941" s="5" t="n">
        <v>45543</v>
      </c>
      <c r="L941" t="inlineStr"/>
      <c r="M941" s="6">
        <f>HYPERLINK("https://www.kleinanzeigen.de/s-anzeige/sailloft-ultimate-2-2-in-9-4-modell-2023-quasi-neu-ersatzsegel/2857968747-230-1947", "Link")</f>
        <v/>
      </c>
      <c r="N941" s="6">
        <f>HYPERLINK("C:\Projects\Kleinanzeigen-Scraper\offer_images\2857968747", "Link")</f>
        <v/>
      </c>
      <c r="O941" t="inlineStr">
        <is>
          <t>Mark</t>
        </is>
      </c>
      <c r="P941" s="6">
        <f>HYPERLINK("https://www.kleinanzeigen.de/s-bestandsliste.html?userId=14066279", "Link")</f>
        <v/>
      </c>
      <c r="Q941" s="7" t="n">
        <v>45549.58096064815</v>
      </c>
      <c r="R941" s="3" t="inlineStr">
        <is>
          <t>64.49</t>
        </is>
      </c>
      <c r="S941" t="inlineStr">
        <is>
          <t>Köln</t>
        </is>
      </c>
    </row>
    <row r="942">
      <c r="A942" s="2" t="n">
        <v>5.6</v>
      </c>
      <c r="B942" t="inlineStr">
        <is>
          <t>Sailloft Ultimate</t>
        </is>
      </c>
      <c r="C942" s="3" t="n">
        <v>400</v>
      </c>
      <c r="D942" s="3" t="inlineStr"/>
      <c r="E942" t="inlineStr"/>
      <c r="F942" t="inlineStr">
        <is>
          <t>2023</t>
        </is>
      </c>
      <c r="G942" t="inlineStr">
        <is>
          <t>new</t>
        </is>
      </c>
      <c r="H942" s="4" t="n">
        <v>429</v>
      </c>
      <c r="I942" t="inlineStr"/>
      <c r="J942" t="inlineStr">
        <is>
          <t>13129 Pankow - Weissensee</t>
        </is>
      </c>
      <c r="K942" s="5" t="n">
        <v>45535</v>
      </c>
      <c r="L942" t="inlineStr">
        <is>
          <t>Sold</t>
        </is>
      </c>
      <c r="M942" s="6">
        <f>HYPERLINK("https://www.kleinanzeigen.de/s-anzeige/-sailloft-ultimate-5-6-m-2-segel-neuwertig-camber-rdm-2023/2850410774-230-3475", "Link")</f>
        <v/>
      </c>
      <c r="N942" s="6">
        <f>HYPERLINK("C:\Projects\Kleinanzeigen-Scraper\offer_images\2850410774", "Link")</f>
        <v/>
      </c>
      <c r="O942" t="inlineStr">
        <is>
          <t>Daniel Düsentrieb</t>
        </is>
      </c>
      <c r="P942" s="6">
        <f>HYPERLINK("https://www.kleinanzeigen.de/s-bestandsliste.html?userId=5840406", "Link")</f>
        <v/>
      </c>
      <c r="Q942" s="7" t="n">
        <v>45549.58094907407</v>
      </c>
      <c r="R942" s="3" t="inlineStr">
        <is>
          <t>483.73</t>
        </is>
      </c>
      <c r="S942" t="inlineStr">
        <is>
          <t>Köln</t>
        </is>
      </c>
    </row>
    <row r="943">
      <c r="A943" s="2" t="n">
        <v>5</v>
      </c>
      <c r="B943" t="inlineStr">
        <is>
          <t>NeilPryde</t>
        </is>
      </c>
      <c r="C943" s="3" t="n">
        <v>430</v>
      </c>
      <c r="D943" s="3" t="n">
        <v>170</v>
      </c>
      <c r="E943" t="inlineStr">
        <is>
          <t>Wave/Slalom</t>
        </is>
      </c>
      <c r="F943" t="inlineStr"/>
      <c r="G943" t="inlineStr"/>
      <c r="H943" s="4" t="n">
        <v>55</v>
      </c>
      <c r="I943" t="inlineStr">
        <is>
          <t>VB</t>
        </is>
      </c>
      <c r="J943" t="inlineStr">
        <is>
          <t>31832 Niedersachsen - Springe</t>
        </is>
      </c>
      <c r="K943" s="5" t="n">
        <v>45466</v>
      </c>
      <c r="L943" t="inlineStr">
        <is>
          <t>Sold</t>
        </is>
      </c>
      <c r="M943" s="6">
        <f>HYPERLINK("https://www.kleinanzeigen.de/s-anzeige/surfsegel-neilpryde-wave-slalom-5-0/2795588329-230-2915", "Link")</f>
        <v/>
      </c>
      <c r="N943" s="6">
        <f>HYPERLINK("C:\Projects\Kleinanzeigen-Scraper\offer_images\2795588329", "Link")</f>
        <v/>
      </c>
      <c r="O943" t="inlineStr">
        <is>
          <t>T. Plate</t>
        </is>
      </c>
      <c r="P943" s="6">
        <f>HYPERLINK("https://www.kleinanzeigen.de/s-bestandsliste.html?userId=18232516", "Link")</f>
        <v/>
      </c>
      <c r="Q943" s="7" t="n">
        <v>45549.58091435185</v>
      </c>
      <c r="R943" s="3" t="inlineStr">
        <is>
          <t>231.05</t>
        </is>
      </c>
      <c r="S943" t="inlineStr">
        <is>
          <t>Köln</t>
        </is>
      </c>
    </row>
    <row r="944">
      <c r="A944" s="2" t="n">
        <v>7.5</v>
      </c>
      <c r="B944" t="inlineStr">
        <is>
          <t>North Tonix</t>
        </is>
      </c>
      <c r="C944" s="3" t="inlineStr">
        <is>
          <t>460 or 490</t>
        </is>
      </c>
      <c r="D944" s="3" t="inlineStr"/>
      <c r="E944" t="inlineStr"/>
      <c r="F944" t="inlineStr"/>
      <c r="G944" t="inlineStr">
        <is>
          <t>used</t>
        </is>
      </c>
      <c r="H944" s="4" t="n">
        <v>150</v>
      </c>
      <c r="I944" t="inlineStr"/>
      <c r="J944" t="inlineStr">
        <is>
          <t>14913 Brandenburg - Jüterbog</t>
        </is>
      </c>
      <c r="K944" s="5" t="n">
        <v>45546</v>
      </c>
      <c r="L944" t="inlineStr">
        <is>
          <t>Sold</t>
        </is>
      </c>
      <c r="M944" s="6">
        <f>HYPERLINK("https://www.kleinanzeigen.de/s-anzeige/north-tonix-7-5-windsurf-segel/2860601933-230-18650", "Link")</f>
        <v/>
      </c>
      <c r="N944" s="6">
        <f>HYPERLINK("C:\Projects\Kleinanzeigen-Scraper\offer_images\2860601933", "Link")</f>
        <v/>
      </c>
      <c r="O944" t="inlineStr">
        <is>
          <t>Rick Wardaru</t>
        </is>
      </c>
      <c r="P944" s="6">
        <f>HYPERLINK("https://www.kleinanzeigen.de/s-bestandsliste.html?userId=8044277", "Link")</f>
        <v/>
      </c>
      <c r="Q944" s="7" t="n">
        <v>45549.58091435185</v>
      </c>
      <c r="R944" s="3" t="inlineStr">
        <is>
          <t>437.89</t>
        </is>
      </c>
      <c r="S944" t="inlineStr">
        <is>
          <t>München</t>
        </is>
      </c>
    </row>
    <row r="945">
      <c r="A945" s="2" t="n">
        <v>9.199999999999999</v>
      </c>
      <c r="B945" t="inlineStr">
        <is>
          <t>Neilpryde H2</t>
        </is>
      </c>
      <c r="C945" s="3" t="n">
        <v>490</v>
      </c>
      <c r="D945" s="3" t="n">
        <v>231</v>
      </c>
      <c r="E945" t="inlineStr"/>
      <c r="F945" t="inlineStr"/>
      <c r="G945" t="inlineStr">
        <is>
          <t>used</t>
        </is>
      </c>
      <c r="H945" s="4" t="n">
        <v>150</v>
      </c>
      <c r="I945" t="inlineStr">
        <is>
          <t>VB</t>
        </is>
      </c>
      <c r="J945" t="inlineStr">
        <is>
          <t>67227 Rheinland-Pfalz - Frankenthal (Pfalz)</t>
        </is>
      </c>
      <c r="K945" s="5" t="n">
        <v>45502</v>
      </c>
      <c r="L945" t="inlineStr"/>
      <c r="M945" s="6">
        <f>HYPERLINK("https://www.kleinanzeigen.de/s-anzeige/neilpryde-h2-9-2-qm-segel-2-camber-neil-pryde/2824065309-230-5189", "Link")</f>
        <v/>
      </c>
      <c r="N945" s="6">
        <f>HYPERLINK("C:\Projects\Kleinanzeigen-Scraper\offer_images\2824065309", "Link")</f>
        <v/>
      </c>
      <c r="O945" t="inlineStr">
        <is>
          <t>Peters</t>
        </is>
      </c>
      <c r="P945" s="6">
        <f>HYPERLINK("https://www.kleinanzeigen.de/s-bestandsliste.html?userId=7486204", "Link")</f>
        <v/>
      </c>
      <c r="Q945" s="7" t="n">
        <v>45549.58091435185</v>
      </c>
      <c r="R945" s="3" t="inlineStr">
        <is>
          <t>59.73</t>
        </is>
      </c>
      <c r="S945" t="inlineStr">
        <is>
          <t>Karlsruhe</t>
        </is>
      </c>
    </row>
    <row r="946">
      <c r="A946" s="2" t="n">
        <v>7.9</v>
      </c>
      <c r="B946" t="inlineStr">
        <is>
          <t>Gun Sails Rapid</t>
        </is>
      </c>
      <c r="C946" s="3" t="n">
        <v>478</v>
      </c>
      <c r="D946" s="3" t="n">
        <v>214</v>
      </c>
      <c r="E946" t="inlineStr"/>
      <c r="F946" t="inlineStr"/>
      <c r="G946" t="inlineStr">
        <is>
          <t>used, repaired</t>
        </is>
      </c>
      <c r="H946" s="4" t="n">
        <v>80</v>
      </c>
      <c r="I946" t="inlineStr"/>
      <c r="J946" t="inlineStr">
        <is>
          <t>33803 Nordrhein-Westfalen - Steinhagen</t>
        </is>
      </c>
      <c r="K946" s="5" t="n">
        <v>45529</v>
      </c>
      <c r="L946" t="inlineStr"/>
      <c r="M946" s="6">
        <f>HYPERLINK("https://www.kleinanzeigen.de/s-anzeige/gun-sails-gunsails-rapid-7-9-surfsegel/2845950846-230-1642", "Link")</f>
        <v/>
      </c>
      <c r="N946" s="6">
        <f>HYPERLINK("C:\Projects\Kleinanzeigen-Scraper\offer_images\2845950846", "Link")</f>
        <v/>
      </c>
      <c r="O946" t="inlineStr">
        <is>
          <t>Ralph</t>
        </is>
      </c>
      <c r="P946" s="6">
        <f>HYPERLINK("https://www.kleinanzeigen.de/s-bestandsliste.html?userId=1738682", "Link")</f>
        <v/>
      </c>
      <c r="Q946" s="7" t="n">
        <v>45549.58091435185</v>
      </c>
      <c r="R946" s="3" t="inlineStr">
        <is>
          <t>153.21</t>
        </is>
      </c>
      <c r="S946" t="inlineStr">
        <is>
          <t>Köln</t>
        </is>
      </c>
    </row>
    <row r="947">
      <c r="A947" s="2" t="n">
        <v>6.7</v>
      </c>
      <c r="B947" t="inlineStr">
        <is>
          <t>Simmer Style Apex</t>
        </is>
      </c>
      <c r="C947" s="3" t="inlineStr"/>
      <c r="D947" s="3" t="inlineStr"/>
      <c r="E947" t="inlineStr"/>
      <c r="F947" t="inlineStr"/>
      <c r="G947" t="inlineStr">
        <is>
          <t>used</t>
        </is>
      </c>
      <c r="H947" s="4" t="n">
        <v>109</v>
      </c>
      <c r="I947" t="inlineStr"/>
      <c r="J947" t="inlineStr">
        <is>
          <t>48163 Münster (Westfalen) - Mecklenbeck</t>
        </is>
      </c>
      <c r="K947" s="5" t="n">
        <v>45270</v>
      </c>
      <c r="L947" t="inlineStr"/>
      <c r="M947" s="6">
        <f>HYPERLINK("https://www.kleinanzeigen.de/s-anzeige/simmer-style-apex-6-7-windsurfsegel/2625545629-230-17020", "Link")</f>
        <v/>
      </c>
      <c r="N947" s="6">
        <f>HYPERLINK("C:\Projects\Kleinanzeigen-Scraper\offer_images\2625545629", "Link")</f>
        <v/>
      </c>
      <c r="O947" t="inlineStr">
        <is>
          <t>W. S.</t>
        </is>
      </c>
      <c r="P947" s="6">
        <f>HYPERLINK("https://www.kleinanzeigen.de/s-bestandsliste.html?userId=12392678", "Link")</f>
        <v/>
      </c>
      <c r="Q947" s="7" t="n">
        <v>45549.5808912037</v>
      </c>
      <c r="R947" s="3" t="inlineStr">
        <is>
          <t>114.86</t>
        </is>
      </c>
      <c r="S947" t="inlineStr">
        <is>
          <t>Köln</t>
        </is>
      </c>
    </row>
    <row r="948">
      <c r="A948" s="2" t="n">
        <v>8</v>
      </c>
      <c r="B948" t="inlineStr">
        <is>
          <t>Ezzy Sails</t>
        </is>
      </c>
      <c r="C948" s="3" t="n">
        <v>490</v>
      </c>
      <c r="D948" s="3" t="inlineStr">
        <is>
          <t>214-221</t>
        </is>
      </c>
      <c r="E948" t="inlineStr">
        <is>
          <t>freeride</t>
        </is>
      </c>
      <c r="F948" t="inlineStr"/>
      <c r="G948" t="inlineStr">
        <is>
          <t>used</t>
        </is>
      </c>
      <c r="H948" s="4" t="n">
        <v>315</v>
      </c>
      <c r="I948" t="inlineStr"/>
      <c r="J948" t="inlineStr">
        <is>
          <t>06774 Sachsen-Anhalt - Pouch (Muldestausee)</t>
        </is>
      </c>
      <c r="K948" s="5" t="n">
        <v>45501</v>
      </c>
      <c r="L948" t="inlineStr">
        <is>
          <t>Sold</t>
        </is>
      </c>
      <c r="M948" s="6">
        <f>HYPERLINK("https://www.kleinanzeigen.de/s-anzeige/windsurfsegel-ezzy-sails-8-0qm/2823240051-230-19277", "Link")</f>
        <v/>
      </c>
      <c r="N948" s="6">
        <f>HYPERLINK("C:\Projects\Kleinanzeigen-Scraper\offer_images\2823240051", "Link")</f>
        <v/>
      </c>
      <c r="O948" t="inlineStr">
        <is>
          <t>Herr G</t>
        </is>
      </c>
      <c r="P948" s="6">
        <f>HYPERLINK("https://www.kleinanzeigen.de/s-bestandsliste.html?userId=120113369", "Link")</f>
        <v/>
      </c>
      <c r="Q948" s="7" t="n">
        <v>45549.58086805556</v>
      </c>
      <c r="R948" s="3" t="inlineStr">
        <is>
          <t>388.89</t>
        </is>
      </c>
      <c r="S948" t="inlineStr">
        <is>
          <t>Köln</t>
        </is>
      </c>
    </row>
    <row r="949">
      <c r="A949" s="2" t="n">
        <v>5.3</v>
      </c>
      <c r="B949" t="inlineStr">
        <is>
          <t>Naish Force</t>
        </is>
      </c>
      <c r="C949" s="3" t="inlineStr"/>
      <c r="D949" s="3" t="inlineStr"/>
      <c r="E949" t="inlineStr"/>
      <c r="F949" t="inlineStr">
        <is>
          <t>2023</t>
        </is>
      </c>
      <c r="G949" t="inlineStr">
        <is>
          <t>used</t>
        </is>
      </c>
      <c r="H949" s="4" t="n">
        <v>350</v>
      </c>
      <c r="I949" t="inlineStr"/>
      <c r="J949" t="inlineStr">
        <is>
          <t>55430 Rheinland-Pfalz - Oberwesel</t>
        </is>
      </c>
      <c r="K949" s="5" t="n">
        <v>45515</v>
      </c>
      <c r="L949" t="inlineStr"/>
      <c r="M949" s="6">
        <f>HYPERLINK("https://www.kleinanzeigen.de/s-anzeige/naish-force-four-5-3-2023/2834150522-230-19504", "Link")</f>
        <v/>
      </c>
      <c r="N949" s="6">
        <f>HYPERLINK("C:\Projects\Kleinanzeigen-Scraper\offer_images\2834150522", "Link")</f>
        <v/>
      </c>
      <c r="O949" t="inlineStr">
        <is>
          <t>Voll</t>
        </is>
      </c>
      <c r="P949" s="6">
        <f>HYPERLINK("https://www.kleinanzeigen.de/s-bestandsliste.html?userId=29250937", "Link")</f>
        <v/>
      </c>
      <c r="Q949" s="7" t="n">
        <v>45549.58086805556</v>
      </c>
      <c r="R949" s="3" t="inlineStr">
        <is>
          <t>109.06</t>
        </is>
      </c>
      <c r="S949" t="inlineStr">
        <is>
          <t>Köln</t>
        </is>
      </c>
    </row>
    <row r="950">
      <c r="A950" s="2" t="n">
        <v>4.2</v>
      </c>
      <c r="B950" t="inlineStr">
        <is>
          <t>Simmer BlackTip</t>
        </is>
      </c>
      <c r="C950" s="3" t="inlineStr"/>
      <c r="D950" s="3" t="inlineStr"/>
      <c r="E950" t="inlineStr"/>
      <c r="F950" t="inlineStr">
        <is>
          <t>2015</t>
        </is>
      </c>
      <c r="G950" t="inlineStr">
        <is>
          <t>repaired</t>
        </is>
      </c>
      <c r="H950" s="4" t="n">
        <v>95</v>
      </c>
      <c r="I950" t="inlineStr">
        <is>
          <t>VB</t>
        </is>
      </c>
      <c r="J950" t="inlineStr">
        <is>
          <t>24106 Schleswig-Holstein - Kiel</t>
        </is>
      </c>
      <c r="K950" s="5" t="n">
        <v>45500</v>
      </c>
      <c r="L950" t="inlineStr"/>
      <c r="M950" s="6">
        <f>HYPERLINK("https://www.kleinanzeigen.de/s-anzeige/simmer-blacktip-4-2/2822761439-230-707", "Link")</f>
        <v/>
      </c>
      <c r="N950" s="6">
        <f>HYPERLINK("C:\Projects\Kleinanzeigen-Scraper\offer_images\2822761439", "Link")</f>
        <v/>
      </c>
      <c r="O950" t="inlineStr">
        <is>
          <t>Kroll</t>
        </is>
      </c>
      <c r="P950" s="6">
        <f>HYPERLINK("https://www.kleinanzeigen.de/s-bestandsliste.html?userId=37309024", "Link")</f>
        <v/>
      </c>
      <c r="Q950" s="7" t="n">
        <v>45549.58084490741</v>
      </c>
      <c r="R950" s="3" t="inlineStr">
        <is>
          <t>436.03</t>
        </is>
      </c>
      <c r="S950" t="inlineStr">
        <is>
          <t>Köln</t>
        </is>
      </c>
    </row>
    <row r="951">
      <c r="A951" s="2" t="n">
        <v>7.5</v>
      </c>
      <c r="B951" t="inlineStr">
        <is>
          <t>Severne Convert</t>
        </is>
      </c>
      <c r="C951" s="3" t="n">
        <v>460</v>
      </c>
      <c r="D951" s="3" t="n">
        <v>197</v>
      </c>
      <c r="E951" t="inlineStr"/>
      <c r="F951" t="inlineStr">
        <is>
          <t>2021</t>
        </is>
      </c>
      <c r="G951" t="inlineStr">
        <is>
          <t>used</t>
        </is>
      </c>
      <c r="H951" s="4" t="n">
        <v>340</v>
      </c>
      <c r="I951" t="inlineStr">
        <is>
          <t>VB</t>
        </is>
      </c>
      <c r="J951" t="inlineStr">
        <is>
          <t>82346 Bayern - Andechs</t>
        </is>
      </c>
      <c r="K951" s="5" t="n">
        <v>45459</v>
      </c>
      <c r="L951" t="inlineStr"/>
      <c r="M951" s="6">
        <f>HYPERLINK("https://www.kleinanzeigen.de/s-anzeige/severne-convert-segel-7-5/2790026315-230-5524", "Link")</f>
        <v/>
      </c>
      <c r="N951" s="6">
        <f>HYPERLINK("C:\Projects\Kleinanzeigen-Scraper\offer_images\2790026315", "Link")</f>
        <v/>
      </c>
      <c r="O951" t="inlineStr">
        <is>
          <t>Franzi</t>
        </is>
      </c>
      <c r="P951" s="6">
        <f>HYPERLINK("https://www.kleinanzeigen.de/s-bestandsliste.html?userId=33504393", "Link")</f>
        <v/>
      </c>
      <c r="Q951" s="7" t="n">
        <v>45549.58084490741</v>
      </c>
      <c r="R951" s="3" t="inlineStr">
        <is>
          <t>34.46</t>
        </is>
      </c>
      <c r="S951" t="inlineStr">
        <is>
          <t>München</t>
        </is>
      </c>
    </row>
    <row r="952">
      <c r="A952" s="2" t="n">
        <v>3.5</v>
      </c>
      <c r="B952" t="inlineStr">
        <is>
          <t>Neilpryde FLY II</t>
        </is>
      </c>
      <c r="C952" s="3" t="inlineStr"/>
      <c r="D952" s="3" t="inlineStr"/>
      <c r="E952" t="inlineStr"/>
      <c r="F952" t="inlineStr">
        <is>
          <t>2024</t>
        </is>
      </c>
      <c r="G952" t="inlineStr">
        <is>
          <t>used</t>
        </is>
      </c>
      <c r="H952" s="4" t="n">
        <v>590</v>
      </c>
      <c r="I952" t="inlineStr">
        <is>
          <t>VB</t>
        </is>
      </c>
      <c r="J952" t="inlineStr">
        <is>
          <t>83623 Bayern - Dietramszell</t>
        </is>
      </c>
      <c r="K952" s="5" t="n">
        <v>45539</v>
      </c>
      <c r="L952" t="inlineStr"/>
      <c r="M952" s="6">
        <f>HYPERLINK("https://www.kleinanzeigen.de/s-anzeige/2024-neilpryde-fly-ii-3-5/2853963355-230-6194", "Link")</f>
        <v/>
      </c>
      <c r="N952" s="6">
        <f>HYPERLINK("C:\Projects\Kleinanzeigen-Scraper\offer_images\2853963355", "Link")</f>
        <v/>
      </c>
      <c r="O952" t="inlineStr">
        <is>
          <t>Zellner</t>
        </is>
      </c>
      <c r="P952" s="6">
        <f>HYPERLINK("https://www.kleinanzeigen.de/s-bestandsliste.html?userId=19280114", "Link")</f>
        <v/>
      </c>
      <c r="Q952" s="7" t="n">
        <v>45549.58084490741</v>
      </c>
      <c r="R952" s="3" t="inlineStr">
        <is>
          <t>31.34</t>
        </is>
      </c>
      <c r="S952" t="inlineStr">
        <is>
          <t>München</t>
        </is>
      </c>
    </row>
    <row r="953">
      <c r="A953" s="2" t="n">
        <v>6.9</v>
      </c>
      <c r="B953" t="inlineStr">
        <is>
          <t>Gun Sails TEMPO</t>
        </is>
      </c>
      <c r="C953" s="3" t="n">
        <v>467</v>
      </c>
      <c r="D953" s="3" t="n">
        <v>209</v>
      </c>
      <c r="E953" t="inlineStr">
        <is>
          <t>Freeride</t>
        </is>
      </c>
      <c r="F953" t="inlineStr"/>
      <c r="G953" t="inlineStr">
        <is>
          <t>used, good condition</t>
        </is>
      </c>
      <c r="H953" s="4" t="n">
        <v>99</v>
      </c>
      <c r="I953" t="inlineStr">
        <is>
          <t>VB</t>
        </is>
      </c>
      <c r="J953" t="inlineStr">
        <is>
          <t>23909 Herzogtum Lauenburg - Ratzeburg</t>
        </is>
      </c>
      <c r="K953" s="5" t="n">
        <v>45547</v>
      </c>
      <c r="L953" t="inlineStr"/>
      <c r="M953" s="6">
        <f>HYPERLINK("https://www.kleinanzeigen.de/s-anzeige/gun-sails-tempo-6-9-freeride-no-cam-segel/2861257182-230-811", "Link")</f>
        <v/>
      </c>
      <c r="N953" s="6">
        <f>HYPERLINK("C:\Projects\Kleinanzeigen-Scraper\offer_images\2861257182", "Link")</f>
        <v/>
      </c>
      <c r="O953" t="inlineStr">
        <is>
          <t>Silvia S.</t>
        </is>
      </c>
      <c r="P953" s="6">
        <f>HYPERLINK("https://www.kleinanzeigen.de/s-bestandsliste.html?userId=86555296", "Link")</f>
        <v/>
      </c>
      <c r="Q953" s="7" t="n">
        <v>45549.58082175926</v>
      </c>
      <c r="R953" s="3" t="inlineStr">
        <is>
          <t>401.75</t>
        </is>
      </c>
      <c r="S953" t="inlineStr">
        <is>
          <t>Köln</t>
        </is>
      </c>
    </row>
    <row r="954">
      <c r="A954" s="2" t="n">
        <v>4</v>
      </c>
      <c r="B954" t="inlineStr">
        <is>
          <t>Severne Freek</t>
        </is>
      </c>
      <c r="C954" s="3" t="inlineStr"/>
      <c r="D954" s="3" t="inlineStr"/>
      <c r="E954" t="inlineStr"/>
      <c r="F954" t="inlineStr">
        <is>
          <t>2021</t>
        </is>
      </c>
      <c r="G954" t="inlineStr">
        <is>
          <t>used</t>
        </is>
      </c>
      <c r="H954" s="4" t="n">
        <v>250</v>
      </c>
      <c r="I954" t="inlineStr">
        <is>
          <t>VB</t>
        </is>
      </c>
      <c r="J954" t="inlineStr">
        <is>
          <t>23769 Kreis Ostholstein - Fehmarn</t>
        </is>
      </c>
      <c r="K954" s="5" t="n">
        <v>45506</v>
      </c>
      <c r="L954" t="inlineStr"/>
      <c r="M954" s="6">
        <f>HYPERLINK("https://www.kleinanzeigen.de/s-anzeige/severne-freek-4-0-2021/2826885199-230-19951", "Link")</f>
        <v/>
      </c>
      <c r="N954" s="6">
        <f>HYPERLINK("C:\Projects\Kleinanzeigen-Scraper\offer_images\2826885199", "Link")</f>
        <v/>
      </c>
      <c r="O954" t="inlineStr">
        <is>
          <t>Michael Meier</t>
        </is>
      </c>
      <c r="P954" s="6">
        <f>HYPERLINK("https://www.kleinanzeigen.de/s-bestandsliste.html?userId=43616745", "Link")</f>
        <v/>
      </c>
      <c r="Q954" s="7" t="n">
        <v>45549.58078703703</v>
      </c>
      <c r="R954" s="3" t="inlineStr">
        <is>
          <t>483.01</t>
        </is>
      </c>
      <c r="S954" t="inlineStr">
        <is>
          <t>Köln</t>
        </is>
      </c>
    </row>
    <row r="955">
      <c r="A955" s="2" t="n">
        <v>3.7</v>
      </c>
      <c r="B955" t="inlineStr">
        <is>
          <t>North Sails Hero</t>
        </is>
      </c>
      <c r="C955" s="3" t="inlineStr"/>
      <c r="D955" s="3" t="inlineStr"/>
      <c r="E955" t="inlineStr">
        <is>
          <t>Wave</t>
        </is>
      </c>
      <c r="F955" t="inlineStr">
        <is>
          <t>2014</t>
        </is>
      </c>
      <c r="G955" t="inlineStr">
        <is>
          <t>used</t>
        </is>
      </c>
      <c r="H955" s="4" t="n">
        <v>120</v>
      </c>
      <c r="I955" t="inlineStr">
        <is>
          <t>VB</t>
        </is>
      </c>
      <c r="J955" t="inlineStr">
        <is>
          <t>40724 Nordrhein-Westfalen - Hilden</t>
        </is>
      </c>
      <c r="K955" s="5" t="n">
        <v>45549</v>
      </c>
      <c r="L955" t="inlineStr">
        <is>
          <t>Sold</t>
        </is>
      </c>
      <c r="M955" s="6">
        <f>HYPERLINK("https://www.kleinanzeigen.de/s-anzeige/north-sails-hero-3-7/2862918167-230-1859", "Link")</f>
        <v/>
      </c>
      <c r="N955" s="6">
        <f>HYPERLINK("C:\Projects\Kleinanzeigen-Scraper\offer_images\2862918167", "Link")</f>
        <v/>
      </c>
      <c r="O955" t="inlineStr">
        <is>
          <t>Laurenz Huhn</t>
        </is>
      </c>
      <c r="P955" s="6">
        <f>HYPERLINK("https://www.kleinanzeigen.de/s-bestandsliste.html?userId=5367532", "Link")</f>
        <v/>
      </c>
      <c r="Q955" s="7" t="n">
        <v>45549.58077546296</v>
      </c>
      <c r="R955" s="3" t="inlineStr">
        <is>
          <t>26.51</t>
        </is>
      </c>
      <c r="S955" t="inlineStr">
        <is>
          <t>Köln</t>
        </is>
      </c>
    </row>
    <row r="956">
      <c r="A956" s="2" t="n">
        <v>9</v>
      </c>
      <c r="B956" t="inlineStr">
        <is>
          <t>Severne NCX</t>
        </is>
      </c>
      <c r="C956" s="3" t="inlineStr"/>
      <c r="D956" s="3" t="inlineStr"/>
      <c r="E956" t="inlineStr"/>
      <c r="F956" t="inlineStr"/>
      <c r="G956" t="inlineStr">
        <is>
          <t>repaired</t>
        </is>
      </c>
      <c r="H956" s="4" t="n">
        <v>100</v>
      </c>
      <c r="I956" t="inlineStr">
        <is>
          <t>VB</t>
        </is>
      </c>
      <c r="J956" t="inlineStr">
        <is>
          <t>85276 Bayern - Pfaffenhofen a.d. Ilm</t>
        </is>
      </c>
      <c r="K956" s="5" t="n">
        <v>45545</v>
      </c>
      <c r="L956" t="inlineStr"/>
      <c r="M956" s="6">
        <f>HYPERLINK("https://www.kleinanzeigen.de/s-anzeige/severne-ncx-pro-9-0/2859654117-230-5850", "Link")</f>
        <v/>
      </c>
      <c r="N956" s="6">
        <f>HYPERLINK("C:\Projects\Kleinanzeigen-Scraper\offer_images\2859654117", "Link")</f>
        <v/>
      </c>
      <c r="O956" t="inlineStr">
        <is>
          <t>Fillip</t>
        </is>
      </c>
      <c r="P956" s="6">
        <f>HYPERLINK("https://www.kleinanzeigen.de/s-bestandsliste.html?userId=65512741", "Link")</f>
        <v/>
      </c>
      <c r="Q956" s="7" t="n">
        <v>45549.58076388889</v>
      </c>
      <c r="R956" s="3" t="inlineStr">
        <is>
          <t>47.13</t>
        </is>
      </c>
      <c r="S956" t="inlineStr">
        <is>
          <t>München</t>
        </is>
      </c>
    </row>
    <row r="957">
      <c r="A957" s="2" t="n">
        <v>8.699999999999999</v>
      </c>
      <c r="B957" t="inlineStr">
        <is>
          <t>NeilPryde Hornet</t>
        </is>
      </c>
      <c r="C957" s="3" t="n">
        <v>490</v>
      </c>
      <c r="D957" s="3" t="inlineStr">
        <is>
          <t>180-240</t>
        </is>
      </c>
      <c r="E957" t="inlineStr"/>
      <c r="F957" t="inlineStr">
        <is>
          <t>2016</t>
        </is>
      </c>
      <c r="G957" t="inlineStr">
        <is>
          <t>used</t>
        </is>
      </c>
      <c r="H957" s="4" t="n">
        <v>250</v>
      </c>
      <c r="I957" t="inlineStr">
        <is>
          <t>VB</t>
        </is>
      </c>
      <c r="J957" t="inlineStr">
        <is>
          <t>81245 München - Pasing-Obermenzing</t>
        </is>
      </c>
      <c r="K957" s="5" t="n">
        <v>45548</v>
      </c>
      <c r="L957" t="inlineStr">
        <is>
          <t>Sold</t>
        </is>
      </c>
      <c r="M957" s="6">
        <f>HYPERLINK("https://www.kleinanzeigen.de/s-anzeige/neilpryde-hornet-2016-blau-gelb/2862311798-230-16366", "Link")</f>
        <v/>
      </c>
      <c r="N957" s="6">
        <f>HYPERLINK("C:\Projects\Kleinanzeigen-Scraper\offer_images\2862311798", "Link")</f>
        <v/>
      </c>
      <c r="O957" t="inlineStr">
        <is>
          <t>Fabian</t>
        </is>
      </c>
      <c r="P957" s="6">
        <f>HYPERLINK("https://www.kleinanzeigen.de/s-bestandsliste.html?userId=24130096", "Link")</f>
        <v/>
      </c>
      <c r="Q957" s="7" t="n">
        <v>45549.58076388889</v>
      </c>
      <c r="R957" s="3" t="inlineStr">
        <is>
          <t>10.72</t>
        </is>
      </c>
      <c r="S957" t="inlineStr">
        <is>
          <t>München</t>
        </is>
      </c>
    </row>
    <row r="958">
      <c r="A958" s="2" t="n">
        <v>4.6</v>
      </c>
      <c r="B958" t="inlineStr">
        <is>
          <t>Gun Sails Blow</t>
        </is>
      </c>
      <c r="C958" s="3" t="n">
        <v>167</v>
      </c>
      <c r="D958" s="3" t="n">
        <v>370</v>
      </c>
      <c r="E958" t="inlineStr">
        <is>
          <t>Wave</t>
        </is>
      </c>
      <c r="F958" t="inlineStr"/>
      <c r="G958" t="inlineStr">
        <is>
          <t>used</t>
        </is>
      </c>
      <c r="H958" s="4" t="n">
        <v>180</v>
      </c>
      <c r="I958" t="inlineStr">
        <is>
          <t>VB</t>
        </is>
      </c>
      <c r="J958" t="inlineStr">
        <is>
          <t>14513 Brandenburg - Teltow</t>
        </is>
      </c>
      <c r="K958" s="5" t="n">
        <v>45522</v>
      </c>
      <c r="L958" t="inlineStr"/>
      <c r="M958" s="6">
        <f>HYPERLINK("https://www.kleinanzeigen.de/s-anzeige/windsruf-segel-4-6-blow-von-gun-sails/2840632578-230-7939", "Link")</f>
        <v/>
      </c>
      <c r="N958" s="6">
        <f>HYPERLINK("C:\Projects\Kleinanzeigen-Scraper\offer_images\2840632578", "Link")</f>
        <v/>
      </c>
      <c r="O958" t="inlineStr">
        <is>
          <t>Kristian</t>
        </is>
      </c>
      <c r="P958" s="6">
        <f>HYPERLINK("https://www.kleinanzeigen.de/s-bestandsliste.html?userId=20616184", "Link")</f>
        <v/>
      </c>
      <c r="Q958" s="7" t="n">
        <v>45549.58076388889</v>
      </c>
      <c r="R958" s="3" t="inlineStr">
        <is>
          <t>464.56</t>
        </is>
      </c>
      <c r="S958" t="inlineStr">
        <is>
          <t>Köln</t>
        </is>
      </c>
    </row>
    <row r="959">
      <c r="A959" s="2" t="n">
        <v>7.4</v>
      </c>
      <c r="B959" t="inlineStr">
        <is>
          <t>Neilpryde Excess</t>
        </is>
      </c>
      <c r="C959" s="3" t="n">
        <v>460</v>
      </c>
      <c r="D959" s="3" t="n">
        <v>209</v>
      </c>
      <c r="E959" t="inlineStr"/>
      <c r="F959" t="inlineStr"/>
      <c r="G959" t="inlineStr">
        <is>
          <t>used</t>
        </is>
      </c>
      <c r="H959" s="4" t="n">
        <v>50</v>
      </c>
      <c r="I959" t="inlineStr"/>
      <c r="J959" t="inlineStr">
        <is>
          <t>66564 Saarland - Ottweiler</t>
        </is>
      </c>
      <c r="K959" s="5" t="n">
        <v>45531</v>
      </c>
      <c r="L959" t="inlineStr"/>
      <c r="M959" s="6">
        <f>HYPERLINK("https://www.kleinanzeigen.de/s-anzeige/surfsegel-neilpryde-excess-7-4-qm/2848088498-230-347", "Link")</f>
        <v/>
      </c>
      <c r="N959" s="6">
        <f>HYPERLINK("C:\Projects\Kleinanzeigen-Scraper\offer_images\2848088498", "Link")</f>
        <v/>
      </c>
      <c r="O959" t="inlineStr">
        <is>
          <t>Hans</t>
        </is>
      </c>
      <c r="P959" s="6">
        <f>HYPERLINK("https://www.kleinanzeigen.de/s-bestandsliste.html?userId=17552175", "Link")</f>
        <v/>
      </c>
      <c r="Q959" s="7" t="n">
        <v>45549.58071759259</v>
      </c>
      <c r="R959" s="3" t="inlineStr">
        <is>
          <t>96.82</t>
        </is>
      </c>
      <c r="S959" t="inlineStr">
        <is>
          <t>Karlsruhe</t>
        </is>
      </c>
    </row>
    <row r="960">
      <c r="A960" s="2" t="n">
        <v>6.6</v>
      </c>
      <c r="B960" t="inlineStr">
        <is>
          <t>North Sails Trans AM</t>
        </is>
      </c>
      <c r="C960" s="3" t="inlineStr"/>
      <c r="D960" s="3" t="inlineStr"/>
      <c r="E960" t="inlineStr"/>
      <c r="F960" t="inlineStr"/>
      <c r="G960" t="inlineStr">
        <is>
          <t>used</t>
        </is>
      </c>
      <c r="H960" s="4" t="n">
        <v>160</v>
      </c>
      <c r="I960" t="inlineStr"/>
      <c r="J960" t="inlineStr">
        <is>
          <t>80935 Feldmoching-Hasenbergl - Feldmoching</t>
        </is>
      </c>
      <c r="K960" s="5" t="n">
        <v>45540</v>
      </c>
      <c r="L960" t="inlineStr">
        <is>
          <t>Sold</t>
        </is>
      </c>
      <c r="M960" s="6">
        <f>HYPERLINK("https://www.kleinanzeigen.de/s-anzeige/surfsegel-north-sails-trans-am-6-6m-mit-gabelbaum/2854856649-230-6452", "Link")</f>
        <v/>
      </c>
      <c r="N960" s="6">
        <f>HYPERLINK("C:\Projects\Kleinanzeigen-Scraper\offer_images\2854856649", "Link")</f>
        <v/>
      </c>
      <c r="O960" t="inlineStr">
        <is>
          <t>Halbritter</t>
        </is>
      </c>
      <c r="P960" s="6">
        <f>HYPERLINK("https://www.kleinanzeigen.de/s-bestandsliste.html?userId=10167711", "Link")</f>
        <v/>
      </c>
      <c r="Q960" s="7" t="n">
        <v>45549.58071759259</v>
      </c>
      <c r="R960" s="3" t="inlineStr">
        <is>
          <t>7.24</t>
        </is>
      </c>
      <c r="S960" t="inlineStr">
        <is>
          <t>München</t>
        </is>
      </c>
    </row>
    <row r="961">
      <c r="A961" s="2" t="n">
        <v>7.7</v>
      </c>
      <c r="B961" t="inlineStr">
        <is>
          <t>Neilpryde H2 Racing</t>
        </is>
      </c>
      <c r="C961" s="3" t="inlineStr"/>
      <c r="D961" s="3" t="inlineStr"/>
      <c r="E961" t="inlineStr"/>
      <c r="F961" t="inlineStr"/>
      <c r="G961" t="inlineStr">
        <is>
          <t>used</t>
        </is>
      </c>
      <c r="H961" s="4" t="n">
        <v>350</v>
      </c>
      <c r="I961" t="inlineStr">
        <is>
          <t>VB</t>
        </is>
      </c>
      <c r="J961" t="inlineStr">
        <is>
          <t>51375 Nordrhein-Westfalen - Leverkusen</t>
        </is>
      </c>
      <c r="K961" s="5" t="n">
        <v>45531</v>
      </c>
      <c r="L961" t="inlineStr"/>
      <c r="M961" s="6">
        <f>HYPERLINK("https://www.kleinanzeigen.de/s-anzeige/neilpryde-h2-racing-7-7/2847888950-230-1995", "Link")</f>
        <v/>
      </c>
      <c r="N961" s="6">
        <f>HYPERLINK("C:\Projects\Kleinanzeigen-Scraper\offer_images\2847888950", "Link")</f>
        <v/>
      </c>
      <c r="O961" t="inlineStr">
        <is>
          <t>Härtel</t>
        </is>
      </c>
      <c r="P961" s="6">
        <f>HYPERLINK("https://www.kleinanzeigen.de/s-bestandsliste.html?userId=8543099", "Link")</f>
        <v/>
      </c>
      <c r="Q961" s="7" t="n">
        <v>45549.58070601852</v>
      </c>
      <c r="R961" s="3" t="inlineStr">
        <is>
          <t>12.78</t>
        </is>
      </c>
      <c r="S961" t="inlineStr">
        <is>
          <t>Köln</t>
        </is>
      </c>
    </row>
    <row r="962">
      <c r="A962" s="2" t="n">
        <v>5.1</v>
      </c>
      <c r="B962" t="inlineStr">
        <is>
          <t>FANATIC</t>
        </is>
      </c>
      <c r="C962" s="3" t="inlineStr"/>
      <c r="D962" s="3" t="inlineStr"/>
      <c r="E962" t="inlineStr"/>
      <c r="F962" t="inlineStr"/>
      <c r="G962" t="inlineStr">
        <is>
          <t>used</t>
        </is>
      </c>
      <c r="H962" s="4" t="n">
        <v>40</v>
      </c>
      <c r="I962" t="inlineStr">
        <is>
          <t>VB</t>
        </is>
      </c>
      <c r="J962" t="inlineStr">
        <is>
          <t>52525 Nordrhein-Westfalen - Heinsberg</t>
        </is>
      </c>
      <c r="K962" s="5" t="n">
        <v>45514</v>
      </c>
      <c r="L962" t="inlineStr">
        <is>
          <t>Sold</t>
        </is>
      </c>
      <c r="M962" s="6">
        <f>HYPERLINK("https://www.kleinanzeigen.de/s-anzeige/surfsegel-5-1-qm-von-fanatic-wenig-gebraucht/2833803784-230-16235", "Link")</f>
        <v/>
      </c>
      <c r="N962" s="6">
        <f>HYPERLINK("C:\Projects\Kleinanzeigen-Scraper\offer_images\2833803784", "Link")</f>
        <v/>
      </c>
      <c r="O962" t="inlineStr">
        <is>
          <t>Johann Wilms</t>
        </is>
      </c>
      <c r="P962" s="6">
        <f>HYPERLINK("https://www.kleinanzeigen.de/s-bestandsliste.html?userId=52796355", "Link")</f>
        <v/>
      </c>
      <c r="Q962" s="7" t="n">
        <v>45549.58069444444</v>
      </c>
      <c r="R962" s="3" t="inlineStr">
        <is>
          <t>60.56</t>
        </is>
      </c>
      <c r="S962" t="inlineStr">
        <is>
          <t>Köln</t>
        </is>
      </c>
    </row>
    <row r="963">
      <c r="A963" s="2" t="n">
        <v>3</v>
      </c>
      <c r="B963" t="inlineStr">
        <is>
          <t>Severne Redback</t>
        </is>
      </c>
      <c r="C963" s="3" t="inlineStr"/>
      <c r="D963" s="3" t="inlineStr"/>
      <c r="E963" t="inlineStr">
        <is>
          <t>Wave</t>
        </is>
      </c>
      <c r="F963" t="inlineStr">
        <is>
          <t>2023</t>
        </is>
      </c>
      <c r="G963" t="inlineStr">
        <is>
          <t>new</t>
        </is>
      </c>
      <c r="H963" s="4" t="n">
        <v>345</v>
      </c>
      <c r="I963" t="inlineStr"/>
      <c r="J963" t="inlineStr">
        <is>
          <t>24118 Kiel - Ravensberg-Brunswik-Düsternbrook</t>
        </is>
      </c>
      <c r="K963" s="5" t="n">
        <v>45404</v>
      </c>
      <c r="L963" t="inlineStr">
        <is>
          <t>Sold</t>
        </is>
      </c>
      <c r="M963" s="6">
        <f>HYPERLINK("https://www.kleinanzeigen.de/s-anzeige/severne-redback-in-3-0-neu-wave-kindersegel-wie-s1/2742969472-230-704", "Link")</f>
        <v/>
      </c>
      <c r="N963" s="6">
        <f>HYPERLINK("C:\Projects\Kleinanzeigen-Scraper\offer_images\2742969472", "Link")</f>
        <v/>
      </c>
      <c r="O963" t="inlineStr">
        <is>
          <t>Leon</t>
        </is>
      </c>
      <c r="P963" s="6">
        <f>HYPERLINK("https://www.kleinanzeigen.de/s-bestandsliste.html?userId=66304477", "Link")</f>
        <v/>
      </c>
      <c r="Q963" s="7" t="n">
        <v>45549.58063657407</v>
      </c>
      <c r="R963" s="3" t="inlineStr">
        <is>
          <t>434.29</t>
        </is>
      </c>
      <c r="S963" t="inlineStr">
        <is>
          <t>Köln</t>
        </is>
      </c>
    </row>
    <row r="964">
      <c r="A964" s="2" t="n">
        <v>6.4</v>
      </c>
      <c r="B964" t="inlineStr">
        <is>
          <t>North Sails Duke</t>
        </is>
      </c>
      <c r="C964" s="3" t="inlineStr"/>
      <c r="D964" s="3" t="inlineStr"/>
      <c r="E964" t="inlineStr"/>
      <c r="F964" t="inlineStr"/>
      <c r="G964" t="inlineStr">
        <is>
          <t>used</t>
        </is>
      </c>
      <c r="H964" s="4" t="n">
        <v>119</v>
      </c>
      <c r="I964" t="inlineStr">
        <is>
          <t>VB</t>
        </is>
      </c>
      <c r="J964" t="inlineStr">
        <is>
          <t>76287 Baden-Württemberg - Rheinstetten</t>
        </is>
      </c>
      <c r="K964" s="5" t="n">
        <v>45548</v>
      </c>
      <c r="L964" t="inlineStr">
        <is>
          <t>Sold</t>
        </is>
      </c>
      <c r="M964" s="6">
        <f>HYPERLINK("https://www.kleinanzeigen.de/s-anzeige/north-sails-duke-6-4-windsurf-segel/2862439971-230-8166", "Link")</f>
        <v/>
      </c>
      <c r="N964" s="6">
        <f>HYPERLINK("C:\Projects\Kleinanzeigen-Scraper\offer_images\2862439971", "Link")</f>
        <v/>
      </c>
      <c r="O964" t="inlineStr">
        <is>
          <t>Dominik</t>
        </is>
      </c>
      <c r="P964" s="6">
        <f>HYPERLINK("https://www.kleinanzeigen.de/s-bestandsliste.html?userId=16948579", "Link")</f>
        <v/>
      </c>
      <c r="Q964" s="7" t="n">
        <v>45549.58063657407</v>
      </c>
      <c r="R964" s="3" t="inlineStr">
        <is>
          <t>7.05</t>
        </is>
      </c>
      <c r="S964" t="inlineStr">
        <is>
          <t>Karlsruhe</t>
        </is>
      </c>
    </row>
    <row r="965">
      <c r="A965" s="2" t="n">
        <v>10.9</v>
      </c>
      <c r="B965" t="inlineStr">
        <is>
          <t>Gun Sails MEGA XR</t>
        </is>
      </c>
      <c r="C965" s="3" t="n">
        <v>550</v>
      </c>
      <c r="D965" s="3" t="n">
        <v>266</v>
      </c>
      <c r="E965" t="inlineStr"/>
      <c r="F965" t="inlineStr"/>
      <c r="G965" t="inlineStr">
        <is>
          <t>used</t>
        </is>
      </c>
      <c r="H965" s="4" t="n">
        <v>95</v>
      </c>
      <c r="I965" t="inlineStr"/>
      <c r="J965" t="inlineStr">
        <is>
          <t>90542 Bayern - Eckental</t>
        </is>
      </c>
      <c r="K965" s="5" t="n">
        <v>45543</v>
      </c>
      <c r="L965" t="inlineStr"/>
      <c r="M965" s="6">
        <f>HYPERLINK("https://www.kleinanzeigen.de/s-anzeige/gun-sails-mega-xr-10-9-qm/2858018720-230-6374", "Link")</f>
        <v/>
      </c>
      <c r="N965" s="6">
        <f>HYPERLINK("C:\Projects\Kleinanzeigen-Scraper\offer_images\2858018720", "Link")</f>
        <v/>
      </c>
      <c r="O965" t="inlineStr">
        <is>
          <t>Jost</t>
        </is>
      </c>
      <c r="P965" s="6">
        <f>HYPERLINK("https://www.kleinanzeigen.de/s-bestandsliste.html?userId=24730080", "Link")</f>
        <v/>
      </c>
      <c r="Q965" s="7" t="n">
        <v>45549.58061342593</v>
      </c>
      <c r="R965" s="3" t="inlineStr">
        <is>
          <t>162.95</t>
        </is>
      </c>
      <c r="S965" t="inlineStr">
        <is>
          <t>München</t>
        </is>
      </c>
    </row>
    <row r="966">
      <c r="A966" s="2" t="n">
        <v>5.7</v>
      </c>
      <c r="B966" t="inlineStr">
        <is>
          <t>Gun Sails</t>
        </is>
      </c>
      <c r="C966" s="3" t="inlineStr"/>
      <c r="D966" s="3" t="n">
        <v>176</v>
      </c>
      <c r="E966" t="inlineStr"/>
      <c r="F966" t="inlineStr"/>
      <c r="G966" t="inlineStr">
        <is>
          <t>used</t>
        </is>
      </c>
      <c r="H966" s="4" t="n">
        <v>100</v>
      </c>
      <c r="I966" t="inlineStr"/>
      <c r="J966" t="inlineStr">
        <is>
          <t>23923 Nordwestmecklenburg - Landkreis - Selmsdorf</t>
        </is>
      </c>
      <c r="K966" s="5" t="n">
        <v>45451</v>
      </c>
      <c r="L966" t="inlineStr"/>
      <c r="M966" s="6">
        <f>HYPERLINK("https://www.kleinanzeigen.de/s-anzeige/5-7-gun-sail-windsurfsegel/2782727705-230-424", "Link")</f>
        <v/>
      </c>
      <c r="N966" s="6">
        <f>HYPERLINK("C:\Projects\Kleinanzeigen-Scraper\offer_images\2782727705", "Link")</f>
        <v/>
      </c>
      <c r="O966" t="inlineStr">
        <is>
          <t>andre marre</t>
        </is>
      </c>
      <c r="P966" s="6">
        <f>HYPERLINK("https://www.kleinanzeigen.de/s-bestandsliste.html?userId=12132128", "Link")</f>
        <v/>
      </c>
      <c r="Q966" s="7" t="n">
        <v>45549.58054398148</v>
      </c>
      <c r="R966" s="3" t="inlineStr">
        <is>
          <t>417.23</t>
        </is>
      </c>
      <c r="S966" t="inlineStr">
        <is>
          <t>Köln</t>
        </is>
      </c>
    </row>
    <row r="967">
      <c r="A967" s="2" t="n">
        <v>4.7</v>
      </c>
      <c r="B967" t="inlineStr">
        <is>
          <t>Severne Blade</t>
        </is>
      </c>
      <c r="C967" s="3" t="inlineStr"/>
      <c r="D967" s="3" t="inlineStr"/>
      <c r="E967" t="inlineStr"/>
      <c r="F967" t="inlineStr"/>
      <c r="G967" t="inlineStr">
        <is>
          <t>used</t>
        </is>
      </c>
      <c r="H967" s="4" t="n">
        <v>120</v>
      </c>
      <c r="I967" t="inlineStr"/>
      <c r="J967" t="inlineStr">
        <is>
          <t>25336 Schleswig-Holstein - Elmshorn</t>
        </is>
      </c>
      <c r="K967" s="5" t="n">
        <v>45053</v>
      </c>
      <c r="L967" t="inlineStr"/>
      <c r="M967" s="6">
        <f>HYPERLINK("https://www.kleinanzeigen.de/s-anzeige/severne-blade-4-7-qm/2435852802-230-19115", "Link")</f>
        <v/>
      </c>
      <c r="N967" s="6">
        <f>HYPERLINK("C:\Projects\Kleinanzeigen-Scraper\offer_images\2435852802", "Link")</f>
        <v/>
      </c>
      <c r="O967" t="inlineStr">
        <is>
          <t>Dirk Kamlah</t>
        </is>
      </c>
      <c r="P967" s="6">
        <f>HYPERLINK("https://www.kleinanzeigen.de/s-bestandsliste.html?userId=12306815", "Link")</f>
        <v/>
      </c>
      <c r="Q967" s="7" t="n">
        <v>45549.58049768519</v>
      </c>
      <c r="R967" s="3" t="inlineStr">
        <is>
          <t>361.17</t>
        </is>
      </c>
      <c r="S967" t="inlineStr">
        <is>
          <t>Köln</t>
        </is>
      </c>
    </row>
    <row r="968">
      <c r="A968" s="2" t="n">
        <v>7.6</v>
      </c>
      <c r="B968" t="inlineStr">
        <is>
          <t>Naish Indy</t>
        </is>
      </c>
      <c r="C968" s="3" t="inlineStr"/>
      <c r="D968" s="3" t="n">
        <v>208</v>
      </c>
      <c r="E968" t="inlineStr"/>
      <c r="F968" t="inlineStr"/>
      <c r="G968" t="inlineStr">
        <is>
          <t>new</t>
        </is>
      </c>
      <c r="H968" s="4" t="n">
        <v>139</v>
      </c>
      <c r="I968" t="inlineStr">
        <is>
          <t>VB</t>
        </is>
      </c>
      <c r="J968" t="inlineStr">
        <is>
          <t>83334 Bayern - Inzell</t>
        </is>
      </c>
      <c r="K968" s="5" t="n">
        <v>45476</v>
      </c>
      <c r="L968" t="inlineStr">
        <is>
          <t>Sold</t>
        </is>
      </c>
      <c r="M968" s="6">
        <f>HYPERLINK("https://www.kleinanzeigen.de/s-anzeige/-windsurfsegel-naish-indy-7-6-qm-top-/2802927805-230-5872", "Link")</f>
        <v/>
      </c>
      <c r="N968" s="6">
        <f>HYPERLINK("C:\Projects\Kleinanzeigen-Scraper\offer_images\2802927805", "Link")</f>
        <v/>
      </c>
      <c r="O968" t="inlineStr">
        <is>
          <t>F.M.</t>
        </is>
      </c>
      <c r="P968" s="6">
        <f>HYPERLINK("https://www.kleinanzeigen.de/s-bestandsliste.html?userId=2246892", "Link")</f>
        <v/>
      </c>
      <c r="Q968" s="7" t="n">
        <v>45549.58048611111</v>
      </c>
      <c r="R968" s="3" t="inlineStr">
        <is>
          <t>98.70</t>
        </is>
      </c>
      <c r="S968" t="inlineStr">
        <is>
          <t>München</t>
        </is>
      </c>
    </row>
    <row r="969">
      <c r="A969" s="2" t="n">
        <v>5</v>
      </c>
      <c r="B969" t="inlineStr">
        <is>
          <t>Neil Pryde NR</t>
        </is>
      </c>
      <c r="C969" s="3" t="n">
        <v>430</v>
      </c>
      <c r="D969" s="3" t="n">
        <v>170</v>
      </c>
      <c r="E969" t="inlineStr">
        <is>
          <t>Wave</t>
        </is>
      </c>
      <c r="F969" t="inlineStr"/>
      <c r="G969" t="inlineStr">
        <is>
          <t>used</t>
        </is>
      </c>
      <c r="H969" s="4" t="n">
        <v>1</v>
      </c>
      <c r="I969" t="inlineStr">
        <is>
          <t>VB</t>
        </is>
      </c>
      <c r="J969" t="inlineStr">
        <is>
          <t>52134 Nordrhein-Westfalen - Herzogenrath</t>
        </is>
      </c>
      <c r="K969" s="5" t="n">
        <v>45501</v>
      </c>
      <c r="L969" t="inlineStr">
        <is>
          <t>Sold</t>
        </is>
      </c>
      <c r="M969" s="6">
        <f>HYPERLINK("https://www.kleinanzeigen.de/s-anzeige/neil-pryde-neilpryde-nr-5-0-windsurf-segel-wave/2823116375-230-1712", "Link")</f>
        <v/>
      </c>
      <c r="N969" s="6">
        <f>HYPERLINK("C:\Projects\Kleinanzeigen-Scraper\offer_images\2823116375", "Link")</f>
        <v/>
      </c>
      <c r="O969" t="inlineStr">
        <is>
          <t>Heuschen</t>
        </is>
      </c>
      <c r="P969" s="6">
        <f>HYPERLINK("https://www.kleinanzeigen.de/s-bestandsliste.html?userId=26564711", "Link")</f>
        <v/>
      </c>
      <c r="Q969" s="7" t="n">
        <v>45549.58046296296</v>
      </c>
      <c r="R969" s="3" t="inlineStr">
        <is>
          <t>59.57</t>
        </is>
      </c>
      <c r="S969" t="inlineStr">
        <is>
          <t>Köln</t>
        </is>
      </c>
    </row>
    <row r="970">
      <c r="A970" s="2" t="n">
        <v>5.8</v>
      </c>
      <c r="B970" t="inlineStr">
        <is>
          <t>Gun Sails Beat</t>
        </is>
      </c>
      <c r="C970" s="3" t="inlineStr"/>
      <c r="D970" s="3" t="inlineStr"/>
      <c r="E970" t="inlineStr"/>
      <c r="F970" t="inlineStr"/>
      <c r="G970" t="inlineStr">
        <is>
          <t>used</t>
        </is>
      </c>
      <c r="H970" s="4" t="n">
        <v>250</v>
      </c>
      <c r="I970" t="inlineStr">
        <is>
          <t>VB</t>
        </is>
      </c>
      <c r="J970" t="inlineStr">
        <is>
          <t>26603 Niedersachsen - Aurich</t>
        </is>
      </c>
      <c r="K970" s="5" t="n">
        <v>45410</v>
      </c>
      <c r="L970" t="inlineStr"/>
      <c r="M970" s="6">
        <f>HYPERLINK("https://www.kleinanzeigen.de/s-anzeige/windsurfen-gun-sails-beat-5-8/2747874984-230-3032", "Link")</f>
        <v/>
      </c>
      <c r="N970" s="6">
        <f>HYPERLINK("C:\Projects\Kleinanzeigen-Scraper\offer_images\2747874984", "Link")</f>
        <v/>
      </c>
      <c r="O970" t="inlineStr">
        <is>
          <t>J. Sodeik</t>
        </is>
      </c>
      <c r="P970" s="6">
        <f>HYPERLINK("https://www.kleinanzeigen.de/s-bestandsliste.html?userId=16489469", "Link")</f>
        <v/>
      </c>
      <c r="Q970" s="7" t="n">
        <v>45549.58043981482</v>
      </c>
      <c r="R970" s="3" t="inlineStr">
        <is>
          <t>284.11</t>
        </is>
      </c>
      <c r="S970" t="inlineStr">
        <is>
          <t>Köln</t>
        </is>
      </c>
    </row>
    <row r="971">
      <c r="A971" s="2" t="n">
        <v>5.5</v>
      </c>
      <c r="B971" t="inlineStr">
        <is>
          <t>Severne Mach4</t>
        </is>
      </c>
      <c r="C971" s="3" t="n">
        <v>400</v>
      </c>
      <c r="D971" s="3" t="inlineStr"/>
      <c r="E971" t="inlineStr"/>
      <c r="F971" t="inlineStr"/>
      <c r="G971" t="inlineStr">
        <is>
          <t>used</t>
        </is>
      </c>
      <c r="H971" s="4" t="n">
        <v>333</v>
      </c>
      <c r="I971" t="inlineStr">
        <is>
          <t>VB</t>
        </is>
      </c>
      <c r="J971" t="inlineStr">
        <is>
          <t>18556 Mecklenburg-Vorpommern - Wiek</t>
        </is>
      </c>
      <c r="K971" s="5" t="n">
        <v>45543</v>
      </c>
      <c r="L971" t="inlineStr">
        <is>
          <t>Sold</t>
        </is>
      </c>
      <c r="M971" s="6">
        <f>HYPERLINK("https://www.kleinanzeigen.de/s-anzeige/severne-mach4-5-5m/2857335898-230-118", "Link")</f>
        <v/>
      </c>
      <c r="N971" s="6">
        <f>HYPERLINK("C:\Projects\Kleinanzeigen-Scraper\offer_images\2857335898", "Link")</f>
        <v/>
      </c>
      <c r="O971" t="inlineStr">
        <is>
          <t>Mario Müller</t>
        </is>
      </c>
      <c r="P971" s="6">
        <f>HYPERLINK("https://www.kleinanzeigen.de/s-bestandsliste.html?userId=8057059", "Link")</f>
        <v/>
      </c>
      <c r="Q971" s="7" t="n">
        <v>45549.58043981482</v>
      </c>
      <c r="R971" s="3" t="inlineStr">
        <is>
          <t>594.93</t>
        </is>
      </c>
      <c r="S971" t="inlineStr">
        <is>
          <t>Köln</t>
        </is>
      </c>
    </row>
    <row r="972">
      <c r="A972" s="2" t="n">
        <v>6.7</v>
      </c>
      <c r="B972" t="inlineStr">
        <is>
          <t>Gun Sails Rapid</t>
        </is>
      </c>
      <c r="C972" s="3" t="inlineStr"/>
      <c r="D972" s="3" t="inlineStr"/>
      <c r="E972" t="inlineStr"/>
      <c r="F972" t="inlineStr"/>
      <c r="G972" t="inlineStr">
        <is>
          <t>repaired</t>
        </is>
      </c>
      <c r="H972" s="4" t="n">
        <v>100</v>
      </c>
      <c r="I972" t="inlineStr">
        <is>
          <t>VB</t>
        </is>
      </c>
      <c r="J972" t="inlineStr">
        <is>
          <t>49196 Niedersachsen - Bad Laer</t>
        </is>
      </c>
      <c r="K972" s="5" t="n">
        <v>45500</v>
      </c>
      <c r="L972" t="inlineStr">
        <is>
          <t>Sold</t>
        </is>
      </c>
      <c r="M972" s="6">
        <f>HYPERLINK("https://www.kleinanzeigen.de/s-anzeige/gun-sails-rapid-6-7/2822510463-230-1633", "Link")</f>
        <v/>
      </c>
      <c r="N972" s="6">
        <f>HYPERLINK("C:\Projects\Kleinanzeigen-Scraper\offer_images\2822510463", "Link")</f>
        <v/>
      </c>
      <c r="O972" t="inlineStr">
        <is>
          <t>Aaron G</t>
        </is>
      </c>
      <c r="P972" s="6">
        <f>HYPERLINK("https://www.kleinanzeigen.de/s-bestandsliste.html?userId=74299464", "Link")</f>
        <v/>
      </c>
      <c r="Q972" s="7" t="n">
        <v>45549.58043981482</v>
      </c>
      <c r="R972" s="3" t="inlineStr">
        <is>
          <t>150.47</t>
        </is>
      </c>
      <c r="S972" t="inlineStr">
        <is>
          <t>Köln</t>
        </is>
      </c>
    </row>
    <row r="973">
      <c r="A973" s="2" t="n">
        <v>7.2</v>
      </c>
      <c r="B973" t="inlineStr">
        <is>
          <t>RRD Move</t>
        </is>
      </c>
      <c r="C973" s="3" t="n">
        <v>468</v>
      </c>
      <c r="D973" s="3" t="n">
        <v>203</v>
      </c>
      <c r="E973" t="inlineStr"/>
      <c r="F973" t="inlineStr"/>
      <c r="G973" t="inlineStr">
        <is>
          <t>used</t>
        </is>
      </c>
      <c r="H973" s="4" t="n">
        <v>185</v>
      </c>
      <c r="I973" t="inlineStr">
        <is>
          <t>VB</t>
        </is>
      </c>
      <c r="J973" t="inlineStr">
        <is>
          <t>33739 Bielefeld - Joellenbeck</t>
        </is>
      </c>
      <c r="K973" s="5" t="n">
        <v>45499</v>
      </c>
      <c r="L973" t="inlineStr"/>
      <c r="M973" s="6">
        <f>HYPERLINK("https://www.kleinanzeigen.de/s-anzeige/windsurfsegel-rrd-7-2/2821745261-230-1073", "Link")</f>
        <v/>
      </c>
      <c r="N973" s="6">
        <f>HYPERLINK("C:\Projects\Kleinanzeigen-Scraper\offer_images\2821745261", "Link")</f>
        <v/>
      </c>
      <c r="O973" t="inlineStr">
        <is>
          <t>Michael</t>
        </is>
      </c>
      <c r="P973" s="6">
        <f>HYPERLINK("https://www.kleinanzeigen.de/s-bestandsliste.html?userId=25740551", "Link")</f>
        <v/>
      </c>
      <c r="Q973" s="7" t="n">
        <v>45549.58040509259</v>
      </c>
      <c r="R973" s="3" t="inlineStr">
        <is>
          <t>167.67</t>
        </is>
      </c>
      <c r="S973" t="inlineStr">
        <is>
          <t>Köln</t>
        </is>
      </c>
    </row>
    <row r="974">
      <c r="A974" s="2" t="n">
        <v>5.6</v>
      </c>
      <c r="B974" t="inlineStr">
        <is>
          <t>Sailloft Ultimate</t>
        </is>
      </c>
      <c r="C974" s="3" t="inlineStr"/>
      <c r="D974" s="3" t="inlineStr"/>
      <c r="E974" t="inlineStr">
        <is>
          <t>Slalom</t>
        </is>
      </c>
      <c r="F974" t="inlineStr">
        <is>
          <t>2018</t>
        </is>
      </c>
      <c r="G974" t="inlineStr">
        <is>
          <t>used</t>
        </is>
      </c>
      <c r="H974" s="4" t="n">
        <v>200</v>
      </c>
      <c r="I974" t="inlineStr">
        <is>
          <t>VB</t>
        </is>
      </c>
      <c r="J974" t="inlineStr">
        <is>
          <t>22459 Eimsbüttel - Hamburg Niendorf</t>
        </is>
      </c>
      <c r="K974" s="5" t="n">
        <v>45477</v>
      </c>
      <c r="L974" t="inlineStr"/>
      <c r="M974" s="6">
        <f>HYPERLINK("https://www.kleinanzeigen.de/s-anzeige/sailloft-ultimate-5-6m-2018-slalomsegel/2804207367-230-16475", "Link")</f>
        <v/>
      </c>
      <c r="N974" s="6">
        <f>HYPERLINK("C:\Projects\Kleinanzeigen-Scraper\offer_images\2804207367", "Link")</f>
        <v/>
      </c>
      <c r="O974" t="inlineStr">
        <is>
          <t>Paul</t>
        </is>
      </c>
      <c r="P974" s="6">
        <f>HYPERLINK("https://www.kleinanzeigen.de/s-bestandsliste.html?userId=14853881", "Link")</f>
        <v/>
      </c>
      <c r="Q974" s="7" t="n">
        <v>45549.58040509259</v>
      </c>
      <c r="R974" s="3" t="inlineStr">
        <is>
          <t>361.89</t>
        </is>
      </c>
      <c r="S974" t="inlineStr">
        <is>
          <t>Köln</t>
        </is>
      </c>
    </row>
    <row r="975">
      <c r="A975" s="2" t="n">
        <v>5.7</v>
      </c>
      <c r="B975" t="inlineStr">
        <is>
          <t>Gun Sails Seal</t>
        </is>
      </c>
      <c r="C975" s="3" t="n">
        <v>428</v>
      </c>
      <c r="D975" s="3" t="n">
        <v>180</v>
      </c>
      <c r="E975" t="inlineStr"/>
      <c r="F975" t="inlineStr">
        <is>
          <t>2021</t>
        </is>
      </c>
      <c r="G975" t="inlineStr">
        <is>
          <t>used</t>
        </is>
      </c>
      <c r="H975" s="4" t="n">
        <v>200</v>
      </c>
      <c r="I975" t="inlineStr"/>
      <c r="J975" t="inlineStr">
        <is>
          <t>25899 Nordfriesland - Niebüll</t>
        </is>
      </c>
      <c r="K975" s="5" t="n">
        <v>45499</v>
      </c>
      <c r="L975" t="inlineStr">
        <is>
          <t>Sold</t>
        </is>
      </c>
      <c r="M975" s="6">
        <f>HYPERLINK("https://www.kleinanzeigen.de/s-anzeige/gun-sails-seal-5-7-qm/2821925812-230-12892", "Link")</f>
        <v/>
      </c>
      <c r="N975" s="6">
        <f>HYPERLINK("C:\Projects\Kleinanzeigen-Scraper\offer_images\2821925812", "Link")</f>
        <v/>
      </c>
      <c r="O975" t="inlineStr">
        <is>
          <t>Mommsen</t>
        </is>
      </c>
      <c r="P975" s="6">
        <f>HYPERLINK("https://www.kleinanzeigen.de/s-bestandsliste.html?userId=27889810", "Link")</f>
        <v/>
      </c>
      <c r="Q975" s="7" t="n">
        <v>45549.58033564815</v>
      </c>
      <c r="R975" s="3" t="inlineStr">
        <is>
          <t>441.17</t>
        </is>
      </c>
      <c r="S975" t="inlineStr">
        <is>
          <t>Köln</t>
        </is>
      </c>
    </row>
    <row r="976">
      <c r="A976" s="2" t="n">
        <v>4.5</v>
      </c>
      <c r="B976" t="inlineStr">
        <is>
          <t>Gun Sails Top Wave</t>
        </is>
      </c>
      <c r="C976" s="3" t="n">
        <v>400</v>
      </c>
      <c r="D976" s="3" t="n">
        <v>162</v>
      </c>
      <c r="E976" t="inlineStr"/>
      <c r="F976" t="inlineStr"/>
      <c r="G976" t="inlineStr">
        <is>
          <t>new</t>
        </is>
      </c>
      <c r="H976" s="4" t="inlineStr"/>
      <c r="I976" t="inlineStr">
        <is>
          <t>VB</t>
        </is>
      </c>
      <c r="J976" t="inlineStr">
        <is>
          <t>65462 Hessen - Ginsheim-Gustavsburg</t>
        </is>
      </c>
      <c r="K976" s="5" t="n">
        <v>45129</v>
      </c>
      <c r="L976" t="inlineStr">
        <is>
          <t>Sold</t>
        </is>
      </c>
      <c r="M976" s="6">
        <f>HYPERLINK("https://www.kleinanzeigen.de/s-anzeige/fabrikneu-gun-sails-top-wave-surfsegel/2499396794-230-4440", "Link")</f>
        <v/>
      </c>
      <c r="N976" s="6">
        <f>HYPERLINK("C:\Projects\Kleinanzeigen-Scraper\offer_images\2499396794", "Link")</f>
        <v/>
      </c>
      <c r="O976" t="inlineStr">
        <is>
          <t>D. Friese</t>
        </is>
      </c>
      <c r="P976" s="6">
        <f>HYPERLINK("https://www.kleinanzeigen.de/s-bestandsliste.html?userId=11101322", "Link")</f>
        <v/>
      </c>
      <c r="Q976" s="7" t="n">
        <v>45549.58033564815</v>
      </c>
      <c r="R976" s="3" t="inlineStr">
        <is>
          <t>109.79</t>
        </is>
      </c>
      <c r="S976" t="inlineStr">
        <is>
          <t>Karlsruhe</t>
        </is>
      </c>
    </row>
    <row r="977">
      <c r="A977" s="2" t="n">
        <v>5</v>
      </c>
      <c r="B977" t="inlineStr">
        <is>
          <t>Severne Blade Pro</t>
        </is>
      </c>
      <c r="C977" s="3" t="n">
        <v>400</v>
      </c>
      <c r="D977" s="3" t="n">
        <v>165</v>
      </c>
      <c r="E977" t="inlineStr"/>
      <c r="F977" t="inlineStr"/>
      <c r="G977" t="inlineStr">
        <is>
          <t>used</t>
        </is>
      </c>
      <c r="H977" s="4" t="n">
        <v>680</v>
      </c>
      <c r="I977" t="inlineStr"/>
      <c r="J977" t="inlineStr">
        <is>
          <t>20257 Eimsbüttel - Hamburg Eimsbüttel (Stadtteil)</t>
        </is>
      </c>
      <c r="K977" s="5" t="n">
        <v>45225</v>
      </c>
      <c r="L977" t="inlineStr"/>
      <c r="M977" s="6">
        <f>HYPERLINK("https://www.kleinanzeigen.de/s-anzeige/severne-blade-pro-5-0/2584070094-230-9429", "Link")</f>
        <v/>
      </c>
      <c r="N977" s="6">
        <f>HYPERLINK("C:\Projects\Kleinanzeigen-Scraper\offer_images\2584070094", "Link")</f>
        <v/>
      </c>
      <c r="O977" t="inlineStr">
        <is>
          <t>eckbert</t>
        </is>
      </c>
      <c r="P977" s="6">
        <f>HYPERLINK("https://www.kleinanzeigen.de/s-bestandsliste.html?userId=40296824", "Link")</f>
        <v/>
      </c>
      <c r="Q977" s="7" t="n">
        <v>45549.58032407407</v>
      </c>
      <c r="R977" s="3" t="inlineStr">
        <is>
          <t>356.84</t>
        </is>
      </c>
      <c r="S977" t="inlineStr">
        <is>
          <t>Köln</t>
        </is>
      </c>
    </row>
    <row r="978">
      <c r="A978" s="2" t="n">
        <v>4.7</v>
      </c>
      <c r="B978" t="inlineStr">
        <is>
          <t>North Duke</t>
        </is>
      </c>
      <c r="C978" s="3" t="inlineStr"/>
      <c r="D978" s="3" t="inlineStr"/>
      <c r="E978" t="inlineStr"/>
      <c r="F978" t="inlineStr"/>
      <c r="G978" t="inlineStr">
        <is>
          <t>damaged</t>
        </is>
      </c>
      <c r="H978" s="4" t="n">
        <v>25</v>
      </c>
      <c r="I978" t="inlineStr"/>
      <c r="J978" t="inlineStr">
        <is>
          <t>24118 Kiel - Ravensberg-Brunswik-Düsternbrook</t>
        </is>
      </c>
      <c r="K978" s="5" t="n">
        <v>45541</v>
      </c>
      <c r="L978" t="inlineStr">
        <is>
          <t>Sold</t>
        </is>
      </c>
      <c r="M978" s="6">
        <f>HYPERLINK("https://www.kleinanzeigen.de/s-anzeige/segel-north-duke-4-7-riss/2855716771-230-704", "Link")</f>
        <v/>
      </c>
      <c r="N978" s="6">
        <f>HYPERLINK("C:\Projects\Kleinanzeigen-Scraper\offer_images\2855716771", "Link")</f>
        <v/>
      </c>
      <c r="O978" t="inlineStr">
        <is>
          <t>Sarah</t>
        </is>
      </c>
      <c r="P978" s="6">
        <f>HYPERLINK("https://www.kleinanzeigen.de/s-bestandsliste.html?userId=9962094", "Link")</f>
        <v/>
      </c>
      <c r="Q978" s="7" t="n">
        <v>45549.5803125</v>
      </c>
      <c r="R978" s="3" t="inlineStr">
        <is>
          <t>434.29</t>
        </is>
      </c>
      <c r="S978" t="inlineStr">
        <is>
          <t>Köln</t>
        </is>
      </c>
    </row>
    <row r="979">
      <c r="A979" s="2" t="n">
        <v>9.4</v>
      </c>
      <c r="B979" t="inlineStr">
        <is>
          <t>Point-7 ACK</t>
        </is>
      </c>
      <c r="C979" s="3" t="n">
        <v>490</v>
      </c>
      <c r="D979" s="3" t="n">
        <v>234</v>
      </c>
      <c r="E979" t="inlineStr"/>
      <c r="F979" t="inlineStr"/>
      <c r="G979" t="inlineStr">
        <is>
          <t>used</t>
        </is>
      </c>
      <c r="H979" s="4" t="n">
        <v>440</v>
      </c>
      <c r="I979" t="inlineStr"/>
      <c r="J979" t="inlineStr">
        <is>
          <t>22047 Wandsbek - Gartenstadt</t>
        </is>
      </c>
      <c r="K979" s="5" t="n">
        <v>44736</v>
      </c>
      <c r="L979" t="inlineStr"/>
      <c r="M979" s="6">
        <f>HYPERLINK("https://www.kleinanzeigen.de/s-anzeige/point-7-ack-9-4-segel/2140507357-230-17622", "Link")</f>
        <v/>
      </c>
      <c r="N979" s="6">
        <f>HYPERLINK("C:\Projects\Kleinanzeigen-Scraper\offer_images\2140507357", "Link")</f>
        <v/>
      </c>
      <c r="O979" t="inlineStr">
        <is>
          <t>Susann</t>
        </is>
      </c>
      <c r="P979" s="6">
        <f>HYPERLINK("https://www.kleinanzeigen.de/s-bestandsliste.html?userId=1162786", "Link")</f>
        <v/>
      </c>
      <c r="Q979" s="7" t="n">
        <v>45549.5803125</v>
      </c>
      <c r="R979" s="3" t="inlineStr">
        <is>
          <t>364.13</t>
        </is>
      </c>
      <c r="S979" t="inlineStr">
        <is>
          <t>Köln</t>
        </is>
      </c>
    </row>
    <row r="980">
      <c r="A980" s="2" t="n">
        <v>4.2</v>
      </c>
      <c r="B980" t="inlineStr">
        <is>
          <t>Neil Pryde</t>
        </is>
      </c>
      <c r="C980" s="3" t="n">
        <v>370</v>
      </c>
      <c r="D980" s="3" t="n">
        <v>150</v>
      </c>
      <c r="E980" t="inlineStr"/>
      <c r="F980" t="inlineStr"/>
      <c r="G980" t="inlineStr">
        <is>
          <t>defective</t>
        </is>
      </c>
      <c r="H980" s="4" t="n">
        <v>55</v>
      </c>
      <c r="I980" t="inlineStr">
        <is>
          <t>VB</t>
        </is>
      </c>
      <c r="J980" t="inlineStr">
        <is>
          <t>86836 Bayern - Obermeitingen</t>
        </is>
      </c>
      <c r="K980" s="5" t="n">
        <v>45459</v>
      </c>
      <c r="L980" t="inlineStr"/>
      <c r="M980" s="6">
        <f>HYPERLINK("https://www.kleinanzeigen.de/s-anzeige/segel-windsurfen-np-neilpryde-4-2-defekt/2789561496-230-21620", "Link")</f>
        <v/>
      </c>
      <c r="N980" s="6">
        <f>HYPERLINK("C:\Projects\Kleinanzeigen-Scraper\offer_images\2789561496", "Link")</f>
        <v/>
      </c>
      <c r="O980" t="inlineStr">
        <is>
          <t>MB</t>
        </is>
      </c>
      <c r="P980" s="6">
        <f>HYPERLINK("https://www.kleinanzeigen.de/s-bestandsliste.html?userId=90855996", "Link")</f>
        <v/>
      </c>
      <c r="Q980" s="7" t="n">
        <v>45549.5803125</v>
      </c>
      <c r="R980" s="3" t="inlineStr">
        <is>
          <t>56.88</t>
        </is>
      </c>
      <c r="S980" t="inlineStr">
        <is>
          <t>München</t>
        </is>
      </c>
    </row>
    <row r="981">
      <c r="A981" s="2" t="n">
        <v>5.2</v>
      </c>
      <c r="B981" t="inlineStr">
        <is>
          <t>Vandal</t>
        </is>
      </c>
      <c r="C981" s="3" t="n">
        <v>412</v>
      </c>
      <c r="D981" s="3" t="n">
        <v>173</v>
      </c>
      <c r="E981" t="inlineStr"/>
      <c r="F981" t="inlineStr"/>
      <c r="G981" t="inlineStr">
        <is>
          <t>used</t>
        </is>
      </c>
      <c r="H981" s="4" t="n">
        <v>40</v>
      </c>
      <c r="I981" t="inlineStr">
        <is>
          <t>VB</t>
        </is>
      </c>
      <c r="J981" t="inlineStr">
        <is>
          <t>94137 Bayern - Bayerbach</t>
        </is>
      </c>
      <c r="K981" s="5" t="n">
        <v>45440</v>
      </c>
      <c r="L981" t="inlineStr">
        <is>
          <t>Sold</t>
        </is>
      </c>
      <c r="M981" s="6">
        <f>HYPERLINK("https://www.kleinanzeigen.de/s-anzeige/windsurfsegel-vandal-5-2/2773219111-230-5796", "Link")</f>
        <v/>
      </c>
      <c r="N981" s="6">
        <f>HYPERLINK("C:\Projects\Kleinanzeigen-Scraper\offer_images\2773219111", "Link")</f>
        <v/>
      </c>
      <c r="O981" t="inlineStr">
        <is>
          <t>jonas</t>
        </is>
      </c>
      <c r="P981" s="6">
        <f>HYPERLINK("https://www.kleinanzeigen.de/s-bestandsliste.html?userId=130273358", "Link")</f>
        <v/>
      </c>
      <c r="Q981" s="7" t="n">
        <v>45549.58028935185</v>
      </c>
      <c r="R981" s="3" t="inlineStr">
        <is>
          <t>120.19</t>
        </is>
      </c>
      <c r="S981" t="inlineStr">
        <is>
          <t>München</t>
        </is>
      </c>
    </row>
    <row r="982">
      <c r="A982" s="2" t="n">
        <v>7.7</v>
      </c>
      <c r="B982" t="inlineStr">
        <is>
          <t>Neilpryde Hornet</t>
        </is>
      </c>
      <c r="C982" s="3" t="n">
        <v>490</v>
      </c>
      <c r="D982" s="3" t="n">
        <v>203</v>
      </c>
      <c r="E982" t="inlineStr"/>
      <c r="F982" t="inlineStr"/>
      <c r="G982" t="inlineStr">
        <is>
          <t>used</t>
        </is>
      </c>
      <c r="H982" s="4" t="n">
        <v>300</v>
      </c>
      <c r="I982" t="inlineStr"/>
      <c r="J982" t="inlineStr">
        <is>
          <t>04279 Leipzig - Dölitz-Dösen</t>
        </is>
      </c>
      <c r="K982" s="5" t="n">
        <v>45467</v>
      </c>
      <c r="L982" t="inlineStr"/>
      <c r="M982" s="6">
        <f>HYPERLINK("https://www.kleinanzeigen.de/s-anzeige/neilpryde-hornet-7-7-surfen-segel-no-north-gastra-gun-sailloft/2795999559-230-4264", "Link")</f>
        <v/>
      </c>
      <c r="N982" s="6">
        <f>HYPERLINK("C:\Projects\Kleinanzeigen-Scraper\offer_images\2795999559", "Link")</f>
        <v/>
      </c>
      <c r="O982" t="inlineStr">
        <is>
          <t>Sammler</t>
        </is>
      </c>
      <c r="P982" s="6">
        <f>HYPERLINK("https://www.kleinanzeigen.de/s-bestandsliste.html?userId=23034636", "Link")</f>
        <v/>
      </c>
      <c r="Q982" s="7" t="n">
        <v>45549.58028935185</v>
      </c>
      <c r="R982" s="3" t="inlineStr">
        <is>
          <t>356.18</t>
        </is>
      </c>
      <c r="S982" t="inlineStr">
        <is>
          <t>München</t>
        </is>
      </c>
    </row>
    <row r="983">
      <c r="A983" s="2" t="n">
        <v>4.7</v>
      </c>
      <c r="B983" t="inlineStr">
        <is>
          <t>Simmer Style</t>
        </is>
      </c>
      <c r="C983" s="3" t="n">
        <v>417</v>
      </c>
      <c r="D983" s="3" t="n">
        <v>162</v>
      </c>
      <c r="E983" t="inlineStr"/>
      <c r="F983" t="inlineStr"/>
      <c r="G983" t="inlineStr">
        <is>
          <t>repaired</t>
        </is>
      </c>
      <c r="H983" s="4" t="n">
        <v>50</v>
      </c>
      <c r="I983" t="inlineStr"/>
      <c r="J983" t="inlineStr">
        <is>
          <t>24582 Schleswig-Holstein - Wattenbek</t>
        </is>
      </c>
      <c r="K983" s="5" t="n">
        <v>45542</v>
      </c>
      <c r="L983" t="inlineStr"/>
      <c r="M983" s="6">
        <f>HYPERLINK("https://www.kleinanzeigen.de/s-anzeige/simmer-segel-4-7-m2-gebraucht/2856446259-230-469", "Link")</f>
        <v/>
      </c>
      <c r="N983" s="6">
        <f>HYPERLINK("C:\Projects\Kleinanzeigen-Scraper\offer_images\2856446259", "Link")</f>
        <v/>
      </c>
      <c r="O983" t="inlineStr">
        <is>
          <t>um</t>
        </is>
      </c>
      <c r="P983" s="6">
        <f>HYPERLINK("https://www.kleinanzeigen.de/s-bestandsliste.html?userId=3564382", "Link")</f>
        <v/>
      </c>
      <c r="Q983" s="7" t="n">
        <v>45549.58028935185</v>
      </c>
      <c r="R983" s="3" t="inlineStr">
        <is>
          <t>413.93</t>
        </is>
      </c>
      <c r="S983" t="inlineStr">
        <is>
          <t>Köln</t>
        </is>
      </c>
    </row>
    <row r="984">
      <c r="A984" s="2" t="n">
        <v>4.4</v>
      </c>
      <c r="B984" t="inlineStr">
        <is>
          <t>Severne</t>
        </is>
      </c>
      <c r="C984" s="3" t="inlineStr"/>
      <c r="D984" s="3" t="inlineStr"/>
      <c r="E984" t="inlineStr">
        <is>
          <t>Freestyle</t>
        </is>
      </c>
      <c r="F984" t="inlineStr"/>
      <c r="G984" t="inlineStr">
        <is>
          <t>used</t>
        </is>
      </c>
      <c r="H984" s="4" t="n">
        <v>210</v>
      </c>
      <c r="I984" t="inlineStr"/>
      <c r="J984" t="inlineStr">
        <is>
          <t>25335 Kreis Pinneberg - Elmshorn</t>
        </is>
      </c>
      <c r="K984" s="5" t="n">
        <v>45528</v>
      </c>
      <c r="L984" t="inlineStr"/>
      <c r="M984" s="6">
        <f>HYPERLINK("https://www.kleinanzeigen.de/s-anzeige/severne-segel-4-4/2844784622-230-877", "Link")</f>
        <v/>
      </c>
      <c r="N984" s="6">
        <f>HYPERLINK("C:\Projects\Kleinanzeigen-Scraper\offer_images\2844784622", "Link")</f>
        <v/>
      </c>
      <c r="O984" t="inlineStr">
        <is>
          <t>Stefan Groth</t>
        </is>
      </c>
      <c r="P984" s="6">
        <f>HYPERLINK("https://www.kleinanzeigen.de/s-bestandsliste.html?userId=78836532", "Link")</f>
        <v/>
      </c>
      <c r="Q984" s="7" t="n">
        <v>45549.5802662037</v>
      </c>
      <c r="R984" s="3" t="inlineStr">
        <is>
          <t>361.16</t>
        </is>
      </c>
      <c r="S984" t="inlineStr">
        <is>
          <t>Köln</t>
        </is>
      </c>
    </row>
    <row r="985">
      <c r="A985" s="2" t="inlineStr"/>
      <c r="B985" t="inlineStr">
        <is>
          <t>North Sails Orbital</t>
        </is>
      </c>
      <c r="C985" s="3" t="n">
        <v>360</v>
      </c>
      <c r="D985" s="3" t="n">
        <v>140</v>
      </c>
      <c r="E985" t="inlineStr"/>
      <c r="F985" t="inlineStr"/>
      <c r="G985" t="inlineStr">
        <is>
          <t>new</t>
        </is>
      </c>
      <c r="H985" s="4" t="inlineStr">
        <is>
          <t>Zu verschenken</t>
        </is>
      </c>
      <c r="I985" t="inlineStr"/>
      <c r="J985" t="inlineStr">
        <is>
          <t>85296 Bayern - Rohrbach</t>
        </is>
      </c>
      <c r="K985" s="5" t="n">
        <v>45542</v>
      </c>
      <c r="L985" t="inlineStr">
        <is>
          <t>Sold</t>
        </is>
      </c>
      <c r="M985" s="6">
        <f>HYPERLINK("https://www.kleinanzeigen.de/s-anzeige/north-sails-wavesegel-orbital/2856371676-230-5841", "Link")</f>
        <v/>
      </c>
      <c r="N985" s="6">
        <f>HYPERLINK("C:\Projects\Kleinanzeigen-Scraper\offer_images\2856371676", "Link")</f>
        <v/>
      </c>
      <c r="O985" t="inlineStr">
        <is>
          <t>Riedel</t>
        </is>
      </c>
      <c r="P985" s="6">
        <f>HYPERLINK("https://www.kleinanzeigen.de/s-bestandsliste.html?userId=43315081", "Link")</f>
        <v/>
      </c>
      <c r="Q985" s="7" t="n">
        <v>45549.5802662037</v>
      </c>
      <c r="R985" s="3" t="inlineStr">
        <is>
          <t>52.40</t>
        </is>
      </c>
      <c r="S985" t="inlineStr">
        <is>
          <t>München</t>
        </is>
      </c>
    </row>
    <row r="986">
      <c r="A986" s="2" t="n">
        <v>7.8</v>
      </c>
      <c r="B986" t="inlineStr">
        <is>
          <t>Severne Overdrive M4</t>
        </is>
      </c>
      <c r="C986" s="3" t="inlineStr"/>
      <c r="D986" s="3" t="inlineStr"/>
      <c r="E986" t="inlineStr"/>
      <c r="F986" t="inlineStr"/>
      <c r="G986" t="inlineStr">
        <is>
          <t>used</t>
        </is>
      </c>
      <c r="H986" s="4" t="n">
        <v>350</v>
      </c>
      <c r="I986" t="inlineStr"/>
      <c r="J986" t="inlineStr">
        <is>
          <t>78467 Baden-Württemberg - Konstanz</t>
        </is>
      </c>
      <c r="K986" s="5" t="n">
        <v>45484</v>
      </c>
      <c r="L986" t="inlineStr">
        <is>
          <t>Sold</t>
        </is>
      </c>
      <c r="M986" s="6">
        <f>HYPERLINK("https://www.kleinanzeigen.de/s-anzeige/severne-overdrive-m4-7-8-qm/2788972824-230-9389", "Link")</f>
        <v/>
      </c>
      <c r="N986" s="6">
        <f>HYPERLINK("C:\Projects\Kleinanzeigen-Scraper\offer_images\2788972824", "Link")</f>
        <v/>
      </c>
      <c r="O986" t="inlineStr">
        <is>
          <t>Mark</t>
        </is>
      </c>
      <c r="P986" s="6">
        <f>HYPERLINK("https://www.kleinanzeigen.de/s-bestandsliste.html?userId=79450285", "Link")</f>
        <v/>
      </c>
      <c r="Q986" s="7" t="n">
        <v>45549.58024305556</v>
      </c>
      <c r="R986" s="3" t="inlineStr">
        <is>
          <t>62.51</t>
        </is>
      </c>
      <c r="S986" t="inlineStr">
        <is>
          <t>Bonndorf</t>
        </is>
      </c>
    </row>
    <row r="987">
      <c r="A987" s="2" t="n">
        <v>4.4</v>
      </c>
      <c r="B987" t="inlineStr">
        <is>
          <t>Severne S1</t>
        </is>
      </c>
      <c r="C987" s="3" t="n">
        <v>370</v>
      </c>
      <c r="D987" s="3" t="n">
        <v>153</v>
      </c>
      <c r="E987" t="inlineStr">
        <is>
          <t>Wave</t>
        </is>
      </c>
      <c r="F987" t="inlineStr">
        <is>
          <t>2024</t>
        </is>
      </c>
      <c r="G987" t="inlineStr">
        <is>
          <t>repaired</t>
        </is>
      </c>
      <c r="H987" s="4" t="n">
        <v>490</v>
      </c>
      <c r="I987" t="inlineStr"/>
      <c r="J987" t="inlineStr">
        <is>
          <t>21279 Niedersachsen - Hollenstedt</t>
        </is>
      </c>
      <c r="K987" s="5" t="n">
        <v>45466</v>
      </c>
      <c r="L987" t="inlineStr"/>
      <c r="M987" s="6">
        <f>HYPERLINK("https://www.kleinanzeigen.de/s-anzeige/severne-s1-4-4m-aus-2024-gebraucht-/2795735363-230-19107", "Link")</f>
        <v/>
      </c>
      <c r="N987" s="6">
        <f>HYPERLINK("C:\Projects\Kleinanzeigen-Scraper\offer_images\2795735363", "Link")</f>
        <v/>
      </c>
      <c r="O987" t="inlineStr">
        <is>
          <t>UW</t>
        </is>
      </c>
      <c r="P987" s="6">
        <f>HYPERLINK("https://www.kleinanzeigen.de/s-bestandsliste.html?userId=17922651", "Link")</f>
        <v/>
      </c>
      <c r="Q987" s="7" t="n">
        <v>45549.58024305556</v>
      </c>
      <c r="R987" s="3" t="inlineStr">
        <is>
          <t>330.60</t>
        </is>
      </c>
      <c r="S987" t="inlineStr">
        <is>
          <t>Köln</t>
        </is>
      </c>
    </row>
    <row r="988">
      <c r="A988" s="2" t="n">
        <v>5</v>
      </c>
      <c r="B988" t="inlineStr">
        <is>
          <t>North Nova Pro</t>
        </is>
      </c>
      <c r="C988" s="3" t="inlineStr"/>
      <c r="D988" s="3" t="inlineStr"/>
      <c r="E988" t="inlineStr"/>
      <c r="F988" t="inlineStr">
        <is>
          <t>2024</t>
        </is>
      </c>
      <c r="G988" t="inlineStr">
        <is>
          <t>used</t>
        </is>
      </c>
      <c r="H988" s="4" t="n">
        <v>1</v>
      </c>
      <c r="I988" t="inlineStr"/>
      <c r="J988" t="inlineStr">
        <is>
          <t>14979 Brandenburg - Großbeeren</t>
        </is>
      </c>
      <c r="K988" s="5" t="n">
        <v>45546</v>
      </c>
      <c r="L988" t="inlineStr">
        <is>
          <t>Sold</t>
        </is>
      </c>
      <c r="M988" s="6">
        <f>HYPERLINK("https://www.kleinanzeigen.de/s-anzeige/north-nova-pro-2024-5-0-tipp-topp/2860465959-230-7940", "Link")</f>
        <v/>
      </c>
      <c r="N988" s="6">
        <f>HYPERLINK("C:\Projects\Kleinanzeigen-Scraper\offer_images\2860465959", "Link")</f>
        <v/>
      </c>
      <c r="O988" t="inlineStr">
        <is>
          <t>Sebastian</t>
        </is>
      </c>
      <c r="P988" s="6">
        <f>HYPERLINK("https://www.kleinanzeigen.de/s-bestandsliste.html?userId=4452577", "Link")</f>
        <v/>
      </c>
      <c r="Q988" s="7" t="n">
        <v>45549.58021990741</v>
      </c>
      <c r="R988" s="3" t="inlineStr">
        <is>
          <t>466.66</t>
        </is>
      </c>
      <c r="S988" t="inlineStr">
        <is>
          <t>Köln</t>
        </is>
      </c>
    </row>
    <row r="989">
      <c r="A989" s="2" t="n">
        <v>4.2</v>
      </c>
      <c r="B989" t="inlineStr">
        <is>
          <t>Goya Banzai</t>
        </is>
      </c>
      <c r="C989" s="3" t="inlineStr"/>
      <c r="D989" s="3" t="inlineStr"/>
      <c r="E989" t="inlineStr"/>
      <c r="F989" t="inlineStr"/>
      <c r="G989" t="inlineStr">
        <is>
          <t>used</t>
        </is>
      </c>
      <c r="H989" s="4" t="n">
        <v>90</v>
      </c>
      <c r="I989" t="inlineStr"/>
      <c r="J989" t="inlineStr">
        <is>
          <t>22083 Hamburg Barmbek - Hamburg Barmbek-Süd</t>
        </is>
      </c>
      <c r="K989" s="5" t="n">
        <v>45544</v>
      </c>
      <c r="L989" t="inlineStr"/>
      <c r="M989" s="6">
        <f>HYPERLINK("https://www.kleinanzeigen.de/s-anzeige/goya-banzai-4-2-wave-segel/2858222616-230-9485", "Link")</f>
        <v/>
      </c>
      <c r="N989" s="6">
        <f>HYPERLINK("C:\Projects\Kleinanzeigen-Scraper\offer_images\2858222616", "Link")</f>
        <v/>
      </c>
      <c r="O989" t="inlineStr">
        <is>
          <t>Bruno</t>
        </is>
      </c>
      <c r="P989" s="6">
        <f>HYPERLINK("https://www.kleinanzeigen.de/s-bestandsliste.html?userId=4338008", "Link")</f>
        <v/>
      </c>
      <c r="Q989" s="7" t="n">
        <v>45549.58019675926</v>
      </c>
      <c r="R989" s="3" t="inlineStr">
        <is>
          <t>360.58</t>
        </is>
      </c>
      <c r="S989" t="inlineStr">
        <is>
          <t>Köln</t>
        </is>
      </c>
    </row>
    <row r="990">
      <c r="A990" s="2" t="n">
        <v>5</v>
      </c>
      <c r="B990" t="inlineStr">
        <is>
          <t>North Duotone Natural</t>
        </is>
      </c>
      <c r="C990" s="3" t="inlineStr"/>
      <c r="D990" s="3" t="inlineStr"/>
      <c r="E990" t="inlineStr">
        <is>
          <t>Freeride</t>
        </is>
      </c>
      <c r="F990" t="inlineStr"/>
      <c r="G990" t="inlineStr">
        <is>
          <t>used</t>
        </is>
      </c>
      <c r="H990" s="4" t="n">
        <v>100</v>
      </c>
      <c r="I990" t="inlineStr"/>
      <c r="J990" t="inlineStr">
        <is>
          <t>24975 Schleswig-Holstein - Maasbüll</t>
        </is>
      </c>
      <c r="K990" s="5" t="n">
        <v>45540</v>
      </c>
      <c r="L990" t="inlineStr">
        <is>
          <t>Sold</t>
        </is>
      </c>
      <c r="M990" s="6">
        <f>HYPERLINK("https://www.kleinanzeigen.de/s-anzeige/surfsegel-north-duotone-natural-5-0qm/2854736728-230-725", "Link")</f>
        <v/>
      </c>
      <c r="N990" s="6">
        <f>HYPERLINK("C:\Projects\Kleinanzeigen-Scraper\offer_images\2854736728", "Link")</f>
        <v/>
      </c>
      <c r="O990" t="inlineStr">
        <is>
          <t>Tom Swane</t>
        </is>
      </c>
      <c r="P990" s="6">
        <f>HYPERLINK("https://www.kleinanzeigen.de/s-bestandsliste.html?userId=8423221", "Link")</f>
        <v/>
      </c>
      <c r="Q990" s="7" t="n">
        <v>45549.58017361111</v>
      </c>
      <c r="R990" s="3" t="inlineStr">
        <is>
          <t>458.46</t>
        </is>
      </c>
      <c r="S990" t="inlineStr">
        <is>
          <t>Köln</t>
        </is>
      </c>
    </row>
    <row r="991">
      <c r="A991" s="2" t="n">
        <v>5.3</v>
      </c>
      <c r="B991" t="inlineStr">
        <is>
          <t>Simmer Wave</t>
        </is>
      </c>
      <c r="C991" s="3" t="inlineStr"/>
      <c r="D991" s="3" t="inlineStr"/>
      <c r="E991" t="inlineStr"/>
      <c r="F991" t="inlineStr"/>
      <c r="G991" t="inlineStr">
        <is>
          <t>used</t>
        </is>
      </c>
      <c r="H991" s="4" t="n">
        <v>40</v>
      </c>
      <c r="I991" t="inlineStr">
        <is>
          <t>VB</t>
        </is>
      </c>
      <c r="J991" t="inlineStr">
        <is>
          <t>47506 Nordrhein-Westfalen - Neukirchen-Vluyn</t>
        </is>
      </c>
      <c r="K991" s="5" t="n">
        <v>45544</v>
      </c>
      <c r="L991" t="inlineStr"/>
      <c r="M991" s="6">
        <f>HYPERLINK("https://www.kleinanzeigen.de/s-anzeige/surfsegel-simmer-wave-5-3-quadratmeter/2858420667-230-1128", "Link")</f>
        <v/>
      </c>
      <c r="N991" s="6">
        <f>HYPERLINK("C:\Projects\Kleinanzeigen-Scraper\offer_images\2858420667", "Link")</f>
        <v/>
      </c>
      <c r="O991" t="inlineStr">
        <is>
          <t>Reinhold Bergmann</t>
        </is>
      </c>
      <c r="P991" s="6">
        <f>HYPERLINK("https://www.kleinanzeigen.de/s-bestandsliste.html?userId=3033626", "Link")</f>
        <v/>
      </c>
      <c r="Q991" s="7" t="n">
        <v>45549.58012731482</v>
      </c>
      <c r="R991" s="3" t="inlineStr">
        <is>
          <t>63.19</t>
        </is>
      </c>
      <c r="S991" t="inlineStr">
        <is>
          <t>Köln</t>
        </is>
      </c>
    </row>
    <row r="992">
      <c r="A992" s="2" t="n">
        <v>5.2</v>
      </c>
      <c r="B992" t="inlineStr">
        <is>
          <t>Sailloft Quad</t>
        </is>
      </c>
      <c r="C992" s="3" t="n">
        <v>4.24</v>
      </c>
      <c r="D992" s="3" t="n">
        <v>1.67</v>
      </c>
      <c r="E992" t="inlineStr"/>
      <c r="F992" t="inlineStr"/>
      <c r="G992" t="inlineStr">
        <is>
          <t>repaired</t>
        </is>
      </c>
      <c r="H992" s="4" t="n">
        <v>110</v>
      </c>
      <c r="I992" t="inlineStr"/>
      <c r="J992" t="inlineStr">
        <is>
          <t>23769 Kreis Ostholstein - Fehmarn</t>
        </is>
      </c>
      <c r="K992" s="5" t="n">
        <v>45484</v>
      </c>
      <c r="L992" t="inlineStr"/>
      <c r="M992" s="6">
        <f>HYPERLINK("https://www.kleinanzeigen.de/s-anzeige/windsurfsegel-sailloft-quad-segel-5-2-qm/2809657454-230-19951", "Link")</f>
        <v/>
      </c>
      <c r="N992" s="6">
        <f>HYPERLINK("C:\Projects\Kleinanzeigen-Scraper\offer_images\2809657454", "Link")</f>
        <v/>
      </c>
      <c r="O992" t="inlineStr">
        <is>
          <t>Kai</t>
        </is>
      </c>
      <c r="P992" s="6">
        <f>HYPERLINK("https://www.kleinanzeigen.de/s-bestandsliste.html?userId=12415591", "Link")</f>
        <v/>
      </c>
      <c r="Q992" s="7" t="n">
        <v>45549.58011574074</v>
      </c>
      <c r="R992" s="3" t="inlineStr">
        <is>
          <t>483.01</t>
        </is>
      </c>
      <c r="S992" t="inlineStr">
        <is>
          <t>Köln</t>
        </is>
      </c>
    </row>
    <row r="993">
      <c r="A993" s="2" t="n">
        <v>4.4</v>
      </c>
      <c r="B993" t="inlineStr">
        <is>
          <t>Roberto Ricci (RRD) Style Pro MK7</t>
        </is>
      </c>
      <c r="C993" s="3" t="inlineStr"/>
      <c r="D993" s="3" t="inlineStr">
        <is>
          <t>156-175</t>
        </is>
      </c>
      <c r="E993" t="inlineStr"/>
      <c r="F993" t="inlineStr">
        <is>
          <t>2019</t>
        </is>
      </c>
      <c r="G993" t="inlineStr">
        <is>
          <t>used</t>
        </is>
      </c>
      <c r="H993" s="4" t="n">
        <v>45</v>
      </c>
      <c r="I993" t="inlineStr">
        <is>
          <t>VB</t>
        </is>
      </c>
      <c r="J993" t="inlineStr">
        <is>
          <t>82439 Bayern - Großweil</t>
        </is>
      </c>
      <c r="K993" s="5" t="n">
        <v>45201</v>
      </c>
      <c r="L993" t="inlineStr"/>
      <c r="M993" s="6">
        <f>HYPERLINK("https://www.kleinanzeigen.de/s-anzeige/windsurfsegel-4-4-qm-roberto-ricci-rrd-style-pro-mk7/2560772372-230-5606", "Link")</f>
        <v/>
      </c>
      <c r="N993" s="6">
        <f>HYPERLINK("C:\Projects\Kleinanzeigen-Scraper\offer_images\2560772372", "Link")</f>
        <v/>
      </c>
      <c r="O993" t="inlineStr">
        <is>
          <t>Christian</t>
        </is>
      </c>
      <c r="P993" s="6">
        <f>HYPERLINK("https://www.kleinanzeigen.de/s-bestandsliste.html?userId=79578998", "Link")</f>
        <v/>
      </c>
      <c r="Q993" s="7" t="n">
        <v>45549.58011574074</v>
      </c>
      <c r="R993" s="3" t="inlineStr">
        <is>
          <t>53.43</t>
        </is>
      </c>
      <c r="S993" t="inlineStr">
        <is>
          <t>München</t>
        </is>
      </c>
    </row>
    <row r="994">
      <c r="A994" s="2" t="n">
        <v>5.3</v>
      </c>
      <c r="B994" t="inlineStr">
        <is>
          <t>Simmer Icon</t>
        </is>
      </c>
      <c r="C994" s="3" t="n">
        <v>400</v>
      </c>
      <c r="D994" s="3" t="n">
        <v>416</v>
      </c>
      <c r="E994" t="inlineStr"/>
      <c r="F994" t="inlineStr"/>
      <c r="G994" t="inlineStr">
        <is>
          <t>used</t>
        </is>
      </c>
      <c r="H994" s="4" t="n">
        <v>200</v>
      </c>
      <c r="I994" t="inlineStr">
        <is>
          <t>VB</t>
        </is>
      </c>
      <c r="J994" t="inlineStr">
        <is>
          <t>44789 Bochum - Bochum-Süd</t>
        </is>
      </c>
      <c r="K994" s="5" t="n">
        <v>45529</v>
      </c>
      <c r="L994" t="inlineStr"/>
      <c r="M994" s="6">
        <f>HYPERLINK("https://www.kleinanzeigen.de/s-anzeige/simmer-icon-5-3-windsurf-segel/2845524484-230-1945", "Link")</f>
        <v/>
      </c>
      <c r="N994" s="6">
        <f>HYPERLINK("C:\Projects\Kleinanzeigen-Scraper\offer_images\2845524484", "Link")</f>
        <v/>
      </c>
      <c r="O994" t="inlineStr">
        <is>
          <t>Chris</t>
        </is>
      </c>
      <c r="P994" s="6">
        <f>HYPERLINK("https://www.kleinanzeigen.de/s-bestandsliste.html?userId=14084867", "Link")</f>
        <v/>
      </c>
      <c r="Q994" s="7" t="n">
        <v>45549.58009259259</v>
      </c>
      <c r="R994" s="3" t="inlineStr">
        <is>
          <t>61.88</t>
        </is>
      </c>
      <c r="S994" t="inlineStr">
        <is>
          <t>Köln</t>
        </is>
      </c>
    </row>
    <row r="995">
      <c r="A995" s="2" t="n">
        <v>7</v>
      </c>
      <c r="B995" t="inlineStr">
        <is>
          <t>NeilPryde Ryde HD</t>
        </is>
      </c>
      <c r="C995" s="3" t="inlineStr"/>
      <c r="D995" s="3" t="inlineStr"/>
      <c r="E995" t="inlineStr"/>
      <c r="F995" t="inlineStr"/>
      <c r="G995" t="inlineStr">
        <is>
          <t>used</t>
        </is>
      </c>
      <c r="H995" s="4" t="n">
        <v>250</v>
      </c>
      <c r="I995" t="inlineStr">
        <is>
          <t>VB</t>
        </is>
      </c>
      <c r="J995" t="inlineStr">
        <is>
          <t>38100 Niedersachsen - Braunschweig</t>
        </is>
      </c>
      <c r="K995" s="5" t="n">
        <v>45515</v>
      </c>
      <c r="L995" t="inlineStr"/>
      <c r="M995" s="6">
        <f>HYPERLINK("https://www.kleinanzeigen.de/s-anzeige/neilpryde-ryde-hd-7-0/2834843698-230-2462", "Link")</f>
        <v/>
      </c>
      <c r="N995" s="6">
        <f>HYPERLINK("C:\Projects\Kleinanzeigen-Scraper\offer_images\2834843698", "Link")</f>
        <v/>
      </c>
      <c r="O995" t="inlineStr">
        <is>
          <t>Patrice</t>
        </is>
      </c>
      <c r="P995" s="6">
        <f>HYPERLINK("https://www.kleinanzeigen.de/s-bestandsliste.html?userId=16234121", "Link")</f>
        <v/>
      </c>
      <c r="Q995" s="7" t="n">
        <v>45549.58009259259</v>
      </c>
      <c r="R995" s="3" t="inlineStr">
        <is>
          <t>287.00</t>
        </is>
      </c>
      <c r="S995" t="inlineStr">
        <is>
          <t>Köln</t>
        </is>
      </c>
    </row>
    <row r="996">
      <c r="A996" s="2" t="n">
        <v>7</v>
      </c>
      <c r="B996" t="inlineStr">
        <is>
          <t>Severne Turbo GT</t>
        </is>
      </c>
      <c r="C996" s="3" t="inlineStr"/>
      <c r="D996" s="3" t="inlineStr"/>
      <c r="E996" t="inlineStr"/>
      <c r="F996" t="inlineStr"/>
      <c r="G996" t="inlineStr">
        <is>
          <t>used</t>
        </is>
      </c>
      <c r="H996" s="4" t="n">
        <v>290</v>
      </c>
      <c r="I996" t="inlineStr">
        <is>
          <t>VB</t>
        </is>
      </c>
      <c r="J996" t="inlineStr">
        <is>
          <t>86343 Bayern - Königsbrunn</t>
        </is>
      </c>
      <c r="K996" s="5" t="n">
        <v>45235</v>
      </c>
      <c r="L996" t="inlineStr"/>
      <c r="M996" s="6">
        <f>HYPERLINK("https://www.kleinanzeigen.de/s-anzeige/severne-7-0-turbo-gt/2594419106-230-7034", "Link")</f>
        <v/>
      </c>
      <c r="N996" s="6">
        <f>HYPERLINK("C:\Projects\Kleinanzeigen-Scraper\offer_images\2594419106", "Link")</f>
        <v/>
      </c>
      <c r="O996" t="inlineStr">
        <is>
          <t>Wolfgang Dennstädt</t>
        </is>
      </c>
      <c r="P996" s="6">
        <f>HYPERLINK("https://www.kleinanzeigen.de/s-bestandsliste.html?userId=20340449", "Link")</f>
        <v/>
      </c>
      <c r="Q996" s="7" t="n">
        <v>45549.58009259259</v>
      </c>
      <c r="R996" s="3" t="inlineStr">
        <is>
          <t>52.97</t>
        </is>
      </c>
      <c r="S996" t="inlineStr">
        <is>
          <t>München</t>
        </is>
      </c>
    </row>
    <row r="997">
      <c r="A997" s="2" t="n">
        <v>7.3</v>
      </c>
      <c r="B997" t="inlineStr">
        <is>
          <t>NPU Sails</t>
        </is>
      </c>
      <c r="C997" s="3" t="inlineStr"/>
      <c r="D997" s="3" t="n">
        <v>210</v>
      </c>
      <c r="E997" t="inlineStr">
        <is>
          <t>Slalom</t>
        </is>
      </c>
      <c r="F997" t="inlineStr"/>
      <c r="G997" t="inlineStr">
        <is>
          <t>new</t>
        </is>
      </c>
      <c r="H997" s="4" t="n">
        <v>60</v>
      </c>
      <c r="I997" t="inlineStr"/>
      <c r="J997" t="inlineStr">
        <is>
          <t>18195 Bad Doberan - Landkreis - Tessin</t>
        </is>
      </c>
      <c r="K997" s="5" t="n">
        <v>45548</v>
      </c>
      <c r="L997" t="inlineStr">
        <is>
          <t>Sold</t>
        </is>
      </c>
      <c r="M997" s="6">
        <f>HYPERLINK("https://www.kleinanzeigen.de/s-anzeige/segel-npu-sails-7-3-m2-windsurfen-slalom/2862403467-230-16603", "Link")</f>
        <v/>
      </c>
      <c r="N997" s="6">
        <f>HYPERLINK("C:\Projects\Kleinanzeigen-Scraper\offer_images\2862403467", "Link")</f>
        <v/>
      </c>
      <c r="O997" t="inlineStr">
        <is>
          <t>J. Berndt</t>
        </is>
      </c>
      <c r="P997" s="6">
        <f>HYPERLINK("https://www.kleinanzeigen.de/s-bestandsliste.html?userId=6372611", "Link")</f>
        <v/>
      </c>
      <c r="Q997" s="7" t="n">
        <v>45549.58009259259</v>
      </c>
      <c r="R997" s="3" t="inlineStr">
        <is>
          <t>506.91</t>
        </is>
      </c>
      <c r="S997" t="inlineStr">
        <is>
          <t>Köln</t>
        </is>
      </c>
    </row>
    <row r="998">
      <c r="A998" s="2" t="n">
        <v>6</v>
      </c>
      <c r="B998" t="inlineStr">
        <is>
          <t>NorthSails North Star</t>
        </is>
      </c>
      <c r="C998" s="3" t="n">
        <v>465</v>
      </c>
      <c r="D998" s="3" t="n">
        <v>190</v>
      </c>
      <c r="E998" t="inlineStr"/>
      <c r="F998" t="inlineStr"/>
      <c r="G998" t="inlineStr">
        <is>
          <t>used</t>
        </is>
      </c>
      <c r="H998" s="4" t="n">
        <v>60</v>
      </c>
      <c r="I998" t="inlineStr"/>
      <c r="J998" t="inlineStr">
        <is>
          <t>81243 München - Pasing-Obermenzing</t>
        </is>
      </c>
      <c r="K998" s="5" t="n">
        <v>45536</v>
      </c>
      <c r="L998" t="inlineStr">
        <is>
          <t>Sold</t>
        </is>
      </c>
      <c r="M998" s="6">
        <f>HYPERLINK("https://www.kleinanzeigen.de/s-anzeige/northsails-north-star-6-0-freeridesegel/2851898700-230-6476", "Link")</f>
        <v/>
      </c>
      <c r="N998" s="6">
        <f>HYPERLINK("C:\Projects\Kleinanzeigen-Scraper\offer_images\2851898700", "Link")</f>
        <v/>
      </c>
      <c r="O998" t="inlineStr">
        <is>
          <t>Erik</t>
        </is>
      </c>
      <c r="P998" s="6">
        <f>HYPERLINK("https://www.kleinanzeigen.de/s-bestandsliste.html?userId=64984391", "Link")</f>
        <v/>
      </c>
      <c r="Q998" s="7" t="n">
        <v>45549.58006944445</v>
      </c>
      <c r="R998" s="3" t="inlineStr">
        <is>
          <t>10.14</t>
        </is>
      </c>
      <c r="S998" t="inlineStr">
        <is>
          <t>München</t>
        </is>
      </c>
    </row>
    <row r="999">
      <c r="A999" s="2" t="n">
        <v>5.3</v>
      </c>
      <c r="B999" t="inlineStr">
        <is>
          <t>Simmer BlackTip</t>
        </is>
      </c>
      <c r="C999" s="3" t="n">
        <v>4.2</v>
      </c>
      <c r="D999" s="3" t="inlineStr"/>
      <c r="E999" t="inlineStr"/>
      <c r="F999" t="inlineStr">
        <is>
          <t>2017</t>
        </is>
      </c>
      <c r="G999" t="inlineStr">
        <is>
          <t>used</t>
        </is>
      </c>
      <c r="H999" s="4" t="n">
        <v>135</v>
      </c>
      <c r="I999" t="inlineStr">
        <is>
          <t>VB</t>
        </is>
      </c>
      <c r="J999" t="inlineStr">
        <is>
          <t>24106 Schleswig-Holstein - Kiel</t>
        </is>
      </c>
      <c r="K999" s="5" t="n">
        <v>45500</v>
      </c>
      <c r="L999" t="inlineStr">
        <is>
          <t>Sold</t>
        </is>
      </c>
      <c r="M999" s="6">
        <f>HYPERLINK("https://www.kleinanzeigen.de/s-anzeige/simmer-blacktip-5-3/2822759638-230-707", "Link")</f>
        <v/>
      </c>
      <c r="N999" s="6">
        <f>HYPERLINK("C:\Projects\Kleinanzeigen-Scraper\offer_images\2822759638", "Link")</f>
        <v/>
      </c>
      <c r="O999" t="inlineStr">
        <is>
          <t>Kroll</t>
        </is>
      </c>
      <c r="P999" s="6">
        <f>HYPERLINK("https://www.kleinanzeigen.de/s-bestandsliste.html?userId=37309024", "Link")</f>
        <v/>
      </c>
      <c r="Q999" s="7" t="n">
        <v>45549.58006944445</v>
      </c>
      <c r="R999" s="3" t="inlineStr">
        <is>
          <t>436.03</t>
        </is>
      </c>
      <c r="S999" t="inlineStr">
        <is>
          <t>Köln</t>
        </is>
      </c>
    </row>
    <row r="1000">
      <c r="A1000" s="2" t="n">
        <v>5</v>
      </c>
      <c r="B1000" t="inlineStr">
        <is>
          <t>Duotone Slick SLS</t>
        </is>
      </c>
      <c r="C1000" s="3" t="inlineStr"/>
      <c r="D1000" s="3" t="inlineStr"/>
      <c r="E1000" t="inlineStr"/>
      <c r="F1000" t="inlineStr"/>
      <c r="G1000" t="inlineStr">
        <is>
          <t>used</t>
        </is>
      </c>
      <c r="H1000" s="4" t="n">
        <v>450</v>
      </c>
      <c r="I1000" t="inlineStr">
        <is>
          <t>VB</t>
        </is>
      </c>
      <c r="J1000" t="inlineStr">
        <is>
          <t>10551 Mitte - Tiergarten</t>
        </is>
      </c>
      <c r="K1000" s="5" t="n">
        <v>45545</v>
      </c>
      <c r="L1000" t="inlineStr">
        <is>
          <t>Sold</t>
        </is>
      </c>
      <c r="M1000" s="6">
        <f>HYPERLINK("https://www.kleinanzeigen.de/s-anzeige/duotone-slick-sls-5-0/2859778897-230-3501", "Link")</f>
        <v/>
      </c>
      <c r="N1000" s="6">
        <f>HYPERLINK("C:\Projects\Kleinanzeigen-Scraper\offer_images\2859778897", "Link")</f>
        <v/>
      </c>
      <c r="O1000" t="inlineStr">
        <is>
          <t>Daniel</t>
        </is>
      </c>
      <c r="P1000" s="6">
        <f>HYPERLINK("https://www.kleinanzeigen.de/s-bestandsliste.html?userId=3421724", "Link")</f>
        <v/>
      </c>
      <c r="Q1000" s="7" t="n">
        <v>45549.58006944445</v>
      </c>
      <c r="R1000" s="3" t="inlineStr">
        <is>
          <t>473.80</t>
        </is>
      </c>
      <c r="S1000" t="inlineStr">
        <is>
          <t>Köln</t>
        </is>
      </c>
    </row>
    <row r="1001">
      <c r="A1001" s="2" t="n">
        <v>7.1</v>
      </c>
      <c r="B1001" t="inlineStr">
        <is>
          <t>Point 7 AC1</t>
        </is>
      </c>
      <c r="C1001" s="3" t="inlineStr"/>
      <c r="D1001" s="3" t="inlineStr"/>
      <c r="E1001" t="inlineStr"/>
      <c r="F1001" t="inlineStr"/>
      <c r="G1001" t="inlineStr">
        <is>
          <t>used</t>
        </is>
      </c>
      <c r="H1001" s="4" t="n">
        <v>250</v>
      </c>
      <c r="I1001" t="inlineStr"/>
      <c r="J1001" t="inlineStr">
        <is>
          <t>10245 Friedrichshain-Kreuzberg - Friedrichshain</t>
        </is>
      </c>
      <c r="K1001" s="5" t="n">
        <v>45532</v>
      </c>
      <c r="L1001" t="inlineStr"/>
      <c r="M1001" s="6">
        <f>HYPERLINK("https://www.kleinanzeigen.de/s-anzeige/windsurfsegel-point-7-ac1-7-1/2848443675-230-3352", "Link")</f>
        <v/>
      </c>
      <c r="N1001" s="6">
        <f>HYPERLINK("C:\Projects\Kleinanzeigen-Scraper\offer_images\2848443675", "Link")</f>
        <v/>
      </c>
      <c r="O1001" t="inlineStr">
        <is>
          <t>Andreas</t>
        </is>
      </c>
      <c r="P1001" s="6">
        <f>HYPERLINK("https://www.kleinanzeigen.de/s-bestandsliste.html?userId=69753985", "Link")</f>
        <v/>
      </c>
      <c r="Q1001" s="7" t="n">
        <v>45549.58004629629</v>
      </c>
      <c r="R1001" s="3" t="inlineStr">
        <is>
          <t>480.20</t>
        </is>
      </c>
      <c r="S1001" t="inlineStr">
        <is>
          <t>Köln</t>
        </is>
      </c>
    </row>
    <row r="1002">
      <c r="A1002" s="2" t="n">
        <v>6</v>
      </c>
      <c r="B1002" t="inlineStr">
        <is>
          <t>Severne Foil Glide</t>
        </is>
      </c>
      <c r="C1002" s="3" t="n">
        <v>460</v>
      </c>
      <c r="D1002" s="3" t="inlineStr"/>
      <c r="E1002" t="inlineStr"/>
      <c r="F1002" t="inlineStr">
        <is>
          <t>2020</t>
        </is>
      </c>
      <c r="G1002" t="inlineStr">
        <is>
          <t>used</t>
        </is>
      </c>
      <c r="H1002" s="4" t="n">
        <v>290</v>
      </c>
      <c r="I1002" t="inlineStr">
        <is>
          <t>VB</t>
        </is>
      </c>
      <c r="J1002" t="inlineStr">
        <is>
          <t>82256 Bayern - Fürstenfeldbruck</t>
        </is>
      </c>
      <c r="K1002" s="5" t="n">
        <v>45523</v>
      </c>
      <c r="L1002" t="inlineStr"/>
      <c r="M1002" s="6">
        <f>HYPERLINK("https://www.kleinanzeigen.de/s-anzeige/windsurf-severne-foil-glide-6-0-vom-juli-2020-sehr-guter-zustand/2840793554-230-6311", "Link")</f>
        <v/>
      </c>
      <c r="N1002" s="6">
        <f>HYPERLINK("C:\Projects\Kleinanzeigen-Scraper\offer_images\2840793554", "Link")</f>
        <v/>
      </c>
      <c r="O1002" t="inlineStr">
        <is>
          <t>Klaus</t>
        </is>
      </c>
      <c r="P1002" s="6">
        <f>HYPERLINK("https://www.kleinanzeigen.de/s-bestandsliste.html?userId=16193586", "Link")</f>
        <v/>
      </c>
      <c r="Q1002" s="7" t="n">
        <v>45549.58</v>
      </c>
      <c r="R1002" s="3" t="inlineStr">
        <is>
          <t>25.37</t>
        </is>
      </c>
      <c r="S1002" t="inlineStr">
        <is>
          <t>München</t>
        </is>
      </c>
    </row>
    <row r="1003">
      <c r="A1003" s="2" t="n">
        <v>4.7</v>
      </c>
      <c r="B1003" t="inlineStr">
        <is>
          <t>NeilPryde Combat Pro</t>
        </is>
      </c>
      <c r="C1003" s="3" t="inlineStr"/>
      <c r="D1003" s="3" t="inlineStr"/>
      <c r="E1003" t="inlineStr"/>
      <c r="F1003" t="inlineStr">
        <is>
          <t>2023</t>
        </is>
      </c>
      <c r="G1003" t="inlineStr">
        <is>
          <t>new</t>
        </is>
      </c>
      <c r="H1003" s="4" t="n">
        <v>350</v>
      </c>
      <c r="I1003" t="inlineStr">
        <is>
          <t>VB</t>
        </is>
      </c>
      <c r="J1003" t="inlineStr">
        <is>
          <t>47918 Nordrhein-Westfalen - Tönisvorst</t>
        </is>
      </c>
      <c r="K1003" s="5" t="n">
        <v>45518</v>
      </c>
      <c r="L1003" t="inlineStr"/>
      <c r="M1003" s="6">
        <f>HYPERLINK("https://www.kleinanzeigen.de/s-anzeige/windsurfsegel-neilpryde-combat-pro-4-7-aus-2023/2836760761-230-1121", "Link")</f>
        <v/>
      </c>
      <c r="N1003" s="6">
        <f>HYPERLINK("C:\Projects\Kleinanzeigen-Scraper\offer_images\2836760761", "Link")</f>
        <v/>
      </c>
      <c r="O1003" t="inlineStr">
        <is>
          <t>Ulrich Lufen</t>
        </is>
      </c>
      <c r="P1003" s="6">
        <f>HYPERLINK("https://www.kleinanzeigen.de/s-bestandsliste.html?userId=28551898", "Link")</f>
        <v/>
      </c>
      <c r="Q1003" s="7" t="n">
        <v>45549.57998842592</v>
      </c>
      <c r="R1003" s="3" t="inlineStr">
        <is>
          <t>56.00</t>
        </is>
      </c>
      <c r="S1003" t="inlineStr">
        <is>
          <t>Köln</t>
        </is>
      </c>
    </row>
    <row r="1004">
      <c r="A1004" s="2" t="n">
        <v>5.7</v>
      </c>
      <c r="B1004" t="inlineStr">
        <is>
          <t>Severne Blade pro</t>
        </is>
      </c>
      <c r="C1004" s="3" t="inlineStr"/>
      <c r="D1004" s="3" t="inlineStr"/>
      <c r="E1004" t="inlineStr"/>
      <c r="F1004" t="inlineStr">
        <is>
          <t>2021</t>
        </is>
      </c>
      <c r="G1004" t="inlineStr">
        <is>
          <t>used</t>
        </is>
      </c>
      <c r="H1004" s="4" t="n">
        <v>480</v>
      </c>
      <c r="I1004" t="inlineStr"/>
      <c r="J1004" t="inlineStr">
        <is>
          <t>93309 Bayern - Kelheim</t>
        </is>
      </c>
      <c r="K1004" s="5" t="n">
        <v>45543</v>
      </c>
      <c r="L1004" t="inlineStr">
        <is>
          <t>Sold</t>
        </is>
      </c>
      <c r="M1004" s="6">
        <f>HYPERLINK("https://www.kleinanzeigen.de/s-anzeige/severne-blade-pro-5-7-m2/2857040496-230-6235", "Link")</f>
        <v/>
      </c>
      <c r="N1004" s="6">
        <f>HYPERLINK("C:\Projects\Kleinanzeigen-Scraper\offer_images\2857040496", "Link")</f>
        <v/>
      </c>
      <c r="O1004" t="inlineStr">
        <is>
          <t>MS</t>
        </is>
      </c>
      <c r="P1004" s="6">
        <f>HYPERLINK("https://www.kleinanzeigen.de/s-bestandsliste.html?userId=19708796", "Link")</f>
        <v/>
      </c>
      <c r="Q1004" s="7" t="n">
        <v>45549.57998842592</v>
      </c>
      <c r="R1004" s="3" t="inlineStr">
        <is>
          <t>88.18</t>
        </is>
      </c>
      <c r="S1004" t="inlineStr">
        <is>
          <t>München</t>
        </is>
      </c>
    </row>
    <row r="1005">
      <c r="A1005" s="2" t="n">
        <v>4.7</v>
      </c>
      <c r="B1005" t="inlineStr">
        <is>
          <t>Neilpryde Combat</t>
        </is>
      </c>
      <c r="C1005" s="3" t="n">
        <v>370</v>
      </c>
      <c r="D1005" s="3" t="n">
        <v>163</v>
      </c>
      <c r="E1005" t="inlineStr"/>
      <c r="F1005" t="inlineStr"/>
      <c r="G1005" t="inlineStr"/>
      <c r="H1005" s="4" t="n">
        <v>60</v>
      </c>
      <c r="I1005" t="inlineStr">
        <is>
          <t>VB</t>
        </is>
      </c>
      <c r="J1005" t="inlineStr">
        <is>
          <t>82256 Bayern - Fürstenfeldbruck</t>
        </is>
      </c>
      <c r="K1005" s="5" t="n">
        <v>45498</v>
      </c>
      <c r="L1005" t="inlineStr">
        <is>
          <t>Sold</t>
        </is>
      </c>
      <c r="M1005" s="6">
        <f>HYPERLINK("https://www.kleinanzeigen.de/s-anzeige/surfsegel-neilpryde-4-7-combat/2820941343-230-6311", "Link")</f>
        <v/>
      </c>
      <c r="N1005" s="6">
        <f>HYPERLINK("C:\Projects\Kleinanzeigen-Scraper\offer_images\2820941343", "Link")</f>
        <v/>
      </c>
      <c r="O1005" t="inlineStr">
        <is>
          <t>Richard</t>
        </is>
      </c>
      <c r="P1005" s="6">
        <f>HYPERLINK("https://www.kleinanzeigen.de/s-bestandsliste.html?userId=1263378", "Link")</f>
        <v/>
      </c>
      <c r="Q1005" s="7" t="n">
        <v>45549.57998842592</v>
      </c>
      <c r="R1005" s="3" t="inlineStr">
        <is>
          <t>25.37</t>
        </is>
      </c>
      <c r="S1005" t="inlineStr">
        <is>
          <t>München</t>
        </is>
      </c>
    </row>
    <row r="1006">
      <c r="A1006" s="2" t="n">
        <v>4.5</v>
      </c>
      <c r="B1006" t="inlineStr">
        <is>
          <t>NP Neilpryde Combat Pro</t>
        </is>
      </c>
      <c r="C1006" s="3" t="n">
        <v>370</v>
      </c>
      <c r="D1006" s="3" t="n">
        <v>145</v>
      </c>
      <c r="E1006" t="inlineStr"/>
      <c r="F1006" t="inlineStr">
        <is>
          <t>2022</t>
        </is>
      </c>
      <c r="G1006" t="inlineStr">
        <is>
          <t>repaired</t>
        </is>
      </c>
      <c r="H1006" s="4" t="n">
        <v>300</v>
      </c>
      <c r="I1006" t="inlineStr">
        <is>
          <t>VB</t>
        </is>
      </c>
      <c r="J1006" t="inlineStr">
        <is>
          <t>24105 Schleswig-Holstein - Kiel</t>
        </is>
      </c>
      <c r="K1006" s="5" t="n">
        <v>45541</v>
      </c>
      <c r="L1006" t="inlineStr"/>
      <c r="M1006" s="6">
        <f>HYPERLINK("https://www.kleinanzeigen.de/s-anzeige/np-neilpryde-combat-4-5-wave-windsurf-segel/2855921689-230-708", "Link")</f>
        <v/>
      </c>
      <c r="N1006" s="6">
        <f>HYPERLINK("C:\Projects\Kleinanzeigen-Scraper\offer_images\2855921689", "Link")</f>
        <v/>
      </c>
      <c r="O1006" t="inlineStr">
        <is>
          <t>Leo Richter</t>
        </is>
      </c>
      <c r="P1006" s="6">
        <f>HYPERLINK("https://www.kleinanzeigen.de/s-bestandsliste.html?userId=56454387", "Link")</f>
        <v/>
      </c>
      <c r="Q1006" s="7" t="n">
        <v>45549.57997685186</v>
      </c>
      <c r="R1006" s="3" t="inlineStr">
        <is>
          <t>435.05</t>
        </is>
      </c>
      <c r="S1006" t="inlineStr">
        <is>
          <t>Köln</t>
        </is>
      </c>
    </row>
    <row r="1007">
      <c r="A1007" s="2" t="n">
        <v>4</v>
      </c>
      <c r="B1007" t="inlineStr">
        <is>
          <t>Simmer Style Crossover</t>
        </is>
      </c>
      <c r="C1007" s="3" t="n">
        <v>400</v>
      </c>
      <c r="D1007" s="3" t="inlineStr"/>
      <c r="E1007" t="inlineStr">
        <is>
          <t>Crossover</t>
        </is>
      </c>
      <c r="F1007" t="inlineStr"/>
      <c r="G1007" t="inlineStr">
        <is>
          <t>used</t>
        </is>
      </c>
      <c r="H1007" s="4" t="n">
        <v>90</v>
      </c>
      <c r="I1007" t="inlineStr"/>
      <c r="J1007" t="inlineStr">
        <is>
          <t>23562 Schleswig-Holstein - Lübeck</t>
        </is>
      </c>
      <c r="K1007" s="5" t="n">
        <v>45417</v>
      </c>
      <c r="L1007" t="inlineStr"/>
      <c r="M1007" s="6">
        <f>HYPERLINK("https://www.kleinanzeigen.de/s-anzeige/simmer-style-crossover-segel-4-0-m-/2753926170-230-423", "Link")</f>
        <v/>
      </c>
      <c r="N1007" s="6">
        <f>HYPERLINK("C:\Projects\Kleinanzeigen-Scraper\offer_images\2753926170", "Link")</f>
        <v/>
      </c>
      <c r="O1007" t="inlineStr">
        <is>
          <t>Olaf Kühnert</t>
        </is>
      </c>
      <c r="P1007" s="6">
        <f>HYPERLINK("https://www.kleinanzeigen.de/s-bestandsliste.html?userId=14979628", "Link")</f>
        <v/>
      </c>
      <c r="Q1007" s="7" t="n">
        <v>45549.57997685186</v>
      </c>
      <c r="R1007" s="3" t="inlineStr">
        <is>
          <t>410.15</t>
        </is>
      </c>
      <c r="S1007" t="inlineStr">
        <is>
          <t>Köln</t>
        </is>
      </c>
    </row>
    <row r="1008">
      <c r="A1008" s="2" t="n">
        <v>6.9</v>
      </c>
      <c r="B1008" t="inlineStr">
        <is>
          <t>GUN SAILS</t>
        </is>
      </c>
      <c r="C1008" s="3" t="inlineStr"/>
      <c r="D1008" s="3" t="inlineStr"/>
      <c r="E1008" t="inlineStr"/>
      <c r="F1008" t="inlineStr"/>
      <c r="G1008" t="inlineStr">
        <is>
          <t>used</t>
        </is>
      </c>
      <c r="H1008" s="4" t="n">
        <v>110</v>
      </c>
      <c r="I1008" t="inlineStr"/>
      <c r="J1008" t="inlineStr">
        <is>
          <t>31515 Niedersachsen - Wunstorf</t>
        </is>
      </c>
      <c r="K1008" s="5" t="n">
        <v>45104</v>
      </c>
      <c r="L1008" t="inlineStr"/>
      <c r="M1008" s="6">
        <f>HYPERLINK("https://www.kleinanzeigen.de/s-anzeige/gun-sails-surfsegel-6-9-qm/2479087681-230-2930", "Link")</f>
        <v/>
      </c>
      <c r="N1008" s="6">
        <f>HYPERLINK("C:\Projects\Kleinanzeigen-Scraper\offer_images\2479087681", "Link")</f>
        <v/>
      </c>
      <c r="O1008" t="inlineStr">
        <is>
          <t>Frank + Elke</t>
        </is>
      </c>
      <c r="P1008" s="6">
        <f>HYPERLINK("https://www.kleinanzeigen.de/s-bestandsliste.html?userId=21475030", "Link")</f>
        <v/>
      </c>
      <c r="Q1008" s="7" t="n">
        <v>45549.57996527778</v>
      </c>
      <c r="R1008" s="3" t="inlineStr">
        <is>
          <t>236.47</t>
        </is>
      </c>
      <c r="S1008" t="inlineStr">
        <is>
          <t>Köln</t>
        </is>
      </c>
    </row>
    <row r="1009">
      <c r="A1009" s="2" t="n">
        <v>5</v>
      </c>
      <c r="B1009" t="inlineStr">
        <is>
          <t>Duotone Slick</t>
        </is>
      </c>
      <c r="C1009" s="3" t="inlineStr"/>
      <c r="D1009" s="3" t="inlineStr"/>
      <c r="E1009" t="inlineStr"/>
      <c r="F1009" t="inlineStr">
        <is>
          <t>2023/24</t>
        </is>
      </c>
      <c r="G1009" t="inlineStr">
        <is>
          <t>new</t>
        </is>
      </c>
      <c r="H1009" s="4" t="n">
        <v>499</v>
      </c>
      <c r="I1009" t="inlineStr"/>
      <c r="J1009" t="inlineStr">
        <is>
          <t>55430 Rheinland-Pfalz - Oberwesel</t>
        </is>
      </c>
      <c r="K1009" s="5" t="n">
        <v>45545</v>
      </c>
      <c r="L1009" t="inlineStr">
        <is>
          <t>Sold</t>
        </is>
      </c>
      <c r="M1009" s="6">
        <f>HYPERLINK("https://www.kleinanzeigen.de/s-anzeige/duotone-slick-5-0-2023-24-neu/2859586148-230-19504", "Link")</f>
        <v/>
      </c>
      <c r="N1009" s="6">
        <f>HYPERLINK("C:\Projects\Kleinanzeigen-Scraper\offer_images\2859586148", "Link")</f>
        <v/>
      </c>
      <c r="O1009" t="inlineStr">
        <is>
          <t>Voll</t>
        </is>
      </c>
      <c r="P1009" s="6">
        <f>HYPERLINK("https://www.kleinanzeigen.de/s-bestandsliste.html?userId=29250937", "Link")</f>
        <v/>
      </c>
      <c r="Q1009" s="7" t="n">
        <v>45549.57994212963</v>
      </c>
      <c r="R1009" s="3" t="inlineStr">
        <is>
          <t>109.06</t>
        </is>
      </c>
      <c r="S1009" t="inlineStr">
        <is>
          <t>Köln</t>
        </is>
      </c>
    </row>
    <row r="1010">
      <c r="A1010" s="2" t="n">
        <v>8.5</v>
      </c>
      <c r="B1010" t="inlineStr">
        <is>
          <t>Gun Sails</t>
        </is>
      </c>
      <c r="C1010" s="3" t="inlineStr"/>
      <c r="D1010" s="3" t="inlineStr"/>
      <c r="E1010" t="inlineStr"/>
      <c r="F1010" t="inlineStr"/>
      <c r="G1010" t="inlineStr">
        <is>
          <t>new</t>
        </is>
      </c>
      <c r="H1010" s="4" t="n">
        <v>130</v>
      </c>
      <c r="I1010" t="inlineStr">
        <is>
          <t>VB</t>
        </is>
      </c>
      <c r="J1010" t="inlineStr">
        <is>
          <t>58644 Nordrhein-Westfalen - Iserlohn</t>
        </is>
      </c>
      <c r="K1010" s="5" t="n">
        <v>45545</v>
      </c>
      <c r="L1010" t="inlineStr"/>
      <c r="M1010" s="6">
        <f>HYPERLINK("https://www.kleinanzeigen.de/s-anzeige/windsegel-gun-sails-size-8-5/2859352723-230-1739", "Link")</f>
        <v/>
      </c>
      <c r="N1010" s="6">
        <f>HYPERLINK("C:\Projects\Kleinanzeigen-Scraper\offer_images\2859352723", "Link")</f>
        <v/>
      </c>
      <c r="O1010" t="inlineStr">
        <is>
          <t>Lena</t>
        </is>
      </c>
      <c r="P1010" s="6">
        <f>HYPERLINK("https://www.kleinanzeigen.de/s-bestandsliste.html?userId=136942176", "Link")</f>
        <v/>
      </c>
      <c r="Q1010" s="7" t="n">
        <v>45549.57991898148</v>
      </c>
      <c r="R1010" s="3" t="inlineStr">
        <is>
          <t>68.92</t>
        </is>
      </c>
      <c r="S1010" t="inlineStr">
        <is>
          <t>Köln</t>
        </is>
      </c>
    </row>
    <row r="1011">
      <c r="A1011" s="2" t="n">
        <v>4.5</v>
      </c>
      <c r="B1011" t="inlineStr">
        <is>
          <t>Gun Sails Wave MC</t>
        </is>
      </c>
      <c r="C1011" s="3" t="inlineStr"/>
      <c r="D1011" s="3" t="inlineStr"/>
      <c r="E1011" t="inlineStr"/>
      <c r="F1011" t="inlineStr">
        <is>
          <t>2010</t>
        </is>
      </c>
      <c r="G1011" t="inlineStr">
        <is>
          <t>used</t>
        </is>
      </c>
      <c r="H1011" s="4" t="n">
        <v>50</v>
      </c>
      <c r="I1011" t="inlineStr">
        <is>
          <t>VB</t>
        </is>
      </c>
      <c r="J1011" t="inlineStr">
        <is>
          <t>24106 Kiel - Steenbek-Projensdorf</t>
        </is>
      </c>
      <c r="K1011" s="5" t="n">
        <v>45545</v>
      </c>
      <c r="L1011" t="inlineStr"/>
      <c r="M1011" s="6">
        <f>HYPERLINK("https://www.kleinanzeigen.de/s-anzeige/gun-sails-wave-mc-4-5-aus-2010/2859817067-230-12197", "Link")</f>
        <v/>
      </c>
      <c r="N1011" s="6">
        <f>HYPERLINK("C:\Projects\Kleinanzeigen-Scraper\offer_images\2859817067", "Link")</f>
        <v/>
      </c>
      <c r="O1011" t="inlineStr">
        <is>
          <t>Hauke</t>
        </is>
      </c>
      <c r="P1011" s="6">
        <f>HYPERLINK("https://www.kleinanzeigen.de/s-bestandsliste.html?userId=16282055", "Link")</f>
        <v/>
      </c>
      <c r="Q1011" s="7" t="n">
        <v>45549.57991898148</v>
      </c>
      <c r="R1011" s="3" t="inlineStr">
        <is>
          <t>436.03</t>
        </is>
      </c>
      <c r="S1011" t="inlineStr">
        <is>
          <t>Köln</t>
        </is>
      </c>
    </row>
    <row r="1012">
      <c r="A1012" s="2" t="n">
        <v>5.6</v>
      </c>
      <c r="B1012" t="inlineStr">
        <is>
          <t>Sailloft Quad</t>
        </is>
      </c>
      <c r="C1012" s="3" t="inlineStr"/>
      <c r="D1012" s="3" t="inlineStr"/>
      <c r="E1012" t="inlineStr"/>
      <c r="F1012" t="inlineStr"/>
      <c r="G1012" t="inlineStr">
        <is>
          <t>used</t>
        </is>
      </c>
      <c r="H1012" s="4" t="n">
        <v>125</v>
      </c>
      <c r="I1012" t="inlineStr"/>
      <c r="J1012" t="inlineStr">
        <is>
          <t>24794 Schleswig-Holstein - Borgstedt</t>
        </is>
      </c>
      <c r="K1012" s="5" t="n">
        <v>45424</v>
      </c>
      <c r="L1012" t="inlineStr"/>
      <c r="M1012" s="6">
        <f>HYPERLINK("https://www.kleinanzeigen.de/s-anzeige/sailloft-quad-5-6qm/2760029167-230-19920", "Link")</f>
        <v/>
      </c>
      <c r="N1012" s="6">
        <f>HYPERLINK("C:\Projects\Kleinanzeigen-Scraper\offer_images\2760029167", "Link")</f>
        <v/>
      </c>
      <c r="O1012" t="inlineStr">
        <is>
          <t>KH</t>
        </is>
      </c>
      <c r="P1012" s="6">
        <f>HYPERLINK("https://www.kleinanzeigen.de/s-bestandsliste.html?userId=1737246", "Link")</f>
        <v/>
      </c>
      <c r="Q1012" s="7" t="n">
        <v>45549.57989583333</v>
      </c>
      <c r="R1012" s="3" t="inlineStr">
        <is>
          <t>420.37</t>
        </is>
      </c>
      <c r="S1012" t="inlineStr">
        <is>
          <t>Köln</t>
        </is>
      </c>
    </row>
    <row r="1013">
      <c r="A1013" s="2" t="n">
        <v>8.4</v>
      </c>
      <c r="B1013" t="inlineStr">
        <is>
          <t>North S-Type</t>
        </is>
      </c>
      <c r="C1013" s="3" t="inlineStr">
        <is>
          <t>460 or 490</t>
        </is>
      </c>
      <c r="D1013" s="3" t="inlineStr"/>
      <c r="E1013" t="inlineStr"/>
      <c r="F1013" t="inlineStr"/>
      <c r="G1013" t="inlineStr">
        <is>
          <t>used</t>
        </is>
      </c>
      <c r="H1013" s="4" t="n">
        <v>125</v>
      </c>
      <c r="I1013" t="inlineStr">
        <is>
          <t>VB</t>
        </is>
      </c>
      <c r="J1013" t="inlineStr">
        <is>
          <t>01156 Dresden - Gompitz</t>
        </is>
      </c>
      <c r="K1013" s="5" t="n">
        <v>45536</v>
      </c>
      <c r="L1013" t="inlineStr">
        <is>
          <t>Sold</t>
        </is>
      </c>
      <c r="M1013" s="6">
        <f>HYPERLINK("https://www.kleinanzeigen.de/s-anzeige/windsurfsegel-north-8-4-qm-s-type/2852046678-230-9560", "Link")</f>
        <v/>
      </c>
      <c r="N1013" s="6">
        <f>HYPERLINK("C:\Projects\Kleinanzeigen-Scraper\offer_images\2852046678", "Link")</f>
        <v/>
      </c>
      <c r="O1013" t="inlineStr">
        <is>
          <t>Axel Hennig</t>
        </is>
      </c>
      <c r="P1013" s="6">
        <f>HYPERLINK("https://www.kleinanzeigen.de/s-bestandsliste.html?userId=18003778", "Link")</f>
        <v/>
      </c>
      <c r="Q1013" s="7" t="n">
        <v>45549.57988425926</v>
      </c>
      <c r="R1013" s="3" t="inlineStr">
        <is>
          <t>359.78</t>
        </is>
      </c>
      <c r="S1013" t="inlineStr">
        <is>
          <t>München</t>
        </is>
      </c>
    </row>
    <row r="1014">
      <c r="A1014" s="2" t="n">
        <v>9</v>
      </c>
      <c r="B1014" t="inlineStr">
        <is>
          <t>Duotone Warp F2017</t>
        </is>
      </c>
      <c r="C1014" s="3" t="n">
        <v>490</v>
      </c>
      <c r="D1014" s="3" t="inlineStr"/>
      <c r="E1014" t="inlineStr"/>
      <c r="F1014" t="inlineStr">
        <is>
          <t>2017</t>
        </is>
      </c>
      <c r="G1014" t="inlineStr">
        <is>
          <t>used</t>
        </is>
      </c>
      <c r="H1014" s="4" t="n">
        <v>195</v>
      </c>
      <c r="I1014" t="inlineStr"/>
      <c r="J1014" t="inlineStr">
        <is>
          <t>78315 Baden-Württemberg - Radolfzell am Bodensee</t>
        </is>
      </c>
      <c r="K1014" s="5" t="n">
        <v>45543</v>
      </c>
      <c r="L1014" t="inlineStr">
        <is>
          <t>Sold</t>
        </is>
      </c>
      <c r="M1014" s="6">
        <f>HYPERLINK("https://www.kleinanzeigen.de/s-anzeige/duotone-windsurfsegel-9-0-warp-f2017-north-xt/2857635102-230-8190", "Link")</f>
        <v/>
      </c>
      <c r="N1014" s="6">
        <f>HYPERLINK("C:\Projects\Kleinanzeigen-Scraper\offer_images\2857635102", "Link")</f>
        <v/>
      </c>
      <c r="O1014" t="inlineStr">
        <is>
          <t>SilverSurfer</t>
        </is>
      </c>
      <c r="P1014" s="6">
        <f>HYPERLINK("https://www.kleinanzeigen.de/s-bestandsliste.html?userId=138556160", "Link")</f>
        <v/>
      </c>
      <c r="Q1014" s="7" t="n">
        <v>45549.57986111111</v>
      </c>
      <c r="R1014" s="3" t="inlineStr">
        <is>
          <t>48.46</t>
        </is>
      </c>
      <c r="S1014" t="inlineStr">
        <is>
          <t>Bonndorf</t>
        </is>
      </c>
    </row>
    <row r="1015">
      <c r="A1015" s="2" t="n">
        <v>5</v>
      </c>
      <c r="B1015" t="inlineStr">
        <is>
          <t>Goya Guru Pro</t>
        </is>
      </c>
      <c r="C1015" s="3" t="inlineStr"/>
      <c r="D1015" s="3" t="inlineStr"/>
      <c r="E1015" t="inlineStr"/>
      <c r="F1015" t="inlineStr">
        <is>
          <t>2019</t>
        </is>
      </c>
      <c r="G1015" t="inlineStr">
        <is>
          <t>used</t>
        </is>
      </c>
      <c r="H1015" s="4" t="n">
        <v>230</v>
      </c>
      <c r="I1015" t="inlineStr"/>
      <c r="J1015" t="inlineStr">
        <is>
          <t>50829 Köln - Bocklemünd/Mengenich</t>
        </is>
      </c>
      <c r="K1015" s="5" t="n">
        <v>45508</v>
      </c>
      <c r="L1015" t="inlineStr">
        <is>
          <t>Sold</t>
        </is>
      </c>
      <c r="M1015" s="6">
        <f>HYPERLINK("https://www.kleinanzeigen.de/s-anzeige/windsurf-segel-goya-guru-pro-5-0/2828589023-230-24182", "Link")</f>
        <v/>
      </c>
      <c r="N1015" s="6">
        <f>HYPERLINK("C:\Projects\Kleinanzeigen-Scraper\offer_images\2828589023", "Link")</f>
        <v/>
      </c>
      <c r="O1015" t="inlineStr">
        <is>
          <t>B.K.</t>
        </is>
      </c>
      <c r="P1015" s="6">
        <f>HYPERLINK("https://www.kleinanzeigen.de/s-bestandsliste.html?userId=61539610", "Link")</f>
        <v/>
      </c>
      <c r="Q1015" s="7" t="n">
        <v>45549.57984953704</v>
      </c>
      <c r="R1015" s="3" t="inlineStr">
        <is>
          <t>7.70</t>
        </is>
      </c>
      <c r="S1015" t="inlineStr">
        <is>
          <t>Köln</t>
        </is>
      </c>
    </row>
    <row r="1016">
      <c r="A1016" s="2" t="n">
        <v>7.7</v>
      </c>
      <c r="B1016" t="inlineStr">
        <is>
          <t>Neilpryde Hellcat</t>
        </is>
      </c>
      <c r="C1016" s="3" t="inlineStr"/>
      <c r="D1016" s="3" t="inlineStr"/>
      <c r="E1016" t="inlineStr"/>
      <c r="F1016" t="inlineStr">
        <is>
          <t>2016</t>
        </is>
      </c>
      <c r="G1016" t="inlineStr">
        <is>
          <t>used</t>
        </is>
      </c>
      <c r="H1016" s="4" t="n">
        <v>195</v>
      </c>
      <c r="I1016" t="inlineStr"/>
      <c r="J1016" t="inlineStr">
        <is>
          <t>16341 Brandenburg - Panketal</t>
        </is>
      </c>
      <c r="K1016" s="5" t="n">
        <v>45526</v>
      </c>
      <c r="L1016" t="inlineStr"/>
      <c r="M1016" s="6">
        <f>HYPERLINK("https://www.kleinanzeigen.de/s-anzeige/neilpryde-hellcat-7-7qm-c2-rot/2813151474-230-7919", "Link")</f>
        <v/>
      </c>
      <c r="N1016" s="6">
        <f>HYPERLINK("C:\Projects\Kleinanzeigen-Scraper\offer_images\2813151474", "Link")</f>
        <v/>
      </c>
      <c r="O1016" t="inlineStr">
        <is>
          <t>Andre Rudolph</t>
        </is>
      </c>
      <c r="P1016" s="6">
        <f>HYPERLINK("https://www.kleinanzeigen.de/s-bestandsliste.html?userId=12872693", "Link")</f>
        <v/>
      </c>
      <c r="Q1016" s="7" t="n">
        <v>45549.57981481482</v>
      </c>
      <c r="R1016" s="3" t="inlineStr">
        <is>
          <t>490.55</t>
        </is>
      </c>
      <c r="S1016" t="inlineStr">
        <is>
          <t>Köln</t>
        </is>
      </c>
    </row>
    <row r="1017">
      <c r="A1017" s="2" t="n">
        <v>7</v>
      </c>
      <c r="B1017" t="inlineStr">
        <is>
          <t>Severne Gator</t>
        </is>
      </c>
      <c r="C1017" s="3" t="inlineStr"/>
      <c r="D1017" s="3" t="inlineStr"/>
      <c r="E1017" t="inlineStr"/>
      <c r="F1017" t="inlineStr"/>
      <c r="G1017" t="inlineStr">
        <is>
          <t>used</t>
        </is>
      </c>
      <c r="H1017" s="4" t="n">
        <v>599</v>
      </c>
      <c r="I1017" t="inlineStr"/>
      <c r="J1017" t="inlineStr">
        <is>
          <t>23769 Kreis Ostholstein - Fehmarn</t>
        </is>
      </c>
      <c r="K1017" s="5" t="n">
        <v>45530</v>
      </c>
      <c r="L1017" t="inlineStr"/>
      <c r="M1017" s="6">
        <f>HYPERLINK("https://www.kleinanzeigen.de/s-anzeige/severne-gator-7-0-gebraucht-/2846872528-230-19951", "Link")</f>
        <v/>
      </c>
      <c r="N1017" s="6">
        <f>HYPERLINK("C:\Projects\Kleinanzeigen-Scraper\offer_images\2846872528", "Link")</f>
        <v/>
      </c>
      <c r="O1017" t="inlineStr">
        <is>
          <t>Surfshop Fehmarn</t>
        </is>
      </c>
      <c r="P1017" s="6">
        <f>HYPERLINK("https://www.kleinanzeigen.de/s-bestandsliste.html?userId=85528872", "Link")</f>
        <v/>
      </c>
      <c r="Q1017" s="7" t="n">
        <v>45549.57981481482</v>
      </c>
      <c r="R1017" s="3" t="inlineStr">
        <is>
          <t>483.01</t>
        </is>
      </c>
      <c r="S1017" t="inlineStr">
        <is>
          <t>Köln</t>
        </is>
      </c>
    </row>
    <row r="1018">
      <c r="A1018" s="2" t="n">
        <v>4.7</v>
      </c>
      <c r="B1018" t="inlineStr">
        <is>
          <t>Gun Sails Wave MC</t>
        </is>
      </c>
      <c r="C1018" s="3" t="inlineStr">
        <is>
          <t>400-430</t>
        </is>
      </c>
      <c r="D1018" s="3" t="inlineStr"/>
      <c r="E1018" t="inlineStr"/>
      <c r="F1018" t="inlineStr"/>
      <c r="G1018" t="inlineStr">
        <is>
          <t>used</t>
        </is>
      </c>
      <c r="H1018" s="4" t="n">
        <v>180</v>
      </c>
      <c r="I1018" t="inlineStr"/>
      <c r="J1018" t="inlineStr">
        <is>
          <t>01219 Dresden - Leubnitz-Neuostra</t>
        </is>
      </c>
      <c r="K1018" s="5" t="n">
        <v>45434</v>
      </c>
      <c r="L1018" t="inlineStr"/>
      <c r="M1018" s="6">
        <f>HYPERLINK("https://www.kleinanzeigen.de/s-anzeige/windsurf-segel-typ-gun-sails-wave-mc-4-7/2767967446-230-23485", "Link")</f>
        <v/>
      </c>
      <c r="N1018" s="6">
        <f>HYPERLINK("C:\Projects\Kleinanzeigen-Scraper\offer_images\2767967446", "Link")</f>
        <v/>
      </c>
      <c r="O1018" t="inlineStr">
        <is>
          <t>Thomas</t>
        </is>
      </c>
      <c r="P1018" s="6">
        <f>HYPERLINK("https://www.kleinanzeigen.de/s-bestandsliste.html?userId=18237894", "Link")</f>
        <v/>
      </c>
      <c r="Q1018" s="7" t="n">
        <v>45549.57981481482</v>
      </c>
      <c r="R1018" s="3" t="inlineStr">
        <is>
          <t>358.03</t>
        </is>
      </c>
      <c r="S1018" t="inlineStr">
        <is>
          <t>München</t>
        </is>
      </c>
    </row>
    <row r="1019">
      <c r="A1019" s="2" t="n">
        <v>6.2</v>
      </c>
      <c r="B1019" t="inlineStr">
        <is>
          <t>Neilpryde Hellcat</t>
        </is>
      </c>
      <c r="C1019" s="3" t="n">
        <v>441</v>
      </c>
      <c r="D1019" s="3" t="n">
        <v>192</v>
      </c>
      <c r="E1019" t="inlineStr">
        <is>
          <t>Freerace</t>
        </is>
      </c>
      <c r="F1019" t="inlineStr"/>
      <c r="G1019" t="inlineStr">
        <is>
          <t>used</t>
        </is>
      </c>
      <c r="H1019" s="4" t="n">
        <v>160</v>
      </c>
      <c r="I1019" t="inlineStr">
        <is>
          <t>VB</t>
        </is>
      </c>
      <c r="J1019" t="inlineStr">
        <is>
          <t>01109 Dresden - Hellerberge</t>
        </is>
      </c>
      <c r="K1019" s="5" t="n">
        <v>45498</v>
      </c>
      <c r="L1019" t="inlineStr"/>
      <c r="M1019" s="6">
        <f>HYPERLINK("https://www.kleinanzeigen.de/s-anzeige/neilpryde-hellcat-6-2-surfsegel-6-2-mast/2820691178-230-24669", "Link")</f>
        <v/>
      </c>
      <c r="N1019" s="6">
        <f>HYPERLINK("C:\Projects\Kleinanzeigen-Scraper\offer_images\2820691178", "Link")</f>
        <v/>
      </c>
      <c r="O1019" t="inlineStr">
        <is>
          <t>Andreas</t>
        </is>
      </c>
      <c r="P1019" s="6">
        <f>HYPERLINK("https://www.kleinanzeigen.de/s-bestandsliste.html?userId=10879495", "Link")</f>
        <v/>
      </c>
      <c r="Q1019" s="7" t="n">
        <v>45549.57981481482</v>
      </c>
      <c r="R1019" s="3" t="inlineStr">
        <is>
          <t>366.01</t>
        </is>
      </c>
      <c r="S1019" t="inlineStr">
        <is>
          <t>München</t>
        </is>
      </c>
    </row>
    <row r="1020">
      <c r="A1020" s="2" t="n">
        <v>5.5</v>
      </c>
      <c r="B1020" t="inlineStr">
        <is>
          <t>Severne Mach 4</t>
        </is>
      </c>
      <c r="C1020" s="3" t="n">
        <v>400</v>
      </c>
      <c r="D1020" s="3" t="n">
        <v>184</v>
      </c>
      <c r="E1020" t="inlineStr"/>
      <c r="F1020" t="inlineStr"/>
      <c r="G1020" t="inlineStr">
        <is>
          <t>used</t>
        </is>
      </c>
      <c r="H1020" s="4" t="n">
        <v>275</v>
      </c>
      <c r="I1020" t="inlineStr">
        <is>
          <t>VB</t>
        </is>
      </c>
      <c r="J1020" t="inlineStr">
        <is>
          <t>51379 Nordrhein-Westfalen - Leverkusen</t>
        </is>
      </c>
      <c r="K1020" s="5" t="n">
        <v>45522</v>
      </c>
      <c r="L1020" t="inlineStr">
        <is>
          <t>Sold</t>
        </is>
      </c>
      <c r="M1020" s="6">
        <f>HYPERLINK("https://www.kleinanzeigen.de/s-anzeige/severne-mach-4-5-5-rabatt-fuer-jugendliche-siehe-beschreibung-/2839856914-230-1991", "Link")</f>
        <v/>
      </c>
      <c r="N1020" s="6">
        <f>HYPERLINK("C:\Projects\Kleinanzeigen-Scraper\offer_images\2839856914", "Link")</f>
        <v/>
      </c>
      <c r="O1020" t="inlineStr">
        <is>
          <t>Katharina</t>
        </is>
      </c>
      <c r="P1020" s="6">
        <f>HYPERLINK("https://www.kleinanzeigen.de/s-bestandsliste.html?userId=63873442", "Link")</f>
        <v/>
      </c>
      <c r="Q1020" s="7" t="n">
        <v>45549.57979166666</v>
      </c>
      <c r="R1020" s="3" t="inlineStr">
        <is>
          <t>14.88</t>
        </is>
      </c>
      <c r="S1020" t="inlineStr">
        <is>
          <t>Köln</t>
        </is>
      </c>
    </row>
    <row r="1021">
      <c r="A1021" s="2" t="n">
        <v>5.2</v>
      </c>
      <c r="B1021" t="inlineStr">
        <is>
          <t>Gun Sails JAM</t>
        </is>
      </c>
      <c r="C1021" s="3" t="inlineStr"/>
      <c r="D1021" s="3" t="inlineStr"/>
      <c r="E1021" t="inlineStr">
        <is>
          <t>Freestyle</t>
        </is>
      </c>
      <c r="F1021" t="inlineStr"/>
      <c r="G1021" t="inlineStr"/>
      <c r="H1021" s="4" t="n">
        <v>110</v>
      </c>
      <c r="I1021" t="inlineStr">
        <is>
          <t>VB</t>
        </is>
      </c>
      <c r="J1021" t="inlineStr">
        <is>
          <t>72141 Baden-Württemberg - Walddorfhäslach</t>
        </is>
      </c>
      <c r="K1021" s="5" t="n">
        <v>45521</v>
      </c>
      <c r="L1021" t="inlineStr"/>
      <c r="M1021" s="6">
        <f>HYPERLINK("https://www.kleinanzeigen.de/s-anzeige/gun-sails-jam-freestyle-segel-5-2/2839335130-230-8891", "Link")</f>
        <v/>
      </c>
      <c r="N1021" s="6">
        <f>HYPERLINK("C:\Projects\Kleinanzeigen-Scraper\offer_images\2839335130", "Link")</f>
        <v/>
      </c>
      <c r="O1021" t="inlineStr">
        <is>
          <t>Katharina &amp; Jan</t>
        </is>
      </c>
      <c r="P1021" s="6">
        <f>HYPERLINK("https://www.kleinanzeigen.de/s-bestandsliste.html?userId=5363487", "Link")</f>
        <v/>
      </c>
      <c r="Q1021" s="7" t="n">
        <v>45549.57976851852</v>
      </c>
      <c r="R1021" s="3" t="inlineStr">
        <is>
          <t>16.87</t>
        </is>
      </c>
      <c r="S1021" t="inlineStr">
        <is>
          <t>Böblingen</t>
        </is>
      </c>
    </row>
    <row r="1022">
      <c r="A1022" s="2" t="n">
        <v>8.5</v>
      </c>
      <c r="B1022" t="inlineStr">
        <is>
          <t>Point-7 AcZ</t>
        </is>
      </c>
      <c r="C1022" s="3" t="n">
        <v>490</v>
      </c>
      <c r="D1022" s="3" t="n">
        <v>218</v>
      </c>
      <c r="E1022" t="inlineStr">
        <is>
          <t>Racing</t>
        </is>
      </c>
      <c r="F1022" t="inlineStr">
        <is>
          <t>2022/23</t>
        </is>
      </c>
      <c r="G1022" t="inlineStr">
        <is>
          <t>new</t>
        </is>
      </c>
      <c r="H1022" s="4" t="n">
        <v>350</v>
      </c>
      <c r="I1022" t="inlineStr">
        <is>
          <t>VB</t>
        </is>
      </c>
      <c r="J1022" t="inlineStr">
        <is>
          <t>23992 Mecklenburg-Vorpommern - Neukloster</t>
        </is>
      </c>
      <c r="K1022" s="5" t="n">
        <v>45359</v>
      </c>
      <c r="L1022" t="inlineStr">
        <is>
          <t>Sold</t>
        </is>
      </c>
      <c r="M1022" s="6">
        <f>HYPERLINK("https://www.kleinanzeigen.de/s-anzeige/point-7-acz-8-5-segel-windsurf-neu-neu/2700682672-230-20179", "Link")</f>
        <v/>
      </c>
      <c r="N1022" s="6">
        <f>HYPERLINK("C:\Projects\Kleinanzeigen-Scraper\offer_images\2700682672", "Link")</f>
        <v/>
      </c>
      <c r="O1022" t="inlineStr">
        <is>
          <t>Kay</t>
        </is>
      </c>
      <c r="P1022" s="6">
        <f>HYPERLINK("https://www.kleinanzeigen.de/s-bestandsliste.html?userId=15804850", "Link")</f>
        <v/>
      </c>
      <c r="Q1022" s="7" t="n">
        <v>45549.57976851852</v>
      </c>
      <c r="R1022" s="3" t="inlineStr">
        <is>
          <t>456.94</t>
        </is>
      </c>
      <c r="S1022" t="inlineStr">
        <is>
          <t>Köln</t>
        </is>
      </c>
    </row>
    <row r="1023">
      <c r="A1023" s="2" t="n">
        <v>5</v>
      </c>
      <c r="B1023" t="inlineStr">
        <is>
          <t>Gun Sails Wave Mc</t>
        </is>
      </c>
      <c r="C1023" s="3" t="n">
        <v>4</v>
      </c>
      <c r="D1023" s="3" t="n">
        <v>1.8</v>
      </c>
      <c r="E1023" t="inlineStr">
        <is>
          <t>Wave</t>
        </is>
      </c>
      <c r="F1023" t="inlineStr"/>
      <c r="G1023" t="inlineStr">
        <is>
          <t>used</t>
        </is>
      </c>
      <c r="H1023" s="4" t="n">
        <v>100</v>
      </c>
      <c r="I1023" t="inlineStr"/>
      <c r="J1023" t="inlineStr">
        <is>
          <t>59199 Nordrhein-Westfalen - Bönen</t>
        </is>
      </c>
      <c r="K1023" s="5" t="n">
        <v>45438</v>
      </c>
      <c r="L1023" t="inlineStr">
        <is>
          <t>Sold</t>
        </is>
      </c>
      <c r="M1023" s="6">
        <f>HYPERLINK("https://www.kleinanzeigen.de/s-anzeige/gun-sails-wave-mc-5-0m2-windsurfen/2771508069-230-1444", "Link")</f>
        <v/>
      </c>
      <c r="N1023" s="6">
        <f>HYPERLINK("C:\Projects\Kleinanzeigen-Scraper\offer_images\2771508069", "Link")</f>
        <v/>
      </c>
      <c r="O1023" t="inlineStr">
        <is>
          <t>R R</t>
        </is>
      </c>
      <c r="P1023" s="6">
        <f>HYPERLINK("https://www.kleinanzeigen.de/s-bestandsliste.html?userId=7416314", "Link")</f>
        <v/>
      </c>
      <c r="Q1023" s="7" t="n">
        <v>45549.57976851852</v>
      </c>
      <c r="R1023" s="3" t="inlineStr">
        <is>
          <t>91.63</t>
        </is>
      </c>
      <c r="S1023" t="inlineStr">
        <is>
          <t>Köln</t>
        </is>
      </c>
    </row>
    <row r="1024">
      <c r="A1024" s="2" t="n">
        <v>5.5</v>
      </c>
      <c r="B1024" t="inlineStr">
        <is>
          <t>Severne Convert</t>
        </is>
      </c>
      <c r="C1024" s="3" t="n">
        <v>430</v>
      </c>
      <c r="D1024" s="3" t="n">
        <v>175</v>
      </c>
      <c r="E1024" t="inlineStr"/>
      <c r="F1024" t="inlineStr">
        <is>
          <t>2024</t>
        </is>
      </c>
      <c r="G1024" t="inlineStr">
        <is>
          <t>used</t>
        </is>
      </c>
      <c r="H1024" s="4" t="n">
        <v>450</v>
      </c>
      <c r="I1024" t="inlineStr">
        <is>
          <t>VB</t>
        </is>
      </c>
      <c r="J1024" t="inlineStr">
        <is>
          <t>23769 Fehmarn - Westfehmarn</t>
        </is>
      </c>
      <c r="K1024" s="5" t="n">
        <v>45561</v>
      </c>
      <c r="L1024" t="inlineStr"/>
      <c r="M1024" s="6">
        <f>HYPERLINK("https://www.kleinanzeigen.de/s-anzeige/severne-convert-ab-450-/2847732511-230-430", "Link")</f>
        <v/>
      </c>
      <c r="N1024" s="6">
        <f>HYPERLINK("C:\Projects\Kleinanzeigen-Scraper\offer_images\2847732511", "Link")</f>
        <v/>
      </c>
      <c r="O1024" t="inlineStr">
        <is>
          <t>No user name</t>
        </is>
      </c>
      <c r="P1024" s="6">
        <f>HYPERLINK("https://www.kleinanzeigen.deNo user link", "Link")</f>
        <v/>
      </c>
      <c r="Q1024" s="7" t="n">
        <v>45549.57976851852</v>
      </c>
      <c r="R1024" s="3" t="inlineStr">
        <is>
          <t>483.01</t>
        </is>
      </c>
      <c r="S1024" t="inlineStr">
        <is>
          <t>Köln</t>
        </is>
      </c>
    </row>
    <row r="1025">
      <c r="A1025" s="2" t="n">
        <v>5.5</v>
      </c>
      <c r="B1025" t="inlineStr">
        <is>
          <t>Neil Pryde Fusion HD</t>
        </is>
      </c>
      <c r="C1025" s="3" t="n">
        <v>430</v>
      </c>
      <c r="D1025" s="3" t="n">
        <v>189</v>
      </c>
      <c r="E1025" t="inlineStr"/>
      <c r="F1025" t="inlineStr">
        <is>
          <t>2018</t>
        </is>
      </c>
      <c r="G1025" t="inlineStr">
        <is>
          <t>used</t>
        </is>
      </c>
      <c r="H1025" s="4" t="n">
        <v>490</v>
      </c>
      <c r="I1025" t="inlineStr"/>
      <c r="J1025" t="inlineStr">
        <is>
          <t>85051 Bayern - Ingolstadt</t>
        </is>
      </c>
      <c r="K1025" s="5" t="n">
        <v>45545</v>
      </c>
      <c r="L1025" t="inlineStr">
        <is>
          <t>Sold</t>
        </is>
      </c>
      <c r="M1025" s="6">
        <f>HYPERLINK("https://www.kleinanzeigen.de/s-anzeige/neil-pryde-fusion-hd-5-5-komplettrigg-neilpryde/2859693758-230-7615", "Link")</f>
        <v/>
      </c>
      <c r="N1025" s="6">
        <f>HYPERLINK("C:\Projects\Kleinanzeigen-Scraper\offer_images\2859693758", "Link")</f>
        <v/>
      </c>
      <c r="O1025" t="inlineStr">
        <is>
          <t>Jürgen Hackbarth</t>
        </is>
      </c>
      <c r="P1025" s="6">
        <f>HYPERLINK("https://www.kleinanzeigen.de/s-bestandsliste.html?userId=17491979", "Link")</f>
        <v/>
      </c>
      <c r="Q1025" s="7" t="n">
        <v>45549.57976851852</v>
      </c>
      <c r="R1025" s="3" t="inlineStr">
        <is>
          <t>67.00</t>
        </is>
      </c>
      <c r="S1025" t="inlineStr">
        <is>
          <t>München</t>
        </is>
      </c>
    </row>
    <row r="1026">
      <c r="A1026" s="2" t="n">
        <v>7.5</v>
      </c>
      <c r="B1026" t="inlineStr">
        <is>
          <t>Sailloft Traction</t>
        </is>
      </c>
      <c r="C1026" s="3" t="n">
        <v>4.95</v>
      </c>
      <c r="D1026" s="3" t="n">
        <v>2.13</v>
      </c>
      <c r="E1026" t="inlineStr">
        <is>
          <t>Early Planing</t>
        </is>
      </c>
      <c r="F1026" t="inlineStr"/>
      <c r="G1026" t="inlineStr">
        <is>
          <t>used</t>
        </is>
      </c>
      <c r="H1026" s="4" t="n">
        <v>60</v>
      </c>
      <c r="I1026" t="inlineStr"/>
      <c r="J1026" t="inlineStr">
        <is>
          <t>63808 Bayern - Haibach Unterfr.</t>
        </is>
      </c>
      <c r="K1026" s="5" t="n">
        <v>45549</v>
      </c>
      <c r="L1026" t="inlineStr"/>
      <c r="M1026" s="6">
        <f>HYPERLINK("https://www.kleinanzeigen.de/s-anzeige/windsurfsegel-sailloft-traction-7-5/2862965185-230-7434", "Link")</f>
        <v/>
      </c>
      <c r="N1026" s="6">
        <f>HYPERLINK("C:\Projects\Kleinanzeigen-Scraper\offer_images\2862965185", "Link")</f>
        <v/>
      </c>
      <c r="O1026" t="inlineStr">
        <is>
          <t>Romero</t>
        </is>
      </c>
      <c r="P1026" s="6">
        <f>HYPERLINK("https://www.kleinanzeigen.de/s-bestandsliste.html?userId=141340345", "Link")</f>
        <v/>
      </c>
      <c r="Q1026" s="7" t="n">
        <v>45549.57974537037</v>
      </c>
      <c r="R1026" s="3" t="inlineStr">
        <is>
          <t>121.48</t>
        </is>
      </c>
      <c r="S1026" t="inlineStr">
        <is>
          <t>Karlsruhe</t>
        </is>
      </c>
    </row>
    <row r="1027">
      <c r="A1027" s="2" t="n">
        <v>6.2</v>
      </c>
      <c r="B1027" t="inlineStr">
        <is>
          <t>Neil Pryde X-Wave HD</t>
        </is>
      </c>
      <c r="C1027" s="3" t="n">
        <v>430</v>
      </c>
      <c r="D1027" s="3" t="n">
        <v>184</v>
      </c>
      <c r="E1027" t="inlineStr"/>
      <c r="F1027" t="inlineStr">
        <is>
          <t>2019</t>
        </is>
      </c>
      <c r="G1027" t="inlineStr">
        <is>
          <t>used</t>
        </is>
      </c>
      <c r="H1027" s="4" t="n">
        <v>155</v>
      </c>
      <c r="I1027" t="inlineStr"/>
      <c r="J1027" t="inlineStr">
        <is>
          <t>94360 Bayern - Mitterfels</t>
        </is>
      </c>
      <c r="K1027" s="5" t="n">
        <v>45489</v>
      </c>
      <c r="L1027" t="inlineStr">
        <is>
          <t>Sold</t>
        </is>
      </c>
      <c r="M1027" s="6">
        <f>HYPERLINK("https://www.kleinanzeigen.de/s-anzeige/neil-pryde-x-wave-hd-6-2-neilpryde/2814142392-230-7331", "Link")</f>
        <v/>
      </c>
      <c r="N1027" s="6">
        <f>HYPERLINK("C:\Projects\Kleinanzeigen-Scraper\offer_images\2814142392", "Link")</f>
        <v/>
      </c>
      <c r="O1027" t="inlineStr">
        <is>
          <t>Thomas</t>
        </is>
      </c>
      <c r="P1027" s="6">
        <f>HYPERLINK("https://www.kleinanzeigen.de/s-bestandsliste.html?userId=43329370", "Link")</f>
        <v/>
      </c>
      <c r="Q1027" s="7" t="n">
        <v>45549.57974537037</v>
      </c>
      <c r="R1027" s="3" t="inlineStr">
        <is>
          <t>123.94</t>
        </is>
      </c>
      <c r="S1027" t="inlineStr">
        <is>
          <t>München</t>
        </is>
      </c>
    </row>
    <row r="1028">
      <c r="A1028" s="2" t="n">
        <v>9.5</v>
      </c>
      <c r="B1028" t="inlineStr">
        <is>
          <t>Sailloft Traction</t>
        </is>
      </c>
      <c r="C1028" s="3" t="inlineStr"/>
      <c r="D1028" s="3" t="inlineStr"/>
      <c r="E1028" t="inlineStr"/>
      <c r="F1028" t="inlineStr"/>
      <c r="G1028" t="inlineStr">
        <is>
          <t>used</t>
        </is>
      </c>
      <c r="H1028" s="4" t="n">
        <v>150</v>
      </c>
      <c r="I1028" t="inlineStr">
        <is>
          <t>VB</t>
        </is>
      </c>
      <c r="J1028" t="inlineStr">
        <is>
          <t>65835 Hessen - Liederbach</t>
        </is>
      </c>
      <c r="K1028" s="5" t="n">
        <v>45547</v>
      </c>
      <c r="L1028" t="inlineStr"/>
      <c r="M1028" s="6">
        <f>HYPERLINK("https://www.kleinanzeigen.de/s-anzeige/sailloft-traction-9-5qm/2861658790-230-4545", "Link")</f>
        <v/>
      </c>
      <c r="N1028" s="6">
        <f>HYPERLINK("C:\Projects\Kleinanzeigen-Scraper\offer_images\2861658790", "Link")</f>
        <v/>
      </c>
      <c r="O1028" t="inlineStr">
        <is>
          <t>Michael</t>
        </is>
      </c>
      <c r="P1028" s="6">
        <f>HYPERLINK("https://www.kleinanzeigen.de/s-bestandsliste.html?userId=11973728", "Link")</f>
        <v/>
      </c>
      <c r="Q1028" s="7" t="n">
        <v>45549.57973379629</v>
      </c>
      <c r="R1028" s="3" t="inlineStr">
        <is>
          <t>123.46</t>
        </is>
      </c>
      <c r="S1028" t="inlineStr">
        <is>
          <t>Karlsruhe</t>
        </is>
      </c>
    </row>
    <row r="1029">
      <c r="A1029" s="2" t="n">
        <v>5.6</v>
      </c>
      <c r="B1029" t="inlineStr">
        <is>
          <t>Neilpryde Combat Wave</t>
        </is>
      </c>
      <c r="C1029" s="3" t="n">
        <v>400</v>
      </c>
      <c r="D1029" s="3" t="n">
        <v>176</v>
      </c>
      <c r="E1029" t="inlineStr">
        <is>
          <t>Wave</t>
        </is>
      </c>
      <c r="F1029" t="inlineStr">
        <is>
          <t>2018</t>
        </is>
      </c>
      <c r="G1029" t="inlineStr">
        <is>
          <t>used</t>
        </is>
      </c>
      <c r="H1029" s="4" t="n">
        <v>360</v>
      </c>
      <c r="I1029" t="inlineStr">
        <is>
          <t>VB</t>
        </is>
      </c>
      <c r="J1029" t="inlineStr">
        <is>
          <t>18055 Rostock - Stadtmitte</t>
        </is>
      </c>
      <c r="K1029" s="5" t="n">
        <v>45520</v>
      </c>
      <c r="L1029" t="inlineStr">
        <is>
          <t>Sold</t>
        </is>
      </c>
      <c r="M1029" s="6">
        <f>HYPERLINK("https://www.kleinanzeigen.de/s-anzeige/neilpryde-combat-wave-5-6-2018/2837885914-230-157", "Link")</f>
        <v/>
      </c>
      <c r="N1029" s="6">
        <f>HYPERLINK("C:\Projects\Kleinanzeigen-Scraper\offer_images\2837885914", "Link")</f>
        <v/>
      </c>
      <c r="O1029" t="inlineStr">
        <is>
          <t>Chiara Krack</t>
        </is>
      </c>
      <c r="P1029" s="6">
        <f>HYPERLINK("https://www.kleinanzeigen.de/s-bestandsliste.html?userId=77546793", "Link")</f>
        <v/>
      </c>
      <c r="Q1029" s="7" t="n">
        <v>45549.57973379629</v>
      </c>
      <c r="R1029" s="3" t="inlineStr">
        <is>
          <t>496.50</t>
        </is>
      </c>
      <c r="S1029" t="inlineStr">
        <is>
          <t>Köln</t>
        </is>
      </c>
    </row>
    <row r="1030">
      <c r="A1030" s="2" t="n">
        <v>12</v>
      </c>
      <c r="B1030" t="inlineStr">
        <is>
          <t>North Evo</t>
        </is>
      </c>
      <c r="C1030" s="3" t="inlineStr"/>
      <c r="D1030" s="3" t="inlineStr"/>
      <c r="E1030" t="inlineStr"/>
      <c r="F1030" t="inlineStr">
        <is>
          <t>2015</t>
        </is>
      </c>
      <c r="G1030" t="inlineStr">
        <is>
          <t>used</t>
        </is>
      </c>
      <c r="H1030" s="4" t="n">
        <v>350</v>
      </c>
      <c r="I1030" t="inlineStr"/>
      <c r="J1030" t="inlineStr">
        <is>
          <t>24118 Kiel - Ravensberg-Brunswik-Düsternbrook</t>
        </is>
      </c>
      <c r="K1030" s="5" t="n">
        <v>45537</v>
      </c>
      <c r="L1030" t="inlineStr">
        <is>
          <t>Sold</t>
        </is>
      </c>
      <c r="M1030" s="6">
        <f>HYPERLINK("https://www.kleinanzeigen.de/s-anzeige/north-evo-12-qm-wie-duotone/2852930232-230-704", "Link")</f>
        <v/>
      </c>
      <c r="N1030" s="6">
        <f>HYPERLINK("C:\Projects\Kleinanzeigen-Scraper\offer_images\2852930232", "Link")</f>
        <v/>
      </c>
      <c r="O1030" t="inlineStr">
        <is>
          <t>Diana</t>
        </is>
      </c>
      <c r="P1030" s="6">
        <f>HYPERLINK("https://www.kleinanzeigen.de/s-bestandsliste.html?userId=19125442", "Link")</f>
        <v/>
      </c>
      <c r="Q1030" s="7" t="n">
        <v>45549.57972222222</v>
      </c>
      <c r="R1030" s="3" t="inlineStr">
        <is>
          <t>434.29</t>
        </is>
      </c>
      <c r="S1030" t="inlineStr">
        <is>
          <t>Köln</t>
        </is>
      </c>
    </row>
    <row r="1031">
      <c r="A1031" s="2" t="n">
        <v>6.5</v>
      </c>
      <c r="B1031" t="inlineStr">
        <is>
          <t>Severne Code Red</t>
        </is>
      </c>
      <c r="C1031" s="3" t="inlineStr"/>
      <c r="D1031" s="3" t="inlineStr"/>
      <c r="E1031" t="inlineStr"/>
      <c r="F1031" t="inlineStr"/>
      <c r="G1031" t="inlineStr">
        <is>
          <t>used</t>
        </is>
      </c>
      <c r="H1031" s="4" t="n">
        <v>105</v>
      </c>
      <c r="I1031" t="inlineStr">
        <is>
          <t>VB</t>
        </is>
      </c>
      <c r="J1031" t="inlineStr">
        <is>
          <t>23970 Mecklenburg-Vorpommern - Wismar</t>
        </is>
      </c>
      <c r="K1031" s="5" t="n">
        <v>45548</v>
      </c>
      <c r="L1031" t="inlineStr">
        <is>
          <t>Sold</t>
        </is>
      </c>
      <c r="M1031" s="6">
        <f>HYPERLINK("https://www.kleinanzeigen.de/s-anzeige/surfsegel-severne-code-red-6-5-m2-heute-fuer-105-/2862273587-230-224", "Link")</f>
        <v/>
      </c>
      <c r="N1031" s="6">
        <f>HYPERLINK("C:\Projects\Kleinanzeigen-Scraper\offer_images\2862273587", "Link")</f>
        <v/>
      </c>
      <c r="O1031" t="inlineStr">
        <is>
          <t>mario</t>
        </is>
      </c>
      <c r="P1031" s="6">
        <f>HYPERLINK("https://www.kleinanzeigen.de/s-bestandsliste.html?userId=142167779", "Link")</f>
        <v/>
      </c>
      <c r="Q1031" s="7" t="n">
        <v>45549.57972222222</v>
      </c>
      <c r="R1031" s="3" t="inlineStr">
        <is>
          <t>450.33</t>
        </is>
      </c>
      <c r="S1031" t="inlineStr">
        <is>
          <t>Köln</t>
        </is>
      </c>
    </row>
    <row r="1032">
      <c r="A1032" s="2" t="n">
        <v>9</v>
      </c>
      <c r="B1032" t="inlineStr">
        <is>
          <t>Duotone Rebel</t>
        </is>
      </c>
      <c r="C1032" s="3" t="inlineStr"/>
      <c r="D1032" s="3" t="inlineStr"/>
      <c r="E1032" t="inlineStr"/>
      <c r="F1032" t="inlineStr">
        <is>
          <t>2024</t>
        </is>
      </c>
      <c r="G1032" t="inlineStr">
        <is>
          <t>used</t>
        </is>
      </c>
      <c r="H1032" s="4" t="n">
        <v>1.38</v>
      </c>
      <c r="I1032" t="inlineStr"/>
      <c r="J1032" t="inlineStr">
        <is>
          <t>90451 Nürnberg (Mittelfr) - Aussenstadt-Sued</t>
        </is>
      </c>
      <c r="K1032" s="5" t="n">
        <v>45539</v>
      </c>
      <c r="L1032" t="inlineStr">
        <is>
          <t>Sold</t>
        </is>
      </c>
      <c r="M1032" s="6">
        <f>HYPERLINK("https://www.kleinanzeigen.de/s-anzeige/duotone-2024-rebel-9-0-qm/2853933769-230-6836", "Link")</f>
        <v/>
      </c>
      <c r="N1032" s="6">
        <f>HYPERLINK("C:\Projects\Kleinanzeigen-Scraper\offer_images\2853933769", "Link")</f>
        <v/>
      </c>
      <c r="O1032" t="inlineStr">
        <is>
          <t>No user name</t>
        </is>
      </c>
      <c r="P1032" s="6">
        <f>HYPERLINK("https://www.kleinanzeigen.deNo user link", "Link")</f>
        <v/>
      </c>
      <c r="Q1032" s="7" t="n">
        <v>45549.57971064815</v>
      </c>
      <c r="R1032" s="3" t="inlineStr">
        <is>
          <t>145.92</t>
        </is>
      </c>
      <c r="S1032" t="inlineStr">
        <is>
          <t>München</t>
        </is>
      </c>
    </row>
    <row r="1033">
      <c r="A1033" s="2" t="n">
        <v>9.6</v>
      </c>
      <c r="B1033" t="inlineStr">
        <is>
          <t>Loftsail</t>
        </is>
      </c>
      <c r="C1033" s="3" t="inlineStr"/>
      <c r="D1033" s="3" t="inlineStr"/>
      <c r="E1033" t="inlineStr"/>
      <c r="F1033" t="inlineStr"/>
      <c r="G1033" t="inlineStr">
        <is>
          <t>used</t>
        </is>
      </c>
      <c r="H1033" s="4" t="n">
        <v>50</v>
      </c>
      <c r="I1033" t="inlineStr"/>
      <c r="J1033" t="inlineStr">
        <is>
          <t>04249 Leipzig - Großzschocher</t>
        </is>
      </c>
      <c r="K1033" s="5" t="n">
        <v>45513</v>
      </c>
      <c r="L1033" t="inlineStr"/>
      <c r="M1033" s="6">
        <f>HYPERLINK("https://www.kleinanzeigen.de/s-anzeige/9-6-qm-segel-marke-loftsail/2832787615-230-4268", "Link")</f>
        <v/>
      </c>
      <c r="N1033" s="6">
        <f>HYPERLINK("C:\Projects\Kleinanzeigen-Scraper\offer_images\2832787615", "Link")</f>
        <v/>
      </c>
      <c r="O1033" t="inlineStr">
        <is>
          <t>Moser</t>
        </is>
      </c>
      <c r="P1033" s="6">
        <f>HYPERLINK("https://www.kleinanzeigen.de/s-bestandsliste.html?userId=14585017", "Link")</f>
        <v/>
      </c>
      <c r="Q1033" s="7" t="n">
        <v>45549.57969907407</v>
      </c>
      <c r="R1033" s="3" t="inlineStr">
        <is>
          <t>353.31</t>
        </is>
      </c>
      <c r="S1033" t="inlineStr">
        <is>
          <t>München</t>
        </is>
      </c>
    </row>
    <row r="1034">
      <c r="A1034" s="2" t="n">
        <v>9</v>
      </c>
      <c r="B1034" t="inlineStr">
        <is>
          <t>Loftsails Skyscape</t>
        </is>
      </c>
      <c r="C1034" s="3" t="n">
        <v>542</v>
      </c>
      <c r="D1034" s="3" t="inlineStr">
        <is>
          <t>224-222</t>
        </is>
      </c>
      <c r="E1034" t="inlineStr">
        <is>
          <t>Foil</t>
        </is>
      </c>
      <c r="F1034" t="inlineStr">
        <is>
          <t>2021</t>
        </is>
      </c>
      <c r="G1034" t="inlineStr">
        <is>
          <t>repaired</t>
        </is>
      </c>
      <c r="H1034" s="4" t="n">
        <v>199</v>
      </c>
      <c r="I1034" t="inlineStr"/>
      <c r="J1034" t="inlineStr">
        <is>
          <t>99991 Unstrut-Hainich - Weberstedt</t>
        </is>
      </c>
      <c r="K1034" s="5" t="n">
        <v>45500</v>
      </c>
      <c r="L1034" t="inlineStr">
        <is>
          <t>Sold</t>
        </is>
      </c>
      <c r="M1034" s="6">
        <f>HYPERLINK("https://www.kleinanzeigen.de/s-anzeige/windsurf-foil-segel-9-0-loftsails-skyscape/2822402746-230-27803", "Link")</f>
        <v/>
      </c>
      <c r="N1034" s="6">
        <f>HYPERLINK("C:\Projects\Kleinanzeigen-Scraper\offer_images\2822402746", "Link")</f>
        <v/>
      </c>
      <c r="O1034" t="inlineStr">
        <is>
          <t>Dirk Kolberg</t>
        </is>
      </c>
      <c r="P1034" s="6">
        <f>HYPERLINK("https://www.kleinanzeigen.de/s-bestandsliste.html?userId=57653293", "Link")</f>
        <v/>
      </c>
      <c r="Q1034" s="7" t="n">
        <v>45549.5796875</v>
      </c>
      <c r="R1034" s="3" t="inlineStr">
        <is>
          <t>254.19</t>
        </is>
      </c>
      <c r="S1034" t="inlineStr">
        <is>
          <t>Köln</t>
        </is>
      </c>
    </row>
    <row r="1035">
      <c r="A1035" s="2" t="n">
        <v>4.2</v>
      </c>
      <c r="B1035" t="inlineStr">
        <is>
          <t>Simmer Onshore</t>
        </is>
      </c>
      <c r="C1035" s="3" t="n">
        <v>401</v>
      </c>
      <c r="D1035" s="3" t="n">
        <v>152</v>
      </c>
      <c r="E1035" t="inlineStr"/>
      <c r="F1035" t="inlineStr"/>
      <c r="G1035" t="inlineStr">
        <is>
          <t>used</t>
        </is>
      </c>
      <c r="H1035" s="4" t="n">
        <v>15</v>
      </c>
      <c r="I1035" t="inlineStr"/>
      <c r="J1035" t="inlineStr">
        <is>
          <t>23562 Schleswig-Holstein - Lübeck</t>
        </is>
      </c>
      <c r="K1035" s="5" t="n">
        <v>45465</v>
      </c>
      <c r="L1035" t="inlineStr"/>
      <c r="M1035" s="6">
        <f>HYPERLINK("https://www.kleinanzeigen.de/s-anzeige/simmer-surfsegel-onshore-4-2qm/2794070160-230-423", "Link")</f>
        <v/>
      </c>
      <c r="N1035" s="6">
        <f>HYPERLINK("C:\Projects\Kleinanzeigen-Scraper\offer_images\2794070160", "Link")</f>
        <v/>
      </c>
      <c r="O1035" t="inlineStr">
        <is>
          <t>Ole W.</t>
        </is>
      </c>
      <c r="P1035" s="6">
        <f>HYPERLINK("https://www.kleinanzeigen.de/s-bestandsliste.html?userId=2699699", "Link")</f>
        <v/>
      </c>
      <c r="Q1035" s="7" t="n">
        <v>45549.5796412037</v>
      </c>
      <c r="R1035" s="3" t="inlineStr">
        <is>
          <t>410.15</t>
        </is>
      </c>
      <c r="S1035" t="inlineStr">
        <is>
          <t>Köln</t>
        </is>
      </c>
    </row>
    <row r="1036">
      <c r="A1036" s="2" t="n">
        <v>5</v>
      </c>
      <c r="B1036" t="inlineStr">
        <is>
          <t>Neil Pryde Neilpryde Combat HD</t>
        </is>
      </c>
      <c r="C1036" s="3" t="n">
        <v>400</v>
      </c>
      <c r="D1036" s="3" t="n">
        <v>168</v>
      </c>
      <c r="E1036" t="inlineStr"/>
      <c r="F1036" t="inlineStr">
        <is>
          <t>2017</t>
        </is>
      </c>
      <c r="G1036" t="inlineStr">
        <is>
          <t>used</t>
        </is>
      </c>
      <c r="H1036" s="4" t="n">
        <v>130</v>
      </c>
      <c r="I1036" t="inlineStr"/>
      <c r="J1036" t="inlineStr">
        <is>
          <t>25524 Schleswig-Holstein - Itzehoe</t>
        </is>
      </c>
      <c r="K1036" s="5" t="n">
        <v>45499</v>
      </c>
      <c r="L1036" t="inlineStr"/>
      <c r="M1036" s="6">
        <f>HYPERLINK("https://www.kleinanzeigen.de/s-anzeige/neil-pryde-neilpryde-combat-hd-5-0-windsurf-segel/2821796572-230-13329", "Link")</f>
        <v/>
      </c>
      <c r="N1036" s="6">
        <f>HYPERLINK("C:\Projects\Kleinanzeigen-Scraper\offer_images\2821796572", "Link")</f>
        <v/>
      </c>
      <c r="O1036" t="inlineStr">
        <is>
          <t>Hannes Voß</t>
        </is>
      </c>
      <c r="P1036" s="6">
        <f>HYPERLINK("https://www.kleinanzeigen.de/s-bestandsliste.html?userId=8547467", "Link")</f>
        <v/>
      </c>
      <c r="Q1036" s="7" t="n">
        <v>45549.57961805556</v>
      </c>
      <c r="R1036" s="3" t="inlineStr">
        <is>
          <t>375.94</t>
        </is>
      </c>
      <c r="S1036" t="inlineStr">
        <is>
          <t>Köln</t>
        </is>
      </c>
    </row>
    <row r="1037">
      <c r="A1037" s="2" t="n">
        <v>5.3</v>
      </c>
      <c r="B1037" t="inlineStr">
        <is>
          <t>Gunsails</t>
        </is>
      </c>
      <c r="C1037" s="3" t="inlineStr"/>
      <c r="D1037" s="3" t="inlineStr"/>
      <c r="E1037" t="inlineStr"/>
      <c r="F1037" t="inlineStr">
        <is>
          <t>2019</t>
        </is>
      </c>
      <c r="G1037" t="inlineStr">
        <is>
          <t>used</t>
        </is>
      </c>
      <c r="H1037" s="4" t="n">
        <v>99</v>
      </c>
      <c r="I1037" t="inlineStr">
        <is>
          <t>VB</t>
        </is>
      </c>
      <c r="J1037" t="inlineStr">
        <is>
          <t>20257 Eimsbüttel - Hamburg Eimsbüttel (Stadtteil)</t>
        </is>
      </c>
      <c r="K1037" s="5" t="n">
        <v>45513</v>
      </c>
      <c r="L1037" t="inlineStr"/>
      <c r="M1037" s="6">
        <f>HYPERLINK("https://www.kleinanzeigen.de/s-anzeige/gun-sail-gunsails-5-3-aus-2019/2832547101-230-9429", "Link")</f>
        <v/>
      </c>
      <c r="N1037" s="6">
        <f>HYPERLINK("C:\Projects\Kleinanzeigen-Scraper\offer_images\2832547101", "Link")</f>
        <v/>
      </c>
      <c r="O1037" t="inlineStr">
        <is>
          <t>Louisa U.</t>
        </is>
      </c>
      <c r="P1037" s="6">
        <f>HYPERLINK("https://www.kleinanzeigen.de/s-bestandsliste.html?userId=22746411", "Link")</f>
        <v/>
      </c>
      <c r="Q1037" s="7" t="n">
        <v>45549.57961805556</v>
      </c>
      <c r="R1037" s="3" t="inlineStr">
        <is>
          <t>356.84</t>
        </is>
      </c>
      <c r="S1037" t="inlineStr">
        <is>
          <t>Köln</t>
        </is>
      </c>
    </row>
    <row r="1038">
      <c r="A1038" s="2" t="n">
        <v>4.5</v>
      </c>
      <c r="B1038" t="inlineStr">
        <is>
          <t>Neilpryde Combat HD</t>
        </is>
      </c>
      <c r="C1038" s="3" t="n">
        <v>370</v>
      </c>
      <c r="D1038" s="3" t="n">
        <v>160</v>
      </c>
      <c r="E1038" t="inlineStr"/>
      <c r="F1038" t="inlineStr">
        <is>
          <t>2020</t>
        </is>
      </c>
      <c r="G1038" t="inlineStr">
        <is>
          <t>used</t>
        </is>
      </c>
      <c r="H1038" s="4" t="n">
        <v>150</v>
      </c>
      <c r="I1038" t="inlineStr">
        <is>
          <t>VB</t>
        </is>
      </c>
      <c r="J1038" t="inlineStr">
        <is>
          <t>23769 Fehmarn - Westfehmarn</t>
        </is>
      </c>
      <c r="K1038" s="5" t="n">
        <v>45558</v>
      </c>
      <c r="L1038" t="inlineStr"/>
      <c r="M1038" s="6">
        <f>HYPERLINK("https://www.kleinanzeigen.de/s-anzeige/neilpryde-combat-hd-4-5/2745579626-230-430", "Link")</f>
        <v/>
      </c>
      <c r="N1038" s="6">
        <f>HYPERLINK("C:\Projects\Kleinanzeigen-Scraper\offer_images\2745579626", "Link")</f>
        <v/>
      </c>
      <c r="O1038" t="inlineStr">
        <is>
          <t>No user name</t>
        </is>
      </c>
      <c r="P1038" s="6">
        <f>HYPERLINK("https://www.kleinanzeigen.deNo user link", "Link")</f>
        <v/>
      </c>
      <c r="Q1038" s="7" t="n">
        <v>45549.57959490741</v>
      </c>
      <c r="R1038" s="3" t="inlineStr">
        <is>
          <t>483.01</t>
        </is>
      </c>
      <c r="S1038" t="inlineStr">
        <is>
          <t>Köln</t>
        </is>
      </c>
    </row>
    <row r="1039">
      <c r="A1039" s="2" t="n">
        <v>5</v>
      </c>
      <c r="B1039" t="inlineStr">
        <is>
          <t>DUOTONE ECHO</t>
        </is>
      </c>
      <c r="C1039" s="3" t="inlineStr"/>
      <c r="D1039" s="3" t="inlineStr"/>
      <c r="E1039" t="inlineStr"/>
      <c r="F1039" t="inlineStr"/>
      <c r="G1039" t="inlineStr">
        <is>
          <t>new</t>
        </is>
      </c>
      <c r="H1039" s="4" t="n">
        <v>350</v>
      </c>
      <c r="I1039" t="inlineStr"/>
      <c r="J1039" t="inlineStr">
        <is>
          <t>79115 Baden-Württemberg - Freiburg im Breisgau</t>
        </is>
      </c>
      <c r="K1039" s="5" t="n">
        <v>45548</v>
      </c>
      <c r="L1039" t="inlineStr">
        <is>
          <t>Sold</t>
        </is>
      </c>
      <c r="M1039" s="6">
        <f>HYPERLINK("https://www.kleinanzeigen.de/s-anzeige/duotone-wing-echo-5-0/2857373051-230-9366", "Link")</f>
        <v/>
      </c>
      <c r="N1039" s="6">
        <f>HYPERLINK("C:\Projects\Kleinanzeigen-Scraper\offer_images\2857373051", "Link")</f>
        <v/>
      </c>
      <c r="O1039" t="inlineStr">
        <is>
          <t>Christian Vogt</t>
        </is>
      </c>
      <c r="P1039" s="6">
        <f>HYPERLINK("https://www.kleinanzeigen.de/s-bestandsliste.html?userId=11889225", "Link")</f>
        <v/>
      </c>
      <c r="Q1039" s="7" t="n">
        <v>45549.57956018519</v>
      </c>
      <c r="R1039" s="3" t="inlineStr">
        <is>
          <t>43.13</t>
        </is>
      </c>
      <c r="S1039" t="inlineStr">
        <is>
          <t>Bonndorf</t>
        </is>
      </c>
    </row>
    <row r="1040">
      <c r="A1040" s="2" t="n">
        <v>5.4</v>
      </c>
      <c r="B1040" t="inlineStr">
        <is>
          <t>Fanatic Slalom Cam</t>
        </is>
      </c>
      <c r="C1040" s="3" t="n">
        <v>455</v>
      </c>
      <c r="D1040" s="3" t="n">
        <v>175</v>
      </c>
      <c r="E1040" t="inlineStr"/>
      <c r="F1040" t="inlineStr"/>
      <c r="G1040" t="inlineStr">
        <is>
          <t>damaged</t>
        </is>
      </c>
      <c r="H1040" s="4" t="inlineStr">
        <is>
          <t>Zu verschenken</t>
        </is>
      </c>
      <c r="I1040" t="inlineStr"/>
      <c r="J1040" t="inlineStr">
        <is>
          <t>46419 Nordrhein-Westfalen - Isselburg</t>
        </is>
      </c>
      <c r="K1040" s="5" t="n">
        <v>45520</v>
      </c>
      <c r="L1040" t="inlineStr">
        <is>
          <t>Sold</t>
        </is>
      </c>
      <c r="M1040" s="6">
        <f>HYPERLINK("https://www.kleinanzeigen.de/s-anzeige/wind-surf-segel-fanatic-slalom-cam-5-4/2838554836-230-1848", "Link")</f>
        <v/>
      </c>
      <c r="N1040" s="6">
        <f>HYPERLINK("C:\Projects\Kleinanzeigen-Scraper\offer_images\2838554836", "Link")</f>
        <v/>
      </c>
      <c r="O1040" t="inlineStr">
        <is>
          <t>Menoolie</t>
        </is>
      </c>
      <c r="P1040" s="6">
        <f>HYPERLINK("https://www.kleinanzeigen.de/s-bestandsliste.html?userId=6864224", "Link")</f>
        <v/>
      </c>
      <c r="Q1040" s="7" t="n">
        <v>45549.57953703704</v>
      </c>
      <c r="R1040" s="3" t="inlineStr">
        <is>
          <t>105.11</t>
        </is>
      </c>
      <c r="S1040" t="inlineStr">
        <is>
          <t>Köln</t>
        </is>
      </c>
    </row>
    <row r="1041">
      <c r="A1041" s="2" t="n">
        <v>4</v>
      </c>
      <c r="B1041" t="inlineStr">
        <is>
          <t>Goya Storm</t>
        </is>
      </c>
      <c r="C1041" s="3" t="n">
        <v>430</v>
      </c>
      <c r="D1041" s="3" t="n">
        <v>145</v>
      </c>
      <c r="E1041" t="inlineStr"/>
      <c r="F1041" t="inlineStr"/>
      <c r="G1041" t="inlineStr">
        <is>
          <t>used</t>
        </is>
      </c>
      <c r="H1041" s="4" t="n">
        <v>100</v>
      </c>
      <c r="I1041" t="inlineStr"/>
      <c r="J1041" t="inlineStr">
        <is>
          <t>86150 Bayern - Augsburg</t>
        </is>
      </c>
      <c r="K1041" s="5" t="n">
        <v>45490</v>
      </c>
      <c r="L1041" t="inlineStr">
        <is>
          <t>Sold</t>
        </is>
      </c>
      <c r="M1041" s="6">
        <f>HYPERLINK("https://www.kleinanzeigen.de/s-anzeige/goya-storm-4-0-windsurf-segel/2814396083-230-7522", "Link")</f>
        <v/>
      </c>
      <c r="N1041" s="6">
        <f>HYPERLINK("C:\Projects\Kleinanzeigen-Scraper\offer_images\2814396083", "Link")</f>
        <v/>
      </c>
      <c r="O1041" t="inlineStr">
        <is>
          <t>Jürgen</t>
        </is>
      </c>
      <c r="P1041" s="6">
        <f>HYPERLINK("https://www.kleinanzeigen.de/s-bestandsliste.html?userId=36057654", "Link")</f>
        <v/>
      </c>
      <c r="Q1041" s="7" t="n">
        <v>45549.57951388889</v>
      </c>
      <c r="R1041" s="3" t="inlineStr">
        <is>
          <t>56.35</t>
        </is>
      </c>
      <c r="S1041" t="inlineStr">
        <is>
          <t>München</t>
        </is>
      </c>
    </row>
    <row r="1042">
      <c r="A1042" s="2" t="n">
        <v>6.7</v>
      </c>
      <c r="B1042" t="inlineStr">
        <is>
          <t>Neilpryde Hellcat</t>
        </is>
      </c>
      <c r="C1042" s="3" t="n">
        <v>430</v>
      </c>
      <c r="D1042" s="3" t="n">
        <v>200</v>
      </c>
      <c r="E1042" t="inlineStr"/>
      <c r="F1042" t="inlineStr"/>
      <c r="G1042" t="inlineStr">
        <is>
          <t>repaired</t>
        </is>
      </c>
      <c r="H1042" s="4" t="n">
        <v>119</v>
      </c>
      <c r="I1042" t="inlineStr">
        <is>
          <t>VB</t>
        </is>
      </c>
      <c r="J1042" t="inlineStr">
        <is>
          <t>19069 Nordwestmecklenburg - Landkreis - Zickhusen</t>
        </is>
      </c>
      <c r="K1042" s="5" t="n">
        <v>45500</v>
      </c>
      <c r="L1042" t="inlineStr"/>
      <c r="M1042" s="6">
        <f>HYPERLINK("https://www.kleinanzeigen.de/s-anzeige/neilpryde-neil-pryde-hellcat-6-7/2822350629-230-277", "Link")</f>
        <v/>
      </c>
      <c r="N1042" s="6">
        <f>HYPERLINK("C:\Projects\Kleinanzeigen-Scraper\offer_images\2822350629", "Link")</f>
        <v/>
      </c>
      <c r="O1042" t="inlineStr">
        <is>
          <t>WiMA</t>
        </is>
      </c>
      <c r="P1042" s="6">
        <f>HYPERLINK("https://www.kleinanzeigen.de/s-bestandsliste.html?userId=21647859", "Link")</f>
        <v/>
      </c>
      <c r="Q1042" s="7" t="n">
        <v>45549.57949074074</v>
      </c>
      <c r="R1042" s="3" t="inlineStr">
        <is>
          <t>433.23</t>
        </is>
      </c>
      <c r="S1042" t="inlineStr">
        <is>
          <t>Köln</t>
        </is>
      </c>
    </row>
    <row r="1043">
      <c r="A1043" s="2" t="n">
        <v>3.3</v>
      </c>
      <c r="B1043" t="inlineStr">
        <is>
          <t>Sailloft Quad</t>
        </is>
      </c>
      <c r="C1043" s="3" t="inlineStr"/>
      <c r="D1043" s="3" t="inlineStr"/>
      <c r="E1043" t="inlineStr"/>
      <c r="F1043" t="inlineStr"/>
      <c r="G1043" t="inlineStr">
        <is>
          <t>used</t>
        </is>
      </c>
      <c r="H1043" s="4" t="n">
        <v>120</v>
      </c>
      <c r="I1043" t="inlineStr">
        <is>
          <t>VB</t>
        </is>
      </c>
      <c r="J1043" t="inlineStr">
        <is>
          <t>08371 Sachsen - Glauchau</t>
        </is>
      </c>
      <c r="K1043" s="5" t="n">
        <v>45501</v>
      </c>
      <c r="L1043" t="inlineStr">
        <is>
          <t>Sold</t>
        </is>
      </c>
      <c r="M1043" s="6">
        <f>HYPERLINK("https://www.kleinanzeigen.de/s-anzeige/sailloft-quad-3-3/2822844835-230-4008", "Link")</f>
        <v/>
      </c>
      <c r="N1043" s="6">
        <f>HYPERLINK("C:\Projects\Kleinanzeigen-Scraper\offer_images\2822844835", "Link")</f>
        <v/>
      </c>
      <c r="O1043" t="inlineStr">
        <is>
          <t>Nicole Rose</t>
        </is>
      </c>
      <c r="P1043" s="6">
        <f>HYPERLINK("https://www.kleinanzeigen.de/s-bestandsliste.html?userId=27771075", "Link")</f>
        <v/>
      </c>
      <c r="Q1043" s="7" t="n">
        <v>45549.57949074074</v>
      </c>
      <c r="R1043" s="3" t="inlineStr">
        <is>
          <t>305.20</t>
        </is>
      </c>
      <c r="S1043" t="inlineStr">
        <is>
          <t>München</t>
        </is>
      </c>
    </row>
    <row r="1044">
      <c r="A1044" s="2" t="n">
        <v>10</v>
      </c>
      <c r="B1044" t="inlineStr">
        <is>
          <t>Naish Pivot</t>
        </is>
      </c>
      <c r="C1044" s="3" t="inlineStr"/>
      <c r="D1044" s="3" t="inlineStr"/>
      <c r="E1044" t="inlineStr"/>
      <c r="F1044" t="inlineStr">
        <is>
          <t>S27</t>
        </is>
      </c>
      <c r="G1044" t="inlineStr">
        <is>
          <t>used</t>
        </is>
      </c>
      <c r="H1044" s="4" t="n">
        <v>659</v>
      </c>
      <c r="I1044" t="inlineStr">
        <is>
          <t>VB</t>
        </is>
      </c>
      <c r="J1044" t="inlineStr">
        <is>
          <t>21244 Niedersachsen - Buchholz in der Nordheide</t>
        </is>
      </c>
      <c r="K1044" s="5" t="n">
        <v>45526</v>
      </c>
      <c r="L1044" t="inlineStr"/>
      <c r="M1044" s="6">
        <f>HYPERLINK("https://www.kleinanzeigen.de/s-anzeige/naish-pivot-10-s27-sehr-guter-zustand/2843383559-230-14101", "Link")</f>
        <v/>
      </c>
      <c r="N1044" s="6">
        <f>HYPERLINK("C:\Projects\Kleinanzeigen-Scraper\offer_images\2843383559", "Link")</f>
        <v/>
      </c>
      <c r="O1044" t="inlineStr">
        <is>
          <t>Philip</t>
        </is>
      </c>
      <c r="P1044" s="6">
        <f>HYPERLINK("https://www.kleinanzeigen.de/s-bestandsliste.html?userId=3491885", "Link")</f>
        <v/>
      </c>
      <c r="Q1044" s="7" t="n">
        <v>45549.57947916666</v>
      </c>
      <c r="R1044" s="3" t="inlineStr">
        <is>
          <t>330.99</t>
        </is>
      </c>
      <c r="S1044" t="inlineStr">
        <is>
          <t>Köln</t>
        </is>
      </c>
    </row>
    <row r="1045">
      <c r="A1045" s="2" t="n">
        <v>4.2</v>
      </c>
      <c r="B1045" t="inlineStr">
        <is>
          <t>Duotone Super Hero</t>
        </is>
      </c>
      <c r="C1045" s="3" t="inlineStr"/>
      <c r="D1045" s="3" t="inlineStr"/>
      <c r="E1045" t="inlineStr"/>
      <c r="F1045" t="inlineStr">
        <is>
          <t>2024</t>
        </is>
      </c>
      <c r="G1045" t="inlineStr">
        <is>
          <t>new</t>
        </is>
      </c>
      <c r="H1045" s="4" t="n">
        <v>600</v>
      </c>
      <c r="I1045" t="inlineStr"/>
      <c r="J1045" t="inlineStr">
        <is>
          <t>47058 Duisburg - Duisburg-Mitte</t>
        </is>
      </c>
      <c r="K1045" s="5" t="n">
        <v>45538</v>
      </c>
      <c r="L1045" t="inlineStr">
        <is>
          <t>Sold</t>
        </is>
      </c>
      <c r="M1045" s="6">
        <f>HYPERLINK("https://www.kleinanzeigen.de/s-anzeige/duotone-super-hero-4-2-modell-2024-neu/2853355993-230-2152", "Link")</f>
        <v/>
      </c>
      <c r="N1045" s="6">
        <f>HYPERLINK("C:\Projects\Kleinanzeigen-Scraper\offer_images\2853355993", "Link")</f>
        <v/>
      </c>
      <c r="O1045" t="inlineStr">
        <is>
          <t>Sebastian</t>
        </is>
      </c>
      <c r="P1045" s="6">
        <f>HYPERLINK("https://www.kleinanzeigen.de/s-bestandsliste.html?userId=14905691", "Link")</f>
        <v/>
      </c>
      <c r="Q1045" s="7" t="n">
        <v>45549.57946759259</v>
      </c>
      <c r="R1045" s="3" t="inlineStr">
        <is>
          <t>56.75</t>
        </is>
      </c>
      <c r="S1045" t="inlineStr">
        <is>
          <t>Köln</t>
        </is>
      </c>
    </row>
    <row r="1046">
      <c r="A1046" s="2" t="n">
        <v>5.9</v>
      </c>
      <c r="B1046" t="inlineStr">
        <is>
          <t>Point 7 Spy</t>
        </is>
      </c>
      <c r="C1046" s="3" t="inlineStr"/>
      <c r="D1046" s="3" t="inlineStr"/>
      <c r="E1046" t="inlineStr"/>
      <c r="F1046" t="inlineStr">
        <is>
          <t>2023</t>
        </is>
      </c>
      <c r="G1046" t="inlineStr">
        <is>
          <t>new</t>
        </is>
      </c>
      <c r="H1046" s="4" t="n">
        <v>259</v>
      </c>
      <c r="I1046" t="inlineStr"/>
      <c r="J1046" t="inlineStr">
        <is>
          <t>26180 Niedersachsen - Rastede</t>
        </is>
      </c>
      <c r="K1046" s="5" t="n">
        <v>45514</v>
      </c>
      <c r="L1046" t="inlineStr"/>
      <c r="M1046" s="6">
        <f>HYPERLINK("https://www.kleinanzeigen.de/s-anzeige/point-7-spy-5-9-2023-green/2833796387-230-2575", "Link")</f>
        <v/>
      </c>
      <c r="N1046" s="6">
        <f>HYPERLINK("C:\Projects\Kleinanzeigen-Scraper\offer_images\2833796387", "Link")</f>
        <v/>
      </c>
      <c r="O1046" t="inlineStr">
        <is>
          <t>Nils Jahn</t>
        </is>
      </c>
      <c r="P1046" s="6">
        <f>HYPERLINK("https://www.kleinanzeigen.de/s-bestandsliste.html?userId=10781145", "Link")</f>
        <v/>
      </c>
      <c r="Q1046" s="7" t="n">
        <v>45549.57946759259</v>
      </c>
      <c r="R1046" s="3" t="inlineStr">
        <is>
          <t>272.02</t>
        </is>
      </c>
      <c r="S1046" t="inlineStr">
        <is>
          <t>Köln</t>
        </is>
      </c>
    </row>
    <row r="1047">
      <c r="A1047" s="2" t="n">
        <v>8.6</v>
      </c>
      <c r="B1047" t="inlineStr">
        <is>
          <t>Point 7 AC ONE</t>
        </is>
      </c>
      <c r="C1047" s="3" t="n">
        <v>4.9</v>
      </c>
      <c r="D1047" s="3" t="n">
        <v>216</v>
      </c>
      <c r="E1047" t="inlineStr"/>
      <c r="F1047" t="inlineStr">
        <is>
          <t>5</t>
        </is>
      </c>
      <c r="G1047" t="inlineStr">
        <is>
          <t>used</t>
        </is>
      </c>
      <c r="H1047" s="4" t="n">
        <v>145</v>
      </c>
      <c r="I1047" t="inlineStr">
        <is>
          <t>VB</t>
        </is>
      </c>
      <c r="J1047" t="inlineStr">
        <is>
          <t>04435 Sachsen - Schkeuditz</t>
        </is>
      </c>
      <c r="K1047" s="5" t="n">
        <v>45438</v>
      </c>
      <c r="L1047" t="inlineStr"/>
      <c r="M1047" s="6">
        <f>HYPERLINK("https://www.kleinanzeigen.de/s-anzeige/point-7-ac-one-slalom-8-6-qm-mit-camber-windsurf-segel/2771799658-230-3900", "Link")</f>
        <v/>
      </c>
      <c r="N1047" s="6">
        <f>HYPERLINK("C:\Projects\Kleinanzeigen-Scraper\offer_images\2771799658", "Link")</f>
        <v/>
      </c>
      <c r="O1047" t="inlineStr">
        <is>
          <t>Rene Engelhardt</t>
        </is>
      </c>
      <c r="P1047" s="6">
        <f>HYPERLINK("https://www.kleinanzeigen.de/s-bestandsliste.html?userId=13452196", "Link")</f>
        <v/>
      </c>
      <c r="Q1047" s="7" t="n">
        <v>45549.57946759259</v>
      </c>
      <c r="R1047" s="3" t="inlineStr">
        <is>
          <t>367.46</t>
        </is>
      </c>
      <c r="S1047" t="inlineStr">
        <is>
          <t>München</t>
        </is>
      </c>
    </row>
    <row r="1048">
      <c r="A1048" s="2" t="n">
        <v>7</v>
      </c>
      <c r="B1048" t="inlineStr">
        <is>
          <t>SEVERNE NCX</t>
        </is>
      </c>
      <c r="C1048" s="3" t="inlineStr"/>
      <c r="D1048" s="3" t="inlineStr"/>
      <c r="E1048" t="inlineStr"/>
      <c r="F1048" t="inlineStr">
        <is>
          <t>2023</t>
        </is>
      </c>
      <c r="G1048" t="inlineStr">
        <is>
          <t>used</t>
        </is>
      </c>
      <c r="H1048" s="4" t="n">
        <v>490</v>
      </c>
      <c r="I1048" t="inlineStr"/>
      <c r="J1048" t="inlineStr">
        <is>
          <t>52134 Nordrhein-Westfalen - Herzogenrath</t>
        </is>
      </c>
      <c r="K1048" s="5" t="n">
        <v>45538</v>
      </c>
      <c r="L1048" t="inlineStr">
        <is>
          <t>Sold</t>
        </is>
      </c>
      <c r="M1048" s="6">
        <f>HYPERLINK("https://www.kleinanzeigen.de/s-anzeige/severne-ncx-7-0-2023/2853110084-230-1712", "Link")</f>
        <v/>
      </c>
      <c r="N1048" s="6">
        <f>HYPERLINK("C:\Projects\Kleinanzeigen-Scraper\offer_images\2853110084", "Link")</f>
        <v/>
      </c>
      <c r="O1048" t="inlineStr">
        <is>
          <t>Karin Buchholz</t>
        </is>
      </c>
      <c r="P1048" s="6">
        <f>HYPERLINK("https://www.kleinanzeigen.de/s-bestandsliste.html?userId=31104342", "Link")</f>
        <v/>
      </c>
      <c r="Q1048" s="7" t="n">
        <v>45549.57945601852</v>
      </c>
      <c r="R1048" s="3" t="inlineStr">
        <is>
          <t>59.57</t>
        </is>
      </c>
      <c r="S1048" t="inlineStr">
        <is>
          <t>Köln</t>
        </is>
      </c>
    </row>
    <row r="1049">
      <c r="A1049" s="2" t="n">
        <v>5</v>
      </c>
      <c r="B1049" t="inlineStr">
        <is>
          <t>Duotone Unit</t>
        </is>
      </c>
      <c r="C1049" s="3" t="inlineStr"/>
      <c r="D1049" s="3" t="inlineStr"/>
      <c r="E1049" t="inlineStr"/>
      <c r="F1049" t="inlineStr">
        <is>
          <t>2022</t>
        </is>
      </c>
      <c r="G1049" t="inlineStr">
        <is>
          <t>used</t>
        </is>
      </c>
      <c r="H1049" s="4" t="n">
        <v>395</v>
      </c>
      <c r="I1049" t="inlineStr">
        <is>
          <t>VB</t>
        </is>
      </c>
      <c r="J1049" t="inlineStr">
        <is>
          <t>50859 Lindenthal - Köln Lövenich</t>
        </is>
      </c>
      <c r="K1049" s="5" t="n">
        <v>45547</v>
      </c>
      <c r="L1049" t="inlineStr">
        <is>
          <t>Sold</t>
        </is>
      </c>
      <c r="M1049" s="6">
        <f>HYPERLINK("https://www.kleinanzeigen.de/s-anzeige/duotone-unit-5-0-2022/2861247899-230-18670", "Link")</f>
        <v/>
      </c>
      <c r="N1049" s="6">
        <f>HYPERLINK("C:\Projects\Kleinanzeigen-Scraper\offer_images\2861247899", "Link")</f>
        <v/>
      </c>
      <c r="O1049" t="inlineStr">
        <is>
          <t>Privater Anbieter</t>
        </is>
      </c>
      <c r="P1049" s="6">
        <f>HYPERLINK("https://www.kleinanzeigen.de/s-bestandsliste.html?userId=20410518", "Link")</f>
        <v/>
      </c>
      <c r="Q1049" s="7" t="n">
        <v>45549.57944444445</v>
      </c>
      <c r="R1049" s="3" t="inlineStr">
        <is>
          <t>8.43</t>
        </is>
      </c>
      <c r="S1049" t="inlineStr">
        <is>
          <t>Köln</t>
        </is>
      </c>
    </row>
    <row r="1050">
      <c r="A1050" s="2" t="n">
        <v>6.4</v>
      </c>
      <c r="B1050" t="inlineStr">
        <is>
          <t>Naish Lift</t>
        </is>
      </c>
      <c r="C1050" s="3" t="inlineStr"/>
      <c r="D1050" s="3" t="inlineStr"/>
      <c r="E1050" t="inlineStr">
        <is>
          <t>Foil</t>
        </is>
      </c>
      <c r="F1050" t="inlineStr"/>
      <c r="G1050" t="inlineStr">
        <is>
          <t>used</t>
        </is>
      </c>
      <c r="H1050" s="4" t="inlineStr"/>
      <c r="I1050" t="inlineStr">
        <is>
          <t>VB</t>
        </is>
      </c>
      <c r="J1050" t="inlineStr">
        <is>
          <t>14532 Brandenburg - Kleinmachnow</t>
        </is>
      </c>
      <c r="K1050" s="5" t="n">
        <v>45532</v>
      </c>
      <c r="L1050" t="inlineStr"/>
      <c r="M1050" s="6">
        <f>HYPERLINK("https://www.kleinanzeigen.de/s-anzeige/naish-lift-foil-segel-6-4/2848817923-230-7775", "Link")</f>
        <v/>
      </c>
      <c r="N1050" s="6">
        <f>HYPERLINK("C:\Projects\Kleinanzeigen-Scraper\offer_images\2848817923", "Link")</f>
        <v/>
      </c>
      <c r="O1050" t="inlineStr">
        <is>
          <t>Franz Konrad</t>
        </is>
      </c>
      <c r="P1050" s="6">
        <f>HYPERLINK("https://www.kleinanzeigen.de/s-bestandsliste.html?userId=39668257", "Link")</f>
        <v/>
      </c>
      <c r="Q1050" s="7" t="n">
        <v>45549.57943287037</v>
      </c>
      <c r="R1050" s="3" t="inlineStr">
        <is>
          <t>458.23</t>
        </is>
      </c>
      <c r="S1050" t="inlineStr">
        <is>
          <t>Köln</t>
        </is>
      </c>
    </row>
    <row r="1051">
      <c r="A1051" s="2" t="n">
        <v>5.4</v>
      </c>
      <c r="B1051" t="inlineStr">
        <is>
          <t>Neilpryde Alpha</t>
        </is>
      </c>
      <c r="C1051" s="3" t="inlineStr"/>
      <c r="D1051" s="3" t="inlineStr"/>
      <c r="E1051" t="inlineStr"/>
      <c r="F1051" t="inlineStr"/>
      <c r="G1051" t="inlineStr">
        <is>
          <t>repaired</t>
        </is>
      </c>
      <c r="H1051" s="4" t="n">
        <v>20</v>
      </c>
      <c r="I1051" t="inlineStr"/>
      <c r="J1051" t="inlineStr">
        <is>
          <t>44795 Bochum - Bochum-Südwest</t>
        </is>
      </c>
      <c r="K1051" s="5" t="n">
        <v>45532</v>
      </c>
      <c r="L1051" t="inlineStr"/>
      <c r="M1051" s="6">
        <f>HYPERLINK("https://www.kleinanzeigen.de/s-anzeige/neilpryde-alpha-5-4/2848806234-230-1944", "Link")</f>
        <v/>
      </c>
      <c r="N1051" s="6">
        <f>HYPERLINK("C:\Projects\Kleinanzeigen-Scraper\offer_images\2848806234", "Link")</f>
        <v/>
      </c>
      <c r="O1051" t="inlineStr">
        <is>
          <t>Marcel</t>
        </is>
      </c>
      <c r="P1051" s="6">
        <f>HYPERLINK("https://www.kleinanzeigen.de/s-bestandsliste.html?userId=5515801", "Link")</f>
        <v/>
      </c>
      <c r="Q1051" s="7" t="n">
        <v>45549.57943287037</v>
      </c>
      <c r="R1051" s="3" t="inlineStr">
        <is>
          <t>59.22</t>
        </is>
      </c>
      <c r="S1051" t="inlineStr">
        <is>
          <t>Köln</t>
        </is>
      </c>
    </row>
    <row r="1052">
      <c r="A1052" s="2" t="n">
        <v>4.5</v>
      </c>
      <c r="B1052" t="inlineStr">
        <is>
          <t>Naish Vibe</t>
        </is>
      </c>
      <c r="C1052" s="3" t="n">
        <v>400</v>
      </c>
      <c r="D1052" s="3" t="n">
        <v>154</v>
      </c>
      <c r="E1052" t="inlineStr"/>
      <c r="F1052" t="inlineStr"/>
      <c r="G1052" t="inlineStr">
        <is>
          <t>repaired</t>
        </is>
      </c>
      <c r="H1052" s="4" t="n">
        <v>150</v>
      </c>
      <c r="I1052" t="inlineStr">
        <is>
          <t>VB</t>
        </is>
      </c>
      <c r="J1052" t="inlineStr">
        <is>
          <t>21037 Bergedorf - Kirchwerder</t>
        </is>
      </c>
      <c r="K1052" s="5" t="n">
        <v>45512</v>
      </c>
      <c r="L1052" t="inlineStr"/>
      <c r="M1052" s="6">
        <f>HYPERLINK("https://www.kleinanzeigen.de/s-anzeige/windsurfsegel-naish-vibe-4-5-m2/2831945202-230-18570", "Link")</f>
        <v/>
      </c>
      <c r="N1052" s="6">
        <f>HYPERLINK("C:\Projects\Kleinanzeigen-Scraper\offer_images\2831945202", "Link")</f>
        <v/>
      </c>
      <c r="O1052" t="inlineStr">
        <is>
          <t>Windsurfing Hamburg GmbH</t>
        </is>
      </c>
      <c r="P1052" s="6">
        <f>HYPERLINK("https://www.kleinanzeigen.de/s-bestandsliste.html?userId=68035383", "Link")</f>
        <v/>
      </c>
      <c r="Q1052" s="7" t="n">
        <v>45549.57943287037</v>
      </c>
      <c r="R1052" s="3" t="inlineStr">
        <is>
          <t>354.05</t>
        </is>
      </c>
      <c r="S1052" t="inlineStr">
        <is>
          <t>Köln</t>
        </is>
      </c>
    </row>
    <row r="1053">
      <c r="A1053" s="2" t="n">
        <v>4.2</v>
      </c>
      <c r="B1053" t="inlineStr">
        <is>
          <t>Neilpryde NR</t>
        </is>
      </c>
      <c r="C1053" s="3" t="n">
        <v>400</v>
      </c>
      <c r="D1053" s="3" t="n">
        <v>190</v>
      </c>
      <c r="E1053" t="inlineStr">
        <is>
          <t>Wave</t>
        </is>
      </c>
      <c r="F1053" t="inlineStr"/>
      <c r="G1053" t="inlineStr"/>
      <c r="H1053" s="4" t="n">
        <v>33</v>
      </c>
      <c r="I1053" t="inlineStr"/>
      <c r="J1053" t="inlineStr">
        <is>
          <t>24220 Schleswig-Holstein - Boksee</t>
        </is>
      </c>
      <c r="K1053" s="5" t="n">
        <v>45474</v>
      </c>
      <c r="L1053" t="inlineStr">
        <is>
          <t>Sold</t>
        </is>
      </c>
      <c r="M1053" s="6">
        <f>HYPERLINK("https://www.kleinanzeigen.de/s-anzeige/neilpryde-nr-4-2-wave-segel-f-surfboard/2801284597-230-475", "Link")</f>
        <v/>
      </c>
      <c r="N1053" s="6">
        <f>HYPERLINK("C:\Projects\Kleinanzeigen-Scraper\offer_images\2801284597", "Link")</f>
        <v/>
      </c>
      <c r="O1053" t="inlineStr">
        <is>
          <t>Nico</t>
        </is>
      </c>
      <c r="P1053" s="6">
        <f>HYPERLINK("https://www.kleinanzeigen.de/s-bestandsliste.html?userId=3088120", "Link")</f>
        <v/>
      </c>
      <c r="Q1053" s="7" t="n">
        <v>45549.57942129629</v>
      </c>
      <c r="R1053" s="3" t="inlineStr">
        <is>
          <t>423.90</t>
        </is>
      </c>
      <c r="S1053" t="inlineStr">
        <is>
          <t>Köln</t>
        </is>
      </c>
    </row>
    <row r="1054">
      <c r="A1054" s="2" t="n">
        <v>8</v>
      </c>
      <c r="B1054" t="inlineStr">
        <is>
          <t>Severne NCX</t>
        </is>
      </c>
      <c r="C1054" s="3" t="n">
        <v>494</v>
      </c>
      <c r="D1054" s="3" t="n">
        <v>205</v>
      </c>
      <c r="E1054" t="inlineStr">
        <is>
          <t>Freerace</t>
        </is>
      </c>
      <c r="F1054" t="inlineStr">
        <is>
          <t>2015</t>
        </is>
      </c>
      <c r="G1054" t="inlineStr">
        <is>
          <t>used</t>
        </is>
      </c>
      <c r="H1054" s="4" t="n">
        <v>145</v>
      </c>
      <c r="I1054" t="inlineStr">
        <is>
          <t>VB</t>
        </is>
      </c>
      <c r="J1054" t="inlineStr">
        <is>
          <t>27568 Häfen - Bremerhaven</t>
        </is>
      </c>
      <c r="K1054" s="5" t="n">
        <v>45522</v>
      </c>
      <c r="L1054" t="inlineStr"/>
      <c r="M1054" s="6">
        <f>HYPERLINK("https://www.kleinanzeigen.de/s-anzeige/severne-ncx-8-0m-/2839490320-230-7", "Link")</f>
        <v/>
      </c>
      <c r="N1054" s="6">
        <f>HYPERLINK("C:\Projects\Kleinanzeigen-Scraper\offer_images\2839490320", "Link")</f>
        <v/>
      </c>
      <c r="O1054" t="inlineStr">
        <is>
          <t>Dietmar</t>
        </is>
      </c>
      <c r="P1054" s="6">
        <f>HYPERLINK("https://www.kleinanzeigen.de/s-bestandsliste.html?userId=22041845", "Link")</f>
        <v/>
      </c>
      <c r="Q1054" s="7" t="n">
        <v>45549.57940972222</v>
      </c>
      <c r="R1054" s="3" t="inlineStr">
        <is>
          <t>312.07</t>
        </is>
      </c>
      <c r="S1054" t="inlineStr">
        <is>
          <t>Köln</t>
        </is>
      </c>
    </row>
    <row r="1055">
      <c r="A1055" s="2" t="n">
        <v>9</v>
      </c>
      <c r="B1055" t="inlineStr">
        <is>
          <t>Naish Evolution</t>
        </is>
      </c>
      <c r="C1055" s="3" t="inlineStr"/>
      <c r="D1055" s="3" t="inlineStr"/>
      <c r="E1055" t="inlineStr"/>
      <c r="F1055" t="inlineStr"/>
      <c r="G1055" t="inlineStr">
        <is>
          <t>used</t>
        </is>
      </c>
      <c r="H1055" s="4" t="n">
        <v>50</v>
      </c>
      <c r="I1055" t="inlineStr"/>
      <c r="J1055" t="inlineStr">
        <is>
          <t>83064 Bayern - Raubling</t>
        </is>
      </c>
      <c r="K1055" s="5" t="n">
        <v>45499</v>
      </c>
      <c r="L1055" t="inlineStr"/>
      <c r="M1055" s="6">
        <f>HYPERLINK("https://www.kleinanzeigen.de/s-anzeige/naish-evolution-9-0-qm-segel-windsurf-no-neilpryde-north-duotone/2821858487-230-7579", "Link")</f>
        <v/>
      </c>
      <c r="N1055" s="6">
        <f>HYPERLINK("C:\Projects\Kleinanzeigen-Scraper\offer_images\2821858487", "Link")</f>
        <v/>
      </c>
      <c r="O1055" t="inlineStr">
        <is>
          <t>Alex</t>
        </is>
      </c>
      <c r="P1055" s="6">
        <f>HYPERLINK("https://www.kleinanzeigen.de/s-bestandsliste.html?userId=4390768", "Link")</f>
        <v/>
      </c>
      <c r="Q1055" s="7" t="n">
        <v>45549.57938657407</v>
      </c>
      <c r="R1055" s="3" t="inlineStr">
        <is>
          <t>53.54</t>
        </is>
      </c>
      <c r="S1055" t="inlineStr">
        <is>
          <t>München</t>
        </is>
      </c>
    </row>
    <row r="1056">
      <c r="A1056" s="2" t="n">
        <v>6.7</v>
      </c>
      <c r="B1056" t="inlineStr">
        <is>
          <t>Neilpryde Hellcat</t>
        </is>
      </c>
      <c r="C1056" s="3" t="n">
        <v>430</v>
      </c>
      <c r="D1056" s="3" t="n">
        <v>190</v>
      </c>
      <c r="E1056" t="inlineStr"/>
      <c r="F1056" t="inlineStr"/>
      <c r="G1056" t="inlineStr">
        <is>
          <t>new</t>
        </is>
      </c>
      <c r="H1056" s="4" t="n">
        <v>149</v>
      </c>
      <c r="I1056" t="inlineStr">
        <is>
          <t>VB</t>
        </is>
      </c>
      <c r="J1056" t="inlineStr">
        <is>
          <t>25746 Dithmarschen - Lohe-Rickelshof</t>
        </is>
      </c>
      <c r="K1056" s="5" t="n">
        <v>45535</v>
      </c>
      <c r="L1056" t="inlineStr">
        <is>
          <t>Sold</t>
        </is>
      </c>
      <c r="M1056" s="6">
        <f>HYPERLINK("https://www.kleinanzeigen.de/s-anzeige/windsurfsegel-neilpryde-hellcat-6-7/2850581931-230-16650", "Link")</f>
        <v/>
      </c>
      <c r="N1056" s="6">
        <f>HYPERLINK("C:\Projects\Kleinanzeigen-Scraper\offer_images\2850581931", "Link")</f>
        <v/>
      </c>
      <c r="O1056" t="inlineStr">
        <is>
          <t>M. Elsen</t>
        </is>
      </c>
      <c r="P1056" s="6">
        <f>HYPERLINK("https://www.kleinanzeigen.de/s-bestandsliste.html?userId=2258653", "Link")</f>
        <v/>
      </c>
      <c r="Q1056" s="7" t="n">
        <v>45549.57936342592</v>
      </c>
      <c r="R1056" s="3" t="inlineStr">
        <is>
          <t>389.26</t>
        </is>
      </c>
      <c r="S1056" t="inlineStr">
        <is>
          <t>Köln</t>
        </is>
      </c>
    </row>
    <row r="1057">
      <c r="A1057" s="2" t="n">
        <v>5.6</v>
      </c>
      <c r="B1057" t="inlineStr">
        <is>
          <t>Simmer Style</t>
        </is>
      </c>
      <c r="C1057" s="3" t="n">
        <v>430</v>
      </c>
      <c r="D1057" s="3" t="n">
        <v>175</v>
      </c>
      <c r="E1057" t="inlineStr"/>
      <c r="F1057" t="inlineStr"/>
      <c r="G1057" t="inlineStr">
        <is>
          <t>used</t>
        </is>
      </c>
      <c r="H1057" s="4" t="n">
        <v>150</v>
      </c>
      <c r="I1057" t="inlineStr">
        <is>
          <t>VB</t>
        </is>
      </c>
      <c r="J1057" t="inlineStr">
        <is>
          <t>52399 Nordrhein-Westfalen - Merzenich</t>
        </is>
      </c>
      <c r="K1057" s="5" t="n">
        <v>45538</v>
      </c>
      <c r="L1057" t="inlineStr"/>
      <c r="M1057" s="6">
        <f>HYPERLINK("https://www.kleinanzeigen.de/s-anzeige/simmer-windsurfsegel/2853208259-230-1766", "Link")</f>
        <v/>
      </c>
      <c r="N1057" s="6">
        <f>HYPERLINK("C:\Projects\Kleinanzeigen-Scraper\offer_images\2853208259", "Link")</f>
        <v/>
      </c>
      <c r="O1057" t="inlineStr">
        <is>
          <t>Mike</t>
        </is>
      </c>
      <c r="P1057" s="6">
        <f>HYPERLINK("https://www.kleinanzeigen.de/s-bestandsliste.html?userId=13676787", "Link")</f>
        <v/>
      </c>
      <c r="Q1057" s="7" t="n">
        <v>45549.57936342592</v>
      </c>
      <c r="R1057" s="3" t="inlineStr">
        <is>
          <t>32.32</t>
        </is>
      </c>
      <c r="S1057" t="inlineStr">
        <is>
          <t>Köln</t>
        </is>
      </c>
    </row>
    <row r="1058">
      <c r="A1058" s="2" t="n">
        <v>4.1</v>
      </c>
      <c r="B1058" t="inlineStr">
        <is>
          <t>Goya Eclipse</t>
        </is>
      </c>
      <c r="C1058" s="3" t="n">
        <v>387</v>
      </c>
      <c r="D1058" s="3" t="n">
        <v>155</v>
      </c>
      <c r="E1058" t="inlineStr"/>
      <c r="F1058" t="inlineStr"/>
      <c r="G1058" t="inlineStr">
        <is>
          <t>used</t>
        </is>
      </c>
      <c r="H1058" s="4" t="n">
        <v>110</v>
      </c>
      <c r="I1058" t="inlineStr">
        <is>
          <t>VB</t>
        </is>
      </c>
      <c r="J1058" t="inlineStr">
        <is>
          <t>50226 Nordrhein-Westfalen - Frechen</t>
        </is>
      </c>
      <c r="K1058" s="5" t="n">
        <v>45502</v>
      </c>
      <c r="L1058" t="inlineStr">
        <is>
          <t>Sold</t>
        </is>
      </c>
      <c r="M1058" s="6">
        <f>HYPERLINK("https://www.kleinanzeigen.de/s-anzeige/goya-eclipse-4-1-segel-sehr-gut/2824495992-230-1160", "Link")</f>
        <v/>
      </c>
      <c r="N1058" s="6">
        <f>HYPERLINK("C:\Projects\Kleinanzeigen-Scraper\offer_images\2824495992", "Link")</f>
        <v/>
      </c>
      <c r="O1058" t="inlineStr">
        <is>
          <t>Christoph</t>
        </is>
      </c>
      <c r="P1058" s="6">
        <f>HYPERLINK("https://www.kleinanzeigen.de/s-bestandsliste.html?userId=38595175", "Link")</f>
        <v/>
      </c>
      <c r="Q1058" s="7" t="n">
        <v>45549.57936342592</v>
      </c>
      <c r="R1058" s="3" t="inlineStr">
        <is>
          <t>11.81</t>
        </is>
      </c>
      <c r="S1058" t="inlineStr">
        <is>
          <t>Köln</t>
        </is>
      </c>
    </row>
    <row r="1059">
      <c r="A1059" s="2" t="n">
        <v>4.7</v>
      </c>
      <c r="B1059" t="inlineStr">
        <is>
          <t>Severne Blade</t>
        </is>
      </c>
      <c r="C1059" s="3" t="inlineStr"/>
      <c r="D1059" s="3" t="inlineStr"/>
      <c r="E1059" t="inlineStr"/>
      <c r="F1059" t="inlineStr"/>
      <c r="G1059" t="inlineStr">
        <is>
          <t>used, repaired</t>
        </is>
      </c>
      <c r="H1059" s="4" t="n">
        <v>50</v>
      </c>
      <c r="I1059" t="inlineStr"/>
      <c r="J1059" t="inlineStr">
        <is>
          <t>25336 Schleswig-Holstein - Elmshorn</t>
        </is>
      </c>
      <c r="K1059" s="5" t="n">
        <v>44682</v>
      </c>
      <c r="L1059" t="inlineStr"/>
      <c r="M1059" s="6">
        <f>HYPERLINK("https://www.kleinanzeigen.de/s-anzeige/severne-blade-4-7-qm-windsurfsegel/2093724877-230-19115", "Link")</f>
        <v/>
      </c>
      <c r="N1059" s="6">
        <f>HYPERLINK("C:\Projects\Kleinanzeigen-Scraper\offer_images\2093724877", "Link")</f>
        <v/>
      </c>
      <c r="O1059" t="inlineStr">
        <is>
          <t>Dirk Kamlah</t>
        </is>
      </c>
      <c r="P1059" s="6">
        <f>HYPERLINK("https://www.kleinanzeigen.de/s-bestandsliste.html?userId=12306815", "Link")</f>
        <v/>
      </c>
      <c r="Q1059" s="7" t="n">
        <v>45549.57936342592</v>
      </c>
      <c r="R1059" s="3" t="inlineStr">
        <is>
          <t>361.17</t>
        </is>
      </c>
      <c r="S1059" t="inlineStr">
        <is>
          <t>Köln</t>
        </is>
      </c>
    </row>
    <row r="1060">
      <c r="A1060" s="2" t="n">
        <v>9</v>
      </c>
      <c r="B1060" t="inlineStr">
        <is>
          <t>NeilPryde RS Racing Evo XIII</t>
        </is>
      </c>
      <c r="C1060" s="3" t="n">
        <v>538</v>
      </c>
      <c r="D1060" s="3" t="inlineStr">
        <is>
          <t>215-222</t>
        </is>
      </c>
      <c r="E1060" t="inlineStr"/>
      <c r="F1060" t="inlineStr"/>
      <c r="G1060" t="inlineStr">
        <is>
          <t>used</t>
        </is>
      </c>
      <c r="H1060" s="4" t="n">
        <v>499</v>
      </c>
      <c r="I1060" t="inlineStr"/>
      <c r="J1060" t="inlineStr">
        <is>
          <t>86647 Bayern - Buttenwiesen</t>
        </is>
      </c>
      <c r="K1060" s="5" t="n">
        <v>45497</v>
      </c>
      <c r="L1060" t="inlineStr"/>
      <c r="M1060" s="6">
        <f>HYPERLINK("https://www.kleinanzeigen.de/s-anzeige/neilpryde-segel-rs-racing-evo-xiii-9-0/2820274952-230-7154", "Link")</f>
        <v/>
      </c>
      <c r="N1060" s="6">
        <f>HYPERLINK("C:\Projects\Kleinanzeigen-Scraper\offer_images\2820274952", "Link")</f>
        <v/>
      </c>
      <c r="O1060" t="inlineStr">
        <is>
          <t>Bernd Stegmüller</t>
        </is>
      </c>
      <c r="P1060" s="6">
        <f>HYPERLINK("https://www.kleinanzeigen.de/s-bestandsliste.html?userId=1577517", "Link")</f>
        <v/>
      </c>
      <c r="Q1060" s="7" t="n">
        <v>45549.57936342592</v>
      </c>
      <c r="R1060" s="3" t="inlineStr">
        <is>
          <t>81.65</t>
        </is>
      </c>
      <c r="S1060" t="inlineStr">
        <is>
          <t>München</t>
        </is>
      </c>
    </row>
    <row r="1061">
      <c r="A1061" s="2" t="n">
        <v>8.6</v>
      </c>
      <c r="B1061" t="inlineStr">
        <is>
          <t>Point 7 AC 1</t>
        </is>
      </c>
      <c r="C1061" s="3" t="inlineStr"/>
      <c r="D1061" s="3" t="inlineStr"/>
      <c r="E1061" t="inlineStr"/>
      <c r="F1061" t="inlineStr"/>
      <c r="G1061" t="inlineStr">
        <is>
          <t>used</t>
        </is>
      </c>
      <c r="H1061" s="4" t="n">
        <v>130</v>
      </c>
      <c r="I1061" t="inlineStr">
        <is>
          <t>VB</t>
        </is>
      </c>
      <c r="J1061" t="inlineStr">
        <is>
          <t>24306 Schleswig-Holstein - Plön</t>
        </is>
      </c>
      <c r="K1061" s="5" t="n">
        <v>45403</v>
      </c>
      <c r="L1061" t="inlineStr"/>
      <c r="M1061" s="6">
        <f>HYPERLINK("https://www.kleinanzeigen.de/s-anzeige/point-7-ac-1-surfsegel-8-6/2740974174-230-13384", "Link")</f>
        <v/>
      </c>
      <c r="N1061" s="6">
        <f>HYPERLINK("C:\Projects\Kleinanzeigen-Scraper\offer_images\2740974174", "Link")</f>
        <v/>
      </c>
      <c r="O1061" t="inlineStr">
        <is>
          <t>Maik</t>
        </is>
      </c>
      <c r="P1061" s="6">
        <f>HYPERLINK("https://www.kleinanzeigen.de/s-bestandsliste.html?userId=3361448", "Link")</f>
        <v/>
      </c>
      <c r="Q1061" s="7" t="n">
        <v>45549.57935185185</v>
      </c>
      <c r="R1061" s="3" t="inlineStr">
        <is>
          <t>429.16</t>
        </is>
      </c>
      <c r="S1061" t="inlineStr">
        <is>
          <t>Köln</t>
        </is>
      </c>
    </row>
    <row r="1062">
      <c r="A1062" s="2" t="n">
        <v>4</v>
      </c>
      <c r="B1062" t="inlineStr">
        <is>
          <t>Severne Freek</t>
        </is>
      </c>
      <c r="C1062" s="3" t="inlineStr"/>
      <c r="D1062" s="3" t="inlineStr"/>
      <c r="E1062" t="inlineStr">
        <is>
          <t>Freestyle</t>
        </is>
      </c>
      <c r="F1062" t="inlineStr">
        <is>
          <t>2022</t>
        </is>
      </c>
      <c r="G1062" t="inlineStr">
        <is>
          <t>used</t>
        </is>
      </c>
      <c r="H1062" s="4" t="n">
        <v>250</v>
      </c>
      <c r="I1062" t="inlineStr">
        <is>
          <t>VB</t>
        </is>
      </c>
      <c r="J1062" t="inlineStr">
        <is>
          <t>42489 Nordrhein-Westfalen - Wülfrath</t>
        </is>
      </c>
      <c r="K1062" s="5" t="n">
        <v>45504</v>
      </c>
      <c r="L1062" t="inlineStr"/>
      <c r="M1062" s="6">
        <f>HYPERLINK("https://www.kleinanzeigen.de/s-anzeige/severne-freek-4-0-surfsegel/2825897817-230-1554", "Link")</f>
        <v/>
      </c>
      <c r="N1062" s="6">
        <f>HYPERLINK("C:\Projects\Kleinanzeigen-Scraper\offer_images\2825897817", "Link")</f>
        <v/>
      </c>
      <c r="O1062" t="inlineStr">
        <is>
          <t>Finn Laschet</t>
        </is>
      </c>
      <c r="P1062" s="6">
        <f>HYPERLINK("https://www.kleinanzeigen.de/s-bestandsliste.html?userId=53338405", "Link")</f>
        <v/>
      </c>
      <c r="Q1062" s="7" t="n">
        <v>45549.57934027778</v>
      </c>
      <c r="R1062" s="3" t="inlineStr">
        <is>
          <t>39.28</t>
        </is>
      </c>
      <c r="S1062" t="inlineStr">
        <is>
          <t>Köln</t>
        </is>
      </c>
    </row>
    <row r="1063">
      <c r="A1063" s="2" t="n">
        <v>7.8</v>
      </c>
      <c r="B1063" t="inlineStr">
        <is>
          <t>Point-7 AC One</t>
        </is>
      </c>
      <c r="C1063" s="3" t="n">
        <v>460</v>
      </c>
      <c r="D1063" s="3" t="inlineStr"/>
      <c r="E1063" t="inlineStr"/>
      <c r="F1063" t="inlineStr"/>
      <c r="G1063" t="inlineStr">
        <is>
          <t>used</t>
        </is>
      </c>
      <c r="H1063" s="4" t="n">
        <v>100</v>
      </c>
      <c r="I1063" t="inlineStr">
        <is>
          <t>VB</t>
        </is>
      </c>
      <c r="J1063" t="inlineStr">
        <is>
          <t>07749 Thüringen - Jena</t>
        </is>
      </c>
      <c r="K1063" s="5" t="n">
        <v>45517</v>
      </c>
      <c r="L1063" t="inlineStr"/>
      <c r="M1063" s="6">
        <f>HYPERLINK("https://www.kleinanzeigen.de/s-anzeige/point-7-ac-one-7-8/2835702150-230-3773", "Link")</f>
        <v/>
      </c>
      <c r="N1063" s="6">
        <f>HYPERLINK("C:\Projects\Kleinanzeigen-Scraper\offer_images\2835702150", "Link")</f>
        <v/>
      </c>
      <c r="O1063" t="inlineStr">
        <is>
          <t>Thomas Hennig</t>
        </is>
      </c>
      <c r="P1063" s="6">
        <f>HYPERLINK("https://www.kleinanzeigen.de/s-bestandsliste.html?userId=29399888", "Link")</f>
        <v/>
      </c>
      <c r="Q1063" s="7" t="n">
        <v>45549.57934027778</v>
      </c>
      <c r="R1063" s="3" t="inlineStr">
        <is>
          <t>311.14</t>
        </is>
      </c>
      <c r="S1063" t="inlineStr">
        <is>
          <t>München</t>
        </is>
      </c>
    </row>
    <row r="1064">
      <c r="A1064" s="2" t="n">
        <v>4.2</v>
      </c>
      <c r="B1064" t="inlineStr">
        <is>
          <t>GUN Sails</t>
        </is>
      </c>
      <c r="C1064" s="3" t="n">
        <v>4.15</v>
      </c>
      <c r="D1064" s="3" t="n">
        <v>2.15</v>
      </c>
      <c r="E1064" t="inlineStr">
        <is>
          <t>Wave Slalom</t>
        </is>
      </c>
      <c r="F1064" t="inlineStr"/>
      <c r="G1064" t="inlineStr">
        <is>
          <t>used</t>
        </is>
      </c>
      <c r="H1064" s="4" t="n">
        <v>58</v>
      </c>
      <c r="I1064" t="inlineStr">
        <is>
          <t>VB</t>
        </is>
      </c>
      <c r="J1064" t="inlineStr">
        <is>
          <t>91161 Bayern - Hilpoltstein</t>
        </is>
      </c>
      <c r="K1064" s="5" t="n">
        <v>45437</v>
      </c>
      <c r="L1064" t="inlineStr"/>
      <c r="M1064" s="6">
        <f>HYPERLINK("https://www.kleinanzeigen.de/s-anzeige/windsurfsegel-gun-sails-wave-slalom-4-2-qm/2770402664-230-5624", "Link")</f>
        <v/>
      </c>
      <c r="N1064" s="6">
        <f>HYPERLINK("C:\Projects\Kleinanzeigen-Scraper\offer_images\2770402664", "Link")</f>
        <v/>
      </c>
      <c r="O1064" t="inlineStr">
        <is>
          <t>Klaus</t>
        </is>
      </c>
      <c r="P1064" s="6">
        <f>HYPERLINK("https://www.kleinanzeigen.de/s-bestandsliste.html?userId=19666860", "Link")</f>
        <v/>
      </c>
      <c r="Q1064" s="7" t="n">
        <v>45549.57934027778</v>
      </c>
      <c r="R1064" s="3" t="inlineStr">
        <is>
          <t>118.01</t>
        </is>
      </c>
      <c r="S1064" t="inlineStr">
        <is>
          <t>München</t>
        </is>
      </c>
    </row>
    <row r="1065">
      <c r="A1065" s="2" t="n">
        <v>7.5</v>
      </c>
      <c r="B1065" t="inlineStr">
        <is>
          <t>Gun Sails Cannonball</t>
        </is>
      </c>
      <c r="C1065" s="3" t="inlineStr"/>
      <c r="D1065" s="3" t="inlineStr"/>
      <c r="E1065" t="inlineStr"/>
      <c r="F1065" t="inlineStr"/>
      <c r="G1065" t="inlineStr">
        <is>
          <t>used</t>
        </is>
      </c>
      <c r="H1065" s="4" t="n">
        <v>120</v>
      </c>
      <c r="I1065" t="inlineStr">
        <is>
          <t>VB</t>
        </is>
      </c>
      <c r="J1065" t="inlineStr">
        <is>
          <t>49196 Niedersachsen - Bad Laer</t>
        </is>
      </c>
      <c r="K1065" s="5" t="n">
        <v>45500</v>
      </c>
      <c r="L1065" t="inlineStr">
        <is>
          <t>Sold</t>
        </is>
      </c>
      <c r="M1065" s="6">
        <f>HYPERLINK("https://www.kleinanzeigen.de/s-anzeige/gun-sails-cannonball-7-5/2822500815-230-1633", "Link")</f>
        <v/>
      </c>
      <c r="N1065" s="6">
        <f>HYPERLINK("C:\Projects\Kleinanzeigen-Scraper\offer_images\2822500815", "Link")</f>
        <v/>
      </c>
      <c r="O1065" t="inlineStr">
        <is>
          <t>Aaron G</t>
        </is>
      </c>
      <c r="P1065" s="6">
        <f>HYPERLINK("https://www.kleinanzeigen.de/s-bestandsliste.html?userId=74299464", "Link")</f>
        <v/>
      </c>
      <c r="Q1065" s="7" t="n">
        <v>45549.5793287037</v>
      </c>
      <c r="R1065" s="3" t="inlineStr">
        <is>
          <t>150.47</t>
        </is>
      </c>
      <c r="S1065" t="inlineStr">
        <is>
          <t>Köln</t>
        </is>
      </c>
    </row>
    <row r="1066">
      <c r="A1066" s="2" t="n">
        <v>8.5</v>
      </c>
      <c r="B1066" t="inlineStr">
        <is>
          <t>Severne Raceboard</t>
        </is>
      </c>
      <c r="C1066" s="3" t="inlineStr"/>
      <c r="D1066" s="3" t="inlineStr"/>
      <c r="E1066" t="inlineStr"/>
      <c r="F1066" t="inlineStr">
        <is>
          <t>2016</t>
        </is>
      </c>
      <c r="G1066" t="inlineStr">
        <is>
          <t>new</t>
        </is>
      </c>
      <c r="H1066" s="4" t="n">
        <v>400</v>
      </c>
      <c r="I1066" t="inlineStr"/>
      <c r="J1066" t="inlineStr">
        <is>
          <t>82467 Bayern - Garmisch-Partenkirchen</t>
        </is>
      </c>
      <c r="K1066" s="5" t="n">
        <v>45522</v>
      </c>
      <c r="L1066" t="inlineStr"/>
      <c r="M1066" s="6">
        <f>HYPERLINK("https://www.kleinanzeigen.de/s-anzeige/windsurfsegel-severne-raceboard-8-5-neu/2839575306-230-6338", "Link")</f>
        <v/>
      </c>
      <c r="N1066" s="6">
        <f>HYPERLINK("C:\Projects\Kleinanzeigen-Scraper\offer_images\2839575306", "Link")</f>
        <v/>
      </c>
      <c r="O1066" t="inlineStr">
        <is>
          <t>Stephan</t>
        </is>
      </c>
      <c r="P1066" s="6">
        <f>HYPERLINK("https://www.kleinanzeigen.de/s-bestandsliste.html?userId=24549656", "Link")</f>
        <v/>
      </c>
      <c r="Q1066" s="7" t="n">
        <v>45549.57931712963</v>
      </c>
      <c r="R1066" s="3" t="inlineStr">
        <is>
          <t>80.76</t>
        </is>
      </c>
      <c r="S1066" t="inlineStr">
        <is>
          <t>München</t>
        </is>
      </c>
    </row>
    <row r="1067">
      <c r="A1067" s="2" t="n">
        <v>4.6</v>
      </c>
      <c r="B1067" t="inlineStr">
        <is>
          <t>Sailloft Quad</t>
        </is>
      </c>
      <c r="C1067" s="3" t="inlineStr"/>
      <c r="D1067" s="3" t="inlineStr"/>
      <c r="E1067" t="inlineStr"/>
      <c r="F1067" t="inlineStr"/>
      <c r="G1067" t="inlineStr">
        <is>
          <t>used</t>
        </is>
      </c>
      <c r="H1067" s="4" t="n">
        <v>250</v>
      </c>
      <c r="I1067" t="inlineStr">
        <is>
          <t>VB</t>
        </is>
      </c>
      <c r="J1067" t="inlineStr">
        <is>
          <t>08371 Sachsen - Glauchau</t>
        </is>
      </c>
      <c r="K1067" s="5" t="n">
        <v>45501</v>
      </c>
      <c r="L1067" t="inlineStr">
        <is>
          <t>Sold</t>
        </is>
      </c>
      <c r="M1067" s="6">
        <f>HYPERLINK("https://www.kleinanzeigen.de/s-anzeige/sailloft-quad-4-6/2822843230-230-4008", "Link")</f>
        <v/>
      </c>
      <c r="N1067" s="6">
        <f>HYPERLINK("C:\Projects\Kleinanzeigen-Scraper\offer_images\2822843230", "Link")</f>
        <v/>
      </c>
      <c r="O1067" t="inlineStr">
        <is>
          <t>Nicole Rose</t>
        </is>
      </c>
      <c r="P1067" s="6">
        <f>HYPERLINK("https://www.kleinanzeigen.de/s-bestandsliste.html?userId=27771075", "Link")</f>
        <v/>
      </c>
      <c r="Q1067" s="7" t="n">
        <v>45549.57931712963</v>
      </c>
      <c r="R1067" s="3" t="inlineStr">
        <is>
          <t>305.20</t>
        </is>
      </c>
      <c r="S1067" t="inlineStr">
        <is>
          <t>München</t>
        </is>
      </c>
    </row>
    <row r="1068">
      <c r="A1068" s="2" t="n">
        <v>6.2</v>
      </c>
      <c r="B1068" t="inlineStr">
        <is>
          <t>Point 7 AC1</t>
        </is>
      </c>
      <c r="C1068" s="3" t="n">
        <v>400</v>
      </c>
      <c r="D1068" s="3" t="n">
        <v>192</v>
      </c>
      <c r="E1068" t="inlineStr"/>
      <c r="F1068" t="inlineStr"/>
      <c r="G1068" t="inlineStr">
        <is>
          <t>used</t>
        </is>
      </c>
      <c r="H1068" s="4" t="n">
        <v>250</v>
      </c>
      <c r="I1068" t="inlineStr"/>
      <c r="J1068" t="inlineStr">
        <is>
          <t>10245 Friedrichshain-Kreuzberg - Friedrichshain</t>
        </is>
      </c>
      <c r="K1068" s="5" t="n">
        <v>45532</v>
      </c>
      <c r="L1068" t="inlineStr"/>
      <c r="M1068" s="6">
        <f>HYPERLINK("https://www.kleinanzeigen.de/s-anzeige/windsurfsegel-point-7-ac1-6-2/2848435966-230-3352", "Link")</f>
        <v/>
      </c>
      <c r="N1068" s="6">
        <f>HYPERLINK("C:\Projects\Kleinanzeigen-Scraper\offer_images\2848435966", "Link")</f>
        <v/>
      </c>
      <c r="O1068" t="inlineStr">
        <is>
          <t>Andreas</t>
        </is>
      </c>
      <c r="P1068" s="6">
        <f>HYPERLINK("https://www.kleinanzeigen.de/s-bestandsliste.html?userId=69753985", "Link")</f>
        <v/>
      </c>
      <c r="Q1068" s="7" t="n">
        <v>45549.57930555556</v>
      </c>
      <c r="R1068" s="3" t="inlineStr">
        <is>
          <t>480.20</t>
        </is>
      </c>
      <c r="S1068" t="inlineStr">
        <is>
          <t>Köln</t>
        </is>
      </c>
    </row>
    <row r="1069">
      <c r="A1069" s="2" t="n">
        <v>5</v>
      </c>
      <c r="B1069" t="inlineStr">
        <is>
          <t>Neil Pryde Solo</t>
        </is>
      </c>
      <c r="C1069" s="3" t="n">
        <v>415</v>
      </c>
      <c r="D1069" s="3" t="n">
        <v>173</v>
      </c>
      <c r="E1069" t="inlineStr"/>
      <c r="F1069" t="inlineStr"/>
      <c r="G1069" t="inlineStr">
        <is>
          <t>used</t>
        </is>
      </c>
      <c r="H1069" s="4" t="n">
        <v>40</v>
      </c>
      <c r="I1069" t="inlineStr"/>
      <c r="J1069" t="inlineStr">
        <is>
          <t>16540 Brandenburg - Hohen Neuendorf</t>
        </is>
      </c>
      <c r="K1069" s="5" t="n">
        <v>45523</v>
      </c>
      <c r="L1069" t="inlineStr">
        <is>
          <t>Sold</t>
        </is>
      </c>
      <c r="M1069" s="6">
        <f>HYPERLINK("https://www.kleinanzeigen.de/s-anzeige/neil-pryde-solo-5-0-neilpryde/2841406459-230-7777", "Link")</f>
        <v/>
      </c>
      <c r="N1069" s="6">
        <f>HYPERLINK("C:\Projects\Kleinanzeigen-Scraper\offer_images\2841406459", "Link")</f>
        <v/>
      </c>
      <c r="O1069" t="inlineStr">
        <is>
          <t>Jens</t>
        </is>
      </c>
      <c r="P1069" s="6">
        <f>HYPERLINK("https://www.kleinanzeigen.de/s-bestandsliste.html?userId=20561068", "Link")</f>
        <v/>
      </c>
      <c r="Q1069" s="7" t="n">
        <v>45549.57929398148</v>
      </c>
      <c r="R1069" s="3" t="inlineStr">
        <is>
          <t>474.32</t>
        </is>
      </c>
      <c r="S1069" t="inlineStr">
        <is>
          <t>Köln</t>
        </is>
      </c>
    </row>
    <row r="1070">
      <c r="A1070" s="2" t="n">
        <v>6.5</v>
      </c>
      <c r="B1070" t="inlineStr">
        <is>
          <t>Severne C2</t>
        </is>
      </c>
      <c r="C1070" s="3" t="n">
        <v>460</v>
      </c>
      <c r="D1070" s="3" t="inlineStr"/>
      <c r="E1070" t="inlineStr"/>
      <c r="F1070" t="inlineStr"/>
      <c r="G1070" t="inlineStr">
        <is>
          <t>used</t>
        </is>
      </c>
      <c r="H1070" s="4" t="n">
        <v>115</v>
      </c>
      <c r="I1070" t="inlineStr">
        <is>
          <t>VB</t>
        </is>
      </c>
      <c r="J1070" t="inlineStr">
        <is>
          <t>46395 Nordrhein-Westfalen - Bocholt</t>
        </is>
      </c>
      <c r="K1070" s="5" t="n">
        <v>45459</v>
      </c>
      <c r="L1070" t="inlineStr">
        <is>
          <t>Sold</t>
        </is>
      </c>
      <c r="M1070" s="6">
        <f>HYPERLINK("https://www.kleinanzeigen.de/s-anzeige/severne-c2-twin-cam-segel-surfen/2789223551-230-1849", "Link")</f>
        <v/>
      </c>
      <c r="N1070" s="6">
        <f>HYPERLINK("C:\Projects\Kleinanzeigen-Scraper\offer_images\2789223551", "Link")</f>
        <v/>
      </c>
      <c r="O1070" t="inlineStr">
        <is>
          <t>Björn</t>
        </is>
      </c>
      <c r="P1070" s="6">
        <f>HYPERLINK("https://www.kleinanzeigen.de/s-bestandsliste.html?userId=38124741", "Link")</f>
        <v/>
      </c>
      <c r="Q1070" s="7" t="n">
        <v>45549.57928240741</v>
      </c>
      <c r="R1070" s="3" t="inlineStr">
        <is>
          <t>101.96</t>
        </is>
      </c>
      <c r="S1070" t="inlineStr">
        <is>
          <t>Köln</t>
        </is>
      </c>
    </row>
    <row r="1071">
      <c r="A1071" s="2" t="n">
        <v>4.2</v>
      </c>
      <c r="B1071" t="inlineStr">
        <is>
          <t>North Sails (Duotone) ICE</t>
        </is>
      </c>
      <c r="C1071" s="3" t="n">
        <v>399</v>
      </c>
      <c r="D1071" s="3" t="n">
        <v>151</v>
      </c>
      <c r="E1071" t="inlineStr"/>
      <c r="F1071" t="inlineStr"/>
      <c r="G1071" t="inlineStr">
        <is>
          <t>used, very good condition</t>
        </is>
      </c>
      <c r="H1071" s="4" t="n">
        <v>111</v>
      </c>
      <c r="I1071" t="inlineStr">
        <is>
          <t>VB</t>
        </is>
      </c>
      <c r="J1071" t="inlineStr">
        <is>
          <t>23909 Herzogtum Lauenburg - Ratzeburg</t>
        </is>
      </c>
      <c r="K1071" s="5" t="n">
        <v>45547</v>
      </c>
      <c r="L1071" t="inlineStr">
        <is>
          <t>Sold</t>
        </is>
      </c>
      <c r="M1071" s="6">
        <f>HYPERLINK("https://www.kleinanzeigen.de/s-anzeige/north-sails-duotone-ice-4-2-top-wavesegel/2861263346-230-811", "Link")</f>
        <v/>
      </c>
      <c r="N1071" s="6">
        <f>HYPERLINK("C:\Projects\Kleinanzeigen-Scraper\offer_images\2861263346", "Link")</f>
        <v/>
      </c>
      <c r="O1071" t="inlineStr">
        <is>
          <t>Silvia S.</t>
        </is>
      </c>
      <c r="P1071" s="6">
        <f>HYPERLINK("https://www.kleinanzeigen.de/s-bestandsliste.html?userId=86555296", "Link")</f>
        <v/>
      </c>
      <c r="Q1071" s="7" t="n">
        <v>45549.57928240741</v>
      </c>
      <c r="R1071" s="3" t="inlineStr">
        <is>
          <t>401.75</t>
        </is>
      </c>
      <c r="S1071" t="inlineStr">
        <is>
          <t>Köln</t>
        </is>
      </c>
    </row>
    <row r="1072">
      <c r="A1072" s="2" t="n">
        <v>5.8</v>
      </c>
      <c r="B1072" t="inlineStr">
        <is>
          <t>NAISH BOXER</t>
        </is>
      </c>
      <c r="C1072" s="3" t="n">
        <v>400</v>
      </c>
      <c r="D1072" s="3" t="n">
        <v>176</v>
      </c>
      <c r="E1072" t="inlineStr"/>
      <c r="F1072" t="inlineStr"/>
      <c r="G1072" t="inlineStr">
        <is>
          <t>used</t>
        </is>
      </c>
      <c r="H1072" s="4" t="n">
        <v>89</v>
      </c>
      <c r="I1072" t="inlineStr"/>
      <c r="J1072" t="inlineStr">
        <is>
          <t>33428 Nordrhein-Westfalen - Harsewinkel</t>
        </is>
      </c>
      <c r="K1072" s="5" t="n">
        <v>45535</v>
      </c>
      <c r="L1072" t="inlineStr">
        <is>
          <t>Sold</t>
        </is>
      </c>
      <c r="M1072" s="6">
        <f>HYPERLINK("https://www.kleinanzeigen.de/s-anzeige/naish-boxer-windsurfsegel-5-8qm/2850722132-230-16286", "Link")</f>
        <v/>
      </c>
      <c r="N1072" s="6">
        <f>HYPERLINK("C:\Projects\Kleinanzeigen-Scraper\offer_images\2850722132", "Link")</f>
        <v/>
      </c>
      <c r="O1072" t="inlineStr">
        <is>
          <t>Privat</t>
        </is>
      </c>
      <c r="P1072" s="6">
        <f>HYPERLINK("https://www.kleinanzeigen.de/s-bestandsliste.html?userId=1285129", "Link")</f>
        <v/>
      </c>
      <c r="Q1072" s="7" t="n">
        <v>45549.57927083333</v>
      </c>
      <c r="R1072" s="3" t="inlineStr">
        <is>
          <t>142.54</t>
        </is>
      </c>
      <c r="S1072" t="inlineStr">
        <is>
          <t>Köln</t>
        </is>
      </c>
    </row>
    <row r="1073">
      <c r="A1073" s="2" t="n">
        <v>4</v>
      </c>
      <c r="B1073" t="inlineStr">
        <is>
          <t>Gun Sails Wave MC</t>
        </is>
      </c>
      <c r="C1073" s="3" t="inlineStr">
        <is>
          <t>370 or 400</t>
        </is>
      </c>
      <c r="D1073" s="3" t="inlineStr"/>
      <c r="E1073" t="inlineStr"/>
      <c r="F1073" t="inlineStr"/>
      <c r="G1073" t="inlineStr">
        <is>
          <t>used</t>
        </is>
      </c>
      <c r="H1073" s="4" t="n">
        <v>180</v>
      </c>
      <c r="I1073" t="inlineStr"/>
      <c r="J1073" t="inlineStr">
        <is>
          <t>01219 Dresden - Leubnitz-Neuostra</t>
        </is>
      </c>
      <c r="K1073" s="5" t="n">
        <v>45434</v>
      </c>
      <c r="L1073" t="inlineStr"/>
      <c r="M1073" s="6">
        <f>HYPERLINK("https://www.kleinanzeigen.de/s-anzeige/windsurf-segel-gun-sails-wave-mc-4-0/2767962508-230-23485", "Link")</f>
        <v/>
      </c>
      <c r="N1073" s="6">
        <f>HYPERLINK("C:\Projects\Kleinanzeigen-Scraper\offer_images\2767962508", "Link")</f>
        <v/>
      </c>
      <c r="O1073" t="inlineStr">
        <is>
          <t>Thomas</t>
        </is>
      </c>
      <c r="P1073" s="6">
        <f>HYPERLINK("https://www.kleinanzeigen.de/s-bestandsliste.html?userId=18237894", "Link")</f>
        <v/>
      </c>
      <c r="Q1073" s="7" t="n">
        <v>45549.57927083333</v>
      </c>
      <c r="R1073" s="3" t="inlineStr">
        <is>
          <t>358.03</t>
        </is>
      </c>
      <c r="S1073" t="inlineStr">
        <is>
          <t>München</t>
        </is>
      </c>
    </row>
    <row r="1074">
      <c r="A1074" s="2" t="n">
        <v>7.2</v>
      </c>
      <c r="B1074" t="inlineStr">
        <is>
          <t>Neilpryde Hornet</t>
        </is>
      </c>
      <c r="C1074" s="3" t="inlineStr"/>
      <c r="D1074" s="3" t="inlineStr"/>
      <c r="E1074" t="inlineStr"/>
      <c r="F1074" t="inlineStr"/>
      <c r="G1074" t="inlineStr">
        <is>
          <t>new</t>
        </is>
      </c>
      <c r="H1074" s="4" t="n">
        <v>215</v>
      </c>
      <c r="I1074" t="inlineStr">
        <is>
          <t>VB</t>
        </is>
      </c>
      <c r="J1074" t="inlineStr">
        <is>
          <t>31171 Niedersachsen - Nordstemmen</t>
        </is>
      </c>
      <c r="K1074" s="5" t="n">
        <v>45566</v>
      </c>
      <c r="L1074" t="inlineStr"/>
      <c r="M1074" s="6">
        <f>HYPERLINK("https://www.kleinanzeigen.de/s-anzeige/neilpryde-hornet-7-2-topzustand-/2856318157-230-2907", "Link")</f>
        <v/>
      </c>
      <c r="N1074" s="6">
        <f>HYPERLINK("C:\Projects\Kleinanzeigen-Scraper\offer_images\2856318157", "Link")</f>
        <v/>
      </c>
      <c r="O1074" t="inlineStr">
        <is>
          <t>Jörg Strothotte</t>
        </is>
      </c>
      <c r="P1074" s="6">
        <f>HYPERLINK("https://www.kleinanzeigen.de/s-bestandsliste.html?userId=30925468", "Link")</f>
        <v/>
      </c>
      <c r="Q1074" s="7" t="n">
        <v>45549.57925925926</v>
      </c>
      <c r="R1074" s="3" t="inlineStr">
        <is>
          <t>239.06</t>
        </is>
      </c>
      <c r="S1074" t="inlineStr">
        <is>
          <t>Köln</t>
        </is>
      </c>
    </row>
    <row r="1075">
      <c r="A1075" s="2" t="n">
        <v>9.4</v>
      </c>
      <c r="B1075" t="inlineStr">
        <is>
          <t>Sailloft Ultimate</t>
        </is>
      </c>
      <c r="C1075" s="3" t="inlineStr"/>
      <c r="D1075" s="3" t="inlineStr"/>
      <c r="E1075" t="inlineStr">
        <is>
          <t>Slalom</t>
        </is>
      </c>
      <c r="F1075" t="inlineStr">
        <is>
          <t>2023</t>
        </is>
      </c>
      <c r="G1075" t="inlineStr">
        <is>
          <t>used</t>
        </is>
      </c>
      <c r="H1075" s="4" t="n">
        <v>290</v>
      </c>
      <c r="I1075" t="inlineStr">
        <is>
          <t>VB</t>
        </is>
      </c>
      <c r="J1075" t="inlineStr">
        <is>
          <t>44791 Bochum - Bochum-Ost</t>
        </is>
      </c>
      <c r="K1075" s="5" t="n">
        <v>45543</v>
      </c>
      <c r="L1075" t="inlineStr">
        <is>
          <t>Sold</t>
        </is>
      </c>
      <c r="M1075" s="6">
        <f>HYPERLINK("https://www.kleinanzeigen.de/s-anzeige/sailloft-ultimate-2-2-in-9-4-modell-2023/2857943836-230-1947", "Link")</f>
        <v/>
      </c>
      <c r="N1075" s="6">
        <f>HYPERLINK("C:\Projects\Kleinanzeigen-Scraper\offer_images\2857943836", "Link")</f>
        <v/>
      </c>
      <c r="O1075" t="inlineStr">
        <is>
          <t>Mark</t>
        </is>
      </c>
      <c r="P1075" s="6">
        <f>HYPERLINK("https://www.kleinanzeigen.de/s-bestandsliste.html?userId=14066279", "Link")</f>
        <v/>
      </c>
      <c r="Q1075" s="7" t="n">
        <v>45549.57925925926</v>
      </c>
      <c r="R1075" s="3" t="inlineStr">
        <is>
          <t>64.49</t>
        </is>
      </c>
      <c r="S1075" t="inlineStr">
        <is>
          <t>Köln</t>
        </is>
      </c>
    </row>
    <row r="1076">
      <c r="A1076" s="2" t="n">
        <v>7.9</v>
      </c>
      <c r="B1076" t="inlineStr">
        <is>
          <t>Gun Sails Rapid</t>
        </is>
      </c>
      <c r="C1076" s="3" t="n">
        <v>476</v>
      </c>
      <c r="D1076" s="3" t="n">
        <v>214</v>
      </c>
      <c r="E1076" t="inlineStr"/>
      <c r="F1076" t="inlineStr">
        <is>
          <t>2019</t>
        </is>
      </c>
      <c r="G1076" t="inlineStr">
        <is>
          <t>used</t>
        </is>
      </c>
      <c r="H1076" s="4" t="n">
        <v>199</v>
      </c>
      <c r="I1076" t="inlineStr"/>
      <c r="J1076" t="inlineStr">
        <is>
          <t>48231 Nordrhein-Westfalen - Warendorf</t>
        </is>
      </c>
      <c r="K1076" s="5" t="n">
        <v>45517</v>
      </c>
      <c r="L1076" t="inlineStr"/>
      <c r="M1076" s="6">
        <f>HYPERLINK("https://www.kleinanzeigen.de/s-anzeige/windsurfsegel-gun-sails-7-9-rapid/2836144980-230-1302", "Link")</f>
        <v/>
      </c>
      <c r="N1076" s="6">
        <f>HYPERLINK("C:\Projects\Kleinanzeigen-Scraper\offer_images\2836144980", "Link")</f>
        <v/>
      </c>
      <c r="O1076" t="inlineStr">
        <is>
          <t>Georg</t>
        </is>
      </c>
      <c r="P1076" s="6">
        <f>HYPERLINK("https://www.kleinanzeigen.de/s-bestandsliste.html?userId=20896312", "Link")</f>
        <v/>
      </c>
      <c r="Q1076" s="7" t="n">
        <v>45549.57924768519</v>
      </c>
      <c r="R1076" s="3" t="inlineStr">
        <is>
          <t>132.69</t>
        </is>
      </c>
      <c r="S1076" t="inlineStr">
        <is>
          <t>Köln</t>
        </is>
      </c>
    </row>
    <row r="1077">
      <c r="A1077" s="2" t="n">
        <v>6.5</v>
      </c>
      <c r="B1077" t="inlineStr">
        <is>
          <t>Neilpryde</t>
        </is>
      </c>
      <c r="C1077" s="3" t="inlineStr"/>
      <c r="D1077" s="3" t="inlineStr"/>
      <c r="E1077" t="inlineStr">
        <is>
          <t>Freeride</t>
        </is>
      </c>
      <c r="F1077" t="inlineStr"/>
      <c r="G1077" t="inlineStr">
        <is>
          <t>repaired</t>
        </is>
      </c>
      <c r="H1077" s="4" t="n">
        <v>75</v>
      </c>
      <c r="I1077" t="inlineStr">
        <is>
          <t>VB</t>
        </is>
      </c>
      <c r="J1077" t="inlineStr">
        <is>
          <t>38120 Niedersachsen - Braunschweig</t>
        </is>
      </c>
      <c r="K1077" s="5" t="n">
        <v>45527</v>
      </c>
      <c r="L1077" t="inlineStr"/>
      <c r="M1077" s="6">
        <f>HYPERLINK("https://www.kleinanzeigen.de/s-anzeige/segel-neilpryde-6-5-m2/2844229583-230-2453", "Link")</f>
        <v/>
      </c>
      <c r="N1077" s="6">
        <f>HYPERLINK("C:\Projects\Kleinanzeigen-Scraper\offer_images\2844229583", "Link")</f>
        <v/>
      </c>
      <c r="O1077" t="inlineStr">
        <is>
          <t>Rico</t>
        </is>
      </c>
      <c r="P1077" s="6">
        <f>HYPERLINK("https://www.kleinanzeigen.de/s-bestandsliste.html?userId=12353639", "Link")</f>
        <v/>
      </c>
      <c r="Q1077" s="7" t="n">
        <v>45549.57923611111</v>
      </c>
      <c r="R1077" s="3" t="inlineStr">
        <is>
          <t>283.50</t>
        </is>
      </c>
      <c r="S1077" t="inlineStr">
        <is>
          <t>Köln</t>
        </is>
      </c>
    </row>
    <row r="1078">
      <c r="A1078" s="2" t="n">
        <v>4.2</v>
      </c>
      <c r="B1078" t="inlineStr">
        <is>
          <t>Goya Banzai Pro</t>
        </is>
      </c>
      <c r="C1078" s="3" t="inlineStr"/>
      <c r="D1078" s="3" t="inlineStr"/>
      <c r="E1078" t="inlineStr"/>
      <c r="F1078" t="inlineStr">
        <is>
          <t>2023</t>
        </is>
      </c>
      <c r="G1078" t="inlineStr">
        <is>
          <t>repaired</t>
        </is>
      </c>
      <c r="H1078" s="4" t="n">
        <v>390</v>
      </c>
      <c r="I1078" t="inlineStr"/>
      <c r="J1078" t="inlineStr">
        <is>
          <t>24217 Schleswig-Holstein - Schönberg (Holstein)</t>
        </is>
      </c>
      <c r="K1078" s="5" t="n">
        <v>45546</v>
      </c>
      <c r="L1078" t="inlineStr"/>
      <c r="M1078" s="6">
        <f>HYPERLINK("https://www.kleinanzeigen.de/s-anzeige/goya-banzai-pro-4-2/2860597695-230-18587", "Link")</f>
        <v/>
      </c>
      <c r="N1078" s="6">
        <f>HYPERLINK("C:\Projects\Kleinanzeigen-Scraper\offer_images\2860597695", "Link")</f>
        <v/>
      </c>
      <c r="O1078" t="inlineStr">
        <is>
          <t>S.Wahl</t>
        </is>
      </c>
      <c r="P1078" s="6">
        <f>HYPERLINK("https://www.kleinanzeigen.de/s-bestandsliste.html?userId=11293188", "Link")</f>
        <v/>
      </c>
      <c r="Q1078" s="7" t="n">
        <v>45549.57923611111</v>
      </c>
      <c r="R1078" s="3" t="inlineStr">
        <is>
          <t>447.79</t>
        </is>
      </c>
      <c r="S1078" t="inlineStr">
        <is>
          <t>Köln</t>
        </is>
      </c>
    </row>
    <row r="1079">
      <c r="A1079" s="2" t="n">
        <v>5</v>
      </c>
      <c r="B1079" t="inlineStr">
        <is>
          <t>Sailloft Curve</t>
        </is>
      </c>
      <c r="C1079" s="3" t="inlineStr"/>
      <c r="D1079" s="3" t="inlineStr"/>
      <c r="E1079" t="inlineStr"/>
      <c r="F1079" t="inlineStr"/>
      <c r="G1079" t="inlineStr">
        <is>
          <t>used</t>
        </is>
      </c>
      <c r="H1079" s="4" t="n">
        <v>69</v>
      </c>
      <c r="I1079" t="inlineStr">
        <is>
          <t>VB</t>
        </is>
      </c>
      <c r="J1079" t="inlineStr">
        <is>
          <t>04838 Sachsen - Eilenburg</t>
        </is>
      </c>
      <c r="K1079" s="5" t="n">
        <v>45415</v>
      </c>
      <c r="L1079" t="inlineStr"/>
      <c r="M1079" s="6">
        <f>HYPERLINK("https://www.kleinanzeigen.de/s-anzeige/windsurfsegel-5-0-m-sailloft-curve/2752034039-230-3922", "Link")</f>
        <v/>
      </c>
      <c r="N1079" s="6">
        <f>HYPERLINK("C:\Projects\Kleinanzeigen-Scraper\offer_images\2752034039", "Link")</f>
        <v/>
      </c>
      <c r="O1079" t="inlineStr">
        <is>
          <t>Rene</t>
        </is>
      </c>
      <c r="P1079" s="6">
        <f>HYPERLINK("https://www.kleinanzeigen.de/s-bestandsliste.html?userId=3225577", "Link")</f>
        <v/>
      </c>
      <c r="Q1079" s="7" t="n">
        <v>45549.57923611111</v>
      </c>
      <c r="R1079" s="3" t="inlineStr">
        <is>
          <t>380.37</t>
        </is>
      </c>
      <c r="S1079" t="inlineStr">
        <is>
          <t>München</t>
        </is>
      </c>
    </row>
    <row r="1080">
      <c r="A1080" s="2" t="n">
        <v>5</v>
      </c>
      <c r="B1080" t="inlineStr">
        <is>
          <t>Severne S-1</t>
        </is>
      </c>
      <c r="C1080" s="3" t="n">
        <v>400</v>
      </c>
      <c r="D1080" s="3" t="n">
        <v>167</v>
      </c>
      <c r="E1080" t="inlineStr"/>
      <c r="F1080" t="inlineStr"/>
      <c r="G1080" t="inlineStr">
        <is>
          <t>repaired</t>
        </is>
      </c>
      <c r="H1080" s="4" t="n">
        <v>45</v>
      </c>
      <c r="I1080" t="inlineStr">
        <is>
          <t>VB</t>
        </is>
      </c>
      <c r="J1080" t="inlineStr">
        <is>
          <t>80339 München - Schwanthalerhöhe</t>
        </is>
      </c>
      <c r="K1080" s="5" t="n">
        <v>45486</v>
      </c>
      <c r="L1080" t="inlineStr"/>
      <c r="M1080" s="6">
        <f>HYPERLINK("https://www.kleinanzeigen.de/s-anzeige/windsurf-segel-sail-severne-s-1-5-0/2811503125-230-6444", "Link")</f>
        <v/>
      </c>
      <c r="N1080" s="6">
        <f>HYPERLINK("C:\Projects\Kleinanzeigen-Scraper\offer_images\2811503125", "Link")</f>
        <v/>
      </c>
      <c r="O1080" t="inlineStr">
        <is>
          <t>Timo Kusior</t>
        </is>
      </c>
      <c r="P1080" s="6">
        <f>HYPERLINK("https://www.kleinanzeigen.de/s-bestandsliste.html?userId=26960606", "Link")</f>
        <v/>
      </c>
      <c r="Q1080" s="7" t="n">
        <v>45549.57923611111</v>
      </c>
      <c r="R1080" s="3" t="inlineStr">
        <is>
          <t>2.57</t>
        </is>
      </c>
      <c r="S1080" t="inlineStr">
        <is>
          <t>München</t>
        </is>
      </c>
    </row>
    <row r="1081">
      <c r="A1081" s="2" t="n">
        <v>6.1</v>
      </c>
      <c r="B1081" t="inlineStr">
        <is>
          <t>Gun Sails Trans Wave</t>
        </is>
      </c>
      <c r="C1081" s="3" t="n">
        <v>430</v>
      </c>
      <c r="D1081" s="3" t="n">
        <v>186</v>
      </c>
      <c r="E1081" t="inlineStr">
        <is>
          <t>Power Wave</t>
        </is>
      </c>
      <c r="F1081" t="inlineStr"/>
      <c r="G1081" t="inlineStr">
        <is>
          <t>used</t>
        </is>
      </c>
      <c r="H1081" s="4" t="n">
        <v>179</v>
      </c>
      <c r="I1081" t="inlineStr"/>
      <c r="J1081" t="inlineStr">
        <is>
          <t>12103 Berlin - Tempelhof</t>
        </is>
      </c>
      <c r="K1081" s="5" t="n">
        <v>45506</v>
      </c>
      <c r="L1081" t="inlineStr"/>
      <c r="M1081" s="6">
        <f>HYPERLINK("https://www.kleinanzeigen.de/s-anzeige/gun-sails-trans-wave-6-1/2827012623-230-3405", "Link")</f>
        <v/>
      </c>
      <c r="N1081" s="6">
        <f>HYPERLINK("C:\Projects\Kleinanzeigen-Scraper\offer_images\2827012623", "Link")</f>
        <v/>
      </c>
      <c r="O1081" t="inlineStr">
        <is>
          <t>Stefan</t>
        </is>
      </c>
      <c r="P1081" s="6">
        <f>HYPERLINK("https://www.kleinanzeigen.de/s-bestandsliste.html?userId=21879928", "Link")</f>
        <v/>
      </c>
      <c r="Q1081" s="7" t="n">
        <v>45549.57918981482</v>
      </c>
      <c r="R1081" s="3" t="inlineStr">
        <is>
          <t>473.56</t>
        </is>
      </c>
      <c r="S1081" t="inlineStr">
        <is>
          <t>Köln</t>
        </is>
      </c>
    </row>
    <row r="1082">
      <c r="A1082" s="2" t="n">
        <v>8.699999999999999</v>
      </c>
      <c r="B1082" t="inlineStr">
        <is>
          <t>Neilpryde V8</t>
        </is>
      </c>
      <c r="C1082" s="3" t="n">
        <v>490</v>
      </c>
      <c r="D1082" s="3" t="inlineStr">
        <is>
          <t>213-235</t>
        </is>
      </c>
      <c r="E1082" t="inlineStr"/>
      <c r="F1082" t="inlineStr">
        <is>
          <t>2020</t>
        </is>
      </c>
      <c r="G1082" t="inlineStr">
        <is>
          <t>used</t>
        </is>
      </c>
      <c r="H1082" s="4" t="n">
        <v>180</v>
      </c>
      <c r="I1082" t="inlineStr"/>
      <c r="J1082" t="inlineStr">
        <is>
          <t>67346 Rheinland-Pfalz - Speyer</t>
        </is>
      </c>
      <c r="K1082" s="5" t="n">
        <v>45517</v>
      </c>
      <c r="L1082" t="inlineStr"/>
      <c r="M1082" s="6">
        <f>HYPERLINK("https://www.kleinanzeigen.de/s-anzeige/neilpryde-v8-freerace-segel-8-7-qm/2835959696-230-5365", "Link")</f>
        <v/>
      </c>
      <c r="N1082" s="6">
        <f>HYPERLINK("C:\Projects\Kleinanzeigen-Scraper\offer_images\2835959696", "Link")</f>
        <v/>
      </c>
      <c r="O1082" t="inlineStr">
        <is>
          <t>D.B</t>
        </is>
      </c>
      <c r="P1082" s="6">
        <f>HYPERLINK("https://www.kleinanzeigen.de/s-bestandsliste.html?userId=30398929", "Link")</f>
        <v/>
      </c>
      <c r="Q1082" s="7" t="n">
        <v>45549.57918981482</v>
      </c>
      <c r="R1082" s="3" t="inlineStr">
        <is>
          <t>35.76</t>
        </is>
      </c>
      <c r="S1082" t="inlineStr">
        <is>
          <t>Karlsruhe</t>
        </is>
      </c>
    </row>
    <row r="1083">
      <c r="A1083" s="2" t="n">
        <v>7.5</v>
      </c>
      <c r="B1083" t="inlineStr">
        <is>
          <t>EZZY Lion</t>
        </is>
      </c>
      <c r="C1083" s="3" t="n">
        <v>460</v>
      </c>
      <c r="D1083" s="3" t="inlineStr"/>
      <c r="E1083" t="inlineStr"/>
      <c r="F1083" t="inlineStr"/>
      <c r="G1083" t="inlineStr"/>
      <c r="H1083" s="4" t="n">
        <v>530</v>
      </c>
      <c r="I1083" t="inlineStr"/>
      <c r="J1083" t="inlineStr">
        <is>
          <t>85630 Kr. München - Grasbrunn</t>
        </is>
      </c>
      <c r="K1083" s="5" t="n">
        <v>45521</v>
      </c>
      <c r="L1083" t="inlineStr"/>
      <c r="M1083" s="6">
        <f>HYPERLINK("https://www.kleinanzeigen.de/s-anzeige/ezzy-lion-7-5qm-mit-2-camber-3rd-version/2838961823-230-6184", "Link")</f>
        <v/>
      </c>
      <c r="N1083" s="6">
        <f>HYPERLINK("C:\Projects\Kleinanzeigen-Scraper\offer_images\2838961823", "Link")</f>
        <v/>
      </c>
      <c r="O1083" t="inlineStr">
        <is>
          <t>Wir</t>
        </is>
      </c>
      <c r="P1083" s="6">
        <f>HYPERLINK("https://www.kleinanzeigen.de/s-bestandsliste.html?userId=8574103", "Link")</f>
        <v/>
      </c>
      <c r="Q1083" s="7" t="n">
        <v>45549.57916666667</v>
      </c>
      <c r="R1083" s="3" t="inlineStr">
        <is>
          <t>14.39</t>
        </is>
      </c>
      <c r="S1083" t="inlineStr">
        <is>
          <t>München</t>
        </is>
      </c>
    </row>
    <row r="1084">
      <c r="A1084" s="2" t="n">
        <v>4.7</v>
      </c>
      <c r="B1084" t="inlineStr">
        <is>
          <t>Severne Blade pro</t>
        </is>
      </c>
      <c r="C1084" s="3" t="n">
        <v>400</v>
      </c>
      <c r="D1084" s="3" t="n">
        <v>160</v>
      </c>
      <c r="E1084" t="inlineStr"/>
      <c r="F1084" t="inlineStr">
        <is>
          <t>2021</t>
        </is>
      </c>
      <c r="G1084" t="inlineStr">
        <is>
          <t>used</t>
        </is>
      </c>
      <c r="H1084" s="4" t="n">
        <v>470</v>
      </c>
      <c r="I1084" t="inlineStr"/>
      <c r="J1084" t="inlineStr">
        <is>
          <t>93309 Bayern - Kelheim</t>
        </is>
      </c>
      <c r="K1084" s="5" t="n">
        <v>45543</v>
      </c>
      <c r="L1084" t="inlineStr">
        <is>
          <t>Sold</t>
        </is>
      </c>
      <c r="M1084" s="6">
        <f>HYPERLINK("https://www.kleinanzeigen.de/s-anzeige/severne-blade-pro-4-7-m2/2857036546-230-6235", "Link")</f>
        <v/>
      </c>
      <c r="N1084" s="6">
        <f>HYPERLINK("C:\Projects\Kleinanzeigen-Scraper\offer_images\2857036546", "Link")</f>
        <v/>
      </c>
      <c r="O1084" t="inlineStr">
        <is>
          <t>MS</t>
        </is>
      </c>
      <c r="P1084" s="6">
        <f>HYPERLINK("https://www.kleinanzeigen.de/s-bestandsliste.html?userId=19708796", "Link")</f>
        <v/>
      </c>
      <c r="Q1084" s="7" t="n">
        <v>45549.57916666667</v>
      </c>
      <c r="R1084" s="3" t="inlineStr">
        <is>
          <t>88.18</t>
        </is>
      </c>
      <c r="S1084" t="inlineStr">
        <is>
          <t>München</t>
        </is>
      </c>
    </row>
    <row r="1085">
      <c r="A1085" s="2" t="n">
        <v>3.8</v>
      </c>
      <c r="B1085" t="inlineStr">
        <is>
          <t>Ezzy Taka</t>
        </is>
      </c>
      <c r="C1085" s="3" t="inlineStr"/>
      <c r="D1085" s="3" t="inlineStr"/>
      <c r="E1085" t="inlineStr"/>
      <c r="F1085" t="inlineStr"/>
      <c r="G1085" t="inlineStr">
        <is>
          <t>new</t>
        </is>
      </c>
      <c r="H1085" s="4" t="n">
        <v>250</v>
      </c>
      <c r="I1085" t="inlineStr"/>
      <c r="J1085" t="inlineStr">
        <is>
          <t>85570 Bayern - Ottenhofen</t>
        </is>
      </c>
      <c r="K1085" s="5" t="n">
        <v>45365</v>
      </c>
      <c r="L1085" t="inlineStr"/>
      <c r="M1085" s="6">
        <f>HYPERLINK("https://www.kleinanzeigen.de/s-anzeige/ezzy-taka-3-8/2705847750-230-11117", "Link")</f>
        <v/>
      </c>
      <c r="N1085" s="6">
        <f>HYPERLINK("C:\Projects\Kleinanzeigen-Scraper\offer_images\2705847750", "Link")</f>
        <v/>
      </c>
      <c r="O1085" t="inlineStr">
        <is>
          <t>Fabian</t>
        </is>
      </c>
      <c r="P1085" s="6">
        <f>HYPERLINK("https://www.kleinanzeigen.de/s-bestandsliste.html?userId=8648720", "Link")</f>
        <v/>
      </c>
      <c r="Q1085" s="7" t="n">
        <v>45549.57914351852</v>
      </c>
      <c r="R1085" s="3" t="inlineStr">
        <is>
          <t>23.30</t>
        </is>
      </c>
      <c r="S1085" t="inlineStr">
        <is>
          <t>München</t>
        </is>
      </c>
    </row>
    <row r="1086">
      <c r="A1086" s="2" t="n">
        <v>6.2</v>
      </c>
      <c r="B1086" t="inlineStr">
        <is>
          <t>Loft Sails LIP</t>
        </is>
      </c>
      <c r="C1086" s="3" t="n">
        <v>460</v>
      </c>
      <c r="D1086" s="3" t="n">
        <v>191</v>
      </c>
      <c r="E1086" t="inlineStr">
        <is>
          <t>Freewave/Freeride</t>
        </is>
      </c>
      <c r="F1086" t="inlineStr"/>
      <c r="G1086" t="inlineStr">
        <is>
          <t>used</t>
        </is>
      </c>
      <c r="H1086" s="4" t="n">
        <v>125</v>
      </c>
      <c r="I1086" t="inlineStr"/>
      <c r="J1086" t="inlineStr">
        <is>
          <t>21149 Harburg - Hamburg Neugraben</t>
        </is>
      </c>
      <c r="K1086" s="5" t="n">
        <v>44843</v>
      </c>
      <c r="L1086" t="inlineStr"/>
      <c r="M1086" s="6">
        <f>HYPERLINK("https://www.kleinanzeigen.de/s-anzeige/loft-sails-lip-freewave-freeride-segel-6-2/2237276646-230-15765", "Link")</f>
        <v/>
      </c>
      <c r="N1086" s="6">
        <f>HYPERLINK("C:\Projects\Kleinanzeigen-Scraper\offer_images\2237276646", "Link")</f>
        <v/>
      </c>
      <c r="O1086" t="inlineStr">
        <is>
          <t>J.Wirth</t>
        </is>
      </c>
      <c r="P1086" s="6">
        <f>HYPERLINK("https://www.kleinanzeigen.de/s-bestandsliste.html?userId=5775412", "Link")</f>
        <v/>
      </c>
      <c r="Q1086" s="7" t="n">
        <v>45549.57912037037</v>
      </c>
      <c r="R1086" s="3" t="inlineStr">
        <is>
          <t>342.48</t>
        </is>
      </c>
      <c r="S1086" t="inlineStr">
        <is>
          <t>Köln</t>
        </is>
      </c>
    </row>
    <row r="1087">
      <c r="A1087" s="2" t="n">
        <v>3</v>
      </c>
      <c r="B1087" t="inlineStr">
        <is>
          <t>Duotone Unit</t>
        </is>
      </c>
      <c r="C1087" s="3" t="inlineStr"/>
      <c r="D1087" s="3" t="inlineStr"/>
      <c r="E1087" t="inlineStr"/>
      <c r="F1087" t="inlineStr">
        <is>
          <t>2024</t>
        </is>
      </c>
      <c r="G1087" t="inlineStr">
        <is>
          <t>new</t>
        </is>
      </c>
      <c r="H1087" s="4" t="n">
        <v>630</v>
      </c>
      <c r="I1087" t="inlineStr"/>
      <c r="J1087" t="inlineStr">
        <is>
          <t>85354 Bayern - Freising</t>
        </is>
      </c>
      <c r="K1087" s="5" t="n">
        <v>45540</v>
      </c>
      <c r="L1087" t="inlineStr">
        <is>
          <t>Sold</t>
        </is>
      </c>
      <c r="M1087" s="6">
        <f>HYPERLINK("https://www.kleinanzeigen.de/s-anzeige/duotone-unit-3-0-m-2024-neu/2855150179-230-6265", "Link")</f>
        <v/>
      </c>
      <c r="N1087" s="6">
        <f>HYPERLINK("C:\Projects\Kleinanzeigen-Scraper\offer_images\2855150179", "Link")</f>
        <v/>
      </c>
      <c r="O1087" t="inlineStr">
        <is>
          <t>Karl</t>
        </is>
      </c>
      <c r="P1087" s="6">
        <f>HYPERLINK("https://www.kleinanzeigen.de/s-bestandsliste.html?userId=130554386", "Link")</f>
        <v/>
      </c>
      <c r="Q1087" s="7" t="n">
        <v>45549.57910879629</v>
      </c>
      <c r="R1087" s="3" t="inlineStr">
        <is>
          <t>30.15</t>
        </is>
      </c>
      <c r="S1087" t="inlineStr">
        <is>
          <t>München</t>
        </is>
      </c>
    </row>
    <row r="1088">
      <c r="A1088" s="2" t="n">
        <v>6.3</v>
      </c>
      <c r="B1088" t="inlineStr">
        <is>
          <t>SIMMER FREEZONE</t>
        </is>
      </c>
      <c r="C1088" s="3" t="n">
        <v>460</v>
      </c>
      <c r="D1088" s="3" t="n">
        <v>180</v>
      </c>
      <c r="E1088" t="inlineStr"/>
      <c r="F1088" t="inlineStr"/>
      <c r="G1088" t="inlineStr">
        <is>
          <t>damaged</t>
        </is>
      </c>
      <c r="H1088" s="4" t="n">
        <v>10</v>
      </c>
      <c r="I1088" t="inlineStr"/>
      <c r="J1088" t="inlineStr">
        <is>
          <t>18211 Bad Doberan - Landkreis - Nienhagen MV</t>
        </is>
      </c>
      <c r="K1088" s="5" t="n">
        <v>45512</v>
      </c>
      <c r="L1088" t="inlineStr">
        <is>
          <t>Sold</t>
        </is>
      </c>
      <c r="M1088" s="6">
        <f>HYPERLINK("https://www.kleinanzeigen.de/s-anzeige/simmer-freezone-6-3-surfsegel-bastler/2832376819-230-16589", "Link")</f>
        <v/>
      </c>
      <c r="N1088" s="6">
        <f>HYPERLINK("C:\Projects\Kleinanzeigen-Scraper\offer_images\2832376819", "Link")</f>
        <v/>
      </c>
      <c r="O1088" t="inlineStr">
        <is>
          <t>Adrian</t>
        </is>
      </c>
      <c r="P1088" s="6">
        <f>HYPERLINK("https://www.kleinanzeigen.de/s-bestandsliste.html?userId=12426713", "Link")</f>
        <v/>
      </c>
      <c r="Q1088" s="7" t="n">
        <v>45549.57910879629</v>
      </c>
      <c r="R1088" s="3" t="inlineStr">
        <is>
          <t>490.50</t>
        </is>
      </c>
      <c r="S1088" t="inlineStr">
        <is>
          <t>Köln</t>
        </is>
      </c>
    </row>
    <row r="1089">
      <c r="A1089" s="2" t="n">
        <v>6.8</v>
      </c>
      <c r="B1089" t="inlineStr">
        <is>
          <t>GUN Sails Speed Slalom</t>
        </is>
      </c>
      <c r="C1089" s="3" t="n">
        <v>4</v>
      </c>
      <c r="D1089" s="3" t="inlineStr"/>
      <c r="E1089" t="inlineStr"/>
      <c r="F1089" t="inlineStr"/>
      <c r="G1089" t="inlineStr">
        <is>
          <t>used</t>
        </is>
      </c>
      <c r="H1089" s="4" t="n">
        <v>42</v>
      </c>
      <c r="I1089" t="inlineStr">
        <is>
          <t>VB</t>
        </is>
      </c>
      <c r="J1089" t="inlineStr">
        <is>
          <t>91161 Bayern - Hilpoltstein</t>
        </is>
      </c>
      <c r="K1089" s="5" t="n">
        <v>45437</v>
      </c>
      <c r="L1089" t="inlineStr"/>
      <c r="M1089" s="6">
        <f>HYPERLINK("https://www.kleinanzeigen.de/s-anzeige/windsurfsegel-gun-sails-speed-slalom-6-8qm/2770395204-230-5624", "Link")</f>
        <v/>
      </c>
      <c r="N1089" s="6">
        <f>HYPERLINK("C:\Projects\Kleinanzeigen-Scraper\offer_images\2770395204", "Link")</f>
        <v/>
      </c>
      <c r="O1089" t="inlineStr">
        <is>
          <t>Klaus</t>
        </is>
      </c>
      <c r="P1089" s="6">
        <f>HYPERLINK("https://www.kleinanzeigen.de/s-bestandsliste.html?userId=19666860", "Link")</f>
        <v/>
      </c>
      <c r="Q1089" s="7" t="n">
        <v>45549.57909722222</v>
      </c>
      <c r="R1089" s="3" t="inlineStr">
        <is>
          <t>118.01</t>
        </is>
      </c>
      <c r="S1089" t="inlineStr">
        <is>
          <t>München</t>
        </is>
      </c>
    </row>
    <row r="1090">
      <c r="A1090" s="2" t="n">
        <v>6</v>
      </c>
      <c r="B1090" t="inlineStr">
        <is>
          <t>Duotone Unit</t>
        </is>
      </c>
      <c r="C1090" s="3" t="inlineStr"/>
      <c r="D1090" s="3" t="inlineStr"/>
      <c r="E1090" t="inlineStr"/>
      <c r="F1090" t="inlineStr">
        <is>
          <t>2024</t>
        </is>
      </c>
      <c r="G1090" t="inlineStr">
        <is>
          <t>new</t>
        </is>
      </c>
      <c r="H1090" s="4" t="n">
        <v>660</v>
      </c>
      <c r="I1090" t="inlineStr"/>
      <c r="J1090" t="inlineStr">
        <is>
          <t>93055 Bayern - Regensburg</t>
        </is>
      </c>
      <c r="K1090" s="5" t="n">
        <v>45548</v>
      </c>
      <c r="L1090" t="inlineStr">
        <is>
          <t>Sold</t>
        </is>
      </c>
      <c r="M1090" s="6">
        <f>HYPERLINK("https://www.kleinanzeigen.de/s-anzeige/duotone-unit-6-0qm-modell-2024-weiss-rot/2862076227-230-7655", "Link")</f>
        <v/>
      </c>
      <c r="N1090" s="6">
        <f>HYPERLINK("C:\Projects\Kleinanzeigen-Scraper\offer_images\2862076227", "Link")</f>
        <v/>
      </c>
      <c r="O1090" t="inlineStr">
        <is>
          <t>Christian Daschner</t>
        </is>
      </c>
      <c r="P1090" s="6">
        <f>HYPERLINK("https://www.kleinanzeigen.de/s-bestandsliste.html?userId=41340570", "Link")</f>
        <v/>
      </c>
      <c r="Q1090" s="7" t="n">
        <v>45549.57909722222</v>
      </c>
      <c r="R1090" s="3" t="inlineStr">
        <is>
          <t>105.19</t>
        </is>
      </c>
      <c r="S1090" t="inlineStr">
        <is>
          <t>München</t>
        </is>
      </c>
    </row>
    <row r="1091">
      <c r="A1091" s="2" t="n">
        <v>4.7</v>
      </c>
      <c r="B1091" t="inlineStr">
        <is>
          <t>Severne Blade</t>
        </is>
      </c>
      <c r="C1091" s="3" t="inlineStr"/>
      <c r="D1091" s="3" t="inlineStr"/>
      <c r="E1091" t="inlineStr"/>
      <c r="F1091" t="inlineStr"/>
      <c r="G1091" t="inlineStr">
        <is>
          <t>used</t>
        </is>
      </c>
      <c r="H1091" s="4" t="n">
        <v>60</v>
      </c>
      <c r="I1091" t="inlineStr"/>
      <c r="J1091" t="inlineStr">
        <is>
          <t>26160 Niedersachsen - Bad Zwischenahn</t>
        </is>
      </c>
      <c r="K1091" s="5" t="n">
        <v>45519</v>
      </c>
      <c r="L1091" t="inlineStr"/>
      <c r="M1091" s="6">
        <f>HYPERLINK("https://www.kleinanzeigen.de/s-anzeige/severne-blade-4-7-qm/2837608195-230-2601", "Link")</f>
        <v/>
      </c>
      <c r="N1091" s="6">
        <f>HYPERLINK("C:\Projects\Kleinanzeigen-Scraper\offer_images\2837608195", "Link")</f>
        <v/>
      </c>
      <c r="O1091" t="inlineStr">
        <is>
          <t>Alex</t>
        </is>
      </c>
      <c r="P1091" s="6">
        <f>HYPERLINK("https://www.kleinanzeigen.de/s-bestandsliste.html?userId=41508818", "Link")</f>
        <v/>
      </c>
      <c r="Q1091" s="7" t="n">
        <v>45549.57909722222</v>
      </c>
      <c r="R1091" s="3" t="inlineStr">
        <is>
          <t>260.27</t>
        </is>
      </c>
      <c r="S1091" t="inlineStr">
        <is>
          <t>Köln</t>
        </is>
      </c>
    </row>
    <row r="1092">
      <c r="A1092" s="2" t="n">
        <v>7</v>
      </c>
      <c r="B1092" t="inlineStr">
        <is>
          <t>Severne Foil Glide</t>
        </is>
      </c>
      <c r="C1092" s="3" t="n">
        <v>460</v>
      </c>
      <c r="D1092" s="3" t="inlineStr"/>
      <c r="E1092" t="inlineStr"/>
      <c r="F1092" t="inlineStr">
        <is>
          <t>2019</t>
        </is>
      </c>
      <c r="G1092" t="inlineStr">
        <is>
          <t>used</t>
        </is>
      </c>
      <c r="H1092" s="4" t="n">
        <v>240</v>
      </c>
      <c r="I1092" t="inlineStr">
        <is>
          <t>VB</t>
        </is>
      </c>
      <c r="J1092" t="inlineStr">
        <is>
          <t>82256 Bayern - Fürstenfeldbruck</t>
        </is>
      </c>
      <c r="K1092" s="5" t="n">
        <v>45523</v>
      </c>
      <c r="L1092" t="inlineStr"/>
      <c r="M1092" s="6">
        <f>HYPERLINK("https://www.kleinanzeigen.de/s-anzeige/windsurf-severne-foil-glide-7-0/2840791325-230-6311", "Link")</f>
        <v/>
      </c>
      <c r="N1092" s="6">
        <f>HYPERLINK("C:\Projects\Kleinanzeigen-Scraper\offer_images\2840791325", "Link")</f>
        <v/>
      </c>
      <c r="O1092" t="inlineStr">
        <is>
          <t>Klaus</t>
        </is>
      </c>
      <c r="P1092" s="6">
        <f>HYPERLINK("https://www.kleinanzeigen.de/s-bestandsliste.html?userId=16193586", "Link")</f>
        <v/>
      </c>
      <c r="Q1092" s="7" t="n">
        <v>45549.57908564815</v>
      </c>
      <c r="R1092" s="3" t="inlineStr">
        <is>
          <t>25.37</t>
        </is>
      </c>
      <c r="S1092" t="inlineStr">
        <is>
          <t>München</t>
        </is>
      </c>
    </row>
    <row r="1093">
      <c r="A1093" s="2" t="n">
        <v>5</v>
      </c>
      <c r="B1093" t="inlineStr">
        <is>
          <t>Gun Sails Torro</t>
        </is>
      </c>
      <c r="C1093" s="3" t="n">
        <v>420</v>
      </c>
      <c r="D1093" s="3" t="n">
        <v>170</v>
      </c>
      <c r="E1093" t="inlineStr"/>
      <c r="F1093" t="inlineStr"/>
      <c r="G1093" t="inlineStr">
        <is>
          <t>used</t>
        </is>
      </c>
      <c r="H1093" s="4" t="n">
        <v>125</v>
      </c>
      <c r="I1093" t="inlineStr">
        <is>
          <t>VB</t>
        </is>
      </c>
      <c r="J1093" t="inlineStr">
        <is>
          <t>93128 Bayern - Regenstauf</t>
        </is>
      </c>
      <c r="K1093" s="5" t="n">
        <v>45382</v>
      </c>
      <c r="L1093" t="inlineStr"/>
      <c r="M1093" s="6">
        <f>HYPERLINK("https://www.kleinanzeigen.de/s-anzeige/gun-sails-torro-5-0/2721911091-230-5781", "Link")</f>
        <v/>
      </c>
      <c r="N1093" s="6">
        <f>HYPERLINK("C:\Projects\Kleinanzeigen-Scraper\offer_images\2721911091", "Link")</f>
        <v/>
      </c>
      <c r="O1093" t="inlineStr">
        <is>
          <t>Stephan Wimmer</t>
        </is>
      </c>
      <c r="P1093" s="6">
        <f>HYPERLINK("https://www.kleinanzeigen.de/s-bestandsliste.html?userId=30264076", "Link")</f>
        <v/>
      </c>
      <c r="Q1093" s="7" t="n">
        <v>45549.57907407408</v>
      </c>
      <c r="R1093" s="3" t="inlineStr">
        <is>
          <t>120.91</t>
        </is>
      </c>
      <c r="S1093" t="inlineStr">
        <is>
          <t>München</t>
        </is>
      </c>
    </row>
    <row r="1094">
      <c r="A1094" s="2" t="n">
        <v>9.4</v>
      </c>
      <c r="B1094" t="inlineStr">
        <is>
          <t>Neilpryde V8</t>
        </is>
      </c>
      <c r="C1094" s="3" t="n">
        <v>520</v>
      </c>
      <c r="D1094" s="3" t="n">
        <v>218</v>
      </c>
      <c r="E1094" t="inlineStr"/>
      <c r="F1094" t="inlineStr">
        <is>
          <t>2022</t>
        </is>
      </c>
      <c r="G1094" t="inlineStr">
        <is>
          <t>used</t>
        </is>
      </c>
      <c r="H1094" s="4" t="n">
        <v>600</v>
      </c>
      <c r="I1094" t="inlineStr">
        <is>
          <t>VB</t>
        </is>
      </c>
      <c r="J1094" t="inlineStr">
        <is>
          <t>24248 Schleswig-Holstein - Mönkeberg</t>
        </is>
      </c>
      <c r="K1094" s="5" t="n">
        <v>45503</v>
      </c>
      <c r="L1094" t="inlineStr"/>
      <c r="M1094" s="6">
        <f>HYPERLINK("https://www.kleinanzeigen.de/s-anzeige/neilpryde-v8-9-4-2022/2824645752-230-666", "Link")</f>
        <v/>
      </c>
      <c r="N1094" s="6">
        <f>HYPERLINK("C:\Projects\Kleinanzeigen-Scraper\offer_images\2824645752", "Link")</f>
        <v/>
      </c>
      <c r="O1094" t="inlineStr">
        <is>
          <t>Olaf Köhler</t>
        </is>
      </c>
      <c r="P1094" s="6">
        <f>HYPERLINK("https://www.kleinanzeigen.de/s-bestandsliste.html?userId=1030264", "Link")</f>
        <v/>
      </c>
      <c r="Q1094" s="7" t="n">
        <v>45549.5790625</v>
      </c>
      <c r="R1094" s="3" t="inlineStr">
        <is>
          <t>437.31</t>
        </is>
      </c>
      <c r="S1094" t="inlineStr">
        <is>
          <t>Köln</t>
        </is>
      </c>
    </row>
    <row r="1095">
      <c r="A1095" s="2" t="n">
        <v>7</v>
      </c>
      <c r="B1095" t="inlineStr">
        <is>
          <t>NeilPryde Ryde HD</t>
        </is>
      </c>
      <c r="C1095" s="3" t="inlineStr"/>
      <c r="D1095" s="3" t="inlineStr"/>
      <c r="E1095" t="inlineStr"/>
      <c r="F1095" t="inlineStr"/>
      <c r="G1095" t="inlineStr">
        <is>
          <t>new</t>
        </is>
      </c>
      <c r="H1095" s="4" t="n">
        <v>290</v>
      </c>
      <c r="I1095" t="inlineStr">
        <is>
          <t>VB</t>
        </is>
      </c>
      <c r="J1095" t="inlineStr">
        <is>
          <t>38100 Niedersachsen - Braunschweig</t>
        </is>
      </c>
      <c r="K1095" s="5" t="n">
        <v>45515</v>
      </c>
      <c r="L1095" t="inlineStr"/>
      <c r="M1095" s="6">
        <f>HYPERLINK("https://www.kleinanzeigen.de/s-anzeige/neilpryde-ryde-hd-7-0-neu/2834842471-230-2462", "Link")</f>
        <v/>
      </c>
      <c r="N1095" s="6">
        <f>HYPERLINK("C:\Projects\Kleinanzeigen-Scraper\offer_images\2834842471", "Link")</f>
        <v/>
      </c>
      <c r="O1095" t="inlineStr">
        <is>
          <t>Patrice</t>
        </is>
      </c>
      <c r="P1095" s="6">
        <f>HYPERLINK("https://www.kleinanzeigen.de/s-bestandsliste.html?userId=16234121", "Link")</f>
        <v/>
      </c>
      <c r="Q1095" s="7" t="n">
        <v>45549.57905092592</v>
      </c>
      <c r="R1095" s="3" t="inlineStr">
        <is>
          <t>287.00</t>
        </is>
      </c>
      <c r="S1095" t="inlineStr">
        <is>
          <t>Köln</t>
        </is>
      </c>
    </row>
    <row r="1096">
      <c r="A1096" s="2" t="n">
        <v>5</v>
      </c>
      <c r="B1096" t="inlineStr">
        <is>
          <t>Sailloft UFO</t>
        </is>
      </c>
      <c r="C1096" s="3" t="inlineStr"/>
      <c r="D1096" s="3" t="inlineStr"/>
      <c r="E1096" t="inlineStr"/>
      <c r="F1096" t="inlineStr"/>
      <c r="G1096" t="inlineStr">
        <is>
          <t>used</t>
        </is>
      </c>
      <c r="H1096" s="4" t="n">
        <v>385</v>
      </c>
      <c r="I1096" t="inlineStr">
        <is>
          <t>VB</t>
        </is>
      </c>
      <c r="J1096" t="inlineStr">
        <is>
          <t>25462 Kreis Pinneberg - Rellingen</t>
        </is>
      </c>
      <c r="K1096" s="5" t="n">
        <v>45543</v>
      </c>
      <c r="L1096" t="inlineStr">
        <is>
          <t>Sold</t>
        </is>
      </c>
      <c r="M1096" s="6">
        <f>HYPERLINK("https://www.kleinanzeigen.de/s-anzeige/sailloft-ufo-5-0-wingfoil/2857930954-230-787", "Link")</f>
        <v/>
      </c>
      <c r="N1096" s="6">
        <f>HYPERLINK("C:\Projects\Kleinanzeigen-Scraper\offer_images\2857930954", "Link")</f>
        <v/>
      </c>
      <c r="O1096" t="inlineStr">
        <is>
          <t>Michael</t>
        </is>
      </c>
      <c r="P1096" s="6">
        <f>HYPERLINK("https://www.kleinanzeigen.de/s-bestandsliste.html?userId=9538273", "Link")</f>
        <v/>
      </c>
      <c r="Q1096" s="7" t="n">
        <v>45549.57903935185</v>
      </c>
      <c r="R1096" s="3" t="inlineStr">
        <is>
          <t>359.53</t>
        </is>
      </c>
      <c r="S1096" t="inlineStr">
        <is>
          <t>Köln</t>
        </is>
      </c>
    </row>
    <row r="1097">
      <c r="A1097" s="2" t="n">
        <v>7</v>
      </c>
      <c r="B1097" t="inlineStr">
        <is>
          <t>Severne Mach 4</t>
        </is>
      </c>
      <c r="C1097" s="3" t="n">
        <v>430</v>
      </c>
      <c r="D1097" s="3" t="n">
        <v>200</v>
      </c>
      <c r="E1097" t="inlineStr"/>
      <c r="F1097" t="inlineStr"/>
      <c r="G1097" t="inlineStr">
        <is>
          <t>used</t>
        </is>
      </c>
      <c r="H1097" s="4" t="n">
        <v>325</v>
      </c>
      <c r="I1097" t="inlineStr">
        <is>
          <t>VB</t>
        </is>
      </c>
      <c r="J1097" t="inlineStr">
        <is>
          <t>51379 Nordrhein-Westfalen - Leverkusen</t>
        </is>
      </c>
      <c r="K1097" s="5" t="n">
        <v>45522</v>
      </c>
      <c r="L1097" t="inlineStr">
        <is>
          <t>Sold</t>
        </is>
      </c>
      <c r="M1097" s="6">
        <f>HYPERLINK("https://www.kleinanzeigen.de/s-anzeige/severne-mach-4-7-0-rabatt-fuer-jugendliche-siehe-beschreibung-/2839844718-230-1991", "Link")</f>
        <v/>
      </c>
      <c r="N1097" s="6">
        <f>HYPERLINK("C:\Projects\Kleinanzeigen-Scraper\offer_images\2839844718", "Link")</f>
        <v/>
      </c>
      <c r="O1097" t="inlineStr">
        <is>
          <t>Katharina</t>
        </is>
      </c>
      <c r="P1097" s="6">
        <f>HYPERLINK("https://www.kleinanzeigen.de/s-bestandsliste.html?userId=63873442", "Link")</f>
        <v/>
      </c>
      <c r="Q1097" s="7" t="n">
        <v>45549.57903935185</v>
      </c>
      <c r="R1097" s="3" t="inlineStr">
        <is>
          <t>14.88</t>
        </is>
      </c>
      <c r="S1097" t="inlineStr">
        <is>
          <t>Köln</t>
        </is>
      </c>
    </row>
    <row r="1098">
      <c r="A1098" s="2" t="n">
        <v>8.6</v>
      </c>
      <c r="B1098" t="inlineStr">
        <is>
          <t>Severne Mach 3</t>
        </is>
      </c>
      <c r="C1098" s="3" t="n">
        <v>490</v>
      </c>
      <c r="D1098" s="3" t="n">
        <v>227</v>
      </c>
      <c r="E1098" t="inlineStr"/>
      <c r="F1098" t="inlineStr"/>
      <c r="G1098" t="inlineStr">
        <is>
          <t>used</t>
        </is>
      </c>
      <c r="H1098" s="4" t="n">
        <v>225</v>
      </c>
      <c r="I1098" t="inlineStr">
        <is>
          <t>VB</t>
        </is>
      </c>
      <c r="J1098" t="inlineStr">
        <is>
          <t>51379 Nordrhein-Westfalen - Leverkusen</t>
        </is>
      </c>
      <c r="K1098" s="5" t="n">
        <v>45522</v>
      </c>
      <c r="L1098" t="inlineStr">
        <is>
          <t>Sold</t>
        </is>
      </c>
      <c r="M1098" s="6">
        <f>HYPERLINK("https://www.kleinanzeigen.de/s-anzeige/severne-mach-3-8-6-rabatt-fuer-jugendliche-siehe-beschreibung-/2839875219-230-1991", "Link")</f>
        <v/>
      </c>
      <c r="N1098" s="6">
        <f>HYPERLINK("C:\Projects\Kleinanzeigen-Scraper\offer_images\2839875219", "Link")</f>
        <v/>
      </c>
      <c r="O1098" t="inlineStr">
        <is>
          <t>Katharina</t>
        </is>
      </c>
      <c r="P1098" s="6">
        <f>HYPERLINK("https://www.kleinanzeigen.de/s-bestandsliste.html?userId=63873442", "Link")</f>
        <v/>
      </c>
      <c r="Q1098" s="7" t="n">
        <v>45549.57903935185</v>
      </c>
      <c r="R1098" s="3" t="inlineStr">
        <is>
          <t>14.88</t>
        </is>
      </c>
      <c r="S1098" t="inlineStr">
        <is>
          <t>Köln</t>
        </is>
      </c>
    </row>
    <row r="1099">
      <c r="A1099" s="2" t="n">
        <v>4.7</v>
      </c>
      <c r="B1099" t="inlineStr">
        <is>
          <t>Ezzy Super Lite</t>
        </is>
      </c>
      <c r="C1099" s="3" t="n">
        <v>411</v>
      </c>
      <c r="D1099" s="3" t="n">
        <v>163</v>
      </c>
      <c r="E1099" t="inlineStr"/>
      <c r="F1099" t="inlineStr"/>
      <c r="G1099" t="inlineStr">
        <is>
          <t>used</t>
        </is>
      </c>
      <c r="H1099" s="4" t="n">
        <v>40</v>
      </c>
      <c r="I1099" t="inlineStr"/>
      <c r="J1099" t="inlineStr">
        <is>
          <t>24229 Schleswig-Holstein - Schwedeneck</t>
        </is>
      </c>
      <c r="K1099" s="5" t="n">
        <v>44710</v>
      </c>
      <c r="L1099" t="inlineStr"/>
      <c r="M1099" s="6">
        <f>HYPERLINK("https://www.kleinanzeigen.de/s-anzeige/ezzy-super-lite-4-7-qm/2118923189-230-17470", "Link")</f>
        <v/>
      </c>
      <c r="N1099" s="6">
        <f>HYPERLINK("C:\Projects\Kleinanzeigen-Scraper\offer_images\2118923189", "Link")</f>
        <v/>
      </c>
      <c r="O1099" t="inlineStr">
        <is>
          <t>Bernd</t>
        </is>
      </c>
      <c r="P1099" s="6">
        <f>HYPERLINK("https://www.kleinanzeigen.de/s-bestandsliste.html?userId=7833787", "Link")</f>
        <v/>
      </c>
      <c r="Q1099" s="7" t="n">
        <v>45549.5790162037</v>
      </c>
      <c r="R1099" s="3" t="inlineStr">
        <is>
          <t>445.58</t>
        </is>
      </c>
      <c r="S1099" t="inlineStr">
        <is>
          <t>Köln</t>
        </is>
      </c>
    </row>
    <row r="1100">
      <c r="A1100" s="2" t="n">
        <v>7</v>
      </c>
      <c r="B1100" t="inlineStr">
        <is>
          <t>Loftsails Switchblade</t>
        </is>
      </c>
      <c r="C1100" s="3" t="n">
        <v>468</v>
      </c>
      <c r="D1100" s="3" t="n">
        <v>204</v>
      </c>
      <c r="E1100" t="inlineStr">
        <is>
          <t>Freerace</t>
        </is>
      </c>
      <c r="F1100" t="inlineStr">
        <is>
          <t>2021</t>
        </is>
      </c>
      <c r="G1100" t="inlineStr">
        <is>
          <t>new</t>
        </is>
      </c>
      <c r="H1100" s="4" t="n">
        <v>559</v>
      </c>
      <c r="I1100" t="inlineStr"/>
      <c r="J1100" t="inlineStr">
        <is>
          <t>55218 Rheinland-Pfalz - Ingelheim am Rhein</t>
        </is>
      </c>
      <c r="K1100" s="5" t="n">
        <v>45164</v>
      </c>
      <c r="L1100" t="inlineStr"/>
      <c r="M1100" s="6">
        <f>HYPERLINK("https://www.kleinanzeigen.de/s-anzeige/loftsails-switchblade-7-0-gruen-hd-2021-freerace/2529938437-230-5126", "Link")</f>
        <v/>
      </c>
      <c r="N1100" s="6">
        <f>HYPERLINK("C:\Projects\Kleinanzeigen-Scraper\offer_images\2529938437", "Link")</f>
        <v/>
      </c>
      <c r="O1100" t="inlineStr">
        <is>
          <t>Peters Windsurfing Shop</t>
        </is>
      </c>
      <c r="P1100" s="6">
        <f>HYPERLINK("https://www.kleinanzeigen.de/s-bestandsliste.html?userId=120339149", "Link")</f>
        <v/>
      </c>
      <c r="Q1100" s="7" t="n">
        <v>45549.57900462963</v>
      </c>
      <c r="R1100" s="3" t="inlineStr">
        <is>
          <t>108.99</t>
        </is>
      </c>
      <c r="S1100" t="inlineStr">
        <is>
          <t>Karlsruhe</t>
        </is>
      </c>
    </row>
    <row r="1101">
      <c r="A1101" s="2" t="n">
        <v>4</v>
      </c>
      <c r="B1101" t="inlineStr">
        <is>
          <t>Goya Banzai xpro</t>
        </is>
      </c>
      <c r="C1101" s="3" t="inlineStr"/>
      <c r="D1101" s="3" t="inlineStr"/>
      <c r="E1101" t="inlineStr"/>
      <c r="F1101" t="inlineStr">
        <is>
          <t>2023</t>
        </is>
      </c>
      <c r="G1101" t="inlineStr">
        <is>
          <t>repaired</t>
        </is>
      </c>
      <c r="H1101" s="4" t="n">
        <v>355</v>
      </c>
      <c r="I1101" t="inlineStr"/>
      <c r="J1101" t="inlineStr">
        <is>
          <t>24217 Schleswig-Holstein - Schönberg (Holstein)</t>
        </is>
      </c>
      <c r="K1101" s="5" t="n">
        <v>45546</v>
      </c>
      <c r="L1101" t="inlineStr"/>
      <c r="M1101" s="6">
        <f>HYPERLINK("https://www.kleinanzeigen.de/s-anzeige/goya-banzai-xpro-4-0/2860600897-230-18587", "Link")</f>
        <v/>
      </c>
      <c r="N1101" s="6">
        <f>HYPERLINK("C:\Projects\Kleinanzeigen-Scraper\offer_images\2860600897", "Link")</f>
        <v/>
      </c>
      <c r="O1101" t="inlineStr">
        <is>
          <t>S.Wahl</t>
        </is>
      </c>
      <c r="P1101" s="6">
        <f>HYPERLINK("https://www.kleinanzeigen.de/s-bestandsliste.html?userId=11293188", "Link")</f>
        <v/>
      </c>
      <c r="Q1101" s="7" t="n">
        <v>45549.57899305555</v>
      </c>
      <c r="R1101" s="3" t="inlineStr">
        <is>
          <t>447.79</t>
        </is>
      </c>
      <c r="S1101" t="inlineStr">
        <is>
          <t>Köln</t>
        </is>
      </c>
    </row>
    <row r="1102">
      <c r="A1102" s="2" t="n">
        <v>5</v>
      </c>
      <c r="B1102" t="inlineStr">
        <is>
          <t>North Sails Ego</t>
        </is>
      </c>
      <c r="C1102" s="3" t="inlineStr"/>
      <c r="D1102" s="3" t="inlineStr"/>
      <c r="E1102" t="inlineStr"/>
      <c r="F1102" t="inlineStr"/>
      <c r="G1102" t="inlineStr">
        <is>
          <t>used</t>
        </is>
      </c>
      <c r="H1102" s="4" t="n">
        <v>65</v>
      </c>
      <c r="I1102" t="inlineStr"/>
      <c r="J1102" t="inlineStr">
        <is>
          <t>69198 Baden-Württemberg - Schriesheim</t>
        </is>
      </c>
      <c r="K1102" s="5" t="n">
        <v>45543</v>
      </c>
      <c r="L1102" t="inlineStr">
        <is>
          <t>Sold</t>
        </is>
      </c>
      <c r="M1102" s="6">
        <f>HYPERLINK("https://www.kleinanzeigen.de/s-anzeige/north-sails-ego-5-0-segel/2857680563-230-8270", "Link")</f>
        <v/>
      </c>
      <c r="N1102" s="6">
        <f>HYPERLINK("C:\Projects\Kleinanzeigen-Scraper\offer_images\2857680563", "Link")</f>
        <v/>
      </c>
      <c r="O1102" t="inlineStr">
        <is>
          <t>Sven</t>
        </is>
      </c>
      <c r="P1102" s="6">
        <f>HYPERLINK("https://www.kleinanzeigen.de/s-bestandsliste.html?userId=15271620", "Link")</f>
        <v/>
      </c>
      <c r="Q1102" s="7" t="n">
        <v>45549.57899305555</v>
      </c>
      <c r="R1102" s="3" t="inlineStr">
        <is>
          <t>57.18</t>
        </is>
      </c>
      <c r="S1102" t="inlineStr">
        <is>
          <t>Karlsruhe</t>
        </is>
      </c>
    </row>
    <row r="1103">
      <c r="A1103" s="2" t="n">
        <v>4.8</v>
      </c>
      <c r="B1103" t="inlineStr">
        <is>
          <t>Severne Freek</t>
        </is>
      </c>
      <c r="C1103" s="3" t="inlineStr"/>
      <c r="D1103" s="3" t="inlineStr"/>
      <c r="E1103" t="inlineStr"/>
      <c r="F1103" t="inlineStr"/>
      <c r="G1103" t="inlineStr"/>
      <c r="H1103" s="4" t="n">
        <v>240</v>
      </c>
      <c r="I1103" t="inlineStr"/>
      <c r="J1103" t="inlineStr">
        <is>
          <t>25335 Kreis Pinneberg - Elmshorn</t>
        </is>
      </c>
      <c r="K1103" s="5" t="n">
        <v>45528</v>
      </c>
      <c r="L1103" t="inlineStr"/>
      <c r="M1103" s="6">
        <f>HYPERLINK("https://www.kleinanzeigen.de/s-anzeige/severne-freek-4-8-windsurfsegel/2844793973-230-877", "Link")</f>
        <v/>
      </c>
      <c r="N1103" s="6">
        <f>HYPERLINK("C:\Projects\Kleinanzeigen-Scraper\offer_images\2844793973", "Link")</f>
        <v/>
      </c>
      <c r="O1103" t="inlineStr">
        <is>
          <t>Stefan Groth</t>
        </is>
      </c>
      <c r="P1103" s="6">
        <f>HYPERLINK("https://www.kleinanzeigen.de/s-bestandsliste.html?userId=78836532", "Link")</f>
        <v/>
      </c>
      <c r="Q1103" s="7" t="n">
        <v>45549.57899305555</v>
      </c>
      <c r="R1103" s="3" t="inlineStr">
        <is>
          <t>361.16</t>
        </is>
      </c>
      <c r="S1103" t="inlineStr">
        <is>
          <t>Köln</t>
        </is>
      </c>
    </row>
    <row r="1104">
      <c r="A1104" s="2" t="n">
        <v>6</v>
      </c>
      <c r="B1104" t="inlineStr">
        <is>
          <t>Ezzy Sails Wave Special Edition</t>
        </is>
      </c>
      <c r="C1104" s="3" t="inlineStr"/>
      <c r="D1104" s="3" t="inlineStr"/>
      <c r="E1104" t="inlineStr"/>
      <c r="F1104" t="inlineStr"/>
      <c r="G1104" t="inlineStr">
        <is>
          <t>used</t>
        </is>
      </c>
      <c r="H1104" s="4" t="n">
        <v>160</v>
      </c>
      <c r="I1104" t="inlineStr">
        <is>
          <t>VB</t>
        </is>
      </c>
      <c r="J1104" t="inlineStr">
        <is>
          <t>58675 Nordrhein-Westfalen - Hemer</t>
        </is>
      </c>
      <c r="K1104" s="5" t="n">
        <v>45522</v>
      </c>
      <c r="L1104" t="inlineStr"/>
      <c r="M1104" s="6">
        <f>HYPERLINK("https://www.kleinanzeigen.de/s-anzeige/ezzy-sails-wave-special-edition-6-0/2839812394-230-1425", "Link")</f>
        <v/>
      </c>
      <c r="N1104" s="6">
        <f>HYPERLINK("C:\Projects\Kleinanzeigen-Scraper\offer_images\2839812394", "Link")</f>
        <v/>
      </c>
      <c r="O1104" t="inlineStr">
        <is>
          <t>Jan Schmöle</t>
        </is>
      </c>
      <c r="P1104" s="6">
        <f>HYPERLINK("https://www.kleinanzeigen.de/s-bestandsliste.html?userId=11948995", "Link")</f>
        <v/>
      </c>
      <c r="Q1104" s="7" t="n">
        <v>45549.57899305555</v>
      </c>
      <c r="R1104" s="3" t="inlineStr">
        <is>
          <t>74.52</t>
        </is>
      </c>
      <c r="S1104" t="inlineStr">
        <is>
          <t>Köln</t>
        </is>
      </c>
    </row>
    <row r="1105">
      <c r="A1105" s="2" t="n">
        <v>8</v>
      </c>
      <c r="B1105" t="inlineStr">
        <is>
          <t>Severne HG 6</t>
        </is>
      </c>
      <c r="C1105" s="3" t="n">
        <v>490</v>
      </c>
      <c r="D1105" s="3" t="n">
        <v>29</v>
      </c>
      <c r="E1105" t="inlineStr">
        <is>
          <t>Foil Race</t>
        </is>
      </c>
      <c r="F1105" t="inlineStr"/>
      <c r="G1105" t="inlineStr"/>
      <c r="H1105" s="4" t="n">
        <v>600</v>
      </c>
      <c r="I1105" t="inlineStr">
        <is>
          <t>VB</t>
        </is>
      </c>
      <c r="J1105" t="inlineStr">
        <is>
          <t>12487 Berlin - Treptow</t>
        </is>
      </c>
      <c r="K1105" s="5" t="n">
        <v>45548</v>
      </c>
      <c r="L1105" t="inlineStr"/>
      <c r="M1105" s="6">
        <f>HYPERLINK("https://www.kleinanzeigen.de/s-anzeige/segel-8-m2-sail-foil-severne-hg-6/2862517277-230-3483", "Link")</f>
        <v/>
      </c>
      <c r="N1105" s="6">
        <f>HYPERLINK("C:\Projects\Kleinanzeigen-Scraper\offer_images\2862517277", "Link")</f>
        <v/>
      </c>
      <c r="O1105" t="inlineStr">
        <is>
          <t>Henry</t>
        </is>
      </c>
      <c r="P1105" s="6">
        <f>HYPERLINK("https://www.kleinanzeigen.de/s-bestandsliste.html?userId=52753689", "Link")</f>
        <v/>
      </c>
      <c r="Q1105" s="7" t="n">
        <v>45549.57898148148</v>
      </c>
      <c r="R1105" s="3" t="inlineStr">
        <is>
          <t>481.69</t>
        </is>
      </c>
      <c r="S1105" t="inlineStr">
        <is>
          <t>Köln</t>
        </is>
      </c>
    </row>
    <row r="1106">
      <c r="A1106" s="2" t="n">
        <v>5.5</v>
      </c>
      <c r="B1106" t="inlineStr">
        <is>
          <t>Duotone Unit</t>
        </is>
      </c>
      <c r="C1106" s="3" t="inlineStr"/>
      <c r="D1106" s="3" t="inlineStr"/>
      <c r="E1106" t="inlineStr"/>
      <c r="F1106" t="inlineStr">
        <is>
          <t>2022</t>
        </is>
      </c>
      <c r="G1106" t="inlineStr">
        <is>
          <t>repaired</t>
        </is>
      </c>
      <c r="H1106" s="4" t="n">
        <v>400</v>
      </c>
      <c r="I1106" t="inlineStr"/>
      <c r="J1106" t="inlineStr">
        <is>
          <t>63225 Hessen - Langen (Hessen)</t>
        </is>
      </c>
      <c r="K1106" s="5" t="n">
        <v>45546</v>
      </c>
      <c r="L1106" t="inlineStr">
        <is>
          <t>Sold</t>
        </is>
      </c>
      <c r="M1106" s="6">
        <f>HYPERLINK("https://www.kleinanzeigen.de/s-anzeige/duotone-unit-5-5-wing/2860768516-230-4477", "Link")</f>
        <v/>
      </c>
      <c r="N1106" s="6">
        <f>HYPERLINK("C:\Projects\Kleinanzeigen-Scraper\offer_images\2860768516", "Link")</f>
        <v/>
      </c>
      <c r="O1106" t="inlineStr">
        <is>
          <t>Jens</t>
        </is>
      </c>
      <c r="P1106" s="6">
        <f>HYPERLINK("https://www.kleinanzeigen.de/s-bestandsliste.html?userId=4973438", "Link")</f>
        <v/>
      </c>
      <c r="Q1106" s="7" t="n">
        <v>45549.57896990741</v>
      </c>
      <c r="R1106" s="3" t="inlineStr">
        <is>
          <t>110.90</t>
        </is>
      </c>
      <c r="S1106" t="inlineStr">
        <is>
          <t>Karlsruhe</t>
        </is>
      </c>
    </row>
    <row r="1107">
      <c r="A1107" s="2" t="n">
        <v>4.2</v>
      </c>
      <c r="B1107" t="inlineStr">
        <is>
          <t>The Loft Lip</t>
        </is>
      </c>
      <c r="C1107" s="3" t="n">
        <v>377</v>
      </c>
      <c r="D1107" s="3" t="n">
        <v>178</v>
      </c>
      <c r="E1107" t="inlineStr">
        <is>
          <t>Wave</t>
        </is>
      </c>
      <c r="F1107" t="inlineStr"/>
      <c r="G1107" t="inlineStr">
        <is>
          <t>new</t>
        </is>
      </c>
      <c r="H1107" s="4" t="n">
        <v>90</v>
      </c>
      <c r="I1107" t="inlineStr"/>
      <c r="J1107" t="inlineStr">
        <is>
          <t>71093 Baden-Württemberg - Weil im Schönbuch</t>
        </is>
      </c>
      <c r="K1107" s="5" t="n">
        <v>45545</v>
      </c>
      <c r="L1107" t="inlineStr"/>
      <c r="M1107" s="6">
        <f>HYPERLINK("https://www.kleinanzeigen.de/s-anzeige/the-loft-lip-4-2m-segel-loftsails-neilpryde/2859083679-230-8785", "Link")</f>
        <v/>
      </c>
      <c r="N1107" s="6">
        <f>HYPERLINK("C:\Projects\Kleinanzeigen-Scraper\offer_images\2859083679", "Link")</f>
        <v/>
      </c>
      <c r="O1107" t="inlineStr">
        <is>
          <t>Schorschi</t>
        </is>
      </c>
      <c r="P1107" s="6">
        <f>HYPERLINK("https://www.kleinanzeigen.de/s-bestandsliste.html?userId=71398211", "Link")</f>
        <v/>
      </c>
      <c r="Q1107" s="7" t="n">
        <v>45549.57891203704</v>
      </c>
      <c r="R1107" s="3" t="inlineStr">
        <is>
          <t>9.52</t>
        </is>
      </c>
      <c r="S1107" t="inlineStr">
        <is>
          <t>Böblingen</t>
        </is>
      </c>
    </row>
    <row r="1108">
      <c r="A1108" s="2" t="n">
        <v>5.2</v>
      </c>
      <c r="B1108" t="inlineStr">
        <is>
          <t>Gunsails Yeah</t>
        </is>
      </c>
      <c r="C1108" s="3" t="inlineStr"/>
      <c r="D1108" s="3" t="inlineStr"/>
      <c r="E1108" t="inlineStr"/>
      <c r="F1108" t="inlineStr">
        <is>
          <t>2019</t>
        </is>
      </c>
      <c r="G1108" t="inlineStr">
        <is>
          <t>used</t>
        </is>
      </c>
      <c r="H1108" s="4" t="n">
        <v>250</v>
      </c>
      <c r="I1108" t="inlineStr"/>
      <c r="J1108" t="inlineStr">
        <is>
          <t>04279 Leipzig - Dölitz-Dösen</t>
        </is>
      </c>
      <c r="K1108" s="5" t="n">
        <v>45540</v>
      </c>
      <c r="L1108" t="inlineStr"/>
      <c r="M1108" s="6">
        <f>HYPERLINK("https://www.kleinanzeigen.de/s-anzeige/gunsails-segel-5-2-yeah-no-neilpryde-northsails-gastra-sailloft/2855160966-230-4264", "Link")</f>
        <v/>
      </c>
      <c r="N1108" s="6">
        <f>HYPERLINK("C:\Projects\Kleinanzeigen-Scraper\offer_images\2855160966", "Link")</f>
        <v/>
      </c>
      <c r="O1108" t="inlineStr">
        <is>
          <t>Sammler</t>
        </is>
      </c>
      <c r="P1108" s="6">
        <f>HYPERLINK("https://www.kleinanzeigen.de/s-bestandsliste.html?userId=23034636", "Link")</f>
        <v/>
      </c>
      <c r="Q1108" s="7" t="n">
        <v>45549.57888888889</v>
      </c>
      <c r="R1108" s="3" t="inlineStr">
        <is>
          <t>356.18</t>
        </is>
      </c>
      <c r="S1108" t="inlineStr">
        <is>
          <t>München</t>
        </is>
      </c>
    </row>
    <row r="1109">
      <c r="A1109" s="2" t="n">
        <v>7.7</v>
      </c>
      <c r="B1109" t="inlineStr">
        <is>
          <t>Neilpryde H2 Racing</t>
        </is>
      </c>
      <c r="C1109" s="3" t="n">
        <v>460</v>
      </c>
      <c r="D1109" s="3" t="n">
        <v>211</v>
      </c>
      <c r="E1109" t="inlineStr">
        <is>
          <t>Racing</t>
        </is>
      </c>
      <c r="F1109" t="inlineStr"/>
      <c r="G1109" t="inlineStr"/>
      <c r="H1109" s="4" t="n">
        <v>280</v>
      </c>
      <c r="I1109" t="inlineStr">
        <is>
          <t>VB</t>
        </is>
      </c>
      <c r="J1109" t="inlineStr">
        <is>
          <t>75210 Baden-Württemberg - Keltern</t>
        </is>
      </c>
      <c r="K1109" s="5" t="n">
        <v>45518</v>
      </c>
      <c r="L1109" t="inlineStr"/>
      <c r="M1109" s="6">
        <f>HYPERLINK("https://www.kleinanzeigen.de/s-anzeige/neilpryde-h2-racing-7-7-qm/2836561612-230-8118", "Link")</f>
        <v/>
      </c>
      <c r="N1109" s="6">
        <f>HYPERLINK("C:\Projects\Kleinanzeigen-Scraper\offer_images\2836561612", "Link")</f>
        <v/>
      </c>
      <c r="O1109" t="inlineStr">
        <is>
          <t>Mario Zachmann</t>
        </is>
      </c>
      <c r="P1109" s="6">
        <f>HYPERLINK("https://www.kleinanzeigen.de/s-bestandsliste.html?userId=17772816", "Link")</f>
        <v/>
      </c>
      <c r="Q1109" s="7" t="n">
        <v>45549.57886574074</v>
      </c>
      <c r="R1109" s="3" t="inlineStr">
        <is>
          <t>17.81</t>
        </is>
      </c>
      <c r="S1109" t="inlineStr">
        <is>
          <t>Karlsruhe</t>
        </is>
      </c>
    </row>
    <row r="1110">
      <c r="A1110" s="2" t="n">
        <v>6.5</v>
      </c>
      <c r="B1110" t="inlineStr">
        <is>
          <t>Simmer Style</t>
        </is>
      </c>
      <c r="C1110" s="3" t="inlineStr"/>
      <c r="D1110" s="3" t="inlineStr"/>
      <c r="E1110" t="inlineStr"/>
      <c r="F1110" t="inlineStr"/>
      <c r="G1110" t="inlineStr"/>
      <c r="H1110" s="4" t="n">
        <v>100</v>
      </c>
      <c r="I1110" t="inlineStr">
        <is>
          <t>VB</t>
        </is>
      </c>
      <c r="J1110" t="inlineStr">
        <is>
          <t>66126 Saarbrücken-West - Altenkessel</t>
        </is>
      </c>
      <c r="K1110" s="5" t="n">
        <v>45452</v>
      </c>
      <c r="L1110" t="inlineStr"/>
      <c r="M1110" s="6">
        <f>HYPERLINK("https://www.kleinanzeigen.de/s-anzeige/surfsegel-simmer-style-6-5/2783601935-230-391", "Link")</f>
        <v/>
      </c>
      <c r="N1110" s="6">
        <f>HYPERLINK("C:\Projects\Kleinanzeigen-Scraper\offer_images\2783601935", "Link")</f>
        <v/>
      </c>
      <c r="O1110" t="inlineStr">
        <is>
          <t>Michael</t>
        </is>
      </c>
      <c r="P1110" s="6">
        <f>HYPERLINK("https://www.kleinanzeigen.de/s-bestandsliste.html?userId=7254358", "Link")</f>
        <v/>
      </c>
      <c r="Q1110" s="7" t="n">
        <v>45549.57886574074</v>
      </c>
      <c r="R1110" s="3" t="inlineStr">
        <is>
          <t>110.89</t>
        </is>
      </c>
      <c r="S1110" t="inlineStr">
        <is>
          <t>Karlsruhe</t>
        </is>
      </c>
    </row>
    <row r="1111">
      <c r="A1111" s="2" t="n">
        <v>7.5</v>
      </c>
      <c r="B1111" t="inlineStr">
        <is>
          <t>Gun Sails X-Race</t>
        </is>
      </c>
      <c r="C1111" s="3" t="n">
        <v>490</v>
      </c>
      <c r="D1111" s="3" t="n">
        <v>214</v>
      </c>
      <c r="E1111" t="inlineStr"/>
      <c r="F1111" t="inlineStr"/>
      <c r="G1111" t="inlineStr">
        <is>
          <t>repaired</t>
        </is>
      </c>
      <c r="H1111" s="4" t="n">
        <v>50</v>
      </c>
      <c r="I1111" t="inlineStr">
        <is>
          <t>VB</t>
        </is>
      </c>
      <c r="J1111" t="inlineStr">
        <is>
          <t>83352 Bayern - Altenmarkt</t>
        </is>
      </c>
      <c r="K1111" s="5" t="n">
        <v>45491</v>
      </c>
      <c r="L1111" t="inlineStr">
        <is>
          <t>Sold</t>
        </is>
      </c>
      <c r="M1111" s="6">
        <f>HYPERLINK("https://www.kleinanzeigen.de/s-anzeige/surfsegel-gun-sail-7-5-qm-x-race/2815657043-230-5708", "Link")</f>
        <v/>
      </c>
      <c r="N1111" s="6">
        <f>HYPERLINK("C:\Projects\Kleinanzeigen-Scraper\offer_images\2815657043", "Link")</f>
        <v/>
      </c>
      <c r="O1111" t="inlineStr">
        <is>
          <t>Mitterer Regina</t>
        </is>
      </c>
      <c r="P1111" s="6">
        <f>HYPERLINK("https://www.kleinanzeigen.de/s-bestandsliste.html?userId=18362844", "Link")</f>
        <v/>
      </c>
      <c r="Q1111" s="7" t="n">
        <v>45549.57884259259</v>
      </c>
      <c r="R1111" s="3" t="inlineStr">
        <is>
          <t>69.47</t>
        </is>
      </c>
      <c r="S1111" t="inlineStr">
        <is>
          <t>München</t>
        </is>
      </c>
    </row>
    <row r="1112">
      <c r="A1112" s="2" t="n">
        <v>7</v>
      </c>
      <c r="B1112" t="inlineStr">
        <is>
          <t>Severne Mach</t>
        </is>
      </c>
      <c r="C1112" s="3" t="n">
        <v>430</v>
      </c>
      <c r="D1112" s="3" t="inlineStr"/>
      <c r="E1112" t="inlineStr"/>
      <c r="F1112" t="inlineStr">
        <is>
          <t>2018</t>
        </is>
      </c>
      <c r="G1112" t="inlineStr">
        <is>
          <t>used</t>
        </is>
      </c>
      <c r="H1112" s="4" t="n">
        <v>250</v>
      </c>
      <c r="I1112" t="inlineStr">
        <is>
          <t>VB</t>
        </is>
      </c>
      <c r="J1112" t="inlineStr">
        <is>
          <t>59320 Nordrhein-Westfalen - Ennigerloh</t>
        </is>
      </c>
      <c r="K1112" s="5" t="n">
        <v>45440</v>
      </c>
      <c r="L1112" t="inlineStr"/>
      <c r="M1112" s="6">
        <f>HYPERLINK("https://www.kleinanzeigen.de/s-anzeige/severne-mach-7-0m-2018-slalom-windsurf-segel/2773746303-230-1439", "Link")</f>
        <v/>
      </c>
      <c r="N1112" s="6">
        <f>HYPERLINK("C:\Projects\Kleinanzeigen-Scraper\offer_images\2773746303", "Link")</f>
        <v/>
      </c>
      <c r="O1112" t="inlineStr">
        <is>
          <t>Steffen Bremerich</t>
        </is>
      </c>
      <c r="P1112" s="6">
        <f>HYPERLINK("https://www.kleinanzeigen.de/s-bestandsliste.html?userId=51431186", "Link")</f>
        <v/>
      </c>
      <c r="Q1112" s="7" t="n">
        <v>45549.57884259259</v>
      </c>
      <c r="R1112" s="3" t="inlineStr">
        <is>
          <t>126.09</t>
        </is>
      </c>
      <c r="S1112" t="inlineStr">
        <is>
          <t>Köln</t>
        </is>
      </c>
    </row>
    <row r="1113">
      <c r="A1113" s="2" t="n">
        <v>5.3</v>
      </c>
      <c r="B1113" t="inlineStr">
        <is>
          <t>North Voodoo</t>
        </is>
      </c>
      <c r="C1113" s="3" t="n">
        <v>4.33</v>
      </c>
      <c r="D1113" s="3" t="n">
        <v>1.75</v>
      </c>
      <c r="E1113" t="inlineStr"/>
      <c r="F1113" t="inlineStr"/>
      <c r="G1113" t="inlineStr">
        <is>
          <t>used</t>
        </is>
      </c>
      <c r="H1113" s="4" t="n">
        <v>99</v>
      </c>
      <c r="I1113" t="inlineStr">
        <is>
          <t>VB</t>
        </is>
      </c>
      <c r="J1113" t="inlineStr">
        <is>
          <t>71384 Baden-Württemberg - Weinstadt</t>
        </is>
      </c>
      <c r="K1113" s="5" t="n">
        <v>45546</v>
      </c>
      <c r="L1113" t="inlineStr">
        <is>
          <t>Sold</t>
        </is>
      </c>
      <c r="M1113" s="6">
        <f>HYPERLINK("https://www.kleinanzeigen.de/s-anzeige/north-sails-voodoo-5-3-qm/2860708485-230-8386", "Link")</f>
        <v/>
      </c>
      <c r="N1113" s="6">
        <f>HYPERLINK("C:\Projects\Kleinanzeigen-Scraper\offer_images\2860708485", "Link")</f>
        <v/>
      </c>
      <c r="O1113" t="inlineStr">
        <is>
          <t>Frank</t>
        </is>
      </c>
      <c r="P1113" s="6">
        <f>HYPERLINK("https://www.kleinanzeigen.de/s-bestandsliste.html?userId=5342134", "Link")</f>
        <v/>
      </c>
      <c r="Q1113" s="7" t="n">
        <v>45549.57883101852</v>
      </c>
      <c r="R1113" s="3" t="inlineStr">
        <is>
          <t>33.53</t>
        </is>
      </c>
      <c r="S1113" t="inlineStr">
        <is>
          <t>Böblingen</t>
        </is>
      </c>
    </row>
    <row r="1114">
      <c r="A1114" s="2" t="n">
        <v>4.7</v>
      </c>
      <c r="B1114" t="inlineStr">
        <is>
          <t>Gunsails Peak</t>
        </is>
      </c>
      <c r="C1114" s="3" t="n">
        <v>397</v>
      </c>
      <c r="D1114" s="3" t="n">
        <v>161</v>
      </c>
      <c r="E1114" t="inlineStr"/>
      <c r="F1114" t="inlineStr"/>
      <c r="G1114" t="inlineStr">
        <is>
          <t>used</t>
        </is>
      </c>
      <c r="H1114" s="4" t="n">
        <v>80</v>
      </c>
      <c r="I1114" t="inlineStr">
        <is>
          <t>VB</t>
        </is>
      </c>
      <c r="J1114" t="inlineStr">
        <is>
          <t>24161 Schleswig-Holstein - Altenholz</t>
        </is>
      </c>
      <c r="K1114" s="5" t="n">
        <v>45539</v>
      </c>
      <c r="L1114" t="inlineStr">
        <is>
          <t>Sold</t>
        </is>
      </c>
      <c r="M1114" s="6">
        <f>HYPERLINK("https://www.kleinanzeigen.de/s-anzeige/gunsails-peak-4-7-gun-sails-windsurfsegel/2854124285-230-10597", "Link")</f>
        <v/>
      </c>
      <c r="N1114" s="6">
        <f>HYPERLINK("C:\Projects\Kleinanzeigen-Scraper\offer_images\2854124285", "Link")</f>
        <v/>
      </c>
      <c r="O1114" t="inlineStr">
        <is>
          <t>Hein</t>
        </is>
      </c>
      <c r="P1114" s="6">
        <f>HYPERLINK("https://www.kleinanzeigen.de/s-bestandsliste.html?userId=22001913", "Link")</f>
        <v/>
      </c>
      <c r="Q1114" s="7" t="n">
        <v>45549.57881944445</v>
      </c>
      <c r="R1114" s="3" t="inlineStr">
        <is>
          <t>439.33</t>
        </is>
      </c>
      <c r="S1114" t="inlineStr">
        <is>
          <t>Köln</t>
        </is>
      </c>
    </row>
    <row r="1115">
      <c r="A1115" s="2" t="n">
        <v>6.5</v>
      </c>
      <c r="B1115" t="inlineStr">
        <is>
          <t>Neilpryde VX2</t>
        </is>
      </c>
      <c r="C1115" s="3" t="n">
        <v>4.92</v>
      </c>
      <c r="D1115" s="3" t="n">
        <v>1.69</v>
      </c>
      <c r="E1115" t="inlineStr"/>
      <c r="F1115" t="inlineStr"/>
      <c r="G1115" t="inlineStr">
        <is>
          <t>repaired</t>
        </is>
      </c>
      <c r="H1115" s="4" t="n">
        <v>70</v>
      </c>
      <c r="I1115" t="inlineStr">
        <is>
          <t>VB</t>
        </is>
      </c>
      <c r="J1115" t="inlineStr">
        <is>
          <t>10247 Friedrichshain-Kreuzberg - Friedrichshain</t>
        </is>
      </c>
      <c r="K1115" s="5" t="n">
        <v>45549</v>
      </c>
      <c r="L1115" t="inlineStr"/>
      <c r="M1115" s="6">
        <f>HYPERLINK("https://www.kleinanzeigen.de/s-anzeige/windsurf-segel-neilpryde-vx2-6-5-qm/2862964708-230-3353", "Link")</f>
        <v/>
      </c>
      <c r="N1115" s="6">
        <f>HYPERLINK("C:\Projects\Kleinanzeigen-Scraper\offer_images\2862964708", "Link")</f>
        <v/>
      </c>
      <c r="O1115" t="inlineStr">
        <is>
          <t>Lieberenz</t>
        </is>
      </c>
      <c r="P1115" s="6">
        <f>HYPERLINK("https://www.kleinanzeigen.de/s-bestandsliste.html?userId=17290731", "Link")</f>
        <v/>
      </c>
      <c r="Q1115" s="7" t="n">
        <v>45549.57881944445</v>
      </c>
      <c r="R1115" s="3" t="inlineStr">
        <is>
          <t>481.24</t>
        </is>
      </c>
      <c r="S1115" t="inlineStr">
        <is>
          <t>Köln</t>
        </is>
      </c>
    </row>
    <row r="1116">
      <c r="A1116" s="2" t="n">
        <v>7.9</v>
      </c>
      <c r="B1116" t="inlineStr">
        <is>
          <t>Gunsails Rapid</t>
        </is>
      </c>
      <c r="C1116" s="3" t="n">
        <v>460</v>
      </c>
      <c r="D1116" s="3" t="n">
        <v>213</v>
      </c>
      <c r="E1116" t="inlineStr">
        <is>
          <t>Freerace</t>
        </is>
      </c>
      <c r="F1116" t="inlineStr"/>
      <c r="G1116" t="inlineStr">
        <is>
          <t>used</t>
        </is>
      </c>
      <c r="H1116" s="4" t="n">
        <v>220</v>
      </c>
      <c r="I1116" t="inlineStr">
        <is>
          <t>VB</t>
        </is>
      </c>
      <c r="J1116" t="inlineStr">
        <is>
          <t>68794 Baden-Württemberg - Oberhausen-Rheinhausen</t>
        </is>
      </c>
      <c r="K1116" s="5" t="n">
        <v>45544</v>
      </c>
      <c r="L1116" t="inlineStr"/>
      <c r="M1116" s="6">
        <f>HYPERLINK("https://www.kleinanzeigen.de/s-anzeige/gunsails-rapid-7-9-qm-gun-sails-surfsegel-freerace/2858762800-230-8338", "Link")</f>
        <v/>
      </c>
      <c r="N1116" s="6">
        <f>HYPERLINK("C:\Projects\Kleinanzeigen-Scraper\offer_images\2858762800", "Link")</f>
        <v/>
      </c>
      <c r="O1116" t="inlineStr">
        <is>
          <t>Metzler</t>
        </is>
      </c>
      <c r="P1116" s="6">
        <f>HYPERLINK("https://www.kleinanzeigen.de/s-bestandsliste.html?userId=73550942", "Link")</f>
        <v/>
      </c>
      <c r="Q1116" s="7" t="n">
        <v>45549.57881944445</v>
      </c>
      <c r="R1116" s="3" t="inlineStr">
        <is>
          <t>30.38</t>
        </is>
      </c>
      <c r="S1116" t="inlineStr">
        <is>
          <t>Karlsruhe</t>
        </is>
      </c>
    </row>
    <row r="1117">
      <c r="A1117" s="2" t="n">
        <v>5.9</v>
      </c>
      <c r="B1117" t="inlineStr">
        <is>
          <t>Severne S1</t>
        </is>
      </c>
      <c r="C1117" s="3" t="n">
        <v>430</v>
      </c>
      <c r="D1117" s="3" t="n">
        <v>181</v>
      </c>
      <c r="E1117" t="inlineStr"/>
      <c r="F1117" t="inlineStr"/>
      <c r="G1117" t="inlineStr">
        <is>
          <t>repaired</t>
        </is>
      </c>
      <c r="H1117" s="4" t="n">
        <v>45</v>
      </c>
      <c r="I1117" t="inlineStr"/>
      <c r="J1117" t="inlineStr">
        <is>
          <t>71093 Baden-Württemberg - Weil im Schönbuch</t>
        </is>
      </c>
      <c r="K1117" s="5" t="n">
        <v>45516</v>
      </c>
      <c r="L1117" t="inlineStr"/>
      <c r="M1117" s="6">
        <f>HYPERLINK("https://www.kleinanzeigen.de/s-anzeige/severne-s1-5-9m-segel/2835410713-230-8785", "Link")</f>
        <v/>
      </c>
      <c r="N1117" s="6">
        <f>HYPERLINK("C:\Projects\Kleinanzeigen-Scraper\offer_images\2835410713", "Link")</f>
        <v/>
      </c>
      <c r="O1117" t="inlineStr">
        <is>
          <t>Schorschi</t>
        </is>
      </c>
      <c r="P1117" s="6">
        <f>HYPERLINK("https://www.kleinanzeigen.de/s-bestandsliste.html?userId=71398211", "Link")</f>
        <v/>
      </c>
      <c r="Q1117" s="7" t="n">
        <v>45549.57879629629</v>
      </c>
      <c r="R1117" s="3" t="inlineStr">
        <is>
          <t>9.52</t>
        </is>
      </c>
      <c r="S1117" t="inlineStr">
        <is>
          <t>Böblingen</t>
        </is>
      </c>
    </row>
    <row r="1118">
      <c r="A1118" s="2" t="n">
        <v>5.3</v>
      </c>
      <c r="B1118" t="inlineStr">
        <is>
          <t>Neilpryde Combat</t>
        </is>
      </c>
      <c r="C1118" s="3" t="n">
        <v>455</v>
      </c>
      <c r="D1118" s="3" t="n">
        <v>172</v>
      </c>
      <c r="E1118" t="inlineStr">
        <is>
          <t>Freestyle</t>
        </is>
      </c>
      <c r="F1118" t="inlineStr"/>
      <c r="G1118" t="inlineStr">
        <is>
          <t>used</t>
        </is>
      </c>
      <c r="H1118" s="4" t="n">
        <v>60</v>
      </c>
      <c r="I1118" t="inlineStr">
        <is>
          <t>VB</t>
        </is>
      </c>
      <c r="J1118" t="inlineStr">
        <is>
          <t>33178 Nordrhein-Westfalen - Borchen</t>
        </is>
      </c>
      <c r="K1118" s="5" t="n">
        <v>45540</v>
      </c>
      <c r="L1118" t="inlineStr"/>
      <c r="M1118" s="6">
        <f>HYPERLINK("https://www.kleinanzeigen.de/s-anzeige/windsurfsegel-np-combat-5-3-neilpryde/2855012238-230-2159", "Link")</f>
        <v/>
      </c>
      <c r="N1118" s="6">
        <f>HYPERLINK("C:\Projects\Kleinanzeigen-Scraper\offer_images\2855012238", "Link")</f>
        <v/>
      </c>
      <c r="O1118" t="inlineStr">
        <is>
          <t>Ralf</t>
        </is>
      </c>
      <c r="P1118" s="6">
        <f>HYPERLINK("https://www.kleinanzeigen.de/s-bestandsliste.html?userId=26352479", "Link")</f>
        <v/>
      </c>
      <c r="Q1118" s="7" t="n">
        <v>45549.57878472222</v>
      </c>
      <c r="R1118" s="3" t="inlineStr">
        <is>
          <t>147.29</t>
        </is>
      </c>
      <c r="S1118" t="inlineStr">
        <is>
          <t>Köln</t>
        </is>
      </c>
    </row>
    <row r="1119">
      <c r="A1119" s="2" t="n">
        <v>4.5</v>
      </c>
      <c r="B1119" t="inlineStr">
        <is>
          <t>Sailloft UFO</t>
        </is>
      </c>
      <c r="C1119" s="3" t="inlineStr"/>
      <c r="D1119" s="3" t="inlineStr"/>
      <c r="E1119" t="inlineStr">
        <is>
          <t>Wingfoil</t>
        </is>
      </c>
      <c r="F1119" t="inlineStr"/>
      <c r="G1119" t="inlineStr">
        <is>
          <t>used</t>
        </is>
      </c>
      <c r="H1119" s="4" t="n">
        <v>375</v>
      </c>
      <c r="I1119" t="inlineStr">
        <is>
          <t>VB</t>
        </is>
      </c>
      <c r="J1119" t="inlineStr">
        <is>
          <t>25462 Kreis Pinneberg - Rellingen</t>
        </is>
      </c>
      <c r="K1119" s="5" t="n">
        <v>45543</v>
      </c>
      <c r="L1119" t="inlineStr">
        <is>
          <t>Sold</t>
        </is>
      </c>
      <c r="M1119" s="6">
        <f>HYPERLINK("https://www.kleinanzeigen.de/s-anzeige/sailloft-ufo-4-5-wingfoil/2857933245-230-787", "Link")</f>
        <v/>
      </c>
      <c r="N1119" s="6">
        <f>HYPERLINK("C:\Projects\Kleinanzeigen-Scraper\offer_images\2857933245", "Link")</f>
        <v/>
      </c>
      <c r="O1119" t="inlineStr">
        <is>
          <t>Michael</t>
        </is>
      </c>
      <c r="P1119" s="6">
        <f>HYPERLINK("https://www.kleinanzeigen.de/s-bestandsliste.html?userId=9538273", "Link")</f>
        <v/>
      </c>
      <c r="Q1119" s="7" t="n">
        <v>45549.57878472222</v>
      </c>
      <c r="R1119" s="3" t="inlineStr">
        <is>
          <t>359.53</t>
        </is>
      </c>
      <c r="S1119" t="inlineStr">
        <is>
          <t>Köln</t>
        </is>
      </c>
    </row>
    <row r="1120">
      <c r="A1120" s="2" t="n">
        <v>9</v>
      </c>
      <c r="B1120" t="inlineStr">
        <is>
          <t>Severne NCX</t>
        </is>
      </c>
      <c r="C1120" s="3" t="n">
        <v>523</v>
      </c>
      <c r="D1120" s="3" t="n">
        <v>235</v>
      </c>
      <c r="E1120" t="inlineStr"/>
      <c r="F1120" t="inlineStr"/>
      <c r="G1120" t="inlineStr">
        <is>
          <t>used</t>
        </is>
      </c>
      <c r="H1120" s="4" t="n">
        <v>120</v>
      </c>
      <c r="I1120" t="inlineStr">
        <is>
          <t>VB</t>
        </is>
      </c>
      <c r="J1120" t="inlineStr">
        <is>
          <t>76227 Baden-Württemberg - Karlsruhe</t>
        </is>
      </c>
      <c r="K1120" s="5" t="n">
        <v>45465</v>
      </c>
      <c r="L1120" t="inlineStr">
        <is>
          <t>Sold</t>
        </is>
      </c>
      <c r="M1120" s="6">
        <f>HYPERLINK("https://www.kleinanzeigen.de/s-anzeige/surfsegel-von-severne-9qm-ncx-o-camber-freeride-mast-gabel/2794492056-230-9197", "Link")</f>
        <v/>
      </c>
      <c r="N1120" s="6">
        <f>HYPERLINK("C:\Projects\Kleinanzeigen-Scraper\offer_images\2794492056", "Link")</f>
        <v/>
      </c>
      <c r="O1120" t="inlineStr">
        <is>
          <t>Markus Heinrich</t>
        </is>
      </c>
      <c r="P1120" s="6">
        <f>HYPERLINK("https://www.kleinanzeigen.de/s-bestandsliste.html?userId=68470068", "Link")</f>
        <v/>
      </c>
      <c r="Q1120" s="7" t="n">
        <v>45549.57878472222</v>
      </c>
      <c r="R1120" s="3" t="inlineStr">
        <is>
          <t>6.23</t>
        </is>
      </c>
      <c r="S1120" t="inlineStr">
        <is>
          <t>Karlsruhe</t>
        </is>
      </c>
    </row>
    <row r="1121">
      <c r="A1121" s="2" t="n">
        <v>5.6</v>
      </c>
      <c r="B1121" t="inlineStr">
        <is>
          <t>Gun Sails Yeah</t>
        </is>
      </c>
      <c r="C1121" s="3" t="n">
        <v>435</v>
      </c>
      <c r="D1121" s="3" t="n">
        <v>112</v>
      </c>
      <c r="E1121" t="inlineStr">
        <is>
          <t>Freestyle</t>
        </is>
      </c>
      <c r="F1121" t="inlineStr">
        <is>
          <t>2019</t>
        </is>
      </c>
      <c r="G1121" t="inlineStr">
        <is>
          <t>used</t>
        </is>
      </c>
      <c r="H1121" s="4" t="n">
        <v>218</v>
      </c>
      <c r="I1121" t="inlineStr">
        <is>
          <t>VB</t>
        </is>
      </c>
      <c r="J1121" t="inlineStr">
        <is>
          <t>31515 Niedersachsen - Wunstorf</t>
        </is>
      </c>
      <c r="K1121" s="5" t="n">
        <v>45482</v>
      </c>
      <c r="L1121" t="inlineStr"/>
      <c r="M1121" s="6">
        <f>HYPERLINK("https://www.kleinanzeigen.de/s-anzeige/gun-sails-yeah-5-6-qm-freestyle-segel-windsurf/2808093708-230-2930", "Link")</f>
        <v/>
      </c>
      <c r="N1121" s="6">
        <f>HYPERLINK("C:\Projects\Kleinanzeigen-Scraper\offer_images\2808093708", "Link")</f>
        <v/>
      </c>
      <c r="O1121" t="inlineStr">
        <is>
          <t>Max H.</t>
        </is>
      </c>
      <c r="P1121" s="6">
        <f>HYPERLINK("https://www.kleinanzeigen.de/s-bestandsliste.html?userId=30159639", "Link")</f>
        <v/>
      </c>
      <c r="Q1121" s="7" t="n">
        <v>45549.57876157408</v>
      </c>
      <c r="R1121" s="3" t="inlineStr">
        <is>
          <t>236.47</t>
        </is>
      </c>
      <c r="S1121" t="inlineStr">
        <is>
          <t>Köln</t>
        </is>
      </c>
    </row>
    <row r="1122">
      <c r="A1122" s="2" t="n">
        <v>4.7</v>
      </c>
      <c r="B1122" t="inlineStr">
        <is>
          <t>Gun Sails Groove</t>
        </is>
      </c>
      <c r="C1122" s="3" t="n">
        <v>400</v>
      </c>
      <c r="D1122" s="3" t="inlineStr"/>
      <c r="E1122" t="inlineStr"/>
      <c r="F1122" t="inlineStr"/>
      <c r="G1122" t="inlineStr">
        <is>
          <t>new</t>
        </is>
      </c>
      <c r="H1122" s="4" t="n">
        <v>139</v>
      </c>
      <c r="I1122" t="inlineStr"/>
      <c r="J1122" t="inlineStr">
        <is>
          <t>04808 Sachsen - Wurzen</t>
        </is>
      </c>
      <c r="K1122" s="5" t="n">
        <v>45532</v>
      </c>
      <c r="L1122" t="inlineStr"/>
      <c r="M1122" s="6">
        <f>HYPERLINK("https://www.kleinanzeigen.de/s-anzeige/windsurfsegel-gun-sails-groove-4-7qm/2848825264-230-3904", "Link")</f>
        <v/>
      </c>
      <c r="N1122" s="6">
        <f>HYPERLINK("C:\Projects\Kleinanzeigen-Scraper\offer_images\2848825264", "Link")</f>
        <v/>
      </c>
      <c r="O1122" t="inlineStr">
        <is>
          <t>D.Döring</t>
        </is>
      </c>
      <c r="P1122" s="6">
        <f>HYPERLINK("https://www.kleinanzeigen.de/s-bestandsliste.html?userId=3682688", "Link")</f>
        <v/>
      </c>
      <c r="Q1122" s="7" t="n">
        <v>45549.57873842592</v>
      </c>
      <c r="R1122" s="3" t="inlineStr">
        <is>
          <t>371.88</t>
        </is>
      </c>
      <c r="S1122" t="inlineStr">
        <is>
          <t>München</t>
        </is>
      </c>
    </row>
    <row r="1123">
      <c r="A1123" s="2" t="n">
        <v>9.5</v>
      </c>
      <c r="B1123" t="inlineStr">
        <is>
          <t>Ezzy Lion3</t>
        </is>
      </c>
      <c r="C1123" s="3" t="n">
        <v>290</v>
      </c>
      <c r="D1123" s="3" t="inlineStr">
        <is>
          <t>240-247</t>
        </is>
      </c>
      <c r="E1123" t="inlineStr"/>
      <c r="F1123" t="inlineStr"/>
      <c r="G1123" t="inlineStr">
        <is>
          <t>used</t>
        </is>
      </c>
      <c r="H1123" s="4" t="n">
        <v>250</v>
      </c>
      <c r="I1123" t="inlineStr"/>
      <c r="J1123" t="inlineStr">
        <is>
          <t>35440 Hessen - Linden</t>
        </is>
      </c>
      <c r="K1123" s="5" t="n">
        <v>45548</v>
      </c>
      <c r="L1123" t="inlineStr"/>
      <c r="M1123" s="6">
        <f>HYPERLINK("https://www.kleinanzeigen.de/s-anzeige/ezzy-lion3-9-5qm/2549690015-230-4660", "Link")</f>
        <v/>
      </c>
      <c r="N1123" s="6">
        <f>HYPERLINK("C:\Projects\Kleinanzeigen-Scraper\offer_images\2549690015", "Link")</f>
        <v/>
      </c>
      <c r="O1123" t="inlineStr">
        <is>
          <t>R.Hansel</t>
        </is>
      </c>
      <c r="P1123" s="6">
        <f>HYPERLINK("https://www.kleinanzeigen.de/s-bestandsliste.html?userId=6403699", "Link")</f>
        <v/>
      </c>
      <c r="Q1123" s="7" t="n">
        <v>45549.57873842592</v>
      </c>
      <c r="R1123" s="3" t="inlineStr">
        <is>
          <t>129.49</t>
        </is>
      </c>
      <c r="S1123" t="inlineStr">
        <is>
          <t>Köln</t>
        </is>
      </c>
    </row>
    <row r="1124">
      <c r="A1124" s="2" t="n">
        <v>8.6</v>
      </c>
      <c r="B1124" t="inlineStr">
        <is>
          <t>Severne</t>
        </is>
      </c>
      <c r="C1124" s="3" t="inlineStr"/>
      <c r="D1124" s="3" t="inlineStr"/>
      <c r="E1124" t="inlineStr">
        <is>
          <t>Race</t>
        </is>
      </c>
      <c r="F1124" t="inlineStr"/>
      <c r="G1124" t="inlineStr">
        <is>
          <t>repaired</t>
        </is>
      </c>
      <c r="H1124" s="4" t="n">
        <v>80</v>
      </c>
      <c r="I1124" t="inlineStr"/>
      <c r="J1124" t="inlineStr">
        <is>
          <t>34295 Hessen - Edermünde</t>
        </is>
      </c>
      <c r="K1124" s="5" t="n">
        <v>45459</v>
      </c>
      <c r="L1124" t="inlineStr">
        <is>
          <t>Sold</t>
        </is>
      </c>
      <c r="M1124" s="6">
        <f>HYPERLINK("https://www.kleinanzeigen.de/s-anzeige/severne-surfsegel-8-6-m2/2789417108-230-4425", "Link")</f>
        <v/>
      </c>
      <c r="N1124" s="6">
        <f>HYPERLINK("C:\Projects\Kleinanzeigen-Scraper\offer_images\2789417108", "Link")</f>
        <v/>
      </c>
      <c r="O1124" t="inlineStr">
        <is>
          <t>Wolfgang S</t>
        </is>
      </c>
      <c r="P1124" s="6">
        <f>HYPERLINK("https://www.kleinanzeigen.de/s-bestandsliste.html?userId=12893385", "Link")</f>
        <v/>
      </c>
      <c r="Q1124" s="7" t="n">
        <v>45549.57873842592</v>
      </c>
      <c r="R1124" s="3" t="inlineStr">
        <is>
          <t>172.77</t>
        </is>
      </c>
      <c r="S1124" t="inlineStr">
        <is>
          <t>Köln</t>
        </is>
      </c>
    </row>
    <row r="1125">
      <c r="A1125" s="2" t="n">
        <v>6</v>
      </c>
      <c r="B1125" t="inlineStr">
        <is>
          <t>Gun Sails Tempo</t>
        </is>
      </c>
      <c r="C1125" s="3" t="n">
        <v>445</v>
      </c>
      <c r="D1125" s="3" t="n">
        <v>193</v>
      </c>
      <c r="E1125" t="inlineStr"/>
      <c r="F1125" t="inlineStr"/>
      <c r="G1125" t="inlineStr">
        <is>
          <t>used</t>
        </is>
      </c>
      <c r="H1125" s="4" t="n">
        <v>85</v>
      </c>
      <c r="I1125" t="inlineStr"/>
      <c r="J1125" t="inlineStr">
        <is>
          <t>09111 Sachsen - Chemnitz</t>
        </is>
      </c>
      <c r="K1125" s="5" t="n">
        <v>45547</v>
      </c>
      <c r="L1125" t="inlineStr">
        <is>
          <t>Sold</t>
        </is>
      </c>
      <c r="M1125" s="6">
        <f>HYPERLINK("https://www.kleinanzeigen.de/s-anzeige/windsurf-segel-6m-gun-tempo-gebraucht/2861651204-230-3886", "Link")</f>
        <v/>
      </c>
      <c r="N1125" s="6">
        <f>HYPERLINK("C:\Projects\Kleinanzeigen-Scraper\offer_images\2861651204", "Link")</f>
        <v/>
      </c>
      <c r="O1125" t="inlineStr">
        <is>
          <t>olaf</t>
        </is>
      </c>
      <c r="P1125" s="6">
        <f>HYPERLINK("https://www.kleinanzeigen.de/s-bestandsliste.html?userId=8857923", "Link")</f>
        <v/>
      </c>
      <c r="Q1125" s="7" t="n">
        <v>45549.57871527778</v>
      </c>
      <c r="R1125" s="3" t="inlineStr">
        <is>
          <t>315.71</t>
        </is>
      </c>
      <c r="S1125" t="inlineStr">
        <is>
          <t>München</t>
        </is>
      </c>
    </row>
    <row r="1126">
      <c r="A1126" s="2" t="n">
        <v>5.1</v>
      </c>
      <c r="B1126" t="inlineStr">
        <is>
          <t>Gun Sails Nexus</t>
        </is>
      </c>
      <c r="C1126" s="3" t="inlineStr"/>
      <c r="D1126" s="3" t="inlineStr"/>
      <c r="E1126" t="inlineStr"/>
      <c r="F1126" t="inlineStr"/>
      <c r="G1126" t="inlineStr">
        <is>
          <t>used</t>
        </is>
      </c>
      <c r="H1126" s="4" t="n">
        <v>100</v>
      </c>
      <c r="I1126" t="inlineStr">
        <is>
          <t>VB</t>
        </is>
      </c>
      <c r="J1126" t="inlineStr">
        <is>
          <t>58644 Nordrhein-Westfalen - Iserlohn</t>
        </is>
      </c>
      <c r="K1126" s="5" t="n">
        <v>45545</v>
      </c>
      <c r="L1126" t="inlineStr"/>
      <c r="M1126" s="6">
        <f>HYPERLINK("https://www.kleinanzeigen.de/s-anzeige/windsegel-gun-sails-size-5-1/2859354897-230-1739", "Link")</f>
        <v/>
      </c>
      <c r="N1126" s="6">
        <f>HYPERLINK("C:\Projects\Kleinanzeigen-Scraper\offer_images\2859354897", "Link")</f>
        <v/>
      </c>
      <c r="O1126" t="inlineStr">
        <is>
          <t>Lena</t>
        </is>
      </c>
      <c r="P1126" s="6">
        <f>HYPERLINK("https://www.kleinanzeigen.de/s-bestandsliste.html?userId=136942176", "Link")</f>
        <v/>
      </c>
      <c r="Q1126" s="7" t="n">
        <v>45549.57871527778</v>
      </c>
      <c r="R1126" s="3" t="inlineStr">
        <is>
          <t>68.92</t>
        </is>
      </c>
      <c r="S1126" t="inlineStr">
        <is>
          <t>Köln</t>
        </is>
      </c>
    </row>
    <row r="1127">
      <c r="A1127" s="2" t="n">
        <v>5.3</v>
      </c>
      <c r="B1127" t="inlineStr">
        <is>
          <t>Neilpryde Combat HD</t>
        </is>
      </c>
      <c r="C1127" s="3" t="inlineStr"/>
      <c r="D1127" s="3" t="inlineStr"/>
      <c r="E1127" t="inlineStr"/>
      <c r="F1127" t="inlineStr">
        <is>
          <t>2019</t>
        </is>
      </c>
      <c r="G1127" t="inlineStr">
        <is>
          <t>new</t>
        </is>
      </c>
      <c r="H1127" s="4" t="n">
        <v>340</v>
      </c>
      <c r="I1127" t="inlineStr">
        <is>
          <t>VB</t>
        </is>
      </c>
      <c r="J1127" t="inlineStr">
        <is>
          <t>82319 Bayern - Starnberg</t>
        </is>
      </c>
      <c r="K1127" s="5" t="n">
        <v>45554</v>
      </c>
      <c r="L1127" t="inlineStr">
        <is>
          <t>Sold</t>
        </is>
      </c>
      <c r="M1127" s="6">
        <f>HYPERLINK("https://www.kleinanzeigen.de/s-anzeige/neilpryde-combat-hd-5-3-top-zustand/2793623514-242-5525", "Link")</f>
        <v/>
      </c>
      <c r="N1127" s="6">
        <f>HYPERLINK("C:\Projects\Kleinanzeigen-Scraper\offer_images\2793623514", "Link")</f>
        <v/>
      </c>
      <c r="O1127" t="inlineStr">
        <is>
          <t>No user name</t>
        </is>
      </c>
      <c r="P1127" s="6">
        <f>HYPERLINK("https://www.kleinanzeigen.deNo user link", "Link")</f>
        <v/>
      </c>
      <c r="Q1127" s="7" t="n">
        <v>45549.5787037037</v>
      </c>
      <c r="R1127" s="3" t="inlineStr">
        <is>
          <t>23.17</t>
        </is>
      </c>
      <c r="S1127" t="inlineStr">
        <is>
          <t>München</t>
        </is>
      </c>
    </row>
    <row r="1128">
      <c r="A1128" s="2" t="n">
        <v>5.8</v>
      </c>
      <c r="B1128" t="inlineStr">
        <is>
          <t>North Hero</t>
        </is>
      </c>
      <c r="C1128" s="3" t="inlineStr"/>
      <c r="D1128" s="3" t="inlineStr"/>
      <c r="E1128" t="inlineStr"/>
      <c r="F1128" t="inlineStr">
        <is>
          <t>2016</t>
        </is>
      </c>
      <c r="G1128" t="inlineStr">
        <is>
          <t>used</t>
        </is>
      </c>
      <c r="H1128" s="4" t="n">
        <v>160</v>
      </c>
      <c r="I1128" t="inlineStr"/>
      <c r="J1128" t="inlineStr">
        <is>
          <t>04157 Leipzig - Gohlis-Nord</t>
        </is>
      </c>
      <c r="K1128" s="5" t="n">
        <v>45548</v>
      </c>
      <c r="L1128" t="inlineStr">
        <is>
          <t>Sold</t>
        </is>
      </c>
      <c r="M1128" s="6">
        <f>HYPERLINK("https://www.kleinanzeigen.de/s-anzeige/surfsegel-north-hero-5-8/2862060714-230-4256", "Link")</f>
        <v/>
      </c>
      <c r="N1128" s="6">
        <f>HYPERLINK("C:\Projects\Kleinanzeigen-Scraper\offer_images\2862060714", "Link")</f>
        <v/>
      </c>
      <c r="O1128" t="inlineStr">
        <is>
          <t>H. P.</t>
        </is>
      </c>
      <c r="P1128" s="6">
        <f>HYPERLINK("https://www.kleinanzeigen.de/s-bestandsliste.html?userId=4125362", "Link")</f>
        <v/>
      </c>
      <c r="Q1128" s="7" t="n">
        <v>45549.57868055555</v>
      </c>
      <c r="R1128" s="3" t="inlineStr">
        <is>
          <t>364.64</t>
        </is>
      </c>
      <c r="S1128" t="inlineStr">
        <is>
          <t>München</t>
        </is>
      </c>
    </row>
    <row r="1129">
      <c r="A1129" s="2" t="n">
        <v>4</v>
      </c>
      <c r="B1129" t="inlineStr">
        <is>
          <t>Duotone SUPER SESSION</t>
        </is>
      </c>
      <c r="C1129" s="3" t="inlineStr"/>
      <c r="D1129" s="3" t="inlineStr"/>
      <c r="E1129" t="inlineStr"/>
      <c r="F1129" t="inlineStr">
        <is>
          <t>2019</t>
        </is>
      </c>
      <c r="G1129" t="inlineStr">
        <is>
          <t>used</t>
        </is>
      </c>
      <c r="H1129" s="4" t="n">
        <v>230</v>
      </c>
      <c r="I1129" t="inlineStr">
        <is>
          <t>VB</t>
        </is>
      </c>
      <c r="J1129" t="inlineStr">
        <is>
          <t>58644 Nordrhein-Westfalen - Iserlohn</t>
        </is>
      </c>
      <c r="K1129" s="5" t="n">
        <v>45545</v>
      </c>
      <c r="L1129" t="inlineStr">
        <is>
          <t>Sold</t>
        </is>
      </c>
      <c r="M1129" s="6">
        <f>HYPERLINK("https://www.kleinanzeigen.de/s-anzeige/windsegel-duotone-super-session-2019-size-4-0/2859342268-230-1739", "Link")</f>
        <v/>
      </c>
      <c r="N1129" s="6">
        <f>HYPERLINK("C:\Projects\Kleinanzeigen-Scraper\offer_images\2859342268", "Link")</f>
        <v/>
      </c>
      <c r="O1129" t="inlineStr">
        <is>
          <t>Lena</t>
        </is>
      </c>
      <c r="P1129" s="6">
        <f>HYPERLINK("https://www.kleinanzeigen.de/s-bestandsliste.html?userId=136942176", "Link")</f>
        <v/>
      </c>
      <c r="Q1129" s="7" t="n">
        <v>45549.57868055555</v>
      </c>
      <c r="R1129" s="3" t="inlineStr">
        <is>
          <t>68.92</t>
        </is>
      </c>
      <c r="S1129" t="inlineStr">
        <is>
          <t>Köln</t>
        </is>
      </c>
    </row>
    <row r="1130">
      <c r="A1130" s="2" t="n">
        <v>5.1</v>
      </c>
      <c r="B1130" t="inlineStr">
        <is>
          <t>Neilpryde The Fly</t>
        </is>
      </c>
      <c r="C1130" s="3" t="n">
        <v>400</v>
      </c>
      <c r="D1130" s="3" t="n">
        <v>167</v>
      </c>
      <c r="E1130" t="inlineStr"/>
      <c r="F1130" t="inlineStr"/>
      <c r="G1130" t="inlineStr">
        <is>
          <t>used</t>
        </is>
      </c>
      <c r="H1130" s="4" t="n">
        <v>80</v>
      </c>
      <c r="I1130" t="inlineStr">
        <is>
          <t>VB</t>
        </is>
      </c>
      <c r="J1130" t="inlineStr">
        <is>
          <t>30916 Niedersachsen - Isernhagen</t>
        </is>
      </c>
      <c r="K1130" s="5" t="n">
        <v>45537</v>
      </c>
      <c r="L1130" t="inlineStr"/>
      <c r="M1130" s="6">
        <f>HYPERLINK("https://www.kleinanzeigen.de/s-anzeige/neilpryde-the-fly-5-1-windsurfen/2852838647-230-2895", "Link")</f>
        <v/>
      </c>
      <c r="N1130" s="6">
        <f>HYPERLINK("C:\Projects\Kleinanzeigen-Scraper\offer_images\2852838647", "Link")</f>
        <v/>
      </c>
      <c r="O1130" t="inlineStr">
        <is>
          <t>Jan-Ole Hennig</t>
        </is>
      </c>
      <c r="P1130" s="6">
        <f>HYPERLINK("https://www.kleinanzeigen.de/s-bestandsliste.html?userId=66964874", "Link")</f>
        <v/>
      </c>
      <c r="Q1130" s="7" t="n">
        <v>45549.57865740741</v>
      </c>
      <c r="R1130" s="3" t="inlineStr">
        <is>
          <t>261.21</t>
        </is>
      </c>
      <c r="S1130" t="inlineStr">
        <is>
          <t>Köln</t>
        </is>
      </c>
    </row>
    <row r="1131">
      <c r="A1131" s="2" t="n">
        <v>4.5</v>
      </c>
      <c r="B1131" t="inlineStr">
        <is>
          <t>North Ice</t>
        </is>
      </c>
      <c r="C1131" s="3" t="n">
        <v>400</v>
      </c>
      <c r="D1131" s="3" t="inlineStr">
        <is>
          <t>160-195</t>
        </is>
      </c>
      <c r="E1131" t="inlineStr"/>
      <c r="F1131" t="inlineStr"/>
      <c r="G1131" t="inlineStr">
        <is>
          <t>used</t>
        </is>
      </c>
      <c r="H1131" s="4" t="n">
        <v>85</v>
      </c>
      <c r="I1131" t="inlineStr">
        <is>
          <t>VB</t>
        </is>
      </c>
      <c r="J1131" t="inlineStr">
        <is>
          <t>91792 Bayern - Ellingen</t>
        </is>
      </c>
      <c r="K1131" s="5" t="n">
        <v>45566</v>
      </c>
      <c r="L1131" t="inlineStr"/>
      <c r="M1131" s="6">
        <f>HYPERLINK("https://www.kleinanzeigen.de/s-anzeige/north-ice-4-5-qm-wavesegel/2848707059-230-5868", "Link")</f>
        <v/>
      </c>
      <c r="N1131" s="6">
        <f>HYPERLINK("C:\Projects\Kleinanzeigen-Scraper\offer_images\2848707059", "Link")</f>
        <v/>
      </c>
      <c r="O1131" t="inlineStr">
        <is>
          <t>Bernd Müller</t>
        </is>
      </c>
      <c r="P1131" s="6">
        <f>HYPERLINK("https://www.kleinanzeigen.de/s-bestandsliste.html?userId=49791118", "Link")</f>
        <v/>
      </c>
      <c r="Q1131" s="7" t="n">
        <v>45549.57865740741</v>
      </c>
      <c r="R1131" s="3" t="inlineStr">
        <is>
          <t>111.92</t>
        </is>
      </c>
      <c r="S1131" t="inlineStr">
        <is>
          <t>München</t>
        </is>
      </c>
    </row>
    <row r="1132">
      <c r="A1132" s="2" t="n">
        <v>4.7</v>
      </c>
      <c r="B1132" t="inlineStr">
        <is>
          <t>Gun Sails Steel</t>
        </is>
      </c>
      <c r="C1132" s="3" t="n">
        <v>415</v>
      </c>
      <c r="D1132" s="3" t="n">
        <v>161</v>
      </c>
      <c r="E1132" t="inlineStr">
        <is>
          <t>Wave</t>
        </is>
      </c>
      <c r="F1132" t="inlineStr"/>
      <c r="G1132" t="inlineStr">
        <is>
          <t>used</t>
        </is>
      </c>
      <c r="H1132" s="4" t="n">
        <v>110</v>
      </c>
      <c r="I1132" t="inlineStr">
        <is>
          <t>VB</t>
        </is>
      </c>
      <c r="J1132" t="inlineStr">
        <is>
          <t>86574 Bayern - Petersdorf</t>
        </is>
      </c>
      <c r="K1132" s="5" t="n">
        <v>45541</v>
      </c>
      <c r="L1132" t="inlineStr"/>
      <c r="M1132" s="6">
        <f>HYPERLINK("https://www.kleinanzeigen.de/s-anzeige/windsurfsegel-gun-sails-steel-4-7/2855751756-230-7198", "Link")</f>
        <v/>
      </c>
      <c r="N1132" s="6">
        <f>HYPERLINK("C:\Projects\Kleinanzeigen-Scraper\offer_images\2855751756", "Link")</f>
        <v/>
      </c>
      <c r="O1132" t="inlineStr">
        <is>
          <t>Fabian Heigemeir</t>
        </is>
      </c>
      <c r="P1132" s="6">
        <f>HYPERLINK("https://www.kleinanzeigen.de/s-bestandsliste.html?userId=121280439", "Link")</f>
        <v/>
      </c>
      <c r="Q1132" s="7" t="n">
        <v>45549.57863425926</v>
      </c>
      <c r="R1132" s="3" t="inlineStr">
        <is>
          <t>60.10</t>
        </is>
      </c>
      <c r="S1132" t="inlineStr">
        <is>
          <t>München</t>
        </is>
      </c>
    </row>
    <row r="1133">
      <c r="A1133" s="2" t="n">
        <v>7.5</v>
      </c>
      <c r="B1133" t="inlineStr">
        <is>
          <t>Sailloft Cross</t>
        </is>
      </c>
      <c r="C1133" s="3" t="inlineStr"/>
      <c r="D1133" s="3" t="inlineStr"/>
      <c r="E1133" t="inlineStr"/>
      <c r="F1133" t="inlineStr"/>
      <c r="G1133" t="inlineStr">
        <is>
          <t>used</t>
        </is>
      </c>
      <c r="H1133" s="4" t="n">
        <v>430</v>
      </c>
      <c r="I1133" t="inlineStr">
        <is>
          <t>VB</t>
        </is>
      </c>
      <c r="J1133" t="inlineStr">
        <is>
          <t>86343 Bayern - Königsbrunn</t>
        </is>
      </c>
      <c r="K1133" s="5" t="n">
        <v>45491</v>
      </c>
      <c r="L1133" t="inlineStr"/>
      <c r="M1133" s="6">
        <f>HYPERLINK("https://www.kleinanzeigen.de/s-anzeige/sailloft-cross-7-5/2815200727-230-7034", "Link")</f>
        <v/>
      </c>
      <c r="N1133" s="6">
        <f>HYPERLINK("C:\Projects\Kleinanzeigen-Scraper\offer_images\2815200727", "Link")</f>
        <v/>
      </c>
      <c r="O1133" t="inlineStr">
        <is>
          <t>Wolfgang Dennstädt</t>
        </is>
      </c>
      <c r="P1133" s="6">
        <f>HYPERLINK("https://www.kleinanzeigen.de/s-bestandsliste.html?userId=20340449", "Link")</f>
        <v/>
      </c>
      <c r="Q1133" s="7" t="n">
        <v>45549.57863425926</v>
      </c>
      <c r="R1133" s="3" t="inlineStr">
        <is>
          <t>52.97</t>
        </is>
      </c>
      <c r="S1133" t="inlineStr">
        <is>
          <t>München</t>
        </is>
      </c>
    </row>
    <row r="1134">
      <c r="A1134" s="2" t="n">
        <v>8</v>
      </c>
      <c r="B1134" t="inlineStr">
        <is>
          <t>NAISH NOA</t>
        </is>
      </c>
      <c r="C1134" s="3" t="n">
        <v>529</v>
      </c>
      <c r="D1134" s="3" t="n">
        <v>222</v>
      </c>
      <c r="E1134" t="inlineStr"/>
      <c r="F1134" t="inlineStr"/>
      <c r="G1134" t="inlineStr">
        <is>
          <t>used, repaired</t>
        </is>
      </c>
      <c r="H1134" s="4" t="n">
        <v>30</v>
      </c>
      <c r="I1134" t="inlineStr"/>
      <c r="J1134" t="inlineStr">
        <is>
          <t>88048 Baden-Württemberg - Friedrichshafen</t>
        </is>
      </c>
      <c r="K1134" s="5" t="n">
        <v>45528</v>
      </c>
      <c r="L1134" t="inlineStr"/>
      <c r="M1134" s="6">
        <f>HYPERLINK("https://www.kleinanzeigen.de/s-anzeige/naish-noa-surfsegel-8-0-qm/2845072601-230-9212", "Link")</f>
        <v/>
      </c>
      <c r="N1134" s="6">
        <f>HYPERLINK("C:\Projects\Kleinanzeigen-Scraper\offer_images\2845072601", "Link")</f>
        <v/>
      </c>
      <c r="O1134" t="inlineStr">
        <is>
          <t>C.A.</t>
        </is>
      </c>
      <c r="P1134" s="6">
        <f>HYPERLINK("https://www.kleinanzeigen.de/s-bestandsliste.html?userId=2063566", "Link")</f>
        <v/>
      </c>
      <c r="Q1134" s="7" t="n">
        <v>45549.57863425926</v>
      </c>
      <c r="R1134" s="3" t="inlineStr">
        <is>
          <t>87.69</t>
        </is>
      </c>
      <c r="S1134" t="inlineStr">
        <is>
          <t>Bonndorf</t>
        </is>
      </c>
    </row>
    <row r="1135">
      <c r="A1135" s="2" t="n">
        <v>5</v>
      </c>
      <c r="B1135" t="inlineStr">
        <is>
          <t>RRD Gold Wing</t>
        </is>
      </c>
      <c r="C1135" s="3" t="inlineStr"/>
      <c r="D1135" s="3" t="inlineStr"/>
      <c r="E1135" t="inlineStr">
        <is>
          <t>Wing</t>
        </is>
      </c>
      <c r="F1135" t="inlineStr"/>
      <c r="G1135" t="inlineStr">
        <is>
          <t>new</t>
        </is>
      </c>
      <c r="H1135" s="4" t="n">
        <v>999</v>
      </c>
      <c r="I1135" t="inlineStr">
        <is>
          <t>VB</t>
        </is>
      </c>
      <c r="J1135" t="inlineStr">
        <is>
          <t>59494 Nordrhein-Westfalen - Soest</t>
        </is>
      </c>
      <c r="K1135" s="5" t="n">
        <v>45531</v>
      </c>
      <c r="L1135" t="inlineStr">
        <is>
          <t>Sold</t>
        </is>
      </c>
      <c r="M1135" s="6">
        <f>HYPERLINK("https://www.kleinanzeigen.de/s-anzeige/rrd-gold-wing-5-0-qm-aluula-neu-wingfoilen/2847947376-230-1452", "Link")</f>
        <v/>
      </c>
      <c r="N1135" s="6">
        <f>HYPERLINK("C:\Projects\Kleinanzeigen-Scraper\offer_images\2847947376", "Link")</f>
        <v/>
      </c>
      <c r="O1135" t="inlineStr">
        <is>
          <t>AJ</t>
        </is>
      </c>
      <c r="P1135" s="6">
        <f>HYPERLINK("https://www.kleinanzeigen.de/s-bestandsliste.html?userId=12949670", "Link")</f>
        <v/>
      </c>
      <c r="Q1135" s="7" t="n">
        <v>45549.57861111111</v>
      </c>
      <c r="R1135" s="3" t="inlineStr">
        <is>
          <t>105.40</t>
        </is>
      </c>
      <c r="S1135" t="inlineStr">
        <is>
          <t>Köln</t>
        </is>
      </c>
    </row>
    <row r="1136">
      <c r="A1136" s="2" t="n">
        <v>5.3</v>
      </c>
      <c r="B1136" t="inlineStr">
        <is>
          <t>DTW Duotone Super_Star Stargazer</t>
        </is>
      </c>
      <c r="C1136" s="3" t="inlineStr"/>
      <c r="D1136" s="3" t="n">
        <v>150</v>
      </c>
      <c r="E1136" t="inlineStr">
        <is>
          <t>Wave</t>
        </is>
      </c>
      <c r="F1136" t="inlineStr">
        <is>
          <t>2022</t>
        </is>
      </c>
      <c r="G1136" t="inlineStr">
        <is>
          <t>new</t>
        </is>
      </c>
      <c r="H1136" s="4" t="n">
        <v>589</v>
      </c>
      <c r="I1136" t="inlineStr">
        <is>
          <t>VB</t>
        </is>
      </c>
      <c r="J1136" t="inlineStr">
        <is>
          <t>82319 Bayern - Starnberg</t>
        </is>
      </c>
      <c r="K1136" s="5" t="n">
        <v>45541</v>
      </c>
      <c r="L1136" t="inlineStr">
        <is>
          <t>Sold</t>
        </is>
      </c>
      <c r="M1136" s="6">
        <f>HYPERLINK("https://www.kleinanzeigen.de/s-anzeige/dtw-duotone-super-star-stargazer-2-0-5-3qm-2022-windsurfsegel/2442926020-230-5525", "Link")</f>
        <v/>
      </c>
      <c r="N1136" s="6">
        <f>HYPERLINK("C:\Projects\Kleinanzeigen-Scraper\offer_images\2442926020", "Link")</f>
        <v/>
      </c>
      <c r="O1136" t="inlineStr">
        <is>
          <t>No user name</t>
        </is>
      </c>
      <c r="P1136" s="6">
        <f>HYPERLINK("https://www.kleinanzeigen.deNo user link", "Link")</f>
        <v/>
      </c>
      <c r="Q1136" s="7" t="n">
        <v>45549.57858796296</v>
      </c>
      <c r="R1136" s="3" t="inlineStr">
        <is>
          <t>23.17</t>
        </is>
      </c>
      <c r="S1136" t="inlineStr">
        <is>
          <t>München</t>
        </is>
      </c>
    </row>
    <row r="1137">
      <c r="A1137" s="2" t="n">
        <v>7.8</v>
      </c>
      <c r="B1137" t="inlineStr">
        <is>
          <t>Neilpryde RS Racing</t>
        </is>
      </c>
      <c r="C1137" s="3" t="n">
        <v>492</v>
      </c>
      <c r="D1137" s="3" t="inlineStr">
        <is>
          <t>205-210</t>
        </is>
      </c>
      <c r="E1137" t="inlineStr">
        <is>
          <t>Racing</t>
        </is>
      </c>
      <c r="F1137" t="inlineStr"/>
      <c r="G1137" t="inlineStr"/>
      <c r="H1137" s="4" t="n">
        <v>149</v>
      </c>
      <c r="I1137" t="inlineStr">
        <is>
          <t>VB</t>
        </is>
      </c>
      <c r="J1137" t="inlineStr">
        <is>
          <t>18211 Bad Doberan - Landkreis - Bargeshagen</t>
        </is>
      </c>
      <c r="K1137" s="5" t="n">
        <v>45541</v>
      </c>
      <c r="L1137" t="inlineStr"/>
      <c r="M1137" s="6">
        <f>HYPERLINK("https://www.kleinanzeigen.de/s-anzeige/neilpryde-rs-racing-7-8qm-windsurfsegel/2855770579-230-16583", "Link")</f>
        <v/>
      </c>
      <c r="N1137" s="6">
        <f>HYPERLINK("C:\Projects\Kleinanzeigen-Scraper\offer_images\2855770579", "Link")</f>
        <v/>
      </c>
      <c r="O1137" t="inlineStr">
        <is>
          <t>Dirk</t>
        </is>
      </c>
      <c r="P1137" s="6">
        <f>HYPERLINK("https://www.kleinanzeigen.de/s-bestandsliste.html?userId=141661148", "Link")</f>
        <v/>
      </c>
      <c r="Q1137" s="7" t="n">
        <v>45549.57858796296</v>
      </c>
      <c r="R1137" s="3" t="inlineStr">
        <is>
          <t>490.50</t>
        </is>
      </c>
      <c r="S1137" t="inlineStr">
        <is>
          <t>Köln</t>
        </is>
      </c>
    </row>
    <row r="1138">
      <c r="A1138" s="2" t="n">
        <v>6.2</v>
      </c>
      <c r="B1138" t="inlineStr">
        <is>
          <t>GUN Sails Rapid</t>
        </is>
      </c>
      <c r="C1138" s="3" t="inlineStr"/>
      <c r="D1138" s="3" t="inlineStr"/>
      <c r="E1138" t="inlineStr"/>
      <c r="F1138" t="inlineStr"/>
      <c r="G1138" t="inlineStr">
        <is>
          <t>used</t>
        </is>
      </c>
      <c r="H1138" s="4" t="n">
        <v>99</v>
      </c>
      <c r="I1138" t="inlineStr"/>
      <c r="J1138" t="inlineStr">
        <is>
          <t>45772 Nordrhein-Westfalen - Marl</t>
        </is>
      </c>
      <c r="K1138" s="5" t="n">
        <v>45548</v>
      </c>
      <c r="L1138" t="inlineStr">
        <is>
          <t>Sold</t>
        </is>
      </c>
      <c r="M1138" s="6">
        <f>HYPERLINK("https://www.kleinanzeigen.de/s-anzeige/gun-sail-rapid-6-2-windsurfen-segel/2861948219-230-1772", "Link")</f>
        <v/>
      </c>
      <c r="N1138" s="6">
        <f>HYPERLINK("C:\Projects\Kleinanzeigen-Scraper\offer_images\2861948219", "Link")</f>
        <v/>
      </c>
      <c r="O1138" t="inlineStr">
        <is>
          <t>RRD</t>
        </is>
      </c>
      <c r="P1138" s="6">
        <f>HYPERLINK("https://www.kleinanzeigen.de/s-bestandsliste.html?userId=13661901", "Link")</f>
        <v/>
      </c>
      <c r="Q1138" s="7" t="n">
        <v>45549.57856481482</v>
      </c>
      <c r="R1138" s="3" t="inlineStr">
        <is>
          <t>84.29</t>
        </is>
      </c>
      <c r="S1138" t="inlineStr">
        <is>
          <t>Köln</t>
        </is>
      </c>
    </row>
    <row r="1139">
      <c r="A1139" s="2" t="n">
        <v>7.8</v>
      </c>
      <c r="B1139" t="inlineStr">
        <is>
          <t>Severne Reflexx</t>
        </is>
      </c>
      <c r="C1139" s="3" t="inlineStr"/>
      <c r="D1139" s="3" t="inlineStr"/>
      <c r="E1139" t="inlineStr"/>
      <c r="F1139" t="inlineStr"/>
      <c r="G1139" t="inlineStr">
        <is>
          <t>used</t>
        </is>
      </c>
      <c r="H1139" s="4" t="n">
        <v>250</v>
      </c>
      <c r="I1139" t="inlineStr">
        <is>
          <t>VB</t>
        </is>
      </c>
      <c r="J1139" t="inlineStr">
        <is>
          <t>21644 Niedersachsen - Sauensiek</t>
        </is>
      </c>
      <c r="K1139" s="5" t="n">
        <v>45501</v>
      </c>
      <c r="L1139" t="inlineStr">
        <is>
          <t>Sold</t>
        </is>
      </c>
      <c r="M1139" s="6">
        <f>HYPERLINK("https://www.kleinanzeigen.de/s-anzeige/severne-reflexx-7-surfsegel-segel-7-8-qm/2823526807-230-3324", "Link")</f>
        <v/>
      </c>
      <c r="N1139" s="6">
        <f>HYPERLINK("C:\Projects\Kleinanzeigen-Scraper\offer_images\2823526807", "Link")</f>
        <v/>
      </c>
      <c r="O1139" t="inlineStr">
        <is>
          <t>Dreger</t>
        </is>
      </c>
      <c r="P1139" s="6">
        <f>HYPERLINK("https://www.kleinanzeigen.de/s-bestandsliste.html?userId=9797174", "Link")</f>
        <v/>
      </c>
      <c r="Q1139" s="7" t="n">
        <v>45549.57854166667</v>
      </c>
      <c r="R1139" s="3" t="inlineStr">
        <is>
          <t>326.61</t>
        </is>
      </c>
      <c r="S1139" t="inlineStr">
        <is>
          <t>Köln</t>
        </is>
      </c>
    </row>
    <row r="1140">
      <c r="A1140" s="2" t="n">
        <v>5.8</v>
      </c>
      <c r="B1140" t="inlineStr">
        <is>
          <t>Gun Sails Groove</t>
        </is>
      </c>
      <c r="C1140" s="3" t="n">
        <v>450</v>
      </c>
      <c r="D1140" s="3" t="n">
        <v>181</v>
      </c>
      <c r="E1140" t="inlineStr"/>
      <c r="F1140" t="inlineStr"/>
      <c r="G1140" t="inlineStr">
        <is>
          <t>used</t>
        </is>
      </c>
      <c r="H1140" s="4" t="n">
        <v>45</v>
      </c>
      <c r="I1140" t="inlineStr"/>
      <c r="J1140" t="inlineStr">
        <is>
          <t>50668 Innenstadt - Köln Altstadt</t>
        </is>
      </c>
      <c r="K1140" s="5" t="n">
        <v>45523</v>
      </c>
      <c r="L1140" t="inlineStr">
        <is>
          <t>Sold</t>
        </is>
      </c>
      <c r="M1140" s="6">
        <f>HYPERLINK("https://www.kleinanzeigen.de/s-anzeige/gun-sails-groove-5-8-surfsegel-segel/2840866607-230-982", "Link")</f>
        <v/>
      </c>
      <c r="N1140" s="6">
        <f>HYPERLINK("C:\Projects\Kleinanzeigen-Scraper\offer_images\2840866607", "Link")</f>
        <v/>
      </c>
      <c r="O1140" t="inlineStr">
        <is>
          <t>Axel Fischer</t>
        </is>
      </c>
      <c r="P1140" s="6">
        <f>HYPERLINK("https://www.kleinanzeigen.de/s-bestandsliste.html?userId=17361013", "Link")</f>
        <v/>
      </c>
      <c r="Q1140" s="7" t="n">
        <v>45549.57853009259</v>
      </c>
      <c r="R1140" s="3" t="inlineStr">
        <is>
          <t>1.27</t>
        </is>
      </c>
      <c r="S1140" t="inlineStr">
        <is>
          <t>Köln</t>
        </is>
      </c>
    </row>
    <row r="1141">
      <c r="A1141" s="2" t="n">
        <v>4.7</v>
      </c>
      <c r="B1141" t="inlineStr">
        <is>
          <t>Vandal Enemy</t>
        </is>
      </c>
      <c r="C1141" s="3" t="n">
        <v>400</v>
      </c>
      <c r="D1141" s="3" t="n">
        <v>183</v>
      </c>
      <c r="E1141" t="inlineStr">
        <is>
          <t>Wave</t>
        </is>
      </c>
      <c r="F1141" t="inlineStr"/>
      <c r="G1141" t="inlineStr">
        <is>
          <t>used</t>
        </is>
      </c>
      <c r="H1141" s="4" t="n">
        <v>145</v>
      </c>
      <c r="I1141" t="inlineStr">
        <is>
          <t>VB</t>
        </is>
      </c>
      <c r="J1141" t="inlineStr">
        <is>
          <t>24106 Schleswig-Holstein - Kiel</t>
        </is>
      </c>
      <c r="K1141" s="5" t="n">
        <v>45387</v>
      </c>
      <c r="L1141" t="inlineStr">
        <is>
          <t>Sold</t>
        </is>
      </c>
      <c r="M1141" s="6">
        <f>HYPERLINK("https://www.kleinanzeigen.de/s-anzeige/vandal-enemy-4-7-windsurf-segel-sail/2726324181-230-707", "Link")</f>
        <v/>
      </c>
      <c r="N1141" s="6">
        <f>HYPERLINK("C:\Projects\Kleinanzeigen-Scraper\offer_images\2726324181", "Link")</f>
        <v/>
      </c>
      <c r="O1141" t="inlineStr">
        <is>
          <t>Joshua Noetzel</t>
        </is>
      </c>
      <c r="P1141" s="6">
        <f>HYPERLINK("https://www.kleinanzeigen.de/s-bestandsliste.html?userId=130357255", "Link")</f>
        <v/>
      </c>
      <c r="Q1141" s="7" t="n">
        <v>45549.57853009259</v>
      </c>
      <c r="R1141" s="3" t="inlineStr">
        <is>
          <t>436.03</t>
        </is>
      </c>
      <c r="S1141" t="inlineStr">
        <is>
          <t>Köln</t>
        </is>
      </c>
    </row>
    <row r="1142">
      <c r="A1142" s="2" t="n">
        <v>4</v>
      </c>
      <c r="B1142" t="inlineStr">
        <is>
          <t>Severne Freek</t>
        </is>
      </c>
      <c r="C1142" s="3" t="inlineStr"/>
      <c r="D1142" s="3" t="inlineStr"/>
      <c r="E1142" t="inlineStr"/>
      <c r="F1142" t="inlineStr">
        <is>
          <t>2024</t>
        </is>
      </c>
      <c r="G1142" t="inlineStr">
        <is>
          <t>new</t>
        </is>
      </c>
      <c r="H1142" s="4" t="n">
        <v>750</v>
      </c>
      <c r="I1142" t="inlineStr">
        <is>
          <t>VB</t>
        </is>
      </c>
      <c r="J1142" t="inlineStr">
        <is>
          <t>48431 Nordrhein-Westfalen - Rheine</t>
        </is>
      </c>
      <c r="K1142" s="5" t="n">
        <v>45498</v>
      </c>
      <c r="L1142" t="inlineStr">
        <is>
          <t>Sold</t>
        </is>
      </c>
      <c r="M1142" s="6">
        <f>HYPERLINK("https://www.kleinanzeigen.de/s-anzeige/2024-severne-freek-4-0-neu-neu-segel-windsurfen/2820510506-230-1784", "Link")</f>
        <v/>
      </c>
      <c r="N1142" s="6">
        <f>HYPERLINK("C:\Projects\Kleinanzeigen-Scraper\offer_images\2820510506", "Link")</f>
        <v/>
      </c>
      <c r="O1142" t="inlineStr">
        <is>
          <t>soulsurfer1979</t>
        </is>
      </c>
      <c r="P1142" s="6">
        <f>HYPERLINK("https://www.kleinanzeigen.de/s-bestandsliste.html?userId=4098948", "Link")</f>
        <v/>
      </c>
      <c r="Q1142" s="7" t="n">
        <v>45549.57850694445</v>
      </c>
      <c r="R1142" s="3" t="inlineStr">
        <is>
          <t>151.83</t>
        </is>
      </c>
      <c r="S1142" t="inlineStr">
        <is>
          <t>Köln</t>
        </is>
      </c>
    </row>
    <row r="1143">
      <c r="A1143" s="2" t="n">
        <v>6</v>
      </c>
      <c r="B1143" t="inlineStr">
        <is>
          <t>Naish Pivot</t>
        </is>
      </c>
      <c r="C1143" s="3" t="inlineStr"/>
      <c r="D1143" s="3" t="inlineStr"/>
      <c r="E1143" t="inlineStr"/>
      <c r="F1143" t="inlineStr">
        <is>
          <t>2018</t>
        </is>
      </c>
      <c r="G1143" t="inlineStr">
        <is>
          <t>used</t>
        </is>
      </c>
      <c r="H1143" s="4" t="n">
        <v>240</v>
      </c>
      <c r="I1143" t="inlineStr">
        <is>
          <t>VB</t>
        </is>
      </c>
      <c r="J1143" t="inlineStr">
        <is>
          <t>28865 Niedersachsen - Lilienthal</t>
        </is>
      </c>
      <c r="K1143" s="5" t="n">
        <v>45536</v>
      </c>
      <c r="L1143" t="inlineStr"/>
      <c r="M1143" s="6">
        <f>HYPERLINK("https://www.kleinanzeigen.de/s-anzeige/naish-pivot-6qm-2018/2851695773-230-2650", "Link")</f>
        <v/>
      </c>
      <c r="N1143" s="6">
        <f>HYPERLINK("C:\Projects\Kleinanzeigen-Scraper\offer_images\2851695773", "Link")</f>
        <v/>
      </c>
      <c r="O1143" t="inlineStr">
        <is>
          <t>Nadine</t>
        </is>
      </c>
      <c r="P1143" s="6">
        <f>HYPERLINK("https://www.kleinanzeigen.de/s-bestandsliste.html?userId=34428099", "Link")</f>
        <v/>
      </c>
      <c r="Q1143" s="7" t="n">
        <v>45549.57850694445</v>
      </c>
      <c r="R1143" s="3" t="inlineStr">
        <is>
          <t>280.02</t>
        </is>
      </c>
      <c r="S1143" t="inlineStr">
        <is>
          <t>Köln</t>
        </is>
      </c>
    </row>
    <row r="1144">
      <c r="A1144" s="2" t="n">
        <v>11</v>
      </c>
      <c r="B1144" t="inlineStr">
        <is>
          <t>Naish</t>
        </is>
      </c>
      <c r="C1144" s="3" t="n">
        <v>550</v>
      </c>
      <c r="D1144" s="3" t="n">
        <v>260</v>
      </c>
      <c r="E1144" t="inlineStr"/>
      <c r="F1144" t="inlineStr"/>
      <c r="G1144" t="inlineStr">
        <is>
          <t>used</t>
        </is>
      </c>
      <c r="H1144" s="4" t="n">
        <v>349</v>
      </c>
      <c r="I1144" t="inlineStr">
        <is>
          <t>VB</t>
        </is>
      </c>
      <c r="J1144" t="inlineStr">
        <is>
          <t>78166 Baden-Württemberg - Donaueschingen</t>
        </is>
      </c>
      <c r="K1144" s="5" t="n">
        <v>45523</v>
      </c>
      <c r="L1144" t="inlineStr"/>
      <c r="M1144" s="6">
        <f>HYPERLINK("https://www.kleinanzeigen.de/s-anzeige/surfsegel-11-qm-von-naish/2840810408-230-8862", "Link")</f>
        <v/>
      </c>
      <c r="N1144" s="6">
        <f>HYPERLINK("C:\Projects\Kleinanzeigen-Scraper\offer_images\2840810408", "Link")</f>
        <v/>
      </c>
      <c r="O1144" t="inlineStr">
        <is>
          <t>Taty</t>
        </is>
      </c>
      <c r="P1144" s="6">
        <f>HYPERLINK("https://www.kleinanzeigen.de/s-bestandsliste.html?userId=142722612", "Link")</f>
        <v/>
      </c>
      <c r="Q1144" s="7" t="n">
        <v>45549.57850694445</v>
      </c>
      <c r="R1144" s="3" t="inlineStr">
        <is>
          <t>19.93</t>
        </is>
      </c>
      <c r="S1144" t="inlineStr">
        <is>
          <t>Bonndorf</t>
        </is>
      </c>
    </row>
    <row r="1145">
      <c r="A1145" s="2" t="n">
        <v>6.1</v>
      </c>
      <c r="B1145" t="inlineStr">
        <is>
          <t>GUN sails Nexus</t>
        </is>
      </c>
      <c r="C1145" s="3" t="n">
        <v>4.3</v>
      </c>
      <c r="D1145" s="3" t="inlineStr"/>
      <c r="E1145" t="inlineStr"/>
      <c r="F1145" t="inlineStr">
        <is>
          <t>2022</t>
        </is>
      </c>
      <c r="G1145" t="inlineStr">
        <is>
          <t>used</t>
        </is>
      </c>
      <c r="H1145" s="4" t="n">
        <v>100</v>
      </c>
      <c r="I1145" t="inlineStr">
        <is>
          <t>VB</t>
        </is>
      </c>
      <c r="J1145" t="inlineStr">
        <is>
          <t>51143 Köln - Porz</t>
        </is>
      </c>
      <c r="K1145" s="5" t="n">
        <v>45478</v>
      </c>
      <c r="L1145" t="inlineStr"/>
      <c r="M1145" s="6">
        <f>HYPERLINK("https://www.kleinanzeigen.de/s-anzeige/gun-sails-nexus-6-1-segel/2804787438-230-963", "Link")</f>
        <v/>
      </c>
      <c r="N1145" s="6">
        <f>HYPERLINK("C:\Projects\Kleinanzeigen-Scraper\offer_images\2804787438", "Link")</f>
        <v/>
      </c>
      <c r="O1145" t="inlineStr">
        <is>
          <t>Pascal</t>
        </is>
      </c>
      <c r="P1145" s="6">
        <f>HYPERLINK("https://www.kleinanzeigen.de/s-bestandsliste.html?userId=24281401", "Link")</f>
        <v/>
      </c>
      <c r="Q1145" s="7" t="n">
        <v>45549.57846064815</v>
      </c>
      <c r="R1145" s="3" t="inlineStr">
        <is>
          <t>10.66</t>
        </is>
      </c>
      <c r="S1145" t="inlineStr">
        <is>
          <t>Köln</t>
        </is>
      </c>
    </row>
    <row r="1146">
      <c r="A1146" s="2" t="n">
        <v>5</v>
      </c>
      <c r="B1146" t="inlineStr">
        <is>
          <t>DUOTONE UNiT D/Lab</t>
        </is>
      </c>
      <c r="C1146" s="3" t="inlineStr"/>
      <c r="D1146" s="3" t="inlineStr"/>
      <c r="E1146" t="inlineStr"/>
      <c r="F1146" t="inlineStr">
        <is>
          <t>2024</t>
        </is>
      </c>
      <c r="G1146" t="inlineStr">
        <is>
          <t>new</t>
        </is>
      </c>
      <c r="H1146" s="4" t="n">
        <v>1.35</v>
      </c>
      <c r="I1146" t="inlineStr"/>
      <c r="J1146" t="inlineStr">
        <is>
          <t>50858 Köln - Köln Junkersdorf</t>
        </is>
      </c>
      <c r="K1146" s="5" t="n">
        <v>45508</v>
      </c>
      <c r="L1146" t="inlineStr">
        <is>
          <t>Sold</t>
        </is>
      </c>
      <c r="M1146" s="6">
        <f>HYPERLINK("https://www.kleinanzeigen.de/s-anzeige/duotone-unit-d-lab-5-0-2024-neuwertig-/2829406691-230-952", "Link")</f>
        <v/>
      </c>
      <c r="N1146" s="6">
        <f>HYPERLINK("C:\Projects\Kleinanzeigen-Scraper\offer_images\2829406691", "Link")</f>
        <v/>
      </c>
      <c r="O1146" t="inlineStr">
        <is>
          <t>Ralf Puetmann</t>
        </is>
      </c>
      <c r="P1146" s="6">
        <f>HYPERLINK("https://www.kleinanzeigen.de/s-bestandsliste.html?userId=71749799", "Link")</f>
        <v/>
      </c>
      <c r="Q1146" s="7" t="n">
        <v>45549.57846064815</v>
      </c>
      <c r="R1146" s="3" t="inlineStr">
        <is>
          <t>7.26</t>
        </is>
      </c>
      <c r="S1146" t="inlineStr">
        <is>
          <t>Köln</t>
        </is>
      </c>
    </row>
    <row r="1147">
      <c r="A1147" s="2" t="n">
        <v>2.8</v>
      </c>
      <c r="B1147" t="inlineStr">
        <is>
          <t>Gun Sails</t>
        </is>
      </c>
      <c r="C1147" s="3" t="n">
        <v>3.46</v>
      </c>
      <c r="D1147" s="3" t="n">
        <v>1.24</v>
      </c>
      <c r="E1147" t="inlineStr"/>
      <c r="F1147" t="inlineStr"/>
      <c r="G1147" t="inlineStr"/>
      <c r="H1147" s="4" t="n">
        <v>50</v>
      </c>
      <c r="I1147" t="inlineStr"/>
      <c r="J1147" t="inlineStr">
        <is>
          <t>24837 Schleswig-Holstein - Schleswig</t>
        </is>
      </c>
      <c r="K1147" s="5" t="n">
        <v>45514</v>
      </c>
      <c r="L1147" t="inlineStr">
        <is>
          <t>Sold</t>
        </is>
      </c>
      <c r="M1147" s="6">
        <f>HYPERLINK("https://www.kleinanzeigen.de/s-anzeige/surf-segel-gun-sail-2-8/2833375851-230-558", "Link")</f>
        <v/>
      </c>
      <c r="N1147" s="6">
        <f>HYPERLINK("C:\Projects\Kleinanzeigen-Scraper\offer_images\2833375851", "Link")</f>
        <v/>
      </c>
      <c r="O1147" t="inlineStr">
        <is>
          <t>Stefan Hansen</t>
        </is>
      </c>
      <c r="P1147" s="6">
        <f>HYPERLINK("https://www.kleinanzeigen.de/s-bestandsliste.html?userId=39623977", "Link")</f>
        <v/>
      </c>
      <c r="Q1147" s="7" t="n">
        <v>45549.5784375</v>
      </c>
      <c r="R1147" s="3" t="inlineStr">
        <is>
          <t>435.51</t>
        </is>
      </c>
      <c r="S1147" t="inlineStr">
        <is>
          <t>Köln</t>
        </is>
      </c>
    </row>
    <row r="1148">
      <c r="A1148" s="2" t="n">
        <v>5</v>
      </c>
      <c r="B1148" t="inlineStr">
        <is>
          <t>Point 7 AC ON2</t>
        </is>
      </c>
      <c r="C1148" s="3" t="n">
        <v>370</v>
      </c>
      <c r="D1148" s="3" t="n">
        <v>168</v>
      </c>
      <c r="E1148" t="inlineStr"/>
      <c r="F1148" t="inlineStr">
        <is>
          <t>2019</t>
        </is>
      </c>
      <c r="G1148" t="inlineStr">
        <is>
          <t>new</t>
        </is>
      </c>
      <c r="H1148" s="4" t="n">
        <v>300</v>
      </c>
      <c r="I1148" t="inlineStr"/>
      <c r="J1148" t="inlineStr">
        <is>
          <t>71083 Baden-Württemberg - Herrenberg</t>
        </is>
      </c>
      <c r="K1148" s="5" t="n">
        <v>45529</v>
      </c>
      <c r="L1148" t="inlineStr"/>
      <c r="M1148" s="6">
        <f>HYPERLINK("https://www.kleinanzeigen.de/s-anzeige/point-7-ac-on2-5-0-race-segel-von-2019/2846118441-230-8097", "Link")</f>
        <v/>
      </c>
      <c r="N1148" s="6">
        <f>HYPERLINK("C:\Projects\Kleinanzeigen-Scraper\offer_images\2846118441", "Link")</f>
        <v/>
      </c>
      <c r="O1148" t="inlineStr">
        <is>
          <t>Freitag Hans Peter</t>
        </is>
      </c>
      <c r="P1148" s="6">
        <f>HYPERLINK("https://www.kleinanzeigen.de/s-bestandsliste.html?userId=29412546", "Link")</f>
        <v/>
      </c>
      <c r="Q1148" s="7" t="n">
        <v>45549.5784375</v>
      </c>
      <c r="R1148" s="3" t="inlineStr">
        <is>
          <t>12.18</t>
        </is>
      </c>
      <c r="S1148" t="inlineStr">
        <is>
          <t>Böblingen</t>
        </is>
      </c>
    </row>
    <row r="1149">
      <c r="A1149" s="2" t="n">
        <v>6.9</v>
      </c>
      <c r="B1149" t="inlineStr">
        <is>
          <t>Simmer Style</t>
        </is>
      </c>
      <c r="C1149" s="3" t="n">
        <v>490</v>
      </c>
      <c r="D1149" s="3" t="n">
        <v>205</v>
      </c>
      <c r="E1149" t="inlineStr">
        <is>
          <t>Freeride Slalom</t>
        </is>
      </c>
      <c r="F1149" t="inlineStr"/>
      <c r="G1149" t="inlineStr">
        <is>
          <t>used</t>
        </is>
      </c>
      <c r="H1149" s="4" t="n">
        <v>25</v>
      </c>
      <c r="I1149" t="inlineStr">
        <is>
          <t>VB</t>
        </is>
      </c>
      <c r="J1149" t="inlineStr">
        <is>
          <t>80809 München - Milbertshofen - Am Hart</t>
        </is>
      </c>
      <c r="K1149" s="5" t="n">
        <v>45511</v>
      </c>
      <c r="L1149" t="inlineStr"/>
      <c r="M1149" s="6">
        <f>HYPERLINK("https://www.kleinanzeigen.de/s-anzeige/segel-simmer-style-freeride-slalom-6-9/2831606278-230-6471", "Link")</f>
        <v/>
      </c>
      <c r="N1149" s="6">
        <f>HYPERLINK("C:\Projects\Kleinanzeigen-Scraper\offer_images\2831606278", "Link")</f>
        <v/>
      </c>
      <c r="O1149" t="inlineStr">
        <is>
          <t>Wolfgang</t>
        </is>
      </c>
      <c r="P1149" s="6">
        <f>HYPERLINK("https://www.kleinanzeigen.de/s-bestandsliste.html?userId=10675782", "Link")</f>
        <v/>
      </c>
      <c r="Q1149" s="7" t="n">
        <v>45549.5784375</v>
      </c>
      <c r="R1149" s="3" t="inlineStr">
        <is>
          <t>5.17</t>
        </is>
      </c>
      <c r="S1149" t="inlineStr">
        <is>
          <t>München</t>
        </is>
      </c>
    </row>
    <row r="1150">
      <c r="A1150" s="2" t="n">
        <v>8</v>
      </c>
      <c r="B1150" t="inlineStr">
        <is>
          <t>GUN Sails energy</t>
        </is>
      </c>
      <c r="C1150" s="3" t="n">
        <v>509</v>
      </c>
      <c r="D1150" s="3" t="n">
        <v>225</v>
      </c>
      <c r="E1150" t="inlineStr"/>
      <c r="F1150" t="inlineStr"/>
      <c r="G1150" t="inlineStr">
        <is>
          <t>used</t>
        </is>
      </c>
      <c r="H1150" s="4" t="n">
        <v>110</v>
      </c>
      <c r="I1150" t="inlineStr"/>
      <c r="J1150" t="inlineStr">
        <is>
          <t>31515 Niedersachsen - Wunstorf</t>
        </is>
      </c>
      <c r="K1150" s="5" t="n">
        <v>45104</v>
      </c>
      <c r="L1150" t="inlineStr"/>
      <c r="M1150" s="6">
        <f>HYPERLINK("https://www.kleinanzeigen.de/s-anzeige/gun-sails-energy-surfsegel-8-0-qm/2479078815-230-2930", "Link")</f>
        <v/>
      </c>
      <c r="N1150" s="6">
        <f>HYPERLINK("C:\Projects\Kleinanzeigen-Scraper\offer_images\2479078815", "Link")</f>
        <v/>
      </c>
      <c r="O1150" t="inlineStr">
        <is>
          <t>Frank + Elke</t>
        </is>
      </c>
      <c r="P1150" s="6">
        <f>HYPERLINK("https://www.kleinanzeigen.de/s-bestandsliste.html?userId=21475030", "Link")</f>
        <v/>
      </c>
      <c r="Q1150" s="7" t="n">
        <v>45549.57840277778</v>
      </c>
      <c r="R1150" s="3" t="inlineStr">
        <is>
          <t>236.47</t>
        </is>
      </c>
      <c r="S1150" t="inlineStr">
        <is>
          <t>Köln</t>
        </is>
      </c>
    </row>
    <row r="1151">
      <c r="A1151" s="2" t="n">
        <v>4.2</v>
      </c>
      <c r="B1151" t="inlineStr">
        <is>
          <t>Goya Banzai</t>
        </is>
      </c>
      <c r="C1151" s="3" t="inlineStr"/>
      <c r="D1151" s="3" t="inlineStr"/>
      <c r="E1151" t="inlineStr"/>
      <c r="F1151" t="inlineStr"/>
      <c r="G1151" t="inlineStr">
        <is>
          <t>used</t>
        </is>
      </c>
      <c r="H1151" s="4" t="n">
        <v>95</v>
      </c>
      <c r="I1151" t="inlineStr"/>
      <c r="J1151" t="inlineStr">
        <is>
          <t>10407 Pankow - Prenzlauer Berg</t>
        </is>
      </c>
      <c r="K1151" s="5" t="n">
        <v>45520</v>
      </c>
      <c r="L1151" t="inlineStr">
        <is>
          <t>Sold</t>
        </is>
      </c>
      <c r="M1151" s="6">
        <f>HYPERLINK("https://www.kleinanzeigen.de/s-anzeige/goya-banzai-4-2-windsurf-segel/2838090083-230-3493", "Link")</f>
        <v/>
      </c>
      <c r="N1151" s="6">
        <f>HYPERLINK("C:\Projects\Kleinanzeigen-Scraper\offer_images\2838090083", "Link")</f>
        <v/>
      </c>
      <c r="O1151" t="inlineStr">
        <is>
          <t>Privat</t>
        </is>
      </c>
      <c r="P1151" s="6">
        <f>HYPERLINK("https://www.kleinanzeigen.de/s-bestandsliste.html?userId=21887161", "Link")</f>
        <v/>
      </c>
      <c r="Q1151" s="7" t="n">
        <v>45549.57837962963</v>
      </c>
      <c r="R1151" s="3" t="inlineStr">
        <is>
          <t>481.41</t>
        </is>
      </c>
      <c r="S1151" t="inlineStr">
        <is>
          <t>Köln</t>
        </is>
      </c>
    </row>
    <row r="1152">
      <c r="A1152" s="2" t="n">
        <v>8.6</v>
      </c>
      <c r="B1152" t="inlineStr">
        <is>
          <t>Severne Mach 3</t>
        </is>
      </c>
      <c r="C1152" s="3" t="n">
        <v>508</v>
      </c>
      <c r="D1152" s="3" t="n">
        <v>227</v>
      </c>
      <c r="E1152" t="inlineStr"/>
      <c r="F1152" t="inlineStr"/>
      <c r="G1152" t="inlineStr">
        <is>
          <t>used</t>
        </is>
      </c>
      <c r="H1152" s="4" t="n">
        <v>300</v>
      </c>
      <c r="I1152" t="inlineStr"/>
      <c r="J1152" t="inlineStr">
        <is>
          <t>45661 Nordrhein-Westfalen - Recklinghausen</t>
        </is>
      </c>
      <c r="K1152" s="5" t="n">
        <v>45108</v>
      </c>
      <c r="L1152" t="inlineStr"/>
      <c r="M1152" s="6">
        <f>HYPERLINK("https://www.kleinanzeigen.de/s-anzeige/severne-mach-3-in-8-6m2/2481902378-230-1986", "Link")</f>
        <v/>
      </c>
      <c r="N1152" s="6">
        <f>HYPERLINK("C:\Projects\Kleinanzeigen-Scraper\offer_images\2481902378", "Link")</f>
        <v/>
      </c>
      <c r="O1152" t="inlineStr">
        <is>
          <t>Th</t>
        </is>
      </c>
      <c r="P1152" s="6">
        <f>HYPERLINK("https://www.kleinanzeigen.de/s-bestandsliste.html?userId=2332887", "Link")</f>
        <v/>
      </c>
      <c r="Q1152" s="7" t="n">
        <v>45549.57836805555</v>
      </c>
      <c r="R1152" s="3" t="inlineStr">
        <is>
          <t>72.57</t>
        </is>
      </c>
      <c r="S1152" t="inlineStr">
        <is>
          <t>Köln</t>
        </is>
      </c>
    </row>
    <row r="1153">
      <c r="A1153" s="2" t="n">
        <v>5.2</v>
      </c>
      <c r="B1153" t="inlineStr">
        <is>
          <t>Neilpryde V8</t>
        </is>
      </c>
      <c r="C1153" s="3" t="inlineStr"/>
      <c r="D1153" s="3" t="inlineStr"/>
      <c r="E1153" t="inlineStr"/>
      <c r="F1153" t="inlineStr">
        <is>
          <t>2020</t>
        </is>
      </c>
      <c r="G1153" t="inlineStr">
        <is>
          <t>good</t>
        </is>
      </c>
      <c r="H1153" s="4" t="n">
        <v>1</v>
      </c>
      <c r="I1153" t="inlineStr"/>
      <c r="J1153" t="inlineStr">
        <is>
          <t>10115 Berlin - Mitte</t>
        </is>
      </c>
      <c r="K1153" s="5" t="n">
        <v>45525</v>
      </c>
      <c r="L1153" t="inlineStr"/>
      <c r="M1153" s="6">
        <f>HYPERLINK("https://www.kleinanzeigen.de/s-anzeige/neilpryde-v8-5-2-neil-pryde-segel/2843045393-230-9668", "Link")</f>
        <v/>
      </c>
      <c r="N1153" s="6">
        <f>HYPERLINK("C:\Projects\Kleinanzeigen-Scraper\offer_images\2843045393", "Link")</f>
        <v/>
      </c>
      <c r="O1153" t="inlineStr">
        <is>
          <t>Tomasz</t>
        </is>
      </c>
      <c r="P1153" s="6">
        <f>HYPERLINK("https://www.kleinanzeigen.de/s-bestandsliste.html?userId=46220042", "Link")</f>
        <v/>
      </c>
      <c r="Q1153" s="7" t="n">
        <v>45549.57835648148</v>
      </c>
      <c r="R1153" s="3" t="inlineStr">
        <is>
          <t>476.33</t>
        </is>
      </c>
      <c r="S1153" t="inlineStr">
        <is>
          <t>Köln</t>
        </is>
      </c>
    </row>
    <row r="1154">
      <c r="A1154" s="2" t="n">
        <v>5.6</v>
      </c>
      <c r="B1154" t="inlineStr">
        <is>
          <t>Neilpryde Combat</t>
        </is>
      </c>
      <c r="C1154" s="3" t="n">
        <v>439</v>
      </c>
      <c r="D1154" s="3" t="n">
        <v>180</v>
      </c>
      <c r="E1154" t="inlineStr"/>
      <c r="F1154" t="inlineStr"/>
      <c r="G1154" t="inlineStr"/>
      <c r="H1154" s="4" t="n">
        <v>49</v>
      </c>
      <c r="I1154" t="inlineStr"/>
      <c r="J1154" t="inlineStr">
        <is>
          <t>18211 Bad Doberan - Landkreis - Bargeshagen</t>
        </is>
      </c>
      <c r="K1154" s="5" t="n">
        <v>45541</v>
      </c>
      <c r="L1154" t="inlineStr"/>
      <c r="M1154" s="6">
        <f>HYPERLINK("https://www.kleinanzeigen.de/s-anzeige/neilpryde-combat-5-6qm-windsurfsegel/2855741579-230-16583", "Link")</f>
        <v/>
      </c>
      <c r="N1154" s="6">
        <f>HYPERLINK("C:\Projects\Kleinanzeigen-Scraper\offer_images\2855741579", "Link")</f>
        <v/>
      </c>
      <c r="O1154" t="inlineStr">
        <is>
          <t>Dirk</t>
        </is>
      </c>
      <c r="P1154" s="6">
        <f>HYPERLINK("https://www.kleinanzeigen.de/s-bestandsliste.html?userId=141661148", "Link")</f>
        <v/>
      </c>
      <c r="Q1154" s="7" t="n">
        <v>45549.57831018518</v>
      </c>
      <c r="R1154" s="3" t="inlineStr">
        <is>
          <t>490.50</t>
        </is>
      </c>
      <c r="S1154" t="inlineStr">
        <is>
          <t>Köln</t>
        </is>
      </c>
    </row>
    <row r="1155">
      <c r="A1155" s="2" t="n">
        <v>4.2</v>
      </c>
      <c r="B1155" t="inlineStr">
        <is>
          <t>Simmer Style</t>
        </is>
      </c>
      <c r="C1155" s="3" t="n">
        <v>394</v>
      </c>
      <c r="D1155" s="3" t="n">
        <v>150</v>
      </c>
      <c r="E1155" t="inlineStr"/>
      <c r="F1155" t="inlineStr"/>
      <c r="G1155" t="inlineStr">
        <is>
          <t>used</t>
        </is>
      </c>
      <c r="H1155" s="4" t="n">
        <v>75</v>
      </c>
      <c r="I1155" t="inlineStr">
        <is>
          <t>VB</t>
        </is>
      </c>
      <c r="J1155" t="inlineStr">
        <is>
          <t>26131 Niedersachsen - Oldenburg</t>
        </is>
      </c>
      <c r="K1155" s="5" t="n">
        <v>45499</v>
      </c>
      <c r="L1155" t="inlineStr"/>
      <c r="M1155" s="6">
        <f>HYPERLINK("https://www.kleinanzeigen.de/s-anzeige/surfsegel-simmer-style-onshore-wave-4-2qm/2821922026-230-3109", "Link")</f>
        <v/>
      </c>
      <c r="N1155" s="6">
        <f>HYPERLINK("C:\Projects\Kleinanzeigen-Scraper\offer_images\2821922026", "Link")</f>
        <v/>
      </c>
      <c r="O1155" t="inlineStr">
        <is>
          <t>Von privat</t>
        </is>
      </c>
      <c r="P1155" s="6">
        <f>HYPERLINK("https://www.kleinanzeigen.de/s-bestandsliste.html?userId=120243253", "Link")</f>
        <v/>
      </c>
      <c r="Q1155" s="7" t="n">
        <v>45549.57831018518</v>
      </c>
      <c r="R1155" s="3" t="inlineStr">
        <is>
          <t>257.10</t>
        </is>
      </c>
      <c r="S1155" t="inlineStr">
        <is>
          <t>Köln</t>
        </is>
      </c>
    </row>
    <row r="1156">
      <c r="A1156" s="2" t="n">
        <v>4</v>
      </c>
      <c r="B1156" t="inlineStr">
        <is>
          <t>Neilpryde Combat</t>
        </is>
      </c>
      <c r="C1156" s="3" t="n">
        <v>330</v>
      </c>
      <c r="D1156" s="3" t="n">
        <v>180</v>
      </c>
      <c r="E1156" t="inlineStr"/>
      <c r="F1156" t="inlineStr"/>
      <c r="G1156" t="inlineStr">
        <is>
          <t>used</t>
        </is>
      </c>
      <c r="H1156" s="4" t="n">
        <v>135</v>
      </c>
      <c r="I1156" t="inlineStr">
        <is>
          <t>VB</t>
        </is>
      </c>
      <c r="J1156" t="inlineStr">
        <is>
          <t>48329 Nordrhein-Westfalen - Havixbeck</t>
        </is>
      </c>
      <c r="K1156" s="5" t="n">
        <v>45540</v>
      </c>
      <c r="L1156" t="inlineStr"/>
      <c r="M1156" s="6">
        <f>HYPERLINK("https://www.kleinanzeigen.de/s-anzeige/neilpryde-combat-4-0-segel-neil-pryde/2855147166-230-1320", "Link")</f>
        <v/>
      </c>
      <c r="N1156" s="6">
        <f>HYPERLINK("C:\Projects\Kleinanzeigen-Scraper\offer_images\2855147166", "Link")</f>
        <v/>
      </c>
      <c r="O1156" t="inlineStr">
        <is>
          <t>Tobias</t>
        </is>
      </c>
      <c r="P1156" s="6">
        <f>HYPERLINK("https://www.kleinanzeigen.de/s-bestandsliste.html?userId=22799132", "Link")</f>
        <v/>
      </c>
      <c r="Q1156" s="7" t="n">
        <v>45549.57828703704</v>
      </c>
      <c r="R1156" s="3" t="inlineStr">
        <is>
          <t>119.19</t>
        </is>
      </c>
      <c r="S1156" t="inlineStr">
        <is>
          <t>Köln</t>
        </is>
      </c>
    </row>
    <row r="1157">
      <c r="A1157" s="2" t="n">
        <v>4.4</v>
      </c>
      <c r="B1157" t="inlineStr">
        <is>
          <t>Severne Freek</t>
        </is>
      </c>
      <c r="C1157" s="3" t="n">
        <v>370</v>
      </c>
      <c r="D1157" s="3" t="inlineStr"/>
      <c r="E1157" t="inlineStr"/>
      <c r="F1157" t="inlineStr"/>
      <c r="G1157" t="inlineStr"/>
      <c r="H1157" s="4" t="n">
        <v>150</v>
      </c>
      <c r="I1157" t="inlineStr">
        <is>
          <t>VB</t>
        </is>
      </c>
      <c r="J1157" t="inlineStr">
        <is>
          <t>24118 Kiel - Ravensberg-Brunswik-Düsternbrook</t>
        </is>
      </c>
      <c r="K1157" s="5" t="n">
        <v>45544</v>
      </c>
      <c r="L1157" t="inlineStr"/>
      <c r="M1157" s="6">
        <f>HYPERLINK("https://www.kleinanzeigen.de/s-anzeige/windsurf-segel-4-4-severne-freek/2858584318-230-704", "Link")</f>
        <v/>
      </c>
      <c r="N1157" s="6">
        <f>HYPERLINK("C:\Projects\Kleinanzeigen-Scraper\offer_images\2858584318", "Link")</f>
        <v/>
      </c>
      <c r="O1157" t="inlineStr">
        <is>
          <t>J. Fischer</t>
        </is>
      </c>
      <c r="P1157" s="6">
        <f>HYPERLINK("https://www.kleinanzeigen.de/s-bestandsliste.html?userId=21788337", "Link")</f>
        <v/>
      </c>
      <c r="Q1157" s="7" t="n">
        <v>45549.57828703704</v>
      </c>
      <c r="R1157" s="3" t="inlineStr">
        <is>
          <t>434.29</t>
        </is>
      </c>
      <c r="S1157" t="inlineStr">
        <is>
          <t>Köln</t>
        </is>
      </c>
    </row>
    <row r="1158">
      <c r="A1158" s="2" t="n">
        <v>6</v>
      </c>
      <c r="B1158" t="inlineStr">
        <is>
          <t>EZZY Transformer</t>
        </is>
      </c>
      <c r="C1158" s="3" t="n">
        <v>458</v>
      </c>
      <c r="D1158" s="3" t="n">
        <v>184</v>
      </c>
      <c r="E1158" t="inlineStr">
        <is>
          <t>Cam</t>
        </is>
      </c>
      <c r="F1158" t="inlineStr"/>
      <c r="G1158" t="inlineStr">
        <is>
          <t>used</t>
        </is>
      </c>
      <c r="H1158" s="4" t="n">
        <v>25</v>
      </c>
      <c r="I1158" t="inlineStr">
        <is>
          <t>VB</t>
        </is>
      </c>
      <c r="J1158" t="inlineStr">
        <is>
          <t>22047 Hamburg - Wandsbek</t>
        </is>
      </c>
      <c r="K1158" s="5" t="n">
        <v>45460</v>
      </c>
      <c r="L1158" t="inlineStr"/>
      <c r="M1158" s="6">
        <f>HYPERLINK("https://www.kleinanzeigen.de/s-anzeige/-windsurfsegel-segel-transformer-ezzy-cam-6-0-m-/2790796937-230-26507", "Link")</f>
        <v/>
      </c>
      <c r="N1158" s="6">
        <f>HYPERLINK("C:\Projects\Kleinanzeigen-Scraper\offer_images\2790796937", "Link")</f>
        <v/>
      </c>
      <c r="O1158" t="inlineStr">
        <is>
          <t>Stefan</t>
        </is>
      </c>
      <c r="P1158" s="6">
        <f>HYPERLINK("https://www.kleinanzeigen.de/s-bestandsliste.html?userId=3986471", "Link")</f>
        <v/>
      </c>
      <c r="Q1158" s="7" t="n">
        <v>45549.57826388889</v>
      </c>
      <c r="R1158" s="3" t="inlineStr">
        <is>
          <t>364.13</t>
        </is>
      </c>
      <c r="S1158" t="inlineStr">
        <is>
          <t>Köln</t>
        </is>
      </c>
    </row>
    <row r="1159">
      <c r="A1159" s="2" t="n">
        <v>4</v>
      </c>
      <c r="B1159" t="inlineStr">
        <is>
          <t>Gaastra Vandal Riot</t>
        </is>
      </c>
      <c r="C1159" s="3" t="inlineStr"/>
      <c r="D1159" s="3" t="inlineStr"/>
      <c r="E1159" t="inlineStr"/>
      <c r="F1159" t="inlineStr"/>
      <c r="G1159" t="inlineStr">
        <is>
          <t>used</t>
        </is>
      </c>
      <c r="H1159" s="4" t="n">
        <v>50</v>
      </c>
      <c r="I1159" t="inlineStr"/>
      <c r="J1159" t="inlineStr">
        <is>
          <t>53797 Nordrhein-Westfalen - Lohmar</t>
        </is>
      </c>
      <c r="K1159" s="5" t="n">
        <v>45538</v>
      </c>
      <c r="L1159" t="inlineStr"/>
      <c r="M1159" s="6">
        <f>HYPERLINK("https://www.kleinanzeigen.de/s-anzeige/wave-segel-4-0-vandal-riot-gaastra/2853714234-230-1688", "Link")</f>
        <v/>
      </c>
      <c r="N1159" s="6">
        <f>HYPERLINK("C:\Projects\Kleinanzeigen-Scraper\offer_images\2853714234", "Link")</f>
        <v/>
      </c>
      <c r="O1159" t="inlineStr">
        <is>
          <t>Nicolai Rasche</t>
        </is>
      </c>
      <c r="P1159" s="6">
        <f>HYPERLINK("https://www.kleinanzeigen.de/s-bestandsliste.html?userId=80682544", "Link")</f>
        <v/>
      </c>
      <c r="Q1159" s="7" t="n">
        <v>45549.57826388889</v>
      </c>
      <c r="R1159" s="3" t="inlineStr">
        <is>
          <t>22.77</t>
        </is>
      </c>
      <c r="S1159" t="inlineStr">
        <is>
          <t>Köln</t>
        </is>
      </c>
    </row>
    <row r="1160">
      <c r="A1160" s="2" t="n">
        <v>4.2</v>
      </c>
      <c r="B1160" t="inlineStr">
        <is>
          <t>Neilpryde Combat HD</t>
        </is>
      </c>
      <c r="C1160" s="3" t="inlineStr"/>
      <c r="D1160" s="3" t="inlineStr"/>
      <c r="E1160" t="inlineStr"/>
      <c r="F1160" t="inlineStr">
        <is>
          <t>2019</t>
        </is>
      </c>
      <c r="G1160" t="inlineStr">
        <is>
          <t>new</t>
        </is>
      </c>
      <c r="H1160" s="4" t="n">
        <v>320</v>
      </c>
      <c r="I1160" t="inlineStr">
        <is>
          <t>VB</t>
        </is>
      </c>
      <c r="J1160" t="inlineStr">
        <is>
          <t>82319 Bayern - Starnberg</t>
        </is>
      </c>
      <c r="K1160" s="5" t="n">
        <v>45554</v>
      </c>
      <c r="L1160" t="inlineStr"/>
      <c r="M1160" s="6">
        <f>HYPERLINK("https://www.kleinanzeigen.de/s-anzeige/neilpryde-combat-hd-4-2-top-zustand/2793629033-230-5525", "Link")</f>
        <v/>
      </c>
      <c r="N1160" s="6">
        <f>HYPERLINK("C:\Projects\Kleinanzeigen-Scraper\offer_images\2793629033", "Link")</f>
        <v/>
      </c>
      <c r="O1160" t="inlineStr">
        <is>
          <t>No user name</t>
        </is>
      </c>
      <c r="P1160" s="6">
        <f>HYPERLINK("https://www.kleinanzeigen.deNo user link", "Link")</f>
        <v/>
      </c>
      <c r="Q1160" s="7" t="n">
        <v>45549.57826388889</v>
      </c>
      <c r="R1160" s="3" t="inlineStr">
        <is>
          <t>23.17</t>
        </is>
      </c>
      <c r="S1160" t="inlineStr">
        <is>
          <t>München</t>
        </is>
      </c>
    </row>
    <row r="1161">
      <c r="A1161" s="2" t="n">
        <v>7.8</v>
      </c>
      <c r="B1161" t="inlineStr">
        <is>
          <t>North Sails Warp</t>
        </is>
      </c>
      <c r="C1161" s="3" t="n">
        <v>429</v>
      </c>
      <c r="D1161" s="3" t="n">
        <v>223</v>
      </c>
      <c r="E1161" t="inlineStr"/>
      <c r="F1161" t="inlineStr">
        <is>
          <t>2014</t>
        </is>
      </c>
      <c r="G1161" t="inlineStr">
        <is>
          <t>repaired</t>
        </is>
      </c>
      <c r="H1161" s="4" t="n">
        <v>95</v>
      </c>
      <c r="I1161" t="inlineStr"/>
      <c r="J1161" t="inlineStr">
        <is>
          <t>71116 Baden-Württemberg - Gärtringen</t>
        </is>
      </c>
      <c r="K1161" s="5" t="n">
        <v>45547</v>
      </c>
      <c r="L1161" t="inlineStr">
        <is>
          <t>Sold</t>
        </is>
      </c>
      <c r="M1161" s="6">
        <f>HYPERLINK("https://www.kleinanzeigen.de/s-anzeige/north-sails-warp-7-8/2861434368-230-8100", "Link")</f>
        <v/>
      </c>
      <c r="N1161" s="6">
        <f>HYPERLINK("C:\Projects\Kleinanzeigen-Scraper\offer_images\2861434368", "Link")</f>
        <v/>
      </c>
      <c r="O1161" t="inlineStr">
        <is>
          <t>Rapp</t>
        </is>
      </c>
      <c r="P1161" s="6">
        <f>HYPERLINK("https://www.kleinanzeigen.de/s-bestandsliste.html?userId=33426220", "Link")</f>
        <v/>
      </c>
      <c r="Q1161" s="7" t="n">
        <v>45549.57826388889</v>
      </c>
      <c r="R1161" s="3" t="inlineStr">
        <is>
          <t>6.70</t>
        </is>
      </c>
      <c r="S1161" t="inlineStr">
        <is>
          <t>Böblingen</t>
        </is>
      </c>
    </row>
    <row r="1162">
      <c r="A1162" s="2" t="n">
        <v>5.2</v>
      </c>
      <c r="B1162" t="inlineStr">
        <is>
          <t>Neil Pryde</t>
        </is>
      </c>
      <c r="C1162" s="3" t="n">
        <v>400</v>
      </c>
      <c r="D1162" s="3" t="n">
        <v>171</v>
      </c>
      <c r="E1162" t="inlineStr"/>
      <c r="F1162" t="inlineStr"/>
      <c r="G1162" t="inlineStr">
        <is>
          <t>repaired</t>
        </is>
      </c>
      <c r="H1162" s="4" t="n">
        <v>50</v>
      </c>
      <c r="I1162" t="inlineStr"/>
      <c r="J1162" t="inlineStr">
        <is>
          <t>47918 Nordrhein-Westfalen - Tönisvorst</t>
        </is>
      </c>
      <c r="K1162" s="5" t="n">
        <v>45526</v>
      </c>
      <c r="L1162" t="inlineStr"/>
      <c r="M1162" s="6">
        <f>HYPERLINK("https://www.kleinanzeigen.de/s-anzeige/surf-segel-neilpryde-5-2qm/2843725548-230-1121", "Link")</f>
        <v/>
      </c>
      <c r="N1162" s="6">
        <f>HYPERLINK("C:\Projects\Kleinanzeigen-Scraper\offer_images\2843725548", "Link")</f>
        <v/>
      </c>
      <c r="O1162" t="inlineStr">
        <is>
          <t>Lars Dierich</t>
        </is>
      </c>
      <c r="P1162" s="6">
        <f>HYPERLINK("https://www.kleinanzeigen.de/s-bestandsliste.html?userId=14315794", "Link")</f>
        <v/>
      </c>
      <c r="Q1162" s="7" t="n">
        <v>45549.57824074074</v>
      </c>
      <c r="R1162" s="3" t="inlineStr">
        <is>
          <t>56.00</t>
        </is>
      </c>
      <c r="S1162" t="inlineStr">
        <is>
          <t>Köln</t>
        </is>
      </c>
    </row>
    <row r="1163">
      <c r="A1163" s="2" t="n">
        <v>4</v>
      </c>
      <c r="B1163" t="inlineStr">
        <is>
          <t>Simmer OneShore Wave</t>
        </is>
      </c>
      <c r="C1163" s="3" t="inlineStr"/>
      <c r="D1163" s="3" t="inlineStr"/>
      <c r="E1163" t="inlineStr"/>
      <c r="F1163" t="inlineStr"/>
      <c r="G1163" t="inlineStr">
        <is>
          <t>used</t>
        </is>
      </c>
      <c r="H1163" s="4" t="n">
        <v>50</v>
      </c>
      <c r="I1163" t="inlineStr">
        <is>
          <t>VB</t>
        </is>
      </c>
      <c r="J1163" t="inlineStr">
        <is>
          <t>01326 Dresden - Loschwitz</t>
        </is>
      </c>
      <c r="K1163" s="5" t="n">
        <v>45515</v>
      </c>
      <c r="L1163" t="inlineStr"/>
      <c r="M1163" s="6">
        <f>HYPERLINK("https://www.kleinanzeigen.de/s-anzeige/simmer-oneshore-wave-4-0/2834126552-230-3830", "Link")</f>
        <v/>
      </c>
      <c r="N1163" s="6">
        <f>HYPERLINK("C:\Projects\Kleinanzeigen-Scraper\offer_images\2834126552", "Link")</f>
        <v/>
      </c>
      <c r="O1163" t="inlineStr">
        <is>
          <t>Andreas Völker</t>
        </is>
      </c>
      <c r="P1163" s="6">
        <f>HYPERLINK("https://www.kleinanzeigen.de/s-bestandsliste.html?userId=532939", "Link")</f>
        <v/>
      </c>
      <c r="Q1163" s="7" t="n">
        <v>45549.57822916667</v>
      </c>
      <c r="R1163" s="3" t="inlineStr">
        <is>
          <t>362.41</t>
        </is>
      </c>
      <c r="S1163" t="inlineStr">
        <is>
          <t>München</t>
        </is>
      </c>
    </row>
    <row r="1164">
      <c r="A1164" s="2" t="n">
        <v>4.7</v>
      </c>
      <c r="B1164" t="inlineStr">
        <is>
          <t>GUN SAILS GROOVE</t>
        </is>
      </c>
      <c r="C1164" s="3" t="n">
        <v>418</v>
      </c>
      <c r="D1164" s="3" t="n">
        <v>168</v>
      </c>
      <c r="E1164" t="inlineStr"/>
      <c r="F1164" t="inlineStr"/>
      <c r="G1164" t="inlineStr">
        <is>
          <t>repaired</t>
        </is>
      </c>
      <c r="H1164" s="4" t="n">
        <v>30</v>
      </c>
      <c r="I1164" t="inlineStr"/>
      <c r="J1164" t="inlineStr">
        <is>
          <t>19057 Schwerin - Lankow</t>
        </is>
      </c>
      <c r="K1164" s="5" t="n">
        <v>45490</v>
      </c>
      <c r="L1164" t="inlineStr">
        <is>
          <t>Sold</t>
        </is>
      </c>
      <c r="M1164" s="6">
        <f>HYPERLINK("https://www.kleinanzeigen.de/s-anzeige/surfsegel-groove-in-4-7-von-gun-sails/2814391130-230-281", "Link")</f>
        <v/>
      </c>
      <c r="N1164" s="6">
        <f>HYPERLINK("C:\Projects\Kleinanzeigen-Scraper\offer_images\2814391130", "Link")</f>
        <v/>
      </c>
      <c r="O1164" t="inlineStr">
        <is>
          <t>F. Weinkauf</t>
        </is>
      </c>
      <c r="P1164" s="6">
        <f>HYPERLINK("https://www.kleinanzeigen.de/s-bestandsliste.html?userId=25919947", "Link")</f>
        <v/>
      </c>
      <c r="Q1164" s="7" t="n">
        <v>45549.57820601852</v>
      </c>
      <c r="R1164" s="3" t="inlineStr">
        <is>
          <t>424.45</t>
        </is>
      </c>
      <c r="S1164" t="inlineStr">
        <is>
          <t>Köln</t>
        </is>
      </c>
    </row>
    <row r="1165">
      <c r="A1165" s="2" t="n">
        <v>5.2</v>
      </c>
      <c r="B1165" t="inlineStr">
        <is>
          <t>Vandal V</t>
        </is>
      </c>
      <c r="C1165" s="3" t="inlineStr"/>
      <c r="D1165" s="3" t="inlineStr"/>
      <c r="E1165" t="inlineStr"/>
      <c r="F1165" t="inlineStr"/>
      <c r="G1165" t="inlineStr">
        <is>
          <t>used</t>
        </is>
      </c>
      <c r="H1165" s="4" t="n">
        <v>90</v>
      </c>
      <c r="I1165" t="inlineStr"/>
      <c r="J1165" t="inlineStr">
        <is>
          <t>42119 Wuppertal - Elberfeld</t>
        </is>
      </c>
      <c r="K1165" s="5" t="n">
        <v>45150</v>
      </c>
      <c r="L1165" t="inlineStr"/>
      <c r="M1165" s="6">
        <f>HYPERLINK("https://www.kleinanzeigen.de/s-anzeige/surfsegel-vandal-v-5-2/2518713646-230-1580", "Link")</f>
        <v/>
      </c>
      <c r="N1165" s="6">
        <f>HYPERLINK("C:\Projects\Kleinanzeigen-Scraper\offer_images\2518713646", "Link")</f>
        <v/>
      </c>
      <c r="O1165" t="inlineStr">
        <is>
          <t>Rainer</t>
        </is>
      </c>
      <c r="P1165" s="6">
        <f>HYPERLINK("https://www.kleinanzeigen.de/s-bestandsliste.html?userId=5780586", "Link")</f>
        <v/>
      </c>
      <c r="Q1165" s="7" t="n">
        <v>45549.57818287037</v>
      </c>
      <c r="R1165" s="3" t="inlineStr">
        <is>
          <t>36.50</t>
        </is>
      </c>
      <c r="S1165" t="inlineStr">
        <is>
          <t>Köln</t>
        </is>
      </c>
    </row>
    <row r="1166">
      <c r="A1166" s="2" t="n">
        <v>4.8</v>
      </c>
      <c r="B1166" t="inlineStr">
        <is>
          <t>Severne Freak</t>
        </is>
      </c>
      <c r="C1166" s="3" t="n">
        <v>400</v>
      </c>
      <c r="D1166" s="3" t="n">
        <v>158</v>
      </c>
      <c r="E1166" t="inlineStr"/>
      <c r="F1166" t="inlineStr"/>
      <c r="G1166" t="inlineStr">
        <is>
          <t>used</t>
        </is>
      </c>
      <c r="H1166" s="4" t="n">
        <v>250</v>
      </c>
      <c r="I1166" t="inlineStr">
        <is>
          <t>VB</t>
        </is>
      </c>
      <c r="J1166" t="inlineStr">
        <is>
          <t>14052 Berlin - Charlottenburg</t>
        </is>
      </c>
      <c r="K1166" s="5" t="n">
        <v>45535</v>
      </c>
      <c r="L1166" t="inlineStr">
        <is>
          <t>Sold</t>
        </is>
      </c>
      <c r="M1166" s="6">
        <f>HYPERLINK("https://www.kleinanzeigen.de/s-anzeige/severne-segel-freak-4-8/2850910708-230-3339", "Link")</f>
        <v/>
      </c>
      <c r="N1166" s="6">
        <f>HYPERLINK("C:\Projects\Kleinanzeigen-Scraper\offer_images\2850910708", "Link")</f>
        <v/>
      </c>
      <c r="O1166" t="inlineStr">
        <is>
          <t>Oliver Kind</t>
        </is>
      </c>
      <c r="P1166" s="6">
        <f>HYPERLINK("https://www.kleinanzeigen.de/s-bestandsliste.html?userId=32561881", "Link")</f>
        <v/>
      </c>
      <c r="Q1166" s="7" t="n">
        <v>45549.57815972222</v>
      </c>
      <c r="R1166" s="3" t="inlineStr">
        <is>
          <t>468.06</t>
        </is>
      </c>
      <c r="S1166" t="inlineStr">
        <is>
          <t>Köln</t>
        </is>
      </c>
    </row>
    <row r="1167">
      <c r="A1167" s="2" t="n">
        <v>4.8</v>
      </c>
      <c r="B1167" t="inlineStr">
        <is>
          <t>Goya Bounce</t>
        </is>
      </c>
      <c r="C1167" s="3" t="inlineStr"/>
      <c r="D1167" s="3" t="inlineStr"/>
      <c r="E1167" t="inlineStr"/>
      <c r="F1167" t="inlineStr"/>
      <c r="G1167" t="inlineStr">
        <is>
          <t>used</t>
        </is>
      </c>
      <c r="H1167" s="4" t="n">
        <v>189</v>
      </c>
      <c r="I1167" t="inlineStr">
        <is>
          <t>VB</t>
        </is>
      </c>
      <c r="J1167" t="inlineStr">
        <is>
          <t>20251 Hamburg-Nord - Hamburg Eppendorf</t>
        </is>
      </c>
      <c r="K1167" s="5" t="n">
        <v>45469</v>
      </c>
      <c r="L1167" t="inlineStr"/>
      <c r="M1167" s="6">
        <f>HYPERLINK("https://www.kleinanzeigen.de/s-anzeige/freestyle-segel-goya-bounce-4-8-kein-freek-air-idol-pure-/2711827238-230-9475", "Link")</f>
        <v/>
      </c>
      <c r="N1167" s="6">
        <f>HYPERLINK("C:\Projects\Kleinanzeigen-Scraper\offer_images\2711827238", "Link")</f>
        <v/>
      </c>
      <c r="O1167" t="inlineStr">
        <is>
          <t>Felix S.</t>
        </is>
      </c>
      <c r="P1167" s="6">
        <f>HYPERLINK("https://www.kleinanzeigen.de/s-bestandsliste.html?userId=23995242", "Link")</f>
        <v/>
      </c>
      <c r="Q1167" s="7" t="n">
        <v>45549.57813657408</v>
      </c>
      <c r="R1167" s="3" t="inlineStr">
        <is>
          <t>360.06</t>
        </is>
      </c>
      <c r="S1167" t="inlineStr">
        <is>
          <t>Köln</t>
        </is>
      </c>
    </row>
    <row r="1168">
      <c r="A1168" s="2" t="n">
        <v>4.8</v>
      </c>
      <c r="B1168" t="inlineStr">
        <is>
          <t>Neilpryde The Fly 2</t>
        </is>
      </c>
      <c r="C1168" s="3" t="inlineStr"/>
      <c r="D1168" s="3" t="inlineStr"/>
      <c r="E1168" t="inlineStr"/>
      <c r="F1168" t="inlineStr"/>
      <c r="G1168" t="inlineStr">
        <is>
          <t>used</t>
        </is>
      </c>
      <c r="H1168" s="4" t="n">
        <v>150</v>
      </c>
      <c r="I1168" t="inlineStr">
        <is>
          <t>VB</t>
        </is>
      </c>
      <c r="J1168" t="inlineStr">
        <is>
          <t>10245 Friedrichshain-Kreuzberg - Friedrichshain</t>
        </is>
      </c>
      <c r="K1168" s="5" t="n">
        <v>45498</v>
      </c>
      <c r="L1168" t="inlineStr">
        <is>
          <t>Sold</t>
        </is>
      </c>
      <c r="M1168" s="6">
        <f>HYPERLINK("https://www.kleinanzeigen.de/s-anzeige/windsurf-segel-neilpryde-the-fly-2-4-8/2821169061-230-3352", "Link")</f>
        <v/>
      </c>
      <c r="N1168" s="6">
        <f>HYPERLINK("C:\Projects\Kleinanzeigen-Scraper\offer_images\2821169061", "Link")</f>
        <v/>
      </c>
      <c r="O1168" t="inlineStr">
        <is>
          <t>Peter</t>
        </is>
      </c>
      <c r="P1168" s="6">
        <f>HYPERLINK("https://www.kleinanzeigen.de/s-bestandsliste.html?userId=11259020", "Link")</f>
        <v/>
      </c>
      <c r="Q1168" s="7" t="n">
        <v>45549.57811342592</v>
      </c>
      <c r="R1168" s="3" t="inlineStr">
        <is>
          <t>480.20</t>
        </is>
      </c>
      <c r="S1168" t="inlineStr">
        <is>
          <t>Köln</t>
        </is>
      </c>
    </row>
    <row r="1169">
      <c r="A1169" s="2" t="n">
        <v>5.9</v>
      </c>
      <c r="B1169" t="inlineStr">
        <is>
          <t>Point-7 Spy</t>
        </is>
      </c>
      <c r="C1169" s="3" t="inlineStr"/>
      <c r="D1169" s="3" t="inlineStr"/>
      <c r="E1169" t="inlineStr"/>
      <c r="F1169" t="inlineStr"/>
      <c r="G1169" t="inlineStr">
        <is>
          <t>used</t>
        </is>
      </c>
      <c r="H1169" s="4" t="n">
        <v>520</v>
      </c>
      <c r="I1169" t="inlineStr">
        <is>
          <t>VB</t>
        </is>
      </c>
      <c r="J1169" t="inlineStr">
        <is>
          <t>17192 Müritz - Landkreis - Waren (Müritz)</t>
        </is>
      </c>
      <c r="K1169" s="5" t="n">
        <v>45528</v>
      </c>
      <c r="L1169" t="inlineStr"/>
      <c r="M1169" s="6">
        <f>HYPERLINK("https://www.kleinanzeigen.de/s-anzeige/surfsegel-point-7-spy-5-9-blau-/2845091475-230-71", "Link")</f>
        <v/>
      </c>
      <c r="N1169" s="6">
        <f>HYPERLINK("C:\Projects\Kleinanzeigen-Scraper\offer_images\2845091475", "Link")</f>
        <v/>
      </c>
      <c r="O1169" t="inlineStr">
        <is>
          <t>Chris Reinke</t>
        </is>
      </c>
      <c r="P1169" s="6">
        <f>HYPERLINK("https://www.kleinanzeigen.de/s-bestandsliste.html?userId=19787163", "Link")</f>
        <v/>
      </c>
      <c r="Q1169" s="7" t="n">
        <v>45549.57809027778</v>
      </c>
      <c r="R1169" s="3" t="inlineStr">
        <is>
          <t>486.42</t>
        </is>
      </c>
      <c r="S1169" t="inlineStr">
        <is>
          <t>Köln</t>
        </is>
      </c>
    </row>
    <row r="1170">
      <c r="A1170" s="2" t="n">
        <v>6.3</v>
      </c>
      <c r="B1170" t="inlineStr">
        <is>
          <t>Gun Sails Flash</t>
        </is>
      </c>
      <c r="C1170" s="3" t="n">
        <v>461</v>
      </c>
      <c r="D1170" s="3" t="n">
        <v>198</v>
      </c>
      <c r="E1170" t="inlineStr"/>
      <c r="F1170" t="inlineStr"/>
      <c r="G1170" t="inlineStr">
        <is>
          <t>used</t>
        </is>
      </c>
      <c r="H1170" s="4" t="n">
        <v>40</v>
      </c>
      <c r="I1170" t="inlineStr">
        <is>
          <t>VB</t>
        </is>
      </c>
      <c r="J1170" t="inlineStr">
        <is>
          <t>24358 Schleswig-Holstein - Hütten</t>
        </is>
      </c>
      <c r="K1170" s="5" t="n">
        <v>45495</v>
      </c>
      <c r="L1170" t="inlineStr"/>
      <c r="M1170" s="6">
        <f>HYPERLINK("https://www.kleinanzeigen.de/s-anzeige/surfsegel-gun-sails-flash-6-3/2818835705-230-514", "Link")</f>
        <v/>
      </c>
      <c r="N1170" s="6">
        <f>HYPERLINK("C:\Projects\Kleinanzeigen-Scraper\offer_images\2818835705", "Link")</f>
        <v/>
      </c>
      <c r="O1170" t="inlineStr">
        <is>
          <t>Hannes</t>
        </is>
      </c>
      <c r="P1170" s="6">
        <f>HYPERLINK("https://www.kleinanzeigen.de/s-bestandsliste.html?userId=10225135", "Link")</f>
        <v/>
      </c>
      <c r="Q1170" s="7" t="n">
        <v>45549.57809027778</v>
      </c>
      <c r="R1170" s="3" t="inlineStr">
        <is>
          <t>429.03</t>
        </is>
      </c>
      <c r="S1170" t="inlineStr">
        <is>
          <t>Köln</t>
        </is>
      </c>
    </row>
    <row r="1171">
      <c r="A1171" s="2" t="n">
        <v>4</v>
      </c>
      <c r="B1171" t="inlineStr">
        <is>
          <t>Gun Sails</t>
        </is>
      </c>
      <c r="C1171" s="3" t="n">
        <v>382</v>
      </c>
      <c r="D1171" s="3" t="n">
        <v>155</v>
      </c>
      <c r="E1171" t="inlineStr">
        <is>
          <t>Wave</t>
        </is>
      </c>
      <c r="F1171" t="inlineStr"/>
      <c r="G1171" t="inlineStr">
        <is>
          <t>used</t>
        </is>
      </c>
      <c r="H1171" s="4" t="n">
        <v>60</v>
      </c>
      <c r="I1171" t="inlineStr"/>
      <c r="J1171" t="inlineStr">
        <is>
          <t>22303 Hamburg-Nord - Hamburg Winterhude</t>
        </is>
      </c>
      <c r="K1171" s="5" t="n">
        <v>45519</v>
      </c>
      <c r="L1171" t="inlineStr"/>
      <c r="M1171" s="6">
        <f>HYPERLINK("https://www.kleinanzeigen.de/s-anzeige/gun-sails-segel-4-0qm-windsurfsegel/2837444279-230-9482", "Link")</f>
        <v/>
      </c>
      <c r="N1171" s="6">
        <f>HYPERLINK("C:\Projects\Kleinanzeigen-Scraper\offer_images\2837444279", "Link")</f>
        <v/>
      </c>
      <c r="O1171" t="inlineStr">
        <is>
          <t>Daniel</t>
        </is>
      </c>
      <c r="P1171" s="6">
        <f>HYPERLINK("https://www.kleinanzeigen.de/s-bestandsliste.html?userId=33396736", "Link")</f>
        <v/>
      </c>
      <c r="Q1171" s="7" t="n">
        <v>45549.57803240741</v>
      </c>
      <c r="R1171" s="3" t="inlineStr">
        <is>
          <t>361.45</t>
        </is>
      </c>
      <c r="S1171" t="inlineStr">
        <is>
          <t>Köln</t>
        </is>
      </c>
    </row>
    <row r="1172">
      <c r="A1172" s="2" t="n">
        <v>7.5</v>
      </c>
      <c r="B1172" t="inlineStr">
        <is>
          <t>Severne NCX</t>
        </is>
      </c>
      <c r="C1172" s="3" t="n">
        <v>460</v>
      </c>
      <c r="D1172" s="3" t="n">
        <v>200</v>
      </c>
      <c r="E1172" t="inlineStr"/>
      <c r="F1172" t="inlineStr">
        <is>
          <t>2022</t>
        </is>
      </c>
      <c r="G1172" t="inlineStr">
        <is>
          <t>used</t>
        </is>
      </c>
      <c r="H1172" s="4" t="n">
        <v>420</v>
      </c>
      <c r="I1172" t="inlineStr">
        <is>
          <t>VB</t>
        </is>
      </c>
      <c r="J1172" t="inlineStr">
        <is>
          <t>23769 Fehmarn - Westfehmarn</t>
        </is>
      </c>
      <c r="K1172" s="5" t="n">
        <v>45558</v>
      </c>
      <c r="L1172" t="inlineStr"/>
      <c r="M1172" s="6">
        <f>HYPERLINK("https://www.kleinanzeigen.de/s-anzeige/severne-ncx-7-5/2745644241-230-430", "Link")</f>
        <v/>
      </c>
      <c r="N1172" s="6">
        <f>HYPERLINK("C:\Projects\Kleinanzeigen-Scraper\offer_images\2745644241", "Link")</f>
        <v/>
      </c>
      <c r="O1172" t="inlineStr">
        <is>
          <t>No user name</t>
        </is>
      </c>
      <c r="P1172" s="6">
        <f>HYPERLINK("https://www.kleinanzeigen.deNo user link", "Link")</f>
        <v/>
      </c>
      <c r="Q1172" s="7" t="n">
        <v>45549.57798611111</v>
      </c>
      <c r="R1172" s="3" t="inlineStr">
        <is>
          <t>483.01</t>
        </is>
      </c>
      <c r="S1172" t="inlineStr">
        <is>
          <t>Köln</t>
        </is>
      </c>
    </row>
    <row r="1173">
      <c r="A1173" s="2" t="n">
        <v>10</v>
      </c>
      <c r="B1173" t="inlineStr">
        <is>
          <t>Duotone Dice SLS</t>
        </is>
      </c>
      <c r="C1173" s="3" t="inlineStr"/>
      <c r="D1173" s="3" t="inlineStr"/>
      <c r="E1173" t="inlineStr"/>
      <c r="F1173" t="inlineStr">
        <is>
          <t>2023</t>
        </is>
      </c>
      <c r="G1173" t="inlineStr">
        <is>
          <t>new</t>
        </is>
      </c>
      <c r="H1173" s="4" t="n">
        <v>1.1</v>
      </c>
      <c r="I1173" t="inlineStr"/>
      <c r="J1173" t="inlineStr">
        <is>
          <t>89073 Baden-Württemberg - Ulm</t>
        </is>
      </c>
      <c r="K1173" s="5" t="n">
        <v>45541</v>
      </c>
      <c r="L1173" t="inlineStr">
        <is>
          <t>Sold</t>
        </is>
      </c>
      <c r="M1173" s="6">
        <f>HYPERLINK("https://www.kleinanzeigen.de/s-anzeige/duotone-dice-sls-2023-10m-neu/2855407796-230-9342", "Link")</f>
        <v/>
      </c>
      <c r="N1173" s="6">
        <f>HYPERLINK("C:\Projects\Kleinanzeigen-Scraper\offer_images\2855407796", "Link")</f>
        <v/>
      </c>
      <c r="O1173" t="inlineStr">
        <is>
          <t>B.S.</t>
        </is>
      </c>
      <c r="P1173" s="6">
        <f>HYPERLINK("https://www.kleinanzeigen.de/s-bestandsliste.html?userId=61219545", "Link")</f>
        <v/>
      </c>
      <c r="Q1173" s="7" t="n">
        <v>45549.57796296296</v>
      </c>
      <c r="R1173" s="3" t="inlineStr">
        <is>
          <t>81.07</t>
        </is>
      </c>
      <c r="S1173" t="inlineStr">
        <is>
          <t>Böblingen</t>
        </is>
      </c>
    </row>
    <row r="1174">
      <c r="A1174" s="2" t="n">
        <v>8.1</v>
      </c>
      <c r="B1174" t="inlineStr">
        <is>
          <t>Gun Sails Tempo</t>
        </is>
      </c>
      <c r="C1174" s="3" t="n">
        <v>500</v>
      </c>
      <c r="D1174" s="3" t="n">
        <v>231</v>
      </c>
      <c r="E1174" t="inlineStr"/>
      <c r="F1174" t="inlineStr"/>
      <c r="G1174" t="inlineStr">
        <is>
          <t>used</t>
        </is>
      </c>
      <c r="H1174" s="4" t="n">
        <v>249</v>
      </c>
      <c r="I1174" t="inlineStr"/>
      <c r="J1174" t="inlineStr">
        <is>
          <t>09111 Sachsen - Chemnitz</t>
        </is>
      </c>
      <c r="K1174" s="5" t="n">
        <v>45122</v>
      </c>
      <c r="L1174" t="inlineStr"/>
      <c r="M1174" s="6">
        <f>HYPERLINK("https://www.kleinanzeigen.de/s-anzeige/windsurf-segel-8-1m-gun-sails-tempo-gebraucht-guter-zustand/2493800079-230-3886", "Link")</f>
        <v/>
      </c>
      <c r="N1174" s="6">
        <f>HYPERLINK("C:\Projects\Kleinanzeigen-Scraper\offer_images\2493800079", "Link")</f>
        <v/>
      </c>
      <c r="O1174" t="inlineStr">
        <is>
          <t>olaf</t>
        </is>
      </c>
      <c r="P1174" s="6">
        <f>HYPERLINK("https://www.kleinanzeigen.de/s-bestandsliste.html?userId=8857923", "Link")</f>
        <v/>
      </c>
      <c r="Q1174" s="7" t="n">
        <v>45549.57796296296</v>
      </c>
      <c r="R1174" s="3" t="inlineStr">
        <is>
          <t>315.71</t>
        </is>
      </c>
      <c r="S1174" t="inlineStr">
        <is>
          <t>München</t>
        </is>
      </c>
    </row>
    <row r="1175">
      <c r="A1175" s="2" t="n">
        <v>4.4</v>
      </c>
      <c r="B1175" t="inlineStr">
        <is>
          <t>Neilpryde Supernova II</t>
        </is>
      </c>
      <c r="C1175" s="3" t="n">
        <v>430</v>
      </c>
      <c r="D1175" s="3" t="n">
        <v>160</v>
      </c>
      <c r="E1175" t="inlineStr"/>
      <c r="F1175" t="inlineStr">
        <is>
          <t>2010</t>
        </is>
      </c>
      <c r="G1175" t="inlineStr">
        <is>
          <t>used</t>
        </is>
      </c>
      <c r="H1175" s="4" t="n">
        <v>60</v>
      </c>
      <c r="I1175" t="inlineStr"/>
      <c r="J1175" t="inlineStr">
        <is>
          <t>88682 Baden-Württemberg - Salem</t>
        </is>
      </c>
      <c r="K1175" s="5" t="n">
        <v>45502</v>
      </c>
      <c r="L1175" t="inlineStr">
        <is>
          <t>Sold</t>
        </is>
      </c>
      <c r="M1175" s="6">
        <f>HYPERLINK("https://www.kleinanzeigen.de/s-anzeige/neilpryde-supernova-2-size-4-4-windsurfing-segel/2824197444-230-9206", "Link")</f>
        <v/>
      </c>
      <c r="N1175" s="6">
        <f>HYPERLINK("C:\Projects\Kleinanzeigen-Scraper\offer_images\2824197444", "Link")</f>
        <v/>
      </c>
      <c r="O1175" t="inlineStr">
        <is>
          <t>Nicola Jarisch</t>
        </is>
      </c>
      <c r="P1175" s="6">
        <f>HYPERLINK("https://www.kleinanzeigen.de/s-bestandsliste.html?userId=119149597", "Link")</f>
        <v/>
      </c>
      <c r="Q1175" s="7" t="n">
        <v>45549.57790509259</v>
      </c>
      <c r="R1175" s="3" t="inlineStr">
        <is>
          <t>71.86</t>
        </is>
      </c>
      <c r="S1175" t="inlineStr">
        <is>
          <t>Bonndorf</t>
        </is>
      </c>
    </row>
    <row r="1176">
      <c r="A1176" s="2" t="n">
        <v>7.5</v>
      </c>
      <c r="B1176" t="inlineStr">
        <is>
          <t>Ezzy Sails</t>
        </is>
      </c>
      <c r="C1176" s="3" t="n">
        <v>460</v>
      </c>
      <c r="D1176" s="3" t="inlineStr">
        <is>
          <t>205-211</t>
        </is>
      </c>
      <c r="E1176" t="inlineStr"/>
      <c r="F1176" t="inlineStr"/>
      <c r="G1176" t="inlineStr">
        <is>
          <t>new</t>
        </is>
      </c>
      <c r="H1176" s="4" t="n">
        <v>450</v>
      </c>
      <c r="I1176" t="inlineStr">
        <is>
          <t>VB</t>
        </is>
      </c>
      <c r="J1176" t="inlineStr">
        <is>
          <t>15859 Brandenburg - Storkow (Mark)</t>
        </is>
      </c>
      <c r="K1176" s="5" t="n">
        <v>45497</v>
      </c>
      <c r="L1176" t="inlineStr"/>
      <c r="M1176" s="6">
        <f>HYPERLINK("https://www.kleinanzeigen.de/s-anzeige/ezzy-sails-windsurf-segel/2820211684-230-19030", "Link")</f>
        <v/>
      </c>
      <c r="N1176" s="6">
        <f>HYPERLINK("C:\Projects\Kleinanzeigen-Scraper\offer_images\2820211684", "Link")</f>
        <v/>
      </c>
      <c r="O1176" t="inlineStr">
        <is>
          <t>Lex Hoffmann</t>
        </is>
      </c>
      <c r="P1176" s="6">
        <f>HYPERLINK("https://www.kleinanzeigen.de/s-bestandsliste.html?userId=141759924", "Link")</f>
        <v/>
      </c>
      <c r="Q1176" s="7" t="n">
        <v>45549.57790509259</v>
      </c>
      <c r="R1176" s="3" t="inlineStr">
        <is>
          <t>486.26</t>
        </is>
      </c>
      <c r="S1176" t="inlineStr">
        <is>
          <t>München</t>
        </is>
      </c>
    </row>
    <row r="1177">
      <c r="A1177" s="2" t="n">
        <v>7.1</v>
      </c>
      <c r="B1177" t="inlineStr">
        <is>
          <t>Point7 AC-ONE</t>
        </is>
      </c>
      <c r="C1177" s="3" t="inlineStr"/>
      <c r="D1177" s="3" t="inlineStr"/>
      <c r="E1177" t="inlineStr"/>
      <c r="F1177" t="inlineStr"/>
      <c r="G1177" t="inlineStr">
        <is>
          <t>used</t>
        </is>
      </c>
      <c r="H1177" s="4" t="n">
        <v>233</v>
      </c>
      <c r="I1177" t="inlineStr">
        <is>
          <t>VB</t>
        </is>
      </c>
      <c r="J1177" t="inlineStr">
        <is>
          <t>08525 Sachsen - Plauen</t>
        </is>
      </c>
      <c r="K1177" s="5" t="n">
        <v>45507</v>
      </c>
      <c r="L1177" t="inlineStr"/>
      <c r="M1177" s="6">
        <f>HYPERLINK("https://www.kleinanzeigen.de/s-anzeige/segel-windsurfen-point7-ac-one-7-1qm/2827908461-230-4223", "Link")</f>
        <v/>
      </c>
      <c r="N1177" s="6">
        <f>HYPERLINK("C:\Projects\Kleinanzeigen-Scraper\offer_images\2827908461", "Link")</f>
        <v/>
      </c>
      <c r="O1177" t="inlineStr">
        <is>
          <t>Herr Stefan</t>
        </is>
      </c>
      <c r="P1177" s="6">
        <f>HYPERLINK("https://www.kleinanzeigen.de/s-bestandsliste.html?userId=42906426", "Link")</f>
        <v/>
      </c>
      <c r="Q1177" s="7" t="n">
        <v>45549.57790509259</v>
      </c>
      <c r="R1177" s="3" t="inlineStr">
        <is>
          <t>266.78</t>
        </is>
      </c>
      <c r="S1177" t="inlineStr">
        <is>
          <t>München</t>
        </is>
      </c>
    </row>
    <row r="1178">
      <c r="A1178" s="2" t="n">
        <v>7.8</v>
      </c>
      <c r="B1178" t="inlineStr">
        <is>
          <t>North Sails s type</t>
        </is>
      </c>
      <c r="C1178" s="3" t="n">
        <v>483</v>
      </c>
      <c r="D1178" s="3" t="n">
        <v>210</v>
      </c>
      <c r="E1178" t="inlineStr">
        <is>
          <t>Freeride, Freerace</t>
        </is>
      </c>
      <c r="F1178" t="inlineStr"/>
      <c r="G1178" t="inlineStr">
        <is>
          <t>used</t>
        </is>
      </c>
      <c r="H1178" s="4" t="n">
        <v>190</v>
      </c>
      <c r="I1178" t="inlineStr"/>
      <c r="J1178" t="inlineStr">
        <is>
          <t>10243 Friedrichshain-Kreuzberg - Friedrichshain</t>
        </is>
      </c>
      <c r="K1178" s="5" t="n">
        <v>45536</v>
      </c>
      <c r="L1178" t="inlineStr">
        <is>
          <t>Sold</t>
        </is>
      </c>
      <c r="M1178" s="6">
        <f>HYPERLINK("https://www.kleinanzeigen.de/s-anzeige/north-sails-s-type-7-8-qm-freeride-freerace-segel-duotone/2851665024-230-3354", "Link")</f>
        <v/>
      </c>
      <c r="N1178" s="6">
        <f>HYPERLINK("C:\Projects\Kleinanzeigen-Scraper\offer_images\2851665024", "Link")</f>
        <v/>
      </c>
      <c r="O1178" t="inlineStr">
        <is>
          <t>Hr. Setzer</t>
        </is>
      </c>
      <c r="P1178" s="6">
        <f>HYPERLINK("https://www.kleinanzeigen.de/s-bestandsliste.html?userId=10522847", "Link")</f>
        <v/>
      </c>
      <c r="Q1178" s="7" t="n">
        <v>45549.57788194445</v>
      </c>
      <c r="R1178" s="3" t="inlineStr">
        <is>
          <t>479.58</t>
        </is>
      </c>
      <c r="S1178" t="inlineStr">
        <is>
          <t>Köln</t>
        </is>
      </c>
    </row>
    <row r="1179">
      <c r="A1179" s="2" t="n">
        <v>4.4</v>
      </c>
      <c r="B1179" t="inlineStr">
        <is>
          <t>Sailloft Quad</t>
        </is>
      </c>
      <c r="C1179" s="3" t="inlineStr"/>
      <c r="D1179" s="3" t="inlineStr"/>
      <c r="E1179" t="inlineStr"/>
      <c r="F1179" t="inlineStr">
        <is>
          <t>2016/2017</t>
        </is>
      </c>
      <c r="G1179" t="inlineStr">
        <is>
          <t>repaired</t>
        </is>
      </c>
      <c r="H1179" s="4" t="n">
        <v>50</v>
      </c>
      <c r="I1179" t="inlineStr">
        <is>
          <t>VB</t>
        </is>
      </c>
      <c r="J1179" t="inlineStr">
        <is>
          <t>92421 Bayern - Schwandorf</t>
        </is>
      </c>
      <c r="K1179" s="5" t="n">
        <v>45549</v>
      </c>
      <c r="L1179" t="inlineStr"/>
      <c r="M1179" s="6">
        <f>HYPERLINK("https://www.kleinanzeigen.de/s-anzeige/sailloft-quad-4-4-windsurfsegel/2862616070-230-5751", "Link")</f>
        <v/>
      </c>
      <c r="N1179" s="6">
        <f>HYPERLINK("C:\Projects\Kleinanzeigen-Scraper\offer_images\2862616070", "Link")</f>
        <v/>
      </c>
      <c r="O1179" t="inlineStr">
        <is>
          <t>M. W.</t>
        </is>
      </c>
      <c r="P1179" s="6">
        <f>HYPERLINK("https://www.kleinanzeigen.de/s-bestandsliste.html?userId=21436457", "Link")</f>
        <v/>
      </c>
      <c r="Q1179" s="7" t="n">
        <v>45549.57788194445</v>
      </c>
      <c r="R1179" s="3" t="inlineStr">
        <is>
          <t>137.19</t>
        </is>
      </c>
      <c r="S1179" t="inlineStr">
        <is>
          <t>München</t>
        </is>
      </c>
    </row>
    <row r="1180">
      <c r="A1180" s="2" t="n">
        <v>5</v>
      </c>
      <c r="B1180" t="inlineStr">
        <is>
          <t>Duotone Unit</t>
        </is>
      </c>
      <c r="C1180" s="3" t="inlineStr"/>
      <c r="D1180" s="3" t="inlineStr"/>
      <c r="E1180" t="inlineStr"/>
      <c r="F1180" t="inlineStr">
        <is>
          <t>2024</t>
        </is>
      </c>
      <c r="G1180" t="inlineStr">
        <is>
          <t>new</t>
        </is>
      </c>
      <c r="H1180" s="4" t="n">
        <v>590</v>
      </c>
      <c r="I1180" t="inlineStr">
        <is>
          <t>VB</t>
        </is>
      </c>
      <c r="J1180" t="inlineStr">
        <is>
          <t>97070 Bayern - Würzburg</t>
        </is>
      </c>
      <c r="K1180" s="5" t="n">
        <v>45540</v>
      </c>
      <c r="L1180" t="inlineStr">
        <is>
          <t>Sold</t>
        </is>
      </c>
      <c r="M1180" s="6">
        <f>HYPERLINK("https://www.kleinanzeigen.de/s-anzeige/duotone-unit-5-qm-2024/2854853102-230-7700", "Link")</f>
        <v/>
      </c>
      <c r="N1180" s="6">
        <f>HYPERLINK("C:\Projects\Kleinanzeigen-Scraper\offer_images\2854853102", "Link")</f>
        <v/>
      </c>
      <c r="O1180" t="inlineStr">
        <is>
          <t>Niko</t>
        </is>
      </c>
      <c r="P1180" s="6">
        <f>HYPERLINK("https://www.kleinanzeigen.de/s-bestandsliste.html?userId=17770632", "Link")</f>
        <v/>
      </c>
      <c r="Q1180" s="7" t="n">
        <v>45549.57788194445</v>
      </c>
      <c r="R1180" s="3" t="inlineStr">
        <is>
          <t>141.80</t>
        </is>
      </c>
      <c r="S1180" t="inlineStr">
        <is>
          <t>Karlsruhe</t>
        </is>
      </c>
    </row>
    <row r="1181">
      <c r="A1181" s="2" t="n">
        <v>3.7</v>
      </c>
      <c r="B1181" t="inlineStr">
        <is>
          <t>Ezzy Zeta</t>
        </is>
      </c>
      <c r="C1181" s="3" t="n">
        <v>340</v>
      </c>
      <c r="D1181" s="3" t="inlineStr">
        <is>
          <t>139-162</t>
        </is>
      </c>
      <c r="E1181" t="inlineStr"/>
      <c r="F1181" t="inlineStr">
        <is>
          <t>2023</t>
        </is>
      </c>
      <c r="G1181" t="inlineStr">
        <is>
          <t>new</t>
        </is>
      </c>
      <c r="H1181" s="4" t="n">
        <v>400</v>
      </c>
      <c r="I1181" t="inlineStr">
        <is>
          <t>VB</t>
        </is>
      </c>
      <c r="J1181" t="inlineStr">
        <is>
          <t>22339 Hamburg-Nord - Hamburg Fuhlsbüttel</t>
        </is>
      </c>
      <c r="K1181" s="5" t="n">
        <v>45401</v>
      </c>
      <c r="L1181" t="inlineStr"/>
      <c r="M1181" s="6">
        <f>HYPERLINK("https://www.kleinanzeigen.de/s-anzeige/ezzy-zeta-3-7-neu/2739510079-230-9478", "Link")</f>
        <v/>
      </c>
      <c r="N1181" s="6">
        <f>HYPERLINK("C:\Projects\Kleinanzeigen-Scraper\offer_images\2739510079", "Link")</f>
        <v/>
      </c>
      <c r="O1181" t="inlineStr">
        <is>
          <t>Juan Martinez</t>
        </is>
      </c>
      <c r="P1181" s="6">
        <f>HYPERLINK("https://www.kleinanzeigen.de/s-bestandsliste.html?userId=19986880", "Link")</f>
        <v/>
      </c>
      <c r="Q1181" s="7" t="n">
        <v>45549.57784722222</v>
      </c>
      <c r="R1181" s="3" t="inlineStr">
        <is>
          <t>366.73</t>
        </is>
      </c>
      <c r="S1181" t="inlineStr">
        <is>
          <t>Köln</t>
        </is>
      </c>
    </row>
    <row r="1182">
      <c r="A1182" s="2" t="n">
        <v>7.8</v>
      </c>
      <c r="B1182" t="inlineStr">
        <is>
          <t>Severne Mach 2</t>
        </is>
      </c>
      <c r="C1182" s="3" t="n">
        <v>480</v>
      </c>
      <c r="D1182" s="3" t="n">
        <v>218</v>
      </c>
      <c r="E1182" t="inlineStr"/>
      <c r="F1182" t="inlineStr"/>
      <c r="G1182" t="inlineStr">
        <is>
          <t>new</t>
        </is>
      </c>
      <c r="H1182" s="4" t="n">
        <v>300</v>
      </c>
      <c r="I1182" t="inlineStr"/>
      <c r="J1182" t="inlineStr">
        <is>
          <t>45661 Nordrhein-Westfalen - Recklinghausen</t>
        </is>
      </c>
      <c r="K1182" s="5" t="n">
        <v>45108</v>
      </c>
      <c r="L1182" t="inlineStr"/>
      <c r="M1182" s="6">
        <f>HYPERLINK("https://www.kleinanzeigen.de/s-anzeige/severne-mach-2-in-7-8m2/2481898256-230-1986", "Link")</f>
        <v/>
      </c>
      <c r="N1182" s="6">
        <f>HYPERLINK("C:\Projects\Kleinanzeigen-Scraper\offer_images\2481898256", "Link")</f>
        <v/>
      </c>
      <c r="O1182" t="inlineStr">
        <is>
          <t>Th</t>
        </is>
      </c>
      <c r="P1182" s="6">
        <f>HYPERLINK("https://www.kleinanzeigen.de/s-bestandsliste.html?userId=2332887", "Link")</f>
        <v/>
      </c>
      <c r="Q1182" s="7" t="n">
        <v>45549.57782407408</v>
      </c>
      <c r="R1182" s="3" t="inlineStr">
        <is>
          <t>72.57</t>
        </is>
      </c>
      <c r="S1182" t="inlineStr">
        <is>
          <t>Köln</t>
        </is>
      </c>
    </row>
    <row r="1183">
      <c r="A1183" s="2" t="n">
        <v>4.5</v>
      </c>
      <c r="B1183" t="inlineStr">
        <is>
          <t>Simmer Wavecomp</t>
        </is>
      </c>
      <c r="C1183" s="3" t="n">
        <v>430</v>
      </c>
      <c r="D1183" s="3" t="n">
        <v>147</v>
      </c>
      <c r="E1183" t="inlineStr">
        <is>
          <t>Wave</t>
        </is>
      </c>
      <c r="F1183" t="inlineStr"/>
      <c r="G1183" t="inlineStr"/>
      <c r="H1183" s="4" t="n">
        <v>25</v>
      </c>
      <c r="I1183" t="inlineStr"/>
      <c r="J1183" t="inlineStr">
        <is>
          <t>23769 Fehmarn - Westfehmarn</t>
        </is>
      </c>
      <c r="K1183" s="5" t="n">
        <v>45503</v>
      </c>
      <c r="L1183" t="inlineStr">
        <is>
          <t>Sold</t>
        </is>
      </c>
      <c r="M1183" s="6">
        <f>HYPERLINK("https://www.kleinanzeigen.de/s-anzeige/windsurfsegel-simmer-wavecomp-4-5-qm/2825269465-230-430", "Link")</f>
        <v/>
      </c>
      <c r="N1183" s="6">
        <f>HYPERLINK("C:\Projects\Kleinanzeigen-Scraper\offer_images\2825269465", "Link")</f>
        <v/>
      </c>
      <c r="O1183" t="inlineStr">
        <is>
          <t>Monika M.</t>
        </is>
      </c>
      <c r="P1183" s="6">
        <f>HYPERLINK("https://www.kleinanzeigen.de/s-bestandsliste.html?userId=2480504", "Link")</f>
        <v/>
      </c>
      <c r="Q1183" s="7" t="n">
        <v>45549.57780092592</v>
      </c>
      <c r="R1183" s="3" t="inlineStr">
        <is>
          <t>483.01</t>
        </is>
      </c>
      <c r="S1183" t="inlineStr">
        <is>
          <t>Köln</t>
        </is>
      </c>
    </row>
    <row r="1184">
      <c r="A1184" s="2" t="n">
        <v>10</v>
      </c>
      <c r="B1184" t="inlineStr">
        <is>
          <t>Duotone Rebel</t>
        </is>
      </c>
      <c r="C1184" s="3" t="inlineStr"/>
      <c r="D1184" s="3" t="inlineStr"/>
      <c r="E1184" t="inlineStr"/>
      <c r="F1184" t="inlineStr">
        <is>
          <t>2019</t>
        </is>
      </c>
      <c r="G1184" t="inlineStr">
        <is>
          <t>repaired</t>
        </is>
      </c>
      <c r="H1184" s="4" t="n">
        <v>650</v>
      </c>
      <c r="I1184" t="inlineStr">
        <is>
          <t>VB</t>
        </is>
      </c>
      <c r="J1184" t="inlineStr">
        <is>
          <t>70806 Baden-Württemberg - Kornwestheim</t>
        </is>
      </c>
      <c r="K1184" s="5" t="n">
        <v>45543</v>
      </c>
      <c r="L1184" t="inlineStr">
        <is>
          <t>Sold</t>
        </is>
      </c>
      <c r="M1184" s="6">
        <f>HYPERLINK("https://www.kleinanzeigen.de/s-anzeige/duotone-rebel-10qm-2019/2857732850-230-8450", "Link")</f>
        <v/>
      </c>
      <c r="N1184" s="6">
        <f>HYPERLINK("C:\Projects\Kleinanzeigen-Scraper\offer_images\2857732850", "Link")</f>
        <v/>
      </c>
      <c r="O1184" t="inlineStr">
        <is>
          <t>Aaron</t>
        </is>
      </c>
      <c r="P1184" s="6">
        <f>HYPERLINK("https://www.kleinanzeigen.de/s-bestandsliste.html?userId=22607204", "Link")</f>
        <v/>
      </c>
      <c r="Q1184" s="7" t="n">
        <v>45549.57777777778</v>
      </c>
      <c r="R1184" s="3" t="inlineStr">
        <is>
          <t>25.46</t>
        </is>
      </c>
      <c r="S1184" t="inlineStr">
        <is>
          <t>Böblingen</t>
        </is>
      </c>
    </row>
    <row r="1185">
      <c r="A1185" s="2" t="n">
        <v>6</v>
      </c>
      <c r="B1185" t="inlineStr">
        <is>
          <t>NeilPryde World Cup Salomon</t>
        </is>
      </c>
      <c r="C1185" s="3" t="n">
        <v>478</v>
      </c>
      <c r="D1185" s="3" t="inlineStr">
        <is>
          <t>190-194</t>
        </is>
      </c>
      <c r="E1185" t="inlineStr">
        <is>
          <t>Slalom</t>
        </is>
      </c>
      <c r="F1185" t="inlineStr"/>
      <c r="G1185" t="inlineStr">
        <is>
          <t>used</t>
        </is>
      </c>
      <c r="H1185" s="4" t="n">
        <v>30</v>
      </c>
      <c r="I1185" t="inlineStr"/>
      <c r="J1185" t="inlineStr">
        <is>
          <t>25499 Kreis Pinneberg - Tangstedt</t>
        </is>
      </c>
      <c r="K1185" s="5" t="n">
        <v>45523</v>
      </c>
      <c r="L1185" t="inlineStr"/>
      <c r="M1185" s="6">
        <f>HYPERLINK("https://www.kleinanzeigen.de/s-anzeige/neilpryde-world-cup-salomon-6-0-segel-top-zustand-ohne-zubehoer/2841238029-230-792", "Link")</f>
        <v/>
      </c>
      <c r="N1185" s="6">
        <f>HYPERLINK("C:\Projects\Kleinanzeigen-Scraper\offer_images\2841238029", "Link")</f>
        <v/>
      </c>
      <c r="O1185" t="inlineStr">
        <is>
          <t>K.S.</t>
        </is>
      </c>
      <c r="P1185" s="6">
        <f>HYPERLINK("https://www.kleinanzeigen.de/s-bestandsliste.html?userId=20671765", "Link")</f>
        <v/>
      </c>
      <c r="Q1185" s="7" t="n">
        <v>45549.57777777778</v>
      </c>
      <c r="R1185" s="3" t="inlineStr">
        <is>
          <t>362.84</t>
        </is>
      </c>
      <c r="S1185" t="inlineStr">
        <is>
          <t>Köln</t>
        </is>
      </c>
    </row>
    <row r="1186">
      <c r="A1186" s="2" t="n">
        <v>4.8</v>
      </c>
      <c r="B1186" t="inlineStr">
        <is>
          <t>Severne S1</t>
        </is>
      </c>
      <c r="C1186" s="3" t="inlineStr"/>
      <c r="D1186" s="3" t="inlineStr"/>
      <c r="E1186" t="inlineStr"/>
      <c r="F1186" t="inlineStr"/>
      <c r="G1186" t="inlineStr">
        <is>
          <t>used</t>
        </is>
      </c>
      <c r="H1186" s="4" t="n">
        <v>300</v>
      </c>
      <c r="I1186" t="inlineStr">
        <is>
          <t>VB</t>
        </is>
      </c>
      <c r="J1186" t="inlineStr">
        <is>
          <t>21643 Niedersachsen - Beckdorf</t>
        </is>
      </c>
      <c r="K1186" s="5" t="n">
        <v>45539</v>
      </c>
      <c r="L1186" t="inlineStr">
        <is>
          <t>Sold</t>
        </is>
      </c>
      <c r="M1186" s="6">
        <f>HYPERLINK("https://www.kleinanzeigen.de/s-anzeige/severne-s1-4-8/2854416647-230-3325", "Link")</f>
        <v/>
      </c>
      <c r="N1186" s="6">
        <f>HYPERLINK("C:\Projects\Kleinanzeigen-Scraper\offer_images\2854416647", "Link")</f>
        <v/>
      </c>
      <c r="O1186" t="inlineStr">
        <is>
          <t>Luca Müller</t>
        </is>
      </c>
      <c r="P1186" s="6">
        <f>HYPERLINK("https://www.kleinanzeigen.de/s-bestandsliste.html?userId=94529350", "Link")</f>
        <v/>
      </c>
      <c r="Q1186" s="7" t="n">
        <v>45549.57777777778</v>
      </c>
      <c r="R1186" s="3" t="inlineStr">
        <is>
          <t>329.53</t>
        </is>
      </c>
      <c r="S1186" t="inlineStr">
        <is>
          <t>Köln</t>
        </is>
      </c>
    </row>
    <row r="1187">
      <c r="A1187" s="2" t="n">
        <v>5.5</v>
      </c>
      <c r="B1187" t="inlineStr">
        <is>
          <t>NeilPryde Wave</t>
        </is>
      </c>
      <c r="C1187" s="3" t="inlineStr"/>
      <c r="D1187" s="3" t="inlineStr"/>
      <c r="E1187" t="inlineStr">
        <is>
          <t>Wave</t>
        </is>
      </c>
      <c r="F1187" t="inlineStr"/>
      <c r="G1187" t="inlineStr">
        <is>
          <t>used</t>
        </is>
      </c>
      <c r="H1187" s="4" t="n">
        <v>15</v>
      </c>
      <c r="I1187" t="inlineStr"/>
      <c r="J1187" t="inlineStr">
        <is>
          <t>18057 Rostock - Kröpeliner-Tor-Vorstadt</t>
        </is>
      </c>
      <c r="K1187" s="5" t="n">
        <v>45495</v>
      </c>
      <c r="L1187" t="inlineStr">
        <is>
          <t>Sold</t>
        </is>
      </c>
      <c r="M1187" s="6">
        <f>HYPERLINK("https://www.kleinanzeigen.de/s-anzeige/neilpryde-5-5-wave-windsurfsegel-windsurfing/2818837005-230-156", "Link")</f>
        <v/>
      </c>
      <c r="N1187" s="6">
        <f>HYPERLINK("C:\Projects\Kleinanzeigen-Scraper\offer_images\2818837005", "Link")</f>
        <v/>
      </c>
      <c r="O1187" t="inlineStr">
        <is>
          <t>VD</t>
        </is>
      </c>
      <c r="P1187" s="6">
        <f>HYPERLINK("https://www.kleinanzeigen.de/s-bestandsliste.html?userId=14405869", "Link")</f>
        <v/>
      </c>
      <c r="Q1187" s="7" t="n">
        <v>45549.57773148148</v>
      </c>
      <c r="R1187" s="3" t="inlineStr">
        <is>
          <t>494.07</t>
        </is>
      </c>
      <c r="S1187" t="inlineStr">
        <is>
          <t>Köln</t>
        </is>
      </c>
    </row>
    <row r="1188">
      <c r="A1188" s="2" t="n">
        <v>7</v>
      </c>
      <c r="B1188" t="inlineStr">
        <is>
          <t>Duotone Neo Dlab</t>
        </is>
      </c>
      <c r="C1188" s="3" t="inlineStr"/>
      <c r="D1188" s="3" t="inlineStr"/>
      <c r="E1188" t="inlineStr"/>
      <c r="F1188" t="inlineStr">
        <is>
          <t>2024</t>
        </is>
      </c>
      <c r="G1188" t="inlineStr">
        <is>
          <t>used</t>
        </is>
      </c>
      <c r="H1188" s="4" t="n">
        <v>929</v>
      </c>
      <c r="I1188" t="inlineStr"/>
      <c r="J1188" t="inlineStr">
        <is>
          <t>83022 Bayern - Rosenheim</t>
        </is>
      </c>
      <c r="K1188" s="5" t="n">
        <v>45540</v>
      </c>
      <c r="L1188" t="inlineStr">
        <is>
          <t>Sold</t>
        </is>
      </c>
      <c r="M1188" s="6">
        <f>HYPERLINK("https://www.kleinanzeigen.de/s-anzeige/duotone-neo-dlab-7m-2024-wie-neu-/2855070801-230-7581", "Link")</f>
        <v/>
      </c>
      <c r="N1188" s="6">
        <f>HYPERLINK("C:\Projects\Kleinanzeigen-Scraper\offer_images\2855070801", "Link")</f>
        <v/>
      </c>
      <c r="O1188" t="inlineStr">
        <is>
          <t>Jo Gisbach</t>
        </is>
      </c>
      <c r="P1188" s="6">
        <f>HYPERLINK("https://www.kleinanzeigen.de/s-bestandsliste.html?userId=133050072", "Link")</f>
        <v/>
      </c>
      <c r="Q1188" s="7" t="n">
        <v>45549.57773148148</v>
      </c>
      <c r="R1188" s="3" t="inlineStr">
        <is>
          <t>52.12</t>
        </is>
      </c>
      <c r="S1188" t="inlineStr">
        <is>
          <t>München</t>
        </is>
      </c>
    </row>
    <row r="1189">
      <c r="A1189" s="2" t="n">
        <v>3.4</v>
      </c>
      <c r="B1189" t="inlineStr">
        <is>
          <t>Goya Eclipse</t>
        </is>
      </c>
      <c r="C1189" s="3" t="n">
        <v>352</v>
      </c>
      <c r="D1189" s="3" t="n">
        <v>142</v>
      </c>
      <c r="E1189" t="inlineStr"/>
      <c r="F1189" t="inlineStr"/>
      <c r="G1189" t="inlineStr">
        <is>
          <t>used</t>
        </is>
      </c>
      <c r="H1189" s="4" t="n">
        <v>140</v>
      </c>
      <c r="I1189" t="inlineStr">
        <is>
          <t>VB</t>
        </is>
      </c>
      <c r="J1189" t="inlineStr">
        <is>
          <t>85301 Bayern - Schweitenkirchen</t>
        </is>
      </c>
      <c r="K1189" s="5" t="n">
        <v>45478</v>
      </c>
      <c r="L1189" t="inlineStr">
        <is>
          <t>Sold</t>
        </is>
      </c>
      <c r="M1189" s="6">
        <f>HYPERLINK("https://www.kleinanzeigen.de/s-anzeige/goya-eclipse-3-4-aehnl-banzai-windsurfsegel-foil-kinder-no-fringe/2804609518-230-5847", "Link")</f>
        <v/>
      </c>
      <c r="N1189" s="6">
        <f>HYPERLINK("C:\Projects\Kleinanzeigen-Scraper\offer_images\2804609518", "Link")</f>
        <v/>
      </c>
      <c r="O1189" t="inlineStr">
        <is>
          <t>Michael Laußer</t>
        </is>
      </c>
      <c r="P1189" s="6">
        <f>HYPERLINK("https://www.kleinanzeigen.de/s-bestandsliste.html?userId=6669985", "Link")</f>
        <v/>
      </c>
      <c r="Q1189" s="7" t="n">
        <v>45549.57773148148</v>
      </c>
      <c r="R1189" s="3" t="inlineStr">
        <is>
          <t>43.29</t>
        </is>
      </c>
      <c r="S1189" t="inlineStr">
        <is>
          <t>München</t>
        </is>
      </c>
    </row>
    <row r="1190">
      <c r="A1190" s="2" t="n">
        <v>6.3</v>
      </c>
      <c r="B1190" t="inlineStr">
        <is>
          <t>Gun Sails GS-R</t>
        </is>
      </c>
      <c r="C1190" s="3" t="inlineStr"/>
      <c r="D1190" s="3" t="inlineStr"/>
      <c r="E1190" t="inlineStr"/>
      <c r="F1190" t="inlineStr"/>
      <c r="G1190" t="inlineStr">
        <is>
          <t>repaired</t>
        </is>
      </c>
      <c r="H1190" s="4" t="n">
        <v>99</v>
      </c>
      <c r="I1190" t="inlineStr"/>
      <c r="J1190" t="inlineStr">
        <is>
          <t>51069 Köln - Köln Dellbrück</t>
        </is>
      </c>
      <c r="K1190" s="5" t="n">
        <v>45534</v>
      </c>
      <c r="L1190" t="inlineStr"/>
      <c r="M1190" s="6">
        <f>HYPERLINK("https://www.kleinanzeigen.de/s-anzeige/gun-sails-gs-r-6-3/2850258764-230-18689", "Link")</f>
        <v/>
      </c>
      <c r="N1190" s="6">
        <f>HYPERLINK("C:\Projects\Kleinanzeigen-Scraper\offer_images\2850258764", "Link")</f>
        <v/>
      </c>
      <c r="O1190" t="inlineStr">
        <is>
          <t>Markus Gickler</t>
        </is>
      </c>
      <c r="P1190" s="6">
        <f>HYPERLINK("https://www.kleinanzeigen.de/s-bestandsliste.html?userId=15875640", "Link")</f>
        <v/>
      </c>
      <c r="Q1190" s="7" t="n">
        <v>45549.57773148148</v>
      </c>
      <c r="R1190" s="3" t="inlineStr">
        <is>
          <t>9.37</t>
        </is>
      </c>
      <c r="S1190" t="inlineStr">
        <is>
          <t>Köln</t>
        </is>
      </c>
    </row>
    <row r="1191">
      <c r="A1191" s="2" t="n">
        <v>4.5</v>
      </c>
      <c r="B1191" t="inlineStr">
        <is>
          <t>Naish Force IV</t>
        </is>
      </c>
      <c r="C1191" s="3" t="inlineStr"/>
      <c r="D1191" s="3" t="inlineStr"/>
      <c r="E1191" t="inlineStr"/>
      <c r="F1191" t="inlineStr"/>
      <c r="G1191" t="inlineStr">
        <is>
          <t>repaired</t>
        </is>
      </c>
      <c r="H1191" s="4" t="n">
        <v>125</v>
      </c>
      <c r="I1191" t="inlineStr">
        <is>
          <t>VB</t>
        </is>
      </c>
      <c r="J1191" t="inlineStr">
        <is>
          <t>40789 Nordrhein-Westfalen - Monheim am Rhein</t>
        </is>
      </c>
      <c r="K1191" s="5" t="n">
        <v>45543</v>
      </c>
      <c r="L1191" t="inlineStr">
        <is>
          <t>Sold</t>
        </is>
      </c>
      <c r="M1191" s="6">
        <f>HYPERLINK("https://www.kleinanzeigen.de/s-anzeige/naish-windsurfsegel-force-iv-4-segel-groesse-4-5-qm/2857688445-230-1116", "Link")</f>
        <v/>
      </c>
      <c r="N1191" s="6">
        <f>HYPERLINK("C:\Projects\Kleinanzeigen-Scraper\offer_images\2857688445", "Link")</f>
        <v/>
      </c>
      <c r="O1191" t="inlineStr">
        <is>
          <t>Anne Langenfeld</t>
        </is>
      </c>
      <c r="P1191" s="6">
        <f>HYPERLINK("https://www.kleinanzeigen.de/s-bestandsliste.html?userId=34911340", "Link")</f>
        <v/>
      </c>
      <c r="Q1191" s="7" t="n">
        <v>45549.57770833333</v>
      </c>
      <c r="R1191" s="3" t="inlineStr">
        <is>
          <t>18.00</t>
        </is>
      </c>
      <c r="S1191" t="inlineStr">
        <is>
          <t>Köln</t>
        </is>
      </c>
    </row>
    <row r="1192">
      <c r="A1192" s="2" t="n">
        <v>4.5</v>
      </c>
      <c r="B1192" t="inlineStr">
        <is>
          <t>Ezzy Taka</t>
        </is>
      </c>
      <c r="C1192" s="3" t="n">
        <v>370</v>
      </c>
      <c r="D1192" s="3" t="inlineStr">
        <is>
          <t>184-259</t>
        </is>
      </c>
      <c r="E1192" t="inlineStr"/>
      <c r="F1192" t="inlineStr"/>
      <c r="G1192" t="inlineStr">
        <is>
          <t>new</t>
        </is>
      </c>
      <c r="H1192" s="4" t="n">
        <v>290</v>
      </c>
      <c r="I1192" t="inlineStr"/>
      <c r="J1192" t="inlineStr">
        <is>
          <t>38102 Niedersachsen - Braunschweig</t>
        </is>
      </c>
      <c r="K1192" s="5" t="n">
        <v>45498</v>
      </c>
      <c r="L1192" t="inlineStr">
        <is>
          <t>Sold</t>
        </is>
      </c>
      <c r="M1192" s="6">
        <f>HYPERLINK("https://www.kleinanzeigen.de/s-anzeige/ezzy-taka-windsurfen-4-5-qm/2820577345-230-2460", "Link")</f>
        <v/>
      </c>
      <c r="N1192" s="6">
        <f>HYPERLINK("C:\Projects\Kleinanzeigen-Scraper\offer_images\2820577345", "Link")</f>
        <v/>
      </c>
      <c r="O1192" t="inlineStr">
        <is>
          <t>Matthias Lüdecke</t>
        </is>
      </c>
      <c r="P1192" s="6">
        <f>HYPERLINK("https://www.kleinanzeigen.de/s-bestandsliste.html?userId=9731167", "Link")</f>
        <v/>
      </c>
      <c r="Q1192" s="7" t="n">
        <v>45549.57770833333</v>
      </c>
      <c r="R1192" s="3" t="inlineStr">
        <is>
          <t>287.38</t>
        </is>
      </c>
      <c r="S1192" t="inlineStr">
        <is>
          <t>Köln</t>
        </is>
      </c>
    </row>
    <row r="1193">
      <c r="A1193" s="2" t="n">
        <v>5</v>
      </c>
      <c r="B1193" t="inlineStr">
        <is>
          <t>Simmer Blacktip</t>
        </is>
      </c>
      <c r="C1193" s="3" t="n">
        <v>400</v>
      </c>
      <c r="D1193" s="3" t="n">
        <v>167</v>
      </c>
      <c r="E1193" t="inlineStr"/>
      <c r="F1193" t="inlineStr"/>
      <c r="G1193" t="inlineStr">
        <is>
          <t>used</t>
        </is>
      </c>
      <c r="H1193" s="4" t="n">
        <v>150</v>
      </c>
      <c r="I1193" t="inlineStr"/>
      <c r="J1193" t="inlineStr">
        <is>
          <t>48147 Münster (Westfalen) - Wienburg</t>
        </is>
      </c>
      <c r="K1193" s="5" t="n">
        <v>45521</v>
      </c>
      <c r="L1193" t="inlineStr"/>
      <c r="M1193" s="6">
        <f>HYPERLINK("https://www.kleinanzeigen.de/s-anzeige/simmer-blacktip-5-0-sursegel/2838888737-230-24217", "Link")</f>
        <v/>
      </c>
      <c r="N1193" s="6">
        <f>HYPERLINK("C:\Projects\Kleinanzeigen-Scraper\offer_images\2838888737", "Link")</f>
        <v/>
      </c>
      <c r="O1193" t="inlineStr">
        <is>
          <t>LNP</t>
        </is>
      </c>
      <c r="P1193" s="6">
        <f>HYPERLINK("https://www.kleinanzeigen.de/s-bestandsliste.html?userId=5240526", "Link")</f>
        <v/>
      </c>
      <c r="Q1193" s="7" t="n">
        <v>45549.57769675926</v>
      </c>
      <c r="R1193" s="3" t="inlineStr">
        <is>
          <t>124.93</t>
        </is>
      </c>
      <c r="S1193" t="inlineStr">
        <is>
          <t>Köln</t>
        </is>
      </c>
    </row>
    <row r="1194">
      <c r="A1194" s="2" t="n">
        <v>4.7</v>
      </c>
      <c r="B1194" t="inlineStr">
        <is>
          <t>Severne Blade</t>
        </is>
      </c>
      <c r="C1194" s="3" t="n">
        <v>400</v>
      </c>
      <c r="D1194" s="3" t="n">
        <v>163</v>
      </c>
      <c r="E1194" t="inlineStr">
        <is>
          <t>Wave</t>
        </is>
      </c>
      <c r="F1194" t="inlineStr"/>
      <c r="G1194" t="inlineStr">
        <is>
          <t>new</t>
        </is>
      </c>
      <c r="H1194" s="4" t="n">
        <v>255</v>
      </c>
      <c r="I1194" t="inlineStr"/>
      <c r="J1194" t="inlineStr">
        <is>
          <t>24576 Schleswig-Holstein - Weddelbrook</t>
        </is>
      </c>
      <c r="K1194" s="5" t="n">
        <v>45304</v>
      </c>
      <c r="L1194" t="inlineStr">
        <is>
          <t>Sold</t>
        </is>
      </c>
      <c r="M1194" s="6">
        <f>HYPERLINK("https://www.kleinanzeigen.de/s-anzeige/severne-blade-4-7-1a-wenig-gefahren/2651318146-230-27451", "Link")</f>
        <v/>
      </c>
      <c r="N1194" s="6">
        <f>HYPERLINK("C:\Projects\Kleinanzeigen-Scraper\offer_images\2651318146", "Link")</f>
        <v/>
      </c>
      <c r="O1194" t="inlineStr">
        <is>
          <t>Joern</t>
        </is>
      </c>
      <c r="P1194" s="6">
        <f>HYPERLINK("https://www.kleinanzeigen.de/s-bestandsliste.html?userId=13507930", "Link")</f>
        <v/>
      </c>
      <c r="Q1194" s="7" t="n">
        <v>45549.57768518518</v>
      </c>
      <c r="R1194" s="3" t="inlineStr">
        <is>
          <t>384.10</t>
        </is>
      </c>
      <c r="S1194" t="inlineStr">
        <is>
          <t>Köln</t>
        </is>
      </c>
    </row>
    <row r="1195">
      <c r="A1195" s="2" t="n">
        <v>8</v>
      </c>
      <c r="B1195" t="inlineStr">
        <is>
          <t>Duotone Neo SLS</t>
        </is>
      </c>
      <c r="C1195" s="3" t="inlineStr"/>
      <c r="D1195" s="3" t="inlineStr"/>
      <c r="E1195" t="inlineStr"/>
      <c r="F1195" t="inlineStr">
        <is>
          <t>2024</t>
        </is>
      </c>
      <c r="G1195" t="inlineStr">
        <is>
          <t>new</t>
        </is>
      </c>
      <c r="H1195" s="4" t="n">
        <v>1.37</v>
      </c>
      <c r="I1195" t="inlineStr"/>
      <c r="J1195" t="inlineStr">
        <is>
          <t>90451 Nürnberg (Mittelfr) - Aussenstadt-Sued</t>
        </is>
      </c>
      <c r="K1195" s="5" t="n">
        <v>45540</v>
      </c>
      <c r="L1195" t="inlineStr">
        <is>
          <t>Sold</t>
        </is>
      </c>
      <c r="M1195" s="6">
        <f>HYPERLINK("https://www.kleinanzeigen.de/s-anzeige/duotone-2024-neo-sls-8-0-qm/2854785095-230-6836", "Link")</f>
        <v/>
      </c>
      <c r="N1195" s="6">
        <f>HYPERLINK("C:\Projects\Kleinanzeigen-Scraper\offer_images\2854785095", "Link")</f>
        <v/>
      </c>
      <c r="O1195" t="inlineStr">
        <is>
          <t>No user name</t>
        </is>
      </c>
      <c r="P1195" s="6">
        <f>HYPERLINK("https://www.kleinanzeigen.deNo user link", "Link")</f>
        <v/>
      </c>
      <c r="Q1195" s="7" t="n">
        <v>45549.57768518518</v>
      </c>
      <c r="R1195" s="3" t="inlineStr">
        <is>
          <t>145.92</t>
        </is>
      </c>
      <c r="S1195" t="inlineStr">
        <is>
          <t>München</t>
        </is>
      </c>
    </row>
    <row r="1196">
      <c r="A1196" s="2" t="n">
        <v>4.5</v>
      </c>
      <c r="B1196" t="inlineStr">
        <is>
          <t>Vandal Enemy</t>
        </is>
      </c>
      <c r="C1196" s="3" t="inlineStr"/>
      <c r="D1196" s="3" t="inlineStr"/>
      <c r="E1196" t="inlineStr"/>
      <c r="F1196" t="inlineStr">
        <is>
          <t>2013</t>
        </is>
      </c>
      <c r="G1196" t="inlineStr">
        <is>
          <t>used</t>
        </is>
      </c>
      <c r="H1196" s="4" t="n">
        <v>110</v>
      </c>
      <c r="I1196" t="inlineStr">
        <is>
          <t>VB</t>
        </is>
      </c>
      <c r="J1196" t="inlineStr">
        <is>
          <t>23775 Kreis Ostholstein - Großenbrode</t>
        </is>
      </c>
      <c r="K1196" s="5" t="n">
        <v>45530</v>
      </c>
      <c r="L1196" t="inlineStr"/>
      <c r="M1196" s="6">
        <f>HYPERLINK("https://www.kleinanzeigen.de/s-anzeige/windsurfsegel-vandal-enemy-4-5/2846945892-230-429", "Link")</f>
        <v/>
      </c>
      <c r="N1196" s="6">
        <f>HYPERLINK("C:\Projects\Kleinanzeigen-Scraper\offer_images\2846945892", "Link")</f>
        <v/>
      </c>
      <c r="O1196" t="inlineStr">
        <is>
          <t>Mike</t>
        </is>
      </c>
      <c r="P1196" s="6">
        <f>HYPERLINK("https://www.kleinanzeigen.de/s-bestandsliste.html?userId=140806844", "Link")</f>
        <v/>
      </c>
      <c r="Q1196" s="7" t="n">
        <v>45549.57766203704</v>
      </c>
      <c r="R1196" s="3" t="inlineStr">
        <is>
          <t>471.97</t>
        </is>
      </c>
      <c r="S1196" t="inlineStr">
        <is>
          <t>Köln</t>
        </is>
      </c>
    </row>
    <row r="1197">
      <c r="A1197" s="2" t="n">
        <v>8</v>
      </c>
      <c r="B1197" t="inlineStr">
        <is>
          <t>Gun Sails Booster</t>
        </is>
      </c>
      <c r="C1197" s="3" t="n">
        <v>490</v>
      </c>
      <c r="D1197" s="3" t="inlineStr"/>
      <c r="E1197" t="inlineStr"/>
      <c r="F1197" t="inlineStr"/>
      <c r="G1197" t="inlineStr">
        <is>
          <t>new</t>
        </is>
      </c>
      <c r="H1197" s="4" t="n">
        <v>120</v>
      </c>
      <c r="I1197" t="inlineStr"/>
      <c r="J1197" t="inlineStr">
        <is>
          <t>88427 Baden-Württemberg - Bad Schussenried</t>
        </is>
      </c>
      <c r="K1197" s="5" t="n">
        <v>45523</v>
      </c>
      <c r="L1197" t="inlineStr">
        <is>
          <t>Sold</t>
        </is>
      </c>
      <c r="M1197" s="6">
        <f>HYPERLINK("https://www.kleinanzeigen.de/s-anzeige/windsurfsegel-gun-sails-booster-8-0/2841044524-230-8727", "Link")</f>
        <v/>
      </c>
      <c r="N1197" s="6">
        <f>HYPERLINK("C:\Projects\Kleinanzeigen-Scraper\offer_images\2841044524", "Link")</f>
        <v/>
      </c>
      <c r="O1197" t="inlineStr">
        <is>
          <t>Tom22</t>
        </is>
      </c>
      <c r="P1197" s="6">
        <f>HYPERLINK("https://www.kleinanzeigen.de/s-bestandsliste.html?userId=57747998", "Link")</f>
        <v/>
      </c>
      <c r="Q1197" s="7" t="n">
        <v>45549.57762731481</v>
      </c>
      <c r="R1197" s="3" t="inlineStr">
        <is>
          <t>89.91</t>
        </is>
      </c>
      <c r="S1197" t="inlineStr">
        <is>
          <t>Böblingen</t>
        </is>
      </c>
    </row>
    <row r="1198">
      <c r="A1198" s="2" t="n">
        <v>6</v>
      </c>
      <c r="B1198" t="inlineStr">
        <is>
          <t>DUOTONE UNIT DLAB</t>
        </is>
      </c>
      <c r="C1198" s="3" t="inlineStr"/>
      <c r="D1198" s="3" t="inlineStr"/>
      <c r="E1198" t="inlineStr"/>
      <c r="F1198" t="inlineStr"/>
      <c r="G1198" t="inlineStr">
        <is>
          <t>used</t>
        </is>
      </c>
      <c r="H1198" s="4" t="n">
        <v>599</v>
      </c>
      <c r="I1198" t="inlineStr"/>
      <c r="J1198" t="inlineStr">
        <is>
          <t>91177 Bayern - Thalmässing</t>
        </is>
      </c>
      <c r="K1198" s="5" t="n">
        <v>45545</v>
      </c>
      <c r="L1198" t="inlineStr">
        <is>
          <t>Sold</t>
        </is>
      </c>
      <c r="M1198" s="6">
        <f>HYPERLINK("https://www.kleinanzeigen.de/s-anzeige/duotone-unit-dlab-6m/2859836292-230-5855", "Link")</f>
        <v/>
      </c>
      <c r="N1198" s="6">
        <f>HYPERLINK("C:\Projects\Kleinanzeigen-Scraper\offer_images\2859836292", "Link")</f>
        <v/>
      </c>
      <c r="O1198" t="inlineStr">
        <is>
          <t>Michael</t>
        </is>
      </c>
      <c r="P1198" s="6">
        <f>HYPERLINK("https://www.kleinanzeigen.de/s-bestandsliste.html?userId=121669668", "Link")</f>
        <v/>
      </c>
      <c r="Q1198" s="7" t="n">
        <v>45549.57760416667</v>
      </c>
      <c r="R1198" s="3" t="inlineStr">
        <is>
          <t>108.97</t>
        </is>
      </c>
      <c r="S1198" t="inlineStr">
        <is>
          <t>München</t>
        </is>
      </c>
    </row>
    <row r="1199">
      <c r="A1199" s="2" t="n">
        <v>6.5</v>
      </c>
      <c r="B1199" t="inlineStr">
        <is>
          <t>GUN SAILS Escape</t>
        </is>
      </c>
      <c r="C1199" s="3" t="n">
        <v>460</v>
      </c>
      <c r="D1199" s="3" t="n">
        <v>197</v>
      </c>
      <c r="E1199" t="inlineStr"/>
      <c r="F1199" t="inlineStr"/>
      <c r="G1199" t="inlineStr">
        <is>
          <t>used</t>
        </is>
      </c>
      <c r="H1199" s="4" t="n">
        <v>110</v>
      </c>
      <c r="I1199" t="inlineStr"/>
      <c r="J1199" t="inlineStr">
        <is>
          <t>60439 Frankfurt am Main - Niederursel</t>
        </is>
      </c>
      <c r="K1199" s="5" t="n">
        <v>45530</v>
      </c>
      <c r="L1199" t="inlineStr"/>
      <c r="M1199" s="6">
        <f>HYPERLINK("https://www.kleinanzeigen.de/s-anzeige/windsurf-segel-gun-sails-escape-6-5qm-windsurfing-sail-only/2846678502-230-9589", "Link")</f>
        <v/>
      </c>
      <c r="N1199" s="6">
        <f>HYPERLINK("C:\Projects\Kleinanzeigen-Scraper\offer_images\2846678502", "Link")</f>
        <v/>
      </c>
      <c r="O1199" t="inlineStr">
        <is>
          <t>Thomas</t>
        </is>
      </c>
      <c r="P1199" s="6">
        <f>HYPERLINK("https://www.kleinanzeigen.de/s-bestandsliste.html?userId=33207554", "Link")</f>
        <v/>
      </c>
      <c r="Q1199" s="7" t="n">
        <v>45549.57758101852</v>
      </c>
      <c r="R1199" s="3" t="inlineStr">
        <is>
          <t>129.01</t>
        </is>
      </c>
      <c r="S1199" t="inlineStr">
        <is>
          <t>Karlsruhe</t>
        </is>
      </c>
    </row>
    <row r="1200">
      <c r="A1200" s="2" t="n">
        <v>5.7</v>
      </c>
      <c r="B1200" t="inlineStr">
        <is>
          <t>Neilpryde RS Flight Evo IV</t>
        </is>
      </c>
      <c r="C1200" s="3" t="inlineStr"/>
      <c r="D1200" s="3" t="inlineStr"/>
      <c r="E1200" t="inlineStr"/>
      <c r="F1200" t="inlineStr">
        <is>
          <t>2023</t>
        </is>
      </c>
      <c r="G1200" t="inlineStr">
        <is>
          <t>repaired</t>
        </is>
      </c>
      <c r="H1200" s="4" t="n">
        <v>409</v>
      </c>
      <c r="I1200" t="inlineStr"/>
      <c r="J1200" t="inlineStr">
        <is>
          <t>75334 Baden-Württemberg - Straubenhardt</t>
        </is>
      </c>
      <c r="K1200" s="5" t="n">
        <v>45529</v>
      </c>
      <c r="L1200" t="inlineStr"/>
      <c r="M1200" s="6">
        <f>HYPERLINK("https://www.kleinanzeigen.de/s-anzeige/neilpryde-rs-flight-evo-iv-5-7-k-severne-gaastra-point7-/2845499769-230-8117", "Link")</f>
        <v/>
      </c>
      <c r="N1200" s="6">
        <f>HYPERLINK("C:\Projects\Kleinanzeigen-Scraper\offer_images\2845499769", "Link")</f>
        <v/>
      </c>
      <c r="O1200" t="inlineStr">
        <is>
          <t>Björn</t>
        </is>
      </c>
      <c r="P1200" s="6">
        <f>HYPERLINK("https://www.kleinanzeigen.de/s-bestandsliste.html?userId=29930593", "Link")</f>
        <v/>
      </c>
      <c r="Q1200" s="7" t="n">
        <v>45549.57758101852</v>
      </c>
      <c r="R1200" s="3" t="inlineStr">
        <is>
          <t>21.11</t>
        </is>
      </c>
      <c r="S1200" t="inlineStr">
        <is>
          <t>Karlsruhe</t>
        </is>
      </c>
    </row>
    <row r="1201">
      <c r="A1201" s="2" t="n">
        <v>7</v>
      </c>
      <c r="B1201" t="inlineStr">
        <is>
          <t>North Sails Warp</t>
        </is>
      </c>
      <c r="C1201" s="3" t="inlineStr"/>
      <c r="D1201" s="3" t="inlineStr"/>
      <c r="E1201" t="inlineStr"/>
      <c r="F1201" t="inlineStr"/>
      <c r="G1201" t="inlineStr">
        <is>
          <t>used</t>
        </is>
      </c>
      <c r="H1201" s="4" t="n">
        <v>199</v>
      </c>
      <c r="I1201" t="inlineStr">
        <is>
          <t>VB</t>
        </is>
      </c>
      <c r="J1201" t="inlineStr">
        <is>
          <t>71384 Baden-Württemberg - Weinstadt</t>
        </is>
      </c>
      <c r="K1201" s="5" t="n">
        <v>45546</v>
      </c>
      <c r="L1201" t="inlineStr">
        <is>
          <t>Sold</t>
        </is>
      </c>
      <c r="M1201" s="6">
        <f>HYPERLINK("https://www.kleinanzeigen.de/s-anzeige/north-sails-warp-7-0-qm/2860004069-230-8386", "Link")</f>
        <v/>
      </c>
      <c r="N1201" s="6">
        <f>HYPERLINK("C:\Projects\Kleinanzeigen-Scraper\offer_images\2860004069", "Link")</f>
        <v/>
      </c>
      <c r="O1201" t="inlineStr">
        <is>
          <t>Frank</t>
        </is>
      </c>
      <c r="P1201" s="6">
        <f>HYPERLINK("https://www.kleinanzeigen.de/s-bestandsliste.html?userId=5342134", "Link")</f>
        <v/>
      </c>
      <c r="Q1201" s="7" t="n">
        <v>45549.57755787037</v>
      </c>
      <c r="R1201" s="3" t="inlineStr">
        <is>
          <t>33.53</t>
        </is>
      </c>
      <c r="S1201" t="inlineStr">
        <is>
          <t>Böblingen</t>
        </is>
      </c>
    </row>
    <row r="1202">
      <c r="A1202" s="2" t="n">
        <v>3.7</v>
      </c>
      <c r="B1202" t="inlineStr">
        <is>
          <t>North Sails Vertigo</t>
        </is>
      </c>
      <c r="C1202" s="3" t="n">
        <v>3.9</v>
      </c>
      <c r="D1202" s="3" t="n">
        <v>1.5</v>
      </c>
      <c r="E1202" t="inlineStr"/>
      <c r="F1202" t="inlineStr"/>
      <c r="G1202" t="inlineStr">
        <is>
          <t>used</t>
        </is>
      </c>
      <c r="H1202" s="4" t="n">
        <v>75</v>
      </c>
      <c r="I1202" t="inlineStr"/>
      <c r="J1202" t="inlineStr">
        <is>
          <t>28259 Bremen - Huchting</t>
        </is>
      </c>
      <c r="K1202" s="5" t="n">
        <v>45537</v>
      </c>
      <c r="L1202" t="inlineStr">
        <is>
          <t>Sold</t>
        </is>
      </c>
      <c r="M1202" s="6">
        <f>HYPERLINK("https://www.kleinanzeigen.de/s-anzeige/windsurfsegel-north-sails-vertigo-3-7-qm/2852464454-230-49", "Link")</f>
        <v/>
      </c>
      <c r="N1202" s="6">
        <f>HYPERLINK("C:\Projects\Kleinanzeigen-Scraper\offer_images\2852464454", "Link")</f>
        <v/>
      </c>
      <c r="O1202" t="inlineStr">
        <is>
          <t>Oliver</t>
        </is>
      </c>
      <c r="P1202" s="6">
        <f>HYPERLINK("https://www.kleinanzeigen.de/s-bestandsliste.html?userId=12992233", "Link")</f>
        <v/>
      </c>
      <c r="Q1202" s="7" t="n">
        <v>45549.57753472222</v>
      </c>
      <c r="R1202" s="3" t="inlineStr">
        <is>
          <t>265.01</t>
        </is>
      </c>
      <c r="S1202" t="inlineStr">
        <is>
          <t>Köln</t>
        </is>
      </c>
    </row>
    <row r="1203">
      <c r="A1203" s="2" t="n">
        <v>4.5</v>
      </c>
      <c r="B1203" t="inlineStr">
        <is>
          <t>Goya Fringe</t>
        </is>
      </c>
      <c r="C1203" s="3" t="n">
        <v>370</v>
      </c>
      <c r="D1203" s="3" t="inlineStr"/>
      <c r="E1203" t="inlineStr"/>
      <c r="F1203" t="inlineStr">
        <is>
          <t>2016</t>
        </is>
      </c>
      <c r="G1203" t="inlineStr">
        <is>
          <t>used</t>
        </is>
      </c>
      <c r="H1203" s="4" t="n">
        <v>65</v>
      </c>
      <c r="I1203" t="inlineStr"/>
      <c r="J1203" t="inlineStr">
        <is>
          <t>78048 Baden-Württemberg - Villingen-Schwenningen</t>
        </is>
      </c>
      <c r="K1203" s="5" t="n">
        <v>45459</v>
      </c>
      <c r="L1203" t="inlineStr"/>
      <c r="M1203" s="6">
        <f>HYPERLINK("https://www.kleinanzeigen.de/s-anzeige/goya-fringe-4-5-bj-2016/2789915101-230-9098", "Link")</f>
        <v/>
      </c>
      <c r="N1203" s="6">
        <f>HYPERLINK("C:\Projects\Kleinanzeigen-Scraper\offer_images\2789915101", "Link")</f>
        <v/>
      </c>
      <c r="O1203" t="inlineStr">
        <is>
          <t>Jens Hofmann</t>
        </is>
      </c>
      <c r="P1203" s="6">
        <f>HYPERLINK("https://www.kleinanzeigen.de/s-bestandsliste.html?userId=34186097", "Link")</f>
        <v/>
      </c>
      <c r="Q1203" s="7" t="n">
        <v>45549.57753472222</v>
      </c>
      <c r="R1203" s="3" t="inlineStr">
        <is>
          <t>30.52</t>
        </is>
      </c>
      <c r="S1203" t="inlineStr">
        <is>
          <t>Bonndorf</t>
        </is>
      </c>
    </row>
    <row r="1204">
      <c r="A1204" s="2" t="n">
        <v>5.2</v>
      </c>
      <c r="B1204" t="inlineStr">
        <is>
          <t>Sailloft Quad</t>
        </is>
      </c>
      <c r="C1204" s="3" t="inlineStr"/>
      <c r="D1204" s="3" t="inlineStr"/>
      <c r="E1204" t="inlineStr"/>
      <c r="F1204" t="inlineStr"/>
      <c r="G1204" t="inlineStr">
        <is>
          <t>repaired</t>
        </is>
      </c>
      <c r="H1204" s="4" t="n">
        <v>65</v>
      </c>
      <c r="I1204" t="inlineStr">
        <is>
          <t>VB</t>
        </is>
      </c>
      <c r="J1204" t="inlineStr">
        <is>
          <t>04416 Sachsen - Markkleeberg</t>
        </is>
      </c>
      <c r="K1204" s="5" t="n">
        <v>45375</v>
      </c>
      <c r="L1204" t="inlineStr"/>
      <c r="M1204" s="6">
        <f>HYPERLINK("https://www.kleinanzeigen.de/s-anzeige/sailloft-quad-5-2qm-windsurfen-segel/2715002425-230-3911", "Link")</f>
        <v/>
      </c>
      <c r="N1204" s="6">
        <f>HYPERLINK("C:\Projects\Kleinanzeigen-Scraper\offer_images\2715002425", "Link")</f>
        <v/>
      </c>
      <c r="O1204" t="inlineStr">
        <is>
          <t>Sören Lubinski</t>
        </is>
      </c>
      <c r="P1204" s="6">
        <f>HYPERLINK("https://www.kleinanzeigen.de/s-bestandsliste.html?userId=9464329", "Link")</f>
        <v/>
      </c>
      <c r="Q1204" s="7" t="n">
        <v>45549.57746527778</v>
      </c>
      <c r="R1204" s="3" t="inlineStr">
        <is>
          <t>353.27</t>
        </is>
      </c>
      <c r="S1204" t="inlineStr">
        <is>
          <t>München</t>
        </is>
      </c>
    </row>
    <row r="1205">
      <c r="A1205" s="2" t="n">
        <v>8.5</v>
      </c>
      <c r="B1205" t="inlineStr">
        <is>
          <t>Sailloft Cross Pro</t>
        </is>
      </c>
      <c r="C1205" s="3" t="n">
        <v>490</v>
      </c>
      <c r="D1205" s="3" t="inlineStr"/>
      <c r="E1205" t="inlineStr"/>
      <c r="F1205" t="inlineStr"/>
      <c r="G1205" t="inlineStr">
        <is>
          <t>new</t>
        </is>
      </c>
      <c r="H1205" s="4" t="n">
        <v>180</v>
      </c>
      <c r="I1205" t="inlineStr">
        <is>
          <t>VB</t>
        </is>
      </c>
      <c r="J1205" t="inlineStr">
        <is>
          <t>91792 Bayern - Ellingen</t>
        </is>
      </c>
      <c r="K1205" s="5" t="n">
        <v>45566</v>
      </c>
      <c r="L1205" t="inlineStr"/>
      <c r="M1205" s="6">
        <f>HYPERLINK("https://www.kleinanzeigen.de/s-anzeige/segel-sailloft-cross-pro-8-5-qm/2847421932-230-5868", "Link")</f>
        <v/>
      </c>
      <c r="N1205" s="6">
        <f>HYPERLINK("C:\Projects\Kleinanzeigen-Scraper\offer_images\2847421932", "Link")</f>
        <v/>
      </c>
      <c r="O1205" t="inlineStr">
        <is>
          <t>Bernd Müller</t>
        </is>
      </c>
      <c r="P1205" s="6">
        <f>HYPERLINK("https://www.kleinanzeigen.de/s-bestandsliste.html?userId=49791118", "Link")</f>
        <v/>
      </c>
      <c r="Q1205" s="7" t="n">
        <v>45549.57746527778</v>
      </c>
      <c r="R1205" s="3" t="inlineStr">
        <is>
          <t>111.92</t>
        </is>
      </c>
      <c r="S1205" t="inlineStr">
        <is>
          <t>München</t>
        </is>
      </c>
    </row>
    <row r="1206">
      <c r="A1206" s="2" t="n">
        <v>7.7</v>
      </c>
      <c r="B1206" t="inlineStr">
        <is>
          <t>Neilpryde H2</t>
        </is>
      </c>
      <c r="C1206" s="3" t="inlineStr"/>
      <c r="D1206" s="3" t="inlineStr"/>
      <c r="E1206" t="inlineStr"/>
      <c r="F1206" t="inlineStr"/>
      <c r="G1206" t="inlineStr">
        <is>
          <t>used, repaired</t>
        </is>
      </c>
      <c r="H1206" s="4" t="n">
        <v>50</v>
      </c>
      <c r="I1206" t="inlineStr"/>
      <c r="J1206" t="inlineStr">
        <is>
          <t>71093 Baden-Württemberg - Weil im Schönbuch</t>
        </is>
      </c>
      <c r="K1206" s="5" t="n">
        <v>45544</v>
      </c>
      <c r="L1206" t="inlineStr">
        <is>
          <t>Sold</t>
        </is>
      </c>
      <c r="M1206" s="6">
        <f>HYPERLINK("https://www.kleinanzeigen.de/s-anzeige/neilpryde-h2-7-7m-segel/2858241112-230-8785", "Link")</f>
        <v/>
      </c>
      <c r="N1206" s="6">
        <f>HYPERLINK("C:\Projects\Kleinanzeigen-Scraper\offer_images\2858241112", "Link")</f>
        <v/>
      </c>
      <c r="O1206" t="inlineStr">
        <is>
          <t>Schorschi</t>
        </is>
      </c>
      <c r="P1206" s="6">
        <f>HYPERLINK("https://www.kleinanzeigen.de/s-bestandsliste.html?userId=71398211", "Link")</f>
        <v/>
      </c>
      <c r="Q1206" s="7" t="n">
        <v>45549.57743055555</v>
      </c>
      <c r="R1206" s="3" t="inlineStr">
        <is>
          <t>9.52</t>
        </is>
      </c>
      <c r="S1206" t="inlineStr">
        <is>
          <t>Böblingen</t>
        </is>
      </c>
    </row>
    <row r="1207">
      <c r="A1207" s="2" t="inlineStr">
        <is>
          <t>7.0 / 7.4</t>
        </is>
      </c>
      <c r="B1207" t="inlineStr">
        <is>
          <t>Simmer Style Cyber Race</t>
        </is>
      </c>
      <c r="C1207" s="3" t="n">
        <v>5.69</v>
      </c>
      <c r="D1207" s="3" t="n">
        <v>2.04</v>
      </c>
      <c r="E1207" t="inlineStr"/>
      <c r="F1207" t="inlineStr">
        <is>
          <t>2002</t>
        </is>
      </c>
      <c r="G1207" t="inlineStr">
        <is>
          <t>new</t>
        </is>
      </c>
      <c r="H1207" s="4" t="n">
        <v>55</v>
      </c>
      <c r="I1207" t="inlineStr">
        <is>
          <t>VB</t>
        </is>
      </c>
      <c r="J1207" t="inlineStr">
        <is>
          <t>33607 Bielefeld - Bielefeld (Innenstadt)</t>
        </is>
      </c>
      <c r="K1207" s="5" t="n">
        <v>45493</v>
      </c>
      <c r="L1207" t="inlineStr"/>
      <c r="M1207" s="6">
        <f>HYPERLINK("https://www.kleinanzeigen.de/s-anzeige/simmer-style-cyber-race-surfsegel-mehrere-groessen-unbenutzt/2816892435-230-1069", "Link")</f>
        <v/>
      </c>
      <c r="N1207" s="6">
        <f>HYPERLINK("C:\Projects\Kleinanzeigen-Scraper\offer_images\2816892435", "Link")</f>
        <v/>
      </c>
      <c r="O1207" t="inlineStr">
        <is>
          <t>Horst</t>
        </is>
      </c>
      <c r="P1207" s="6">
        <f>HYPERLINK("https://www.kleinanzeigen.de/s-bestandsliste.html?userId=18007600", "Link")</f>
        <v/>
      </c>
      <c r="Q1207" s="7" t="n">
        <v>45549.57740740741</v>
      </c>
      <c r="R1207" s="3" t="inlineStr">
        <is>
          <t>164.50</t>
        </is>
      </c>
      <c r="S1207" t="inlineStr">
        <is>
          <t>Köln</t>
        </is>
      </c>
    </row>
    <row r="1208">
      <c r="A1208" s="2" t="n">
        <v>5</v>
      </c>
      <c r="B1208" t="inlineStr">
        <is>
          <t>Simmer</t>
        </is>
      </c>
      <c r="C1208" s="3" t="n">
        <v>434</v>
      </c>
      <c r="D1208" s="3" t="n">
        <v>164</v>
      </c>
      <c r="E1208" t="inlineStr">
        <is>
          <t>Wave</t>
        </is>
      </c>
      <c r="F1208" t="inlineStr"/>
      <c r="G1208" t="inlineStr">
        <is>
          <t>used</t>
        </is>
      </c>
      <c r="H1208" s="4" t="n">
        <v>50</v>
      </c>
      <c r="I1208" t="inlineStr"/>
      <c r="J1208" t="inlineStr">
        <is>
          <t>22303 Hamburg-Nord - Hamburg Winterhude</t>
        </is>
      </c>
      <c r="K1208" s="5" t="n">
        <v>45535</v>
      </c>
      <c r="L1208" t="inlineStr">
        <is>
          <t>Sold</t>
        </is>
      </c>
      <c r="M1208" s="6">
        <f>HYPERLINK("https://www.kleinanzeigen.de/s-anzeige/simmer-segel-5-0qm-windsurfsegel/2851107089-230-9482", "Link")</f>
        <v/>
      </c>
      <c r="N1208" s="6">
        <f>HYPERLINK("C:\Projects\Kleinanzeigen-Scraper\offer_images\2851107089", "Link")</f>
        <v/>
      </c>
      <c r="O1208" t="inlineStr">
        <is>
          <t>Daniel</t>
        </is>
      </c>
      <c r="P1208" s="6">
        <f>HYPERLINK("https://www.kleinanzeigen.de/s-bestandsliste.html?userId=33396736", "Link")</f>
        <v/>
      </c>
      <c r="Q1208" s="7" t="n">
        <v>45549.57739583333</v>
      </c>
      <c r="R1208" s="3" t="inlineStr">
        <is>
          <t>361.45</t>
        </is>
      </c>
      <c r="S1208" t="inlineStr">
        <is>
          <t>Köln</t>
        </is>
      </c>
    </row>
    <row r="1209">
      <c r="A1209" s="2" t="n">
        <v>7.8</v>
      </c>
      <c r="B1209" t="inlineStr">
        <is>
          <t>NeilPryde RS Flight</t>
        </is>
      </c>
      <c r="C1209" s="3" t="inlineStr"/>
      <c r="D1209" s="3" t="inlineStr"/>
      <c r="E1209" t="inlineStr"/>
      <c r="F1209" t="inlineStr">
        <is>
          <t>2019</t>
        </is>
      </c>
      <c r="G1209" t="inlineStr">
        <is>
          <t>used</t>
        </is>
      </c>
      <c r="H1209" s="4" t="n">
        <v>200</v>
      </c>
      <c r="I1209" t="inlineStr"/>
      <c r="J1209" t="inlineStr">
        <is>
          <t>28832 Niedersachsen - Achim</t>
        </is>
      </c>
      <c r="K1209" s="5" t="n">
        <v>45457</v>
      </c>
      <c r="L1209" t="inlineStr"/>
      <c r="M1209" s="6">
        <f>HYPERLINK("https://www.kleinanzeigen.de/s-anzeige/neilpryde-rs-flight-7-8qm-neilpryde/2787603077-230-2658", "Link")</f>
        <v/>
      </c>
      <c r="N1209" s="6">
        <f>HYPERLINK("C:\Projects\Kleinanzeigen-Scraper\offer_images\2787603077", "Link")</f>
        <v/>
      </c>
      <c r="O1209" t="inlineStr">
        <is>
          <t>T.E</t>
        </is>
      </c>
      <c r="P1209" s="6">
        <f>HYPERLINK("https://www.kleinanzeigen.de/s-bestandsliste.html?userId=3663502", "Link")</f>
        <v/>
      </c>
      <c r="Q1209" s="7" t="n">
        <v>45549.57738425926</v>
      </c>
      <c r="R1209" s="3" t="inlineStr">
        <is>
          <t>273.42</t>
        </is>
      </c>
      <c r="S1209" t="inlineStr">
        <is>
          <t>Köln</t>
        </is>
      </c>
    </row>
    <row r="1210">
      <c r="A1210" s="2" t="n">
        <v>5.9</v>
      </c>
      <c r="B1210" t="inlineStr">
        <is>
          <t>Sailloft Quad</t>
        </is>
      </c>
      <c r="C1210" s="3" t="inlineStr"/>
      <c r="D1210" s="3" t="inlineStr"/>
      <c r="E1210" t="inlineStr"/>
      <c r="F1210" t="inlineStr"/>
      <c r="G1210" t="inlineStr">
        <is>
          <t>used</t>
        </is>
      </c>
      <c r="H1210" s="4" t="n">
        <v>50</v>
      </c>
      <c r="I1210" t="inlineStr"/>
      <c r="J1210" t="inlineStr">
        <is>
          <t>10247 Friedrichshain-Kreuzberg - Friedrichshain</t>
        </is>
      </c>
      <c r="K1210" s="5" t="n">
        <v>45413</v>
      </c>
      <c r="L1210" t="inlineStr"/>
      <c r="M1210" s="6">
        <f>HYPERLINK("https://www.kleinanzeigen.de/s-anzeige/ein-surf-segel-sailloft-quad-5-9-qm-und-mastschoner/2750005234-230-3353", "Link")</f>
        <v/>
      </c>
      <c r="N1210" s="6">
        <f>HYPERLINK("C:\Projects\Kleinanzeigen-Scraper\offer_images\2750005234", "Link")</f>
        <v/>
      </c>
      <c r="O1210" t="inlineStr">
        <is>
          <t>Peter E.</t>
        </is>
      </c>
      <c r="P1210" s="6">
        <f>HYPERLINK("https://www.kleinanzeigen.de/s-bestandsliste.html?userId=7094667", "Link")</f>
        <v/>
      </c>
      <c r="Q1210" s="7" t="n">
        <v>45549.57737268518</v>
      </c>
      <c r="R1210" s="3" t="inlineStr">
        <is>
          <t>481.24</t>
        </is>
      </c>
      <c r="S1210" t="inlineStr">
        <is>
          <t>Köln</t>
        </is>
      </c>
    </row>
    <row r="1211">
      <c r="A1211" s="2" t="n">
        <v>5.4</v>
      </c>
      <c r="B1211" t="inlineStr">
        <is>
          <t>Goya Bounce Pro</t>
        </is>
      </c>
      <c r="C1211" s="3" t="inlineStr"/>
      <c r="D1211" s="3" t="inlineStr"/>
      <c r="E1211" t="inlineStr"/>
      <c r="F1211" t="inlineStr"/>
      <c r="G1211" t="inlineStr">
        <is>
          <t>used</t>
        </is>
      </c>
      <c r="H1211" s="4" t="n">
        <v>80</v>
      </c>
      <c r="I1211" t="inlineStr"/>
      <c r="J1211" t="inlineStr">
        <is>
          <t>84095 Kr. Landshut - Furth</t>
        </is>
      </c>
      <c r="K1211" s="5" t="n">
        <v>45438</v>
      </c>
      <c r="L1211" t="inlineStr"/>
      <c r="M1211" s="6">
        <f>HYPERLINK("https://www.kleinanzeigen.de/s-anzeige/goya-bounce-pro-5-4qm/2772034361-230-6398", "Link")</f>
        <v/>
      </c>
      <c r="N1211" s="6">
        <f>HYPERLINK("C:\Projects\Kleinanzeigen-Scraper\offer_images\2772034361", "Link")</f>
        <v/>
      </c>
      <c r="O1211" t="inlineStr">
        <is>
          <t>Niklas</t>
        </is>
      </c>
      <c r="P1211" s="6">
        <f>HYPERLINK("https://www.kleinanzeigen.de/s-bestandsliste.html?userId=22205576", "Link")</f>
        <v/>
      </c>
      <c r="Q1211" s="7" t="n">
        <v>45549.57736111111</v>
      </c>
      <c r="R1211" s="3" t="inlineStr">
        <is>
          <t>60.37</t>
        </is>
      </c>
      <c r="S1211" t="inlineStr">
        <is>
          <t>München</t>
        </is>
      </c>
    </row>
    <row r="1212">
      <c r="A1212" s="2" t="n">
        <v>8</v>
      </c>
      <c r="B1212" t="inlineStr">
        <is>
          <t>Sailloft Cross Pro</t>
        </is>
      </c>
      <c r="C1212" s="3" t="inlineStr"/>
      <c r="D1212" s="3" t="inlineStr"/>
      <c r="E1212" t="inlineStr"/>
      <c r="F1212" t="inlineStr"/>
      <c r="G1212" t="inlineStr"/>
      <c r="H1212" s="4" t="n">
        <v>230</v>
      </c>
      <c r="I1212" t="inlineStr"/>
      <c r="J1212" t="inlineStr">
        <is>
          <t>59320 Nordrhein-Westfalen - Ennigerloh</t>
        </is>
      </c>
      <c r="K1212" s="5" t="n">
        <v>45487</v>
      </c>
      <c r="L1212" t="inlineStr"/>
      <c r="M1212" s="6">
        <f>HYPERLINK("https://www.kleinanzeigen.de/s-anzeige/sailloft-cross-pro-segel-8-0-m-windsurfen/2812344226-230-1439", "Link")</f>
        <v/>
      </c>
      <c r="N1212" s="6">
        <f>HYPERLINK("C:\Projects\Kleinanzeigen-Scraper\offer_images\2812344226", "Link")</f>
        <v/>
      </c>
      <c r="O1212" t="inlineStr">
        <is>
          <t>MD</t>
        </is>
      </c>
      <c r="P1212" s="6">
        <f>HYPERLINK("https://www.kleinanzeigen.de/s-bestandsliste.html?userId=14971628", "Link")</f>
        <v/>
      </c>
      <c r="Q1212" s="7" t="n">
        <v>45549.57736111111</v>
      </c>
      <c r="R1212" s="3" t="inlineStr">
        <is>
          <t>126.09</t>
        </is>
      </c>
      <c r="S1212" t="inlineStr">
        <is>
          <t>Köln</t>
        </is>
      </c>
    </row>
    <row r="1213">
      <c r="A1213" s="2" t="n">
        <v>12</v>
      </c>
      <c r="B1213" t="inlineStr">
        <is>
          <t>Point7 AC 1</t>
        </is>
      </c>
      <c r="C1213" s="3" t="inlineStr"/>
      <c r="D1213" s="3" t="inlineStr"/>
      <c r="E1213" t="inlineStr"/>
      <c r="F1213" t="inlineStr"/>
      <c r="G1213" t="inlineStr">
        <is>
          <t>used</t>
        </is>
      </c>
      <c r="H1213" s="4" t="n">
        <v>130</v>
      </c>
      <c r="I1213" t="inlineStr">
        <is>
          <t>VB</t>
        </is>
      </c>
      <c r="J1213" t="inlineStr">
        <is>
          <t>24306 Schleswig-Holstein - Plön</t>
        </is>
      </c>
      <c r="K1213" s="5" t="n">
        <v>45403</v>
      </c>
      <c r="L1213" t="inlineStr"/>
      <c r="M1213" s="6">
        <f>HYPERLINK("https://www.kleinanzeigen.de/s-anzeige/surfsegel-point7-ac-1-12-qm/2740984087-230-13384", "Link")</f>
        <v/>
      </c>
      <c r="N1213" s="6">
        <f>HYPERLINK("C:\Projects\Kleinanzeigen-Scraper\offer_images\2740984087", "Link")</f>
        <v/>
      </c>
      <c r="O1213" t="inlineStr">
        <is>
          <t>Maik</t>
        </is>
      </c>
      <c r="P1213" s="6">
        <f>HYPERLINK("https://www.kleinanzeigen.de/s-bestandsliste.html?userId=3361448", "Link")</f>
        <v/>
      </c>
      <c r="Q1213" s="7" t="n">
        <v>45549.57734953704</v>
      </c>
      <c r="R1213" s="3" t="inlineStr">
        <is>
          <t>429.16</t>
        </is>
      </c>
      <c r="S1213" t="inlineStr">
        <is>
          <t>Köln</t>
        </is>
      </c>
    </row>
    <row r="1214">
      <c r="A1214" s="2" t="n">
        <v>4</v>
      </c>
      <c r="B1214" t="inlineStr">
        <is>
          <t>Vandal Riot</t>
        </is>
      </c>
      <c r="C1214" s="3" t="n">
        <v>370</v>
      </c>
      <c r="D1214" s="3" t="n">
        <v>150</v>
      </c>
      <c r="E1214" t="inlineStr"/>
      <c r="F1214" t="inlineStr"/>
      <c r="G1214" t="inlineStr"/>
      <c r="H1214" s="4" t="n">
        <v>90</v>
      </c>
      <c r="I1214" t="inlineStr">
        <is>
          <t>VB</t>
        </is>
      </c>
      <c r="J1214" t="inlineStr">
        <is>
          <t>82296 Bayern - Schöngeising</t>
        </is>
      </c>
      <c r="K1214" s="5" t="n">
        <v>45539</v>
      </c>
      <c r="L1214" t="inlineStr">
        <is>
          <t>Sold</t>
        </is>
      </c>
      <c r="M1214" s="6">
        <f>HYPERLINK("https://www.kleinanzeigen.de/s-anzeige/wind-surf-segel-vandal-riot-4-0-m2/2854204187-230-6318", "Link")</f>
        <v/>
      </c>
      <c r="N1214" s="6">
        <f>HYPERLINK("C:\Projects\Kleinanzeigen-Scraper\offer_images\2854204187", "Link")</f>
        <v/>
      </c>
      <c r="O1214" t="inlineStr">
        <is>
          <t>Alexander Diessner</t>
        </is>
      </c>
      <c r="P1214" s="6">
        <f>HYPERLINK("https://www.kleinanzeigen.de/s-bestandsliste.html?userId=85142068", "Link")</f>
        <v/>
      </c>
      <c r="Q1214" s="7" t="n">
        <v>45549.57731481481</v>
      </c>
      <c r="R1214" s="3" t="inlineStr">
        <is>
          <t>27.63</t>
        </is>
      </c>
      <c r="S1214" t="inlineStr">
        <is>
          <t>München</t>
        </is>
      </c>
    </row>
    <row r="1215">
      <c r="A1215" s="2" t="n">
        <v>5</v>
      </c>
      <c r="B1215" t="inlineStr">
        <is>
          <t>Neilpryde Supernova</t>
        </is>
      </c>
      <c r="C1215" s="3" t="n">
        <v>400</v>
      </c>
      <c r="D1215" s="3" t="inlineStr"/>
      <c r="E1215" t="inlineStr"/>
      <c r="F1215" t="inlineStr"/>
      <c r="G1215" t="inlineStr">
        <is>
          <t>used</t>
        </is>
      </c>
      <c r="H1215" s="4" t="n">
        <v>90</v>
      </c>
      <c r="I1215" t="inlineStr">
        <is>
          <t>VB</t>
        </is>
      </c>
      <c r="J1215" t="inlineStr">
        <is>
          <t>86972 Bayern - Altenstadt</t>
        </is>
      </c>
      <c r="K1215" s="5" t="n">
        <v>45472</v>
      </c>
      <c r="L1215" t="inlineStr">
        <is>
          <t>Sold</t>
        </is>
      </c>
      <c r="M1215" s="6">
        <f>HYPERLINK("https://www.kleinanzeigen.de/s-anzeige/neilpryde-supernova-5-0qm-freeridesegel/2799800625-230-6557", "Link")</f>
        <v/>
      </c>
      <c r="N1215" s="6">
        <f>HYPERLINK("C:\Projects\Kleinanzeigen-Scraper\offer_images\2799800625", "Link")</f>
        <v/>
      </c>
      <c r="O1215" t="inlineStr">
        <is>
          <t>Johannes</t>
        </is>
      </c>
      <c r="P1215" s="6">
        <f>HYPERLINK("https://www.kleinanzeigen.de/s-bestandsliste.html?userId=43847253", "Link")</f>
        <v/>
      </c>
      <c r="Q1215" s="7" t="n">
        <v>45549.57731481481</v>
      </c>
      <c r="R1215" s="3" t="inlineStr">
        <is>
          <t>62.44</t>
        </is>
      </c>
      <c r="S1215" t="inlineStr">
        <is>
          <t>München</t>
        </is>
      </c>
    </row>
    <row r="1216">
      <c r="A1216" s="2" t="n">
        <v>5.8</v>
      </c>
      <c r="B1216" t="inlineStr">
        <is>
          <t>Loftsails Oxygen HD</t>
        </is>
      </c>
      <c r="C1216" s="3" t="inlineStr"/>
      <c r="D1216" s="3" t="inlineStr"/>
      <c r="E1216" t="inlineStr"/>
      <c r="F1216" t="inlineStr"/>
      <c r="G1216" t="inlineStr">
        <is>
          <t>used</t>
        </is>
      </c>
      <c r="H1216" s="4" t="n">
        <v>350</v>
      </c>
      <c r="I1216" t="inlineStr"/>
      <c r="J1216" t="inlineStr">
        <is>
          <t>84095 Kr. Landshut - Furth</t>
        </is>
      </c>
      <c r="K1216" s="5" t="n">
        <v>45537</v>
      </c>
      <c r="L1216" t="inlineStr">
        <is>
          <t>Sold</t>
        </is>
      </c>
      <c r="M1216" s="6">
        <f>HYPERLINK("https://www.kleinanzeigen.de/s-anzeige/loftsails-oxygen-5-8-hd-no-cam-freerace-windsurfsegel/2772003563-230-6398", "Link")</f>
        <v/>
      </c>
      <c r="N1216" s="6">
        <f>HYPERLINK("C:\Projects\Kleinanzeigen-Scraper\offer_images\2772003563", "Link")</f>
        <v/>
      </c>
      <c r="O1216" t="inlineStr">
        <is>
          <t>Niklas</t>
        </is>
      </c>
      <c r="P1216" s="6">
        <f>HYPERLINK("https://www.kleinanzeigen.de/s-bestandsliste.html?userId=22205576", "Link")</f>
        <v/>
      </c>
      <c r="Q1216" s="7" t="n">
        <v>45549.57731481481</v>
      </c>
      <c r="R1216" s="3" t="inlineStr">
        <is>
          <t>60.37</t>
        </is>
      </c>
      <c r="S1216" t="inlineStr">
        <is>
          <t>München</t>
        </is>
      </c>
    </row>
    <row r="1217">
      <c r="A1217" s="2" t="n">
        <v>4.8</v>
      </c>
      <c r="B1217" t="inlineStr">
        <is>
          <t>Severne S-1</t>
        </is>
      </c>
      <c r="C1217" s="3" t="inlineStr"/>
      <c r="D1217" s="3" t="inlineStr"/>
      <c r="E1217" t="inlineStr"/>
      <c r="F1217" t="inlineStr">
        <is>
          <t>2024</t>
        </is>
      </c>
      <c r="G1217" t="inlineStr">
        <is>
          <t>new</t>
        </is>
      </c>
      <c r="H1217" s="4" t="n">
        <v>650</v>
      </c>
      <c r="I1217" t="inlineStr"/>
      <c r="J1217" t="inlineStr">
        <is>
          <t>73776 Baden-Württemberg - Altbach</t>
        </is>
      </c>
      <c r="K1217" s="5" t="n">
        <v>45447</v>
      </c>
      <c r="L1217" t="inlineStr"/>
      <c r="M1217" s="6">
        <f>HYPERLINK("https://www.kleinanzeigen.de/s-anzeige/severne-s-1-windsurfsegel-4-8-2024/2779755314-230-8394", "Link")</f>
        <v/>
      </c>
      <c r="N1217" s="6">
        <f>HYPERLINK("C:\Projects\Kleinanzeigen-Scraper\offer_images\2779755314", "Link")</f>
        <v/>
      </c>
      <c r="O1217" t="inlineStr">
        <is>
          <t>M. G.</t>
        </is>
      </c>
      <c r="P1217" s="6">
        <f>HYPERLINK("https://www.kleinanzeigen.de/s-bestandsliste.html?userId=73799491", "Link")</f>
        <v/>
      </c>
      <c r="Q1217" s="7" t="n">
        <v>45549.57730324074</v>
      </c>
      <c r="R1217" s="3" t="inlineStr">
        <is>
          <t>30.21</t>
        </is>
      </c>
      <c r="S1217" t="inlineStr">
        <is>
          <t>Böblingen</t>
        </is>
      </c>
    </row>
    <row r="1218">
      <c r="A1218" s="2" t="n">
        <v>8.6</v>
      </c>
      <c r="B1218" t="inlineStr">
        <is>
          <t>Gun Sails Rapid</t>
        </is>
      </c>
      <c r="C1218" s="3" t="inlineStr"/>
      <c r="D1218" s="3" t="inlineStr"/>
      <c r="E1218" t="inlineStr"/>
      <c r="F1218" t="inlineStr"/>
      <c r="G1218" t="inlineStr">
        <is>
          <t>used</t>
        </is>
      </c>
      <c r="H1218" s="4" t="n">
        <v>150</v>
      </c>
      <c r="I1218" t="inlineStr"/>
      <c r="J1218" t="inlineStr">
        <is>
          <t>59469 Nordrhein-Westfalen - Ense</t>
        </is>
      </c>
      <c r="K1218" s="5" t="n">
        <v>45373</v>
      </c>
      <c r="L1218" t="inlineStr"/>
      <c r="M1218" s="6">
        <f>HYPERLINK("https://www.kleinanzeigen.de/s-anzeige/gun-sails-rapid-8-6-windsurfen-freerace-segel/2713596037-230-1816", "Link")</f>
        <v/>
      </c>
      <c r="N1218" s="6">
        <f>HYPERLINK("C:\Projects\Kleinanzeigen-Scraper\offer_images\2713596037", "Link")</f>
        <v/>
      </c>
      <c r="O1218" t="inlineStr">
        <is>
          <t>Marcell Mierswa</t>
        </is>
      </c>
      <c r="P1218" s="6">
        <f>HYPERLINK("https://www.kleinanzeigen.de/s-bestandsliste.html?userId=24121917", "Link")</f>
        <v/>
      </c>
      <c r="Q1218" s="7" t="n">
        <v>45549.57729166667</v>
      </c>
      <c r="R1218" s="3" t="inlineStr">
        <is>
          <t>94.85</t>
        </is>
      </c>
      <c r="S1218" t="inlineStr">
        <is>
          <t>Köln</t>
        </is>
      </c>
    </row>
    <row r="1219">
      <c r="A1219" s="2" t="n">
        <v>4.5</v>
      </c>
      <c r="B1219" t="inlineStr">
        <is>
          <t>Neilpryde Combat Pro</t>
        </is>
      </c>
      <c r="C1219" s="3" t="n">
        <v>370</v>
      </c>
      <c r="D1219" s="3" t="n">
        <v>160</v>
      </c>
      <c r="E1219" t="inlineStr"/>
      <c r="F1219" t="inlineStr">
        <is>
          <t>2020</t>
        </is>
      </c>
      <c r="G1219" t="inlineStr">
        <is>
          <t>used</t>
        </is>
      </c>
      <c r="H1219" s="4" t="n">
        <v>265</v>
      </c>
      <c r="I1219" t="inlineStr">
        <is>
          <t>VB</t>
        </is>
      </c>
      <c r="J1219" t="inlineStr">
        <is>
          <t>51399 Nordrhein-Westfalen - Burscheid</t>
        </is>
      </c>
      <c r="K1219" s="5" t="n">
        <v>45493</v>
      </c>
      <c r="L1219" t="inlineStr">
        <is>
          <t>Sold</t>
        </is>
      </c>
      <c r="M1219" s="6">
        <f>HYPERLINK("https://www.kleinanzeigen.de/s-anzeige/neilpryde-combat-pro-4-5/2816670490-230-1512", "Link")</f>
        <v/>
      </c>
      <c r="N1219" s="6">
        <f>HYPERLINK("C:\Projects\Kleinanzeigen-Scraper\offer_images\2816670490", "Link")</f>
        <v/>
      </c>
      <c r="O1219" t="inlineStr">
        <is>
          <t>Guido Radermacher</t>
        </is>
      </c>
      <c r="P1219" s="6">
        <f>HYPERLINK("https://www.kleinanzeigen.de/s-bestandsliste.html?userId=58539759", "Link")</f>
        <v/>
      </c>
      <c r="Q1219" s="7" t="n">
        <v>45549.57729166667</v>
      </c>
      <c r="R1219" s="3" t="inlineStr">
        <is>
          <t>19.54</t>
        </is>
      </c>
      <c r="S1219" t="inlineStr">
        <is>
          <t>Köln</t>
        </is>
      </c>
    </row>
    <row r="1220">
      <c r="A1220" s="2" t="n">
        <v>4.4</v>
      </c>
      <c r="B1220" t="inlineStr">
        <is>
          <t>Sailloft Air</t>
        </is>
      </c>
      <c r="C1220" s="3" t="inlineStr"/>
      <c r="D1220" s="3" t="inlineStr"/>
      <c r="E1220" t="inlineStr"/>
      <c r="F1220" t="inlineStr"/>
      <c r="G1220" t="inlineStr">
        <is>
          <t>repaired</t>
        </is>
      </c>
      <c r="H1220" s="4" t="n">
        <v>210</v>
      </c>
      <c r="I1220" t="inlineStr"/>
      <c r="J1220" t="inlineStr">
        <is>
          <t>21109 Hamburg-Mitte - Hamburg Wilhelmsburg</t>
        </is>
      </c>
      <c r="K1220" s="5" t="n">
        <v>45528</v>
      </c>
      <c r="L1220" t="inlineStr"/>
      <c r="M1220" s="6">
        <f>HYPERLINK("https://www.kleinanzeigen.de/s-anzeige/sailloft-air-4-4qm-freestyle-windsurfsegel/2845303643-230-9442", "Link")</f>
        <v/>
      </c>
      <c r="N1220" s="6">
        <f>HYPERLINK("C:\Projects\Kleinanzeigen-Scraper\offer_images\2845303643", "Link")</f>
        <v/>
      </c>
      <c r="O1220" t="inlineStr">
        <is>
          <t>Julian</t>
        </is>
      </c>
      <c r="P1220" s="6">
        <f>HYPERLINK("https://www.kleinanzeigen.de/s-bestandsliste.html?userId=20845543", "Link")</f>
        <v/>
      </c>
      <c r="Q1220" s="7" t="n">
        <v>45549.57726851852</v>
      </c>
      <c r="R1220" s="3" t="inlineStr">
        <is>
          <t>353.16</t>
        </is>
      </c>
      <c r="S1220" t="inlineStr">
        <is>
          <t>Köln</t>
        </is>
      </c>
    </row>
    <row r="1221">
      <c r="A1221" s="2" t="n">
        <v>5</v>
      </c>
      <c r="B1221" t="inlineStr">
        <is>
          <t>North Sails</t>
        </is>
      </c>
      <c r="C1221" s="3" t="inlineStr"/>
      <c r="D1221" s="3" t="inlineStr"/>
      <c r="E1221" t="inlineStr"/>
      <c r="F1221" t="inlineStr"/>
      <c r="G1221" t="inlineStr"/>
      <c r="H1221" s="4" t="n">
        <v>20</v>
      </c>
      <c r="I1221" t="inlineStr">
        <is>
          <t>VB</t>
        </is>
      </c>
      <c r="J1221" t="inlineStr">
        <is>
          <t>82296 Bayern - Schöngeising</t>
        </is>
      </c>
      <c r="K1221" s="5" t="n">
        <v>45539</v>
      </c>
      <c r="L1221" t="inlineStr">
        <is>
          <t>Sold</t>
        </is>
      </c>
      <c r="M1221" s="6">
        <f>HYPERLINK("https://www.kleinanzeigen.de/s-anzeige/wind-surf-segel-north-sails-5-0-m2/2854196640-230-6318", "Link")</f>
        <v/>
      </c>
      <c r="N1221" s="6">
        <f>HYPERLINK("C:\Projects\Kleinanzeigen-Scraper\offer_images\2854196640", "Link")</f>
        <v/>
      </c>
      <c r="O1221" t="inlineStr">
        <is>
          <t>Alexander Diessner</t>
        </is>
      </c>
      <c r="P1221" s="6">
        <f>HYPERLINK("https://www.kleinanzeigen.de/s-bestandsliste.html?userId=85142068", "Link")</f>
        <v/>
      </c>
      <c r="Q1221" s="7" t="n">
        <v>45549.57724537037</v>
      </c>
      <c r="R1221" s="3" t="inlineStr">
        <is>
          <t>27.63</t>
        </is>
      </c>
      <c r="S1221" t="inlineStr">
        <is>
          <t>München</t>
        </is>
      </c>
    </row>
    <row r="1222">
      <c r="A1222" s="2" t="n">
        <v>5.6</v>
      </c>
      <c r="B1222" t="inlineStr">
        <is>
          <t>Gun Sails Nexus</t>
        </is>
      </c>
      <c r="C1222" s="3" t="n">
        <v>400</v>
      </c>
      <c r="D1222" s="3" t="inlineStr"/>
      <c r="E1222" t="inlineStr"/>
      <c r="F1222" t="inlineStr"/>
      <c r="G1222" t="inlineStr">
        <is>
          <t>used</t>
        </is>
      </c>
      <c r="H1222" s="4" t="n">
        <v>90</v>
      </c>
      <c r="I1222" t="inlineStr">
        <is>
          <t>VB</t>
        </is>
      </c>
      <c r="J1222" t="inlineStr">
        <is>
          <t>86574 Bayern - Petersdorf</t>
        </is>
      </c>
      <c r="K1222" s="5" t="n">
        <v>45541</v>
      </c>
      <c r="L1222" t="inlineStr"/>
      <c r="M1222" s="6">
        <f>HYPERLINK("https://www.kleinanzeigen.de/s-anzeige/windsurfsegel-gun-sails-nexus-5-6/2855758105-230-7198", "Link")</f>
        <v/>
      </c>
      <c r="N1222" s="6">
        <f>HYPERLINK("C:\Projects\Kleinanzeigen-Scraper\offer_images\2855758105", "Link")</f>
        <v/>
      </c>
      <c r="O1222" t="inlineStr">
        <is>
          <t>Fabian Heigemeir</t>
        </is>
      </c>
      <c r="P1222" s="6">
        <f>HYPERLINK("https://www.kleinanzeigen.de/s-bestandsliste.html?userId=121280439", "Link")</f>
        <v/>
      </c>
      <c r="Q1222" s="7" t="n">
        <v>45549.57724537037</v>
      </c>
      <c r="R1222" s="3" t="inlineStr">
        <is>
          <t>60.10</t>
        </is>
      </c>
      <c r="S1222" t="inlineStr">
        <is>
          <t>München</t>
        </is>
      </c>
    </row>
    <row r="1223">
      <c r="A1223" s="2" t="n">
        <v>4.7</v>
      </c>
      <c r="B1223" t="inlineStr">
        <is>
          <t>North Sails Style</t>
        </is>
      </c>
      <c r="C1223" s="3" t="inlineStr"/>
      <c r="D1223" s="3" t="inlineStr"/>
      <c r="E1223" t="inlineStr"/>
      <c r="F1223" t="inlineStr"/>
      <c r="G1223" t="inlineStr">
        <is>
          <t>used</t>
        </is>
      </c>
      <c r="H1223" s="4" t="n">
        <v>50</v>
      </c>
      <c r="I1223" t="inlineStr">
        <is>
          <t>VB</t>
        </is>
      </c>
      <c r="J1223" t="inlineStr">
        <is>
          <t>85276 Bayern - Pfaffenhofen a.d. Ilm</t>
        </is>
      </c>
      <c r="K1223" s="5" t="n">
        <v>45545</v>
      </c>
      <c r="L1223" t="inlineStr">
        <is>
          <t>Sold</t>
        </is>
      </c>
      <c r="M1223" s="6">
        <f>HYPERLINK("https://www.kleinanzeigen.de/s-anzeige/north-sails-style-4-7/2859655725-230-5850", "Link")</f>
        <v/>
      </c>
      <c r="N1223" s="6">
        <f>HYPERLINK("C:\Projects\Kleinanzeigen-Scraper\offer_images\2859655725", "Link")</f>
        <v/>
      </c>
      <c r="O1223" t="inlineStr">
        <is>
          <t>Fillip</t>
        </is>
      </c>
      <c r="P1223" s="6">
        <f>HYPERLINK("https://www.kleinanzeigen.de/s-bestandsliste.html?userId=65512741", "Link")</f>
        <v/>
      </c>
      <c r="Q1223" s="7" t="n">
        <v>45549.57724537037</v>
      </c>
      <c r="R1223" s="3" t="inlineStr">
        <is>
          <t>47.13</t>
        </is>
      </c>
      <c r="S1223" t="inlineStr">
        <is>
          <t>München</t>
        </is>
      </c>
    </row>
    <row r="1224">
      <c r="A1224" s="2" t="n">
        <v>5.3</v>
      </c>
      <c r="B1224" t="inlineStr">
        <is>
          <t>GOYA Banzai</t>
        </is>
      </c>
      <c r="C1224" s="3" t="inlineStr"/>
      <c r="D1224" s="3" t="inlineStr"/>
      <c r="E1224" t="inlineStr"/>
      <c r="F1224" t="inlineStr">
        <is>
          <t>2023</t>
        </is>
      </c>
      <c r="G1224" t="inlineStr">
        <is>
          <t>used</t>
        </is>
      </c>
      <c r="H1224" s="4" t="n">
        <v>444</v>
      </c>
      <c r="I1224" t="inlineStr"/>
      <c r="J1224" t="inlineStr">
        <is>
          <t>68519 Hessen - Viernheim</t>
        </is>
      </c>
      <c r="K1224" s="5" t="n">
        <v>45548</v>
      </c>
      <c r="L1224" t="inlineStr"/>
      <c r="M1224" s="6">
        <f>HYPERLINK("https://www.kleinanzeigen.de/s-anzeige/goya-banzai-5-3-segel-windurfen-2023-wie-neu/2861984666-230-4763", "Link")</f>
        <v/>
      </c>
      <c r="N1224" s="6">
        <f>HYPERLINK("C:\Projects\Kleinanzeigen-Scraper\offer_images\2861984666", "Link")</f>
        <v/>
      </c>
      <c r="O1224" t="inlineStr">
        <is>
          <t>MB</t>
        </is>
      </c>
      <c r="P1224" s="6">
        <f>HYPERLINK("https://www.kleinanzeigen.de/s-bestandsliste.html?userId=12000926", "Link")</f>
        <v/>
      </c>
      <c r="Q1224" s="7" t="n">
        <v>45549.5772337963</v>
      </c>
      <c r="R1224" s="3" t="inlineStr">
        <is>
          <t>62.64</t>
        </is>
      </c>
      <c r="S1224" t="inlineStr">
        <is>
          <t>Karlsruhe</t>
        </is>
      </c>
    </row>
    <row r="1225">
      <c r="A1225" s="2" t="n">
        <v>6.2</v>
      </c>
      <c r="B1225" t="inlineStr">
        <is>
          <t>Gun Sails</t>
        </is>
      </c>
      <c r="C1225" s="3" t="n">
        <v>4.82</v>
      </c>
      <c r="D1225" s="3" t="n">
        <v>189</v>
      </c>
      <c r="E1225" t="inlineStr"/>
      <c r="F1225" t="inlineStr"/>
      <c r="G1225" t="inlineStr"/>
      <c r="H1225" s="4" t="n">
        <v>10</v>
      </c>
      <c r="I1225" t="inlineStr"/>
      <c r="J1225" t="inlineStr">
        <is>
          <t>45134 Essen - Essen-Stadtwald</t>
        </is>
      </c>
      <c r="K1225" s="5" t="n">
        <v>44683</v>
      </c>
      <c r="L1225" t="inlineStr"/>
      <c r="M1225" s="6">
        <f>HYPERLINK("https://www.kleinanzeigen.de/s-anzeige/surf-segel-gun-sails-speed-slalom-6-2/2094835965-230-16839", "Link")</f>
        <v/>
      </c>
      <c r="N1225" s="6">
        <f>HYPERLINK("C:\Projects\Kleinanzeigen-Scraper\offer_images\2094835965", "Link")</f>
        <v/>
      </c>
      <c r="O1225" t="inlineStr">
        <is>
          <t>Julia &amp; Dom</t>
        </is>
      </c>
      <c r="P1225" s="6">
        <f>HYPERLINK("https://www.kleinanzeigen.de/s-bestandsliste.html?userId=18449938", "Link")</f>
        <v/>
      </c>
      <c r="Q1225" s="7" t="n">
        <v>45549.57721064815</v>
      </c>
      <c r="R1225" s="3" t="inlineStr">
        <is>
          <t>53.22</t>
        </is>
      </c>
      <c r="S1225" t="inlineStr">
        <is>
          <t>Köln</t>
        </is>
      </c>
    </row>
    <row r="1226">
      <c r="A1226" s="2" t="n">
        <v>4.5</v>
      </c>
      <c r="B1226" t="inlineStr">
        <is>
          <t>Unit Duotone</t>
        </is>
      </c>
      <c r="C1226" s="3" t="inlineStr"/>
      <c r="D1226" s="3" t="inlineStr"/>
      <c r="E1226" t="inlineStr"/>
      <c r="F1226" t="inlineStr">
        <is>
          <t>2024</t>
        </is>
      </c>
      <c r="G1226" t="inlineStr">
        <is>
          <t>repaired</t>
        </is>
      </c>
      <c r="H1226" s="4" t="n">
        <v>550</v>
      </c>
      <c r="I1226" t="inlineStr">
        <is>
          <t>VB</t>
        </is>
      </c>
      <c r="J1226" t="inlineStr">
        <is>
          <t>83707 Bayern - Ringsee</t>
        </is>
      </c>
      <c r="K1226" s="5" t="n">
        <v>45548</v>
      </c>
      <c r="L1226" t="inlineStr">
        <is>
          <t>Sold</t>
        </is>
      </c>
      <c r="M1226" s="6">
        <f>HYPERLINK("https://www.kleinanzeigen.de/s-anzeige/unit-duotone-2024-4-5qm/2862351531-230-5887", "Link")</f>
        <v/>
      </c>
      <c r="N1226" s="6">
        <f>HYPERLINK("C:\Projects\Kleinanzeigen-Scraper\offer_images\2862351531", "Link")</f>
        <v/>
      </c>
      <c r="O1226" t="inlineStr">
        <is>
          <t>Steve</t>
        </is>
      </c>
      <c r="P1226" s="6">
        <f>HYPERLINK("https://www.kleinanzeigen.de/s-bestandsliste.html?userId=15977222", "Link")</f>
        <v/>
      </c>
      <c r="Q1226" s="7" t="n">
        <v>45549.57721064815</v>
      </c>
      <c r="R1226" s="3" t="inlineStr">
        <is>
          <t>47.92</t>
        </is>
      </c>
      <c r="S1226" t="inlineStr">
        <is>
          <t>München</t>
        </is>
      </c>
    </row>
    <row r="1227">
      <c r="A1227" s="2" t="n">
        <v>6.7</v>
      </c>
      <c r="B1227" t="inlineStr">
        <is>
          <t>Gun Sails Rapid</t>
        </is>
      </c>
      <c r="C1227" s="3" t="n">
        <v>459</v>
      </c>
      <c r="D1227" s="3" t="n">
        <v>200</v>
      </c>
      <c r="E1227" t="inlineStr"/>
      <c r="F1227" t="inlineStr"/>
      <c r="G1227" t="inlineStr"/>
      <c r="H1227" s="4" t="n">
        <v>129</v>
      </c>
      <c r="I1227" t="inlineStr">
        <is>
          <t>VB</t>
        </is>
      </c>
      <c r="J1227" t="inlineStr">
        <is>
          <t>18211 Bad Doberan - Landkreis - Bargeshagen</t>
        </is>
      </c>
      <c r="K1227" s="5" t="n">
        <v>45541</v>
      </c>
      <c r="L1227" t="inlineStr"/>
      <c r="M1227" s="6">
        <f>HYPERLINK("https://www.kleinanzeigen.de/s-anzeige/gun-sails-rapid-6-7qm-windsurfsegel/2855763942-230-16583", "Link")</f>
        <v/>
      </c>
      <c r="N1227" s="6">
        <f>HYPERLINK("C:\Projects\Kleinanzeigen-Scraper\offer_images\2855763942", "Link")</f>
        <v/>
      </c>
      <c r="O1227" t="inlineStr">
        <is>
          <t>Dirk</t>
        </is>
      </c>
      <c r="P1227" s="6">
        <f>HYPERLINK("https://www.kleinanzeigen.de/s-bestandsliste.html?userId=141661148", "Link")</f>
        <v/>
      </c>
      <c r="Q1227" s="7" t="n">
        <v>45549.5771875</v>
      </c>
      <c r="R1227" s="3" t="inlineStr">
        <is>
          <t>490.50</t>
        </is>
      </c>
      <c r="S1227" t="inlineStr">
        <is>
          <t>Köln</t>
        </is>
      </c>
    </row>
    <row r="1228">
      <c r="A1228" s="2" t="n">
        <v>15</v>
      </c>
      <c r="B1228" t="inlineStr">
        <is>
          <t>Duotone Juice</t>
        </is>
      </c>
      <c r="C1228" s="3" t="inlineStr"/>
      <c r="D1228" s="3" t="inlineStr"/>
      <c r="E1228" t="inlineStr"/>
      <c r="F1228" t="inlineStr">
        <is>
          <t>2021</t>
        </is>
      </c>
      <c r="G1228" t="inlineStr">
        <is>
          <t>used</t>
        </is>
      </c>
      <c r="H1228" s="4" t="n">
        <v>1</v>
      </c>
      <c r="I1228" t="inlineStr"/>
      <c r="J1228" t="inlineStr">
        <is>
          <t>95473 Bayern - Creußen</t>
        </is>
      </c>
      <c r="K1228" s="5" t="n">
        <v>45539</v>
      </c>
      <c r="L1228" t="inlineStr">
        <is>
          <t>Sold</t>
        </is>
      </c>
      <c r="M1228" s="6">
        <f>HYPERLINK("https://www.kleinanzeigen.de/s-anzeige/duotone-juice-15qm-2021-sehr-guter-zustand/2854321460-230-19612", "Link")</f>
        <v/>
      </c>
      <c r="N1228" s="6">
        <f>HYPERLINK("C:\Projects\Kleinanzeigen-Scraper\offer_images\2854321460", "Link")</f>
        <v/>
      </c>
      <c r="O1228" t="inlineStr">
        <is>
          <t>Langer Sebastian</t>
        </is>
      </c>
      <c r="P1228" s="6">
        <f>HYPERLINK("https://www.kleinanzeigen.de/s-bestandsliste.html?userId=21466127", "Link")</f>
        <v/>
      </c>
      <c r="Q1228" s="7" t="n">
        <v>45549.57714120371</v>
      </c>
      <c r="R1228" s="3" t="inlineStr">
        <is>
          <t>189.99</t>
        </is>
      </c>
      <c r="S1228" t="inlineStr">
        <is>
          <t>München</t>
        </is>
      </c>
    </row>
    <row r="1229">
      <c r="A1229" s="2" t="n">
        <v>11</v>
      </c>
      <c r="B1229" t="inlineStr">
        <is>
          <t>Duotone Dice SLS</t>
        </is>
      </c>
      <c r="C1229" s="3" t="inlineStr"/>
      <c r="D1229" s="3" t="inlineStr"/>
      <c r="E1229" t="inlineStr"/>
      <c r="F1229" t="inlineStr"/>
      <c r="G1229" t="inlineStr">
        <is>
          <t>new</t>
        </is>
      </c>
      <c r="H1229" s="4" t="n">
        <v>1.399</v>
      </c>
      <c r="I1229" t="inlineStr"/>
      <c r="J1229" t="inlineStr">
        <is>
          <t>58675 Nordrhein-Westfalen - Hemer</t>
        </is>
      </c>
      <c r="K1229" s="5" t="n">
        <v>45541</v>
      </c>
      <c r="L1229" t="inlineStr">
        <is>
          <t>Sold</t>
        </is>
      </c>
      <c r="M1229" s="6">
        <f>HYPERLINK("https://www.kleinanzeigen.de/s-anzeige/duotone-dice-sls-11-m-neu/2855839225-230-1425", "Link")</f>
        <v/>
      </c>
      <c r="N1229" s="6">
        <f>HYPERLINK("C:\Projects\Kleinanzeigen-Scraper\offer_images\2855839225", "Link")</f>
        <v/>
      </c>
      <c r="O1229" t="inlineStr">
        <is>
          <t>Alex</t>
        </is>
      </c>
      <c r="P1229" s="6">
        <f>HYPERLINK("https://www.kleinanzeigen.de/s-bestandsliste.html?userId=8009917", "Link")</f>
        <v/>
      </c>
      <c r="Q1229" s="7" t="n">
        <v>45549.57714120371</v>
      </c>
      <c r="R1229" s="3" t="inlineStr">
        <is>
          <t>74.52</t>
        </is>
      </c>
      <c r="S1229" t="inlineStr">
        <is>
          <t>Köln</t>
        </is>
      </c>
    </row>
    <row r="1230">
      <c r="A1230" s="2" t="n">
        <v>5.1</v>
      </c>
      <c r="B1230" t="inlineStr">
        <is>
          <t>North Sails</t>
        </is>
      </c>
      <c r="C1230" s="3" t="n">
        <v>4.8</v>
      </c>
      <c r="D1230" s="3" t="n">
        <v>1.65</v>
      </c>
      <c r="E1230" t="inlineStr"/>
      <c r="F1230" t="inlineStr"/>
      <c r="G1230" t="inlineStr">
        <is>
          <t>used</t>
        </is>
      </c>
      <c r="H1230" s="4" t="n">
        <v>1</v>
      </c>
      <c r="I1230" t="inlineStr">
        <is>
          <t>VB</t>
        </is>
      </c>
      <c r="J1230" t="inlineStr">
        <is>
          <t>18573 Mecklenburg-Vorpommern - Altefähr</t>
        </is>
      </c>
      <c r="K1230" s="5" t="n">
        <v>45543</v>
      </c>
      <c r="L1230" t="inlineStr">
        <is>
          <t>Sold</t>
        </is>
      </c>
      <c r="M1230" s="6">
        <f>HYPERLINK("https://www.kleinanzeigen.de/s-anzeige/north-sails-segel-surfbrett-surfboard-5-1-qm/2857191060-230-30198", "Link")</f>
        <v/>
      </c>
      <c r="N1230" s="6">
        <f>HYPERLINK("C:\Projects\Kleinanzeigen-Scraper\offer_images\2857191060", "Link")</f>
        <v/>
      </c>
      <c r="O1230" t="inlineStr">
        <is>
          <t>Sven</t>
        </is>
      </c>
      <c r="P1230" s="6">
        <f>HYPERLINK("https://www.kleinanzeigen.de/s-bestandsliste.html?userId=73045095", "Link")</f>
        <v/>
      </c>
      <c r="Q1230" s="7" t="n">
        <v>45549.57714120371</v>
      </c>
      <c r="R1230" s="3" t="inlineStr">
        <is>
          <t>571.49</t>
        </is>
      </c>
      <c r="S1230" t="inlineStr">
        <is>
          <t>Köln</t>
        </is>
      </c>
    </row>
    <row r="1231">
      <c r="A1231" s="2" t="n">
        <v>7.8</v>
      </c>
      <c r="B1231" t="inlineStr">
        <is>
          <t>Gun Sails GS-R</t>
        </is>
      </c>
      <c r="C1231" s="3" t="inlineStr"/>
      <c r="D1231" s="3" t="inlineStr"/>
      <c r="E1231" t="inlineStr"/>
      <c r="F1231" t="inlineStr"/>
      <c r="G1231" t="inlineStr">
        <is>
          <t>new</t>
        </is>
      </c>
      <c r="H1231" s="4" t="n">
        <v>300</v>
      </c>
      <c r="I1231" t="inlineStr"/>
      <c r="J1231" t="inlineStr">
        <is>
          <t>63743 Bayern - Aschaffenburg</t>
        </is>
      </c>
      <c r="K1231" s="5" t="n">
        <v>45309</v>
      </c>
      <c r="L1231" t="inlineStr"/>
      <c r="M1231" s="6">
        <f>HYPERLINK("https://www.kleinanzeigen.de/s-anzeige/gun-sails-gs-r-7-8-neu-unbenutzt-sails/2656371555-230-7438", "Link")</f>
        <v/>
      </c>
      <c r="N1231" s="6">
        <f>HYPERLINK("C:\Projects\Kleinanzeigen-Scraper\offer_images\2656371555", "Link")</f>
        <v/>
      </c>
      <c r="O1231" t="inlineStr">
        <is>
          <t>Axel Muleit</t>
        </is>
      </c>
      <c r="P1231" s="6">
        <f>HYPERLINK("https://www.kleinanzeigen.de/s-bestandsliste.html?userId=350567", "Link")</f>
        <v/>
      </c>
      <c r="Q1231" s="7" t="n">
        <v>45549.57711805555</v>
      </c>
      <c r="R1231" s="3" t="inlineStr">
        <is>
          <t>118.81</t>
        </is>
      </c>
      <c r="S1231" t="inlineStr">
        <is>
          <t>Karlsruhe</t>
        </is>
      </c>
    </row>
    <row r="1232">
      <c r="A1232" s="2" t="n">
        <v>5.1</v>
      </c>
      <c r="B1232" t="inlineStr">
        <is>
          <t>Neilpryde Core</t>
        </is>
      </c>
      <c r="C1232" s="3" t="n">
        <v>400</v>
      </c>
      <c r="D1232" s="3" t="n">
        <v>170</v>
      </c>
      <c r="E1232" t="inlineStr"/>
      <c r="F1232" t="inlineStr"/>
      <c r="G1232" t="inlineStr">
        <is>
          <t>repaired</t>
        </is>
      </c>
      <c r="H1232" s="4" t="n">
        <v>100</v>
      </c>
      <c r="I1232" t="inlineStr">
        <is>
          <t>VB</t>
        </is>
      </c>
      <c r="J1232" t="inlineStr">
        <is>
          <t>27751 Niedersachsen - Delmenhorst</t>
        </is>
      </c>
      <c r="K1232" s="5" t="n">
        <v>45463</v>
      </c>
      <c r="L1232" t="inlineStr"/>
      <c r="M1232" s="6">
        <f>HYPERLINK("https://www.kleinanzeigen.de/s-anzeige/neilpryde-core-5-1-segel-windsurfen-mono-monosegel-surfen/2793096381-230-2468", "Link")</f>
        <v/>
      </c>
      <c r="N1232" s="6">
        <f>HYPERLINK("C:\Projects\Kleinanzeigen-Scraper\offer_images\2793096381", "Link")</f>
        <v/>
      </c>
      <c r="O1232" t="inlineStr">
        <is>
          <t>mk</t>
        </is>
      </c>
      <c r="P1232" s="6">
        <f>HYPERLINK("https://www.kleinanzeigen.de/s-bestandsliste.html?userId=15258210", "Link")</f>
        <v/>
      </c>
      <c r="Q1232" s="7" t="n">
        <v>45549.57711805555</v>
      </c>
      <c r="R1232" s="3" t="inlineStr">
        <is>
          <t>262.60</t>
        </is>
      </c>
      <c r="S1232" t="inlineStr">
        <is>
          <t>Köln</t>
        </is>
      </c>
    </row>
    <row r="1233">
      <c r="A1233" s="2" t="n">
        <v>6.6</v>
      </c>
      <c r="B1233" t="inlineStr">
        <is>
          <t>Neilpryde RS Racing Evo XIII</t>
        </is>
      </c>
      <c r="C1233" s="3" t="n">
        <v>430</v>
      </c>
      <c r="D1233" s="3" t="inlineStr">
        <is>
          <t>189-196</t>
        </is>
      </c>
      <c r="E1233" t="inlineStr"/>
      <c r="F1233" t="inlineStr"/>
      <c r="G1233" t="inlineStr">
        <is>
          <t>new</t>
        </is>
      </c>
      <c r="H1233" s="4" t="n">
        <v>490</v>
      </c>
      <c r="I1233" t="inlineStr"/>
      <c r="J1233" t="inlineStr">
        <is>
          <t>33758 Nordrhein-Westfalen - Schloß Holte-Stukenbrock</t>
        </is>
      </c>
      <c r="K1233" s="5" t="n">
        <v>45544</v>
      </c>
      <c r="L1233" t="inlineStr">
        <is>
          <t>Sold</t>
        </is>
      </c>
      <c r="M1233" s="6">
        <f>HYPERLINK("https://www.kleinanzeigen.de/s-anzeige/neilpryde-rs-racing-evo-xiii-6-6/2858612664-230-1646", "Link")</f>
        <v/>
      </c>
      <c r="N1233" s="6">
        <f>HYPERLINK("C:\Projects\Kleinanzeigen-Scraper\offer_images\2858612664", "Link")</f>
        <v/>
      </c>
      <c r="O1233" t="inlineStr">
        <is>
          <t>Ralf Ewers</t>
        </is>
      </c>
      <c r="P1233" s="6">
        <f>HYPERLINK("https://www.kleinanzeigen.de/s-bestandsliste.html?userId=75080608", "Link")</f>
        <v/>
      </c>
      <c r="Q1233" s="7" t="n">
        <v>45549.57709490741</v>
      </c>
      <c r="R1233" s="3" t="inlineStr">
        <is>
          <t>158.29</t>
        </is>
      </c>
      <c r="S1233" t="inlineStr">
        <is>
          <t>Köln</t>
        </is>
      </c>
    </row>
    <row r="1234">
      <c r="A1234" s="2" t="n">
        <v>6</v>
      </c>
      <c r="B1234" t="inlineStr">
        <is>
          <t>Neilpryde Supersonic</t>
        </is>
      </c>
      <c r="C1234" s="3" t="n">
        <v>430</v>
      </c>
      <c r="D1234" s="3" t="n">
        <v>188</v>
      </c>
      <c r="E1234" t="inlineStr"/>
      <c r="F1234" t="inlineStr"/>
      <c r="G1234" t="inlineStr">
        <is>
          <t>repaired</t>
        </is>
      </c>
      <c r="H1234" s="4" t="n">
        <v>30</v>
      </c>
      <c r="I1234" t="inlineStr">
        <is>
          <t>VB</t>
        </is>
      </c>
      <c r="J1234" t="inlineStr">
        <is>
          <t>22417 Hamburg-Nord - Hamburg Langenhorn</t>
        </is>
      </c>
      <c r="K1234" s="5" t="n">
        <v>45543</v>
      </c>
      <c r="L1234" t="inlineStr">
        <is>
          <t>Sold</t>
        </is>
      </c>
      <c r="M1234" s="6">
        <f>HYPERLINK("https://www.kleinanzeigen.de/s-anzeige/surfsegel-neilpryde-6-0m2-supersonic-kein-north-duotone-/2857484727-230-9489", "Link")</f>
        <v/>
      </c>
      <c r="N1234" s="6">
        <f>HYPERLINK("C:\Projects\Kleinanzeigen-Scraper\offer_images\2857484727", "Link")</f>
        <v/>
      </c>
      <c r="O1234" t="inlineStr">
        <is>
          <t>Schubert</t>
        </is>
      </c>
      <c r="P1234" s="6">
        <f>HYPERLINK("https://www.kleinanzeigen.de/s-bestandsliste.html?userId=19609546", "Link")</f>
        <v/>
      </c>
      <c r="Q1234" s="7" t="n">
        <v>45549.57709490741</v>
      </c>
      <c r="R1234" s="3" t="inlineStr">
        <is>
          <t>368.88</t>
        </is>
      </c>
      <c r="S1234" t="inlineStr">
        <is>
          <t>Köln</t>
        </is>
      </c>
    </row>
    <row r="1235">
      <c r="A1235" s="2" t="n">
        <v>7</v>
      </c>
      <c r="B1235" t="inlineStr">
        <is>
          <t>Severne HG4</t>
        </is>
      </c>
      <c r="C1235" s="3" t="inlineStr"/>
      <c r="D1235" s="3" t="inlineStr"/>
      <c r="E1235" t="inlineStr">
        <is>
          <t>Slalom</t>
        </is>
      </c>
      <c r="F1235" t="inlineStr">
        <is>
          <t>2021</t>
        </is>
      </c>
      <c r="G1235" t="inlineStr">
        <is>
          <t>repaired</t>
        </is>
      </c>
      <c r="H1235" s="4" t="n">
        <v>200</v>
      </c>
      <c r="I1235" t="inlineStr">
        <is>
          <t>VB</t>
        </is>
      </c>
      <c r="J1235" t="inlineStr">
        <is>
          <t>59320 Nordrhein-Westfalen - Ennigerloh</t>
        </is>
      </c>
      <c r="K1235" s="5" t="n">
        <v>45440</v>
      </c>
      <c r="L1235" t="inlineStr"/>
      <c r="M1235" s="6">
        <f>HYPERLINK("https://www.kleinanzeigen.de/s-anzeige/severne-7m-hg4-2021-hyperglide-slalom-foil-segel/2773749593-230-1439", "Link")</f>
        <v/>
      </c>
      <c r="N1235" s="6">
        <f>HYPERLINK("C:\Projects\Kleinanzeigen-Scraper\offer_images\2773749593", "Link")</f>
        <v/>
      </c>
      <c r="O1235" t="inlineStr">
        <is>
          <t>Steffen Bremerich</t>
        </is>
      </c>
      <c r="P1235" s="6">
        <f>HYPERLINK("https://www.kleinanzeigen.de/s-bestandsliste.html?userId=51431186", "Link")</f>
        <v/>
      </c>
      <c r="Q1235" s="7" t="n">
        <v>45549.57707175926</v>
      </c>
      <c r="R1235" s="3" t="inlineStr">
        <is>
          <t>126.09</t>
        </is>
      </c>
      <c r="S1235" t="inlineStr">
        <is>
          <t>Köln</t>
        </is>
      </c>
    </row>
    <row r="1236">
      <c r="A1236" s="2" t="n">
        <v>7.5</v>
      </c>
      <c r="B1236" t="inlineStr">
        <is>
          <t>Sailloft Hamburg CROSS</t>
        </is>
      </c>
      <c r="C1236" s="3" t="n">
        <v>460</v>
      </c>
      <c r="D1236" s="3" t="n">
        <v>204</v>
      </c>
      <c r="E1236" t="inlineStr"/>
      <c r="F1236" t="inlineStr"/>
      <c r="G1236" t="inlineStr">
        <is>
          <t>new</t>
        </is>
      </c>
      <c r="H1236" s="4" t="n">
        <v>280</v>
      </c>
      <c r="I1236" t="inlineStr"/>
      <c r="J1236" t="inlineStr">
        <is>
          <t>18146 Rostock - Dierkow</t>
        </is>
      </c>
      <c r="K1236" s="5" t="n">
        <v>45530</v>
      </c>
      <c r="L1236" t="inlineStr">
        <is>
          <t>Sold</t>
        </is>
      </c>
      <c r="M1236" s="6">
        <f>HYPERLINK("https://www.kleinanzeigen.de/s-anzeige/-segel-sailloft-hamburg-surf-7-5m-neuwertig-/2847083271-230-9537", "Link")</f>
        <v/>
      </c>
      <c r="N1236" s="6">
        <f>HYPERLINK("C:\Projects\Kleinanzeigen-Scraper\offer_images\2847083271", "Link")</f>
        <v/>
      </c>
      <c r="O1236" t="inlineStr">
        <is>
          <t>Ralf</t>
        </is>
      </c>
      <c r="P1236" s="6">
        <f>HYPERLINK("https://www.kleinanzeigen.de/s-bestandsliste.html?userId=24676102", "Link")</f>
        <v/>
      </c>
      <c r="Q1236" s="7" t="n">
        <v>45549.57706018518</v>
      </c>
      <c r="R1236" s="3" t="inlineStr">
        <is>
          <t>497.86</t>
        </is>
      </c>
      <c r="S1236" t="inlineStr">
        <is>
          <t>Köln</t>
        </is>
      </c>
    </row>
    <row r="1237">
      <c r="A1237" s="2" t="n">
        <v>7</v>
      </c>
      <c r="B1237" t="inlineStr">
        <is>
          <t>Neilpryde V6</t>
        </is>
      </c>
      <c r="C1237" s="3" t="n">
        <v>475</v>
      </c>
      <c r="D1237" s="3" t="n">
        <v>211</v>
      </c>
      <c r="E1237" t="inlineStr"/>
      <c r="F1237" t="inlineStr"/>
      <c r="G1237" t="inlineStr">
        <is>
          <t>used</t>
        </is>
      </c>
      <c r="H1237" s="4" t="n">
        <v>29</v>
      </c>
      <c r="I1237" t="inlineStr">
        <is>
          <t>VB</t>
        </is>
      </c>
      <c r="J1237" t="inlineStr">
        <is>
          <t>41238 Nordrhein-Westfalen - Mönchengladbach</t>
        </is>
      </c>
      <c r="K1237" s="5" t="n">
        <v>45492</v>
      </c>
      <c r="L1237" t="inlineStr">
        <is>
          <t>Sold</t>
        </is>
      </c>
      <c r="M1237" s="6">
        <f>HYPERLINK("https://www.kleinanzeigen.de/s-anzeige/windsurfsegel-neilpryde-v6-7-0m-/2816025351-230-1962", "Link")</f>
        <v/>
      </c>
      <c r="N1237" s="6">
        <f>HYPERLINK("C:\Projects\Kleinanzeigen-Scraper\offer_images\2816025351", "Link")</f>
        <v/>
      </c>
      <c r="O1237" t="inlineStr">
        <is>
          <t>Carsten Behr</t>
        </is>
      </c>
      <c r="P1237" s="6">
        <f>HYPERLINK("https://www.kleinanzeigen.de/s-bestandsliste.html?userId=24660876", "Link")</f>
        <v/>
      </c>
      <c r="Q1237" s="7" t="n">
        <v>45549.57704861111</v>
      </c>
      <c r="R1237" s="3" t="inlineStr">
        <is>
          <t>40.78</t>
        </is>
      </c>
      <c r="S1237" t="inlineStr">
        <is>
          <t>Köln</t>
        </is>
      </c>
    </row>
    <row r="1238">
      <c r="A1238" s="2" t="n">
        <v>4.7</v>
      </c>
      <c r="B1238" t="inlineStr">
        <is>
          <t>Duotone Super Hero</t>
        </is>
      </c>
      <c r="C1238" s="3" t="inlineStr"/>
      <c r="D1238" s="3" t="inlineStr"/>
      <c r="E1238" t="inlineStr"/>
      <c r="F1238" t="inlineStr">
        <is>
          <t>2024</t>
        </is>
      </c>
      <c r="G1238" t="inlineStr">
        <is>
          <t>new</t>
        </is>
      </c>
      <c r="H1238" s="4" t="n">
        <v>620</v>
      </c>
      <c r="I1238" t="inlineStr"/>
      <c r="J1238" t="inlineStr">
        <is>
          <t>47058 Duisburg - Duisburg-Mitte</t>
        </is>
      </c>
      <c r="K1238" s="5" t="n">
        <v>45538</v>
      </c>
      <c r="L1238" t="inlineStr">
        <is>
          <t>Sold</t>
        </is>
      </c>
      <c r="M1238" s="6">
        <f>HYPERLINK("https://www.kleinanzeigen.de/s-anzeige/duotone-super-hero-4-7-modell-2024-neu/2853356932-230-2152", "Link")</f>
        <v/>
      </c>
      <c r="N1238" s="6">
        <f>HYPERLINK("C:\Projects\Kleinanzeigen-Scraper\offer_images\2853356932", "Link")</f>
        <v/>
      </c>
      <c r="O1238" t="inlineStr">
        <is>
          <t>Sebastian</t>
        </is>
      </c>
      <c r="P1238" s="6">
        <f>HYPERLINK("https://www.kleinanzeigen.de/s-bestandsliste.html?userId=14905691", "Link")</f>
        <v/>
      </c>
      <c r="Q1238" s="7" t="n">
        <v>45549.57703703704</v>
      </c>
      <c r="R1238" s="3" t="inlineStr">
        <is>
          <t>56.75</t>
        </is>
      </c>
      <c r="S1238" t="inlineStr">
        <is>
          <t>Köln</t>
        </is>
      </c>
    </row>
    <row r="1239">
      <c r="A1239" s="2" t="n">
        <v>4.2</v>
      </c>
      <c r="B1239" t="inlineStr">
        <is>
          <t>Simmer Onshore</t>
        </is>
      </c>
      <c r="C1239" s="3" t="n">
        <v>400</v>
      </c>
      <c r="D1239" s="3" t="n">
        <v>150</v>
      </c>
      <c r="E1239" t="inlineStr"/>
      <c r="F1239" t="inlineStr"/>
      <c r="G1239" t="inlineStr">
        <is>
          <t>used</t>
        </is>
      </c>
      <c r="H1239" s="4" t="n">
        <v>50</v>
      </c>
      <c r="I1239" t="inlineStr"/>
      <c r="J1239" t="inlineStr">
        <is>
          <t>83623 Bayern - Dietramszell</t>
        </is>
      </c>
      <c r="K1239" s="5" t="n">
        <v>45494</v>
      </c>
      <c r="L1239" t="inlineStr"/>
      <c r="M1239" s="6">
        <f>HYPERLINK("https://www.kleinanzeigen.de/s-anzeige/windsurfsegel-simmer-onshore-4-2-gut-erhalten/2817346911-230-6194", "Link")</f>
        <v/>
      </c>
      <c r="N1239" s="6">
        <f>HYPERLINK("C:\Projects\Kleinanzeigen-Scraper\offer_images\2817346911", "Link")</f>
        <v/>
      </c>
      <c r="O1239" t="inlineStr">
        <is>
          <t>Michl</t>
        </is>
      </c>
      <c r="P1239" s="6">
        <f>HYPERLINK("https://www.kleinanzeigen.de/s-bestandsliste.html?userId=23358488", "Link")</f>
        <v/>
      </c>
      <c r="Q1239" s="7" t="n">
        <v>45549.57703703704</v>
      </c>
      <c r="R1239" s="3" t="inlineStr">
        <is>
          <t>31.34</t>
        </is>
      </c>
      <c r="S1239" t="inlineStr">
        <is>
          <t>München</t>
        </is>
      </c>
    </row>
    <row r="1240">
      <c r="A1240" s="2" t="n">
        <v>6</v>
      </c>
      <c r="B1240" t="inlineStr">
        <is>
          <t>Severne NCX</t>
        </is>
      </c>
      <c r="C1240" s="3" t="inlineStr"/>
      <c r="D1240" s="3" t="inlineStr"/>
      <c r="E1240" t="inlineStr"/>
      <c r="F1240" t="inlineStr"/>
      <c r="G1240" t="inlineStr">
        <is>
          <t>used</t>
        </is>
      </c>
      <c r="H1240" s="4" t="n">
        <v>150</v>
      </c>
      <c r="I1240" t="inlineStr"/>
      <c r="J1240" t="inlineStr">
        <is>
          <t>88161 Bayern - Lindenberg im Allgäu</t>
        </is>
      </c>
      <c r="K1240" s="5" t="n">
        <v>45531</v>
      </c>
      <c r="L1240" t="inlineStr"/>
      <c r="M1240" s="6">
        <f>HYPERLINK("https://www.kleinanzeigen.de/s-anzeige/surfsegel-severne-6m2-ncx/2848040733-230-8596", "Link")</f>
        <v/>
      </c>
      <c r="N1240" s="6">
        <f>HYPERLINK("C:\Projects\Kleinanzeigen-Scraper\offer_images\2848040733", "Link")</f>
        <v/>
      </c>
      <c r="O1240" t="inlineStr">
        <is>
          <t>Frank Reisinger</t>
        </is>
      </c>
      <c r="P1240" s="6">
        <f>HYPERLINK("https://www.kleinanzeigen.de/s-bestandsliste.html?userId=130614574", "Link")</f>
        <v/>
      </c>
      <c r="Q1240" s="7" t="n">
        <v>45549.57702546296</v>
      </c>
      <c r="R1240" s="3" t="inlineStr">
        <is>
          <t>118.20</t>
        </is>
      </c>
      <c r="S1240" t="inlineStr">
        <is>
          <t>Bonndorf</t>
        </is>
      </c>
    </row>
    <row r="1241">
      <c r="A1241" s="2" t="n">
        <v>4.5</v>
      </c>
      <c r="B1241" t="inlineStr">
        <is>
          <t>Goya Banzai Pro</t>
        </is>
      </c>
      <c r="C1241" s="3" t="n">
        <v>370</v>
      </c>
      <c r="D1241" s="3" t="n">
        <v>193</v>
      </c>
      <c r="E1241" t="inlineStr">
        <is>
          <t>Powerwave</t>
        </is>
      </c>
      <c r="F1241" t="inlineStr">
        <is>
          <t>2023</t>
        </is>
      </c>
      <c r="G1241" t="inlineStr">
        <is>
          <t>used</t>
        </is>
      </c>
      <c r="H1241" s="4" t="n">
        <v>450</v>
      </c>
      <c r="I1241" t="inlineStr"/>
      <c r="J1241" t="inlineStr">
        <is>
          <t>24217 Schleswig-Holstein - Schönberg (Holstein)</t>
        </is>
      </c>
      <c r="K1241" s="5" t="n">
        <v>45546</v>
      </c>
      <c r="L1241" t="inlineStr"/>
      <c r="M1241" s="6">
        <f>HYPERLINK("https://www.kleinanzeigen.de/s-anzeige/goya-banzai-pro-4-5-von-2023/2860595550-230-18587", "Link")</f>
        <v/>
      </c>
      <c r="N1241" s="6">
        <f>HYPERLINK("C:\Projects\Kleinanzeigen-Scraper\offer_images\2860595550", "Link")</f>
        <v/>
      </c>
      <c r="O1241" t="inlineStr">
        <is>
          <t>S.Wahl</t>
        </is>
      </c>
      <c r="P1241" s="6">
        <f>HYPERLINK("https://www.kleinanzeigen.de/s-bestandsliste.html?userId=11293188", "Link")</f>
        <v/>
      </c>
      <c r="Q1241" s="7" t="n">
        <v>45549.57701388889</v>
      </c>
      <c r="R1241" s="3" t="inlineStr">
        <is>
          <t>447.79</t>
        </is>
      </c>
      <c r="S1241" t="inlineStr">
        <is>
          <t>Köln</t>
        </is>
      </c>
    </row>
    <row r="1242">
      <c r="A1242" s="2" t="n">
        <v>7</v>
      </c>
      <c r="B1242" t="inlineStr">
        <is>
          <t>LOFTSAILS OXYGEN</t>
        </is>
      </c>
      <c r="C1242" s="3" t="n">
        <v>430</v>
      </c>
      <c r="D1242" s="3" t="inlineStr"/>
      <c r="E1242" t="inlineStr">
        <is>
          <t>Freerace</t>
        </is>
      </c>
      <c r="F1242" t="inlineStr">
        <is>
          <t>2023</t>
        </is>
      </c>
      <c r="G1242" t="inlineStr">
        <is>
          <t>new</t>
        </is>
      </c>
      <c r="H1242" s="4" t="n">
        <v>550</v>
      </c>
      <c r="I1242" t="inlineStr"/>
      <c r="J1242" t="inlineStr">
        <is>
          <t>55218 Rheinland-Pfalz - Ingelheim am Rhein</t>
        </is>
      </c>
      <c r="K1242" s="5" t="n">
        <v>45164</v>
      </c>
      <c r="L1242" t="inlineStr"/>
      <c r="M1242" s="6">
        <f>HYPERLINK("https://www.kleinanzeigen.de/s-anzeige/2023-loftsails-oxygen-7-0-hd-freerace-no-cam/2529962542-230-5126", "Link")</f>
        <v/>
      </c>
      <c r="N1242" s="6">
        <f>HYPERLINK("C:\Projects\Kleinanzeigen-Scraper\offer_images\2529962542", "Link")</f>
        <v/>
      </c>
      <c r="O1242" t="inlineStr">
        <is>
          <t>Peters Windsurfing Shop</t>
        </is>
      </c>
      <c r="P1242" s="6">
        <f>HYPERLINK("https://www.kleinanzeigen.de/s-bestandsliste.html?userId=120339149", "Link")</f>
        <v/>
      </c>
      <c r="Q1242" s="7" t="n">
        <v>45549.57699074074</v>
      </c>
      <c r="R1242" s="3" t="inlineStr">
        <is>
          <t>108.99</t>
        </is>
      </c>
      <c r="S1242" t="inlineStr">
        <is>
          <t>Karlsruhe</t>
        </is>
      </c>
    </row>
    <row r="1243">
      <c r="A1243" s="2" t="n">
        <v>4.2</v>
      </c>
      <c r="B1243" t="inlineStr">
        <is>
          <t>Goya Banzai</t>
        </is>
      </c>
      <c r="C1243" s="3" t="inlineStr"/>
      <c r="D1243" s="3" t="inlineStr"/>
      <c r="E1243" t="inlineStr"/>
      <c r="F1243" t="inlineStr">
        <is>
          <t>2018</t>
        </is>
      </c>
      <c r="G1243" t="inlineStr">
        <is>
          <t>used</t>
        </is>
      </c>
      <c r="H1243" s="4" t="n">
        <v>210</v>
      </c>
      <c r="I1243" t="inlineStr"/>
      <c r="J1243" t="inlineStr">
        <is>
          <t>50829 Köln - Bocklemünd/Mengenich</t>
        </is>
      </c>
      <c r="K1243" s="5" t="n">
        <v>45508</v>
      </c>
      <c r="L1243" t="inlineStr">
        <is>
          <t>Sold</t>
        </is>
      </c>
      <c r="M1243" s="6">
        <f>HYPERLINK("https://www.kleinanzeigen.de/s-anzeige/windsurf-segel-goya-banzai-4-2/2828593687-230-24182", "Link")</f>
        <v/>
      </c>
      <c r="N1243" s="6">
        <f>HYPERLINK("C:\Projects\Kleinanzeigen-Scraper\offer_images\2828593687", "Link")</f>
        <v/>
      </c>
      <c r="O1243" t="inlineStr">
        <is>
          <t>B.K.</t>
        </is>
      </c>
      <c r="P1243" s="6">
        <f>HYPERLINK("https://www.kleinanzeigen.de/s-bestandsliste.html?userId=61539610", "Link")</f>
        <v/>
      </c>
      <c r="Q1243" s="7" t="n">
        <v>45549.57696759259</v>
      </c>
      <c r="R1243" s="3" t="inlineStr">
        <is>
          <t>7.70</t>
        </is>
      </c>
      <c r="S1243" t="inlineStr">
        <is>
          <t>Köln</t>
        </is>
      </c>
    </row>
    <row r="1244">
      <c r="A1244" s="2" t="n">
        <v>4.2</v>
      </c>
      <c r="B1244" t="inlineStr">
        <is>
          <t>Neilpryde Combat</t>
        </is>
      </c>
      <c r="C1244" s="3" t="inlineStr"/>
      <c r="D1244" s="3" t="inlineStr"/>
      <c r="E1244" t="inlineStr"/>
      <c r="F1244" t="inlineStr">
        <is>
          <t>2016</t>
        </is>
      </c>
      <c r="G1244" t="inlineStr">
        <is>
          <t>used</t>
        </is>
      </c>
      <c r="H1244" s="4" t="n">
        <v>140</v>
      </c>
      <c r="I1244" t="inlineStr">
        <is>
          <t>VB</t>
        </is>
      </c>
      <c r="J1244" t="inlineStr">
        <is>
          <t>24118 Kiel - Ravensberg-Brunswik-Düsternbrook</t>
        </is>
      </c>
      <c r="K1244" s="5" t="n">
        <v>45534</v>
      </c>
      <c r="L1244" t="inlineStr"/>
      <c r="M1244" s="6">
        <f>HYPERLINK("https://www.kleinanzeigen.de/s-anzeige/neilpryde-combat-4-2-2016-/2850123257-230-704", "Link")</f>
        <v/>
      </c>
      <c r="N1244" s="6">
        <f>HYPERLINK("C:\Projects\Kleinanzeigen-Scraper\offer_images\2850123257", "Link")</f>
        <v/>
      </c>
      <c r="O1244" t="inlineStr">
        <is>
          <t>Tim</t>
        </is>
      </c>
      <c r="P1244" s="6">
        <f>HYPERLINK("https://www.kleinanzeigen.de/s-bestandsliste.html?userId=10064062", "Link")</f>
        <v/>
      </c>
      <c r="Q1244" s="7" t="n">
        <v>45549.57696759259</v>
      </c>
      <c r="R1244" s="3" t="inlineStr">
        <is>
          <t>434.29</t>
        </is>
      </c>
      <c r="S1244" t="inlineStr">
        <is>
          <t>Köln</t>
        </is>
      </c>
    </row>
    <row r="1245">
      <c r="A1245" s="2" t="n">
        <v>4</v>
      </c>
      <c r="B1245" t="inlineStr">
        <is>
          <t>Neilpryde Fly</t>
        </is>
      </c>
      <c r="C1245" s="3" t="inlineStr"/>
      <c r="D1245" s="3" t="inlineStr"/>
      <c r="E1245" t="inlineStr"/>
      <c r="F1245" t="inlineStr"/>
      <c r="G1245" t="inlineStr">
        <is>
          <t>repaired</t>
        </is>
      </c>
      <c r="H1245" s="4" t="n">
        <v>449</v>
      </c>
      <c r="I1245" t="inlineStr">
        <is>
          <t>VB</t>
        </is>
      </c>
      <c r="J1245" t="inlineStr">
        <is>
          <t>82256 Bayern - Fürstenfeldbruck</t>
        </is>
      </c>
      <c r="K1245" s="5" t="n">
        <v>45539</v>
      </c>
      <c r="L1245" t="inlineStr">
        <is>
          <t>Sold</t>
        </is>
      </c>
      <c r="M1245" s="6">
        <f>HYPERLINK("https://www.kleinanzeigen.de/s-anzeige/wing-neilpryde-surf-4-0-qm-wingsurfer-foil-board-kite-wind-surf/2854516880-230-6311", "Link")</f>
        <v/>
      </c>
      <c r="N1245" s="6">
        <f>HYPERLINK("C:\Projects\Kleinanzeigen-Scraper\offer_images\2854516880", "Link")</f>
        <v/>
      </c>
      <c r="O1245" t="inlineStr">
        <is>
          <t>Privat</t>
        </is>
      </c>
      <c r="P1245" s="6">
        <f>HYPERLINK("https://www.kleinanzeigen.de/s-bestandsliste.html?userId=34533756", "Link")</f>
        <v/>
      </c>
      <c r="Q1245" s="7" t="n">
        <v>45549.57696759259</v>
      </c>
      <c r="R1245" s="3" t="inlineStr">
        <is>
          <t>25.37</t>
        </is>
      </c>
      <c r="S1245" t="inlineStr">
        <is>
          <t>München</t>
        </is>
      </c>
    </row>
    <row r="1246">
      <c r="A1246" s="2" t="n">
        <v>6.5</v>
      </c>
      <c r="B1246" t="inlineStr">
        <is>
          <t>Neilpryde Expression</t>
        </is>
      </c>
      <c r="C1246" s="3" t="inlineStr"/>
      <c r="D1246" s="3" t="inlineStr"/>
      <c r="E1246" t="inlineStr"/>
      <c r="F1246" t="inlineStr"/>
      <c r="G1246" t="inlineStr">
        <is>
          <t>used</t>
        </is>
      </c>
      <c r="H1246" s="4" t="n">
        <v>80</v>
      </c>
      <c r="I1246" t="inlineStr"/>
      <c r="J1246" t="inlineStr">
        <is>
          <t>18059 Rostock - Südstadt</t>
        </is>
      </c>
      <c r="K1246" s="5" t="n">
        <v>45544</v>
      </c>
      <c r="L1246" t="inlineStr">
        <is>
          <t>Sold</t>
        </is>
      </c>
      <c r="M1246" s="6">
        <f>HYPERLINK("https://www.kleinanzeigen.de/s-anzeige/windsurfsegel-surfsegel-neilpryde-expression-6-5/2858866507-230-13049", "Link")</f>
        <v/>
      </c>
      <c r="N1246" s="6">
        <f>HYPERLINK("C:\Projects\Kleinanzeigen-Scraper\offer_images\2858866507", "Link")</f>
        <v/>
      </c>
      <c r="O1246" t="inlineStr">
        <is>
          <t>Martin Wentzel</t>
        </is>
      </c>
      <c r="P1246" s="6">
        <f>HYPERLINK("https://www.kleinanzeigen.de/s-bestandsliste.html?userId=18974115", "Link")</f>
        <v/>
      </c>
      <c r="Q1246" s="7" t="n">
        <v>45549.57696759259</v>
      </c>
      <c r="R1246" s="3" t="inlineStr">
        <is>
          <t>489.44</t>
        </is>
      </c>
      <c r="S1246" t="inlineStr">
        <is>
          <t>Köln</t>
        </is>
      </c>
    </row>
    <row r="1247">
      <c r="A1247" s="2" t="n">
        <v>5.4</v>
      </c>
      <c r="B1247" t="inlineStr">
        <is>
          <t>Goya Bounce</t>
        </is>
      </c>
      <c r="C1247" s="3" t="n">
        <v>400</v>
      </c>
      <c r="D1247" s="3" t="n">
        <v>428</v>
      </c>
      <c r="E1247" t="inlineStr">
        <is>
          <t>Freestyle</t>
        </is>
      </c>
      <c r="F1247" t="inlineStr"/>
      <c r="G1247" t="inlineStr">
        <is>
          <t>used</t>
        </is>
      </c>
      <c r="H1247" s="4" t="n">
        <v>225</v>
      </c>
      <c r="I1247" t="inlineStr"/>
      <c r="J1247" t="inlineStr">
        <is>
          <t>10407 Pankow - Prenzlauer Berg</t>
        </is>
      </c>
      <c r="K1247" s="5" t="n">
        <v>45567</v>
      </c>
      <c r="L1247" t="inlineStr"/>
      <c r="M1247" s="6">
        <f>HYPERLINK("https://www.kleinanzeigen.de/s-anzeige/goya-bounce-5-4-freestyle-windsurf-segel/2838040432-230-3493", "Link")</f>
        <v/>
      </c>
      <c r="N1247" s="6">
        <f>HYPERLINK("C:\Projects\Kleinanzeigen-Scraper\offer_images\2838040432", "Link")</f>
        <v/>
      </c>
      <c r="O1247" t="inlineStr">
        <is>
          <t>Privat</t>
        </is>
      </c>
      <c r="P1247" s="6">
        <f>HYPERLINK("https://www.kleinanzeigen.de/s-bestandsliste.html?userId=21887161", "Link")</f>
        <v/>
      </c>
      <c r="Q1247" s="7" t="n">
        <v>45549.57694444444</v>
      </c>
      <c r="R1247" s="3" t="inlineStr">
        <is>
          <t>481.41</t>
        </is>
      </c>
      <c r="S1247" t="inlineStr">
        <is>
          <t>Köln</t>
        </is>
      </c>
    </row>
    <row r="1248">
      <c r="A1248" s="2" t="n">
        <v>7.7</v>
      </c>
      <c r="B1248" t="inlineStr">
        <is>
          <t>Neilpryde V8</t>
        </is>
      </c>
      <c r="C1248" s="3" t="inlineStr"/>
      <c r="D1248" s="3" t="inlineStr"/>
      <c r="E1248" t="inlineStr"/>
      <c r="F1248" t="inlineStr"/>
      <c r="G1248" t="inlineStr">
        <is>
          <t>damaged</t>
        </is>
      </c>
      <c r="H1248" s="4" t="n">
        <v>100</v>
      </c>
      <c r="I1248" t="inlineStr">
        <is>
          <t>VB</t>
        </is>
      </c>
      <c r="J1248" t="inlineStr">
        <is>
          <t>83317 Bayern - Teisendorf</t>
        </is>
      </c>
      <c r="K1248" s="5" t="n">
        <v>45491</v>
      </c>
      <c r="L1248" t="inlineStr"/>
      <c r="M1248" s="6">
        <f>HYPERLINK("https://www.kleinanzeigen.de/s-anzeige/segel-neilpryde-v8-7-7/2815336408-230-6269", "Link")</f>
        <v/>
      </c>
      <c r="N1248" s="6">
        <f>HYPERLINK("C:\Projects\Kleinanzeigen-Scraper\offer_images\2815336408", "Link")</f>
        <v/>
      </c>
      <c r="O1248" t="inlineStr">
        <is>
          <t>Albert Maier</t>
        </is>
      </c>
      <c r="P1248" s="6">
        <f>HYPERLINK("https://www.kleinanzeigen.de/s-bestandsliste.html?userId=15826908", "Link")</f>
        <v/>
      </c>
      <c r="Q1248" s="7" t="n">
        <v>45549.5769212963</v>
      </c>
      <c r="R1248" s="3" t="inlineStr">
        <is>
          <t>98.85</t>
        </is>
      </c>
      <c r="S1248" t="inlineStr">
        <is>
          <t>München</t>
        </is>
      </c>
    </row>
    <row r="1249">
      <c r="A1249" s="2" t="n">
        <v>9</v>
      </c>
      <c r="B1249" t="inlineStr">
        <is>
          <t>Severne Hyper Glide</t>
        </is>
      </c>
      <c r="C1249" s="3" t="inlineStr"/>
      <c r="D1249" s="3" t="inlineStr"/>
      <c r="E1249" t="inlineStr"/>
      <c r="F1249" t="inlineStr"/>
      <c r="G1249" t="inlineStr">
        <is>
          <t>used</t>
        </is>
      </c>
      <c r="H1249" s="4" t="n">
        <v>700</v>
      </c>
      <c r="I1249" t="inlineStr"/>
      <c r="J1249" t="inlineStr">
        <is>
          <t>12357 Berlin - Neukölln</t>
        </is>
      </c>
      <c r="K1249" s="5" t="n">
        <v>45488</v>
      </c>
      <c r="L1249" t="inlineStr"/>
      <c r="M1249" s="6">
        <f>HYPERLINK("https://www.kleinanzeigen.de/s-anzeige/sail-segel-severne-hyper-glide-9-0-m2-hg-6-foil/2813128475-230-9637", "Link")</f>
        <v/>
      </c>
      <c r="N1249" s="6">
        <f>HYPERLINK("C:\Projects\Kleinanzeigen-Scraper\offer_images\2813128475", "Link")</f>
        <v/>
      </c>
      <c r="O1249" t="inlineStr">
        <is>
          <t>Henry</t>
        </is>
      </c>
      <c r="P1249" s="6">
        <f>HYPERLINK("https://www.kleinanzeigen.de/s-bestandsliste.html?userId=52753689", "Link")</f>
        <v/>
      </c>
      <c r="Q1249" s="7" t="n">
        <v>45549.5769212963</v>
      </c>
      <c r="R1249" s="3" t="inlineStr">
        <is>
          <t>479.74</t>
        </is>
      </c>
      <c r="S1249" t="inlineStr">
        <is>
          <t>Köln</t>
        </is>
      </c>
    </row>
    <row r="1250">
      <c r="A1250" s="2" t="n">
        <v>13</v>
      </c>
      <c r="B1250" t="inlineStr">
        <is>
          <t>North Carve</t>
        </is>
      </c>
      <c r="C1250" s="3" t="inlineStr"/>
      <c r="D1250" s="3" t="inlineStr"/>
      <c r="E1250" t="inlineStr">
        <is>
          <t>Freestyle</t>
        </is>
      </c>
      <c r="F1250" t="inlineStr">
        <is>
          <t>2023</t>
        </is>
      </c>
      <c r="G1250" t="inlineStr">
        <is>
          <t>used</t>
        </is>
      </c>
      <c r="H1250" s="4" t="n">
        <v>750</v>
      </c>
      <c r="I1250" t="inlineStr"/>
      <c r="J1250" t="inlineStr">
        <is>
          <t>81679 München - Bogenhausen</t>
        </is>
      </c>
      <c r="K1250" s="5" t="n">
        <v>45536</v>
      </c>
      <c r="L1250" t="inlineStr">
        <is>
          <t>Sold</t>
        </is>
      </c>
      <c r="M1250" s="6">
        <f>HYPERLINK("https://www.kleinanzeigen.de/s-anzeige/north-carve-13m2-2023/2851142553-230-6457", "Link")</f>
        <v/>
      </c>
      <c r="N1250" s="6">
        <f>HYPERLINK("C:\Projects\Kleinanzeigen-Scraper\offer_images\2851142553", "Link")</f>
        <v/>
      </c>
      <c r="O1250" t="inlineStr">
        <is>
          <t>Rolf Bletschacher</t>
        </is>
      </c>
      <c r="P1250" s="6">
        <f>HYPERLINK("https://www.kleinanzeigen.de/s-bestandsliste.html?userId=119014462", "Link")</f>
        <v/>
      </c>
      <c r="Q1250" s="7" t="n">
        <v>45549.576875</v>
      </c>
      <c r="R1250" s="3" t="inlineStr">
        <is>
          <t>2.71</t>
        </is>
      </c>
      <c r="S1250" t="inlineStr">
        <is>
          <t>München</t>
        </is>
      </c>
    </row>
    <row r="1251">
      <c r="A1251" s="2" t="n">
        <v>8.199999999999999</v>
      </c>
      <c r="B1251" t="inlineStr">
        <is>
          <t>Neilpryde V8</t>
        </is>
      </c>
      <c r="C1251" s="3" t="inlineStr"/>
      <c r="D1251" s="3" t="inlineStr"/>
      <c r="E1251" t="inlineStr"/>
      <c r="F1251" t="inlineStr"/>
      <c r="G1251" t="inlineStr"/>
      <c r="H1251" s="4" t="n">
        <v>195</v>
      </c>
      <c r="I1251" t="inlineStr"/>
      <c r="J1251" t="inlineStr">
        <is>
          <t>50858 Köln - Junkersdorf</t>
        </is>
      </c>
      <c r="K1251" s="5" t="n">
        <v>45530</v>
      </c>
      <c r="L1251" t="inlineStr">
        <is>
          <t>Sold</t>
        </is>
      </c>
      <c r="M1251" s="6">
        <f>HYPERLINK("https://www.kleinanzeigen.de/s-anzeige/reserviert-neilpryde-neil-pryde-v8-segel-8-2-qm/2847242330-230-17139", "Link")</f>
        <v/>
      </c>
      <c r="N1251" s="6">
        <f>HYPERLINK("C:\Projects\Kleinanzeigen-Scraper\offer_images\2847242330", "Link")</f>
        <v/>
      </c>
      <c r="O1251" t="inlineStr">
        <is>
          <t>Ingo Riemann</t>
        </is>
      </c>
      <c r="P1251" s="6">
        <f>HYPERLINK("https://www.kleinanzeigen.de/s-bestandsliste.html?userId=54165116", "Link")</f>
        <v/>
      </c>
      <c r="Q1251" s="7" t="n">
        <v>45549.57686342593</v>
      </c>
      <c r="R1251" s="3" t="inlineStr">
        <is>
          <t>7.26</t>
        </is>
      </c>
      <c r="S1251" t="inlineStr">
        <is>
          <t>Köln</t>
        </is>
      </c>
    </row>
    <row r="1252">
      <c r="A1252" s="2" t="n">
        <v>9</v>
      </c>
      <c r="B1252" t="inlineStr">
        <is>
          <t>Naish Pivot 2022</t>
        </is>
      </c>
      <c r="C1252" s="3" t="inlineStr"/>
      <c r="D1252" s="3" t="inlineStr"/>
      <c r="E1252" t="inlineStr"/>
      <c r="F1252" t="inlineStr">
        <is>
          <t>2022</t>
        </is>
      </c>
      <c r="G1252" t="inlineStr">
        <is>
          <t>used</t>
        </is>
      </c>
      <c r="H1252" s="4" t="n">
        <v>650</v>
      </c>
      <c r="I1252" t="inlineStr"/>
      <c r="J1252" t="inlineStr">
        <is>
          <t>24802 Schleswig-Holstein - Emkendorf</t>
        </is>
      </c>
      <c r="K1252" s="5" t="n">
        <v>45518</v>
      </c>
      <c r="L1252" t="inlineStr"/>
      <c r="M1252" s="6">
        <f>HYPERLINK("https://www.kleinanzeigen.de/s-anzeige/naish-pivot-2022-s26-9qm/2837052716-230-25876", "Link")</f>
        <v/>
      </c>
      <c r="N1252" s="6">
        <f>HYPERLINK("C:\Projects\Kleinanzeigen-Scraper\offer_images\2837052716", "Link")</f>
        <v/>
      </c>
      <c r="O1252" t="inlineStr">
        <is>
          <t>Lea-Sophie</t>
        </is>
      </c>
      <c r="P1252" s="6">
        <f>HYPERLINK("https://www.kleinanzeigen.de/s-bestandsliste.html?userId=22060148", "Link")</f>
        <v/>
      </c>
      <c r="Q1252" s="7" t="n">
        <v>45549.57684027778</v>
      </c>
      <c r="R1252" s="3" t="inlineStr">
        <is>
          <t>415.87</t>
        </is>
      </c>
      <c r="S1252" t="inlineStr">
        <is>
          <t>Köln</t>
        </is>
      </c>
    </row>
    <row r="1253">
      <c r="A1253" s="2" t="n">
        <v>6</v>
      </c>
      <c r="B1253" t="inlineStr">
        <is>
          <t>North Sails</t>
        </is>
      </c>
      <c r="C1253" s="3" t="n">
        <v>4.65</v>
      </c>
      <c r="D1253" s="3" t="n">
        <v>1.91</v>
      </c>
      <c r="E1253" t="inlineStr"/>
      <c r="F1253" t="inlineStr"/>
      <c r="G1253" t="inlineStr">
        <is>
          <t>used</t>
        </is>
      </c>
      <c r="H1253" s="4" t="n">
        <v>30</v>
      </c>
      <c r="I1253" t="inlineStr">
        <is>
          <t>VB</t>
        </is>
      </c>
      <c r="J1253" t="inlineStr">
        <is>
          <t>04317 Leipzig - Reudnitz-Thonberg</t>
        </is>
      </c>
      <c r="K1253" s="5" t="n">
        <v>45548</v>
      </c>
      <c r="L1253" t="inlineStr">
        <is>
          <t>Sold</t>
        </is>
      </c>
      <c r="M1253" s="6">
        <f>HYPERLINK("https://www.kleinanzeigen.de/s-anzeige/windsurf-segel-6-0/2861714877-230-30159", "Link")</f>
        <v/>
      </c>
      <c r="N1253" s="6">
        <f>HYPERLINK("C:\Projects\Kleinanzeigen-Scraper\offer_images\2861714877", "Link")</f>
        <v/>
      </c>
      <c r="O1253" t="inlineStr">
        <is>
          <t>René</t>
        </is>
      </c>
      <c r="P1253" s="6">
        <f>HYPERLINK("https://www.kleinanzeigen.de/s-bestandsliste.html?userId=24822720", "Link")</f>
        <v/>
      </c>
      <c r="Q1253" s="7" t="n">
        <v>45549.57684027778</v>
      </c>
      <c r="R1253" s="3" t="inlineStr">
        <is>
          <t>360.17</t>
        </is>
      </c>
      <c r="S1253" t="inlineStr">
        <is>
          <t>München</t>
        </is>
      </c>
    </row>
    <row r="1254">
      <c r="A1254" s="2" t="n">
        <v>3.7</v>
      </c>
      <c r="B1254" t="inlineStr">
        <is>
          <t>NeilPryde Combat HD Wave</t>
        </is>
      </c>
      <c r="C1254" s="3" t="inlineStr"/>
      <c r="D1254" s="3" t="inlineStr"/>
      <c r="E1254" t="inlineStr"/>
      <c r="F1254" t="inlineStr">
        <is>
          <t>2021</t>
        </is>
      </c>
      <c r="G1254" t="inlineStr">
        <is>
          <t>new</t>
        </is>
      </c>
      <c r="H1254" s="4" t="n">
        <v>200</v>
      </c>
      <c r="I1254" t="inlineStr"/>
      <c r="J1254" t="inlineStr">
        <is>
          <t>82211 Bayern - Herrsching</t>
        </is>
      </c>
      <c r="K1254" s="5" t="n">
        <v>45548</v>
      </c>
      <c r="L1254" t="inlineStr">
        <is>
          <t>Sold</t>
        </is>
      </c>
      <c r="M1254" s="6">
        <f>HYPERLINK("https://www.kleinanzeigen.de/s-anzeige/windsurfsegel-neilpryde/2861835402-230-5520", "Link")</f>
        <v/>
      </c>
      <c r="N1254" s="6">
        <f>HYPERLINK("C:\Projects\Kleinanzeigen-Scraper\offer_images\2861835402", "Link")</f>
        <v/>
      </c>
      <c r="O1254" t="inlineStr">
        <is>
          <t>Thomas</t>
        </is>
      </c>
      <c r="P1254" s="6">
        <f>HYPERLINK("https://www.kleinanzeigen.de/s-bestandsliste.html?userId=47570105", "Link")</f>
        <v/>
      </c>
      <c r="Q1254" s="7" t="n">
        <v>45549.57679398148</v>
      </c>
      <c r="R1254" s="3" t="inlineStr">
        <is>
          <t>32.73</t>
        </is>
      </c>
      <c r="S1254" t="inlineStr">
        <is>
          <t>München</t>
        </is>
      </c>
    </row>
    <row r="1255">
      <c r="A1255" s="2" t="n">
        <v>4.5</v>
      </c>
      <c r="B1255" t="inlineStr">
        <is>
          <t>Vandal</t>
        </is>
      </c>
      <c r="C1255" s="3" t="inlineStr"/>
      <c r="D1255" s="3" t="inlineStr"/>
      <c r="E1255" t="inlineStr"/>
      <c r="F1255" t="inlineStr"/>
      <c r="G1255" t="inlineStr">
        <is>
          <t>new</t>
        </is>
      </c>
      <c r="H1255" s="4" t="n">
        <v>100</v>
      </c>
      <c r="I1255" t="inlineStr">
        <is>
          <t>VB</t>
        </is>
      </c>
      <c r="J1255" t="inlineStr">
        <is>
          <t>40595 Düsseldorf - Garath</t>
        </is>
      </c>
      <c r="K1255" s="5" t="n">
        <v>45530</v>
      </c>
      <c r="L1255" t="inlineStr"/>
      <c r="M1255" s="6">
        <f>HYPERLINK("https://www.kleinanzeigen.de/s-anzeige/windsurfsegel-vandal-4-5-variotop/2847277451-230-2078", "Link")</f>
        <v/>
      </c>
      <c r="N1255" s="6">
        <f>HYPERLINK("C:\Projects\Kleinanzeigen-Scraper\offer_images\2847277451", "Link")</f>
        <v/>
      </c>
      <c r="O1255" t="inlineStr">
        <is>
          <t>Hofrichter</t>
        </is>
      </c>
      <c r="P1255" s="6">
        <f>HYPERLINK("https://www.kleinanzeigen.de/s-bestandsliste.html?userId=16980880", "Link")</f>
        <v/>
      </c>
      <c r="Q1255" s="7" t="n">
        <v>45549.57677083334</v>
      </c>
      <c r="R1255" s="3" t="inlineStr">
        <is>
          <t>22.73</t>
        </is>
      </c>
      <c r="S1255" t="inlineStr">
        <is>
          <t>Köln</t>
        </is>
      </c>
    </row>
    <row r="1256">
      <c r="A1256" s="2" t="n">
        <v>6.2</v>
      </c>
      <c r="B1256" t="inlineStr">
        <is>
          <t>NeilPryde Speedster</t>
        </is>
      </c>
      <c r="C1256" s="3" t="inlineStr"/>
      <c r="D1256" s="3" t="inlineStr"/>
      <c r="E1256" t="inlineStr"/>
      <c r="F1256" t="inlineStr"/>
      <c r="G1256" t="inlineStr">
        <is>
          <t>used</t>
        </is>
      </c>
      <c r="H1256" s="4" t="n">
        <v>300</v>
      </c>
      <c r="I1256" t="inlineStr">
        <is>
          <t>VB</t>
        </is>
      </c>
      <c r="J1256" t="inlineStr">
        <is>
          <t>38100 Niedersachsen - Braunschweig</t>
        </is>
      </c>
      <c r="K1256" s="5" t="n">
        <v>45515</v>
      </c>
      <c r="L1256" t="inlineStr"/>
      <c r="M1256" s="6">
        <f>HYPERLINK("https://www.kleinanzeigen.de/s-anzeige/neilpryde-speedster-6-2/2834839849-230-2462", "Link")</f>
        <v/>
      </c>
      <c r="N1256" s="6">
        <f>HYPERLINK("C:\Projects\Kleinanzeigen-Scraper\offer_images\2834839849", "Link")</f>
        <v/>
      </c>
      <c r="O1256" t="inlineStr">
        <is>
          <t>Patrice</t>
        </is>
      </c>
      <c r="P1256" s="6">
        <f>HYPERLINK("https://www.kleinanzeigen.de/s-bestandsliste.html?userId=16234121", "Link")</f>
        <v/>
      </c>
      <c r="Q1256" s="7" t="n">
        <v>45549.57674768518</v>
      </c>
      <c r="R1256" s="3" t="inlineStr">
        <is>
          <t>287.00</t>
        </is>
      </c>
      <c r="S1256" t="inlineStr">
        <is>
          <t>Köln</t>
        </is>
      </c>
    </row>
    <row r="1257">
      <c r="A1257" s="2" t="n">
        <v>6.4</v>
      </c>
      <c r="B1257" t="inlineStr">
        <is>
          <t>Point-7 SPY FST Wave</t>
        </is>
      </c>
      <c r="C1257" s="3" t="inlineStr"/>
      <c r="D1257" s="3" t="inlineStr"/>
      <c r="E1257" t="inlineStr">
        <is>
          <t>Wave</t>
        </is>
      </c>
      <c r="F1257" t="inlineStr">
        <is>
          <t>2023</t>
        </is>
      </c>
      <c r="G1257" t="inlineStr">
        <is>
          <t>new</t>
        </is>
      </c>
      <c r="H1257" s="4" t="n">
        <v>400</v>
      </c>
      <c r="I1257" t="inlineStr"/>
      <c r="J1257" t="inlineStr">
        <is>
          <t>87772 Bayern - Pfaffenhausen</t>
        </is>
      </c>
      <c r="K1257" s="5" t="n">
        <v>45501</v>
      </c>
      <c r="L1257" t="inlineStr"/>
      <c r="M1257" s="6">
        <f>HYPERLINK("https://www.kleinanzeigen.de/s-anzeige/windsurfsegel-point-7-spy-fst-wave-2023-6-4-schwarz/2822933863-230-7303", "Link")</f>
        <v/>
      </c>
      <c r="N1257" s="6">
        <f>HYPERLINK("C:\Projects\Kleinanzeigen-Scraper\offer_images\2822933863", "Link")</f>
        <v/>
      </c>
      <c r="O1257" t="inlineStr">
        <is>
          <t>Lindner</t>
        </is>
      </c>
      <c r="P1257" s="6">
        <f>HYPERLINK("https://www.kleinanzeigen.de/s-bestandsliste.html?userId=2563657", "Link")</f>
        <v/>
      </c>
      <c r="Q1257" s="7" t="n">
        <v>45549.57672453704</v>
      </c>
      <c r="R1257" s="3" t="inlineStr">
        <is>
          <t>83.02</t>
        </is>
      </c>
      <c r="S1257" t="inlineStr">
        <is>
          <t>München</t>
        </is>
      </c>
    </row>
    <row r="1258">
      <c r="A1258" s="2" t="n">
        <v>5.5</v>
      </c>
      <c r="B1258" t="inlineStr">
        <is>
          <t>Gun Sails</t>
        </is>
      </c>
      <c r="C1258" s="3" t="n">
        <v>4.65</v>
      </c>
      <c r="D1258" s="3" t="n">
        <v>1.82</v>
      </c>
      <c r="E1258" t="inlineStr">
        <is>
          <t>Race Slalom</t>
        </is>
      </c>
      <c r="F1258" t="inlineStr"/>
      <c r="G1258" t="inlineStr">
        <is>
          <t>used</t>
        </is>
      </c>
      <c r="H1258" s="4" t="n">
        <v>40</v>
      </c>
      <c r="I1258" t="inlineStr"/>
      <c r="J1258" t="inlineStr">
        <is>
          <t>60389 Frankfurt am Main - Nordend</t>
        </is>
      </c>
      <c r="K1258" s="5" t="n">
        <v>45445</v>
      </c>
      <c r="L1258" t="inlineStr">
        <is>
          <t>Sold</t>
        </is>
      </c>
      <c r="M1258" s="6">
        <f>HYPERLINK("https://www.kleinanzeigen.de/s-anzeige/vitange-surf-segel-gun-sails-race-slalom-5-5/2778595959-230-16302", "Link")</f>
        <v/>
      </c>
      <c r="N1258" s="6">
        <f>HYPERLINK("C:\Projects\Kleinanzeigen-Scraper\offer_images\2778595959", "Link")</f>
        <v/>
      </c>
      <c r="O1258" t="inlineStr">
        <is>
          <t>Txs</t>
        </is>
      </c>
      <c r="P1258" s="6">
        <f>HYPERLINK("https://www.kleinanzeigen.de/s-bestandsliste.html?userId=16727658", "Link")</f>
        <v/>
      </c>
      <c r="Q1258" s="7" t="n">
        <v>45549.57672453704</v>
      </c>
      <c r="R1258" s="3" t="inlineStr">
        <is>
          <t>129.31</t>
        </is>
      </c>
      <c r="S1258" t="inlineStr">
        <is>
          <t>Karlsruhe</t>
        </is>
      </c>
    </row>
    <row r="1259">
      <c r="A1259" s="2" t="n">
        <v>7.7</v>
      </c>
      <c r="B1259" t="inlineStr">
        <is>
          <t>Neilpryde Speedster</t>
        </is>
      </c>
      <c r="C1259" s="3" t="inlineStr"/>
      <c r="D1259" s="3" t="inlineStr"/>
      <c r="E1259" t="inlineStr">
        <is>
          <t>Freerace</t>
        </is>
      </c>
      <c r="F1259" t="inlineStr">
        <is>
          <t>2020</t>
        </is>
      </c>
      <c r="G1259" t="inlineStr">
        <is>
          <t>new</t>
        </is>
      </c>
      <c r="H1259" s="4" t="n">
        <v>420</v>
      </c>
      <c r="I1259" t="inlineStr">
        <is>
          <t>VB</t>
        </is>
      </c>
      <c r="J1259" t="inlineStr">
        <is>
          <t>58706 Nordrhein-Westfalen - Menden</t>
        </is>
      </c>
      <c r="K1259" s="5" t="n">
        <v>45545</v>
      </c>
      <c r="L1259" t="inlineStr">
        <is>
          <t>Sold</t>
        </is>
      </c>
      <c r="M1259" s="6">
        <f>HYPERLINK("https://www.kleinanzeigen.de/s-anzeige/neilpryde-speedster-7-7-qm/2859748323-230-1819", "Link")</f>
        <v/>
      </c>
      <c r="N1259" s="6">
        <f>HYPERLINK("C:\Projects\Kleinanzeigen-Scraper\offer_images\2859748323", "Link")</f>
        <v/>
      </c>
      <c r="O1259" t="inlineStr">
        <is>
          <t>P.F.</t>
        </is>
      </c>
      <c r="P1259" s="6">
        <f>HYPERLINK("https://www.kleinanzeigen.de/s-bestandsliste.html?userId=6521491", "Link")</f>
        <v/>
      </c>
      <c r="Q1259" s="7" t="n">
        <v>45549.57670138889</v>
      </c>
      <c r="R1259" s="3" t="inlineStr">
        <is>
          <t>79.87</t>
        </is>
      </c>
      <c r="S1259" t="inlineStr">
        <is>
          <t>Köln</t>
        </is>
      </c>
    </row>
    <row r="1260">
      <c r="A1260" s="2" t="n">
        <v>5.4</v>
      </c>
      <c r="B1260" t="inlineStr">
        <is>
          <t>Naish Boxer</t>
        </is>
      </c>
      <c r="C1260" s="3" t="inlineStr"/>
      <c r="D1260" s="3" t="inlineStr"/>
      <c r="E1260" t="inlineStr"/>
      <c r="F1260" t="inlineStr"/>
      <c r="G1260" t="inlineStr">
        <is>
          <t>used</t>
        </is>
      </c>
      <c r="H1260" s="4" t="n">
        <v>70</v>
      </c>
      <c r="I1260" t="inlineStr">
        <is>
          <t>VB</t>
        </is>
      </c>
      <c r="J1260" t="inlineStr">
        <is>
          <t>40627 Düsseldorf - Unterbach</t>
        </is>
      </c>
      <c r="K1260" s="5" t="n">
        <v>45511</v>
      </c>
      <c r="L1260" t="inlineStr">
        <is>
          <t>Sold</t>
        </is>
      </c>
      <c r="M1260" s="6">
        <f>HYPERLINK("https://www.kleinanzeigen.de/s-anzeige/surfsegel-naish-boxer-5-4m-/2831150288-230-16750", "Link")</f>
        <v/>
      </c>
      <c r="N1260" s="6">
        <f>HYPERLINK("C:\Projects\Kleinanzeigen-Scraper\offer_images\2831150288", "Link")</f>
        <v/>
      </c>
      <c r="O1260" t="inlineStr">
        <is>
          <t>Adrian Becker</t>
        </is>
      </c>
      <c r="P1260" s="6">
        <f>HYPERLINK("https://www.kleinanzeigen.de/s-bestandsliste.html?userId=13485948", "Link")</f>
        <v/>
      </c>
      <c r="Q1260" s="7" t="n">
        <v>45549.57670138889</v>
      </c>
      <c r="R1260" s="3" t="inlineStr">
        <is>
          <t>29.74</t>
        </is>
      </c>
      <c r="S1260" t="inlineStr">
        <is>
          <t>Köln</t>
        </is>
      </c>
    </row>
    <row r="1261">
      <c r="A1261" s="2" t="n">
        <v>7.5</v>
      </c>
      <c r="B1261" t="inlineStr">
        <is>
          <t>NeilPryde Ryde/HD</t>
        </is>
      </c>
      <c r="C1261" s="3" t="inlineStr"/>
      <c r="D1261" s="3" t="inlineStr"/>
      <c r="E1261" t="inlineStr"/>
      <c r="F1261" t="inlineStr">
        <is>
          <t>2017</t>
        </is>
      </c>
      <c r="G1261" t="inlineStr">
        <is>
          <t>used</t>
        </is>
      </c>
      <c r="H1261" s="4" t="inlineStr"/>
      <c r="I1261" t="inlineStr">
        <is>
          <t>VB</t>
        </is>
      </c>
      <c r="J1261" t="inlineStr">
        <is>
          <t>75397 Baden-Württemberg - Simmozheim</t>
        </is>
      </c>
      <c r="K1261" s="5" t="n">
        <v>45506</v>
      </c>
      <c r="L1261" t="inlineStr"/>
      <c r="M1261" s="6">
        <f>HYPERLINK("https://www.kleinanzeigen.de/s-anzeige/neilpryde-ryde-hd-7-5-m-/2827535888-230-8401", "Link")</f>
        <v/>
      </c>
      <c r="N1261" s="6">
        <f>HYPERLINK("C:\Projects\Kleinanzeigen-Scraper\offer_images\2827535888", "Link")</f>
        <v/>
      </c>
      <c r="O1261" t="inlineStr">
        <is>
          <t>Uli</t>
        </is>
      </c>
      <c r="P1261" s="6">
        <f>HYPERLINK("https://www.kleinanzeigen.de/s-bestandsliste.html?userId=29607334", "Link")</f>
        <v/>
      </c>
      <c r="Q1261" s="7" t="n">
        <v>45549.57667824074</v>
      </c>
      <c r="R1261" s="3" t="inlineStr">
        <is>
          <t>14.80</t>
        </is>
      </c>
      <c r="S1261" t="inlineStr">
        <is>
          <t>Böblingen</t>
        </is>
      </c>
    </row>
    <row r="1262">
      <c r="A1262" s="2" t="n">
        <v>5.2</v>
      </c>
      <c r="B1262" t="inlineStr">
        <is>
          <t>Sailloft Quad</t>
        </is>
      </c>
      <c r="C1262" s="3" t="inlineStr"/>
      <c r="D1262" s="3" t="inlineStr"/>
      <c r="E1262" t="inlineStr"/>
      <c r="F1262" t="inlineStr"/>
      <c r="G1262" t="inlineStr">
        <is>
          <t>used</t>
        </is>
      </c>
      <c r="H1262" s="4" t="n">
        <v>250</v>
      </c>
      <c r="I1262" t="inlineStr">
        <is>
          <t>VB</t>
        </is>
      </c>
      <c r="J1262" t="inlineStr">
        <is>
          <t>08371 Sachsen - Glauchau</t>
        </is>
      </c>
      <c r="K1262" s="5" t="n">
        <v>45501</v>
      </c>
      <c r="L1262" t="inlineStr"/>
      <c r="M1262" s="6">
        <f>HYPERLINK("https://www.kleinanzeigen.de/s-anzeige/sailloft-quad-5-2/2822841873-230-4008", "Link")</f>
        <v/>
      </c>
      <c r="N1262" s="6">
        <f>HYPERLINK("C:\Projects\Kleinanzeigen-Scraper\offer_images\2822841873", "Link")</f>
        <v/>
      </c>
      <c r="O1262" t="inlineStr">
        <is>
          <t>Nicole Rose</t>
        </is>
      </c>
      <c r="P1262" s="6">
        <f>HYPERLINK("https://www.kleinanzeigen.de/s-bestandsliste.html?userId=27771075", "Link")</f>
        <v/>
      </c>
      <c r="Q1262" s="7" t="n">
        <v>45549.57667824074</v>
      </c>
      <c r="R1262" s="3" t="inlineStr">
        <is>
          <t>305.20</t>
        </is>
      </c>
      <c r="S1262" t="inlineStr">
        <is>
          <t>München</t>
        </is>
      </c>
    </row>
    <row r="1263">
      <c r="A1263" s="2" t="n">
        <v>7.9</v>
      </c>
      <c r="B1263" t="inlineStr">
        <is>
          <t>Gun Sails GSR</t>
        </is>
      </c>
      <c r="C1263" s="3" t="n">
        <v>487</v>
      </c>
      <c r="D1263" s="3" t="n">
        <v>214</v>
      </c>
      <c r="E1263" t="inlineStr"/>
      <c r="F1263" t="inlineStr">
        <is>
          <t>2016</t>
        </is>
      </c>
      <c r="G1263" t="inlineStr">
        <is>
          <t>used</t>
        </is>
      </c>
      <c r="H1263" s="4" t="n">
        <v>110</v>
      </c>
      <c r="I1263" t="inlineStr">
        <is>
          <t>VB</t>
        </is>
      </c>
      <c r="J1263" t="inlineStr">
        <is>
          <t>94137 Bayern - Bayerbach</t>
        </is>
      </c>
      <c r="K1263" s="5" t="n">
        <v>45440</v>
      </c>
      <c r="L1263" t="inlineStr">
        <is>
          <t>Sold</t>
        </is>
      </c>
      <c r="M1263" s="6">
        <f>HYPERLINK("https://www.kleinanzeigen.de/s-anzeige/gun-sails-gsr-7-9/2773224648-230-5796", "Link")</f>
        <v/>
      </c>
      <c r="N1263" s="6">
        <f>HYPERLINK("C:\Projects\Kleinanzeigen-Scraper\offer_images\2773224648", "Link")</f>
        <v/>
      </c>
      <c r="O1263" t="inlineStr">
        <is>
          <t>jonas</t>
        </is>
      </c>
      <c r="P1263" s="6">
        <f>HYPERLINK("https://www.kleinanzeigen.de/s-bestandsliste.html?userId=130273358", "Link")</f>
        <v/>
      </c>
      <c r="Q1263" s="7" t="n">
        <v>45549.57667824074</v>
      </c>
      <c r="R1263" s="3" t="inlineStr">
        <is>
          <t>120.19</t>
        </is>
      </c>
      <c r="S1263" t="inlineStr">
        <is>
          <t>München</t>
        </is>
      </c>
    </row>
    <row r="1264">
      <c r="A1264" s="2" t="n">
        <v>4.6</v>
      </c>
      <c r="B1264" t="inlineStr">
        <is>
          <t>Gun Sails Blow</t>
        </is>
      </c>
      <c r="C1264" s="3" t="inlineStr"/>
      <c r="D1264" s="3" t="inlineStr"/>
      <c r="E1264" t="inlineStr">
        <is>
          <t>Wave</t>
        </is>
      </c>
      <c r="F1264" t="inlineStr">
        <is>
          <t>2012</t>
        </is>
      </c>
      <c r="G1264" t="inlineStr">
        <is>
          <t>used</t>
        </is>
      </c>
      <c r="H1264" s="4" t="n">
        <v>50</v>
      </c>
      <c r="I1264" t="inlineStr">
        <is>
          <t>VB</t>
        </is>
      </c>
      <c r="J1264" t="inlineStr">
        <is>
          <t>24106 Kiel - Steenbek-Projensdorf</t>
        </is>
      </c>
      <c r="K1264" s="5" t="n">
        <v>45545</v>
      </c>
      <c r="L1264" t="inlineStr"/>
      <c r="M1264" s="6">
        <f>HYPERLINK("https://www.kleinanzeigen.de/s-anzeige/gun-sails-blow-4-6-aus-2012/2859806982-230-12197", "Link")</f>
        <v/>
      </c>
      <c r="N1264" s="6">
        <f>HYPERLINK("C:\Projects\Kleinanzeigen-Scraper\offer_images\2859806982", "Link")</f>
        <v/>
      </c>
      <c r="O1264" t="inlineStr">
        <is>
          <t>Hauke</t>
        </is>
      </c>
      <c r="P1264" s="6">
        <f>HYPERLINK("https://www.kleinanzeigen.de/s-bestandsliste.html?userId=16282055", "Link")</f>
        <v/>
      </c>
      <c r="Q1264" s="7" t="n">
        <v>45549.57662037037</v>
      </c>
      <c r="R1264" s="3" t="inlineStr">
        <is>
          <t>436.03</t>
        </is>
      </c>
      <c r="S1264" t="inlineStr">
        <is>
          <t>Köln</t>
        </is>
      </c>
    </row>
    <row r="1265">
      <c r="A1265" s="2" t="n">
        <v>6.4</v>
      </c>
      <c r="B1265" t="inlineStr">
        <is>
          <t>North Sails / Duotone Duke</t>
        </is>
      </c>
      <c r="C1265" s="3" t="n">
        <v>490</v>
      </c>
      <c r="D1265" s="3" t="inlineStr"/>
      <c r="E1265" t="inlineStr"/>
      <c r="F1265" t="inlineStr"/>
      <c r="G1265" t="inlineStr">
        <is>
          <t>used</t>
        </is>
      </c>
      <c r="H1265" s="4" t="n">
        <v>200</v>
      </c>
      <c r="I1265" t="inlineStr"/>
      <c r="J1265" t="inlineStr">
        <is>
          <t>53567 Rheinland-Pfalz - Asbach</t>
        </is>
      </c>
      <c r="K1265" s="5" t="n">
        <v>45544</v>
      </c>
      <c r="L1265" t="inlineStr">
        <is>
          <t>Sold</t>
        </is>
      </c>
      <c r="M1265" s="6">
        <f>HYPERLINK("https://www.kleinanzeigen.de/s-anzeige/surfsegel-north-sails-duotone-duke-6-4/2858111746-230-10528", "Link")</f>
        <v/>
      </c>
      <c r="N1265" s="6">
        <f>HYPERLINK("C:\Projects\Kleinanzeigen-Scraper\offer_images\2858111746", "Link")</f>
        <v/>
      </c>
      <c r="O1265" t="inlineStr">
        <is>
          <t>Stephan</t>
        </is>
      </c>
      <c r="P1265" s="6">
        <f>HYPERLINK("https://www.kleinanzeigen.de/s-bestandsliste.html?userId=85778427", "Link")</f>
        <v/>
      </c>
      <c r="Q1265" s="7" t="n">
        <v>45549.57662037037</v>
      </c>
      <c r="R1265" s="3" t="inlineStr">
        <is>
          <t>43.30</t>
        </is>
      </c>
      <c r="S1265" t="inlineStr">
        <is>
          <t>Köln</t>
        </is>
      </c>
    </row>
    <row r="1266">
      <c r="A1266" s="2" t="n">
        <v>9.6</v>
      </c>
      <c r="B1266" t="inlineStr">
        <is>
          <t>Severne Reflex 4</t>
        </is>
      </c>
      <c r="C1266" s="3" t="inlineStr"/>
      <c r="D1266" s="3" t="inlineStr"/>
      <c r="E1266" t="inlineStr"/>
      <c r="F1266" t="inlineStr"/>
      <c r="G1266" t="inlineStr">
        <is>
          <t>used</t>
        </is>
      </c>
      <c r="H1266" s="4" t="n">
        <v>199</v>
      </c>
      <c r="I1266" t="inlineStr">
        <is>
          <t>VB</t>
        </is>
      </c>
      <c r="J1266" t="inlineStr">
        <is>
          <t>45661 Nordrhein-Westfalen - Recklinghausen</t>
        </is>
      </c>
      <c r="K1266" s="5" t="n">
        <v>43955</v>
      </c>
      <c r="L1266" t="inlineStr"/>
      <c r="M1266" s="6">
        <f>HYPERLINK("https://www.kleinanzeigen.de/s-anzeige/severne-reflex-4-in-9-6m2/1394348988-230-1986", "Link")</f>
        <v/>
      </c>
      <c r="N1266" s="6">
        <f>HYPERLINK("C:\Projects\Kleinanzeigen-Scraper\offer_images\1394348988", "Link")</f>
        <v/>
      </c>
      <c r="O1266" t="inlineStr">
        <is>
          <t>Thorsten</t>
        </is>
      </c>
      <c r="P1266" s="6">
        <f>HYPERLINK("https://www.kleinanzeigen.de/s-bestandsliste.html?userId=2332887", "Link")</f>
        <v/>
      </c>
      <c r="Q1266" s="7" t="n">
        <v>45549.5766087963</v>
      </c>
      <c r="R1266" s="3" t="inlineStr">
        <is>
          <t>72.57</t>
        </is>
      </c>
      <c r="S1266" t="inlineStr">
        <is>
          <t>Köln</t>
        </is>
      </c>
    </row>
    <row r="1267">
      <c r="A1267" s="2" t="n">
        <v>7.8</v>
      </c>
      <c r="B1267" t="inlineStr">
        <is>
          <t>Severne Overdrive</t>
        </is>
      </c>
      <c r="C1267" s="3" t="inlineStr"/>
      <c r="D1267" s="3" t="inlineStr"/>
      <c r="E1267" t="inlineStr"/>
      <c r="F1267" t="inlineStr"/>
      <c r="G1267" t="inlineStr">
        <is>
          <t>used</t>
        </is>
      </c>
      <c r="H1267" s="4" t="n">
        <v>500</v>
      </c>
      <c r="I1267" t="inlineStr"/>
      <c r="J1267" t="inlineStr">
        <is>
          <t>19053 Schwerin - Altstadt</t>
        </is>
      </c>
      <c r="K1267" s="5" t="n">
        <v>45517</v>
      </c>
      <c r="L1267" t="inlineStr"/>
      <c r="M1267" s="6">
        <f>HYPERLINK("https://www.kleinanzeigen.de/s-anzeige/windsurfen-severne-overdrive-7-8/2835899396-230-284", "Link")</f>
        <v/>
      </c>
      <c r="N1267" s="6">
        <f>HYPERLINK("C:\Projects\Kleinanzeigen-Scraper\offer_images\2835899396", "Link")</f>
        <v/>
      </c>
      <c r="O1267" t="inlineStr">
        <is>
          <t>Vladimir</t>
        </is>
      </c>
      <c r="P1267" s="6">
        <f>HYPERLINK("https://www.kleinanzeigen.de/s-bestandsliste.html?userId=123442054", "Link")</f>
        <v/>
      </c>
      <c r="Q1267" s="7" t="n">
        <v>45549.57655092593</v>
      </c>
      <c r="R1267" s="3" t="inlineStr">
        <is>
          <t>425.13</t>
        </is>
      </c>
      <c r="S1267" t="inlineStr">
        <is>
          <t>Köln</t>
        </is>
      </c>
    </row>
    <row r="1268">
      <c r="A1268" s="2" t="n">
        <v>8</v>
      </c>
      <c r="B1268" t="inlineStr">
        <is>
          <t>Gun Sails Energy</t>
        </is>
      </c>
      <c r="C1268" s="3" t="inlineStr"/>
      <c r="D1268" s="3" t="inlineStr"/>
      <c r="E1268" t="inlineStr"/>
      <c r="F1268" t="inlineStr"/>
      <c r="G1268" t="inlineStr">
        <is>
          <t>used</t>
        </is>
      </c>
      <c r="H1268" s="4" t="n">
        <v>110</v>
      </c>
      <c r="I1268" t="inlineStr"/>
      <c r="J1268" t="inlineStr">
        <is>
          <t>74544 Baden-Württemberg - Michelbach an der Bilz</t>
        </is>
      </c>
      <c r="K1268" s="5" t="n">
        <v>45528</v>
      </c>
      <c r="L1268" t="inlineStr"/>
      <c r="M1268" s="6">
        <f>HYPERLINK("https://www.kleinanzeigen.de/s-anzeige/gun-sails-energy-8-0/2845397061-230-9162", "Link")</f>
        <v/>
      </c>
      <c r="N1268" s="6">
        <f>HYPERLINK("C:\Projects\Kleinanzeigen-Scraper\offer_images\2845397061", "Link")</f>
        <v/>
      </c>
      <c r="O1268" t="inlineStr">
        <is>
          <t>Gernbauer</t>
        </is>
      </c>
      <c r="P1268" s="6">
        <f>HYPERLINK("https://www.kleinanzeigen.de/s-bestandsliste.html?userId=8054342", "Link")</f>
        <v/>
      </c>
      <c r="Q1268" s="7" t="n">
        <v>45549.57652777778</v>
      </c>
      <c r="R1268" s="3" t="inlineStr">
        <is>
          <t>72.39</t>
        </is>
      </c>
      <c r="S1268" t="inlineStr">
        <is>
          <t>Böblingen</t>
        </is>
      </c>
    </row>
    <row r="1269">
      <c r="A1269" s="2" t="n">
        <v>8</v>
      </c>
      <c r="B1269" t="inlineStr">
        <is>
          <t>Severne Hyper Glide 6</t>
        </is>
      </c>
      <c r="C1269" s="3" t="n">
        <v>490</v>
      </c>
      <c r="D1269" s="3" t="n">
        <v>208</v>
      </c>
      <c r="E1269" t="inlineStr"/>
      <c r="F1269" t="inlineStr">
        <is>
          <t>2023</t>
        </is>
      </c>
      <c r="G1269" t="inlineStr">
        <is>
          <t>used</t>
        </is>
      </c>
      <c r="H1269" s="4" t="n">
        <v>750</v>
      </c>
      <c r="I1269" t="inlineStr">
        <is>
          <t>VB</t>
        </is>
      </c>
      <c r="J1269" t="inlineStr">
        <is>
          <t>24217 Schleswig-Holstein - Schönberg (Holstein)</t>
        </is>
      </c>
      <c r="K1269" s="5" t="n">
        <v>45529</v>
      </c>
      <c r="L1269" t="inlineStr"/>
      <c r="M1269" s="6">
        <f>HYPERLINK("https://www.kleinanzeigen.de/s-anzeige/severne-foil-slalom-segel-hyperglide-6-in-8-0m2/2846434495-230-18587", "Link")</f>
        <v/>
      </c>
      <c r="N1269" s="6">
        <f>HYPERLINK("C:\Projects\Kleinanzeigen-Scraper\offer_images\2846434495", "Link")</f>
        <v/>
      </c>
      <c r="O1269" t="inlineStr">
        <is>
          <t>Malte Büchler</t>
        </is>
      </c>
      <c r="P1269" s="6">
        <f>HYPERLINK("https://www.kleinanzeigen.de/s-bestandsliste.html?userId=10736115", "Link")</f>
        <v/>
      </c>
      <c r="Q1269" s="7" t="n">
        <v>45549.57650462963</v>
      </c>
      <c r="R1269" s="3" t="inlineStr">
        <is>
          <t>447.79</t>
        </is>
      </c>
      <c r="S1269" t="inlineStr">
        <is>
          <t>Köln</t>
        </is>
      </c>
    </row>
    <row r="1270">
      <c r="A1270" s="2" t="n">
        <v>7.8</v>
      </c>
      <c r="B1270" t="inlineStr">
        <is>
          <t>Severne Reflex 3</t>
        </is>
      </c>
      <c r="C1270" s="3" t="n">
        <v>484</v>
      </c>
      <c r="D1270" s="3" t="n">
        <v>218</v>
      </c>
      <c r="E1270" t="inlineStr">
        <is>
          <t>Slalom</t>
        </is>
      </c>
      <c r="F1270" t="inlineStr"/>
      <c r="G1270" t="inlineStr"/>
      <c r="H1270" s="4" t="n">
        <v>350</v>
      </c>
      <c r="I1270" t="inlineStr"/>
      <c r="J1270" t="inlineStr">
        <is>
          <t>23769 Kreis Ostholstein - Fehmarn</t>
        </is>
      </c>
      <c r="K1270" s="5" t="n">
        <v>45475</v>
      </c>
      <c r="L1270" t="inlineStr"/>
      <c r="M1270" s="6">
        <f>HYPERLINK("https://www.kleinanzeigen.de/s-anzeige/severne-reflex-3-7-8-slalom-segel/2802435765-230-19951", "Link")</f>
        <v/>
      </c>
      <c r="N1270" s="6">
        <f>HYPERLINK("C:\Projects\Kleinanzeigen-Scraper\offer_images\2802435765", "Link")</f>
        <v/>
      </c>
      <c r="O1270" t="inlineStr">
        <is>
          <t>Surfshop Fehmarn</t>
        </is>
      </c>
      <c r="P1270" s="6">
        <f>HYPERLINK("https://www.kleinanzeigen.de/s-bestandsliste.html?userId=85528872", "Link")</f>
        <v/>
      </c>
      <c r="Q1270" s="7" t="n">
        <v>45549.57650462963</v>
      </c>
      <c r="R1270" s="3" t="inlineStr">
        <is>
          <t>483.01</t>
        </is>
      </c>
      <c r="S1270" t="inlineStr">
        <is>
          <t>Köln</t>
        </is>
      </c>
    </row>
    <row r="1271">
      <c r="A1271" s="2" t="n">
        <v>6.2</v>
      </c>
      <c r="B1271" t="inlineStr">
        <is>
          <t>Sailloft Cross HR</t>
        </is>
      </c>
      <c r="C1271" s="3" t="inlineStr"/>
      <c r="D1271" s="3" t="inlineStr"/>
      <c r="E1271" t="inlineStr"/>
      <c r="F1271" t="inlineStr"/>
      <c r="G1271" t="inlineStr">
        <is>
          <t>used</t>
        </is>
      </c>
      <c r="H1271" s="4" t="n">
        <v>650</v>
      </c>
      <c r="I1271" t="inlineStr">
        <is>
          <t>VB</t>
        </is>
      </c>
      <c r="J1271" t="inlineStr">
        <is>
          <t>86343 Bayern - Königsbrunn</t>
        </is>
      </c>
      <c r="K1271" s="5" t="n">
        <v>45491</v>
      </c>
      <c r="L1271" t="inlineStr">
        <is>
          <t>Sold</t>
        </is>
      </c>
      <c r="M1271" s="6">
        <f>HYPERLINK("https://www.kleinanzeigen.de/s-anzeige/sailloft-cross-hr-6-2/2815322872-230-7034", "Link")</f>
        <v/>
      </c>
      <c r="N1271" s="6">
        <f>HYPERLINK("C:\Projects\Kleinanzeigen-Scraper\offer_images\2815322872", "Link")</f>
        <v/>
      </c>
      <c r="O1271" t="inlineStr">
        <is>
          <t>Wolfgang Dennstädt</t>
        </is>
      </c>
      <c r="P1271" s="6">
        <f>HYPERLINK("https://www.kleinanzeigen.de/s-bestandsliste.html?userId=20340449", "Link")</f>
        <v/>
      </c>
      <c r="Q1271" s="7" t="n">
        <v>45549.57648148148</v>
      </c>
      <c r="R1271" s="3" t="inlineStr">
        <is>
          <t>52.97</t>
        </is>
      </c>
      <c r="S1271" t="inlineStr">
        <is>
          <t>München</t>
        </is>
      </c>
    </row>
    <row r="1272">
      <c r="A1272" s="2" t="n">
        <v>4.5</v>
      </c>
      <c r="B1272" t="inlineStr">
        <is>
          <t>RRD Roberto Ricci Y25 Vogue</t>
        </is>
      </c>
      <c r="C1272" s="3" t="n">
        <v>370</v>
      </c>
      <c r="D1272" s="3" t="inlineStr">
        <is>
          <t>156-161</t>
        </is>
      </c>
      <c r="E1272" t="inlineStr"/>
      <c r="F1272" t="inlineStr">
        <is>
          <t>Y25</t>
        </is>
      </c>
      <c r="G1272" t="inlineStr">
        <is>
          <t>used</t>
        </is>
      </c>
      <c r="H1272" s="4" t="n">
        <v>250</v>
      </c>
      <c r="I1272" t="inlineStr"/>
      <c r="J1272" t="inlineStr">
        <is>
          <t>13503 Berlin - Reinickendorf</t>
        </is>
      </c>
      <c r="K1272" s="5" t="n">
        <v>45511</v>
      </c>
      <c r="L1272" t="inlineStr"/>
      <c r="M1272" s="6">
        <f>HYPERLINK("https://www.kleinanzeigen.de/s-anzeige/rrd-roberto-ricci-y25-vogue-4-5-wave-windsurfsegel-wave/2831412109-230-3451", "Link")</f>
        <v/>
      </c>
      <c r="N1272" s="6">
        <f>HYPERLINK("C:\Projects\Kleinanzeigen-Scraper\offer_images\2831412109", "Link")</f>
        <v/>
      </c>
      <c r="O1272" t="inlineStr">
        <is>
          <t>Mike</t>
        </is>
      </c>
      <c r="P1272" s="6">
        <f>HYPERLINK("https://www.kleinanzeigen.de/s-bestandsliste.html?userId=21050789", "Link")</f>
        <v/>
      </c>
      <c r="Q1272" s="7" t="n">
        <v>45549.57645833334</v>
      </c>
      <c r="R1272" s="3" t="inlineStr">
        <is>
          <t>470.67</t>
        </is>
      </c>
      <c r="S1272" t="inlineStr">
        <is>
          <t>Köln</t>
        </is>
      </c>
    </row>
    <row r="1273">
      <c r="A1273" s="2" t="n">
        <v>7.2</v>
      </c>
      <c r="B1273" t="inlineStr">
        <is>
          <t>F2 Arrows Craze</t>
        </is>
      </c>
      <c r="C1273" s="3" t="inlineStr"/>
      <c r="D1273" s="3" t="inlineStr"/>
      <c r="E1273" t="inlineStr"/>
      <c r="F1273" t="inlineStr"/>
      <c r="G1273" t="inlineStr">
        <is>
          <t>used</t>
        </is>
      </c>
      <c r="H1273" s="4" t="n">
        <v>119</v>
      </c>
      <c r="I1273" t="inlineStr">
        <is>
          <t>VB</t>
        </is>
      </c>
      <c r="J1273" t="inlineStr">
        <is>
          <t>76287 Baden-Württemberg - Rheinstetten</t>
        </is>
      </c>
      <c r="K1273" s="5" t="n">
        <v>45548</v>
      </c>
      <c r="L1273" t="inlineStr">
        <is>
          <t>Sold</t>
        </is>
      </c>
      <c r="M1273" s="6">
        <f>HYPERLINK("https://www.kleinanzeigen.de/s-anzeige/f2-arrows-craze-7-2-windsurf-segel/2862428851-230-8166", "Link")</f>
        <v/>
      </c>
      <c r="N1273" s="6">
        <f>HYPERLINK("C:\Projects\Kleinanzeigen-Scraper\offer_images\2862428851", "Link")</f>
        <v/>
      </c>
      <c r="O1273" t="inlineStr">
        <is>
          <t>Dominik</t>
        </is>
      </c>
      <c r="P1273" s="6">
        <f>HYPERLINK("https://www.kleinanzeigen.de/s-bestandsliste.html?userId=16948579", "Link")</f>
        <v/>
      </c>
      <c r="Q1273" s="7" t="n">
        <v>45549.57644675926</v>
      </c>
      <c r="R1273" s="3" t="inlineStr">
        <is>
          <t>7.05</t>
        </is>
      </c>
      <c r="S1273" t="inlineStr">
        <is>
          <t>Karlsruhe</t>
        </is>
      </c>
    </row>
    <row r="1274">
      <c r="A1274" s="2" t="n">
        <v>5.3</v>
      </c>
      <c r="B1274" t="inlineStr">
        <is>
          <t>Neilpryde Zone</t>
        </is>
      </c>
      <c r="C1274" s="3" t="n">
        <v>430</v>
      </c>
      <c r="D1274" s="3" t="n">
        <v>175</v>
      </c>
      <c r="E1274" t="inlineStr"/>
      <c r="F1274" t="inlineStr"/>
      <c r="G1274" t="inlineStr">
        <is>
          <t>repaired</t>
        </is>
      </c>
      <c r="H1274" s="4" t="n">
        <v>5</v>
      </c>
      <c r="I1274" t="inlineStr"/>
      <c r="J1274" t="inlineStr">
        <is>
          <t>25495 Kreis Pinneberg - Kummerfeld</t>
        </is>
      </c>
      <c r="K1274" s="5" t="n">
        <v>45519</v>
      </c>
      <c r="L1274" t="inlineStr">
        <is>
          <t>Sold</t>
        </is>
      </c>
      <c r="M1274" s="6">
        <f>HYPERLINK("https://www.kleinanzeigen.de/s-anzeige/surfsegel-neilpryde-zone-5-3/2837413336-230-789", "Link")</f>
        <v/>
      </c>
      <c r="N1274" s="6">
        <f>HYPERLINK("C:\Projects\Kleinanzeigen-Scraper\offer_images\2837413336", "Link")</f>
        <v/>
      </c>
      <c r="O1274" t="inlineStr">
        <is>
          <t>Gert Richter</t>
        </is>
      </c>
      <c r="P1274" s="6">
        <f>HYPERLINK("https://www.kleinanzeigen.de/s-bestandsliste.html?userId=25266665", "Link")</f>
        <v/>
      </c>
      <c r="Q1274" s="7" t="n">
        <v>45549.57644675926</v>
      </c>
      <c r="R1274" s="3" t="inlineStr">
        <is>
          <t>362.59</t>
        </is>
      </c>
      <c r="S1274" t="inlineStr">
        <is>
          <t>Köln</t>
        </is>
      </c>
    </row>
    <row r="1275">
      <c r="A1275" s="2" t="n">
        <v>5.2</v>
      </c>
      <c r="B1275" t="inlineStr">
        <is>
          <t>Point 7 Salt</t>
        </is>
      </c>
      <c r="C1275" s="3" t="inlineStr"/>
      <c r="D1275" s="3" t="inlineStr"/>
      <c r="E1275" t="inlineStr"/>
      <c r="F1275" t="inlineStr"/>
      <c r="G1275" t="inlineStr">
        <is>
          <t>used</t>
        </is>
      </c>
      <c r="H1275" s="4" t="n">
        <v>199</v>
      </c>
      <c r="I1275" t="inlineStr">
        <is>
          <t>VB</t>
        </is>
      </c>
      <c r="J1275" t="inlineStr">
        <is>
          <t>24114 Schleswig-Holstein - Kiel</t>
        </is>
      </c>
      <c r="K1275" s="5" t="n">
        <v>45491</v>
      </c>
      <c r="L1275" t="inlineStr">
        <is>
          <t>Sold</t>
        </is>
      </c>
      <c r="M1275" s="6">
        <f>HYPERLINK("https://www.kleinanzeigen.de/s-anzeige/point-7-salt-5-2/2815547782-230-697", "Link")</f>
        <v/>
      </c>
      <c r="N1275" s="6">
        <f>HYPERLINK("C:\Projects\Kleinanzeigen-Scraper\offer_images\2815547782", "Link")</f>
        <v/>
      </c>
      <c r="O1275" t="inlineStr">
        <is>
          <t>Anni</t>
        </is>
      </c>
      <c r="P1275" s="6">
        <f>HYPERLINK("https://www.kleinanzeigen.de/s-bestandsliste.html?userId=129527219", "Link")</f>
        <v/>
      </c>
      <c r="Q1275" s="7" t="n">
        <v>45549.57640046296</v>
      </c>
      <c r="R1275" s="3" t="inlineStr">
        <is>
          <t>431.59</t>
        </is>
      </c>
      <c r="S1275" t="inlineStr">
        <is>
          <t>Köln</t>
        </is>
      </c>
    </row>
    <row r="1276">
      <c r="A1276" s="2" t="n">
        <v>5.7</v>
      </c>
      <c r="B1276" t="inlineStr">
        <is>
          <t>Simmer Apex</t>
        </is>
      </c>
      <c r="C1276" s="3" t="n">
        <v>4</v>
      </c>
      <c r="D1276" s="3" t="inlineStr"/>
      <c r="E1276" t="inlineStr"/>
      <c r="F1276" t="inlineStr"/>
      <c r="G1276" t="inlineStr">
        <is>
          <t>used</t>
        </is>
      </c>
      <c r="H1276" s="4" t="n">
        <v>150</v>
      </c>
      <c r="I1276" t="inlineStr">
        <is>
          <t>VB</t>
        </is>
      </c>
      <c r="J1276" t="inlineStr">
        <is>
          <t>97440 Bayern - Werneck</t>
        </is>
      </c>
      <c r="K1276" s="5" t="n">
        <v>45366</v>
      </c>
      <c r="L1276" t="inlineStr"/>
      <c r="M1276" s="6">
        <f>HYPERLINK("https://www.kleinanzeigen.de/s-anzeige/simmer-apex-5-7-qm/2706951742-230-6863", "Link")</f>
        <v/>
      </c>
      <c r="N1276" s="6">
        <f>HYPERLINK("C:\Projects\Kleinanzeigen-Scraper\offer_images\2706951742", "Link")</f>
        <v/>
      </c>
      <c r="O1276" t="inlineStr">
        <is>
          <t>Daniela Groß</t>
        </is>
      </c>
      <c r="P1276" s="6">
        <f>HYPERLINK("https://www.kleinanzeigen.de/s-bestandsliste.html?userId=23819466", "Link")</f>
        <v/>
      </c>
      <c r="Q1276" s="7" t="n">
        <v>45549.57640046296</v>
      </c>
      <c r="R1276" s="3" t="inlineStr">
        <is>
          <t>163.27</t>
        </is>
      </c>
      <c r="S1276" t="inlineStr">
        <is>
          <t>Karlsruhe</t>
        </is>
      </c>
    </row>
    <row r="1277">
      <c r="A1277" s="2" t="n">
        <v>7</v>
      </c>
      <c r="B1277" t="inlineStr">
        <is>
          <t>Neilpryde V8</t>
        </is>
      </c>
      <c r="C1277" s="3" t="n">
        <v>490</v>
      </c>
      <c r="D1277" s="3" t="inlineStr"/>
      <c r="E1277" t="inlineStr"/>
      <c r="F1277" t="inlineStr"/>
      <c r="G1277" t="inlineStr">
        <is>
          <t>used</t>
        </is>
      </c>
      <c r="H1277" s="4" t="n">
        <v>70</v>
      </c>
      <c r="I1277" t="inlineStr"/>
      <c r="J1277" t="inlineStr">
        <is>
          <t>81243 München - Pasing-Obermenzing</t>
        </is>
      </c>
      <c r="K1277" s="5" t="n">
        <v>45536</v>
      </c>
      <c r="L1277" t="inlineStr"/>
      <c r="M1277" s="6">
        <f>HYPERLINK("https://www.kleinanzeigen.de/s-anzeige/neilpryde-v8-windsurfsegel-7qm-ck55-top-zustand-/2851873866-230-6476", "Link")</f>
        <v/>
      </c>
      <c r="N1277" s="6">
        <f>HYPERLINK("C:\Projects\Kleinanzeigen-Scraper\offer_images\2851873866", "Link")</f>
        <v/>
      </c>
      <c r="O1277" t="inlineStr">
        <is>
          <t>Erik</t>
        </is>
      </c>
      <c r="P1277" s="6">
        <f>HYPERLINK("https://www.kleinanzeigen.de/s-bestandsliste.html?userId=64984391", "Link")</f>
        <v/>
      </c>
      <c r="Q1277" s="7" t="n">
        <v>45549.57640046296</v>
      </c>
      <c r="R1277" s="3" t="inlineStr">
        <is>
          <t>10.14</t>
        </is>
      </c>
      <c r="S1277" t="inlineStr">
        <is>
          <t>München</t>
        </is>
      </c>
    </row>
    <row r="1278">
      <c r="A1278" s="2" t="n">
        <v>4.7</v>
      </c>
      <c r="B1278" t="inlineStr">
        <is>
          <t>Point 7</t>
        </is>
      </c>
      <c r="C1278" s="3" t="n">
        <v>4.2</v>
      </c>
      <c r="D1278" s="3" t="inlineStr"/>
      <c r="E1278" t="inlineStr"/>
      <c r="F1278" t="inlineStr"/>
      <c r="G1278" t="inlineStr">
        <is>
          <t>used</t>
        </is>
      </c>
      <c r="H1278" s="4" t="n">
        <v>250</v>
      </c>
      <c r="I1278" t="inlineStr"/>
      <c r="J1278" t="inlineStr">
        <is>
          <t>59320 Nordrhein-Westfalen - Ennigerloh</t>
        </is>
      </c>
      <c r="K1278" s="5" t="n">
        <v>45487</v>
      </c>
      <c r="L1278" t="inlineStr"/>
      <c r="M1278" s="6">
        <f>HYPERLINK("https://www.kleinanzeigen.de/s-anzeige/point-7-segel-4-7-m-windsurfen/2812378091-230-1439", "Link")</f>
        <v/>
      </c>
      <c r="N1278" s="6">
        <f>HYPERLINK("C:\Projects\Kleinanzeigen-Scraper\offer_images\2812378091", "Link")</f>
        <v/>
      </c>
      <c r="O1278" t="inlineStr">
        <is>
          <t>MD</t>
        </is>
      </c>
      <c r="P1278" s="6">
        <f>HYPERLINK("https://www.kleinanzeigen.de/s-bestandsliste.html?userId=14971628", "Link")</f>
        <v/>
      </c>
      <c r="Q1278" s="7" t="n">
        <v>45549.57634259259</v>
      </c>
      <c r="R1278" s="3" t="inlineStr">
        <is>
          <t>126.09</t>
        </is>
      </c>
      <c r="S1278" t="inlineStr">
        <is>
          <t>Köln</t>
        </is>
      </c>
    </row>
    <row r="1279">
      <c r="A1279" s="2" t="n">
        <v>7.8</v>
      </c>
      <c r="B1279" t="inlineStr">
        <is>
          <t>Point 7 ACK</t>
        </is>
      </c>
      <c r="C1279" s="3" t="inlineStr"/>
      <c r="D1279" s="3" t="inlineStr"/>
      <c r="E1279" t="inlineStr">
        <is>
          <t>Slalom</t>
        </is>
      </c>
      <c r="F1279" t="inlineStr"/>
      <c r="G1279" t="inlineStr">
        <is>
          <t>used</t>
        </is>
      </c>
      <c r="H1279" s="4" t="n">
        <v>198</v>
      </c>
      <c r="I1279" t="inlineStr"/>
      <c r="J1279" t="inlineStr">
        <is>
          <t>36167 Hessen - Nüsttal</t>
        </is>
      </c>
      <c r="K1279" s="5" t="n">
        <v>45379</v>
      </c>
      <c r="L1279" t="inlineStr"/>
      <c r="M1279" s="6">
        <f>HYPERLINK("https://www.kleinanzeigen.de/s-anzeige/point-7-ack-windsurfsegel-7-8/2511568312-230-4622", "Link")</f>
        <v/>
      </c>
      <c r="N1279" s="6">
        <f>HYPERLINK("C:\Projects\Kleinanzeigen-Scraper\offer_images\2511568312", "Link")</f>
        <v/>
      </c>
      <c r="O1279" t="inlineStr">
        <is>
          <t>Gudrun Fischer</t>
        </is>
      </c>
      <c r="P1279" s="6">
        <f>HYPERLINK("https://www.kleinanzeigen.de/s-bestandsliste.html?userId=16664757", "Link")</f>
        <v/>
      </c>
      <c r="Q1279" s="7" t="n">
        <v>45549.57633101852</v>
      </c>
      <c r="R1279" s="3" t="inlineStr">
        <is>
          <t>206.69</t>
        </is>
      </c>
      <c r="S1279" t="inlineStr">
        <is>
          <t>Köln</t>
        </is>
      </c>
    </row>
    <row r="1280">
      <c r="A1280" s="2" t="n">
        <v>4.2</v>
      </c>
      <c r="B1280" t="inlineStr">
        <is>
          <t>Gun Sails</t>
        </is>
      </c>
      <c r="C1280" s="3" t="n">
        <v>390</v>
      </c>
      <c r="D1280" s="3" t="n">
        <v>157</v>
      </c>
      <c r="E1280" t="inlineStr">
        <is>
          <t>Wave</t>
        </is>
      </c>
      <c r="F1280" t="inlineStr"/>
      <c r="G1280" t="inlineStr">
        <is>
          <t>repaired</t>
        </is>
      </c>
      <c r="H1280" s="4" t="n">
        <v>20</v>
      </c>
      <c r="I1280" t="inlineStr"/>
      <c r="J1280" t="inlineStr">
        <is>
          <t>22303 Hamburg-Nord - Hamburg Winterhude</t>
        </is>
      </c>
      <c r="K1280" s="5" t="n">
        <v>45519</v>
      </c>
      <c r="L1280" t="inlineStr"/>
      <c r="M1280" s="6">
        <f>HYPERLINK("https://www.kleinanzeigen.de/s-anzeige/gun-sails-segel-4-2qm-windsurfsegel/2837439665-230-9482", "Link")</f>
        <v/>
      </c>
      <c r="N1280" s="6">
        <f>HYPERLINK("C:\Projects\Kleinanzeigen-Scraper\offer_images\2837439665", "Link")</f>
        <v/>
      </c>
      <c r="O1280" t="inlineStr">
        <is>
          <t>Daniel</t>
        </is>
      </c>
      <c r="P1280" s="6">
        <f>HYPERLINK("https://www.kleinanzeigen.de/s-bestandsliste.html?userId=33396736", "Link")</f>
        <v/>
      </c>
      <c r="Q1280" s="7" t="n">
        <v>45549.57633101852</v>
      </c>
      <c r="R1280" s="3" t="inlineStr">
        <is>
          <t>361.45</t>
        </is>
      </c>
      <c r="S1280" t="inlineStr">
        <is>
          <t>Köln</t>
        </is>
      </c>
    </row>
    <row r="1281">
      <c r="A1281" s="2" t="n">
        <v>6.6</v>
      </c>
      <c r="B1281" t="inlineStr">
        <is>
          <t>North Sails</t>
        </is>
      </c>
      <c r="C1281" s="3" t="inlineStr"/>
      <c r="D1281" s="3" t="inlineStr"/>
      <c r="E1281" t="inlineStr"/>
      <c r="F1281" t="inlineStr"/>
      <c r="G1281" t="inlineStr">
        <is>
          <t>used</t>
        </is>
      </c>
      <c r="H1281" s="4" t="n">
        <v>155</v>
      </c>
      <c r="I1281" t="inlineStr">
        <is>
          <t>VB</t>
        </is>
      </c>
      <c r="J1281" t="inlineStr">
        <is>
          <t>74423 Baden-Württemberg - Obersontheim</t>
        </is>
      </c>
      <c r="K1281" s="5" t="n">
        <v>45536</v>
      </c>
      <c r="L1281" t="inlineStr">
        <is>
          <t>Sold</t>
        </is>
      </c>
      <c r="M1281" s="6">
        <f>HYPERLINK("https://www.kleinanzeigen.de/s-anzeige/north-sails-6-6/2851707238-230-9154", "Link")</f>
        <v/>
      </c>
      <c r="N1281" s="6">
        <f>HYPERLINK("C:\Projects\Kleinanzeigen-Scraper\offer_images\2851707238", "Link")</f>
        <v/>
      </c>
      <c r="O1281" t="inlineStr">
        <is>
          <t>Marcel</t>
        </is>
      </c>
      <c r="P1281" s="6">
        <f>HYPERLINK("https://www.kleinanzeigen.de/s-bestandsliste.html?userId=22775485", "Link")</f>
        <v/>
      </c>
      <c r="Q1281" s="7" t="n">
        <v>45549.57627314814</v>
      </c>
      <c r="R1281" s="3" t="inlineStr">
        <is>
          <t>77.18</t>
        </is>
      </c>
      <c r="S1281" t="inlineStr">
        <is>
          <t>Böblingen</t>
        </is>
      </c>
    </row>
    <row r="1282">
      <c r="A1282" s="2" t="n">
        <v>8.4</v>
      </c>
      <c r="B1282" t="inlineStr">
        <is>
          <t>Duotone Warp</t>
        </is>
      </c>
      <c r="C1282" s="3" t="n">
        <v>490</v>
      </c>
      <c r="D1282" s="3" t="inlineStr"/>
      <c r="E1282" t="inlineStr"/>
      <c r="F1282" t="inlineStr">
        <is>
          <t>2024</t>
        </is>
      </c>
      <c r="G1282" t="inlineStr">
        <is>
          <t>new</t>
        </is>
      </c>
      <c r="H1282" s="4" t="n">
        <v>790</v>
      </c>
      <c r="I1282" t="inlineStr"/>
      <c r="J1282" t="inlineStr">
        <is>
          <t>33758 Nordrhein-Westfalen - Schloß Holte-Stukenbrock</t>
        </is>
      </c>
      <c r="K1282" s="5" t="n">
        <v>45544</v>
      </c>
      <c r="L1282" t="inlineStr">
        <is>
          <t>Sold</t>
        </is>
      </c>
      <c r="M1282" s="6">
        <f>HYPERLINK("https://www.kleinanzeigen.de/s-anzeige/duotone-warp-fin-2024-8-4-neuwertig/2858608118-230-1646", "Link")</f>
        <v/>
      </c>
      <c r="N1282" s="6">
        <f>HYPERLINK("C:\Projects\Kleinanzeigen-Scraper\offer_images\2858608118", "Link")</f>
        <v/>
      </c>
      <c r="O1282" t="inlineStr">
        <is>
          <t>Ralf Ewers</t>
        </is>
      </c>
      <c r="P1282" s="6">
        <f>HYPERLINK("https://www.kleinanzeigen.de/s-bestandsliste.html?userId=75080608", "Link")</f>
        <v/>
      </c>
      <c r="Q1282" s="7" t="n">
        <v>45549.57627314814</v>
      </c>
      <c r="R1282" s="3" t="inlineStr">
        <is>
          <t>158.29</t>
        </is>
      </c>
      <c r="S1282" t="inlineStr">
        <is>
          <t>Köln</t>
        </is>
      </c>
    </row>
    <row r="1283">
      <c r="A1283" s="2" t="n">
        <v>8.199999999999999</v>
      </c>
      <c r="B1283" t="inlineStr">
        <is>
          <t>NeilPryde Hornet</t>
        </is>
      </c>
      <c r="C1283" s="3" t="inlineStr"/>
      <c r="D1283" s="3" t="inlineStr">
        <is>
          <t>200-250</t>
        </is>
      </c>
      <c r="E1283" t="inlineStr"/>
      <c r="F1283" t="inlineStr"/>
      <c r="G1283" t="inlineStr">
        <is>
          <t>repaired</t>
        </is>
      </c>
      <c r="H1283" s="4" t="n">
        <v>140</v>
      </c>
      <c r="I1283" t="inlineStr">
        <is>
          <t>VB</t>
        </is>
      </c>
      <c r="J1283" t="inlineStr">
        <is>
          <t>80798 München - Schwabing-West</t>
        </is>
      </c>
      <c r="K1283" s="5" t="n">
        <v>45536</v>
      </c>
      <c r="L1283" t="inlineStr"/>
      <c r="M1283" s="6">
        <f>HYPERLINK("https://www.kleinanzeigen.de/s-anzeige/neilpryde-hornet-windsurfsegel-8-2-wie-v8/2851208258-230-6459", "Link")</f>
        <v/>
      </c>
      <c r="N1283" s="6">
        <f>HYPERLINK("C:\Projects\Kleinanzeigen-Scraper\offer_images\2851208258", "Link")</f>
        <v/>
      </c>
      <c r="O1283" t="inlineStr">
        <is>
          <t>Jonathan</t>
        </is>
      </c>
      <c r="P1283" s="6">
        <f>HYPERLINK("https://www.kleinanzeigen.de/s-bestandsliste.html?userId=130270649", "Link")</f>
        <v/>
      </c>
      <c r="Q1283" s="7" t="n">
        <v>45549.57627314814</v>
      </c>
      <c r="R1283" s="3" t="inlineStr">
        <is>
          <t>2.07</t>
        </is>
      </c>
      <c r="S1283" t="inlineStr">
        <is>
          <t>München</t>
        </is>
      </c>
    </row>
    <row r="1284">
      <c r="A1284" s="2" t="n">
        <v>4.6</v>
      </c>
      <c r="B1284" t="inlineStr">
        <is>
          <t>NEILPRYDE Atlas</t>
        </is>
      </c>
      <c r="C1284" s="3" t="inlineStr"/>
      <c r="D1284" s="3" t="inlineStr"/>
      <c r="E1284" t="inlineStr"/>
      <c r="F1284" t="inlineStr"/>
      <c r="G1284" t="inlineStr"/>
      <c r="H1284" s="4" t="n">
        <v>250</v>
      </c>
      <c r="I1284" t="inlineStr"/>
      <c r="J1284" t="inlineStr">
        <is>
          <t>88400 Baden-Württemberg - Biberach an der Riß</t>
        </is>
      </c>
      <c r="K1284" s="5" t="n">
        <v>45541</v>
      </c>
      <c r="L1284" t="inlineStr">
        <is>
          <t>Sold</t>
        </is>
      </c>
      <c r="M1284" s="6">
        <f>HYPERLINK("https://www.kleinanzeigen.de/s-anzeige/neilpryde-4-6-qm-atlas/2855362756-230-8706", "Link")</f>
        <v/>
      </c>
      <c r="N1284" s="6">
        <f>HYPERLINK("C:\Projects\Kleinanzeigen-Scraper\offer_images\2855362756", "Link")</f>
        <v/>
      </c>
      <c r="O1284" t="inlineStr">
        <is>
          <t>Schneider</t>
        </is>
      </c>
      <c r="P1284" s="6">
        <f>HYPERLINK("https://www.kleinanzeigen.de/s-bestandsliste.html?userId=3638597", "Link")</f>
        <v/>
      </c>
      <c r="Q1284" s="7" t="n">
        <v>45549.57627314814</v>
      </c>
      <c r="R1284" s="3" t="inlineStr">
        <is>
          <t>89.53</t>
        </is>
      </c>
      <c r="S1284" t="inlineStr">
        <is>
          <t>Böblingen</t>
        </is>
      </c>
    </row>
    <row r="1285">
      <c r="A1285" s="2" t="n">
        <v>8.6</v>
      </c>
      <c r="B1285" t="inlineStr">
        <is>
          <t>Severne Mach 5</t>
        </is>
      </c>
      <c r="C1285" s="3" t="inlineStr"/>
      <c r="D1285" s="3" t="inlineStr"/>
      <c r="E1285" t="inlineStr"/>
      <c r="F1285" t="inlineStr"/>
      <c r="G1285" t="inlineStr">
        <is>
          <t>new</t>
        </is>
      </c>
      <c r="H1285" s="4" t="n">
        <v>400</v>
      </c>
      <c r="I1285" t="inlineStr"/>
      <c r="J1285" t="inlineStr">
        <is>
          <t>79599 Baden-Württemberg - Wittlingen</t>
        </is>
      </c>
      <c r="K1285" s="5" t="n">
        <v>45522</v>
      </c>
      <c r="L1285" t="inlineStr"/>
      <c r="M1285" s="6">
        <f>HYPERLINK("https://www.kleinanzeigen.de/s-anzeige/severne-mach-5-8-6/2840375538-230-8073", "Link")</f>
        <v/>
      </c>
      <c r="N1285" s="6">
        <f>HYPERLINK("C:\Projects\Kleinanzeigen-Scraper\offer_images\2840375538", "Link")</f>
        <v/>
      </c>
      <c r="O1285" t="inlineStr">
        <is>
          <t>Thomas Kästel</t>
        </is>
      </c>
      <c r="P1285" s="6">
        <f>HYPERLINK("https://www.kleinanzeigen.de/s-bestandsliste.html?userId=19483342", "Link")</f>
        <v/>
      </c>
      <c r="Q1285" s="7" t="n">
        <v>45549.57625</v>
      </c>
      <c r="R1285" s="3" t="inlineStr">
        <is>
          <t>54.14</t>
        </is>
      </c>
      <c r="S1285" t="inlineStr">
        <is>
          <t>Bonndorf</t>
        </is>
      </c>
    </row>
    <row r="1286">
      <c r="A1286" s="2" t="n">
        <v>4.7</v>
      </c>
      <c r="B1286" t="inlineStr">
        <is>
          <t>Gaastra Vandal Riot</t>
        </is>
      </c>
      <c r="C1286" s="3" t="inlineStr"/>
      <c r="D1286" s="3" t="inlineStr"/>
      <c r="E1286" t="inlineStr"/>
      <c r="F1286" t="inlineStr"/>
      <c r="G1286" t="inlineStr">
        <is>
          <t>repaired</t>
        </is>
      </c>
      <c r="H1286" s="4" t="n">
        <v>50</v>
      </c>
      <c r="I1286" t="inlineStr"/>
      <c r="J1286" t="inlineStr">
        <is>
          <t>53797 Nordrhein-Westfalen - Lohmar</t>
        </is>
      </c>
      <c r="K1286" s="5" t="n">
        <v>45538</v>
      </c>
      <c r="L1286" t="inlineStr"/>
      <c r="M1286" s="6">
        <f>HYPERLINK("https://www.kleinanzeigen.de/s-anzeige/wave-segel-4-7-vandal-riot-gaastra/2853712582-230-1688", "Link")</f>
        <v/>
      </c>
      <c r="N1286" s="6">
        <f>HYPERLINK("C:\Projects\Kleinanzeigen-Scraper\offer_images\2853712582", "Link")</f>
        <v/>
      </c>
      <c r="O1286" t="inlineStr">
        <is>
          <t>Nicolai Rasche</t>
        </is>
      </c>
      <c r="P1286" s="6">
        <f>HYPERLINK("https://www.kleinanzeigen.de/s-bestandsliste.html?userId=80682544", "Link")</f>
        <v/>
      </c>
      <c r="Q1286" s="7" t="n">
        <v>45549.57625</v>
      </c>
      <c r="R1286" s="3" t="inlineStr">
        <is>
          <t>22.77</t>
        </is>
      </c>
      <c r="S1286" t="inlineStr">
        <is>
          <t>Köln</t>
        </is>
      </c>
    </row>
    <row r="1287">
      <c r="A1287" s="2" t="n">
        <v>6.6</v>
      </c>
      <c r="B1287" t="inlineStr">
        <is>
          <t>Neilpryde V8</t>
        </is>
      </c>
      <c r="C1287" s="3" t="n">
        <v>460</v>
      </c>
      <c r="D1287" s="3" t="n">
        <v>205</v>
      </c>
      <c r="E1287" t="inlineStr"/>
      <c r="F1287" t="inlineStr"/>
      <c r="G1287" t="inlineStr">
        <is>
          <t>repaired</t>
        </is>
      </c>
      <c r="H1287" s="4" t="n">
        <v>30</v>
      </c>
      <c r="I1287" t="inlineStr">
        <is>
          <t>VB</t>
        </is>
      </c>
      <c r="J1287" t="inlineStr">
        <is>
          <t>24790 Schleswig-Holstein - Schacht-Audorf</t>
        </is>
      </c>
      <c r="K1287" s="5" t="n">
        <v>45515</v>
      </c>
      <c r="L1287" t="inlineStr"/>
      <c r="M1287" s="6">
        <f>HYPERLINK("https://www.kleinanzeigen.de/s-anzeige/v8-neilpryde-windsurfsegel-6-6/2834335213-230-19235", "Link")</f>
        <v/>
      </c>
      <c r="N1287" s="6">
        <f>HYPERLINK("C:\Projects\Kleinanzeigen-Scraper\offer_images\2834335213", "Link")</f>
        <v/>
      </c>
      <c r="O1287" t="inlineStr">
        <is>
          <t>Juri Hacksteter</t>
        </is>
      </c>
      <c r="P1287" s="6">
        <f>HYPERLINK("https://www.kleinanzeigen.de/s-bestandsliste.html?userId=22520853", "Link")</f>
        <v/>
      </c>
      <c r="Q1287" s="7" t="n">
        <v>45549.57625</v>
      </c>
      <c r="R1287" s="3" t="inlineStr">
        <is>
          <t>419.22</t>
        </is>
      </c>
      <c r="S1287" t="inlineStr">
        <is>
          <t>Köln</t>
        </is>
      </c>
    </row>
    <row r="1288">
      <c r="A1288" s="2" t="n">
        <v>5.3</v>
      </c>
      <c r="B1288" t="inlineStr">
        <is>
          <t>Gun Sails Energy</t>
        </is>
      </c>
      <c r="C1288" s="3" t="n">
        <v>4.67</v>
      </c>
      <c r="D1288" s="3" t="inlineStr"/>
      <c r="E1288" t="inlineStr"/>
      <c r="F1288" t="inlineStr"/>
      <c r="G1288" t="inlineStr">
        <is>
          <t>used</t>
        </is>
      </c>
      <c r="H1288" s="4" t="n">
        <v>50</v>
      </c>
      <c r="I1288" t="inlineStr">
        <is>
          <t>VB</t>
        </is>
      </c>
      <c r="J1288" t="inlineStr">
        <is>
          <t>46145 Nordrhein-Westfalen - Oberhausen</t>
        </is>
      </c>
      <c r="K1288" s="5" t="n">
        <v>45474</v>
      </c>
      <c r="L1288" t="inlineStr"/>
      <c r="M1288" s="6">
        <f>HYPERLINK("https://www.kleinanzeigen.de/s-anzeige/surf-segel-gun-sails-energy-5-3/2801266181-230-1292", "Link")</f>
        <v/>
      </c>
      <c r="N1288" s="6">
        <f>HYPERLINK("C:\Projects\Kleinanzeigen-Scraper\offer_images\2801266181", "Link")</f>
        <v/>
      </c>
      <c r="O1288" t="inlineStr">
        <is>
          <t>Kai</t>
        </is>
      </c>
      <c r="P1288" s="6">
        <f>HYPERLINK("https://www.kleinanzeigen.de/s-bestandsliste.html?userId=9795516", "Link")</f>
        <v/>
      </c>
      <c r="Q1288" s="7" t="n">
        <v>45549.57625</v>
      </c>
      <c r="R1288" s="3" t="inlineStr">
        <is>
          <t>67.30</t>
        </is>
      </c>
      <c r="S1288" t="inlineStr">
        <is>
          <t>Köln</t>
        </is>
      </c>
    </row>
    <row r="1289">
      <c r="A1289" s="2" t="n">
        <v>6.5</v>
      </c>
      <c r="B1289" t="inlineStr">
        <is>
          <t>Duotone Unit</t>
        </is>
      </c>
      <c r="C1289" s="3" t="inlineStr"/>
      <c r="D1289" s="3" t="inlineStr"/>
      <c r="E1289" t="inlineStr"/>
      <c r="F1289" t="inlineStr">
        <is>
          <t>2024</t>
        </is>
      </c>
      <c r="G1289" t="inlineStr">
        <is>
          <t>used</t>
        </is>
      </c>
      <c r="H1289" s="4" t="n">
        <v>799</v>
      </c>
      <c r="I1289" t="inlineStr"/>
      <c r="J1289" t="inlineStr">
        <is>
          <t>58708 Nordrhein-Westfalen - Menden</t>
        </is>
      </c>
      <c r="K1289" s="5" t="n">
        <v>45546</v>
      </c>
      <c r="L1289" t="inlineStr">
        <is>
          <t>Sold</t>
        </is>
      </c>
      <c r="M1289" s="6">
        <f>HYPERLINK("https://www.kleinanzeigen.de/s-anzeige/duotone-unit-6-5-qm-modell-2024/2860485852-230-1818", "Link")</f>
        <v/>
      </c>
      <c r="N1289" s="6">
        <f>HYPERLINK("C:\Projects\Kleinanzeigen-Scraper\offer_images\2860485852", "Link")</f>
        <v/>
      </c>
      <c r="O1289" t="inlineStr">
        <is>
          <t>Björrn Martens</t>
        </is>
      </c>
      <c r="P1289" s="6">
        <f>HYPERLINK("https://www.kleinanzeigen.de/s-bestandsliste.html?userId=32415472", "Link")</f>
        <v/>
      </c>
      <c r="Q1289" s="7" t="n">
        <v>45549.57622685185</v>
      </c>
      <c r="R1289" s="3" t="inlineStr">
        <is>
          <t>82.95</t>
        </is>
      </c>
      <c r="S1289" t="inlineStr">
        <is>
          <t>Köln</t>
        </is>
      </c>
    </row>
    <row r="1290">
      <c r="A1290" s="2" t="n">
        <v>7.8</v>
      </c>
      <c r="B1290" t="inlineStr">
        <is>
          <t>Gun Sails X-Race</t>
        </is>
      </c>
      <c r="C1290" s="3" t="n">
        <v>498</v>
      </c>
      <c r="D1290" s="3" t="n">
        <v>220</v>
      </c>
      <c r="E1290" t="inlineStr">
        <is>
          <t>Racing</t>
        </is>
      </c>
      <c r="F1290" t="inlineStr"/>
      <c r="G1290" t="inlineStr">
        <is>
          <t>used</t>
        </is>
      </c>
      <c r="H1290" s="4" t="inlineStr"/>
      <c r="I1290" t="inlineStr">
        <is>
          <t>VB</t>
        </is>
      </c>
      <c r="J1290" t="inlineStr">
        <is>
          <t>65462 Hessen - Ginsheim-Gustavsburg</t>
        </is>
      </c>
      <c r="K1290" s="5" t="n">
        <v>45129</v>
      </c>
      <c r="L1290" t="inlineStr"/>
      <c r="M1290" s="6">
        <f>HYPERLINK("https://www.kleinanzeigen.de/s-anzeige/gun-sails-x-race-7-8-m-surfsegel/2499304844-230-4440", "Link")</f>
        <v/>
      </c>
      <c r="N1290" s="6">
        <f>HYPERLINK("C:\Projects\Kleinanzeigen-Scraper\offer_images\2499304844", "Link")</f>
        <v/>
      </c>
      <c r="O1290" t="inlineStr">
        <is>
          <t>D. Friese</t>
        </is>
      </c>
      <c r="P1290" s="6">
        <f>HYPERLINK("https://www.kleinanzeigen.de/s-bestandsliste.html?userId=11101322", "Link")</f>
        <v/>
      </c>
      <c r="Q1290" s="7" t="n">
        <v>45549.57622685185</v>
      </c>
      <c r="R1290" s="3" t="inlineStr">
        <is>
          <t>109.79</t>
        </is>
      </c>
      <c r="S1290" t="inlineStr">
        <is>
          <t>Karlsruhe</t>
        </is>
      </c>
    </row>
    <row r="1291">
      <c r="A1291" s="2" t="n">
        <v>8.699999999999999</v>
      </c>
      <c r="B1291" t="inlineStr">
        <is>
          <t>Neilpryde H2 Racing</t>
        </is>
      </c>
      <c r="C1291" s="3" t="n">
        <v>490</v>
      </c>
      <c r="D1291" s="3" t="n">
        <v>227</v>
      </c>
      <c r="E1291" t="inlineStr">
        <is>
          <t>Racing</t>
        </is>
      </c>
      <c r="F1291" t="inlineStr"/>
      <c r="G1291" t="inlineStr"/>
      <c r="H1291" s="4" t="n">
        <v>280</v>
      </c>
      <c r="I1291" t="inlineStr">
        <is>
          <t>VB</t>
        </is>
      </c>
      <c r="J1291" t="inlineStr">
        <is>
          <t>75210 Baden-Württemberg - Keltern</t>
        </is>
      </c>
      <c r="K1291" s="5" t="n">
        <v>45518</v>
      </c>
      <c r="L1291" t="inlineStr"/>
      <c r="M1291" s="6">
        <f>HYPERLINK("https://www.kleinanzeigen.de/s-anzeige/neilpryde-h2-racing-8-7-qm/2836562792-230-8118", "Link")</f>
        <v/>
      </c>
      <c r="N1291" s="6">
        <f>HYPERLINK("C:\Projects\Kleinanzeigen-Scraper\offer_images\2836562792", "Link")</f>
        <v/>
      </c>
      <c r="O1291" t="inlineStr">
        <is>
          <t>Mario Zachmann</t>
        </is>
      </c>
      <c r="P1291" s="6">
        <f>HYPERLINK("https://www.kleinanzeigen.de/s-bestandsliste.html?userId=17772816", "Link")</f>
        <v/>
      </c>
      <c r="Q1291" s="7" t="n">
        <v>45549.57621527778</v>
      </c>
      <c r="R1291" s="3" t="inlineStr">
        <is>
          <t>17.81</t>
        </is>
      </c>
      <c r="S1291" t="inlineStr">
        <is>
          <t>Karlsruhe</t>
        </is>
      </c>
    </row>
    <row r="1292">
      <c r="A1292" s="2" t="n">
        <v>7.1</v>
      </c>
      <c r="B1292" t="inlineStr">
        <is>
          <t>GUN Sails GS-R</t>
        </is>
      </c>
      <c r="C1292" s="3" t="n">
        <v>458</v>
      </c>
      <c r="D1292" s="3" t="inlineStr">
        <is>
          <t>210/203</t>
        </is>
      </c>
      <c r="E1292" t="inlineStr"/>
      <c r="F1292" t="inlineStr"/>
      <c r="G1292" t="inlineStr">
        <is>
          <t>used</t>
        </is>
      </c>
      <c r="H1292" s="4" t="n">
        <v>250</v>
      </c>
      <c r="I1292" t="inlineStr"/>
      <c r="J1292" t="inlineStr">
        <is>
          <t>28844 Niedersachsen - Weyhe</t>
        </is>
      </c>
      <c r="K1292" s="5" t="n">
        <v>45547</v>
      </c>
      <c r="L1292" t="inlineStr">
        <is>
          <t>Sold</t>
        </is>
      </c>
      <c r="M1292" s="6">
        <f>HYPERLINK("https://www.kleinanzeigen.de/s-anzeige/gun-sails-gs-r-7-1-qm/2861424492-230-2721", "Link")</f>
        <v/>
      </c>
      <c r="N1292" s="6">
        <f>HYPERLINK("C:\Projects\Kleinanzeigen-Scraper\offer_images\2861424492", "Link")</f>
        <v/>
      </c>
      <c r="O1292" t="inlineStr">
        <is>
          <t>Joko</t>
        </is>
      </c>
      <c r="P1292" s="6">
        <f>HYPERLINK("https://www.kleinanzeigen.de/s-bestandsliste.html?userId=7757822", "Link")</f>
        <v/>
      </c>
      <c r="Q1292" s="7" t="n">
        <v>45549.57620370371</v>
      </c>
      <c r="R1292" s="3" t="inlineStr">
        <is>
          <t>261.86</t>
        </is>
      </c>
      <c r="S1292" t="inlineStr">
        <is>
          <t>Köln</t>
        </is>
      </c>
    </row>
    <row r="1293">
      <c r="A1293" s="2" t="n">
        <v>7.5</v>
      </c>
      <c r="B1293" t="inlineStr">
        <is>
          <t>Neilpryde RYDE</t>
        </is>
      </c>
      <c r="C1293" s="3" t="n">
        <v>476</v>
      </c>
      <c r="D1293" s="3" t="n">
        <v>208</v>
      </c>
      <c r="E1293" t="inlineStr">
        <is>
          <t>Freerace</t>
        </is>
      </c>
      <c r="F1293" t="inlineStr"/>
      <c r="G1293" t="inlineStr">
        <is>
          <t>used</t>
        </is>
      </c>
      <c r="H1293" s="4" t="n">
        <v>195</v>
      </c>
      <c r="I1293" t="inlineStr"/>
      <c r="J1293" t="inlineStr">
        <is>
          <t>19069 Nordwestmecklenburg - Landkreis - Zickhusen</t>
        </is>
      </c>
      <c r="K1293" s="5" t="n">
        <v>45510</v>
      </c>
      <c r="L1293" t="inlineStr"/>
      <c r="M1293" s="6">
        <f>HYPERLINK("https://www.kleinanzeigen.de/s-anzeige/segel-neilpryde-ryde-7-5m-/2830643978-230-277", "Link")</f>
        <v/>
      </c>
      <c r="N1293" s="6">
        <f>HYPERLINK("C:\Projects\Kleinanzeigen-Scraper\offer_images\2830643978", "Link")</f>
        <v/>
      </c>
      <c r="O1293" t="inlineStr">
        <is>
          <t>Rainer Becker</t>
        </is>
      </c>
      <c r="P1293" s="6">
        <f>HYPERLINK("https://www.kleinanzeigen.de/s-bestandsliste.html?userId=32671274", "Link")</f>
        <v/>
      </c>
      <c r="Q1293" s="7" t="n">
        <v>45549.57620370371</v>
      </c>
      <c r="R1293" s="3" t="inlineStr">
        <is>
          <t>433.23</t>
        </is>
      </c>
      <c r="S1293" t="inlineStr">
        <is>
          <t>Köln</t>
        </is>
      </c>
    </row>
    <row r="1294">
      <c r="A1294" s="2" t="n">
        <v>7.8</v>
      </c>
      <c r="B1294" t="inlineStr">
        <is>
          <t>NeilPryde RS Flight EVO 3</t>
        </is>
      </c>
      <c r="C1294" s="3" t="n">
        <v>520</v>
      </c>
      <c r="D1294" s="3" t="n">
        <v>204</v>
      </c>
      <c r="E1294" t="inlineStr">
        <is>
          <t>Foil</t>
        </is>
      </c>
      <c r="F1294" t="inlineStr">
        <is>
          <t>2022</t>
        </is>
      </c>
      <c r="G1294" t="inlineStr">
        <is>
          <t>repaired</t>
        </is>
      </c>
      <c r="H1294" s="4" t="n">
        <v>290</v>
      </c>
      <c r="I1294" t="inlineStr">
        <is>
          <t>VB</t>
        </is>
      </c>
      <c r="J1294" t="inlineStr">
        <is>
          <t>99991 Unstrut-Hainich - Weberstedt</t>
        </is>
      </c>
      <c r="K1294" s="5" t="n">
        <v>45500</v>
      </c>
      <c r="L1294" t="inlineStr">
        <is>
          <t>Sold</t>
        </is>
      </c>
      <c r="M1294" s="6">
        <f>HYPERLINK("https://www.kleinanzeigen.de/s-anzeige/neilpryde-rs-flight-evo-3-2022-7-8-foil-segel/2822306123-230-27803", "Link")</f>
        <v/>
      </c>
      <c r="N1294" s="6">
        <f>HYPERLINK("C:\Projects\Kleinanzeigen-Scraper\offer_images\2822306123", "Link")</f>
        <v/>
      </c>
      <c r="O1294" t="inlineStr">
        <is>
          <t>Dirk Kolberg</t>
        </is>
      </c>
      <c r="P1294" s="6">
        <f>HYPERLINK("https://www.kleinanzeigen.de/s-bestandsliste.html?userId=57653293", "Link")</f>
        <v/>
      </c>
      <c r="Q1294" s="7" t="n">
        <v>45549.57619212963</v>
      </c>
      <c r="R1294" s="3" t="inlineStr">
        <is>
          <t>254.19</t>
        </is>
      </c>
      <c r="S1294" t="inlineStr">
        <is>
          <t>Köln</t>
        </is>
      </c>
    </row>
    <row r="1295">
      <c r="A1295" s="2" t="n">
        <v>5</v>
      </c>
      <c r="B1295" t="inlineStr">
        <is>
          <t>Point-7 SPY</t>
        </is>
      </c>
      <c r="C1295" s="3" t="n">
        <v>413</v>
      </c>
      <c r="D1295" s="3" t="inlineStr">
        <is>
          <t>164-166</t>
        </is>
      </c>
      <c r="E1295" t="inlineStr">
        <is>
          <t>Freestyle-Wave</t>
        </is>
      </c>
      <c r="F1295" t="inlineStr">
        <is>
          <t>2022</t>
        </is>
      </c>
      <c r="G1295" t="inlineStr">
        <is>
          <t>new</t>
        </is>
      </c>
      <c r="H1295" s="4" t="n">
        <v>454</v>
      </c>
      <c r="I1295" t="inlineStr"/>
      <c r="J1295" t="inlineStr">
        <is>
          <t>82319 Bayern - Starnberg</t>
        </is>
      </c>
      <c r="K1295" s="5" t="n">
        <v>45553</v>
      </c>
      <c r="L1295" t="inlineStr"/>
      <c r="M1295" s="6">
        <f>HYPERLINK("https://www.kleinanzeigen.de/s-anzeige/point-7-spy-powerwave-sail-freestyle-wave-5-0-m2-black-neu-2022/1891638416-230-5525", "Link")</f>
        <v/>
      </c>
      <c r="N1295" s="6">
        <f>HYPERLINK("C:\Projects\Kleinanzeigen-Scraper\offer_images\1891638416", "Link")</f>
        <v/>
      </c>
      <c r="O1295" t="inlineStr">
        <is>
          <t>No user name</t>
        </is>
      </c>
      <c r="P1295" s="6">
        <f>HYPERLINK("https://www.kleinanzeigen.deNo user link", "Link")</f>
        <v/>
      </c>
      <c r="Q1295" s="7" t="n">
        <v>45549.57619212963</v>
      </c>
      <c r="R1295" s="3" t="inlineStr">
        <is>
          <t>23.17</t>
        </is>
      </c>
      <c r="S1295" t="inlineStr">
        <is>
          <t>München</t>
        </is>
      </c>
    </row>
    <row r="1296">
      <c r="A1296" s="2" t="n">
        <v>4.8</v>
      </c>
      <c r="B1296" t="inlineStr">
        <is>
          <t>Neilpryde Wizard Pro</t>
        </is>
      </c>
      <c r="C1296" s="3" t="inlineStr"/>
      <c r="D1296" s="3" t="inlineStr"/>
      <c r="E1296" t="inlineStr"/>
      <c r="F1296" t="inlineStr">
        <is>
          <t>2023</t>
        </is>
      </c>
      <c r="G1296" t="inlineStr">
        <is>
          <t>new</t>
        </is>
      </c>
      <c r="H1296" s="4" t="n">
        <v>350</v>
      </c>
      <c r="I1296" t="inlineStr">
        <is>
          <t>VB</t>
        </is>
      </c>
      <c r="J1296" t="inlineStr">
        <is>
          <t>26506 Niedersachsen - Norden</t>
        </is>
      </c>
      <c r="K1296" s="5" t="n">
        <v>45542</v>
      </c>
      <c r="L1296" t="inlineStr"/>
      <c r="M1296" s="6">
        <f>HYPERLINK("https://www.kleinanzeigen.de/s-anzeige/neilpryde-windsurfsegel-wizard-pro-4-8/2832142083-230-2777", "Link")</f>
        <v/>
      </c>
      <c r="N1296" s="6">
        <f>HYPERLINK("C:\Projects\Kleinanzeigen-Scraper\offer_images\2832142083", "Link")</f>
        <v/>
      </c>
      <c r="O1296" t="inlineStr">
        <is>
          <t>No user name</t>
        </is>
      </c>
      <c r="P1296" s="6">
        <f>HYPERLINK("https://www.kleinanzeigen.deNo user link", "Link")</f>
        <v/>
      </c>
      <c r="Q1296" s="7" t="n">
        <v>45549.57614583334</v>
      </c>
      <c r="R1296" s="3" t="inlineStr">
        <is>
          <t>293.71</t>
        </is>
      </c>
      <c r="S1296" t="inlineStr">
        <is>
          <t>Köln</t>
        </is>
      </c>
    </row>
    <row r="1297">
      <c r="A1297" s="2" t="n">
        <v>6</v>
      </c>
      <c r="B1297" t="inlineStr">
        <is>
          <t>Duotone Slick</t>
        </is>
      </c>
      <c r="C1297" s="3" t="inlineStr"/>
      <c r="D1297" s="3" t="inlineStr"/>
      <c r="E1297" t="inlineStr"/>
      <c r="F1297" t="inlineStr">
        <is>
          <t>2023</t>
        </is>
      </c>
      <c r="G1297" t="inlineStr">
        <is>
          <t>new</t>
        </is>
      </c>
      <c r="H1297" s="4" t="n">
        <v>330</v>
      </c>
      <c r="I1297" t="inlineStr">
        <is>
          <t>VB</t>
        </is>
      </c>
      <c r="J1297" t="inlineStr">
        <is>
          <t>24360 Schleswig-Holstein - Barkelsby</t>
        </is>
      </c>
      <c r="K1297" s="5" t="n">
        <v>45538</v>
      </c>
      <c r="L1297" t="inlineStr">
        <is>
          <t>Sold</t>
        </is>
      </c>
      <c r="M1297" s="6">
        <f>HYPERLINK("https://www.kleinanzeigen.de/s-anzeige/duotone-slick-6m/2853327298-230-511", "Link")</f>
        <v/>
      </c>
      <c r="N1297" s="6">
        <f>HYPERLINK("C:\Projects\Kleinanzeigen-Scraper\offer_images\2853327298", "Link")</f>
        <v/>
      </c>
      <c r="O1297" t="inlineStr">
        <is>
          <t>FF</t>
        </is>
      </c>
      <c r="P1297" s="6">
        <f>HYPERLINK("https://www.kleinanzeigen.de/s-bestandsliste.html?userId=14200330", "Link")</f>
        <v/>
      </c>
      <c r="Q1297" s="7" t="n">
        <v>45549.57612268518</v>
      </c>
      <c r="R1297" s="3" t="inlineStr">
        <is>
          <t>441.65</t>
        </is>
      </c>
      <c r="S1297" t="inlineStr">
        <is>
          <t>Köln</t>
        </is>
      </c>
    </row>
    <row r="1298">
      <c r="A1298" s="2" t="n">
        <v>5.7</v>
      </c>
      <c r="B1298" t="inlineStr">
        <is>
          <t>Gun Sails Torro</t>
        </is>
      </c>
      <c r="C1298" s="3" t="n">
        <v>430</v>
      </c>
      <c r="D1298" s="3" t="n">
        <v>180</v>
      </c>
      <c r="E1298" t="inlineStr"/>
      <c r="F1298" t="inlineStr"/>
      <c r="G1298" t="inlineStr">
        <is>
          <t>repaired</t>
        </is>
      </c>
      <c r="H1298" s="4" t="n">
        <v>80</v>
      </c>
      <c r="I1298" t="inlineStr"/>
      <c r="J1298" t="inlineStr">
        <is>
          <t>45721 Nordrhein-Westfalen - Haltern am See</t>
        </is>
      </c>
      <c r="K1298" s="5" t="n">
        <v>45523</v>
      </c>
      <c r="L1298" t="inlineStr">
        <is>
          <t>Sold</t>
        </is>
      </c>
      <c r="M1298" s="6">
        <f>HYPERLINK("https://www.kleinanzeigen.de/s-anzeige/gun-sails-segel-torro-5-7-gunsails/2840692848-230-1336", "Link")</f>
        <v/>
      </c>
      <c r="N1298" s="6">
        <f>HYPERLINK("C:\Projects\Kleinanzeigen-Scraper\offer_images\2840692848", "Link")</f>
        <v/>
      </c>
      <c r="O1298" t="inlineStr">
        <is>
          <t>Alexander</t>
        </is>
      </c>
      <c r="P1298" s="6">
        <f>HYPERLINK("https://www.kleinanzeigen.de/s-bestandsliste.html?userId=1171247", "Link")</f>
        <v/>
      </c>
      <c r="Q1298" s="7" t="n">
        <v>45549.57609953704</v>
      </c>
      <c r="R1298" s="3" t="inlineStr">
        <is>
          <t>95.03</t>
        </is>
      </c>
      <c r="S1298" t="inlineStr">
        <is>
          <t>Köln</t>
        </is>
      </c>
    </row>
    <row r="1299">
      <c r="A1299" s="2" t="n">
        <v>8.6</v>
      </c>
      <c r="B1299" t="inlineStr">
        <is>
          <t>Gun Sails Escape</t>
        </is>
      </c>
      <c r="C1299" s="3" t="inlineStr"/>
      <c r="D1299" s="3" t="inlineStr"/>
      <c r="E1299" t="inlineStr"/>
      <c r="F1299" t="inlineStr"/>
      <c r="G1299" t="inlineStr">
        <is>
          <t>used</t>
        </is>
      </c>
      <c r="H1299" s="4" t="n">
        <v>65</v>
      </c>
      <c r="I1299" t="inlineStr">
        <is>
          <t>VB</t>
        </is>
      </c>
      <c r="J1299" t="inlineStr">
        <is>
          <t>90429 Nürnberg (Mittelfr) - Mitte</t>
        </is>
      </c>
      <c r="K1299" s="5" t="n">
        <v>45512</v>
      </c>
      <c r="L1299" t="inlineStr"/>
      <c r="M1299" s="6">
        <f>HYPERLINK("https://www.kleinanzeigen.de/s-anzeige/segel-gunsails-gun-sails-escape-8-6/2831995676-230-6831", "Link")</f>
        <v/>
      </c>
      <c r="N1299" s="6">
        <f>HYPERLINK("C:\Projects\Kleinanzeigen-Scraper\offer_images\2831995676", "Link")</f>
        <v/>
      </c>
      <c r="O1299" t="inlineStr">
        <is>
          <t>Dennis</t>
        </is>
      </c>
      <c r="P1299" s="6">
        <f>HYPERLINK("https://www.kleinanzeigen.de/s-bestandsliste.html?userId=39479281", "Link")</f>
        <v/>
      </c>
      <c r="Q1299" s="7" t="n">
        <v>45549.57607638889</v>
      </c>
      <c r="R1299" s="3" t="inlineStr">
        <is>
          <t>151.10</t>
        </is>
      </c>
      <c r="S1299" t="inlineStr">
        <is>
          <t>München</t>
        </is>
      </c>
    </row>
    <row r="1300">
      <c r="A1300" s="2" t="n">
        <v>4</v>
      </c>
      <c r="B1300" t="inlineStr">
        <is>
          <t>RRD Vogue BLKRBN</t>
        </is>
      </c>
      <c r="C1300" s="3" t="n">
        <v>340</v>
      </c>
      <c r="D1300" s="3" t="inlineStr">
        <is>
          <t>152-156</t>
        </is>
      </c>
      <c r="E1300" t="inlineStr"/>
      <c r="F1300" t="inlineStr">
        <is>
          <t>2024</t>
        </is>
      </c>
      <c r="G1300" t="inlineStr">
        <is>
          <t>used</t>
        </is>
      </c>
      <c r="H1300" s="4" t="n">
        <v>440</v>
      </c>
      <c r="I1300" t="inlineStr"/>
      <c r="J1300" t="inlineStr">
        <is>
          <t>22085 Hamburg-Nord - Hamburg Uhlenhorst</t>
        </is>
      </c>
      <c r="K1300" s="5" t="n">
        <v>45478</v>
      </c>
      <c r="L1300" t="inlineStr"/>
      <c r="M1300" s="6">
        <f>HYPERLINK("https://www.kleinanzeigen.de/s-anzeige/rrd-vogue-blkrbn-4-0-2024-wave-windsurfsegel-kein-severne-duotone/2804971238-230-9486", "Link")</f>
        <v/>
      </c>
      <c r="N1300" s="6">
        <f>HYPERLINK("C:\Projects\Kleinanzeigen-Scraper\offer_images\2804971238", "Link")</f>
        <v/>
      </c>
      <c r="O1300" t="inlineStr">
        <is>
          <t>Oliver</t>
        </is>
      </c>
      <c r="P1300" s="6">
        <f>HYPERLINK("https://www.kleinanzeigen.de/s-bestandsliste.html?userId=18682648", "Link")</f>
        <v/>
      </c>
      <c r="Q1300" s="7" t="n">
        <v>45549.57605324074</v>
      </c>
      <c r="R1300" s="3" t="inlineStr">
        <is>
          <t>359.41</t>
        </is>
      </c>
      <c r="S1300" t="inlineStr">
        <is>
          <t>Köln</t>
        </is>
      </c>
    </row>
    <row r="1301">
      <c r="A1301" s="2" t="n">
        <v>4.8</v>
      </c>
      <c r="B1301" t="inlineStr">
        <is>
          <t>Severne S1</t>
        </is>
      </c>
      <c r="C1301" s="3" t="inlineStr"/>
      <c r="D1301" s="3" t="inlineStr"/>
      <c r="E1301" t="inlineStr"/>
      <c r="F1301" t="inlineStr">
        <is>
          <t>2022</t>
        </is>
      </c>
      <c r="G1301" t="inlineStr">
        <is>
          <t>repaired</t>
        </is>
      </c>
      <c r="H1301" s="4" t="n">
        <v>265</v>
      </c>
      <c r="I1301" t="inlineStr">
        <is>
          <t>VB</t>
        </is>
      </c>
      <c r="J1301" t="inlineStr">
        <is>
          <t>82327 Bayern - Tutzing</t>
        </is>
      </c>
      <c r="K1301" s="5" t="n">
        <v>45508</v>
      </c>
      <c r="L1301" t="inlineStr">
        <is>
          <t>Sold</t>
        </is>
      </c>
      <c r="M1301" s="6">
        <f>HYPERLINK("https://www.kleinanzeigen.de/s-anzeige/severne-s1-4-8qm-2022/2828945401-230-5545", "Link")</f>
        <v/>
      </c>
      <c r="N1301" s="6">
        <f>HYPERLINK("C:\Projects\Kleinanzeigen-Scraper\offer_images\2828945401", "Link")</f>
        <v/>
      </c>
      <c r="O1301" t="inlineStr">
        <is>
          <t>Privat</t>
        </is>
      </c>
      <c r="P1301" s="6">
        <f>HYPERLINK("https://www.kleinanzeigen.de/s-bestandsliste.html?userId=29917054", "Link")</f>
        <v/>
      </c>
      <c r="Q1301" s="7" t="n">
        <v>45549.57603009259</v>
      </c>
      <c r="R1301" s="3" t="inlineStr">
        <is>
          <t>35.71</t>
        </is>
      </c>
      <c r="S1301" t="inlineStr">
        <is>
          <t>München</t>
        </is>
      </c>
    </row>
    <row r="1302">
      <c r="A1302" s="2" t="n">
        <v>5.6</v>
      </c>
      <c r="B1302" t="inlineStr">
        <is>
          <t>Neilpryde Wizard Pro</t>
        </is>
      </c>
      <c r="C1302" s="3" t="inlineStr"/>
      <c r="D1302" s="3" t="inlineStr"/>
      <c r="E1302" t="inlineStr"/>
      <c r="F1302" t="inlineStr"/>
      <c r="G1302" t="inlineStr">
        <is>
          <t>new</t>
        </is>
      </c>
      <c r="H1302" s="4" t="n">
        <v>390</v>
      </c>
      <c r="I1302" t="inlineStr">
        <is>
          <t>VB</t>
        </is>
      </c>
      <c r="J1302" t="inlineStr">
        <is>
          <t>26506 Niedersachsen - Norden</t>
        </is>
      </c>
      <c r="K1302" s="5" t="n">
        <v>45542</v>
      </c>
      <c r="L1302" t="inlineStr"/>
      <c r="M1302" s="6">
        <f>HYPERLINK("https://www.kleinanzeigen.de/s-anzeige/neilpryde-wizard-pro-5-6/2832138764-230-2777", "Link")</f>
        <v/>
      </c>
      <c r="N1302" s="6">
        <f>HYPERLINK("C:\Projects\Kleinanzeigen-Scraper\offer_images\2832138764", "Link")</f>
        <v/>
      </c>
      <c r="O1302" t="inlineStr">
        <is>
          <t>No user name</t>
        </is>
      </c>
      <c r="P1302" s="6">
        <f>HYPERLINK("https://www.kleinanzeigen.deNo user link", "Link")</f>
        <v/>
      </c>
      <c r="Q1302" s="7" t="n">
        <v>45549.57601851852</v>
      </c>
      <c r="R1302" s="3" t="inlineStr">
        <is>
          <t>293.71</t>
        </is>
      </c>
      <c r="S1302" t="inlineStr">
        <is>
          <t>Köln</t>
        </is>
      </c>
    </row>
    <row r="1303">
      <c r="A1303" s="2" t="n">
        <v>5.3</v>
      </c>
      <c r="B1303" t="inlineStr">
        <is>
          <t>Goya Guru</t>
        </is>
      </c>
      <c r="C1303" s="3" t="n">
        <v>400</v>
      </c>
      <c r="D1303" s="3" t="n">
        <v>172</v>
      </c>
      <c r="E1303" t="inlineStr">
        <is>
          <t>Wave</t>
        </is>
      </c>
      <c r="F1303" t="inlineStr"/>
      <c r="G1303" t="inlineStr">
        <is>
          <t>new</t>
        </is>
      </c>
      <c r="H1303" s="4" t="n">
        <v>170</v>
      </c>
      <c r="I1303" t="inlineStr"/>
      <c r="J1303" t="inlineStr">
        <is>
          <t>50733 Köln - Nippes</t>
        </is>
      </c>
      <c r="K1303" s="5" t="n">
        <v>45499</v>
      </c>
      <c r="L1303" t="inlineStr">
        <is>
          <t>Sold</t>
        </is>
      </c>
      <c r="M1303" s="6">
        <f>HYPERLINK("https://www.kleinanzeigen.de/s-anzeige/goya-guru-5-3-qm/2821700448-230-993", "Link")</f>
        <v/>
      </c>
      <c r="N1303" s="6">
        <f>HYPERLINK("C:\Projects\Kleinanzeigen-Scraper\offer_images\2821700448", "Link")</f>
        <v/>
      </c>
      <c r="O1303" t="inlineStr">
        <is>
          <t>Frank Grüter</t>
        </is>
      </c>
      <c r="P1303" s="6">
        <f>HYPERLINK("https://www.kleinanzeigen.de/s-bestandsliste.html?userId=80404384", "Link")</f>
        <v/>
      </c>
      <c r="Q1303" s="7" t="n">
        <v>45549.57597222222</v>
      </c>
      <c r="R1303" s="3" t="inlineStr">
        <is>
          <t>2.91</t>
        </is>
      </c>
      <c r="S1303" t="inlineStr">
        <is>
          <t>Köln</t>
        </is>
      </c>
    </row>
    <row r="1304">
      <c r="A1304" s="2" t="n">
        <v>5</v>
      </c>
      <c r="B1304" t="inlineStr">
        <is>
          <t>Neil Pryde Neilpryde Combat HD</t>
        </is>
      </c>
      <c r="C1304" s="3" t="inlineStr"/>
      <c r="D1304" s="3" t="inlineStr"/>
      <c r="E1304" t="inlineStr"/>
      <c r="F1304" t="inlineStr">
        <is>
          <t>2017</t>
        </is>
      </c>
      <c r="G1304" t="inlineStr">
        <is>
          <t>used</t>
        </is>
      </c>
      <c r="H1304" s="4" t="n">
        <v>130</v>
      </c>
      <c r="I1304" t="inlineStr"/>
      <c r="J1304" t="inlineStr">
        <is>
          <t>25524 Schleswig-Holstein - Itzehoe</t>
        </is>
      </c>
      <c r="K1304" s="5" t="n">
        <v>45459</v>
      </c>
      <c r="L1304" t="inlineStr"/>
      <c r="M1304" s="6">
        <f>HYPERLINK("https://www.kleinanzeigen.de/s-anzeige/neil-pryde-neilpryde-combat-hd-5-0-windsurf-segel/2790163084-230-13329", "Link")</f>
        <v/>
      </c>
      <c r="N1304" s="6">
        <f>HYPERLINK("C:\Projects\Kleinanzeigen-Scraper\offer_images\2790163084", "Link")</f>
        <v/>
      </c>
      <c r="O1304" t="inlineStr">
        <is>
          <t>Hannes Voß</t>
        </is>
      </c>
      <c r="P1304" s="6">
        <f>HYPERLINK("https://www.kleinanzeigen.de/s-bestandsliste.html?userId=8547467", "Link")</f>
        <v/>
      </c>
      <c r="Q1304" s="7" t="n">
        <v>45549.5759375</v>
      </c>
      <c r="R1304" s="3" t="inlineStr">
        <is>
          <t>375.94</t>
        </is>
      </c>
      <c r="S1304" t="inlineStr">
        <is>
          <t>Köln</t>
        </is>
      </c>
    </row>
    <row r="1305">
      <c r="A1305" s="2" t="n">
        <v>4.7</v>
      </c>
      <c r="B1305" t="inlineStr">
        <is>
          <t>Severne Blade Pro</t>
        </is>
      </c>
      <c r="C1305" s="3" t="inlineStr"/>
      <c r="D1305" s="3" t="inlineStr"/>
      <c r="E1305" t="inlineStr"/>
      <c r="F1305" t="inlineStr">
        <is>
          <t>2022</t>
        </is>
      </c>
      <c r="G1305" t="inlineStr">
        <is>
          <t>new</t>
        </is>
      </c>
      <c r="H1305" s="4" t="n">
        <v>650</v>
      </c>
      <c r="I1305" t="inlineStr"/>
      <c r="J1305" t="inlineStr">
        <is>
          <t>78315 Baden-Württemberg - Radolfzell am Bodensee</t>
        </is>
      </c>
      <c r="K1305" s="5" t="n">
        <v>45537</v>
      </c>
      <c r="L1305" t="inlineStr">
        <is>
          <t>Sold</t>
        </is>
      </c>
      <c r="M1305" s="6">
        <f>HYPERLINK("https://www.kleinanzeigen.de/s-anzeige/severne-blade-4-7-neu-blade-pro-/2852322157-230-8190", "Link")</f>
        <v/>
      </c>
      <c r="N1305" s="6">
        <f>HYPERLINK("C:\Projects\Kleinanzeigen-Scraper\offer_images\2852322157", "Link")</f>
        <v/>
      </c>
      <c r="O1305" t="inlineStr">
        <is>
          <t>Günter Lorch</t>
        </is>
      </c>
      <c r="P1305" s="6">
        <f>HYPERLINK("https://www.kleinanzeigen.de/s-bestandsliste.html?userId=7025909", "Link")</f>
        <v/>
      </c>
      <c r="Q1305" s="7" t="n">
        <v>45549.57592592593</v>
      </c>
      <c r="R1305" s="3" t="inlineStr">
        <is>
          <t>48.46</t>
        </is>
      </c>
      <c r="S1305" t="inlineStr">
        <is>
          <t>Bonndorf</t>
        </is>
      </c>
    </row>
    <row r="1306">
      <c r="A1306" s="2" t="n">
        <v>10.6</v>
      </c>
      <c r="B1306" t="inlineStr">
        <is>
          <t>Neilpryde V8</t>
        </is>
      </c>
      <c r="C1306" s="3" t="n">
        <v>562</v>
      </c>
      <c r="D1306" s="3" t="n">
        <v>267</v>
      </c>
      <c r="E1306" t="inlineStr"/>
      <c r="F1306" t="inlineStr"/>
      <c r="G1306" t="inlineStr"/>
      <c r="H1306" s="4" t="n">
        <v>450</v>
      </c>
      <c r="I1306" t="inlineStr">
        <is>
          <t>VB</t>
        </is>
      </c>
      <c r="J1306" t="inlineStr">
        <is>
          <t>97204 Bayern - Höchberg</t>
        </is>
      </c>
      <c r="K1306" s="5" t="n">
        <v>45543</v>
      </c>
      <c r="L1306" t="inlineStr"/>
      <c r="M1306" s="6">
        <f>HYPERLINK("https://www.kleinanzeigen.de/s-anzeige/neilpryde-v8-10-6m2-set/2857210055-230-7674", "Link")</f>
        <v/>
      </c>
      <c r="N1306" s="6">
        <f>HYPERLINK("C:\Projects\Kleinanzeigen-Scraper\offer_images\2857210055", "Link")</f>
        <v/>
      </c>
      <c r="O1306" t="inlineStr">
        <is>
          <t>Fam. Brauer</t>
        </is>
      </c>
      <c r="P1306" s="6">
        <f>HYPERLINK("https://www.kleinanzeigen.de/s-bestandsliste.html?userId=290551", "Link")</f>
        <v/>
      </c>
      <c r="Q1306" s="7" t="n">
        <v>45549.57591435185</v>
      </c>
      <c r="R1306" s="3" t="inlineStr">
        <is>
          <t>138.09</t>
        </is>
      </c>
      <c r="S1306" t="inlineStr">
        <is>
          <t>Karlsruhe</t>
        </is>
      </c>
    </row>
    <row r="1307">
      <c r="A1307" s="2" t="n">
        <v>9.5</v>
      </c>
      <c r="B1307" t="inlineStr">
        <is>
          <t>NeilPryde RS:S MK III</t>
        </is>
      </c>
      <c r="C1307" s="3" t="n">
        <v>490</v>
      </c>
      <c r="D1307" s="3" t="n">
        <v>238</v>
      </c>
      <c r="E1307" t="inlineStr"/>
      <c r="F1307" t="inlineStr"/>
      <c r="G1307" t="inlineStr">
        <is>
          <t>used</t>
        </is>
      </c>
      <c r="H1307" s="4" t="n">
        <v>90</v>
      </c>
      <c r="I1307" t="inlineStr"/>
      <c r="J1307" t="inlineStr">
        <is>
          <t>90542 Bayern - Eckental</t>
        </is>
      </c>
      <c r="K1307" s="5" t="n">
        <v>45543</v>
      </c>
      <c r="L1307" t="inlineStr"/>
      <c r="M1307" s="6">
        <f>HYPERLINK("https://www.kleinanzeigen.de/s-anzeige/neilpryde-rs-s-mk-iii-9-5-qm/2858010450-230-6374", "Link")</f>
        <v/>
      </c>
      <c r="N1307" s="6">
        <f>HYPERLINK("C:\Projects\Kleinanzeigen-Scraper\offer_images\2858010450", "Link")</f>
        <v/>
      </c>
      <c r="O1307" t="inlineStr">
        <is>
          <t>Jost</t>
        </is>
      </c>
      <c r="P1307" s="6">
        <f>HYPERLINK("https://www.kleinanzeigen.de/s-bestandsliste.html?userId=24730080", "Link")</f>
        <v/>
      </c>
      <c r="Q1307" s="7" t="n">
        <v>45549.57591435185</v>
      </c>
      <c r="R1307" s="3" t="inlineStr">
        <is>
          <t>162.95</t>
        </is>
      </c>
      <c r="S1307" t="inlineStr">
        <is>
          <t>München</t>
        </is>
      </c>
    </row>
    <row r="1308">
      <c r="A1308" s="2" t="n">
        <v>7.2</v>
      </c>
      <c r="B1308" t="inlineStr">
        <is>
          <t>Neilpryde Diablo</t>
        </is>
      </c>
      <c r="C1308" s="3" t="inlineStr"/>
      <c r="D1308" s="3" t="inlineStr"/>
      <c r="E1308" t="inlineStr"/>
      <c r="F1308" t="inlineStr"/>
      <c r="G1308" t="inlineStr">
        <is>
          <t>repaired</t>
        </is>
      </c>
      <c r="H1308" s="4" t="n">
        <v>60</v>
      </c>
      <c r="I1308" t="inlineStr">
        <is>
          <t>VB</t>
        </is>
      </c>
      <c r="J1308" t="inlineStr">
        <is>
          <t>24837 Schleswig-Holstein - Schleswig</t>
        </is>
      </c>
      <c r="K1308" s="5" t="n">
        <v>45516</v>
      </c>
      <c r="L1308" t="inlineStr">
        <is>
          <t>Sold</t>
        </is>
      </c>
      <c r="M1308" s="6">
        <f>HYPERLINK("https://www.kleinanzeigen.de/s-anzeige/neilpryde-diablo-7-2-windsurf-segel/2835008107-230-558", "Link")</f>
        <v/>
      </c>
      <c r="N1308" s="6">
        <f>HYPERLINK("C:\Projects\Kleinanzeigen-Scraper\offer_images\2835008107", "Link")</f>
        <v/>
      </c>
      <c r="O1308" t="inlineStr">
        <is>
          <t>Johann</t>
        </is>
      </c>
      <c r="P1308" s="6">
        <f>HYPERLINK("https://www.kleinanzeigen.de/s-bestandsliste.html?userId=74490247", "Link")</f>
        <v/>
      </c>
      <c r="Q1308" s="7" t="n">
        <v>45549.57589120371</v>
      </c>
      <c r="R1308" s="3" t="inlineStr">
        <is>
          <t>435.51</t>
        </is>
      </c>
      <c r="S1308" t="inlineStr">
        <is>
          <t>Köln</t>
        </is>
      </c>
    </row>
    <row r="1309">
      <c r="A1309" s="2" t="n">
        <v>9</v>
      </c>
      <c r="B1309" t="inlineStr">
        <is>
          <t>Point-7 Foilsegel F1</t>
        </is>
      </c>
      <c r="C1309" s="3" t="inlineStr"/>
      <c r="D1309" s="3" t="inlineStr"/>
      <c r="E1309" t="inlineStr"/>
      <c r="F1309" t="inlineStr"/>
      <c r="G1309" t="inlineStr">
        <is>
          <t>used</t>
        </is>
      </c>
      <c r="H1309" s="4" t="n">
        <v>150</v>
      </c>
      <c r="I1309" t="inlineStr"/>
      <c r="J1309" t="inlineStr">
        <is>
          <t>35390 Hessen - Gießen</t>
        </is>
      </c>
      <c r="K1309" s="5" t="n">
        <v>45524</v>
      </c>
      <c r="L1309" t="inlineStr"/>
      <c r="M1309" s="6">
        <f>HYPERLINK("https://www.kleinanzeigen.de/s-anzeige/point-7-foilsegel-f1-9-0/2841674039-230-4712", "Link")</f>
        <v/>
      </c>
      <c r="N1309" s="6">
        <f>HYPERLINK("C:\Projects\Kleinanzeigen-Scraper\offer_images\2841674039", "Link")</f>
        <v/>
      </c>
      <c r="O1309" t="inlineStr">
        <is>
          <t>one2266</t>
        </is>
      </c>
      <c r="P1309" s="6">
        <f>HYPERLINK("https://www.kleinanzeigen.de/s-bestandsliste.html?userId=29910949", "Link")</f>
        <v/>
      </c>
      <c r="Q1309" s="7" t="n">
        <v>45549.57589120371</v>
      </c>
      <c r="R1309" s="3" t="inlineStr">
        <is>
          <t>127.22</t>
        </is>
      </c>
      <c r="S1309" t="inlineStr">
        <is>
          <t>Köln</t>
        </is>
      </c>
    </row>
    <row r="1310">
      <c r="A1310" s="2" t="n">
        <v>7.5</v>
      </c>
      <c r="B1310" t="inlineStr">
        <is>
          <t>Severne Mach6</t>
        </is>
      </c>
      <c r="C1310" s="3" t="inlineStr"/>
      <c r="D1310" s="3" t="inlineStr"/>
      <c r="E1310" t="inlineStr"/>
      <c r="F1310" t="inlineStr"/>
      <c r="G1310" t="inlineStr">
        <is>
          <t>used</t>
        </is>
      </c>
      <c r="H1310" s="4" t="n">
        <v>850</v>
      </c>
      <c r="I1310" t="inlineStr">
        <is>
          <t>VB</t>
        </is>
      </c>
      <c r="J1310" t="inlineStr">
        <is>
          <t>86343 Bayern - Königsbrunn</t>
        </is>
      </c>
      <c r="K1310" s="5" t="n">
        <v>45479</v>
      </c>
      <c r="L1310" t="inlineStr">
        <is>
          <t>Sold</t>
        </is>
      </c>
      <c r="M1310" s="6">
        <f>HYPERLINK("https://www.kleinanzeigen.de/s-anzeige/severne-7-5-mach6/2805799404-230-7034", "Link")</f>
        <v/>
      </c>
      <c r="N1310" s="6">
        <f>HYPERLINK("C:\Projects\Kleinanzeigen-Scraper\offer_images\2805799404", "Link")</f>
        <v/>
      </c>
      <c r="O1310" t="inlineStr">
        <is>
          <t>Wolfgang Dennstädt</t>
        </is>
      </c>
      <c r="P1310" s="6">
        <f>HYPERLINK("https://www.kleinanzeigen.de/s-bestandsliste.html?userId=20340449", "Link")</f>
        <v/>
      </c>
      <c r="Q1310" s="7" t="n">
        <v>45549.57586805556</v>
      </c>
      <c r="R1310" s="3" t="inlineStr">
        <is>
          <t>52.97</t>
        </is>
      </c>
      <c r="S1310" t="inlineStr">
        <is>
          <t>München</t>
        </is>
      </c>
    </row>
    <row r="1311">
      <c r="A1311" s="2" t="n">
        <v>5.4</v>
      </c>
      <c r="B1311" t="inlineStr">
        <is>
          <t>Neil Pryde Atlas</t>
        </is>
      </c>
      <c r="C1311" s="3" t="n">
        <v>400</v>
      </c>
      <c r="D1311" s="3" t="n">
        <v>190</v>
      </c>
      <c r="E1311" t="inlineStr"/>
      <c r="F1311" t="inlineStr"/>
      <c r="G1311" t="inlineStr">
        <is>
          <t>used</t>
        </is>
      </c>
      <c r="H1311" s="4" t="n">
        <v>290</v>
      </c>
      <c r="I1311" t="inlineStr">
        <is>
          <t>VB</t>
        </is>
      </c>
      <c r="J1311" t="inlineStr">
        <is>
          <t>49808 Niedersachsen - Lingen (Ems)</t>
        </is>
      </c>
      <c r="K1311" s="5" t="n">
        <v>45510</v>
      </c>
      <c r="L1311" t="inlineStr"/>
      <c r="M1311" s="6">
        <f>HYPERLINK("https://www.kleinanzeigen.de/s-anzeige/neil-pryde-neilpryde-atlas-5-4-segel-surfsegel/2830749556-230-2563", "Link")</f>
        <v/>
      </c>
      <c r="N1311" s="6">
        <f>HYPERLINK("C:\Projects\Kleinanzeigen-Scraper\offer_images\2830749556", "Link")</f>
        <v/>
      </c>
      <c r="O1311" t="inlineStr">
        <is>
          <t>Ole</t>
        </is>
      </c>
      <c r="P1311" s="6">
        <f>HYPERLINK("https://www.kleinanzeigen.de/s-bestandsliste.html?userId=53135812", "Link")</f>
        <v/>
      </c>
      <c r="Q1311" s="7" t="n">
        <v>45549.57584490741</v>
      </c>
      <c r="R1311" s="3" t="inlineStr">
        <is>
          <t>181.05</t>
        </is>
      </c>
      <c r="S1311" t="inlineStr">
        <is>
          <t>Köln</t>
        </is>
      </c>
    </row>
    <row r="1312">
      <c r="A1312" s="2" t="n">
        <v>4.7</v>
      </c>
      <c r="B1312" t="inlineStr">
        <is>
          <t>Gun Sails Wave</t>
        </is>
      </c>
      <c r="C1312" s="3" t="n">
        <v>416</v>
      </c>
      <c r="D1312" s="3" t="inlineStr"/>
      <c r="E1312" t="inlineStr"/>
      <c r="F1312" t="inlineStr"/>
      <c r="G1312" t="inlineStr">
        <is>
          <t>used, repaired</t>
        </is>
      </c>
      <c r="H1312" s="4" t="n">
        <v>30</v>
      </c>
      <c r="I1312" t="inlineStr">
        <is>
          <t>VB</t>
        </is>
      </c>
      <c r="J1312" t="inlineStr">
        <is>
          <t>39340 Sachsen-Anhalt - Haldensleben</t>
        </is>
      </c>
      <c r="K1312" s="5" t="n">
        <v>45493</v>
      </c>
      <c r="L1312" t="inlineStr"/>
      <c r="M1312" s="6">
        <f>HYPERLINK("https://www.kleinanzeigen.de/s-anzeige/windsurf-segel-gun-sails-wave-mc-4-7qm-gebraucht/2816650017-230-2203", "Link")</f>
        <v/>
      </c>
      <c r="N1312" s="6">
        <f>HYPERLINK("C:\Projects\Kleinanzeigen-Scraper\offer_images\2816650017", "Link")</f>
        <v/>
      </c>
      <c r="O1312" t="inlineStr">
        <is>
          <t>A. Zätsch</t>
        </is>
      </c>
      <c r="P1312" s="6">
        <f>HYPERLINK("https://www.kleinanzeigen.de/s-bestandsliste.html?userId=4668395", "Link")</f>
        <v/>
      </c>
      <c r="Q1312" s="7" t="n">
        <v>45549.57583333334</v>
      </c>
      <c r="R1312" s="3" t="inlineStr">
        <is>
          <t>342.09</t>
        </is>
      </c>
      <c r="S1312" t="inlineStr">
        <is>
          <t>Köln</t>
        </is>
      </c>
    </row>
    <row r="1313">
      <c r="A1313" s="2" t="n">
        <v>6.2</v>
      </c>
      <c r="B1313" t="inlineStr">
        <is>
          <t>Simmer Style On Shore</t>
        </is>
      </c>
      <c r="C1313" s="3" t="n">
        <v>4.6</v>
      </c>
      <c r="D1313" s="3" t="n">
        <v>1.87</v>
      </c>
      <c r="E1313" t="inlineStr"/>
      <c r="F1313" t="inlineStr"/>
      <c r="G1313" t="inlineStr">
        <is>
          <t>new</t>
        </is>
      </c>
      <c r="H1313" s="4" t="n">
        <v>80</v>
      </c>
      <c r="I1313" t="inlineStr"/>
      <c r="J1313" t="inlineStr">
        <is>
          <t>23562 Schleswig-Holstein - Lübeck</t>
        </is>
      </c>
      <c r="K1313" s="5" t="n">
        <v>45417</v>
      </c>
      <c r="L1313" t="inlineStr"/>
      <c r="M1313" s="6">
        <f>HYPERLINK("https://www.kleinanzeigen.de/s-anzeige/simmer-style-on-shore-wave-6-2m-segel-os/2753968449-230-423", "Link")</f>
        <v/>
      </c>
      <c r="N1313" s="6">
        <f>HYPERLINK("C:\Projects\Kleinanzeigen-Scraper\offer_images\2753968449", "Link")</f>
        <v/>
      </c>
      <c r="O1313" t="inlineStr">
        <is>
          <t>Olaf Kühnert</t>
        </is>
      </c>
      <c r="P1313" s="6">
        <f>HYPERLINK("https://www.kleinanzeigen.de/s-bestandsliste.html?userId=14979628", "Link")</f>
        <v/>
      </c>
      <c r="Q1313" s="7" t="n">
        <v>45549.57582175926</v>
      </c>
      <c r="R1313" s="3" t="inlineStr">
        <is>
          <t>410.15</t>
        </is>
      </c>
      <c r="S1313" t="inlineStr">
        <is>
          <t>Köln</t>
        </is>
      </c>
    </row>
    <row r="1314">
      <c r="A1314" s="2" t="n">
        <v>5.7</v>
      </c>
      <c r="B1314" t="inlineStr">
        <is>
          <t>Severne Gator</t>
        </is>
      </c>
      <c r="C1314" s="3" t="inlineStr"/>
      <c r="D1314" s="3" t="inlineStr"/>
      <c r="E1314" t="inlineStr">
        <is>
          <t>Freeride Wave</t>
        </is>
      </c>
      <c r="F1314" t="inlineStr"/>
      <c r="G1314" t="inlineStr">
        <is>
          <t>used</t>
        </is>
      </c>
      <c r="H1314" s="4" t="n">
        <v>440</v>
      </c>
      <c r="I1314" t="inlineStr"/>
      <c r="J1314" t="inlineStr">
        <is>
          <t>87600 Bayern - Kaufbeuren</t>
        </is>
      </c>
      <c r="K1314" s="5" t="n">
        <v>45495</v>
      </c>
      <c r="L1314" t="inlineStr">
        <is>
          <t>Sold</t>
        </is>
      </c>
      <c r="M1314" s="6">
        <f>HYPERLINK("https://www.kleinanzeigen.de/s-anzeige/severne-gator-5-7-windsurf-segel-freeride-wave-top/2818456681-230-7262", "Link")</f>
        <v/>
      </c>
      <c r="N1314" s="6">
        <f>HYPERLINK("C:\Projects\Kleinanzeigen-Scraper\offer_images\2818456681", "Link")</f>
        <v/>
      </c>
      <c r="O1314" t="inlineStr">
        <is>
          <t>Gig</t>
        </is>
      </c>
      <c r="P1314" s="6">
        <f>HYPERLINK("https://www.kleinanzeigen.de/s-bestandsliste.html?userId=11574938", "Link")</f>
        <v/>
      </c>
      <c r="Q1314" s="7" t="n">
        <v>45549.57582175926</v>
      </c>
      <c r="R1314" s="3" t="inlineStr">
        <is>
          <t>76.14</t>
        </is>
      </c>
      <c r="S1314" t="inlineStr">
        <is>
          <t>München</t>
        </is>
      </c>
    </row>
    <row r="1315">
      <c r="A1315" s="2" t="n">
        <v>5.3</v>
      </c>
      <c r="B1315" t="inlineStr">
        <is>
          <t>Sailloft Bionic</t>
        </is>
      </c>
      <c r="C1315" s="3" t="inlineStr"/>
      <c r="D1315" s="3" t="inlineStr"/>
      <c r="E1315" t="inlineStr"/>
      <c r="F1315" t="inlineStr"/>
      <c r="G1315" t="inlineStr"/>
      <c r="H1315" s="4" t="n">
        <v>230</v>
      </c>
      <c r="I1315" t="inlineStr"/>
      <c r="J1315" t="inlineStr">
        <is>
          <t>59320 Nordrhein-Westfalen - Ennigerloh</t>
        </is>
      </c>
      <c r="K1315" s="5" t="n">
        <v>45487</v>
      </c>
      <c r="L1315" t="inlineStr"/>
      <c r="M1315" s="6">
        <f>HYPERLINK("https://www.kleinanzeigen.de/s-anzeige/sailloft-bionic-segel-5-3-m-windsurfen/2812396898-230-1439", "Link")</f>
        <v/>
      </c>
      <c r="N1315" s="6">
        <f>HYPERLINK("C:\Projects\Kleinanzeigen-Scraper\offer_images\2812396898", "Link")</f>
        <v/>
      </c>
      <c r="O1315" t="inlineStr">
        <is>
          <t>MD</t>
        </is>
      </c>
      <c r="P1315" s="6">
        <f>HYPERLINK("https://www.kleinanzeigen.de/s-bestandsliste.html?userId=14971628", "Link")</f>
        <v/>
      </c>
      <c r="Q1315" s="7" t="n">
        <v>45549.57582175926</v>
      </c>
      <c r="R1315" s="3" t="inlineStr">
        <is>
          <t>126.09</t>
        </is>
      </c>
      <c r="S1315" t="inlineStr">
        <is>
          <t>Köln</t>
        </is>
      </c>
    </row>
    <row r="1316">
      <c r="A1316" s="2" t="n">
        <v>6.7</v>
      </c>
      <c r="B1316" t="inlineStr">
        <is>
          <t>Neilpryde Ryde</t>
        </is>
      </c>
      <c r="C1316" s="3" t="n">
        <v>430</v>
      </c>
      <c r="D1316" s="3" t="n">
        <v>190</v>
      </c>
      <c r="E1316" t="inlineStr"/>
      <c r="F1316" t="inlineStr">
        <is>
          <t>2021</t>
        </is>
      </c>
      <c r="G1316" t="inlineStr">
        <is>
          <t>used</t>
        </is>
      </c>
      <c r="H1316" s="4" t="n">
        <v>299</v>
      </c>
      <c r="I1316" t="inlineStr"/>
      <c r="J1316" t="inlineStr">
        <is>
          <t>82223 Bayern - Eichenau</t>
        </is>
      </c>
      <c r="K1316" s="5" t="n">
        <v>45537</v>
      </c>
      <c r="L1316" t="inlineStr"/>
      <c r="M1316" s="6">
        <f>HYPERLINK("https://www.kleinanzeigen.de/s-anzeige/neilpryde-neil-pryde-ryde-6-7/2852470490-230-16921", "Link")</f>
        <v/>
      </c>
      <c r="N1316" s="6">
        <f>HYPERLINK("C:\Projects\Kleinanzeigen-Scraper\offer_images\2852470490", "Link")</f>
        <v/>
      </c>
      <c r="O1316" t="inlineStr">
        <is>
          <t>Norbert</t>
        </is>
      </c>
      <c r="P1316" s="6">
        <f>HYPERLINK("https://www.kleinanzeigen.de/s-bestandsliste.html?userId=15950319", "Link")</f>
        <v/>
      </c>
      <c r="Q1316" s="7" t="n">
        <v>45549.57581018518</v>
      </c>
      <c r="R1316" s="3" t="inlineStr">
        <is>
          <t>19.02</t>
        </is>
      </c>
      <c r="S1316" t="inlineStr">
        <is>
          <t>München</t>
        </is>
      </c>
    </row>
    <row r="1317">
      <c r="A1317" s="2" t="n">
        <v>6.2</v>
      </c>
      <c r="B1317" t="inlineStr">
        <is>
          <t>Severne Overdrive R4</t>
        </is>
      </c>
      <c r="C1317" s="3" t="n">
        <v>433</v>
      </c>
      <c r="D1317" s="3" t="n">
        <v>189</v>
      </c>
      <c r="E1317" t="inlineStr">
        <is>
          <t>Freeride</t>
        </is>
      </c>
      <c r="F1317" t="inlineStr"/>
      <c r="G1317" t="inlineStr">
        <is>
          <t>used</t>
        </is>
      </c>
      <c r="H1317" s="4" t="n">
        <v>140</v>
      </c>
      <c r="I1317" t="inlineStr">
        <is>
          <t>VB</t>
        </is>
      </c>
      <c r="J1317" t="inlineStr">
        <is>
          <t>27568 Häfen - Bremerhaven</t>
        </is>
      </c>
      <c r="K1317" s="5" t="n">
        <v>45487</v>
      </c>
      <c r="L1317" t="inlineStr"/>
      <c r="M1317" s="6">
        <f>HYPERLINK("https://www.kleinanzeigen.de/s-anzeige/severne-overdrive-r4-6-2m-/2811699592-230-7", "Link")</f>
        <v/>
      </c>
      <c r="N1317" s="6">
        <f>HYPERLINK("C:\Projects\Kleinanzeigen-Scraper\offer_images\2811699592", "Link")</f>
        <v/>
      </c>
      <c r="O1317" t="inlineStr">
        <is>
          <t>Dietmar</t>
        </is>
      </c>
      <c r="P1317" s="6">
        <f>HYPERLINK("https://www.kleinanzeigen.de/s-bestandsliste.html?userId=22041845", "Link")</f>
        <v/>
      </c>
      <c r="Q1317" s="7" t="n">
        <v>45549.57578703704</v>
      </c>
      <c r="R1317" s="3" t="inlineStr">
        <is>
          <t>312.07</t>
        </is>
      </c>
      <c r="S1317" t="inlineStr">
        <is>
          <t>Köln</t>
        </is>
      </c>
    </row>
    <row r="1318">
      <c r="A1318" s="2" t="n">
        <v>6.8</v>
      </c>
      <c r="B1318" t="inlineStr">
        <is>
          <t>North MatchRace</t>
        </is>
      </c>
      <c r="C1318" s="3" t="n">
        <v>475</v>
      </c>
      <c r="D1318" s="3" t="inlineStr">
        <is>
          <t>201-204</t>
        </is>
      </c>
      <c r="E1318" t="inlineStr"/>
      <c r="F1318" t="inlineStr"/>
      <c r="G1318" t="inlineStr">
        <is>
          <t>new</t>
        </is>
      </c>
      <c r="H1318" s="4" t="n">
        <v>40</v>
      </c>
      <c r="I1318" t="inlineStr"/>
      <c r="J1318" t="inlineStr">
        <is>
          <t>41564 Nordrhein-Westfalen - Kaarst</t>
        </is>
      </c>
      <c r="K1318" s="5" t="n">
        <v>45548</v>
      </c>
      <c r="L1318" t="inlineStr">
        <is>
          <t>Sold</t>
        </is>
      </c>
      <c r="M1318" s="6">
        <f>HYPERLINK("https://www.kleinanzeigen.de/s-anzeige/north-windsurf-segel-/2862341673-230-2107", "Link")</f>
        <v/>
      </c>
      <c r="N1318" s="6">
        <f>HYPERLINK("C:\Projects\Kleinanzeigen-Scraper\offer_images\2862341673", "Link")</f>
        <v/>
      </c>
      <c r="O1318" t="inlineStr">
        <is>
          <t>Hans-Jürgen</t>
        </is>
      </c>
      <c r="P1318" s="6">
        <f>HYPERLINK("https://www.kleinanzeigen.de/s-bestandsliste.html?userId=67801432", "Link")</f>
        <v/>
      </c>
      <c r="Q1318" s="7" t="n">
        <v>45549.57578703704</v>
      </c>
      <c r="R1318" s="3" t="inlineStr">
        <is>
          <t>39.22</t>
        </is>
      </c>
      <c r="S1318" t="inlineStr">
        <is>
          <t>Köln</t>
        </is>
      </c>
    </row>
    <row r="1319">
      <c r="A1319" s="2" t="n">
        <v>8</v>
      </c>
      <c r="B1319" t="inlineStr">
        <is>
          <t>Sailloft Ultimate Prototyp</t>
        </is>
      </c>
      <c r="C1319" s="3" t="n">
        <v>490</v>
      </c>
      <c r="D1319" s="3" t="inlineStr"/>
      <c r="E1319" t="inlineStr"/>
      <c r="F1319" t="inlineStr">
        <is>
          <t>2020</t>
        </is>
      </c>
      <c r="G1319" t="inlineStr">
        <is>
          <t>repaired</t>
        </is>
      </c>
      <c r="H1319" s="4" t="n">
        <v>250</v>
      </c>
      <c r="I1319" t="inlineStr">
        <is>
          <t>VB</t>
        </is>
      </c>
      <c r="J1319" t="inlineStr">
        <is>
          <t>10115 Berlin - Mitte</t>
        </is>
      </c>
      <c r="K1319" s="5" t="n">
        <v>45469</v>
      </c>
      <c r="L1319" t="inlineStr"/>
      <c r="M1319" s="6">
        <f>HYPERLINK("https://www.kleinanzeigen.de/s-anzeige/sailloft-ultimate-prototyp-kurs-foil-8-0/2798043680-230-9668", "Link")</f>
        <v/>
      </c>
      <c r="N1319" s="6">
        <f>HYPERLINK("C:\Projects\Kleinanzeigen-Scraper\offer_images\2798043680", "Link")</f>
        <v/>
      </c>
      <c r="O1319" t="inlineStr">
        <is>
          <t>Pelle Bo Behrendt</t>
        </is>
      </c>
      <c r="P1319" s="6">
        <f>HYPERLINK("https://www.kleinanzeigen.de/s-bestandsliste.html?userId=122741826", "Link")</f>
        <v/>
      </c>
      <c r="Q1319" s="7" t="n">
        <v>45549.57578703704</v>
      </c>
      <c r="R1319" s="3" t="inlineStr">
        <is>
          <t>476.33</t>
        </is>
      </c>
      <c r="S1319" t="inlineStr">
        <is>
          <t>Köln</t>
        </is>
      </c>
    </row>
    <row r="1320">
      <c r="A1320" s="2" t="n">
        <v>8.699999999999999</v>
      </c>
      <c r="B1320" t="inlineStr">
        <is>
          <t>Neilpryde V8</t>
        </is>
      </c>
      <c r="C1320" s="3" t="inlineStr"/>
      <c r="D1320" s="3" t="inlineStr"/>
      <c r="E1320" t="inlineStr"/>
      <c r="F1320" t="inlineStr">
        <is>
          <t>2018</t>
        </is>
      </c>
      <c r="G1320" t="inlineStr">
        <is>
          <t>defective</t>
        </is>
      </c>
      <c r="H1320" s="4" t="n">
        <v>80</v>
      </c>
      <c r="I1320" t="inlineStr"/>
      <c r="J1320" t="inlineStr">
        <is>
          <t>16341 Brandenburg - Panketal</t>
        </is>
      </c>
      <c r="K1320" s="5" t="n">
        <v>45526</v>
      </c>
      <c r="L1320" t="inlineStr">
        <is>
          <t>Sold</t>
        </is>
      </c>
      <c r="M1320" s="6">
        <f>HYPERLINK("https://www.kleinanzeigen.de/s-anzeige/neilpryde-v8-8-7qm-modell-2018-defekt/2833292109-230-7919", "Link")</f>
        <v/>
      </c>
      <c r="N1320" s="6">
        <f>HYPERLINK("C:\Projects\Kleinanzeigen-Scraper\offer_images\2833292109", "Link")</f>
        <v/>
      </c>
      <c r="O1320" t="inlineStr">
        <is>
          <t>Andre Rudolph</t>
        </is>
      </c>
      <c r="P1320" s="6">
        <f>HYPERLINK("https://www.kleinanzeigen.de/s-bestandsliste.html?userId=12872693", "Link")</f>
        <v/>
      </c>
      <c r="Q1320" s="7" t="n">
        <v>45549.57576388889</v>
      </c>
      <c r="R1320" s="3" t="inlineStr">
        <is>
          <t>490.55</t>
        </is>
      </c>
      <c r="S1320" t="inlineStr">
        <is>
          <t>Köln</t>
        </is>
      </c>
    </row>
    <row r="1321">
      <c r="A1321" s="2" t="n">
        <v>6.6</v>
      </c>
      <c r="B1321" t="inlineStr">
        <is>
          <t>Duotone e Type</t>
        </is>
      </c>
      <c r="C1321" s="3" t="n">
        <v>4</v>
      </c>
      <c r="D1321" s="3" t="n">
        <v>1.8</v>
      </c>
      <c r="E1321" t="inlineStr"/>
      <c r="F1321" t="inlineStr">
        <is>
          <t>2021</t>
        </is>
      </c>
      <c r="G1321" t="inlineStr">
        <is>
          <t>new</t>
        </is>
      </c>
      <c r="H1321" s="4" t="n">
        <v>375</v>
      </c>
      <c r="I1321" t="inlineStr"/>
      <c r="J1321" t="inlineStr">
        <is>
          <t>14621 Brandenburg - Schönwalde-Glien</t>
        </is>
      </c>
      <c r="K1321" s="5" t="n">
        <v>45546</v>
      </c>
      <c r="L1321" t="inlineStr">
        <is>
          <t>Sold</t>
        </is>
      </c>
      <c r="M1321" s="6">
        <f>HYPERLINK("https://www.kleinanzeigen.de/s-anzeige/surfsegel-duotone-e-type-6-6/2860426433-230-7899", "Link")</f>
        <v/>
      </c>
      <c r="N1321" s="6">
        <f>HYPERLINK("C:\Projects\Kleinanzeigen-Scraper\offer_images\2860426433", "Link")</f>
        <v/>
      </c>
      <c r="O1321" t="inlineStr">
        <is>
          <t>Sven</t>
        </is>
      </c>
      <c r="P1321" s="6">
        <f>HYPERLINK("https://www.kleinanzeigen.de/s-bestandsliste.html?userId=39098145", "Link")</f>
        <v/>
      </c>
      <c r="Q1321" s="7" t="n">
        <v>45549.57576388889</v>
      </c>
      <c r="R1321" s="3" t="inlineStr">
        <is>
          <t>463.47</t>
        </is>
      </c>
      <c r="S1321" t="inlineStr">
        <is>
          <t>Köln</t>
        </is>
      </c>
    </row>
    <row r="1322">
      <c r="A1322" s="2" t="n">
        <v>4.5</v>
      </c>
      <c r="B1322" t="inlineStr">
        <is>
          <t>Neilpryde the Fly</t>
        </is>
      </c>
      <c r="C1322" s="3" t="n">
        <v>370</v>
      </c>
      <c r="D1322" s="3" t="n">
        <v>190</v>
      </c>
      <c r="E1322" t="inlineStr"/>
      <c r="F1322" t="inlineStr">
        <is>
          <t>2017</t>
        </is>
      </c>
      <c r="G1322" t="inlineStr">
        <is>
          <t>used</t>
        </is>
      </c>
      <c r="H1322" s="4" t="n">
        <v>220</v>
      </c>
      <c r="I1322" t="inlineStr">
        <is>
          <t>VB</t>
        </is>
      </c>
      <c r="J1322" t="inlineStr">
        <is>
          <t>81375 München - Hadern</t>
        </is>
      </c>
      <c r="K1322" s="5" t="n">
        <v>45521</v>
      </c>
      <c r="L1322" t="inlineStr"/>
      <c r="M1322" s="6">
        <f>HYPERLINK("https://www.kleinanzeigen.de/s-anzeige/neilpryde-the-fly-4-5-2017/2839408152-230-6414", "Link")</f>
        <v/>
      </c>
      <c r="N1322" s="6">
        <f>HYPERLINK("C:\Projects\Kleinanzeigen-Scraper\offer_images\2839408152", "Link")</f>
        <v/>
      </c>
      <c r="O1322" t="inlineStr">
        <is>
          <t>Simon Stieber</t>
        </is>
      </c>
      <c r="P1322" s="6">
        <f>HYPERLINK("https://www.kleinanzeigen.de/s-bestandsliste.html?userId=41090733", "Link")</f>
        <v/>
      </c>
      <c r="Q1322" s="7" t="n">
        <v>45549.57574074074</v>
      </c>
      <c r="R1322" s="3" t="inlineStr">
        <is>
          <t>6.23</t>
        </is>
      </c>
      <c r="S1322" t="inlineStr">
        <is>
          <t>München</t>
        </is>
      </c>
    </row>
    <row r="1323">
      <c r="A1323" s="2" t="n">
        <v>6.5</v>
      </c>
      <c r="B1323" t="inlineStr">
        <is>
          <t>Gun Sails</t>
        </is>
      </c>
      <c r="C1323" s="3" t="n">
        <v>4.98</v>
      </c>
      <c r="D1323" s="3" t="n">
        <v>205</v>
      </c>
      <c r="E1323" t="inlineStr"/>
      <c r="F1323" t="inlineStr"/>
      <c r="G1323" t="inlineStr">
        <is>
          <t>used</t>
        </is>
      </c>
      <c r="H1323" s="4" t="n">
        <v>50</v>
      </c>
      <c r="I1323" t="inlineStr">
        <is>
          <t>VB</t>
        </is>
      </c>
      <c r="J1323" t="inlineStr">
        <is>
          <t>36039 Hessen - Fulda</t>
        </is>
      </c>
      <c r="K1323" s="5" t="n">
        <v>45472</v>
      </c>
      <c r="L1323" t="inlineStr"/>
      <c r="M1323" s="6">
        <f>HYPERLINK("https://www.kleinanzeigen.de/s-anzeige/gun-sails-6-5-surfsegel-race-sail/2799572264-230-4884", "Link")</f>
        <v/>
      </c>
      <c r="N1323" s="6">
        <f>HYPERLINK("C:\Projects\Kleinanzeigen-Scraper\offer_images\2799572264", "Link")</f>
        <v/>
      </c>
      <c r="O1323" t="inlineStr">
        <is>
          <t>Walli</t>
        </is>
      </c>
      <c r="P1323" s="6">
        <f>HYPERLINK("https://www.kleinanzeigen.de/s-bestandsliste.html?userId=120562605", "Link")</f>
        <v/>
      </c>
      <c r="Q1323" s="7" t="n">
        <v>45549.57571759259</v>
      </c>
      <c r="R1323" s="3" t="inlineStr">
        <is>
          <t>195.15</t>
        </is>
      </c>
      <c r="S1323" t="inlineStr">
        <is>
          <t>Köln</t>
        </is>
      </c>
    </row>
    <row r="1324">
      <c r="A1324" s="2" t="n">
        <v>3.5</v>
      </c>
      <c r="B1324" t="inlineStr">
        <is>
          <t>North Salis</t>
        </is>
      </c>
      <c r="C1324" s="3" t="inlineStr"/>
      <c r="D1324" s="3" t="inlineStr"/>
      <c r="E1324" t="inlineStr"/>
      <c r="F1324" t="inlineStr"/>
      <c r="G1324" t="inlineStr">
        <is>
          <t>new</t>
        </is>
      </c>
      <c r="H1324" s="4" t="n">
        <v>60</v>
      </c>
      <c r="I1324" t="inlineStr"/>
      <c r="J1324" t="inlineStr">
        <is>
          <t>65205 Wiesbaden - Nordenstadt</t>
        </is>
      </c>
      <c r="K1324" s="5" t="n">
        <v>45535</v>
      </c>
      <c r="L1324" t="inlineStr">
        <is>
          <t>Sold</t>
        </is>
      </c>
      <c r="M1324" s="6">
        <f>HYPERLINK("https://www.kleinanzeigen.de/s-anzeige/3-5-m-north-salis-neuwertig/2850991157-230-4913", "Link")</f>
        <v/>
      </c>
      <c r="N1324" s="6">
        <f>HYPERLINK("C:\Projects\Kleinanzeigen-Scraper\offer_images\2850991157", "Link")</f>
        <v/>
      </c>
      <c r="O1324" t="inlineStr">
        <is>
          <t>Stefan Eisenacher</t>
        </is>
      </c>
      <c r="P1324" s="6">
        <f>HYPERLINK("https://www.kleinanzeigen.de/s-bestandsliste.html?userId=2668414", "Link")</f>
        <v/>
      </c>
      <c r="Q1324" s="7" t="n">
        <v>45549.57571759259</v>
      </c>
      <c r="R1324" s="3" t="inlineStr">
        <is>
          <t>116.77</t>
        </is>
      </c>
      <c r="S1324" t="inlineStr">
        <is>
          <t>Karlsruhe</t>
        </is>
      </c>
    </row>
    <row r="1325">
      <c r="A1325" s="2" t="n">
        <v>6.2</v>
      </c>
      <c r="B1325" t="inlineStr">
        <is>
          <t>Ka Koncept</t>
        </is>
      </c>
      <c r="C1325" s="3" t="inlineStr"/>
      <c r="D1325" s="3" t="inlineStr"/>
      <c r="E1325" t="inlineStr">
        <is>
          <t>Freerace</t>
        </is>
      </c>
      <c r="F1325" t="inlineStr"/>
      <c r="G1325" t="inlineStr">
        <is>
          <t>used</t>
        </is>
      </c>
      <c r="H1325" s="4" t="n">
        <v>230</v>
      </c>
      <c r="I1325" t="inlineStr">
        <is>
          <t>VB</t>
        </is>
      </c>
      <c r="J1325" t="inlineStr">
        <is>
          <t>26349 Niedersachsen - Jade</t>
        </is>
      </c>
      <c r="K1325" s="5" t="n">
        <v>45492</v>
      </c>
      <c r="L1325" t="inlineStr">
        <is>
          <t>Sold</t>
        </is>
      </c>
      <c r="M1325" s="6">
        <f>HYPERLINK("https://www.kleinanzeigen.de/s-anzeige/ka-koncept-6-2-m-freerace-segel-windsurf-sailloft-slalom/2815912058-230-3006", "Link")</f>
        <v/>
      </c>
      <c r="N1325" s="6">
        <f>HYPERLINK("C:\Projects\Kleinanzeigen-Scraper\offer_images\2815912058", "Link")</f>
        <v/>
      </c>
      <c r="O1325" t="inlineStr">
        <is>
          <t>Torben Coldewey</t>
        </is>
      </c>
      <c r="P1325" s="6">
        <f>HYPERLINK("https://www.kleinanzeigen.de/s-bestandsliste.html?userId=66833510", "Link")</f>
        <v/>
      </c>
      <c r="Q1325" s="7" t="n">
        <v>45549.57571759259</v>
      </c>
      <c r="R1325" s="3" t="inlineStr">
        <is>
          <t>281.53</t>
        </is>
      </c>
      <c r="S1325" t="inlineStr">
        <is>
          <t>Köln</t>
        </is>
      </c>
    </row>
    <row r="1326">
      <c r="A1326" s="2" t="n">
        <v>3</v>
      </c>
      <c r="B1326" t="inlineStr">
        <is>
          <t>Severne Blade</t>
        </is>
      </c>
      <c r="C1326" s="3" t="n">
        <v>340</v>
      </c>
      <c r="D1326" s="3" t="n">
        <v>140</v>
      </c>
      <c r="E1326" t="inlineStr"/>
      <c r="F1326" t="inlineStr">
        <is>
          <t>2023</t>
        </is>
      </c>
      <c r="G1326" t="inlineStr">
        <is>
          <t>new</t>
        </is>
      </c>
      <c r="H1326" s="4" t="n">
        <v>360</v>
      </c>
      <c r="I1326" t="inlineStr"/>
      <c r="J1326" t="inlineStr">
        <is>
          <t>20257 Eimsbüttel - Hamburg Eimsbüttel (Stadtteil)</t>
        </is>
      </c>
      <c r="K1326" s="5" t="n">
        <v>45225</v>
      </c>
      <c r="L1326" t="inlineStr"/>
      <c r="M1326" s="6">
        <f>HYPERLINK("https://www.kleinanzeigen.de/s-anzeige/neuwertig-severne-blade-3-0-2023/2584073145-230-9429", "Link")</f>
        <v/>
      </c>
      <c r="N1326" s="6">
        <f>HYPERLINK("C:\Projects\Kleinanzeigen-Scraper\offer_images\2584073145", "Link")</f>
        <v/>
      </c>
      <c r="O1326" t="inlineStr">
        <is>
          <t>eckbert</t>
        </is>
      </c>
      <c r="P1326" s="6">
        <f>HYPERLINK("https://www.kleinanzeigen.de/s-bestandsliste.html?userId=40296824", "Link")</f>
        <v/>
      </c>
      <c r="Q1326" s="7" t="n">
        <v>45549.57571759259</v>
      </c>
      <c r="R1326" s="3" t="inlineStr">
        <is>
          <t>356.84</t>
        </is>
      </c>
      <c r="S1326" t="inlineStr">
        <is>
          <t>Köln</t>
        </is>
      </c>
    </row>
    <row r="1327">
      <c r="A1327" s="2" t="n">
        <v>8.199999999999999</v>
      </c>
      <c r="B1327" t="inlineStr">
        <is>
          <t>Neilpryde H2</t>
        </is>
      </c>
      <c r="C1327" s="3" t="inlineStr">
        <is>
          <t>460-490</t>
        </is>
      </c>
      <c r="D1327" s="3" t="n">
        <v>321</v>
      </c>
      <c r="E1327" t="inlineStr"/>
      <c r="F1327" t="inlineStr"/>
      <c r="G1327" t="inlineStr"/>
      <c r="H1327" s="4" t="n">
        <v>225</v>
      </c>
      <c r="I1327" t="inlineStr">
        <is>
          <t>VB</t>
        </is>
      </c>
      <c r="J1327" t="inlineStr">
        <is>
          <t>22175 Wandsbek - Hamburg Bramfeld</t>
        </is>
      </c>
      <c r="K1327" s="5" t="n">
        <v>45494</v>
      </c>
      <c r="L1327" t="inlineStr"/>
      <c r="M1327" s="6">
        <f>HYPERLINK("https://www.kleinanzeigen.de/s-anzeige/surfsegel-neilpryde-8-2-qm-h2/2817099360-230-9453", "Link")</f>
        <v/>
      </c>
      <c r="N1327" s="6">
        <f>HYPERLINK("C:\Projects\Kleinanzeigen-Scraper\offer_images\2817099360", "Link")</f>
        <v/>
      </c>
      <c r="O1327" t="inlineStr">
        <is>
          <t>JÃ?Â¶rg</t>
        </is>
      </c>
      <c r="P1327" s="6">
        <f>HYPERLINK("https://www.kleinanzeigen.de/s-bestandsliste.html?userId=17734064", "Link")</f>
        <v/>
      </c>
      <c r="Q1327" s="7" t="n">
        <v>45549.57569444444</v>
      </c>
      <c r="R1327" s="3" t="inlineStr">
        <is>
          <t>367.43</t>
        </is>
      </c>
      <c r="S1327" t="inlineStr">
        <is>
          <t>Köln</t>
        </is>
      </c>
    </row>
    <row r="1328">
      <c r="A1328" s="2" t="n">
        <v>6.3</v>
      </c>
      <c r="B1328" t="inlineStr">
        <is>
          <t>North Sails Quattro</t>
        </is>
      </c>
      <c r="C1328" s="3" t="n">
        <v>460</v>
      </c>
      <c r="D1328" s="3" t="n">
        <v>185</v>
      </c>
      <c r="E1328" t="inlineStr"/>
      <c r="F1328" t="inlineStr"/>
      <c r="G1328" t="inlineStr">
        <is>
          <t>used</t>
        </is>
      </c>
      <c r="H1328" s="4" t="n">
        <v>75</v>
      </c>
      <c r="I1328" t="inlineStr"/>
      <c r="J1328" t="inlineStr">
        <is>
          <t>28259 Bremen - Huchting</t>
        </is>
      </c>
      <c r="K1328" s="5" t="n">
        <v>45537</v>
      </c>
      <c r="L1328" t="inlineStr">
        <is>
          <t>Sold</t>
        </is>
      </c>
      <c r="M1328" s="6">
        <f>HYPERLINK("https://www.kleinanzeigen.de/s-anzeige/windsurfsegel-north-sails-quattro-6-3-qm/2852460598-230-49", "Link")</f>
        <v/>
      </c>
      <c r="N1328" s="6">
        <f>HYPERLINK("C:\Projects\Kleinanzeigen-Scraper\offer_images\2852460598", "Link")</f>
        <v/>
      </c>
      <c r="O1328" t="inlineStr">
        <is>
          <t>Oliver</t>
        </is>
      </c>
      <c r="P1328" s="6">
        <f>HYPERLINK("https://www.kleinanzeigen.de/s-bestandsliste.html?userId=12992233", "Link")</f>
        <v/>
      </c>
      <c r="Q1328" s="7" t="n">
        <v>45549.57568287037</v>
      </c>
      <c r="R1328" s="3" t="inlineStr">
        <is>
          <t>265.01</t>
        </is>
      </c>
      <c r="S1328" t="inlineStr">
        <is>
          <t>Köln</t>
        </is>
      </c>
    </row>
    <row r="1329">
      <c r="A1329" s="2" t="n">
        <v>6.7</v>
      </c>
      <c r="B1329" t="inlineStr">
        <is>
          <t>GUN SAILS JAM</t>
        </is>
      </c>
      <c r="C1329" s="3" t="inlineStr"/>
      <c r="D1329" s="3" t="inlineStr"/>
      <c r="E1329" t="inlineStr"/>
      <c r="F1329" t="inlineStr"/>
      <c r="G1329" t="inlineStr">
        <is>
          <t>used</t>
        </is>
      </c>
      <c r="H1329" s="4" t="n">
        <v>150</v>
      </c>
      <c r="I1329" t="inlineStr">
        <is>
          <t>VB</t>
        </is>
      </c>
      <c r="J1329" t="inlineStr">
        <is>
          <t>04349 Leipzig - Thekla</t>
        </is>
      </c>
      <c r="K1329" s="5" t="n">
        <v>45523</v>
      </c>
      <c r="L1329" t="inlineStr"/>
      <c r="M1329" s="6">
        <f>HYPERLINK("https://www.kleinanzeigen.de/s-anzeige/windsurf-segel-gun-sails-jam-6-7/2840855411-230-4239", "Link")</f>
        <v/>
      </c>
      <c r="N1329" s="6">
        <f>HYPERLINK("C:\Projects\Kleinanzeigen-Scraper\offer_images\2840855411", "Link")</f>
        <v/>
      </c>
      <c r="O1329" t="inlineStr">
        <is>
          <t>schmiha1946</t>
        </is>
      </c>
      <c r="P1329" s="6">
        <f>HYPERLINK("https://www.kleinanzeigen.de/s-bestandsliste.html?userId=141447532", "Link")</f>
        <v/>
      </c>
      <c r="Q1329" s="7" t="n">
        <v>45549.5756712963</v>
      </c>
      <c r="R1329" s="3" t="inlineStr">
        <is>
          <t>365.97</t>
        </is>
      </c>
      <c r="S1329" t="inlineStr">
        <is>
          <t>München</t>
        </is>
      </c>
    </row>
    <row r="1330">
      <c r="A1330" s="2" t="n">
        <v>4</v>
      </c>
      <c r="B1330" t="inlineStr">
        <is>
          <t>Ezzy</t>
        </is>
      </c>
      <c r="C1330" s="3" t="n">
        <v>400</v>
      </c>
      <c r="D1330" s="3" t="n">
        <v>155</v>
      </c>
      <c r="E1330" t="inlineStr"/>
      <c r="F1330" t="inlineStr"/>
      <c r="G1330" t="inlineStr">
        <is>
          <t>repaired</t>
        </is>
      </c>
      <c r="H1330" s="4" t="n">
        <v>49</v>
      </c>
      <c r="I1330" t="inlineStr">
        <is>
          <t>VB</t>
        </is>
      </c>
      <c r="J1330" t="inlineStr">
        <is>
          <t>14476 Brandenburg - Potsdam</t>
        </is>
      </c>
      <c r="K1330" s="5" t="n">
        <v>45445</v>
      </c>
      <c r="L1330" t="inlineStr">
        <is>
          <t>Sold</t>
        </is>
      </c>
      <c r="M1330" s="6">
        <f>HYPERLINK("https://www.kleinanzeigen.de/s-anzeige/wavesegel-ezzy-4-0-rot/2777690100-230-7966", "Link")</f>
        <v/>
      </c>
      <c r="N1330" s="6">
        <f>HYPERLINK("C:\Projects\Kleinanzeigen-Scraper\offer_images\2777690100", "Link")</f>
        <v/>
      </c>
      <c r="O1330" t="inlineStr">
        <is>
          <t>Andreas Kretzschmar</t>
        </is>
      </c>
      <c r="P1330" s="6">
        <f>HYPERLINK("https://www.kleinanzeigen.de/s-bestandsliste.html?userId=5890713", "Link")</f>
        <v/>
      </c>
      <c r="Q1330" s="7" t="n">
        <v>45549.57565972222</v>
      </c>
      <c r="R1330" s="3" t="inlineStr">
        <is>
          <t>449.69</t>
        </is>
      </c>
      <c r="S1330" t="inlineStr">
        <is>
          <t>Köln</t>
        </is>
      </c>
    </row>
    <row r="1331">
      <c r="A1331" s="2" t="n">
        <v>4</v>
      </c>
      <c r="B1331" t="inlineStr">
        <is>
          <t>Sailloft Quad</t>
        </is>
      </c>
      <c r="C1331" s="3" t="inlineStr"/>
      <c r="D1331" s="3" t="inlineStr"/>
      <c r="E1331" t="inlineStr"/>
      <c r="F1331" t="inlineStr"/>
      <c r="G1331" t="inlineStr">
        <is>
          <t>used</t>
        </is>
      </c>
      <c r="H1331" s="4" t="n">
        <v>250</v>
      </c>
      <c r="I1331" t="inlineStr">
        <is>
          <t>VB</t>
        </is>
      </c>
      <c r="J1331" t="inlineStr">
        <is>
          <t>08371 Sachsen - Glauchau</t>
        </is>
      </c>
      <c r="K1331" s="5" t="n">
        <v>45501</v>
      </c>
      <c r="L1331" t="inlineStr">
        <is>
          <t>Sold</t>
        </is>
      </c>
      <c r="M1331" s="6">
        <f>HYPERLINK("https://www.kleinanzeigen.de/s-anzeige/sailloft-quad-4-0/2822844156-230-4008", "Link")</f>
        <v/>
      </c>
      <c r="N1331" s="6">
        <f>HYPERLINK("C:\Projects\Kleinanzeigen-Scraper\offer_images\2822844156", "Link")</f>
        <v/>
      </c>
      <c r="O1331" t="inlineStr">
        <is>
          <t>Nicole Rose</t>
        </is>
      </c>
      <c r="P1331" s="6">
        <f>HYPERLINK("https://www.kleinanzeigen.de/s-bestandsliste.html?userId=27771075", "Link")</f>
        <v/>
      </c>
      <c r="Q1331" s="7" t="n">
        <v>45549.57565972222</v>
      </c>
      <c r="R1331" s="3" t="inlineStr">
        <is>
          <t>305.20</t>
        </is>
      </c>
      <c r="S1331" t="inlineStr">
        <is>
          <t>München</t>
        </is>
      </c>
    </row>
    <row r="1332">
      <c r="A1332" s="2" t="n">
        <v>5.7</v>
      </c>
      <c r="B1332" t="inlineStr">
        <is>
          <t>DTW Duotone Super_Star SLS</t>
        </is>
      </c>
      <c r="C1332" s="3" t="inlineStr"/>
      <c r="D1332" s="3" t="inlineStr"/>
      <c r="E1332" t="inlineStr"/>
      <c r="F1332" t="inlineStr">
        <is>
          <t>2022</t>
        </is>
      </c>
      <c r="G1332" t="inlineStr">
        <is>
          <t>new</t>
        </is>
      </c>
      <c r="H1332" s="4" t="n">
        <v>649</v>
      </c>
      <c r="I1332" t="inlineStr"/>
      <c r="J1332" t="inlineStr">
        <is>
          <t>82319 Bayern - Starnberg</t>
        </is>
      </c>
      <c r="K1332" s="5" t="n">
        <v>45541</v>
      </c>
      <c r="L1332" t="inlineStr">
        <is>
          <t>Sold</t>
        </is>
      </c>
      <c r="M1332" s="6">
        <f>HYPERLINK("https://www.kleinanzeigen.de/s-anzeige/dtw-duotone-super-star-sls-5-7qm-2022-windsurfsegel/2442923786-230-5525", "Link")</f>
        <v/>
      </c>
      <c r="N1332" s="6">
        <f>HYPERLINK("C:\Projects\Kleinanzeigen-Scraper\offer_images\2442923786", "Link")</f>
        <v/>
      </c>
      <c r="O1332" t="inlineStr">
        <is>
          <t>No user name</t>
        </is>
      </c>
      <c r="P1332" s="6">
        <f>HYPERLINK("https://www.kleinanzeigen.deNo user link", "Link")</f>
        <v/>
      </c>
      <c r="Q1332" s="7" t="n">
        <v>45549.57563657407</v>
      </c>
      <c r="R1332" s="3" t="inlineStr">
        <is>
          <t>23.17</t>
        </is>
      </c>
      <c r="S1332" t="inlineStr">
        <is>
          <t>München</t>
        </is>
      </c>
    </row>
    <row r="1333">
      <c r="A1333" s="2" t="n">
        <v>8.6</v>
      </c>
      <c r="B1333" t="inlineStr">
        <is>
          <t>Sailloft Ultimate</t>
        </is>
      </c>
      <c r="C1333" s="3" t="inlineStr"/>
      <c r="D1333" s="3" t="inlineStr"/>
      <c r="E1333" t="inlineStr"/>
      <c r="F1333" t="inlineStr"/>
      <c r="G1333" t="inlineStr">
        <is>
          <t>used</t>
        </is>
      </c>
      <c r="H1333" s="4" t="n">
        <v>175</v>
      </c>
      <c r="I1333" t="inlineStr">
        <is>
          <t>VB</t>
        </is>
      </c>
      <c r="J1333" t="inlineStr">
        <is>
          <t>21640 Niedersachsen - Nottensdorf</t>
        </is>
      </c>
      <c r="K1333" s="5" t="n">
        <v>45497</v>
      </c>
      <c r="L1333" t="inlineStr">
        <is>
          <t>Sold</t>
        </is>
      </c>
      <c r="M1333" s="6">
        <f>HYPERLINK("https://www.kleinanzeigen.de/s-anzeige/sailloft-ultimate-8-6qm-wie-neilpryde-duotone-point-7-severne/2819919014-230-3290", "Link")</f>
        <v/>
      </c>
      <c r="N1333" s="6">
        <f>HYPERLINK("C:\Projects\Kleinanzeigen-Scraper\offer_images\2819919014", "Link")</f>
        <v/>
      </c>
      <c r="O1333" t="inlineStr">
        <is>
          <t>hendrik</t>
        </is>
      </c>
      <c r="P1333" s="6">
        <f>HYPERLINK("https://www.kleinanzeigen.de/s-bestandsliste.html?userId=25772848", "Link")</f>
        <v/>
      </c>
      <c r="Q1333" s="7" t="n">
        <v>45549.57561342593</v>
      </c>
      <c r="R1333" s="3" t="inlineStr">
        <is>
          <t>337.05</t>
        </is>
      </c>
      <c r="S1333" t="inlineStr">
        <is>
          <t>Köln</t>
        </is>
      </c>
    </row>
    <row r="1334">
      <c r="A1334" s="2" t="n">
        <v>5.7</v>
      </c>
      <c r="B1334" t="inlineStr">
        <is>
          <t>Gun Sails Impact Wave</t>
        </is>
      </c>
      <c r="C1334" s="3" t="n">
        <v>4</v>
      </c>
      <c r="D1334" s="3" t="n">
        <v>184</v>
      </c>
      <c r="E1334" t="inlineStr"/>
      <c r="F1334" t="inlineStr"/>
      <c r="G1334" t="inlineStr">
        <is>
          <t>used</t>
        </is>
      </c>
      <c r="H1334" s="4" t="n">
        <v>125</v>
      </c>
      <c r="I1334" t="inlineStr"/>
      <c r="J1334" t="inlineStr">
        <is>
          <t>59199 Nordrhein-Westfalen - Bönen</t>
        </is>
      </c>
      <c r="K1334" s="5" t="n">
        <v>45438</v>
      </c>
      <c r="L1334" t="inlineStr">
        <is>
          <t>Sold</t>
        </is>
      </c>
      <c r="M1334" s="6">
        <f>HYPERLINK("https://www.kleinanzeigen.de/s-anzeige/gun-sails-impact-wave-5-7-windsurfen/2771520105-230-1444", "Link")</f>
        <v/>
      </c>
      <c r="N1334" s="6">
        <f>HYPERLINK("C:\Projects\Kleinanzeigen-Scraper\offer_images\2771520105", "Link")</f>
        <v/>
      </c>
      <c r="O1334" t="inlineStr">
        <is>
          <t>R R</t>
        </is>
      </c>
      <c r="P1334" s="6">
        <f>HYPERLINK("https://www.kleinanzeigen.de/s-bestandsliste.html?userId=7416314", "Link")</f>
        <v/>
      </c>
      <c r="Q1334" s="7" t="n">
        <v>45549.57559027777</v>
      </c>
      <c r="R1334" s="3" t="inlineStr">
        <is>
          <t>91.63</t>
        </is>
      </c>
      <c r="S1334" t="inlineStr">
        <is>
          <t>Köln</t>
        </is>
      </c>
    </row>
    <row r="1335">
      <c r="A1335" s="2" t="n">
        <v>5.4</v>
      </c>
      <c r="B1335" t="inlineStr">
        <is>
          <t>Loftsails Wavescape</t>
        </is>
      </c>
      <c r="C1335" s="3" t="n">
        <v>400</v>
      </c>
      <c r="D1335" s="3" t="inlineStr"/>
      <c r="E1335" t="inlineStr">
        <is>
          <t>Wave</t>
        </is>
      </c>
      <c r="F1335" t="inlineStr">
        <is>
          <t>2023</t>
        </is>
      </c>
      <c r="G1335" t="inlineStr">
        <is>
          <t>new</t>
        </is>
      </c>
      <c r="H1335" s="4" t="n">
        <v>470</v>
      </c>
      <c r="I1335" t="inlineStr"/>
      <c r="J1335" t="inlineStr">
        <is>
          <t>55218 Rheinland-Pfalz - Ingelheim am Rhein</t>
        </is>
      </c>
      <c r="K1335" s="5" t="n">
        <v>45164</v>
      </c>
      <c r="L1335" t="inlineStr"/>
      <c r="M1335" s="6">
        <f>HYPERLINK("https://www.kleinanzeigen.de/s-anzeige/2023-loftsails-wavescape-5-4-4-latten/2529954428-230-5126", "Link")</f>
        <v/>
      </c>
      <c r="N1335" s="6">
        <f>HYPERLINK("C:\Projects\Kleinanzeigen-Scraper\offer_images\2529954428", "Link")</f>
        <v/>
      </c>
      <c r="O1335" t="inlineStr">
        <is>
          <t>Peters Windsurfing Shop</t>
        </is>
      </c>
      <c r="P1335" s="6">
        <f>HYPERLINK("https://www.kleinanzeigen.de/s-bestandsliste.html?userId=120339149", "Link")</f>
        <v/>
      </c>
      <c r="Q1335" s="7" t="n">
        <v>45549.57556712963</v>
      </c>
      <c r="R1335" s="3" t="inlineStr">
        <is>
          <t>108.99</t>
        </is>
      </c>
      <c r="S1335" t="inlineStr">
        <is>
          <t>Karlsruhe</t>
        </is>
      </c>
    </row>
    <row r="1336">
      <c r="A1336" s="2" t="n">
        <v>4.2</v>
      </c>
      <c r="B1336" t="inlineStr">
        <is>
          <t>RRD Vogue</t>
        </is>
      </c>
      <c r="C1336" s="3" t="n">
        <v>370</v>
      </c>
      <c r="D1336" s="3" t="inlineStr"/>
      <c r="E1336" t="inlineStr"/>
      <c r="F1336" t="inlineStr"/>
      <c r="G1336" t="inlineStr">
        <is>
          <t>used</t>
        </is>
      </c>
      <c r="H1336" s="4" t="inlineStr"/>
      <c r="I1336" t="inlineStr">
        <is>
          <t>VB</t>
        </is>
      </c>
      <c r="J1336" t="inlineStr">
        <is>
          <t>37176 Niedersachsen - Nörten-Hardenberg</t>
        </is>
      </c>
      <c r="K1336" s="5" t="n">
        <v>45366</v>
      </c>
      <c r="L1336" t="inlineStr"/>
      <c r="M1336" s="6">
        <f>HYPERLINK("https://www.kleinanzeigen.de/s-anzeige/rrd-vogue-4-2-windsurfsegel/2706902239-230-2789", "Link")</f>
        <v/>
      </c>
      <c r="N1336" s="6">
        <f>HYPERLINK("C:\Projects\Kleinanzeigen-Scraper\offer_images\2706902239", "Link")</f>
        <v/>
      </c>
      <c r="O1336" t="inlineStr">
        <is>
          <t>Giebert</t>
        </is>
      </c>
      <c r="P1336" s="6">
        <f>HYPERLINK("https://www.kleinanzeigen.de/s-bestandsliste.html?userId=3618186", "Link")</f>
        <v/>
      </c>
      <c r="Q1336" s="7" t="n">
        <v>45549.57555555556</v>
      </c>
      <c r="R1336" s="3" t="inlineStr">
        <is>
          <t>220.94</t>
        </is>
      </c>
      <c r="S1336" t="inlineStr">
        <is>
          <t>Köln</t>
        </is>
      </c>
    </row>
    <row r="1337">
      <c r="A1337" s="2" t="n">
        <v>4.4</v>
      </c>
      <c r="B1337" t="inlineStr">
        <is>
          <t>Sailloft Hamburg Bionic</t>
        </is>
      </c>
      <c r="C1337" s="3" t="n">
        <v>403</v>
      </c>
      <c r="D1337" s="3" t="n">
        <v>156</v>
      </c>
      <c r="E1337" t="inlineStr"/>
      <c r="F1337" t="inlineStr">
        <is>
          <t>2018</t>
        </is>
      </c>
      <c r="G1337" t="inlineStr">
        <is>
          <t>used</t>
        </is>
      </c>
      <c r="H1337" s="4" t="n">
        <v>150</v>
      </c>
      <c r="I1337" t="inlineStr"/>
      <c r="J1337" t="inlineStr">
        <is>
          <t>23701 Kreis Ostholstein - Eutin</t>
        </is>
      </c>
      <c r="K1337" s="5" t="n">
        <v>45500</v>
      </c>
      <c r="L1337" t="inlineStr"/>
      <c r="M1337" s="6">
        <f>HYPERLINK("https://www.kleinanzeigen.de/s-anzeige/surfsegel-sailloft-hamburg-bionic-4-4m2/2822166132-230-10552", "Link")</f>
        <v/>
      </c>
      <c r="N1337" s="6">
        <f>HYPERLINK("C:\Projects\Kleinanzeigen-Scraper\offer_images\2822166132", "Link")</f>
        <v/>
      </c>
      <c r="O1337" t="inlineStr">
        <is>
          <t>Fredy</t>
        </is>
      </c>
      <c r="P1337" s="6">
        <f>HYPERLINK("https://www.kleinanzeigen.de/s-bestandsliste.html?userId=75181215", "Link")</f>
        <v/>
      </c>
      <c r="Q1337" s="7" t="n">
        <v>45549.57555555556</v>
      </c>
      <c r="R1337" s="3" t="inlineStr">
        <is>
          <t>431.90</t>
        </is>
      </c>
      <c r="S1337" t="inlineStr">
        <is>
          <t>Köln</t>
        </is>
      </c>
    </row>
    <row r="1338">
      <c r="A1338" s="2" t="n">
        <v>5.8</v>
      </c>
      <c r="B1338" t="inlineStr">
        <is>
          <t>NeilPryde Atlas Pro HD</t>
        </is>
      </c>
      <c r="C1338" s="3" t="n">
        <v>4</v>
      </c>
      <c r="D1338" s="3" t="n">
        <v>1.8</v>
      </c>
      <c r="E1338" t="inlineStr">
        <is>
          <t>Wave</t>
        </is>
      </c>
      <c r="F1338" t="inlineStr">
        <is>
          <t>2023</t>
        </is>
      </c>
      <c r="G1338" t="inlineStr">
        <is>
          <t>new</t>
        </is>
      </c>
      <c r="H1338" s="4" t="n">
        <v>658</v>
      </c>
      <c r="I1338" t="inlineStr"/>
      <c r="J1338" t="inlineStr">
        <is>
          <t>82319 Bayern - Starnberg</t>
        </is>
      </c>
      <c r="K1338" s="5" t="n">
        <v>45542</v>
      </c>
      <c r="L1338" t="inlineStr"/>
      <c r="M1338" s="6">
        <f>HYPERLINK("https://www.kleinanzeigen.de/s-anzeige/neilpryde-atlas-pro-hd-5-8qm-orange-blue-2023-segel-neu/2703384923-230-5525", "Link")</f>
        <v/>
      </c>
      <c r="N1338" s="6">
        <f>HYPERLINK("C:\Projects\Kleinanzeigen-Scraper\offer_images\2703384923", "Link")</f>
        <v/>
      </c>
      <c r="O1338" t="inlineStr">
        <is>
          <t>No user name</t>
        </is>
      </c>
      <c r="P1338" s="6">
        <f>HYPERLINK("https://www.kleinanzeigen.deNo user link", "Link")</f>
        <v/>
      </c>
      <c r="Q1338" s="7" t="n">
        <v>45549.57554398148</v>
      </c>
      <c r="R1338" s="3" t="inlineStr">
        <is>
          <t>23.17</t>
        </is>
      </c>
      <c r="S1338" t="inlineStr">
        <is>
          <t>München</t>
        </is>
      </c>
    </row>
    <row r="1339">
      <c r="A1339" s="2" t="n">
        <v>5.3</v>
      </c>
      <c r="B1339" t="inlineStr">
        <is>
          <t>RRD</t>
        </is>
      </c>
      <c r="C1339" s="3" t="inlineStr"/>
      <c r="D1339" s="3" t="inlineStr"/>
      <c r="E1339" t="inlineStr"/>
      <c r="F1339" t="inlineStr"/>
      <c r="G1339" t="inlineStr">
        <is>
          <t>used</t>
        </is>
      </c>
      <c r="H1339" s="4" t="n">
        <v>390</v>
      </c>
      <c r="I1339" t="inlineStr"/>
      <c r="J1339" t="inlineStr">
        <is>
          <t>17192 Müritz - Landkreis - Waren (Müritz)</t>
        </is>
      </c>
      <c r="K1339" s="5" t="n">
        <v>45528</v>
      </c>
      <c r="L1339" t="inlineStr"/>
      <c r="M1339" s="6">
        <f>HYPERLINK("https://www.kleinanzeigen.de/s-anzeige/surfsegel-rrd-5-3/2845087067-230-71", "Link")</f>
        <v/>
      </c>
      <c r="N1339" s="6">
        <f>HYPERLINK("C:\Projects\Kleinanzeigen-Scraper\offer_images\2845087067", "Link")</f>
        <v/>
      </c>
      <c r="O1339" t="inlineStr">
        <is>
          <t>Chris Reinke</t>
        </is>
      </c>
      <c r="P1339" s="6">
        <f>HYPERLINK("https://www.kleinanzeigen.de/s-bestandsliste.html?userId=19787163", "Link")</f>
        <v/>
      </c>
      <c r="Q1339" s="7" t="n">
        <v>45549.57553240741</v>
      </c>
      <c r="R1339" s="3" t="inlineStr">
        <is>
          <t>486.42</t>
        </is>
      </c>
      <c r="S1339" t="inlineStr">
        <is>
          <t>Köln</t>
        </is>
      </c>
    </row>
    <row r="1340">
      <c r="A1340" s="2" t="n">
        <v>4.2</v>
      </c>
      <c r="B1340" t="inlineStr">
        <is>
          <t>Neilpryde Combat</t>
        </is>
      </c>
      <c r="C1340" s="3" t="n">
        <v>370</v>
      </c>
      <c r="D1340" s="3" t="n">
        <v>155</v>
      </c>
      <c r="E1340" t="inlineStr"/>
      <c r="F1340" t="inlineStr"/>
      <c r="G1340" t="inlineStr">
        <is>
          <t>used</t>
        </is>
      </c>
      <c r="H1340" s="4" t="n">
        <v>110</v>
      </c>
      <c r="I1340" t="inlineStr">
        <is>
          <t>VB</t>
        </is>
      </c>
      <c r="J1340" t="inlineStr">
        <is>
          <t>48329 Nordrhein-Westfalen - Havixbeck</t>
        </is>
      </c>
      <c r="K1340" s="5" t="n">
        <v>45540</v>
      </c>
      <c r="L1340" t="inlineStr"/>
      <c r="M1340" s="6">
        <f>HYPERLINK("https://www.kleinanzeigen.de/s-anzeige/neilpryde-combat-4-2-segel-neil-pryde/2855158686-230-1320", "Link")</f>
        <v/>
      </c>
      <c r="N1340" s="6">
        <f>HYPERLINK("C:\Projects\Kleinanzeigen-Scraper\offer_images\2855158686", "Link")</f>
        <v/>
      </c>
      <c r="O1340" t="inlineStr">
        <is>
          <t>Tobias</t>
        </is>
      </c>
      <c r="P1340" s="6">
        <f>HYPERLINK("https://www.kleinanzeigen.de/s-bestandsliste.html?userId=22799132", "Link")</f>
        <v/>
      </c>
      <c r="Q1340" s="7" t="n">
        <v>45549.57548611111</v>
      </c>
      <c r="R1340" s="3" t="inlineStr">
        <is>
          <t>119.19</t>
        </is>
      </c>
      <c r="S1340" t="inlineStr">
        <is>
          <t>Köln</t>
        </is>
      </c>
    </row>
    <row r="1341">
      <c r="A1341" s="2" t="n">
        <v>8.5</v>
      </c>
      <c r="B1341" t="inlineStr">
        <is>
          <t>RRD</t>
        </is>
      </c>
      <c r="C1341" s="3" t="n">
        <v>493</v>
      </c>
      <c r="D1341" s="3" t="n">
        <v>217</v>
      </c>
      <c r="E1341" t="inlineStr"/>
      <c r="F1341" t="inlineStr"/>
      <c r="G1341" t="inlineStr">
        <is>
          <t>used</t>
        </is>
      </c>
      <c r="H1341" s="4" t="n">
        <v>70</v>
      </c>
      <c r="I1341" t="inlineStr"/>
      <c r="J1341" t="inlineStr">
        <is>
          <t>66640 Saarland - Namborn</t>
        </is>
      </c>
      <c r="K1341" s="5" t="n">
        <v>45517</v>
      </c>
      <c r="L1341" t="inlineStr"/>
      <c r="M1341" s="6">
        <f>HYPERLINK("https://www.kleinanzeigen.de/s-anzeige/surfsegel-rrd-8-5-qm/2836307077-230-319", "Link")</f>
        <v/>
      </c>
      <c r="N1341" s="6">
        <f>HYPERLINK("C:\Projects\Kleinanzeigen-Scraper\offer_images\2836307077", "Link")</f>
        <v/>
      </c>
      <c r="O1341" t="inlineStr">
        <is>
          <t>Kröger</t>
        </is>
      </c>
      <c r="P1341" s="6">
        <f>HYPERLINK("https://www.kleinanzeigen.de/s-bestandsliste.html?userId=21740670", "Link")</f>
        <v/>
      </c>
      <c r="Q1341" s="7" t="n">
        <v>45549.57547453704</v>
      </c>
      <c r="R1341" s="3" t="inlineStr">
        <is>
          <t>107.61</t>
        </is>
      </c>
      <c r="S1341" t="inlineStr">
        <is>
          <t>Karlsruhe</t>
        </is>
      </c>
    </row>
    <row r="1342">
      <c r="A1342" s="2" t="n">
        <v>7.9</v>
      </c>
      <c r="B1342" t="inlineStr">
        <is>
          <t>Gunsails Rapid</t>
        </is>
      </c>
      <c r="C1342" s="3" t="n">
        <v>460</v>
      </c>
      <c r="D1342" s="3" t="n">
        <v>213</v>
      </c>
      <c r="E1342" t="inlineStr"/>
      <c r="F1342" t="inlineStr"/>
      <c r="G1342" t="inlineStr">
        <is>
          <t>used</t>
        </is>
      </c>
      <c r="H1342" s="4" t="n">
        <v>270</v>
      </c>
      <c r="I1342" t="inlineStr"/>
      <c r="J1342" t="inlineStr">
        <is>
          <t>68794 Baden-Württemberg - Oberhausen-Rheinhausen</t>
        </is>
      </c>
      <c r="K1342" s="5" t="n">
        <v>45549</v>
      </c>
      <c r="L1342" t="inlineStr">
        <is>
          <t>Sold</t>
        </is>
      </c>
      <c r="M1342" s="6">
        <f>HYPERLINK("https://www.kleinanzeigen.de/s-anzeige/gunsails-rapid-7-9-surfsegel-gun-sails-surfsegel-freerace/2862831496-230-8338", "Link")</f>
        <v/>
      </c>
      <c r="N1342" s="6">
        <f>HYPERLINK("C:\Projects\Kleinanzeigen-Scraper\offer_images\2862831496", "Link")</f>
        <v/>
      </c>
      <c r="O1342" t="inlineStr">
        <is>
          <t>Metzler</t>
        </is>
      </c>
      <c r="P1342" s="6">
        <f>HYPERLINK("https://www.kleinanzeigen.de/s-bestandsliste.html?userId=73550942", "Link")</f>
        <v/>
      </c>
      <c r="Q1342" s="7" t="n">
        <v>45549.57546296297</v>
      </c>
      <c r="R1342" s="3" t="inlineStr">
        <is>
          <t>30.38</t>
        </is>
      </c>
      <c r="S1342" t="inlineStr">
        <is>
          <t>Karlsruhe</t>
        </is>
      </c>
    </row>
    <row r="1343">
      <c r="A1343" s="2" t="n">
        <v>5.7</v>
      </c>
      <c r="B1343" t="inlineStr">
        <is>
          <t>Naish Session</t>
        </is>
      </c>
      <c r="C1343" s="3" t="n">
        <v>430</v>
      </c>
      <c r="D1343" s="3" t="n">
        <v>172</v>
      </c>
      <c r="E1343" t="inlineStr"/>
      <c r="F1343" t="inlineStr"/>
      <c r="G1343" t="inlineStr">
        <is>
          <t>used</t>
        </is>
      </c>
      <c r="H1343" s="4" t="n">
        <v>150</v>
      </c>
      <c r="I1343" t="inlineStr">
        <is>
          <t>VB</t>
        </is>
      </c>
      <c r="J1343" t="inlineStr">
        <is>
          <t>81477 München - Thalk.Obersendl.-Forsten-Fürstenr.-Solln</t>
        </is>
      </c>
      <c r="K1343" s="5" t="n">
        <v>45544</v>
      </c>
      <c r="L1343" t="inlineStr">
        <is>
          <t>Sold</t>
        </is>
      </c>
      <c r="M1343" s="6">
        <f>HYPERLINK("https://www.kleinanzeigen.de/s-anzeige/windsurfsegel-naish-session-5-7/2858667385-230-6435", "Link")</f>
        <v/>
      </c>
      <c r="N1343" s="6">
        <f>HYPERLINK("C:\Projects\Kleinanzeigen-Scraper\offer_images\2858667385", "Link")</f>
        <v/>
      </c>
      <c r="O1343" t="inlineStr">
        <is>
          <t>Toni</t>
        </is>
      </c>
      <c r="P1343" s="6">
        <f>HYPERLINK("https://www.kleinanzeigen.de/s-bestandsliste.html?userId=36756639", "Link")</f>
        <v/>
      </c>
      <c r="Q1343" s="7" t="n">
        <v>45549.57546296297</v>
      </c>
      <c r="R1343" s="3" t="inlineStr">
        <is>
          <t>7.49</t>
        </is>
      </c>
      <c r="S1343" t="inlineStr">
        <is>
          <t>München</t>
        </is>
      </c>
    </row>
    <row r="1344">
      <c r="A1344" s="2" t="n">
        <v>6.2</v>
      </c>
      <c r="B1344" t="inlineStr">
        <is>
          <t>North Sails Rave</t>
        </is>
      </c>
      <c r="C1344" s="3" t="inlineStr"/>
      <c r="D1344" s="3" t="inlineStr"/>
      <c r="E1344" t="inlineStr"/>
      <c r="F1344" t="inlineStr"/>
      <c r="G1344" t="inlineStr">
        <is>
          <t>used</t>
        </is>
      </c>
      <c r="H1344" s="4" t="n">
        <v>79</v>
      </c>
      <c r="I1344" t="inlineStr">
        <is>
          <t>VB</t>
        </is>
      </c>
      <c r="J1344" t="inlineStr">
        <is>
          <t>79359 Baden-Württemberg - Riegel</t>
        </is>
      </c>
      <c r="K1344" s="5" t="n">
        <v>45529</v>
      </c>
      <c r="L1344" t="inlineStr"/>
      <c r="M1344" s="6">
        <f>HYPERLINK("https://www.kleinanzeigen.de/s-anzeige/north-sails-rave-6-2-qm-naish-neilpryde/2845816000-230-8911", "Link")</f>
        <v/>
      </c>
      <c r="N1344" s="6">
        <f>HYPERLINK("C:\Projects\Kleinanzeigen-Scraper\offer_images\2845816000", "Link")</f>
        <v/>
      </c>
      <c r="O1344" t="inlineStr">
        <is>
          <t>Oliver Hartmann</t>
        </is>
      </c>
      <c r="P1344" s="6">
        <f>HYPERLINK("https://www.kleinanzeigen.de/s-bestandsliste.html?userId=32870287", "Link")</f>
        <v/>
      </c>
      <c r="Q1344" s="7" t="n">
        <v>45549.57545138889</v>
      </c>
      <c r="R1344" s="3" t="inlineStr">
        <is>
          <t>57.55</t>
        </is>
      </c>
      <c r="S1344" t="inlineStr">
        <is>
          <t>Bonndorf</t>
        </is>
      </c>
    </row>
    <row r="1345">
      <c r="A1345" s="2" t="n">
        <v>5.3</v>
      </c>
      <c r="B1345" t="inlineStr">
        <is>
          <t>Gun Sails</t>
        </is>
      </c>
      <c r="C1345" s="3" t="n">
        <v>432</v>
      </c>
      <c r="D1345" s="3" t="n">
        <v>178</v>
      </c>
      <c r="E1345" t="inlineStr">
        <is>
          <t>Wave</t>
        </is>
      </c>
      <c r="F1345" t="inlineStr"/>
      <c r="G1345" t="inlineStr">
        <is>
          <t>used</t>
        </is>
      </c>
      <c r="H1345" s="4" t="n">
        <v>60</v>
      </c>
      <c r="I1345" t="inlineStr"/>
      <c r="J1345" t="inlineStr">
        <is>
          <t>22303 Hamburg-Nord - Hamburg Winterhude</t>
        </is>
      </c>
      <c r="K1345" s="5" t="n">
        <v>45519</v>
      </c>
      <c r="L1345" t="inlineStr"/>
      <c r="M1345" s="6">
        <f>HYPERLINK("https://www.kleinanzeigen.de/s-anzeige/gun-sails-segel-5-3qm-windsurfsegel/2837446229-230-9482", "Link")</f>
        <v/>
      </c>
      <c r="N1345" s="6">
        <f>HYPERLINK("C:\Projects\Kleinanzeigen-Scraper\offer_images\2837446229", "Link")</f>
        <v/>
      </c>
      <c r="O1345" t="inlineStr">
        <is>
          <t>Daniel</t>
        </is>
      </c>
      <c r="P1345" s="6">
        <f>HYPERLINK("https://www.kleinanzeigen.de/s-bestandsliste.html?userId=33396736", "Link")</f>
        <v/>
      </c>
      <c r="Q1345" s="7" t="n">
        <v>45549.57543981481</v>
      </c>
      <c r="R1345" s="3" t="inlineStr">
        <is>
          <t>361.45</t>
        </is>
      </c>
      <c r="S1345" t="inlineStr">
        <is>
          <t>Köln</t>
        </is>
      </c>
    </row>
    <row r="1346">
      <c r="A1346" s="2" t="n">
        <v>6.7</v>
      </c>
      <c r="B1346" t="inlineStr">
        <is>
          <t>Neilpryde RS Racing</t>
        </is>
      </c>
      <c r="C1346" s="3" t="inlineStr"/>
      <c r="D1346" s="3" t="inlineStr"/>
      <c r="E1346" t="inlineStr">
        <is>
          <t>Racing</t>
        </is>
      </c>
      <c r="F1346" t="inlineStr"/>
      <c r="G1346" t="inlineStr">
        <is>
          <t>new</t>
        </is>
      </c>
      <c r="H1346" s="4" t="n">
        <v>150</v>
      </c>
      <c r="I1346" t="inlineStr"/>
      <c r="J1346" t="inlineStr">
        <is>
          <t>63500 Hessen - Seligenstadt</t>
        </is>
      </c>
      <c r="K1346" s="5" t="n">
        <v>45536</v>
      </c>
      <c r="L1346" t="inlineStr"/>
      <c r="M1346" s="6">
        <f>HYPERLINK("https://www.kleinanzeigen.de/s-anzeige/neilpryde-rs-racing-6-7/2852123880-230-4823", "Link")</f>
        <v/>
      </c>
      <c r="N1346" s="6">
        <f>HYPERLINK("C:\Projects\Kleinanzeigen-Scraper\offer_images\2852123880", "Link")</f>
        <v/>
      </c>
      <c r="O1346" t="inlineStr">
        <is>
          <t>Mathias</t>
        </is>
      </c>
      <c r="P1346" s="6">
        <f>HYPERLINK("https://www.kleinanzeigen.de/s-bestandsliste.html?userId=22493401", "Link")</f>
        <v/>
      </c>
      <c r="Q1346" s="7" t="n">
        <v>45549.57543981481</v>
      </c>
      <c r="R1346" s="3" t="inlineStr">
        <is>
          <t>121.05</t>
        </is>
      </c>
      <c r="S1346" t="inlineStr">
        <is>
          <t>Karlsruhe</t>
        </is>
      </c>
    </row>
    <row r="1347">
      <c r="A1347" s="2" t="n">
        <v>4.2</v>
      </c>
      <c r="B1347" t="inlineStr">
        <is>
          <t>KA Sails Kamikaze</t>
        </is>
      </c>
      <c r="C1347" s="3" t="n">
        <v>370</v>
      </c>
      <c r="D1347" s="3" t="inlineStr"/>
      <c r="E1347" t="inlineStr"/>
      <c r="F1347" t="inlineStr"/>
      <c r="G1347" t="inlineStr">
        <is>
          <t>new</t>
        </is>
      </c>
      <c r="H1347" s="4" t="n">
        <v>195</v>
      </c>
      <c r="I1347" t="inlineStr"/>
      <c r="J1347" t="inlineStr">
        <is>
          <t>22880 Kreis Pinneberg - Wedel</t>
        </is>
      </c>
      <c r="K1347" s="5" t="n">
        <v>45543</v>
      </c>
      <c r="L1347" t="inlineStr">
        <is>
          <t>Sold</t>
        </is>
      </c>
      <c r="M1347" s="6">
        <f>HYPERLINK("https://www.kleinanzeigen.de/s-anzeige/ka-sails-kamikaze-4-2-m-full-x-ply-wave-segel-sailloft-north/2857421909-230-756", "Link")</f>
        <v/>
      </c>
      <c r="N1347" s="6">
        <f>HYPERLINK("C:\Projects\Kleinanzeigen-Scraper\offer_images\2857421909", "Link")</f>
        <v/>
      </c>
      <c r="O1347" t="inlineStr">
        <is>
          <t>Jahn</t>
        </is>
      </c>
      <c r="P1347" s="6">
        <f>HYPERLINK("https://www.kleinanzeigen.de/s-bestandsliste.html?userId=16125684", "Link")</f>
        <v/>
      </c>
      <c r="Q1347" s="7" t="n">
        <v>45549.57543981481</v>
      </c>
      <c r="R1347" s="3" t="inlineStr">
        <is>
          <t>349.30</t>
        </is>
      </c>
      <c r="S1347" t="inlineStr">
        <is>
          <t>Köln</t>
        </is>
      </c>
    </row>
    <row r="1348">
      <c r="A1348" s="2" t="n">
        <v>4.6</v>
      </c>
      <c r="B1348" t="inlineStr">
        <is>
          <t>Gun Sails Blow</t>
        </is>
      </c>
      <c r="C1348" s="3" t="n">
        <v>370</v>
      </c>
      <c r="D1348" s="3" t="inlineStr"/>
      <c r="E1348" t="inlineStr"/>
      <c r="F1348" t="inlineStr"/>
      <c r="G1348" t="inlineStr">
        <is>
          <t>defective</t>
        </is>
      </c>
      <c r="H1348" s="4" t="n">
        <v>40</v>
      </c>
      <c r="I1348" t="inlineStr"/>
      <c r="J1348" t="inlineStr">
        <is>
          <t>22177 Wandsbek - Hamburg Bramfeld</t>
        </is>
      </c>
      <c r="K1348" s="5" t="n">
        <v>45257</v>
      </c>
      <c r="L1348" t="inlineStr"/>
      <c r="M1348" s="6">
        <f>HYPERLINK("https://www.kleinanzeigen.de/s-anzeige/wavesegel-4-6-gun-sails-blow-mit-tasche/2615104747-230-9452", "Link")</f>
        <v/>
      </c>
      <c r="N1348" s="6">
        <f>HYPERLINK("C:\Projects\Kleinanzeigen-Scraper\offer_images\2615104747", "Link")</f>
        <v/>
      </c>
      <c r="O1348" t="inlineStr">
        <is>
          <t>Karsten</t>
        </is>
      </c>
      <c r="P1348" s="6">
        <f>HYPERLINK("https://www.kleinanzeigen.de/s-bestandsliste.html?userId=1910707", "Link")</f>
        <v/>
      </c>
      <c r="Q1348" s="7" t="n">
        <v>45549.57539351852</v>
      </c>
      <c r="R1348" s="3" t="inlineStr">
        <is>
          <t>364.64</t>
        </is>
      </c>
      <c r="S1348" t="inlineStr">
        <is>
          <t>Köln</t>
        </is>
      </c>
    </row>
    <row r="1349">
      <c r="A1349" s="2" t="n">
        <v>4.7</v>
      </c>
      <c r="B1349" t="inlineStr">
        <is>
          <t>North Sails Duke</t>
        </is>
      </c>
      <c r="C1349" s="3" t="n">
        <v>4.21</v>
      </c>
      <c r="D1349" s="3" t="n">
        <v>1.76</v>
      </c>
      <c r="E1349" t="inlineStr"/>
      <c r="F1349" t="inlineStr"/>
      <c r="G1349" t="inlineStr">
        <is>
          <t>used</t>
        </is>
      </c>
      <c r="H1349" s="4" t="n">
        <v>50</v>
      </c>
      <c r="I1349" t="inlineStr">
        <is>
          <t>VB</t>
        </is>
      </c>
      <c r="J1349" t="inlineStr">
        <is>
          <t>30853 Niedersachsen - Langenhagen</t>
        </is>
      </c>
      <c r="K1349" s="5" t="n">
        <v>45538</v>
      </c>
      <c r="L1349" t="inlineStr">
        <is>
          <t>Sold</t>
        </is>
      </c>
      <c r="M1349" s="6">
        <f>HYPERLINK("https://www.kleinanzeigen.de/s-anzeige/north-sails-duke-4-7/2853165507-230-3044", "Link")</f>
        <v/>
      </c>
      <c r="N1349" s="6">
        <f>HYPERLINK("C:\Projects\Kleinanzeigen-Scraper\offer_images\2853165507", "Link")</f>
        <v/>
      </c>
      <c r="O1349" t="inlineStr">
        <is>
          <t>Michael</t>
        </is>
      </c>
      <c r="P1349" s="6">
        <f>HYPERLINK("https://www.kleinanzeigen.de/s-bestandsliste.html?userId=55548288", "Link")</f>
        <v/>
      </c>
      <c r="Q1349" s="7" t="n">
        <v>45549.57534722222</v>
      </c>
      <c r="R1349" s="3" t="inlineStr">
        <is>
          <t>254.90</t>
        </is>
      </c>
      <c r="S1349" t="inlineStr">
        <is>
          <t>Köln</t>
        </is>
      </c>
    </row>
    <row r="1350">
      <c r="A1350" s="2" t="n">
        <v>5.8</v>
      </c>
      <c r="B1350" t="inlineStr">
        <is>
          <t>Vandal Riot</t>
        </is>
      </c>
      <c r="C1350" s="3" t="n">
        <v>400</v>
      </c>
      <c r="D1350" s="3" t="n">
        <v>181</v>
      </c>
      <c r="E1350" t="inlineStr"/>
      <c r="F1350" t="inlineStr"/>
      <c r="G1350" t="inlineStr">
        <is>
          <t>used</t>
        </is>
      </c>
      <c r="H1350" s="4" t="n">
        <v>150</v>
      </c>
      <c r="I1350" t="inlineStr">
        <is>
          <t>VB</t>
        </is>
      </c>
      <c r="J1350" t="inlineStr">
        <is>
          <t>23747 Kreis Ostholstein - Dahme</t>
        </is>
      </c>
      <c r="K1350" s="5" t="n">
        <v>45451</v>
      </c>
      <c r="L1350" t="inlineStr"/>
      <c r="M1350" s="6">
        <f>HYPERLINK("https://www.kleinanzeigen.de/s-anzeige/vandal-riot-5-8-aehnl-gaastra-ga-sails-allroundsegel/2783084610-230-447", "Link")</f>
        <v/>
      </c>
      <c r="N1350" s="6">
        <f>HYPERLINK("C:\Projects\Kleinanzeigen-Scraper\offer_images\2783084610", "Link")</f>
        <v/>
      </c>
      <c r="O1350" t="inlineStr">
        <is>
          <t>Max</t>
        </is>
      </c>
      <c r="P1350" s="6">
        <f>HYPERLINK("https://www.kleinanzeigen.de/s-bestandsliste.html?userId=64156201", "Link")</f>
        <v/>
      </c>
      <c r="Q1350" s="7" t="n">
        <v>45549.57532407407</v>
      </c>
      <c r="R1350" s="3" t="inlineStr">
        <is>
          <t>459.42</t>
        </is>
      </c>
      <c r="S1350" t="inlineStr">
        <is>
          <t>Köln</t>
        </is>
      </c>
    </row>
    <row r="1351">
      <c r="A1351" s="2" t="n">
        <v>4.6</v>
      </c>
      <c r="B1351" t="inlineStr">
        <is>
          <t>GUN Sails Nexus</t>
        </is>
      </c>
      <c r="C1351" s="3" t="n">
        <v>412</v>
      </c>
      <c r="D1351" s="3" t="n">
        <v>168</v>
      </c>
      <c r="E1351" t="inlineStr">
        <is>
          <t>Wave</t>
        </is>
      </c>
      <c r="F1351" t="inlineStr"/>
      <c r="G1351" t="inlineStr">
        <is>
          <t>used</t>
        </is>
      </c>
      <c r="H1351" s="4" t="n">
        <v>100</v>
      </c>
      <c r="I1351" t="inlineStr">
        <is>
          <t>VB</t>
        </is>
      </c>
      <c r="J1351" t="inlineStr">
        <is>
          <t>51143 Köln - Porz</t>
        </is>
      </c>
      <c r="K1351" s="5" t="n">
        <v>45478</v>
      </c>
      <c r="L1351" t="inlineStr"/>
      <c r="M1351" s="6">
        <f>HYPERLINK("https://www.kleinanzeigen.de/s-anzeige/gun-sails-segel-nexus-4-6/2804782373-230-963", "Link")</f>
        <v/>
      </c>
      <c r="N1351" s="6">
        <f>HYPERLINK("C:\Projects\Kleinanzeigen-Scraper\offer_images\2804782373", "Link")</f>
        <v/>
      </c>
      <c r="O1351" t="inlineStr">
        <is>
          <t>Pascal</t>
        </is>
      </c>
      <c r="P1351" s="6">
        <f>HYPERLINK("https://www.kleinanzeigen.de/s-bestandsliste.html?userId=24281401", "Link")</f>
        <v/>
      </c>
      <c r="Q1351" s="7" t="n">
        <v>45549.57532407407</v>
      </c>
      <c r="R1351" s="3" t="inlineStr">
        <is>
          <t>10.66</t>
        </is>
      </c>
      <c r="S1351" t="inlineStr">
        <is>
          <t>Köln</t>
        </is>
      </c>
    </row>
    <row r="1352">
      <c r="A1352" s="2" t="n">
        <v>6</v>
      </c>
      <c r="B1352" t="inlineStr">
        <is>
          <t>Neilpryde V6</t>
        </is>
      </c>
      <c r="C1352" s="3" t="n">
        <v>460</v>
      </c>
      <c r="D1352" s="3" t="inlineStr">
        <is>
          <t>141-180</t>
        </is>
      </c>
      <c r="E1352" t="inlineStr"/>
      <c r="F1352" t="inlineStr"/>
      <c r="G1352" t="inlineStr">
        <is>
          <t>used</t>
        </is>
      </c>
      <c r="H1352" s="4" t="n">
        <v>30</v>
      </c>
      <c r="I1352" t="inlineStr"/>
      <c r="J1352" t="inlineStr">
        <is>
          <t>58256 Nordrhein-Westfalen - Ennepetal</t>
        </is>
      </c>
      <c r="K1352" s="5" t="n">
        <v>45490</v>
      </c>
      <c r="L1352" t="inlineStr"/>
      <c r="M1352" s="6">
        <f>HYPERLINK("https://www.kleinanzeigen.de/s-anzeige/neilpryde-v6-6-0/2814829847-230-1548", "Link")</f>
        <v/>
      </c>
      <c r="N1352" s="6">
        <f>HYPERLINK("C:\Projects\Kleinanzeigen-Scraper\offer_images\2814829847", "Link")</f>
        <v/>
      </c>
      <c r="O1352" t="inlineStr">
        <is>
          <t>Marvin Schmidt</t>
        </is>
      </c>
      <c r="P1352" s="6">
        <f>HYPERLINK("https://www.kleinanzeigen.de/s-bestandsliste.html?userId=7010581", "Link")</f>
        <v/>
      </c>
      <c r="Q1352" s="7" t="n">
        <v>45549.57532407407</v>
      </c>
      <c r="R1352" s="3" t="inlineStr">
        <is>
          <t>46.87</t>
        </is>
      </c>
      <c r="S1352" t="inlineStr">
        <is>
          <t>Köln</t>
        </is>
      </c>
    </row>
    <row r="1353">
      <c r="A1353" s="2" t="n">
        <v>8</v>
      </c>
      <c r="B1353" t="inlineStr">
        <is>
          <t>GUN Sails Sunray</t>
        </is>
      </c>
      <c r="C1353" s="3" t="inlineStr"/>
      <c r="D1353" s="3" t="inlineStr"/>
      <c r="E1353" t="inlineStr"/>
      <c r="F1353" t="inlineStr">
        <is>
          <t>2016</t>
        </is>
      </c>
      <c r="G1353" t="inlineStr">
        <is>
          <t>used</t>
        </is>
      </c>
      <c r="H1353" s="4" t="n">
        <v>250</v>
      </c>
      <c r="I1353" t="inlineStr">
        <is>
          <t>VB</t>
        </is>
      </c>
      <c r="J1353" t="inlineStr">
        <is>
          <t>04416 Sachsen - Markkleeberg</t>
        </is>
      </c>
      <c r="K1353" s="5" t="n">
        <v>45494</v>
      </c>
      <c r="L1353" t="inlineStr">
        <is>
          <t>Sold</t>
        </is>
      </c>
      <c r="M1353" s="6">
        <f>HYPERLINK("https://www.kleinanzeigen.de/s-anzeige/windsurfen-segel-gun-sails-sunray-8-0-2016/2817498537-230-3911", "Link")</f>
        <v/>
      </c>
      <c r="N1353" s="6">
        <f>HYPERLINK("C:\Projects\Kleinanzeigen-Scraper\offer_images\2817498537", "Link")</f>
        <v/>
      </c>
      <c r="O1353" t="inlineStr">
        <is>
          <t>Robbi Schröter</t>
        </is>
      </c>
      <c r="P1353" s="6">
        <f>HYPERLINK("https://www.kleinanzeigen.de/s-bestandsliste.html?userId=20326829", "Link")</f>
        <v/>
      </c>
      <c r="Q1353" s="7" t="n">
        <v>45549.57530092593</v>
      </c>
      <c r="R1353" s="3" t="inlineStr">
        <is>
          <t>353.27</t>
        </is>
      </c>
      <c r="S1353" t="inlineStr">
        <is>
          <t>München</t>
        </is>
      </c>
    </row>
    <row r="1354">
      <c r="A1354" s="2" t="n">
        <v>6.7</v>
      </c>
      <c r="B1354" t="inlineStr">
        <is>
          <t>Neilpryde Fusion</t>
        </is>
      </c>
      <c r="C1354" s="3" t="n">
        <v>430</v>
      </c>
      <c r="D1354" s="3" t="n">
        <v>201</v>
      </c>
      <c r="E1354" t="inlineStr"/>
      <c r="F1354" t="inlineStr"/>
      <c r="G1354" t="inlineStr">
        <is>
          <t>used</t>
        </is>
      </c>
      <c r="H1354" s="4" t="n">
        <v>135</v>
      </c>
      <c r="I1354" t="inlineStr">
        <is>
          <t>VB</t>
        </is>
      </c>
      <c r="J1354" t="inlineStr">
        <is>
          <t>81369 München - Sendling</t>
        </is>
      </c>
      <c r="K1354" s="5" t="n">
        <v>45526</v>
      </c>
      <c r="L1354" t="inlineStr"/>
      <c r="M1354" s="6">
        <f>HYPERLINK("https://www.kleinanzeigen.de/s-anzeige/windsurfsegel-fusion-6-7m2-neilpryde/2843566796-230-16382", "Link")</f>
        <v/>
      </c>
      <c r="N1354" s="6">
        <f>HYPERLINK("C:\Projects\Kleinanzeigen-Scraper\offer_images\2843566796", "Link")</f>
        <v/>
      </c>
      <c r="O1354" t="inlineStr">
        <is>
          <t>Moritz von Unold</t>
        </is>
      </c>
      <c r="P1354" s="6">
        <f>HYPERLINK("https://www.kleinanzeigen.de/s-bestandsliste.html?userId=24552406", "Link")</f>
        <v/>
      </c>
      <c r="Q1354" s="7" t="n">
        <v>45549.57528935185</v>
      </c>
      <c r="R1354" s="3" t="inlineStr">
        <is>
          <t>4.53</t>
        </is>
      </c>
      <c r="S1354" t="inlineStr">
        <is>
          <t>München</t>
        </is>
      </c>
    </row>
    <row r="1355">
      <c r="A1355" s="2" t="n">
        <v>5.5</v>
      </c>
      <c r="B1355" t="inlineStr">
        <is>
          <t>Duotone Unit</t>
        </is>
      </c>
      <c r="C1355" s="3" t="inlineStr"/>
      <c r="D1355" s="3" t="inlineStr"/>
      <c r="E1355" t="inlineStr"/>
      <c r="F1355" t="inlineStr">
        <is>
          <t>2023</t>
        </is>
      </c>
      <c r="G1355" t="inlineStr">
        <is>
          <t>used</t>
        </is>
      </c>
      <c r="H1355" s="4" t="n">
        <v>480</v>
      </c>
      <c r="I1355" t="inlineStr"/>
      <c r="J1355" t="inlineStr">
        <is>
          <t>87600 Bayern - Kaufbeuren</t>
        </is>
      </c>
      <c r="K1355" s="5" t="n">
        <v>45548</v>
      </c>
      <c r="L1355" t="inlineStr">
        <is>
          <t>Sold</t>
        </is>
      </c>
      <c r="M1355" s="6">
        <f>HYPERLINK("https://www.kleinanzeigen.de/s-anzeige/duotone-unit-5-5-2023/2861855857-230-7262", "Link")</f>
        <v/>
      </c>
      <c r="N1355" s="6">
        <f>HYPERLINK("C:\Projects\Kleinanzeigen-Scraper\offer_images\2861855857", "Link")</f>
        <v/>
      </c>
      <c r="O1355" t="inlineStr">
        <is>
          <t>Philipp Markthaler</t>
        </is>
      </c>
      <c r="P1355" s="6">
        <f>HYPERLINK("https://www.kleinanzeigen.de/s-bestandsliste.html?userId=43494288", "Link")</f>
        <v/>
      </c>
      <c r="Q1355" s="7" t="n">
        <v>45549.57527777777</v>
      </c>
      <c r="R1355" s="3" t="inlineStr">
        <is>
          <t>76.14</t>
        </is>
      </c>
      <c r="S1355" t="inlineStr">
        <is>
          <t>München</t>
        </is>
      </c>
    </row>
    <row r="1356">
      <c r="A1356" s="2" t="n">
        <v>3.7</v>
      </c>
      <c r="B1356" t="inlineStr">
        <is>
          <t>GOYA BANZAI X</t>
        </is>
      </c>
      <c r="C1356" s="3" t="inlineStr"/>
      <c r="D1356" s="3" t="inlineStr"/>
      <c r="E1356" t="inlineStr"/>
      <c r="F1356" t="inlineStr">
        <is>
          <t>2023</t>
        </is>
      </c>
      <c r="G1356" t="inlineStr">
        <is>
          <t>used</t>
        </is>
      </c>
      <c r="H1356" s="4" t="n">
        <v>420</v>
      </c>
      <c r="I1356" t="inlineStr"/>
      <c r="J1356" t="inlineStr">
        <is>
          <t>67245 Rheinland-Pfalz - Lambsheim</t>
        </is>
      </c>
      <c r="K1356" s="5" t="n">
        <v>45541</v>
      </c>
      <c r="L1356" t="inlineStr">
        <is>
          <t>Sold</t>
        </is>
      </c>
      <c r="M1356" s="6">
        <f>HYPERLINK("https://www.kleinanzeigen.de/s-anzeige/goya-banzai-x-3-7-2023/2855666684-230-5186", "Link")</f>
        <v/>
      </c>
      <c r="N1356" s="6">
        <f>HYPERLINK("C:\Projects\Kleinanzeigen-Scraper\offer_images\2855666684", "Link")</f>
        <v/>
      </c>
      <c r="O1356" t="inlineStr">
        <is>
          <t>Frank</t>
        </is>
      </c>
      <c r="P1356" s="6">
        <f>HYPERLINK("https://www.kleinanzeigen.de/s-bestandsliste.html?userId=8491603", "Link")</f>
        <v/>
      </c>
      <c r="Q1356" s="7" t="n">
        <v>45549.5752662037</v>
      </c>
      <c r="R1356" s="3" t="inlineStr">
        <is>
          <t>56.18</t>
        </is>
      </c>
      <c r="S1356" t="inlineStr">
        <is>
          <t>Karlsruhe</t>
        </is>
      </c>
    </row>
    <row r="1357">
      <c r="A1357" s="2" t="n">
        <v>4.2</v>
      </c>
      <c r="B1357" t="inlineStr">
        <is>
          <t>Ezzy Wave</t>
        </is>
      </c>
      <c r="C1357" s="3" t="inlineStr"/>
      <c r="D1357" s="3" t="inlineStr"/>
      <c r="E1357" t="inlineStr">
        <is>
          <t>Wave</t>
        </is>
      </c>
      <c r="F1357" t="inlineStr"/>
      <c r="G1357" t="inlineStr">
        <is>
          <t>used</t>
        </is>
      </c>
      <c r="H1357" s="4" t="n">
        <v>50</v>
      </c>
      <c r="I1357" t="inlineStr"/>
      <c r="J1357" t="inlineStr">
        <is>
          <t>88085 Baden-Württemberg - Langenargen</t>
        </is>
      </c>
      <c r="K1357" s="5" t="n">
        <v>45515</v>
      </c>
      <c r="L1357" t="inlineStr"/>
      <c r="M1357" s="6">
        <f>HYPERLINK("https://www.kleinanzeigen.de/s-anzeige/windsurf-ezzy-segel-wave-4-2/2834421212-230-8350", "Link")</f>
        <v/>
      </c>
      <c r="N1357" s="6">
        <f>HYPERLINK("C:\Projects\Kleinanzeigen-Scraper\offer_images\2834421212", "Link")</f>
        <v/>
      </c>
      <c r="O1357" t="inlineStr">
        <is>
          <t>Gerhard</t>
        </is>
      </c>
      <c r="P1357" s="6">
        <f>HYPERLINK("https://www.kleinanzeigen.de/s-bestandsliste.html?userId=44965508", "Link")</f>
        <v/>
      </c>
      <c r="Q1357" s="7" t="n">
        <v>45549.57525462963</v>
      </c>
      <c r="R1357" s="3" t="inlineStr">
        <is>
          <t>93.32</t>
        </is>
      </c>
      <c r="S1357" t="inlineStr">
        <is>
          <t>Bonndorf</t>
        </is>
      </c>
    </row>
    <row r="1358">
      <c r="A1358" s="2" t="n">
        <v>7.1</v>
      </c>
      <c r="B1358" t="inlineStr">
        <is>
          <t>Sailloft Ride</t>
        </is>
      </c>
      <c r="C1358" s="3" t="inlineStr"/>
      <c r="D1358" s="3" t="inlineStr"/>
      <c r="E1358" t="inlineStr"/>
      <c r="F1358" t="inlineStr"/>
      <c r="G1358" t="inlineStr">
        <is>
          <t>repaired</t>
        </is>
      </c>
      <c r="H1358" s="4" t="n">
        <v>90</v>
      </c>
      <c r="I1358" t="inlineStr"/>
      <c r="J1358" t="inlineStr">
        <is>
          <t>59821 Nordrhein-Westfalen - Arnsberg</t>
        </is>
      </c>
      <c r="K1358" s="5" t="n">
        <v>45534</v>
      </c>
      <c r="L1358" t="inlineStr"/>
      <c r="M1358" s="6">
        <f>HYPERLINK("https://www.kleinanzeigen.de/s-anzeige/sailloft-ride-7-1-surfsegel/2850144809-230-1811", "Link")</f>
        <v/>
      </c>
      <c r="N1358" s="6">
        <f>HYPERLINK("C:\Projects\Kleinanzeigen-Scraper\offer_images\2850144809", "Link")</f>
        <v/>
      </c>
      <c r="O1358" t="inlineStr">
        <is>
          <t>Frank</t>
        </is>
      </c>
      <c r="P1358" s="6">
        <f>HYPERLINK("https://www.kleinanzeigen.de/s-bestandsliste.html?userId=4267971", "Link")</f>
        <v/>
      </c>
      <c r="Q1358" s="7" t="n">
        <v>45549.57525462963</v>
      </c>
      <c r="R1358" s="3" t="inlineStr">
        <is>
          <t>91.46</t>
        </is>
      </c>
      <c r="S1358" t="inlineStr">
        <is>
          <t>Köln</t>
        </is>
      </c>
    </row>
    <row r="1359">
      <c r="A1359" s="2" t="n">
        <v>5.7</v>
      </c>
      <c r="B1359" t="inlineStr">
        <is>
          <t>Gun Sails Seal</t>
        </is>
      </c>
      <c r="C1359" s="3" t="inlineStr"/>
      <c r="D1359" s="3" t="inlineStr"/>
      <c r="E1359" t="inlineStr"/>
      <c r="F1359" t="inlineStr">
        <is>
          <t>2019</t>
        </is>
      </c>
      <c r="G1359" t="inlineStr">
        <is>
          <t>used</t>
        </is>
      </c>
      <c r="H1359" s="4" t="n">
        <v>70</v>
      </c>
      <c r="I1359" t="inlineStr">
        <is>
          <t>VB</t>
        </is>
      </c>
      <c r="J1359" t="inlineStr">
        <is>
          <t>42105 Elberfeld - Elberfeld-West</t>
        </is>
      </c>
      <c r="K1359" s="5" t="n">
        <v>45542</v>
      </c>
      <c r="L1359" t="inlineStr"/>
      <c r="M1359" s="6">
        <f>HYPERLINK("https://www.kleinanzeigen.de/s-anzeige/gun-sails-seal-5-7/2856674143-230-1564", "Link")</f>
        <v/>
      </c>
      <c r="N1359" s="6">
        <f>HYPERLINK("C:\Projects\Kleinanzeigen-Scraper\offer_images\2856674143", "Link")</f>
        <v/>
      </c>
      <c r="O1359" t="inlineStr">
        <is>
          <t>Matthes Mohr</t>
        </is>
      </c>
      <c r="P1359" s="6">
        <f>HYPERLINK("https://www.kleinanzeigen.de/s-bestandsliste.html?userId=34050706", "Link")</f>
        <v/>
      </c>
      <c r="Q1359" s="7" t="n">
        <v>45549.5752199074</v>
      </c>
      <c r="R1359" s="3" t="inlineStr">
        <is>
          <t>38.31</t>
        </is>
      </c>
      <c r="S1359" t="inlineStr">
        <is>
          <t>Köln</t>
        </is>
      </c>
    </row>
    <row r="1360">
      <c r="A1360" s="2" t="n">
        <v>3.6</v>
      </c>
      <c r="B1360" t="inlineStr">
        <is>
          <t>Gun Sails Wave Hammer</t>
        </is>
      </c>
      <c r="C1360" s="3" t="n">
        <v>332</v>
      </c>
      <c r="D1360" s="3" t="n">
        <v>141</v>
      </c>
      <c r="E1360" t="inlineStr">
        <is>
          <t>Wave</t>
        </is>
      </c>
      <c r="F1360" t="inlineStr"/>
      <c r="G1360" t="inlineStr">
        <is>
          <t>used</t>
        </is>
      </c>
      <c r="H1360" s="4" t="n">
        <v>80</v>
      </c>
      <c r="I1360" t="inlineStr"/>
      <c r="J1360" t="inlineStr">
        <is>
          <t>59199 Nordrhein-Westfalen - Bönen</t>
        </is>
      </c>
      <c r="K1360" s="5" t="n">
        <v>45438</v>
      </c>
      <c r="L1360" t="inlineStr">
        <is>
          <t>Sold</t>
        </is>
      </c>
      <c r="M1360" s="6">
        <f>HYPERLINK("https://www.kleinanzeigen.de/s-anzeige/gun-sails-wave-hammer-segel-3-6m2-windsurfen/2771450184-230-1444", "Link")</f>
        <v/>
      </c>
      <c r="N1360" s="6">
        <f>HYPERLINK("C:\Projects\Kleinanzeigen-Scraper\offer_images\2771450184", "Link")</f>
        <v/>
      </c>
      <c r="O1360" t="inlineStr">
        <is>
          <t>R R</t>
        </is>
      </c>
      <c r="P1360" s="6">
        <f>HYPERLINK("https://www.kleinanzeigen.de/s-bestandsliste.html?userId=7416314", "Link")</f>
        <v/>
      </c>
      <c r="Q1360" s="7" t="n">
        <v>45549.57520833334</v>
      </c>
      <c r="R1360" s="3" t="inlineStr">
        <is>
          <t>91.63</t>
        </is>
      </c>
      <c r="S1360" t="inlineStr">
        <is>
          <t>Köln</t>
        </is>
      </c>
    </row>
    <row r="1361">
      <c r="A1361" s="2" t="n">
        <v>4.2</v>
      </c>
      <c r="B1361" t="inlineStr">
        <is>
          <t>The Gun</t>
        </is>
      </c>
      <c r="C1361" s="3" t="inlineStr"/>
      <c r="D1361" s="3" t="inlineStr"/>
      <c r="E1361" t="inlineStr">
        <is>
          <t>Wave Slalom</t>
        </is>
      </c>
      <c r="F1361" t="inlineStr"/>
      <c r="G1361" t="inlineStr">
        <is>
          <t>used</t>
        </is>
      </c>
      <c r="H1361" s="4" t="n">
        <v>50</v>
      </c>
      <c r="I1361" t="inlineStr"/>
      <c r="J1361" t="inlineStr">
        <is>
          <t>23556 Schleswig-Holstein - Lübeck</t>
        </is>
      </c>
      <c r="K1361" s="5" t="n">
        <v>45542</v>
      </c>
      <c r="L1361" t="inlineStr"/>
      <c r="M1361" s="6">
        <f>HYPERLINK("https://www.kleinanzeigen.de/s-anzeige/the-gun-sail-wave-slalom-4-2-surfsegel/2856480165-230-413", "Link")</f>
        <v/>
      </c>
      <c r="N1361" s="6">
        <f>HYPERLINK("C:\Projects\Kleinanzeigen-Scraper\offer_images\2856480165", "Link")</f>
        <v/>
      </c>
      <c r="O1361" t="inlineStr">
        <is>
          <t>Stefan Koop</t>
        </is>
      </c>
      <c r="P1361" s="6">
        <f>HYPERLINK("https://www.kleinanzeigen.de/s-bestandsliste.html?userId=8720419", "Link")</f>
        <v/>
      </c>
      <c r="Q1361" s="7" t="n">
        <v>45549.57519675926</v>
      </c>
      <c r="R1361" s="3" t="inlineStr">
        <is>
          <t>409.59</t>
        </is>
      </c>
      <c r="S1361" t="inlineStr">
        <is>
          <t>Köln</t>
        </is>
      </c>
    </row>
    <row r="1362">
      <c r="A1362" s="2" t="n">
        <v>4.7</v>
      </c>
      <c r="B1362" t="inlineStr">
        <is>
          <t>Goya Banzai Pro</t>
        </is>
      </c>
      <c r="C1362" s="3" t="inlineStr"/>
      <c r="D1362" s="3" t="inlineStr"/>
      <c r="E1362" t="inlineStr"/>
      <c r="F1362" t="inlineStr"/>
      <c r="G1362" t="inlineStr">
        <is>
          <t>used</t>
        </is>
      </c>
      <c r="H1362" s="4" t="n">
        <v>170</v>
      </c>
      <c r="I1362" t="inlineStr"/>
      <c r="J1362" t="inlineStr">
        <is>
          <t>53225 Bonn - Beuel</t>
        </is>
      </c>
      <c r="K1362" s="5" t="n">
        <v>45510</v>
      </c>
      <c r="L1362" t="inlineStr"/>
      <c r="M1362" s="6">
        <f>HYPERLINK("https://www.kleinanzeigen.de/s-anzeige/goya-banzai-pro-4-7/2830880029-230-1055", "Link")</f>
        <v/>
      </c>
      <c r="N1362" s="6">
        <f>HYPERLINK("C:\Projects\Kleinanzeigen-Scraper\offer_images\2830880029", "Link")</f>
        <v/>
      </c>
      <c r="O1362" t="inlineStr">
        <is>
          <t>Frank Stammnitz</t>
        </is>
      </c>
      <c r="P1362" s="6">
        <f>HYPERLINK("https://www.kleinanzeigen.de/s-bestandsliste.html?userId=4582106", "Link")</f>
        <v/>
      </c>
      <c r="Q1362" s="7" t="n">
        <v>45549.57519675926</v>
      </c>
      <c r="R1362" s="3" t="inlineStr">
        <is>
          <t>22.99</t>
        </is>
      </c>
      <c r="S1362" t="inlineStr">
        <is>
          <t>Köln</t>
        </is>
      </c>
    </row>
    <row r="1363">
      <c r="A1363" s="2" t="n">
        <v>4</v>
      </c>
      <c r="B1363" t="inlineStr">
        <is>
          <t>Simmer Rigg</t>
        </is>
      </c>
      <c r="C1363" s="3" t="n">
        <v>427</v>
      </c>
      <c r="D1363" s="3" t="n">
        <v>142</v>
      </c>
      <c r="E1363" t="inlineStr">
        <is>
          <t>Wave</t>
        </is>
      </c>
      <c r="F1363" t="inlineStr"/>
      <c r="G1363" t="inlineStr">
        <is>
          <t>used</t>
        </is>
      </c>
      <c r="H1363" s="4" t="n">
        <v>50</v>
      </c>
      <c r="I1363" t="inlineStr">
        <is>
          <t>VB</t>
        </is>
      </c>
      <c r="J1363" t="inlineStr">
        <is>
          <t>48691 Nordrhein-Westfalen - Vreden</t>
        </is>
      </c>
      <c r="K1363" s="5" t="n">
        <v>45439</v>
      </c>
      <c r="L1363" t="inlineStr"/>
      <c r="M1363" s="6">
        <f>HYPERLINK("https://www.kleinanzeigen.de/s-anzeige/simmer-rigg-windsurfsegel-4m-/2772866407-230-1345", "Link")</f>
        <v/>
      </c>
      <c r="N1363" s="6">
        <f>HYPERLINK("C:\Projects\Kleinanzeigen-Scraper\offer_images\2772866407", "Link")</f>
        <v/>
      </c>
      <c r="O1363" t="inlineStr">
        <is>
          <t>R.Reudich</t>
        </is>
      </c>
      <c r="P1363" s="6">
        <f>HYPERLINK("https://www.kleinanzeigen.de/s-bestandsliste.html?userId=8280772", "Link")</f>
        <v/>
      </c>
      <c r="Q1363" s="7" t="n">
        <v>45549.57519675926</v>
      </c>
      <c r="R1363" s="3" t="inlineStr">
        <is>
          <t>122.38</t>
        </is>
      </c>
      <c r="S1363" t="inlineStr">
        <is>
          <t>Köln</t>
        </is>
      </c>
    </row>
    <row r="1364">
      <c r="A1364" s="2" t="n">
        <v>4.2</v>
      </c>
      <c r="B1364" t="inlineStr">
        <is>
          <t>Ezzy Elite</t>
        </is>
      </c>
      <c r="C1364" s="3" t="inlineStr"/>
      <c r="D1364" s="3" t="inlineStr"/>
      <c r="E1364" t="inlineStr"/>
      <c r="F1364" t="inlineStr"/>
      <c r="G1364" t="inlineStr">
        <is>
          <t>used</t>
        </is>
      </c>
      <c r="H1364" s="4" t="n">
        <v>120</v>
      </c>
      <c r="I1364" t="inlineStr"/>
      <c r="J1364" t="inlineStr">
        <is>
          <t>45964 Nordrhein-Westfalen - Gladbeck</t>
        </is>
      </c>
      <c r="K1364" s="5" t="n">
        <v>45523</v>
      </c>
      <c r="L1364" t="inlineStr"/>
      <c r="M1364" s="6">
        <f>HYPERLINK("https://www.kleinanzeigen.de/s-anzeige/ezzy-elite-4-2-qm/2841292401-230-1803", "Link")</f>
        <v/>
      </c>
      <c r="N1364" s="6">
        <f>HYPERLINK("C:\Projects\Kleinanzeigen-Scraper\offer_images\2841292401", "Link")</f>
        <v/>
      </c>
      <c r="O1364" t="inlineStr">
        <is>
          <t>Jan</t>
        </is>
      </c>
      <c r="P1364" s="6">
        <f>HYPERLINK("https://www.kleinanzeigen.de/s-bestandsliste.html?userId=3745256", "Link")</f>
        <v/>
      </c>
      <c r="Q1364" s="7" t="n">
        <v>45549.57517361111</v>
      </c>
      <c r="R1364" s="3" t="inlineStr">
        <is>
          <t>70.88</t>
        </is>
      </c>
      <c r="S1364" t="inlineStr">
        <is>
          <t>Köln</t>
        </is>
      </c>
    </row>
    <row r="1365">
      <c r="A1365" s="2" t="n">
        <v>4.4</v>
      </c>
      <c r="B1365" t="inlineStr">
        <is>
          <t>Sailloft AIR</t>
        </is>
      </c>
      <c r="C1365" s="3" t="inlineStr"/>
      <c r="D1365" s="3" t="inlineStr"/>
      <c r="E1365" t="inlineStr"/>
      <c r="F1365" t="inlineStr">
        <is>
          <t>2022</t>
        </is>
      </c>
      <c r="G1365" t="inlineStr">
        <is>
          <t>used</t>
        </is>
      </c>
      <c r="H1365" s="4" t="n">
        <v>245</v>
      </c>
      <c r="I1365" t="inlineStr">
        <is>
          <t>VB</t>
        </is>
      </c>
      <c r="J1365" t="inlineStr">
        <is>
          <t>24217 Schleswig-Holstein - Schönberg (Holstein)</t>
        </is>
      </c>
      <c r="K1365" s="5" t="n">
        <v>45545</v>
      </c>
      <c r="L1365" t="inlineStr"/>
      <c r="M1365" s="6">
        <f>HYPERLINK("https://www.kleinanzeigen.de/s-anzeige/sailloft-air-4-4-2022/2859149078-230-18587", "Link")</f>
        <v/>
      </c>
      <c r="N1365" s="6">
        <f>HYPERLINK("C:\Projects\Kleinanzeigen-Scraper\offer_images\2859149078", "Link")</f>
        <v/>
      </c>
      <c r="O1365" t="inlineStr">
        <is>
          <t>S.Wahl</t>
        </is>
      </c>
      <c r="P1365" s="6">
        <f>HYPERLINK("https://www.kleinanzeigen.de/s-bestandsliste.html?userId=11293188", "Link")</f>
        <v/>
      </c>
      <c r="Q1365" s="7" t="n">
        <v>45549.57517361111</v>
      </c>
      <c r="R1365" s="3" t="inlineStr">
        <is>
          <t>447.79</t>
        </is>
      </c>
      <c r="S1365" t="inlineStr">
        <is>
          <t>Köln</t>
        </is>
      </c>
    </row>
    <row r="1366">
      <c r="A1366" s="2" t="n">
        <v>11</v>
      </c>
      <c r="B1366" t="inlineStr">
        <is>
          <t>Challenger sails Formula</t>
        </is>
      </c>
      <c r="C1366" s="3" t="n">
        <v>5.1</v>
      </c>
      <c r="D1366" s="3" t="n">
        <v>2.61</v>
      </c>
      <c r="E1366" t="inlineStr">
        <is>
          <t>Formula</t>
        </is>
      </c>
      <c r="F1366" t="inlineStr"/>
      <c r="G1366" t="inlineStr">
        <is>
          <t>used</t>
        </is>
      </c>
      <c r="H1366" s="4" t="n">
        <v>100</v>
      </c>
      <c r="I1366" t="inlineStr">
        <is>
          <t>VB</t>
        </is>
      </c>
      <c r="J1366" t="inlineStr">
        <is>
          <t>94315 Bayern - Straubing</t>
        </is>
      </c>
      <c r="K1366" s="5" t="n">
        <v>45528</v>
      </c>
      <c r="L1366" t="inlineStr"/>
      <c r="M1366" s="6">
        <f>HYPERLINK("https://www.kleinanzeigen.de/s-anzeige/challenger-sails-formula-11-0-handcrafted-kein-severne-neil-pryd/2845031801-230-7337", "Link")</f>
        <v/>
      </c>
      <c r="N1366" s="6">
        <f>HYPERLINK("C:\Projects\Kleinanzeigen-Scraper\offer_images\2845031801", "Link")</f>
        <v/>
      </c>
      <c r="O1366" t="inlineStr">
        <is>
          <t>markus</t>
        </is>
      </c>
      <c r="P1366" s="6">
        <f>HYPERLINK("https://www.kleinanzeigen.de/s-bestandsliste.html?userId=7206810", "Link")</f>
        <v/>
      </c>
      <c r="Q1366" s="7" t="n">
        <v>45549.57515046297</v>
      </c>
      <c r="R1366" s="3" t="inlineStr">
        <is>
          <t>110.14</t>
        </is>
      </c>
      <c r="S1366" t="inlineStr">
        <is>
          <t>München</t>
        </is>
      </c>
    </row>
    <row r="1367">
      <c r="A1367" s="2" t="n">
        <v>10.7</v>
      </c>
      <c r="B1367" t="inlineStr">
        <is>
          <t>Neilpryde RS Racing Evo 2</t>
        </is>
      </c>
      <c r="C1367" s="3" t="inlineStr">
        <is>
          <t>520/530</t>
        </is>
      </c>
      <c r="D1367" s="3" t="n">
        <v>258</v>
      </c>
      <c r="E1367" t="inlineStr">
        <is>
          <t>Racing</t>
        </is>
      </c>
      <c r="F1367" t="inlineStr"/>
      <c r="G1367" t="inlineStr"/>
      <c r="H1367" s="4" t="n">
        <v>150</v>
      </c>
      <c r="I1367" t="inlineStr"/>
      <c r="J1367" t="inlineStr">
        <is>
          <t>82362 Bayern - Weilheim</t>
        </is>
      </c>
      <c r="K1367" s="5" t="n">
        <v>45537</v>
      </c>
      <c r="L1367" t="inlineStr"/>
      <c r="M1367" s="6">
        <f>HYPERLINK("https://www.kleinanzeigen.de/s-anzeige/neilpryde-rs-racing-evo-2-10-7-/2852682312-230-5562", "Link")</f>
        <v/>
      </c>
      <c r="N1367" s="6">
        <f>HYPERLINK("C:\Projects\Kleinanzeigen-Scraper\offer_images\2852682312", "Link")</f>
        <v/>
      </c>
      <c r="O1367" t="inlineStr">
        <is>
          <t>Stefan Ehrenberger</t>
        </is>
      </c>
      <c r="P1367" s="6">
        <f>HYPERLINK("https://www.kleinanzeigen.de/s-bestandsliste.html?userId=88714253", "Link")</f>
        <v/>
      </c>
      <c r="Q1367" s="7" t="n">
        <v>45549.57515046297</v>
      </c>
      <c r="R1367" s="3" t="inlineStr">
        <is>
          <t>44.78</t>
        </is>
      </c>
      <c r="S1367" t="inlineStr">
        <is>
          <t>München</t>
        </is>
      </c>
    </row>
    <row r="1368">
      <c r="A1368" s="2" t="n">
        <v>4.8</v>
      </c>
      <c r="B1368" t="inlineStr">
        <is>
          <t>Sailloft Quad</t>
        </is>
      </c>
      <c r="C1368" s="3" t="n">
        <v>370</v>
      </c>
      <c r="D1368" s="3" t="inlineStr"/>
      <c r="E1368" t="inlineStr"/>
      <c r="F1368" t="inlineStr">
        <is>
          <t>2023</t>
        </is>
      </c>
      <c r="G1368" t="inlineStr">
        <is>
          <t>repaired</t>
        </is>
      </c>
      <c r="H1368" s="4" t="n">
        <v>280</v>
      </c>
      <c r="I1368" t="inlineStr"/>
      <c r="J1368" t="inlineStr">
        <is>
          <t>21629 Niedersachsen - Neu Wulmstorf</t>
        </is>
      </c>
      <c r="K1368" s="5" t="n">
        <v>45439</v>
      </c>
      <c r="L1368" t="inlineStr">
        <is>
          <t>Sold</t>
        </is>
      </c>
      <c r="M1368" s="6">
        <f>HYPERLINK("https://www.kleinanzeigen.de/s-anzeige/segel-sailloft-quad-4-8-von-2023/2772816911-230-2807", "Link")</f>
        <v/>
      </c>
      <c r="N1368" s="6">
        <f>HYPERLINK("C:\Projects\Kleinanzeigen-Scraper\offer_images\2772816911", "Link")</f>
        <v/>
      </c>
      <c r="O1368" t="inlineStr">
        <is>
          <t>Ulf</t>
        </is>
      </c>
      <c r="P1368" s="6">
        <f>HYPERLINK("https://www.kleinanzeigen.de/s-bestandsliste.html?userId=43743322", "Link")</f>
        <v/>
      </c>
      <c r="Q1368" s="7" t="n">
        <v>45549.57515046297</v>
      </c>
      <c r="R1368" s="3" t="inlineStr">
        <is>
          <t>339.04</t>
        </is>
      </c>
      <c r="S1368" t="inlineStr">
        <is>
          <t>Köln</t>
        </is>
      </c>
    </row>
    <row r="1369">
      <c r="A1369" s="2" t="n">
        <v>6.6</v>
      </c>
      <c r="B1369" t="inlineStr">
        <is>
          <t>Duotone E_PACE SLS</t>
        </is>
      </c>
      <c r="C1369" s="3" t="inlineStr"/>
      <c r="D1369" s="3" t="n">
        <v>198</v>
      </c>
      <c r="E1369" t="inlineStr">
        <is>
          <t>Freerace</t>
        </is>
      </c>
      <c r="F1369" t="inlineStr">
        <is>
          <t>2023</t>
        </is>
      </c>
      <c r="G1369" t="inlineStr">
        <is>
          <t>new</t>
        </is>
      </c>
      <c r="H1369" s="4" t="n">
        <v>775</v>
      </c>
      <c r="I1369" t="inlineStr"/>
      <c r="J1369" t="inlineStr">
        <is>
          <t>82319 Bayern - Starnberg</t>
        </is>
      </c>
      <c r="K1369" s="5" t="n">
        <v>45543</v>
      </c>
      <c r="L1369" t="inlineStr">
        <is>
          <t>Sold</t>
        </is>
      </c>
      <c r="M1369" s="6">
        <f>HYPERLINK("https://www.kleinanzeigen.de/s-anzeige/e-pace-sls-6-6-duotone-lightest-freerace-nocam-sail-2023/2545506852-230-5525", "Link")</f>
        <v/>
      </c>
      <c r="N1369" s="6">
        <f>HYPERLINK("C:\Projects\Kleinanzeigen-Scraper\offer_images\2545506852", "Link")</f>
        <v/>
      </c>
      <c r="O1369" t="inlineStr">
        <is>
          <t>No user name</t>
        </is>
      </c>
      <c r="P1369" s="6">
        <f>HYPERLINK("https://www.kleinanzeigen.deNo user link", "Link")</f>
        <v/>
      </c>
      <c r="Q1369" s="7" t="n">
        <v>45549.57513888889</v>
      </c>
      <c r="R1369" s="3" t="inlineStr">
        <is>
          <t>23.17</t>
        </is>
      </c>
      <c r="S1369" t="inlineStr">
        <is>
          <t>München</t>
        </is>
      </c>
    </row>
    <row r="1370">
      <c r="A1370" s="2" t="n">
        <v>5</v>
      </c>
      <c r="B1370" t="inlineStr">
        <is>
          <t>Severne Gator</t>
        </is>
      </c>
      <c r="C1370" s="3" t="n">
        <v>400</v>
      </c>
      <c r="D1370" s="3" t="n">
        <v>162</v>
      </c>
      <c r="E1370" t="inlineStr">
        <is>
          <t>Freeride</t>
        </is>
      </c>
      <c r="F1370" t="inlineStr">
        <is>
          <t>2022</t>
        </is>
      </c>
      <c r="G1370" t="inlineStr">
        <is>
          <t>new</t>
        </is>
      </c>
      <c r="H1370" s="4" t="n">
        <v>650</v>
      </c>
      <c r="I1370" t="inlineStr">
        <is>
          <t>VB</t>
        </is>
      </c>
      <c r="J1370" t="inlineStr">
        <is>
          <t>23769 Kreis Ostholstein - Fehmarn</t>
        </is>
      </c>
      <c r="K1370" s="5" t="n">
        <v>45539</v>
      </c>
      <c r="L1370" t="inlineStr">
        <is>
          <t>Sold</t>
        </is>
      </c>
      <c r="M1370" s="6">
        <f>HYPERLINK("https://www.kleinanzeigen.de/s-anzeige/severne-gator-5-0-segel/2854008224-230-19951", "Link")</f>
        <v/>
      </c>
      <c r="N1370" s="6">
        <f>HYPERLINK("C:\Projects\Kleinanzeigen-Scraper\offer_images\2854008224", "Link")</f>
        <v/>
      </c>
      <c r="O1370" t="inlineStr">
        <is>
          <t>Hermann</t>
        </is>
      </c>
      <c r="P1370" s="6">
        <f>HYPERLINK("https://www.kleinanzeigen.de/s-bestandsliste.html?userId=84019987", "Link")</f>
        <v/>
      </c>
      <c r="Q1370" s="7" t="n">
        <v>45549.57513888889</v>
      </c>
      <c r="R1370" s="3" t="inlineStr">
        <is>
          <t>483.01</t>
        </is>
      </c>
      <c r="S1370" t="inlineStr">
        <is>
          <t>Köln</t>
        </is>
      </c>
    </row>
    <row r="1371">
      <c r="A1371" s="2" t="n">
        <v>6.5</v>
      </c>
      <c r="B1371" t="inlineStr">
        <is>
          <t>Severne C2</t>
        </is>
      </c>
      <c r="C1371" s="3" t="n">
        <v>460</v>
      </c>
      <c r="D1371" s="3" t="inlineStr"/>
      <c r="E1371" t="inlineStr"/>
      <c r="F1371" t="inlineStr"/>
      <c r="G1371" t="inlineStr">
        <is>
          <t>used</t>
        </is>
      </c>
      <c r="H1371" s="4" t="n">
        <v>115</v>
      </c>
      <c r="I1371" t="inlineStr">
        <is>
          <t>VB</t>
        </is>
      </c>
      <c r="J1371" t="inlineStr">
        <is>
          <t>46395 Nordrhein-Westfalen - Bocholt</t>
        </is>
      </c>
      <c r="K1371" s="5" t="n">
        <v>45510</v>
      </c>
      <c r="L1371" t="inlineStr">
        <is>
          <t>Sold</t>
        </is>
      </c>
      <c r="M1371" s="6">
        <f>HYPERLINK("https://www.kleinanzeigen.de/s-anzeige/segel-severne-c2/2830825032-230-1849", "Link")</f>
        <v/>
      </c>
      <c r="N1371" s="6">
        <f>HYPERLINK("C:\Projects\Kleinanzeigen-Scraper\offer_images\2830825032", "Link")</f>
        <v/>
      </c>
      <c r="O1371" t="inlineStr">
        <is>
          <t>Björn</t>
        </is>
      </c>
      <c r="P1371" s="6">
        <f>HYPERLINK("https://www.kleinanzeigen.de/s-bestandsliste.html?userId=38124741", "Link")</f>
        <v/>
      </c>
      <c r="Q1371" s="7" t="n">
        <v>45549.57511574074</v>
      </c>
      <c r="R1371" s="3" t="inlineStr">
        <is>
          <t>101.96</t>
        </is>
      </c>
      <c r="S1371" t="inlineStr">
        <is>
          <t>Köln</t>
        </is>
      </c>
    </row>
    <row r="1372">
      <c r="A1372" s="2" t="n">
        <v>6.5</v>
      </c>
      <c r="B1372" t="inlineStr">
        <is>
          <t>Sailloft Bionic SL</t>
        </is>
      </c>
      <c r="C1372" s="3" t="inlineStr"/>
      <c r="D1372" s="3" t="inlineStr"/>
      <c r="E1372" t="inlineStr"/>
      <c r="F1372" t="inlineStr"/>
      <c r="G1372" t="inlineStr">
        <is>
          <t>used</t>
        </is>
      </c>
      <c r="H1372" s="4" t="n">
        <v>230</v>
      </c>
      <c r="I1372" t="inlineStr"/>
      <c r="J1372" t="inlineStr">
        <is>
          <t>59320 Nordrhein-Westfalen - Ennigerloh</t>
        </is>
      </c>
      <c r="K1372" s="5" t="n">
        <v>45487</v>
      </c>
      <c r="L1372" t="inlineStr"/>
      <c r="M1372" s="6">
        <f>HYPERLINK("https://www.kleinanzeigen.de/s-anzeige/sailloft-bionic-sl-segel-6-5-m-windsurfen/2812364239-230-1439", "Link")</f>
        <v/>
      </c>
      <c r="N1372" s="6">
        <f>HYPERLINK("C:\Projects\Kleinanzeigen-Scraper\offer_images\2812364239", "Link")</f>
        <v/>
      </c>
      <c r="O1372" t="inlineStr">
        <is>
          <t>MD</t>
        </is>
      </c>
      <c r="P1372" s="6">
        <f>HYPERLINK("https://www.kleinanzeigen.de/s-bestandsliste.html?userId=14971628", "Link")</f>
        <v/>
      </c>
      <c r="Q1372" s="7" t="n">
        <v>45549.57509259259</v>
      </c>
      <c r="R1372" s="3" t="inlineStr">
        <is>
          <t>126.09</t>
        </is>
      </c>
      <c r="S1372" t="inlineStr">
        <is>
          <t>Köln</t>
        </is>
      </c>
    </row>
    <row r="1373">
      <c r="A1373" s="2" t="n">
        <v>5</v>
      </c>
      <c r="B1373" t="inlineStr">
        <is>
          <t>Duotone Slick SLS</t>
        </is>
      </c>
      <c r="C1373" s="3" t="inlineStr"/>
      <c r="D1373" s="3" t="inlineStr"/>
      <c r="E1373" t="inlineStr"/>
      <c r="F1373" t="inlineStr">
        <is>
          <t>2023</t>
        </is>
      </c>
      <c r="G1373" t="inlineStr">
        <is>
          <t>used</t>
        </is>
      </c>
      <c r="H1373" s="4" t="n">
        <v>520</v>
      </c>
      <c r="I1373" t="inlineStr"/>
      <c r="J1373" t="inlineStr">
        <is>
          <t>83355 Bayern - Grabenstätt</t>
        </is>
      </c>
      <c r="K1373" s="5" t="n">
        <v>45546</v>
      </c>
      <c r="L1373" t="inlineStr">
        <is>
          <t>Sold</t>
        </is>
      </c>
      <c r="M1373" s="6">
        <f>HYPERLINK("https://www.kleinanzeigen.de/s-anzeige/duotone-slick-5-0-sls-2023/2860504688-230-5733", "Link")</f>
        <v/>
      </c>
      <c r="N1373" s="6">
        <f>HYPERLINK("C:\Projects\Kleinanzeigen-Scraper\offer_images\2860504688", "Link")</f>
        <v/>
      </c>
      <c r="O1373" t="inlineStr">
        <is>
          <t>Melanie Prakesch</t>
        </is>
      </c>
      <c r="P1373" s="6">
        <f>HYPERLINK("https://www.kleinanzeigen.de/s-bestandsliste.html?userId=68048247", "Link")</f>
        <v/>
      </c>
      <c r="Q1373" s="7" t="n">
        <v>45549.57506944444</v>
      </c>
      <c r="R1373" s="3" t="inlineStr">
        <is>
          <t>79.57</t>
        </is>
      </c>
      <c r="S1373" t="inlineStr">
        <is>
          <t>München</t>
        </is>
      </c>
    </row>
    <row r="1374">
      <c r="A1374" s="2" t="n">
        <v>3.5</v>
      </c>
      <c r="B1374" t="inlineStr">
        <is>
          <t>Duotone Unit</t>
        </is>
      </c>
      <c r="C1374" s="3" t="inlineStr"/>
      <c r="D1374" s="3" t="inlineStr"/>
      <c r="E1374" t="inlineStr"/>
      <c r="F1374" t="inlineStr">
        <is>
          <t>2023</t>
        </is>
      </c>
      <c r="G1374" t="inlineStr">
        <is>
          <t>repaired</t>
        </is>
      </c>
      <c r="H1374" s="4" t="n">
        <v>350</v>
      </c>
      <c r="I1374" t="inlineStr">
        <is>
          <t>VB</t>
        </is>
      </c>
      <c r="J1374" t="inlineStr">
        <is>
          <t>24235 Schleswig-Holstein - Wendtorf</t>
        </is>
      </c>
      <c r="K1374" s="5" t="n">
        <v>45543</v>
      </c>
      <c r="L1374" t="inlineStr">
        <is>
          <t>Sold</t>
        </is>
      </c>
      <c r="M1374" s="6">
        <f>HYPERLINK("https://www.kleinanzeigen.de/s-anzeige/duotone-unit-3-5-2023/2857855891-230-19458", "Link")</f>
        <v/>
      </c>
      <c r="N1374" s="6">
        <f>HYPERLINK("C:\Projects\Kleinanzeigen-Scraper\offer_images\2857855891", "Link")</f>
        <v/>
      </c>
      <c r="O1374" t="inlineStr">
        <is>
          <t>Privater Anbieter</t>
        </is>
      </c>
      <c r="P1374" s="6">
        <f>HYPERLINK("https://www.kleinanzeigen.de/s-bestandsliste.html?userId=119683801", "Link")</f>
        <v/>
      </c>
      <c r="Q1374" s="7" t="n">
        <v>45549.57502314815</v>
      </c>
      <c r="R1374" s="3" t="inlineStr">
        <is>
          <t>443.73</t>
        </is>
      </c>
      <c r="S1374" t="inlineStr">
        <is>
          <t>Köln</t>
        </is>
      </c>
    </row>
    <row r="1375">
      <c r="A1375" s="2" t="n">
        <v>6</v>
      </c>
      <c r="B1375" t="inlineStr">
        <is>
          <t>Duotone Unit</t>
        </is>
      </c>
      <c r="C1375" s="3" t="inlineStr"/>
      <c r="D1375" s="3" t="inlineStr"/>
      <c r="E1375" t="inlineStr"/>
      <c r="F1375" t="inlineStr">
        <is>
          <t>2024</t>
        </is>
      </c>
      <c r="G1375" t="inlineStr">
        <is>
          <t>new</t>
        </is>
      </c>
      <c r="H1375" s="4" t="n">
        <v>615</v>
      </c>
      <c r="I1375" t="inlineStr">
        <is>
          <t>VB</t>
        </is>
      </c>
      <c r="J1375" t="inlineStr">
        <is>
          <t>97070 Bayern - Würzburg</t>
        </is>
      </c>
      <c r="K1375" s="5" t="n">
        <v>45540</v>
      </c>
      <c r="L1375" t="inlineStr">
        <is>
          <t>Sold</t>
        </is>
      </c>
      <c r="M1375" s="6">
        <f>HYPERLINK("https://www.kleinanzeigen.de/s-anzeige/duotone-unit-6qm-von-2024/2854856836-230-7700", "Link")</f>
        <v/>
      </c>
      <c r="N1375" s="6">
        <f>HYPERLINK("C:\Projects\Kleinanzeigen-Scraper\offer_images\2854856836", "Link")</f>
        <v/>
      </c>
      <c r="O1375" t="inlineStr">
        <is>
          <t>Niko</t>
        </is>
      </c>
      <c r="P1375" s="6">
        <f>HYPERLINK("https://www.kleinanzeigen.de/s-bestandsliste.html?userId=17770632", "Link")</f>
        <v/>
      </c>
      <c r="Q1375" s="7" t="n">
        <v>45549.57502314815</v>
      </c>
      <c r="R1375" s="3" t="inlineStr">
        <is>
          <t>141.80</t>
        </is>
      </c>
      <c r="S1375" t="inlineStr">
        <is>
          <t>Karlsruhe</t>
        </is>
      </c>
    </row>
    <row r="1376">
      <c r="A1376" s="2" t="n">
        <v>5.9</v>
      </c>
      <c r="B1376" t="inlineStr">
        <is>
          <t>North Volt</t>
        </is>
      </c>
      <c r="C1376" s="3" t="inlineStr"/>
      <c r="D1376" s="3" t="inlineStr"/>
      <c r="E1376" t="inlineStr"/>
      <c r="F1376" t="inlineStr">
        <is>
          <t>2013</t>
        </is>
      </c>
      <c r="G1376" t="inlineStr">
        <is>
          <t>defective</t>
        </is>
      </c>
      <c r="H1376" s="4" t="n">
        <v>20</v>
      </c>
      <c r="I1376" t="inlineStr"/>
      <c r="J1376" t="inlineStr">
        <is>
          <t>45473 Nordrhein-Westfalen - Mülheim (Ruhr)</t>
        </is>
      </c>
      <c r="K1376" s="5" t="n">
        <v>45549</v>
      </c>
      <c r="L1376" t="inlineStr">
        <is>
          <t>Sold</t>
        </is>
      </c>
      <c r="M1376" s="6">
        <f>HYPERLINK("https://www.kleinanzeigen.de/s-anzeige/north-volt-5-9-2013-defekt/2862997616-230-2062", "Link")</f>
        <v/>
      </c>
      <c r="N1376" s="6">
        <f>HYPERLINK("C:\Projects\Kleinanzeigen-Scraper\offer_images\2862997616", "Link")</f>
        <v/>
      </c>
      <c r="O1376" t="inlineStr">
        <is>
          <t>Benedict</t>
        </is>
      </c>
      <c r="P1376" s="6">
        <f>HYPERLINK("https://www.kleinanzeigen.de/s-bestandsliste.html?userId=13040713", "Link")</f>
        <v/>
      </c>
      <c r="Q1376" s="7" t="n">
        <v>45549.57498842593</v>
      </c>
      <c r="R1376" s="3" t="inlineStr">
        <is>
          <t>56.15</t>
        </is>
      </c>
      <c r="S1376" t="inlineStr">
        <is>
          <t>Köln</t>
        </is>
      </c>
    </row>
    <row r="1377">
      <c r="A1377" s="2" t="n">
        <v>5</v>
      </c>
      <c r="B1377" t="inlineStr">
        <is>
          <t>Severne Gator</t>
        </is>
      </c>
      <c r="C1377" s="3" t="n">
        <v>418</v>
      </c>
      <c r="D1377" s="3" t="n">
        <v>162</v>
      </c>
      <c r="E1377" t="inlineStr">
        <is>
          <t>Wave, Freestyle</t>
        </is>
      </c>
      <c r="F1377" t="inlineStr"/>
      <c r="G1377" t="inlineStr">
        <is>
          <t>used</t>
        </is>
      </c>
      <c r="H1377" s="4" t="n">
        <v>180</v>
      </c>
      <c r="I1377" t="inlineStr"/>
      <c r="J1377" t="inlineStr">
        <is>
          <t>26129 Niedersachsen - Oldenburg</t>
        </is>
      </c>
      <c r="K1377" s="5" t="n">
        <v>45533</v>
      </c>
      <c r="L1377" t="inlineStr"/>
      <c r="M1377" s="6">
        <f>HYPERLINK("https://www.kleinanzeigen.de/s-anzeige/severne-gator-5-0qm-windsurfsegel-surf-wave-freestyle/2849136123-230-3113", "Link")</f>
        <v/>
      </c>
      <c r="N1377" s="6">
        <f>HYPERLINK("C:\Projects\Kleinanzeigen-Scraper\offer_images\2849136123", "Link")</f>
        <v/>
      </c>
      <c r="O1377" t="inlineStr">
        <is>
          <t>Stefan</t>
        </is>
      </c>
      <c r="P1377" s="6">
        <f>HYPERLINK("https://www.kleinanzeigen.de/s-bestandsliste.html?userId=4116163", "Link")</f>
        <v/>
      </c>
      <c r="Q1377" s="7" t="n">
        <v>45549.57498842593</v>
      </c>
      <c r="R1377" s="3" t="inlineStr">
        <is>
          <t>259.47</t>
        </is>
      </c>
      <c r="S1377" t="inlineStr">
        <is>
          <t>Köln</t>
        </is>
      </c>
    </row>
    <row r="1378">
      <c r="A1378" s="2" t="n">
        <v>7.5</v>
      </c>
      <c r="B1378" t="inlineStr">
        <is>
          <t>Ezzy Sails, Transformer</t>
        </is>
      </c>
      <c r="C1378" s="3" t="n">
        <v>500</v>
      </c>
      <c r="D1378" s="3" t="n">
        <v>216</v>
      </c>
      <c r="E1378" t="inlineStr"/>
      <c r="F1378" t="inlineStr"/>
      <c r="G1378" t="inlineStr">
        <is>
          <t>repaired</t>
        </is>
      </c>
      <c r="H1378" s="4" t="n">
        <v>35</v>
      </c>
      <c r="I1378" t="inlineStr"/>
      <c r="J1378" t="inlineStr">
        <is>
          <t>44143 Dortmund - Mitte</t>
        </is>
      </c>
      <c r="K1378" s="5" t="n">
        <v>45527</v>
      </c>
      <c r="L1378" t="inlineStr"/>
      <c r="M1378" s="6">
        <f>HYPERLINK("https://www.kleinanzeigen.de/s-anzeige/windsurf-segel-ezzy-sails-transformer-7-5-qm/2844354146-230-1105", "Link")</f>
        <v/>
      </c>
      <c r="N1378" s="6">
        <f>HYPERLINK("C:\Projects\Kleinanzeigen-Scraper\offer_images\2844354146", "Link")</f>
        <v/>
      </c>
      <c r="O1378" t="inlineStr">
        <is>
          <t>Michael W</t>
        </is>
      </c>
      <c r="P1378" s="6">
        <f>HYPERLINK("https://www.kleinanzeigen.de/s-bestandsliste.html?userId=24712585", "Link")</f>
        <v/>
      </c>
      <c r="Q1378" s="7" t="n">
        <v>45549.57498842593</v>
      </c>
      <c r="R1378" s="3" t="inlineStr">
        <is>
          <t>75.39</t>
        </is>
      </c>
      <c r="S1378" t="inlineStr">
        <is>
          <t>Köln</t>
        </is>
      </c>
    </row>
    <row r="1379">
      <c r="A1379" s="2" t="n">
        <v>8</v>
      </c>
      <c r="B1379" t="inlineStr">
        <is>
          <t>Neilpryde V8</t>
        </is>
      </c>
      <c r="C1379" s="3" t="n">
        <v>513</v>
      </c>
      <c r="D1379" s="3" t="inlineStr">
        <is>
          <t>240-260</t>
        </is>
      </c>
      <c r="E1379" t="inlineStr"/>
      <c r="F1379" t="inlineStr"/>
      <c r="G1379" t="inlineStr">
        <is>
          <t>used</t>
        </is>
      </c>
      <c r="H1379" s="4" t="n">
        <v>125</v>
      </c>
      <c r="I1379" t="inlineStr">
        <is>
          <t>VB</t>
        </is>
      </c>
      <c r="J1379" t="inlineStr">
        <is>
          <t>53225 Bonn - Beuel</t>
        </is>
      </c>
      <c r="K1379" s="5" t="n">
        <v>45515</v>
      </c>
      <c r="L1379" t="inlineStr"/>
      <c r="M1379" s="6">
        <f>HYPERLINK("https://www.kleinanzeigen.de/s-anzeige/neilpryde-v8-surfsegel/2834815023-230-1055", "Link")</f>
        <v/>
      </c>
      <c r="N1379" s="6">
        <f>HYPERLINK("C:\Projects\Kleinanzeigen-Scraper\offer_images\2834815023", "Link")</f>
        <v/>
      </c>
      <c r="O1379" t="inlineStr">
        <is>
          <t>Georg</t>
        </is>
      </c>
      <c r="P1379" s="6">
        <f>HYPERLINK("https://www.kleinanzeigen.de/s-bestandsliste.html?userId=3968716", "Link")</f>
        <v/>
      </c>
      <c r="Q1379" s="7" t="n">
        <v>45549.57498842593</v>
      </c>
      <c r="R1379" s="3" t="inlineStr">
        <is>
          <t>22.99</t>
        </is>
      </c>
      <c r="S1379" t="inlineStr">
        <is>
          <t>Köln</t>
        </is>
      </c>
    </row>
    <row r="1380">
      <c r="A1380" s="2" t="n">
        <v>4.2</v>
      </c>
      <c r="B1380" t="inlineStr">
        <is>
          <t>Gun Sails Wave Slalom</t>
        </is>
      </c>
      <c r="C1380" s="3" t="inlineStr"/>
      <c r="D1380" s="3" t="inlineStr"/>
      <c r="E1380" t="inlineStr"/>
      <c r="F1380" t="inlineStr"/>
      <c r="G1380" t="inlineStr">
        <is>
          <t>used, damaged</t>
        </is>
      </c>
      <c r="H1380" s="4" t="n">
        <v>125</v>
      </c>
      <c r="I1380" t="inlineStr"/>
      <c r="J1380" t="inlineStr">
        <is>
          <t>23569 Lübeck - Kücknitz</t>
        </is>
      </c>
      <c r="K1380" s="5" t="n">
        <v>45419</v>
      </c>
      <c r="L1380" t="inlineStr"/>
      <c r="M1380" s="6">
        <f>HYPERLINK("https://www.kleinanzeigen.de/s-anzeige/surfsegel-gun-sails-wave-slalom-4-2/2755645215-230-24244", "Link")</f>
        <v/>
      </c>
      <c r="N1380" s="6">
        <f>HYPERLINK("C:\Projects\Kleinanzeigen-Scraper\offer_images\2755645215", "Link")</f>
        <v/>
      </c>
      <c r="O1380" t="inlineStr">
        <is>
          <t>Claudia</t>
        </is>
      </c>
      <c r="P1380" s="6">
        <f>HYPERLINK("https://www.kleinanzeigen.de/s-bestandsliste.html?userId=16213695", "Link")</f>
        <v/>
      </c>
      <c r="Q1380" s="7" t="n">
        <v>45549.57496527778</v>
      </c>
      <c r="R1380" s="3" t="inlineStr">
        <is>
          <t>422.18</t>
        </is>
      </c>
      <c r="S1380" t="inlineStr">
        <is>
          <t>Köln</t>
        </is>
      </c>
    </row>
    <row r="1381">
      <c r="A1381" s="2" t="n">
        <v>9</v>
      </c>
      <c r="B1381" t="inlineStr">
        <is>
          <t>North Evo (Duotone)</t>
        </is>
      </c>
      <c r="C1381" s="3" t="inlineStr"/>
      <c r="D1381" s="3" t="inlineStr"/>
      <c r="E1381" t="inlineStr"/>
      <c r="F1381" t="inlineStr">
        <is>
          <t>2018</t>
        </is>
      </c>
      <c r="G1381" t="inlineStr">
        <is>
          <t>repaired</t>
        </is>
      </c>
      <c r="H1381" s="4" t="n">
        <v>430</v>
      </c>
      <c r="I1381" t="inlineStr"/>
      <c r="J1381" t="inlineStr">
        <is>
          <t>22081 Hamburg Barmbek - Hamburg Barmbek-Süd</t>
        </is>
      </c>
      <c r="K1381" s="5" t="n">
        <v>45544</v>
      </c>
      <c r="L1381" t="inlineStr">
        <is>
          <t>Sold</t>
        </is>
      </c>
      <c r="M1381" s="6">
        <f>HYPERLINK("https://www.kleinanzeigen.de/s-anzeige/north-evo-duotone-9qm/2858371228-230-16396", "Link")</f>
        <v/>
      </c>
      <c r="N1381" s="6">
        <f>HYPERLINK("C:\Projects\Kleinanzeigen-Scraper\offer_images\2858371228", "Link")</f>
        <v/>
      </c>
      <c r="O1381" t="inlineStr">
        <is>
          <t>Martina</t>
        </is>
      </c>
      <c r="P1381" s="6">
        <f>HYPERLINK("https://www.kleinanzeigen.de/s-bestandsliste.html?userId=23205289", "Link")</f>
        <v/>
      </c>
      <c r="Q1381" s="7" t="n">
        <v>45549.57496527778</v>
      </c>
      <c r="R1381" s="3" t="inlineStr">
        <is>
          <t>361.28</t>
        </is>
      </c>
      <c r="S1381" t="inlineStr">
        <is>
          <t>Köln</t>
        </is>
      </c>
    </row>
    <row r="1382">
      <c r="A1382" s="2" t="n">
        <v>4.2</v>
      </c>
      <c r="B1382" t="inlineStr">
        <is>
          <t>Goya Banzai</t>
        </is>
      </c>
      <c r="C1382" s="3" t="inlineStr"/>
      <c r="D1382" s="3" t="inlineStr"/>
      <c r="E1382" t="inlineStr"/>
      <c r="F1382" t="inlineStr">
        <is>
          <t>20/21</t>
        </is>
      </c>
      <c r="G1382" t="inlineStr">
        <is>
          <t>used</t>
        </is>
      </c>
      <c r="H1382" s="4" t="n">
        <v>225</v>
      </c>
      <c r="I1382" t="inlineStr">
        <is>
          <t>VB</t>
        </is>
      </c>
      <c r="J1382" t="inlineStr">
        <is>
          <t>24211 Schleswig-Holstein - Preetz</t>
        </is>
      </c>
      <c r="K1382" s="5" t="n">
        <v>45493</v>
      </c>
      <c r="L1382" t="inlineStr">
        <is>
          <t>Sold</t>
        </is>
      </c>
      <c r="M1382" s="6">
        <f>HYPERLINK("https://www.kleinanzeigen.de/s-anzeige/goya-banzai-4-2-aus-20-21/2816478402-230-473", "Link")</f>
        <v/>
      </c>
      <c r="N1382" s="6">
        <f>HYPERLINK("C:\Projects\Kleinanzeigen-Scraper\offer_images\2816478402", "Link")</f>
        <v/>
      </c>
      <c r="O1382" t="inlineStr">
        <is>
          <t>Daniel Jamaer</t>
        </is>
      </c>
      <c r="P1382" s="6">
        <f>HYPERLINK("https://www.kleinanzeigen.de/s-bestandsliste.html?userId=22982444", "Link")</f>
        <v/>
      </c>
      <c r="Q1382" s="7" t="n">
        <v>45549.57494212963</v>
      </c>
      <c r="R1382" s="3" t="inlineStr">
        <is>
          <t>429.47</t>
        </is>
      </c>
      <c r="S1382" t="inlineStr">
        <is>
          <t>Köln</t>
        </is>
      </c>
    </row>
    <row r="1383">
      <c r="A1383" s="2" t="n">
        <v>4</v>
      </c>
      <c r="B1383" t="inlineStr">
        <is>
          <t>NP Neilpryde Combat Pro</t>
        </is>
      </c>
      <c r="C1383" s="3" t="inlineStr"/>
      <c r="D1383" s="3" t="inlineStr"/>
      <c r="E1383" t="inlineStr"/>
      <c r="F1383" t="inlineStr">
        <is>
          <t>2022</t>
        </is>
      </c>
      <c r="G1383" t="inlineStr">
        <is>
          <t>used</t>
        </is>
      </c>
      <c r="H1383" s="4" t="n">
        <v>300</v>
      </c>
      <c r="I1383" t="inlineStr">
        <is>
          <t>VB</t>
        </is>
      </c>
      <c r="J1383" t="inlineStr">
        <is>
          <t>24105 Schleswig-Holstein - Kiel</t>
        </is>
      </c>
      <c r="K1383" s="5" t="n">
        <v>45541</v>
      </c>
      <c r="L1383" t="inlineStr"/>
      <c r="M1383" s="6">
        <f>HYPERLINK("https://www.kleinanzeigen.de/s-anzeige/np-neilpryde-combat-4-0-wave-windsurf-segel/2855915931-230-708", "Link")</f>
        <v/>
      </c>
      <c r="N1383" s="6">
        <f>HYPERLINK("C:\Projects\Kleinanzeigen-Scraper\offer_images\2855915931", "Link")</f>
        <v/>
      </c>
      <c r="O1383" t="inlineStr">
        <is>
          <t>Leo Richter</t>
        </is>
      </c>
      <c r="P1383" s="6">
        <f>HYPERLINK("https://www.kleinanzeigen.de/s-bestandsliste.html?userId=56454387", "Link")</f>
        <v/>
      </c>
      <c r="Q1383" s="7" t="n">
        <v>45549.57494212963</v>
      </c>
      <c r="R1383" s="3" t="inlineStr">
        <is>
          <t>435.05</t>
        </is>
      </c>
      <c r="S1383" t="inlineStr">
        <is>
          <t>Köln</t>
        </is>
      </c>
    </row>
    <row r="1384">
      <c r="A1384" s="2" t="n">
        <v>4.4</v>
      </c>
      <c r="B1384" t="inlineStr">
        <is>
          <t>Severne Freek</t>
        </is>
      </c>
      <c r="C1384" s="3" t="inlineStr"/>
      <c r="D1384" s="3" t="inlineStr"/>
      <c r="E1384" t="inlineStr"/>
      <c r="F1384" t="inlineStr">
        <is>
          <t>2020</t>
        </is>
      </c>
      <c r="G1384" t="inlineStr">
        <is>
          <t>used</t>
        </is>
      </c>
      <c r="H1384" s="4" t="n">
        <v>225</v>
      </c>
      <c r="I1384" t="inlineStr">
        <is>
          <t>VB</t>
        </is>
      </c>
      <c r="J1384" t="inlineStr">
        <is>
          <t>42489 Nordrhein-Westfalen - Wülfrath</t>
        </is>
      </c>
      <c r="K1384" s="5" t="n">
        <v>45504</v>
      </c>
      <c r="L1384" t="inlineStr"/>
      <c r="M1384" s="6">
        <f>HYPERLINK("https://www.kleinanzeigen.de/s-anzeige/severne-freek-surfsegel/2825895205-230-1554", "Link")</f>
        <v/>
      </c>
      <c r="N1384" s="6">
        <f>HYPERLINK("C:\Projects\Kleinanzeigen-Scraper\offer_images\2825895205", "Link")</f>
        <v/>
      </c>
      <c r="O1384" t="inlineStr">
        <is>
          <t>Finn Laschet</t>
        </is>
      </c>
      <c r="P1384" s="6">
        <f>HYPERLINK("https://www.kleinanzeigen.de/s-bestandsliste.html?userId=53338405", "Link")</f>
        <v/>
      </c>
      <c r="Q1384" s="7" t="n">
        <v>45549.57491898148</v>
      </c>
      <c r="R1384" s="3" t="inlineStr">
        <is>
          <t>39.28</t>
        </is>
      </c>
      <c r="S1384" t="inlineStr">
        <is>
          <t>Köln</t>
        </is>
      </c>
    </row>
    <row r="1385">
      <c r="A1385" s="2" t="n">
        <v>4</v>
      </c>
      <c r="B1385" t="inlineStr">
        <is>
          <t>Severne Freek</t>
        </is>
      </c>
      <c r="C1385" s="3" t="inlineStr"/>
      <c r="D1385" s="3" t="inlineStr"/>
      <c r="E1385" t="inlineStr"/>
      <c r="F1385" t="inlineStr">
        <is>
          <t>2018</t>
        </is>
      </c>
      <c r="G1385" t="inlineStr">
        <is>
          <t>damaged</t>
        </is>
      </c>
      <c r="H1385" s="4" t="n">
        <v>35</v>
      </c>
      <c r="I1385" t="inlineStr">
        <is>
          <t>VB</t>
        </is>
      </c>
      <c r="J1385" t="inlineStr">
        <is>
          <t>82327 Bayern - Tutzing</t>
        </is>
      </c>
      <c r="K1385" s="5" t="n">
        <v>45508</v>
      </c>
      <c r="L1385" t="inlineStr">
        <is>
          <t>Sold</t>
        </is>
      </c>
      <c r="M1385" s="6">
        <f>HYPERLINK("https://www.kleinanzeigen.de/s-anzeige/severne-freek-4-0qm-2018/2828958228-230-5545", "Link")</f>
        <v/>
      </c>
      <c r="N1385" s="6">
        <f>HYPERLINK("C:\Projects\Kleinanzeigen-Scraper\offer_images\2828958228", "Link")</f>
        <v/>
      </c>
      <c r="O1385" t="inlineStr">
        <is>
          <t>Privat</t>
        </is>
      </c>
      <c r="P1385" s="6">
        <f>HYPERLINK("https://www.kleinanzeigen.de/s-bestandsliste.html?userId=29917054", "Link")</f>
        <v/>
      </c>
      <c r="Q1385" s="7" t="n">
        <v>45549.57491898148</v>
      </c>
      <c r="R1385" s="3" t="inlineStr">
        <is>
          <t>35.71</t>
        </is>
      </c>
      <c r="S1385" t="inlineStr">
        <is>
          <t>München</t>
        </is>
      </c>
    </row>
    <row r="1386">
      <c r="A1386" s="2" t="n">
        <v>7.1</v>
      </c>
      <c r="B1386" t="inlineStr">
        <is>
          <t>Point 7</t>
        </is>
      </c>
      <c r="C1386" s="3" t="n">
        <v>430</v>
      </c>
      <c r="D1386" s="3" t="n">
        <v>41</v>
      </c>
      <c r="E1386" t="inlineStr"/>
      <c r="F1386" t="inlineStr"/>
      <c r="G1386" t="inlineStr">
        <is>
          <t>used</t>
        </is>
      </c>
      <c r="H1386" s="4" t="n">
        <v>349</v>
      </c>
      <c r="I1386" t="inlineStr"/>
      <c r="J1386" t="inlineStr">
        <is>
          <t>09111 Sachsen - Chemnitz</t>
        </is>
      </c>
      <c r="K1386" s="5" t="n">
        <v>45134</v>
      </c>
      <c r="L1386" t="inlineStr"/>
      <c r="M1386" s="6">
        <f>HYPERLINK("https://www.kleinanzeigen.de/s-anzeige/windsurf-segel-7-1m-point-7-gebraucht-guter-zustand/2504467418-230-3886", "Link")</f>
        <v/>
      </c>
      <c r="N1386" s="6">
        <f>HYPERLINK("C:\Projects\Kleinanzeigen-Scraper\offer_images\2504467418", "Link")</f>
        <v/>
      </c>
      <c r="O1386" t="inlineStr">
        <is>
          <t>olaf</t>
        </is>
      </c>
      <c r="P1386" s="6">
        <f>HYPERLINK("https://www.kleinanzeigen.de/s-bestandsliste.html?userId=8857923", "Link")</f>
        <v/>
      </c>
      <c r="Q1386" s="7" t="n">
        <v>45549.57489583334</v>
      </c>
      <c r="R1386" s="3" t="inlineStr">
        <is>
          <t>315.71</t>
        </is>
      </c>
      <c r="S1386" t="inlineStr">
        <is>
          <t>München</t>
        </is>
      </c>
    </row>
    <row r="1387">
      <c r="A1387" s="2" t="n">
        <v>4.7</v>
      </c>
      <c r="B1387" t="inlineStr">
        <is>
          <t>Neilpryde Combat</t>
        </is>
      </c>
      <c r="C1387" s="3" t="n">
        <v>370</v>
      </c>
      <c r="D1387" s="3" t="inlineStr"/>
      <c r="E1387" t="inlineStr"/>
      <c r="F1387" t="inlineStr">
        <is>
          <t>2014</t>
        </is>
      </c>
      <c r="G1387" t="inlineStr">
        <is>
          <t>repaired</t>
        </is>
      </c>
      <c r="H1387" s="4" t="n">
        <v>75</v>
      </c>
      <c r="I1387" t="inlineStr"/>
      <c r="J1387" t="inlineStr">
        <is>
          <t>70597 Stuttgart - Degerloch</t>
        </is>
      </c>
      <c r="K1387" s="5" t="n">
        <v>45468</v>
      </c>
      <c r="L1387" t="inlineStr">
        <is>
          <t>Sold</t>
        </is>
      </c>
      <c r="M1387" s="6">
        <f>HYPERLINK("https://www.kleinanzeigen.de/s-anzeige/neilpryde-combat-4-7-surfsegel-wavesegel/2796797145-230-9297", "Link")</f>
        <v/>
      </c>
      <c r="N1387" s="6">
        <f>HYPERLINK("C:\Projects\Kleinanzeigen-Scraper\offer_images\2796797145", "Link")</f>
        <v/>
      </c>
      <c r="O1387" t="inlineStr">
        <is>
          <t>Lukas Worbs</t>
        </is>
      </c>
      <c r="P1387" s="6">
        <f>HYPERLINK("https://www.kleinanzeigen.de/s-bestandsliste.html?userId=41627552", "Link")</f>
        <v/>
      </c>
      <c r="Q1387" s="7" t="n">
        <v>45549.57489583334</v>
      </c>
      <c r="R1387" s="3" t="inlineStr">
        <is>
          <t>16.37</t>
        </is>
      </c>
      <c r="S1387" t="inlineStr">
        <is>
          <t>Böblingen</t>
        </is>
      </c>
    </row>
    <row r="1388">
      <c r="A1388" s="2" t="n">
        <v>6.4</v>
      </c>
      <c r="B1388" t="inlineStr">
        <is>
          <t>North Sails Infinity</t>
        </is>
      </c>
      <c r="C1388" s="3" t="inlineStr"/>
      <c r="D1388" s="3" t="inlineStr"/>
      <c r="E1388" t="inlineStr"/>
      <c r="F1388" t="inlineStr"/>
      <c r="G1388" t="inlineStr">
        <is>
          <t>repaired</t>
        </is>
      </c>
      <c r="H1388" s="4" t="n">
        <v>179</v>
      </c>
      <c r="I1388" t="inlineStr"/>
      <c r="J1388" t="inlineStr">
        <is>
          <t>37124 Niedersachsen - Rosdorf</t>
        </is>
      </c>
      <c r="K1388" s="5" t="n">
        <v>45539</v>
      </c>
      <c r="L1388" t="inlineStr">
        <is>
          <t>Sold</t>
        </is>
      </c>
      <c r="M1388" s="6">
        <f>HYPERLINK("https://www.kleinanzeigen.de/s-anzeige/surfsegel-north-sails-infinity-6-4-2796-/2854270604-230-3133", "Link")</f>
        <v/>
      </c>
      <c r="N1388" s="6">
        <f>HYPERLINK("C:\Projects\Kleinanzeigen-Scraper\offer_images\2854270604", "Link")</f>
        <v/>
      </c>
      <c r="O1388" t="inlineStr">
        <is>
          <t>No user name</t>
        </is>
      </c>
      <c r="P1388" s="6">
        <f>HYPERLINK("https://www.kleinanzeigen.deNo user link", "Link")</f>
        <v/>
      </c>
      <c r="Q1388" s="7" t="n">
        <v>45549.57489583334</v>
      </c>
      <c r="R1388" s="3" t="inlineStr">
        <is>
          <t>214.72</t>
        </is>
      </c>
      <c r="S1388" t="inlineStr">
        <is>
          <t>Köln</t>
        </is>
      </c>
    </row>
    <row r="1389">
      <c r="A1389" s="2" t="n">
        <v>4.2</v>
      </c>
      <c r="B1389" t="inlineStr">
        <is>
          <t>Ezzy Elite</t>
        </is>
      </c>
      <c r="C1389" s="3" t="n">
        <v>370</v>
      </c>
      <c r="D1389" s="3" t="inlineStr">
        <is>
          <t>151-156</t>
        </is>
      </c>
      <c r="E1389" t="inlineStr">
        <is>
          <t>Wave</t>
        </is>
      </c>
      <c r="F1389" t="inlineStr"/>
      <c r="G1389" t="inlineStr">
        <is>
          <t>repaired</t>
        </is>
      </c>
      <c r="H1389" s="4" t="n">
        <v>50</v>
      </c>
      <c r="I1389" t="inlineStr">
        <is>
          <t>VB</t>
        </is>
      </c>
      <c r="J1389" t="inlineStr">
        <is>
          <t>40239 Düsseldorf - Düsseltal</t>
        </is>
      </c>
      <c r="K1389" s="5" t="n">
        <v>45546</v>
      </c>
      <c r="L1389" t="inlineStr">
        <is>
          <t>Sold</t>
        </is>
      </c>
      <c r="M1389" s="6">
        <f>HYPERLINK("https://www.kleinanzeigen.de/s-anzeige/ezzy-elite-wavesegel-4-2/2860343977-230-16742", "Link")</f>
        <v/>
      </c>
      <c r="N1389" s="6">
        <f>HYPERLINK("C:\Projects\Kleinanzeigen-Scraper\offer_images\2860343977", "Link")</f>
        <v/>
      </c>
      <c r="O1389" t="inlineStr">
        <is>
          <t>Jerome Fransen</t>
        </is>
      </c>
      <c r="P1389" s="6">
        <f>HYPERLINK("https://www.kleinanzeigen.de/s-bestandsliste.html?userId=11246700", "Link")</f>
        <v/>
      </c>
      <c r="Q1389" s="7" t="n">
        <v>45549.57487268518</v>
      </c>
      <c r="R1389" s="3" t="inlineStr">
        <is>
          <t>35.68</t>
        </is>
      </c>
      <c r="S1389" t="inlineStr">
        <is>
          <t>Köln</t>
        </is>
      </c>
    </row>
    <row r="1390">
      <c r="A1390" s="2" t="n">
        <v>7.9</v>
      </c>
      <c r="B1390" t="inlineStr">
        <is>
          <t>Neilpryde Super Nova</t>
        </is>
      </c>
      <c r="C1390" s="3" t="n">
        <v>490</v>
      </c>
      <c r="D1390" s="3" t="inlineStr"/>
      <c r="E1390" t="inlineStr"/>
      <c r="F1390" t="inlineStr"/>
      <c r="G1390" t="inlineStr">
        <is>
          <t>new</t>
        </is>
      </c>
      <c r="H1390" s="4" t="n">
        <v>45</v>
      </c>
      <c r="I1390" t="inlineStr">
        <is>
          <t>VB</t>
        </is>
      </c>
      <c r="J1390" t="inlineStr">
        <is>
          <t>95444 Bayern - Bayreuth</t>
        </is>
      </c>
      <c r="K1390" s="5" t="n">
        <v>45500</v>
      </c>
      <c r="L1390" t="inlineStr">
        <is>
          <t>Sold</t>
        </is>
      </c>
      <c r="M1390" s="6">
        <f>HYPERLINK("https://www.kleinanzeigen.de/s-anzeige/neilpryde-super-nova-7-9/2822019332-230-7494", "Link")</f>
        <v/>
      </c>
      <c r="N1390" s="6">
        <f>HYPERLINK("C:\Projects\Kleinanzeigen-Scraper\offer_images\2822019332", "Link")</f>
        <v/>
      </c>
      <c r="O1390" t="inlineStr">
        <is>
          <t>R.Schäfer</t>
        </is>
      </c>
      <c r="P1390" s="6">
        <f>HYPERLINK("https://www.kleinanzeigen.de/s-bestandsliste.html?userId=3764992", "Link")</f>
        <v/>
      </c>
      <c r="Q1390" s="7" t="n">
        <v>45549.57483796297</v>
      </c>
      <c r="R1390" s="3" t="inlineStr">
        <is>
          <t>200.86</t>
        </is>
      </c>
      <c r="S1390" t="inlineStr">
        <is>
          <t>München</t>
        </is>
      </c>
    </row>
    <row r="1391">
      <c r="A1391" s="2" t="n">
        <v>4.5</v>
      </c>
      <c r="B1391" t="inlineStr">
        <is>
          <t>NEILPRYDE COMBAT PRO</t>
        </is>
      </c>
      <c r="C1391" s="3" t="inlineStr"/>
      <c r="D1391" s="3" t="inlineStr"/>
      <c r="E1391" t="inlineStr"/>
      <c r="F1391" t="inlineStr">
        <is>
          <t>2023</t>
        </is>
      </c>
      <c r="G1391" t="inlineStr">
        <is>
          <t>very good</t>
        </is>
      </c>
      <c r="H1391" s="4" t="n">
        <v>349</v>
      </c>
      <c r="I1391" t="inlineStr">
        <is>
          <t>VB</t>
        </is>
      </c>
      <c r="J1391" t="inlineStr">
        <is>
          <t>47918 Nordrhein-Westfalen - Tönisvorst</t>
        </is>
      </c>
      <c r="K1391" s="5" t="n">
        <v>45518</v>
      </c>
      <c r="L1391" t="inlineStr">
        <is>
          <t>Sold</t>
        </is>
      </c>
      <c r="M1391" s="6">
        <f>HYPERLINK("https://www.kleinanzeigen.de/s-anzeige/neilpryde-windsurfsegel-combat-pro-4-5-aus-2023/2836706258-230-1121", "Link")</f>
        <v/>
      </c>
      <c r="N1391" s="6">
        <f>HYPERLINK("C:\Projects\Kleinanzeigen-Scraper\offer_images\2836706258", "Link")</f>
        <v/>
      </c>
      <c r="O1391" t="inlineStr">
        <is>
          <t>Ulrich Lufen</t>
        </is>
      </c>
      <c r="P1391" s="6">
        <f>HYPERLINK("https://www.kleinanzeigen.de/s-bestandsliste.html?userId=28551898", "Link")</f>
        <v/>
      </c>
      <c r="Q1391" s="7" t="n">
        <v>45549.57483796297</v>
      </c>
      <c r="R1391" s="3" t="inlineStr">
        <is>
          <t>56.00</t>
        </is>
      </c>
      <c r="S1391" t="inlineStr">
        <is>
          <t>Köln</t>
        </is>
      </c>
    </row>
    <row r="1392">
      <c r="A1392" s="2" t="n">
        <v>5</v>
      </c>
      <c r="B1392" t="inlineStr">
        <is>
          <t>RRD Vogue</t>
        </is>
      </c>
      <c r="C1392" s="3" t="inlineStr"/>
      <c r="D1392" s="3" t="inlineStr"/>
      <c r="E1392" t="inlineStr"/>
      <c r="F1392" t="inlineStr">
        <is>
          <t>2023</t>
        </is>
      </c>
      <c r="G1392" t="inlineStr">
        <is>
          <t>used</t>
        </is>
      </c>
      <c r="H1392" s="4" t="n">
        <v>350</v>
      </c>
      <c r="I1392" t="inlineStr">
        <is>
          <t>VB</t>
        </is>
      </c>
      <c r="J1392" t="inlineStr">
        <is>
          <t>20257 Altona - Hamburg Altona-Nord</t>
        </is>
      </c>
      <c r="K1392" s="5" t="n">
        <v>45326</v>
      </c>
      <c r="L1392" t="inlineStr">
        <is>
          <t>Sold</t>
        </is>
      </c>
      <c r="M1392" s="6">
        <f>HYPERLINK("https://www.kleinanzeigen.de/s-anzeige/rrd-2023-vogue-5-0-windsurf-segel/2671120138-230-26477", "Link")</f>
        <v/>
      </c>
      <c r="N1392" s="6">
        <f>HYPERLINK("C:\Projects\Kleinanzeigen-Scraper\offer_images\2671120138", "Link")</f>
        <v/>
      </c>
      <c r="O1392" t="inlineStr">
        <is>
          <t>Gerry</t>
        </is>
      </c>
      <c r="P1392" s="6">
        <f>HYPERLINK("https://www.kleinanzeigen.de/s-bestandsliste.html?userId=55957089", "Link")</f>
        <v/>
      </c>
      <c r="Q1392" s="7" t="n">
        <v>45549.57481481481</v>
      </c>
      <c r="R1392" s="3" t="inlineStr">
        <is>
          <t>356.84</t>
        </is>
      </c>
      <c r="S1392" t="inlineStr">
        <is>
          <t>Köln</t>
        </is>
      </c>
    </row>
    <row r="1393">
      <c r="A1393" s="2" t="n">
        <v>7.1</v>
      </c>
      <c r="B1393" t="inlineStr">
        <is>
          <t>Simmer Style</t>
        </is>
      </c>
      <c r="C1393" s="3" t="n">
        <v>456</v>
      </c>
      <c r="D1393" s="3" t="n">
        <v>210</v>
      </c>
      <c r="E1393" t="inlineStr"/>
      <c r="F1393" t="inlineStr"/>
      <c r="G1393" t="inlineStr">
        <is>
          <t>used</t>
        </is>
      </c>
      <c r="H1393" s="4" t="n">
        <v>170</v>
      </c>
      <c r="I1393" t="inlineStr">
        <is>
          <t>VB</t>
        </is>
      </c>
      <c r="J1393" t="inlineStr">
        <is>
          <t>12107 Berlin - Tempelhof</t>
        </is>
      </c>
      <c r="K1393" s="5" t="n">
        <v>45445</v>
      </c>
      <c r="L1393" t="inlineStr"/>
      <c r="M1393" s="6">
        <f>HYPERLINK("https://www.kleinanzeigen.de/s-anzeige/simmer-style-segel-7-1-neuwertig/2778049895-230-3407", "Link")</f>
        <v/>
      </c>
      <c r="N1393" s="6">
        <f>HYPERLINK("C:\Projects\Kleinanzeigen-Scraper\offer_images\2778049895", "Link")</f>
        <v/>
      </c>
      <c r="O1393" t="inlineStr">
        <is>
          <t>Stefan</t>
        </is>
      </c>
      <c r="P1393" s="6">
        <f>HYPERLINK("https://www.kleinanzeigen.de/s-bestandsliste.html?userId=13927841", "Link")</f>
        <v/>
      </c>
      <c r="Q1393" s="7" t="n">
        <v>45549.57479166667</v>
      </c>
      <c r="R1393" s="3" t="inlineStr">
        <is>
          <t>473.64</t>
        </is>
      </c>
      <c r="S1393" t="inlineStr">
        <is>
          <t>Köln</t>
        </is>
      </c>
    </row>
    <row r="1394">
      <c r="A1394" s="2" t="n">
        <v>4.7</v>
      </c>
      <c r="B1394" t="inlineStr">
        <is>
          <t>Severne Blade</t>
        </is>
      </c>
      <c r="C1394" s="3" t="inlineStr"/>
      <c r="D1394" s="3" t="inlineStr"/>
      <c r="E1394" t="inlineStr"/>
      <c r="F1394" t="inlineStr"/>
      <c r="G1394" t="inlineStr">
        <is>
          <t>used</t>
        </is>
      </c>
      <c r="H1394" s="4" t="n">
        <v>225</v>
      </c>
      <c r="I1394" t="inlineStr"/>
      <c r="J1394" t="inlineStr">
        <is>
          <t>44149 Dortmund - Innenstadt-West</t>
        </is>
      </c>
      <c r="K1394" s="5" t="n">
        <v>45501</v>
      </c>
      <c r="L1394" t="inlineStr">
        <is>
          <t>Sold</t>
        </is>
      </c>
      <c r="M1394" s="6">
        <f>HYPERLINK("https://www.kleinanzeigen.de/s-anzeige/severne-blade-4-7/2823483099-230-1108", "Link")</f>
        <v/>
      </c>
      <c r="N1394" s="6">
        <f>HYPERLINK("C:\Projects\Kleinanzeigen-Scraper\offer_images\2823483099", "Link")</f>
        <v/>
      </c>
      <c r="O1394" t="inlineStr">
        <is>
          <t>Chris</t>
        </is>
      </c>
      <c r="P1394" s="6">
        <f>HYPERLINK("https://www.kleinanzeigen.de/s-bestandsliste.html?userId=8426534", "Link")</f>
        <v/>
      </c>
      <c r="Q1394" s="7" t="n">
        <v>45549.57476851852</v>
      </c>
      <c r="R1394" s="3" t="inlineStr">
        <is>
          <t>70.98</t>
        </is>
      </c>
      <c r="S1394" t="inlineStr">
        <is>
          <t>Köln</t>
        </is>
      </c>
    </row>
    <row r="1395">
      <c r="A1395" s="2" t="inlineStr">
        <is>
          <t>4.7 / 5.2</t>
        </is>
      </c>
      <c r="B1395" t="inlineStr">
        <is>
          <t>Simmer Style On Shore Wave</t>
        </is>
      </c>
      <c r="C1395" s="3" t="inlineStr"/>
      <c r="D1395" s="3" t="inlineStr"/>
      <c r="E1395" t="inlineStr"/>
      <c r="F1395" t="inlineStr"/>
      <c r="G1395" t="inlineStr">
        <is>
          <t>used</t>
        </is>
      </c>
      <c r="H1395" s="4" t="n">
        <v>120</v>
      </c>
      <c r="I1395" t="inlineStr"/>
      <c r="J1395" t="inlineStr">
        <is>
          <t>23562 Schleswig-Holstein - Lübeck</t>
        </is>
      </c>
      <c r="K1395" s="5" t="n">
        <v>45431</v>
      </c>
      <c r="L1395" t="inlineStr"/>
      <c r="M1395" s="6">
        <f>HYPERLINK("https://www.kleinanzeigen.de/s-anzeige/simmer-style-on-shore-wave-4-7-5-2-segel-windsurfen/2765862032-230-423", "Link")</f>
        <v/>
      </c>
      <c r="N1395" s="6">
        <f>HYPERLINK("C:\Projects\Kleinanzeigen-Scraper\offer_images\2765862032", "Link")</f>
        <v/>
      </c>
      <c r="O1395" t="inlineStr">
        <is>
          <t>Olaf Kühnert</t>
        </is>
      </c>
      <c r="P1395" s="6">
        <f>HYPERLINK("https://www.kleinanzeigen.de/s-bestandsliste.html?userId=14979628", "Link")</f>
        <v/>
      </c>
      <c r="Q1395" s="7" t="n">
        <v>45549.57476851852</v>
      </c>
      <c r="R1395" s="3" t="inlineStr">
        <is>
          <t>410.15</t>
        </is>
      </c>
      <c r="S1395" t="inlineStr">
        <is>
          <t>Köln</t>
        </is>
      </c>
    </row>
    <row r="1396">
      <c r="A1396" s="2" t="n">
        <v>3.15</v>
      </c>
      <c r="B1396" t="inlineStr">
        <is>
          <t>Goya Banzai</t>
        </is>
      </c>
      <c r="C1396" s="3" t="n">
        <v>340</v>
      </c>
      <c r="D1396" s="3" t="inlineStr"/>
      <c r="E1396" t="inlineStr"/>
      <c r="F1396" t="inlineStr">
        <is>
          <t>2021</t>
        </is>
      </c>
      <c r="G1396" t="inlineStr">
        <is>
          <t>used</t>
        </is>
      </c>
      <c r="H1396" s="4" t="n">
        <v>300</v>
      </c>
      <c r="I1396" t="inlineStr"/>
      <c r="J1396" t="inlineStr">
        <is>
          <t>85301 Bayern - Schweitenkirchen</t>
        </is>
      </c>
      <c r="K1396" s="5" t="n">
        <v>45520</v>
      </c>
      <c r="L1396" t="inlineStr">
        <is>
          <t>Sold</t>
        </is>
      </c>
      <c r="M1396" s="6">
        <f>HYPERLINK("https://www.kleinanzeigen.de/s-anzeige/goya-banzai-3-15-2021-wavesegel-windsurf-segel-windfoil-segel/2838314476-230-5847", "Link")</f>
        <v/>
      </c>
      <c r="N1396" s="6">
        <f>HYPERLINK("C:\Projects\Kleinanzeigen-Scraper\offer_images\2838314476", "Link")</f>
        <v/>
      </c>
      <c r="O1396" t="inlineStr">
        <is>
          <t>Michael Laußer</t>
        </is>
      </c>
      <c r="P1396" s="6">
        <f>HYPERLINK("https://www.kleinanzeigen.de/s-bestandsliste.html?userId=6669985", "Link")</f>
        <v/>
      </c>
      <c r="Q1396" s="7" t="n">
        <v>45549.57474537037</v>
      </c>
      <c r="R1396" s="3" t="inlineStr">
        <is>
          <t>43.29</t>
        </is>
      </c>
      <c r="S1396" t="inlineStr">
        <is>
          <t>München</t>
        </is>
      </c>
    </row>
    <row r="1397">
      <c r="A1397" s="2" t="n">
        <v>8.699999999999999</v>
      </c>
      <c r="B1397" t="inlineStr">
        <is>
          <t>Neilpryde H2 Racing</t>
        </is>
      </c>
      <c r="C1397" s="3" t="n">
        <v>490</v>
      </c>
      <c r="D1397" s="3" t="n">
        <v>225</v>
      </c>
      <c r="E1397" t="inlineStr">
        <is>
          <t>Racing</t>
        </is>
      </c>
      <c r="F1397" t="inlineStr"/>
      <c r="G1397" t="inlineStr">
        <is>
          <t>used</t>
        </is>
      </c>
      <c r="H1397" s="4" t="n">
        <v>250</v>
      </c>
      <c r="I1397" t="inlineStr">
        <is>
          <t>VB</t>
        </is>
      </c>
      <c r="J1397" t="inlineStr">
        <is>
          <t>01109 Dresden - Hellerberge</t>
        </is>
      </c>
      <c r="K1397" s="5" t="n">
        <v>45498</v>
      </c>
      <c r="L1397" t="inlineStr">
        <is>
          <t>Sold</t>
        </is>
      </c>
      <c r="M1397" s="6">
        <f>HYPERLINK("https://www.kleinanzeigen.de/s-anzeige/neilpryde-h2-racing-8-7-surfsegel-8-7-camber/2820708944-230-24669", "Link")</f>
        <v/>
      </c>
      <c r="N1397" s="6">
        <f>HYPERLINK("C:\Projects\Kleinanzeigen-Scraper\offer_images\2820708944", "Link")</f>
        <v/>
      </c>
      <c r="O1397" t="inlineStr">
        <is>
          <t>Andreas</t>
        </is>
      </c>
      <c r="P1397" s="6">
        <f>HYPERLINK("https://www.kleinanzeigen.de/s-bestandsliste.html?userId=10879495", "Link")</f>
        <v/>
      </c>
      <c r="Q1397" s="7" t="n">
        <v>45549.57474537037</v>
      </c>
      <c r="R1397" s="3" t="inlineStr">
        <is>
          <t>366.01</t>
        </is>
      </c>
      <c r="S1397" t="inlineStr">
        <is>
          <t>München</t>
        </is>
      </c>
    </row>
    <row r="1398">
      <c r="A1398" s="2" t="n">
        <v>7.8</v>
      </c>
      <c r="B1398" t="inlineStr">
        <is>
          <t>Severne Mach 1</t>
        </is>
      </c>
      <c r="C1398" s="3" t="n">
        <v>430</v>
      </c>
      <c r="D1398" s="3" t="n">
        <v>219</v>
      </c>
      <c r="E1398" t="inlineStr"/>
      <c r="F1398" t="inlineStr"/>
      <c r="G1398" t="inlineStr">
        <is>
          <t>used</t>
        </is>
      </c>
      <c r="H1398" s="4" t="n">
        <v>420</v>
      </c>
      <c r="I1398" t="inlineStr">
        <is>
          <t>VB</t>
        </is>
      </c>
      <c r="J1398" t="inlineStr">
        <is>
          <t>46539 Nordrhein-Westfalen - Dinslaken</t>
        </is>
      </c>
      <c r="K1398" s="5" t="n">
        <v>45496</v>
      </c>
      <c r="L1398" t="inlineStr"/>
      <c r="M1398" s="6">
        <f>HYPERLINK("https://www.kleinanzeigen.de/s-anzeige/severne-mach-1-7-8-qm-windsurf-segel/2819083173-230-1855", "Link")</f>
        <v/>
      </c>
      <c r="N1398" s="6">
        <f>HYPERLINK("C:\Projects\Kleinanzeigen-Scraper\offer_images\2819083173", "Link")</f>
        <v/>
      </c>
      <c r="O1398" t="inlineStr">
        <is>
          <t>Kuhlmann</t>
        </is>
      </c>
      <c r="P1398" s="6">
        <f>HYPERLINK("https://www.kleinanzeigen.de/s-bestandsliste.html?userId=50984913", "Link")</f>
        <v/>
      </c>
      <c r="Q1398" s="7" t="n">
        <v>45549.57474537037</v>
      </c>
      <c r="R1398" s="3" t="inlineStr">
        <is>
          <t>72.34</t>
        </is>
      </c>
      <c r="S1398" t="inlineStr">
        <is>
          <t>Köln</t>
        </is>
      </c>
    </row>
    <row r="1399">
      <c r="A1399" s="2" t="n">
        <v>7.9</v>
      </c>
      <c r="B1399" t="inlineStr">
        <is>
          <t>Point 7 ACX</t>
        </is>
      </c>
      <c r="C1399" s="3" t="inlineStr"/>
      <c r="D1399" s="3" t="inlineStr"/>
      <c r="E1399" t="inlineStr"/>
      <c r="F1399" t="inlineStr">
        <is>
          <t>019</t>
        </is>
      </c>
      <c r="G1399" t="inlineStr">
        <is>
          <t>repaired</t>
        </is>
      </c>
      <c r="H1399" s="4" t="n">
        <v>260</v>
      </c>
      <c r="I1399" t="inlineStr">
        <is>
          <t>VB</t>
        </is>
      </c>
      <c r="J1399" t="inlineStr">
        <is>
          <t>10317 Berlin - Lichtenberg</t>
        </is>
      </c>
      <c r="K1399" s="5" t="n">
        <v>45515</v>
      </c>
      <c r="L1399" t="inlineStr">
        <is>
          <t>Sold</t>
        </is>
      </c>
      <c r="M1399" s="6">
        <f>HYPERLINK("https://www.kleinanzeigen.de/s-anzeige/point-7-acx-windsurf-segel-7-9-qm/2834880635-230-9684", "Link")</f>
        <v/>
      </c>
      <c r="N1399" s="6">
        <f>HYPERLINK("C:\Projects\Kleinanzeigen-Scraper\offer_images\2834880635", "Link")</f>
        <v/>
      </c>
      <c r="O1399" t="inlineStr">
        <is>
          <t>Christoph</t>
        </is>
      </c>
      <c r="P1399" s="6">
        <f>HYPERLINK("https://www.kleinanzeigen.de/s-bestandsliste.html?userId=23649160", "Link")</f>
        <v/>
      </c>
      <c r="Q1399" s="7" t="n">
        <v>45549.57474537037</v>
      </c>
      <c r="R1399" s="3" t="inlineStr">
        <is>
          <t>481.96</t>
        </is>
      </c>
      <c r="S1399" t="inlineStr">
        <is>
          <t>Köln</t>
        </is>
      </c>
    </row>
    <row r="1400">
      <c r="A1400" s="2" t="n">
        <v>3.2</v>
      </c>
      <c r="B1400" t="inlineStr">
        <is>
          <t>Gunsails Seal</t>
        </is>
      </c>
      <c r="C1400" s="3" t="inlineStr"/>
      <c r="D1400" s="3" t="n">
        <v>143</v>
      </c>
      <c r="E1400" t="inlineStr"/>
      <c r="F1400" t="inlineStr">
        <is>
          <t>2022</t>
        </is>
      </c>
      <c r="G1400" t="inlineStr">
        <is>
          <t>used</t>
        </is>
      </c>
      <c r="H1400" s="4" t="n">
        <v>235</v>
      </c>
      <c r="I1400" t="inlineStr">
        <is>
          <t>VB</t>
        </is>
      </c>
      <c r="J1400" t="inlineStr">
        <is>
          <t>55291 Rheinland-Pfalz - Saulheim</t>
        </is>
      </c>
      <c r="K1400" s="5" t="n">
        <v>45549</v>
      </c>
      <c r="L1400" t="inlineStr">
        <is>
          <t>Sold</t>
        </is>
      </c>
      <c r="M1400" s="6">
        <f>HYPERLINK("https://www.kleinanzeigen.de/s-anzeige/gunsails-gun-sails-segel-seal-3-2m-2022-top-zustand/2862841409-230-5332", "Link")</f>
        <v/>
      </c>
      <c r="N1400" s="6">
        <f>HYPERLINK("C:\Projects\Kleinanzeigen-Scraper\offer_images\2862841409", "Link")</f>
        <v/>
      </c>
      <c r="O1400" t="inlineStr">
        <is>
          <t>Michael</t>
        </is>
      </c>
      <c r="P1400" s="6">
        <f>HYPERLINK("https://www.kleinanzeigen.de/s-bestandsliste.html?userId=120338761", "Link")</f>
        <v/>
      </c>
      <c r="Q1400" s="7" t="n">
        <v>45549.5747337963</v>
      </c>
      <c r="R1400" s="3" t="inlineStr">
        <is>
          <t>97.88</t>
        </is>
      </c>
      <c r="S1400" t="inlineStr">
        <is>
          <t>Karlsruhe</t>
        </is>
      </c>
    </row>
    <row r="1401">
      <c r="A1401" s="2" t="n">
        <v>8.5</v>
      </c>
      <c r="B1401" t="inlineStr">
        <is>
          <t>Point7 AC-K</t>
        </is>
      </c>
      <c r="C1401" s="3" t="n">
        <v>4.32</v>
      </c>
      <c r="D1401" s="3" t="inlineStr"/>
      <c r="E1401" t="inlineStr"/>
      <c r="F1401" t="inlineStr">
        <is>
          <t>2020</t>
        </is>
      </c>
      <c r="G1401" t="inlineStr">
        <is>
          <t>repaired</t>
        </is>
      </c>
      <c r="H1401" s="4" t="n">
        <v>250</v>
      </c>
      <c r="I1401" t="inlineStr"/>
      <c r="J1401" t="inlineStr">
        <is>
          <t>47506 Nordrhein-Westfalen - Neukirchen-Vluyn</t>
        </is>
      </c>
      <c r="K1401" s="5" t="n">
        <v>45186</v>
      </c>
      <c r="L1401" t="inlineStr"/>
      <c r="M1401" s="6">
        <f>HYPERLINK("https://www.kleinanzeigen.de/s-anzeige/point7-ac-k-8-5-2020/2547974595-230-1128", "Link")</f>
        <v/>
      </c>
      <c r="N1401" s="6">
        <f>HYPERLINK("C:\Projects\Kleinanzeigen-Scraper\offer_images\2547974595", "Link")</f>
        <v/>
      </c>
      <c r="O1401" t="inlineStr">
        <is>
          <t>Stephan Köser</t>
        </is>
      </c>
      <c r="P1401" s="6">
        <f>HYPERLINK("https://www.kleinanzeigen.de/s-bestandsliste.html?userId=85262305", "Link")</f>
        <v/>
      </c>
      <c r="Q1401" s="7" t="n">
        <v>45549.57467592593</v>
      </c>
      <c r="R1401" s="3" t="inlineStr">
        <is>
          <t>63.19</t>
        </is>
      </c>
      <c r="S1401" t="inlineStr">
        <is>
          <t>Köln</t>
        </is>
      </c>
    </row>
    <row r="1402">
      <c r="A1402" s="2" t="n">
        <v>8.199999999999999</v>
      </c>
      <c r="B1402" t="inlineStr">
        <is>
          <t>Neilpryde Ryde</t>
        </is>
      </c>
      <c r="C1402" s="3" t="n">
        <v>492</v>
      </c>
      <c r="D1402" s="3" t="n">
        <v>218</v>
      </c>
      <c r="E1402" t="inlineStr"/>
      <c r="F1402" t="inlineStr">
        <is>
          <t>2021</t>
        </is>
      </c>
      <c r="G1402" t="inlineStr">
        <is>
          <t>used</t>
        </is>
      </c>
      <c r="H1402" s="4" t="n">
        <v>320</v>
      </c>
      <c r="I1402" t="inlineStr">
        <is>
          <t>VB</t>
        </is>
      </c>
      <c r="J1402" t="inlineStr">
        <is>
          <t>24589 Schleswig-Holstein - Nortorf</t>
        </is>
      </c>
      <c r="K1402" s="5" t="n">
        <v>45540</v>
      </c>
      <c r="L1402" t="inlineStr"/>
      <c r="M1402" s="6">
        <f>HYPERLINK("https://www.kleinanzeigen.de/s-anzeige/neuwertiges-neilpryde-neil-pryde-ryde-8-2/2854773663-230-18924", "Link")</f>
        <v/>
      </c>
      <c r="N1402" s="6">
        <f>HYPERLINK("C:\Projects\Kleinanzeigen-Scraper\offer_images\2854773663", "Link")</f>
        <v/>
      </c>
      <c r="O1402" t="inlineStr">
        <is>
          <t>Soenke Jung</t>
        </is>
      </c>
      <c r="P1402" s="6">
        <f>HYPERLINK("https://www.kleinanzeigen.de/s-bestandsliste.html?userId=13126456", "Link")</f>
        <v/>
      </c>
      <c r="Q1402" s="7" t="n">
        <v>45549.57467592593</v>
      </c>
      <c r="R1402" s="3" t="inlineStr">
        <is>
          <t>408.91</t>
        </is>
      </c>
      <c r="S1402" t="inlineStr">
        <is>
          <t>Köln</t>
        </is>
      </c>
    </row>
    <row r="1403">
      <c r="A1403" s="2" t="n">
        <v>3.5</v>
      </c>
      <c r="B1403" t="inlineStr">
        <is>
          <t>North Sails Wave Easy</t>
        </is>
      </c>
      <c r="C1403" s="3" t="inlineStr"/>
      <c r="D1403" s="3" t="inlineStr"/>
      <c r="E1403" t="inlineStr"/>
      <c r="F1403" t="inlineStr"/>
      <c r="G1403" t="inlineStr">
        <is>
          <t>used</t>
        </is>
      </c>
      <c r="H1403" s="4" t="n">
        <v>159</v>
      </c>
      <c r="I1403" t="inlineStr"/>
      <c r="J1403" t="inlineStr">
        <is>
          <t>37124 Niedersachsen - Rosdorf</t>
        </is>
      </c>
      <c r="K1403" s="5" t="n">
        <v>45549</v>
      </c>
      <c r="L1403" t="inlineStr">
        <is>
          <t>Sold</t>
        </is>
      </c>
      <c r="M1403" s="6">
        <f>HYPERLINK("https://www.kleinanzeigen.de/s-anzeige/surf-segel-north-sails-3-5-gebr-wave-easy-2710-/2813813784-230-3133", "Link")</f>
        <v/>
      </c>
      <c r="N1403" s="6">
        <f>HYPERLINK("C:\Projects\Kleinanzeigen-Scraper\offer_images\2813813784", "Link")</f>
        <v/>
      </c>
      <c r="O1403" t="inlineStr">
        <is>
          <t>No user name</t>
        </is>
      </c>
      <c r="P1403" s="6">
        <f>HYPERLINK("https://www.kleinanzeigen.deNo user link", "Link")</f>
        <v/>
      </c>
      <c r="Q1403" s="7" t="n">
        <v>45549.57465277778</v>
      </c>
      <c r="R1403" s="3" t="inlineStr">
        <is>
          <t>214.72</t>
        </is>
      </c>
      <c r="S1403" t="inlineStr">
        <is>
          <t>Köln</t>
        </is>
      </c>
    </row>
    <row r="1404">
      <c r="A1404" s="2" t="n">
        <v>5.2</v>
      </c>
      <c r="B1404" t="inlineStr">
        <is>
          <t>RRD Style Pro</t>
        </is>
      </c>
      <c r="C1404" s="3" t="n">
        <v>400</v>
      </c>
      <c r="D1404" s="3" t="n">
        <v>158</v>
      </c>
      <c r="E1404" t="inlineStr"/>
      <c r="F1404" t="inlineStr"/>
      <c r="G1404" t="inlineStr">
        <is>
          <t>new</t>
        </is>
      </c>
      <c r="H1404" s="4" t="n">
        <v>470</v>
      </c>
      <c r="I1404" t="inlineStr">
        <is>
          <t>VB</t>
        </is>
      </c>
      <c r="J1404" t="inlineStr">
        <is>
          <t>12203 Berlin - Steglitz</t>
        </is>
      </c>
      <c r="K1404" s="5" t="n">
        <v>45548</v>
      </c>
      <c r="L1404" t="inlineStr"/>
      <c r="M1404" s="6">
        <f>HYPERLINK("https://www.kleinanzeigen.de/s-anzeige/rrd-style-pro-5-2/2862145091-187-3416", "Link")</f>
        <v/>
      </c>
      <c r="N1404" s="6">
        <f>HYPERLINK("C:\Projects\Kleinanzeigen-Scraper\offer_images\2862145091", "Link")</f>
        <v/>
      </c>
      <c r="O1404" t="inlineStr">
        <is>
          <t>WindSearcher</t>
        </is>
      </c>
      <c r="P1404" s="6">
        <f>HYPERLINK("https://www.kleinanzeigen.de/s-bestandsliste.html?userId=125348188", "Link")</f>
        <v/>
      </c>
      <c r="Q1404" s="7" t="n">
        <v>45549.5746412037</v>
      </c>
      <c r="R1404" s="3" t="inlineStr">
        <is>
          <t>468.79</t>
        </is>
      </c>
      <c r="S1404" t="inlineStr">
        <is>
          <t>Köln</t>
        </is>
      </c>
    </row>
    <row r="1405">
      <c r="A1405" s="2" t="n">
        <v>5</v>
      </c>
      <c r="B1405" t="inlineStr">
        <is>
          <t>Severne Blade</t>
        </is>
      </c>
      <c r="C1405" s="3" t="n">
        <v>400</v>
      </c>
      <c r="D1405" s="3" t="inlineStr"/>
      <c r="E1405" t="inlineStr"/>
      <c r="F1405" t="inlineStr"/>
      <c r="G1405" t="inlineStr">
        <is>
          <t>new</t>
        </is>
      </c>
      <c r="H1405" s="4" t="n">
        <v>500</v>
      </c>
      <c r="I1405" t="inlineStr">
        <is>
          <t>VB</t>
        </is>
      </c>
      <c r="J1405" t="inlineStr">
        <is>
          <t>86343 Bayern - Königsbrunn</t>
        </is>
      </c>
      <c r="K1405" s="5" t="n">
        <v>45498</v>
      </c>
      <c r="L1405" t="inlineStr"/>
      <c r="M1405" s="6">
        <f>HYPERLINK("https://www.kleinanzeigen.de/s-anzeige/severne-blade-5-0/2821067349-230-7034", "Link")</f>
        <v/>
      </c>
      <c r="N1405" s="6">
        <f>HYPERLINK("C:\Projects\Kleinanzeigen-Scraper\offer_images\2821067349", "Link")</f>
        <v/>
      </c>
      <c r="O1405" t="inlineStr">
        <is>
          <t>Wolfgang Dennstädt</t>
        </is>
      </c>
      <c r="P1405" s="6">
        <f>HYPERLINK("https://www.kleinanzeigen.de/s-bestandsliste.html?userId=20340449", "Link")</f>
        <v/>
      </c>
      <c r="Q1405" s="7" t="n">
        <v>45549.57462962963</v>
      </c>
      <c r="R1405" s="3" t="inlineStr">
        <is>
          <t>52.97</t>
        </is>
      </c>
      <c r="S1405" t="inlineStr">
        <is>
          <t>München</t>
        </is>
      </c>
    </row>
    <row r="1406">
      <c r="A1406" s="2" t="n">
        <v>6.6</v>
      </c>
      <c r="B1406" t="inlineStr">
        <is>
          <t>Duotone E_Pace</t>
        </is>
      </c>
      <c r="C1406" s="3" t="n">
        <v>430</v>
      </c>
      <c r="D1406" s="3" t="inlineStr"/>
      <c r="E1406" t="inlineStr"/>
      <c r="F1406" t="inlineStr">
        <is>
          <t>2024</t>
        </is>
      </c>
      <c r="G1406" t="inlineStr">
        <is>
          <t>used</t>
        </is>
      </c>
      <c r="H1406" s="4" t="n">
        <v>850</v>
      </c>
      <c r="I1406" t="inlineStr">
        <is>
          <t>VB</t>
        </is>
      </c>
      <c r="J1406" t="inlineStr">
        <is>
          <t>23769 Fehmarn - Westfehmarn</t>
        </is>
      </c>
      <c r="K1406" s="5" t="n">
        <v>45539</v>
      </c>
      <c r="L1406" t="inlineStr">
        <is>
          <t>Sold</t>
        </is>
      </c>
      <c r="M1406" s="6">
        <f>HYPERLINK("https://www.kleinanzeigen.de/s-anzeige/duotone-e-pace-2024-ab-850-/2781257161-230-430", "Link")</f>
        <v/>
      </c>
      <c r="N1406" s="6">
        <f>HYPERLINK("C:\Projects\Kleinanzeigen-Scraper\offer_images\2781257161", "Link")</f>
        <v/>
      </c>
      <c r="O1406" t="inlineStr">
        <is>
          <t>No user name</t>
        </is>
      </c>
      <c r="P1406" s="6">
        <f>HYPERLINK("https://www.kleinanzeigen.deNo user link", "Link")</f>
        <v/>
      </c>
      <c r="Q1406" s="7" t="n">
        <v>45549.57461805556</v>
      </c>
      <c r="R1406" s="3" t="inlineStr">
        <is>
          <t>483.01</t>
        </is>
      </c>
      <c r="S1406" t="inlineStr">
        <is>
          <t>Köln</t>
        </is>
      </c>
    </row>
    <row r="1407">
      <c r="A1407" s="2" t="n">
        <v>4</v>
      </c>
      <c r="B1407" t="inlineStr">
        <is>
          <t>Simmer Style Vision</t>
        </is>
      </c>
      <c r="C1407" s="3" t="n">
        <v>381</v>
      </c>
      <c r="D1407" s="3" t="n">
        <v>150</v>
      </c>
      <c r="E1407" t="inlineStr"/>
      <c r="F1407" t="inlineStr"/>
      <c r="G1407" t="inlineStr">
        <is>
          <t>used</t>
        </is>
      </c>
      <c r="H1407" s="4" t="n">
        <v>299</v>
      </c>
      <c r="I1407" t="inlineStr"/>
      <c r="J1407" t="inlineStr">
        <is>
          <t>09111 Sachsen - Chemnitz</t>
        </is>
      </c>
      <c r="K1407" s="5" t="n">
        <v>45035</v>
      </c>
      <c r="L1407" t="inlineStr"/>
      <c r="M1407" s="6">
        <f>HYPERLINK("https://www.kleinanzeigen.de/s-anzeige/windsurf-segel-simmer-style-vision-4m-gebraucht-gut-zustand/2419208887-230-3886", "Link")</f>
        <v/>
      </c>
      <c r="N1407" s="6">
        <f>HYPERLINK("C:\Projects\Kleinanzeigen-Scraper\offer_images\2419208887", "Link")</f>
        <v/>
      </c>
      <c r="O1407" t="inlineStr">
        <is>
          <t>olaf</t>
        </is>
      </c>
      <c r="P1407" s="6">
        <f>HYPERLINK("https://www.kleinanzeigen.de/s-bestandsliste.html?userId=8857923", "Link")</f>
        <v/>
      </c>
      <c r="Q1407" s="7" t="n">
        <v>45549.57460648148</v>
      </c>
      <c r="R1407" s="3" t="inlineStr">
        <is>
          <t>315.71</t>
        </is>
      </c>
      <c r="S1407" t="inlineStr">
        <is>
          <t>München</t>
        </is>
      </c>
    </row>
    <row r="1408">
      <c r="A1408" s="2" t="n">
        <v>8.6</v>
      </c>
      <c r="B1408" t="inlineStr">
        <is>
          <t>Severne Mach 4</t>
        </is>
      </c>
      <c r="C1408" s="3" t="n">
        <v>490</v>
      </c>
      <c r="D1408" s="3" t="inlineStr"/>
      <c r="E1408" t="inlineStr"/>
      <c r="F1408" t="inlineStr"/>
      <c r="G1408" t="inlineStr">
        <is>
          <t>used</t>
        </is>
      </c>
      <c r="H1408" s="4" t="n">
        <v>360</v>
      </c>
      <c r="I1408" t="inlineStr"/>
      <c r="J1408" t="inlineStr">
        <is>
          <t>59457 Nordrhein-Westfalen - Werl</t>
        </is>
      </c>
      <c r="K1408" s="5" t="n">
        <v>45518</v>
      </c>
      <c r="L1408" t="inlineStr"/>
      <c r="M1408" s="6">
        <f>HYPERLINK("https://www.kleinanzeigen.de/s-anzeige/foil-slalom-segel-severne-mach-4-8-6qm-sehr-guter-zustand-/2836910383-230-1449", "Link")</f>
        <v/>
      </c>
      <c r="N1408" s="6">
        <f>HYPERLINK("C:\Projects\Kleinanzeigen-Scraper\offer_images\2836910383", "Link")</f>
        <v/>
      </c>
      <c r="O1408" t="inlineStr">
        <is>
          <t>Tobias</t>
        </is>
      </c>
      <c r="P1408" s="6">
        <f>HYPERLINK("https://www.kleinanzeigen.de/s-bestandsliste.html?userId=18436771", "Link")</f>
        <v/>
      </c>
      <c r="Q1408" s="7" t="n">
        <v>45549.5745949074</v>
      </c>
      <c r="R1408" s="3" t="inlineStr">
        <is>
          <t>95.02</t>
        </is>
      </c>
      <c r="S1408" t="inlineStr">
        <is>
          <t>Köln</t>
        </is>
      </c>
    </row>
    <row r="1409">
      <c r="A1409" s="2" t="n">
        <v>3.7</v>
      </c>
      <c r="B1409" t="inlineStr">
        <is>
          <t>Sailloft Curve</t>
        </is>
      </c>
      <c r="C1409" s="3" t="inlineStr"/>
      <c r="D1409" s="3" t="inlineStr"/>
      <c r="E1409" t="inlineStr"/>
      <c r="F1409" t="inlineStr"/>
      <c r="G1409" t="inlineStr">
        <is>
          <t>used</t>
        </is>
      </c>
      <c r="H1409" s="4" t="n">
        <v>150</v>
      </c>
      <c r="I1409" t="inlineStr"/>
      <c r="J1409" t="inlineStr">
        <is>
          <t>21444 Niedersachsen - Vierhöfen</t>
        </is>
      </c>
      <c r="K1409" s="5" t="n">
        <v>45532</v>
      </c>
      <c r="L1409" t="inlineStr"/>
      <c r="M1409" s="6">
        <f>HYPERLINK("https://www.kleinanzeigen.de/s-anzeige/sailloft-curve-3-7/2848685390-230-3219", "Link")</f>
        <v/>
      </c>
      <c r="N1409" s="6">
        <f>HYPERLINK("C:\Projects\Kleinanzeigen-Scraper\offer_images\2848685390", "Link")</f>
        <v/>
      </c>
      <c r="O1409" t="inlineStr">
        <is>
          <t>Simone</t>
        </is>
      </c>
      <c r="P1409" s="6">
        <f>HYPERLINK("https://www.kleinanzeigen.de/s-bestandsliste.html?userId=134310151", "Link")</f>
        <v/>
      </c>
      <c r="Q1409" s="7" t="n">
        <v>45549.57458333333</v>
      </c>
      <c r="R1409" s="3" t="inlineStr">
        <is>
          <t>342.04</t>
        </is>
      </c>
      <c r="S1409" t="inlineStr">
        <is>
          <t>Köln</t>
        </is>
      </c>
    </row>
    <row r="1410">
      <c r="A1410" s="2" t="n">
        <v>5</v>
      </c>
      <c r="B1410" t="inlineStr">
        <is>
          <t>Neilpryde RAF Vortex</t>
        </is>
      </c>
      <c r="C1410" s="3" t="n">
        <v>4.2</v>
      </c>
      <c r="D1410" s="3" t="n">
        <v>1.75</v>
      </c>
      <c r="E1410" t="inlineStr"/>
      <c r="F1410" t="inlineStr"/>
      <c r="G1410" t="inlineStr">
        <is>
          <t>used</t>
        </is>
      </c>
      <c r="H1410" s="4" t="n">
        <v>90</v>
      </c>
      <c r="I1410" t="inlineStr"/>
      <c r="J1410" t="inlineStr">
        <is>
          <t>14532 Brandenburg - Kleinmachnow</t>
        </is>
      </c>
      <c r="K1410" s="5" t="n">
        <v>45494</v>
      </c>
      <c r="L1410" t="inlineStr">
        <is>
          <t>Sold</t>
        </is>
      </c>
      <c r="M1410" s="6">
        <f>HYPERLINK("https://www.kleinanzeigen.de/s-anzeige/surfsegel-5-0-neilpryde-raf-vortex-/2817340459-230-7775", "Link")</f>
        <v/>
      </c>
      <c r="N1410" s="6">
        <f>HYPERLINK("C:\Projects\Kleinanzeigen-Scraper\offer_images\2817340459", "Link")</f>
        <v/>
      </c>
      <c r="O1410" t="inlineStr">
        <is>
          <t>Michaela</t>
        </is>
      </c>
      <c r="P1410" s="6">
        <f>HYPERLINK("https://www.kleinanzeigen.de/s-bestandsliste.html?userId=74330775", "Link")</f>
        <v/>
      </c>
      <c r="Q1410" s="7" t="n">
        <v>45549.57458333333</v>
      </c>
      <c r="R1410" s="3" t="inlineStr">
        <is>
          <t>458.23</t>
        </is>
      </c>
      <c r="S1410" t="inlineStr">
        <is>
          <t>Köln</t>
        </is>
      </c>
    </row>
    <row r="1411">
      <c r="A1411" s="2" t="n">
        <v>4.8</v>
      </c>
      <c r="B1411" t="inlineStr">
        <is>
          <t>NEILPRYDE Wizard Pro</t>
        </is>
      </c>
      <c r="C1411" s="3" t="inlineStr"/>
      <c r="D1411" s="3" t="inlineStr"/>
      <c r="E1411" t="inlineStr"/>
      <c r="F1411" t="inlineStr">
        <is>
          <t>2023</t>
        </is>
      </c>
      <c r="G1411" t="inlineStr">
        <is>
          <t>new</t>
        </is>
      </c>
      <c r="H1411" s="4" t="n">
        <v>449</v>
      </c>
      <c r="I1411" t="inlineStr">
        <is>
          <t>VB</t>
        </is>
      </c>
      <c r="J1411" t="inlineStr">
        <is>
          <t>82319 Bayern - Starnberg</t>
        </is>
      </c>
      <c r="K1411" s="5" t="n">
        <v>45547</v>
      </c>
      <c r="L1411" t="inlineStr"/>
      <c r="M1411" s="6">
        <f>HYPERLINK("https://www.kleinanzeigen.de/s-anzeige/neilpryde-wizard-pro-4-8-top-zustand/2787925450-230-5525", "Link")</f>
        <v/>
      </c>
      <c r="N1411" s="6">
        <f>HYPERLINK("C:\Projects\Kleinanzeigen-Scraper\offer_images\2787925450", "Link")</f>
        <v/>
      </c>
      <c r="O1411" t="inlineStr">
        <is>
          <t>No user name</t>
        </is>
      </c>
      <c r="P1411" s="6">
        <f>HYPERLINK("https://www.kleinanzeigen.deNo user link", "Link")</f>
        <v/>
      </c>
      <c r="Q1411" s="7" t="n">
        <v>45549.57457175926</v>
      </c>
      <c r="R1411" s="3" t="inlineStr">
        <is>
          <t>23.17</t>
        </is>
      </c>
      <c r="S1411" t="inlineStr">
        <is>
          <t>München</t>
        </is>
      </c>
    </row>
    <row r="1412">
      <c r="A1412" s="2" t="n">
        <v>7.5</v>
      </c>
      <c r="B1412" t="inlineStr">
        <is>
          <t>North Sting</t>
        </is>
      </c>
      <c r="C1412" s="3" t="n">
        <v>4.55</v>
      </c>
      <c r="D1412" s="3" t="n">
        <v>2.1</v>
      </c>
      <c r="E1412" t="inlineStr"/>
      <c r="F1412" t="inlineStr"/>
      <c r="G1412" t="inlineStr">
        <is>
          <t>used</t>
        </is>
      </c>
      <c r="H1412" s="4" t="n">
        <v>25</v>
      </c>
      <c r="I1412" t="inlineStr"/>
      <c r="J1412" t="inlineStr">
        <is>
          <t>24118 Kiel - Ravensberg-Brunswik-Düsternbrook</t>
        </is>
      </c>
      <c r="K1412" s="5" t="n">
        <v>45542</v>
      </c>
      <c r="L1412" t="inlineStr">
        <is>
          <t>Sold</t>
        </is>
      </c>
      <c r="M1412" s="6">
        <f>HYPERLINK("https://www.kleinanzeigen.de/s-anzeige/segel-north-sting-7-5/2856163362-230-704", "Link")</f>
        <v/>
      </c>
      <c r="N1412" s="6">
        <f>HYPERLINK("C:\Projects\Kleinanzeigen-Scraper\offer_images\2856163362", "Link")</f>
        <v/>
      </c>
      <c r="O1412" t="inlineStr">
        <is>
          <t>Sarah</t>
        </is>
      </c>
      <c r="P1412" s="6">
        <f>HYPERLINK("https://www.kleinanzeigen.de/s-bestandsliste.html?userId=9962094", "Link")</f>
        <v/>
      </c>
      <c r="Q1412" s="7" t="n">
        <v>45549.57456018519</v>
      </c>
      <c r="R1412" s="3" t="inlineStr">
        <is>
          <t>434.29</t>
        </is>
      </c>
      <c r="S1412" t="inlineStr">
        <is>
          <t>Köln</t>
        </is>
      </c>
    </row>
    <row r="1413">
      <c r="A1413" s="2" t="n">
        <v>6.2</v>
      </c>
      <c r="B1413" t="inlineStr">
        <is>
          <t>Neilpryde Ryde HD</t>
        </is>
      </c>
      <c r="C1413" s="3" t="n">
        <v>430</v>
      </c>
      <c r="D1413" s="3" t="n">
        <v>184</v>
      </c>
      <c r="E1413" t="inlineStr"/>
      <c r="F1413" t="inlineStr">
        <is>
          <t>2022</t>
        </is>
      </c>
      <c r="G1413" t="inlineStr">
        <is>
          <t>used</t>
        </is>
      </c>
      <c r="H1413" s="4" t="n">
        <v>320</v>
      </c>
      <c r="I1413" t="inlineStr">
        <is>
          <t>VB</t>
        </is>
      </c>
      <c r="J1413" t="inlineStr">
        <is>
          <t>24589 Schleswig-Holstein - Nortorf</t>
        </is>
      </c>
      <c r="K1413" s="5" t="n">
        <v>45538</v>
      </c>
      <c r="L1413" t="inlineStr"/>
      <c r="M1413" s="6">
        <f>HYPERLINK("https://www.kleinanzeigen.de/s-anzeige/neuwertiges-neilpryde-ryde-hd-6-2-2022-segel/2853462323-230-18924", "Link")</f>
        <v/>
      </c>
      <c r="N1413" s="6">
        <f>HYPERLINK("C:\Projects\Kleinanzeigen-Scraper\offer_images\2853462323", "Link")</f>
        <v/>
      </c>
      <c r="O1413" t="inlineStr">
        <is>
          <t>Soenke Jung</t>
        </is>
      </c>
      <c r="P1413" s="6">
        <f>HYPERLINK("https://www.kleinanzeigen.de/s-bestandsliste.html?userId=13126456", "Link")</f>
        <v/>
      </c>
      <c r="Q1413" s="7" t="n">
        <v>45549.57454861111</v>
      </c>
      <c r="R1413" s="3" t="inlineStr">
        <is>
          <t>408.91</t>
        </is>
      </c>
      <c r="S1413" t="inlineStr">
        <is>
          <t>Köln</t>
        </is>
      </c>
    </row>
    <row r="1414">
      <c r="A1414" s="2" t="n">
        <v>4.5</v>
      </c>
      <c r="B1414" t="inlineStr">
        <is>
          <t>Goya Fringe</t>
        </is>
      </c>
      <c r="C1414" s="3" t="inlineStr"/>
      <c r="D1414" s="3" t="inlineStr"/>
      <c r="E1414" t="inlineStr"/>
      <c r="F1414" t="inlineStr">
        <is>
          <t>2016</t>
        </is>
      </c>
      <c r="G1414" t="inlineStr">
        <is>
          <t>used</t>
        </is>
      </c>
      <c r="H1414" s="4" t="n">
        <v>170</v>
      </c>
      <c r="I1414" t="inlineStr"/>
      <c r="J1414" t="inlineStr">
        <is>
          <t>22085 Hamburg-Nord - Hamburg Uhlenhorst</t>
        </is>
      </c>
      <c r="K1414" s="5" t="n">
        <v>45339</v>
      </c>
      <c r="L1414" t="inlineStr"/>
      <c r="M1414" s="6">
        <f>HYPERLINK("https://www.kleinanzeigen.de/s-anzeige/goya-fringe-4-5-aus-2016/2681743215-230-9486", "Link")</f>
        <v/>
      </c>
      <c r="N1414" s="6">
        <f>HYPERLINK("C:\Projects\Kleinanzeigen-Scraper\offer_images\2681743215", "Link")</f>
        <v/>
      </c>
      <c r="O1414" t="inlineStr">
        <is>
          <t>Oliver</t>
        </is>
      </c>
      <c r="P1414" s="6">
        <f>HYPERLINK("https://www.kleinanzeigen.de/s-bestandsliste.html?userId=18682648", "Link")</f>
        <v/>
      </c>
      <c r="Q1414" s="7" t="n">
        <v>45549.57454861111</v>
      </c>
      <c r="R1414" s="3" t="inlineStr">
        <is>
          <t>359.41</t>
        </is>
      </c>
      <c r="S1414" t="inlineStr">
        <is>
          <t>Köln</t>
        </is>
      </c>
    </row>
    <row r="1415">
      <c r="A1415" s="2" t="n">
        <v>6.4</v>
      </c>
      <c r="B1415" t="inlineStr">
        <is>
          <t>Point 7 ACK</t>
        </is>
      </c>
      <c r="C1415" s="3" t="inlineStr"/>
      <c r="D1415" s="3" t="inlineStr"/>
      <c r="E1415" t="inlineStr"/>
      <c r="F1415" t="inlineStr"/>
      <c r="G1415" t="inlineStr">
        <is>
          <t>used</t>
        </is>
      </c>
      <c r="H1415" s="4" t="n">
        <v>200</v>
      </c>
      <c r="I1415" t="inlineStr"/>
      <c r="J1415" t="inlineStr">
        <is>
          <t>82467 Bayern - Garmisch-Partenkirchen</t>
        </is>
      </c>
      <c r="K1415" s="5" t="n">
        <v>45504</v>
      </c>
      <c r="L1415" t="inlineStr">
        <is>
          <t>Sold</t>
        </is>
      </c>
      <c r="M1415" s="6">
        <f>HYPERLINK("https://www.kleinanzeigen.de/s-anzeige/windsurfsegel-point-7-ack-6-4/2825664272-230-6338", "Link")</f>
        <v/>
      </c>
      <c r="N1415" s="6">
        <f>HYPERLINK("C:\Projects\Kleinanzeigen-Scraper\offer_images\2825664272", "Link")</f>
        <v/>
      </c>
      <c r="O1415" t="inlineStr">
        <is>
          <t>Stephan</t>
        </is>
      </c>
      <c r="P1415" s="6">
        <f>HYPERLINK("https://www.kleinanzeigen.de/s-bestandsliste.html?userId=24549656", "Link")</f>
        <v/>
      </c>
      <c r="Q1415" s="7" t="n">
        <v>45549.57453703704</v>
      </c>
      <c r="R1415" s="3" t="inlineStr">
        <is>
          <t>80.76</t>
        </is>
      </c>
      <c r="S1415" t="inlineStr">
        <is>
          <t>München</t>
        </is>
      </c>
    </row>
    <row r="1416">
      <c r="A1416" s="2" t="n">
        <v>5.2</v>
      </c>
      <c r="B1416" t="inlineStr">
        <is>
          <t>Severne Freek</t>
        </is>
      </c>
      <c r="C1416" s="3" t="inlineStr"/>
      <c r="D1416" s="3" t="inlineStr"/>
      <c r="E1416" t="inlineStr"/>
      <c r="F1416" t="inlineStr">
        <is>
          <t>2021</t>
        </is>
      </c>
      <c r="G1416" t="inlineStr">
        <is>
          <t>used</t>
        </is>
      </c>
      <c r="H1416" s="4" t="n">
        <v>250</v>
      </c>
      <c r="I1416" t="inlineStr">
        <is>
          <t>VB</t>
        </is>
      </c>
      <c r="J1416" t="inlineStr">
        <is>
          <t>44225 Dortmund - Brünninghausen</t>
        </is>
      </c>
      <c r="K1416" s="5" t="n">
        <v>45520</v>
      </c>
      <c r="L1416" t="inlineStr"/>
      <c r="M1416" s="6">
        <f>HYPERLINK("https://www.kleinanzeigen.de/s-anzeige/severne-freek-2021-5-2/2837916802-230-28112", "Link")</f>
        <v/>
      </c>
      <c r="N1416" s="6">
        <f>HYPERLINK("C:\Projects\Kleinanzeigen-Scraper\offer_images\2837916802", "Link")</f>
        <v/>
      </c>
      <c r="O1416" t="inlineStr">
        <is>
          <t>Roberta Jendretzke</t>
        </is>
      </c>
      <c r="P1416" s="6">
        <f>HYPERLINK("https://www.kleinanzeigen.de/s-bestandsliste.html?userId=77501373", "Link")</f>
        <v/>
      </c>
      <c r="Q1416" s="7" t="n">
        <v>45549.57453703704</v>
      </c>
      <c r="R1416" s="3" t="inlineStr">
        <is>
          <t>68.92</t>
        </is>
      </c>
      <c r="S1416" t="inlineStr">
        <is>
          <t>Köln</t>
        </is>
      </c>
    </row>
    <row r="1417">
      <c r="A1417" s="2" t="n">
        <v>5.6</v>
      </c>
      <c r="B1417" t="inlineStr">
        <is>
          <t>Fanatic</t>
        </is>
      </c>
      <c r="C1417" s="3" t="n">
        <v>470</v>
      </c>
      <c r="D1417" s="3" t="n">
        <v>190</v>
      </c>
      <c r="E1417" t="inlineStr"/>
      <c r="F1417" t="inlineStr"/>
      <c r="G1417" t="inlineStr"/>
      <c r="H1417" s="4" t="n">
        <v>10</v>
      </c>
      <c r="I1417" t="inlineStr">
        <is>
          <t>VB</t>
        </is>
      </c>
      <c r="J1417" t="inlineStr">
        <is>
          <t>30966 Niedersachsen - Hemmingen</t>
        </is>
      </c>
      <c r="K1417" s="5" t="n">
        <v>45508</v>
      </c>
      <c r="L1417" t="inlineStr">
        <is>
          <t>Sold</t>
        </is>
      </c>
      <c r="M1417" s="6">
        <f>HYPERLINK("https://www.kleinanzeigen.de/s-anzeige/fanatic-windsurfsegel-5-6qm/2828948482-230-2899", "Link")</f>
        <v/>
      </c>
      <c r="N1417" s="6">
        <f>HYPERLINK("C:\Projects\Kleinanzeigen-Scraper\offer_images\2828948482", "Link")</f>
        <v/>
      </c>
      <c r="O1417" t="inlineStr">
        <is>
          <t>W. Strache</t>
        </is>
      </c>
      <c r="P1417" s="6">
        <f>HYPERLINK("https://www.kleinanzeigen.de/s-bestandsliste.html?userId=73069328", "Link")</f>
        <v/>
      </c>
      <c r="Q1417" s="7" t="n">
        <v>45549.57451388889</v>
      </c>
      <c r="R1417" s="3" t="inlineStr">
        <is>
          <t>244.01</t>
        </is>
      </c>
      <c r="S1417" t="inlineStr">
        <is>
          <t>Köln</t>
        </is>
      </c>
    </row>
    <row r="1418">
      <c r="A1418" s="2" t="n">
        <v>5.3</v>
      </c>
      <c r="B1418" t="inlineStr">
        <is>
          <t>Simmer Onshore Retro</t>
        </is>
      </c>
      <c r="C1418" s="3" t="n">
        <v>430</v>
      </c>
      <c r="D1418" s="3" t="n">
        <v>175</v>
      </c>
      <c r="E1418" t="inlineStr"/>
      <c r="F1418" t="inlineStr"/>
      <c r="G1418" t="inlineStr"/>
      <c r="H1418" s="4" t="n">
        <v>100</v>
      </c>
      <c r="I1418" t="inlineStr">
        <is>
          <t>VB</t>
        </is>
      </c>
      <c r="J1418" t="inlineStr">
        <is>
          <t>29683 Niedersachsen - Bad Fallingbostel</t>
        </is>
      </c>
      <c r="K1418" s="5" t="n">
        <v>45505</v>
      </c>
      <c r="L1418" t="inlineStr"/>
      <c r="M1418" s="6">
        <f>HYPERLINK("https://www.kleinanzeigen.de/s-anzeige/windsurfsegel-simmer-onshore-retro-5-3/2826284720-230-14379", "Link")</f>
        <v/>
      </c>
      <c r="N1418" s="6">
        <f>HYPERLINK("C:\Projects\Kleinanzeigen-Scraper\offer_images\2826284720", "Link")</f>
        <v/>
      </c>
      <c r="O1418" t="inlineStr">
        <is>
          <t>Rosemann / Boehnke</t>
        </is>
      </c>
      <c r="P1418" s="6">
        <f>HYPERLINK("https://www.kleinanzeigen.de/s-bestandsliste.html?userId=28218288", "Link")</f>
        <v/>
      </c>
      <c r="Q1418" s="7" t="n">
        <v>45549.57451388889</v>
      </c>
      <c r="R1418" s="3" t="inlineStr">
        <is>
          <t>288.57</t>
        </is>
      </c>
      <c r="S1418" t="inlineStr">
        <is>
          <t>Köln</t>
        </is>
      </c>
    </row>
    <row r="1419">
      <c r="A1419" s="2" t="n">
        <v>7</v>
      </c>
      <c r="B1419" t="inlineStr">
        <is>
          <t>North Nova</t>
        </is>
      </c>
      <c r="C1419" s="3" t="inlineStr"/>
      <c r="D1419" s="3" t="inlineStr"/>
      <c r="E1419" t="inlineStr">
        <is>
          <t>Light Wind</t>
        </is>
      </c>
      <c r="F1419" t="inlineStr">
        <is>
          <t>2023</t>
        </is>
      </c>
      <c r="G1419" t="inlineStr">
        <is>
          <t>used, repaired</t>
        </is>
      </c>
      <c r="H1419" s="4" t="n">
        <v>366</v>
      </c>
      <c r="I1419" t="inlineStr"/>
      <c r="J1419" t="inlineStr">
        <is>
          <t>10115 Berlin - Mitte</t>
        </is>
      </c>
      <c r="K1419" s="5" t="n">
        <v>45542</v>
      </c>
      <c r="L1419" t="inlineStr">
        <is>
          <t>Sold</t>
        </is>
      </c>
      <c r="M1419" s="6">
        <f>HYPERLINK("https://www.kleinanzeigen.de/s-anzeige/north-nova-light-wind-lw-7-0m-2023-wing-leichtwind-einsteiger/2856578720-230-9668", "Link")</f>
        <v/>
      </c>
      <c r="N1419" s="6">
        <f>HYPERLINK("C:\Projects\Kleinanzeigen-Scraper\offer_images\2856578720", "Link")</f>
        <v/>
      </c>
      <c r="O1419" t="inlineStr">
        <is>
          <t>Ralf Rodemann</t>
        </is>
      </c>
      <c r="P1419" s="6">
        <f>HYPERLINK("https://www.kleinanzeigen.de/s-bestandsliste.html?userId=6657896", "Link")</f>
        <v/>
      </c>
      <c r="Q1419" s="7" t="n">
        <v>45549.57450231481</v>
      </c>
      <c r="R1419" s="3" t="inlineStr">
        <is>
          <t>476.33</t>
        </is>
      </c>
      <c r="S1419" t="inlineStr">
        <is>
          <t>Köln</t>
        </is>
      </c>
    </row>
    <row r="1420">
      <c r="A1420" s="2" t="n">
        <v>5.5</v>
      </c>
      <c r="B1420" t="inlineStr">
        <is>
          <t>Goya Fringe X Pro</t>
        </is>
      </c>
      <c r="C1420" s="3" t="inlineStr"/>
      <c r="D1420" s="3" t="inlineStr"/>
      <c r="E1420" t="inlineStr"/>
      <c r="F1420" t="inlineStr"/>
      <c r="G1420" t="inlineStr">
        <is>
          <t>new</t>
        </is>
      </c>
      <c r="H1420" s="4" t="n">
        <v>350</v>
      </c>
      <c r="I1420" t="inlineStr">
        <is>
          <t>VB</t>
        </is>
      </c>
      <c r="J1420" t="inlineStr">
        <is>
          <t>84095 Kr. Landshut - Furth</t>
        </is>
      </c>
      <c r="K1420" s="5" t="n">
        <v>45438</v>
      </c>
      <c r="L1420" t="inlineStr"/>
      <c r="M1420" s="6">
        <f>HYPERLINK("https://www.kleinanzeigen.de/s-anzeige/goya-fringe-x-pro-5-5qm-top-zustand-windsurfsegel/2772060131-230-6398", "Link")</f>
        <v/>
      </c>
      <c r="N1420" s="6">
        <f>HYPERLINK("C:\Projects\Kleinanzeigen-Scraper\offer_images\2772060131", "Link")</f>
        <v/>
      </c>
      <c r="O1420" t="inlineStr">
        <is>
          <t>Niklas</t>
        </is>
      </c>
      <c r="P1420" s="6">
        <f>HYPERLINK("https://www.kleinanzeigen.de/s-bestandsliste.html?userId=22205576", "Link")</f>
        <v/>
      </c>
      <c r="Q1420" s="7" t="n">
        <v>45549.57450231481</v>
      </c>
      <c r="R1420" s="3" t="inlineStr">
        <is>
          <t>60.37</t>
        </is>
      </c>
      <c r="S1420" t="inlineStr">
        <is>
          <t>München</t>
        </is>
      </c>
    </row>
    <row r="1421">
      <c r="A1421" s="2" t="n">
        <v>4.2</v>
      </c>
      <c r="B1421" t="inlineStr">
        <is>
          <t>Gun Sails Transwave</t>
        </is>
      </c>
      <c r="C1421" s="3" t="inlineStr"/>
      <c r="D1421" s="3" t="inlineStr"/>
      <c r="E1421" t="inlineStr"/>
      <c r="F1421" t="inlineStr"/>
      <c r="G1421" t="inlineStr">
        <is>
          <t>used</t>
        </is>
      </c>
      <c r="H1421" s="4" t="n">
        <v>100</v>
      </c>
      <c r="I1421" t="inlineStr"/>
      <c r="J1421" t="inlineStr">
        <is>
          <t>31608 Niedersachsen - Marklohe</t>
        </is>
      </c>
      <c r="K1421" s="5" t="n">
        <v>45471</v>
      </c>
      <c r="L1421" t="inlineStr">
        <is>
          <t>Sold</t>
        </is>
      </c>
      <c r="M1421" s="6">
        <f>HYPERLINK("https://www.kleinanzeigen.de/s-anzeige/gun-sails-4-2qm-transwave-surfsegel/2799255992-230-2530", "Link")</f>
        <v/>
      </c>
      <c r="N1421" s="6">
        <f>HYPERLINK("C:\Projects\Kleinanzeigen-Scraper\offer_images\2799255992", "Link")</f>
        <v/>
      </c>
      <c r="O1421" t="inlineStr">
        <is>
          <t>Mirko Sievers</t>
        </is>
      </c>
      <c r="P1421" s="6">
        <f>HYPERLINK("https://www.kleinanzeigen.de/s-bestandsliste.html?userId=73245877", "Link")</f>
        <v/>
      </c>
      <c r="Q1421" s="7" t="n">
        <v>45549.57447916667</v>
      </c>
      <c r="R1421" s="3" t="inlineStr">
        <is>
          <t>243.74</t>
        </is>
      </c>
      <c r="S1421" t="inlineStr">
        <is>
          <t>Köln</t>
        </is>
      </c>
    </row>
    <row r="1422">
      <c r="A1422" s="2" t="n">
        <v>9</v>
      </c>
      <c r="B1422" t="inlineStr">
        <is>
          <t>Point 7 ACX</t>
        </is>
      </c>
      <c r="C1422" s="3" t="n">
        <v>480</v>
      </c>
      <c r="D1422" s="3" t="n">
        <v>223</v>
      </c>
      <c r="E1422" t="inlineStr">
        <is>
          <t>Freerace</t>
        </is>
      </c>
      <c r="F1422" t="inlineStr"/>
      <c r="G1422" t="inlineStr">
        <is>
          <t>repaired</t>
        </is>
      </c>
      <c r="H1422" s="4" t="n">
        <v>135</v>
      </c>
      <c r="I1422" t="inlineStr"/>
      <c r="J1422" t="inlineStr">
        <is>
          <t>28203 Östliche Vorstadt - Steintor</t>
        </is>
      </c>
      <c r="K1422" s="5" t="n">
        <v>45545</v>
      </c>
      <c r="L1422" t="inlineStr"/>
      <c r="M1422" s="6">
        <f>HYPERLINK("https://www.kleinanzeigen.de/s-anzeige/point-7-acx-freerace-no-cam-segel-9-0-m-/2859487321-230-13508", "Link")</f>
        <v/>
      </c>
      <c r="N1422" s="6">
        <f>HYPERLINK("C:\Projects\Kleinanzeigen-Scraper\offer_images\2859487321", "Link")</f>
        <v/>
      </c>
      <c r="O1422" t="inlineStr">
        <is>
          <t>Christoph</t>
        </is>
      </c>
      <c r="P1422" s="6">
        <f>HYPERLINK("https://www.kleinanzeigen.de/s-bestandsliste.html?userId=7872153", "Link")</f>
        <v/>
      </c>
      <c r="Q1422" s="7" t="n">
        <v>45549.57447916667</v>
      </c>
      <c r="R1422" s="3" t="inlineStr">
        <is>
          <t>269.80</t>
        </is>
      </c>
      <c r="S1422" t="inlineStr">
        <is>
          <t>Köln</t>
        </is>
      </c>
    </row>
    <row r="1423">
      <c r="A1423" s="2" t="n">
        <v>7</v>
      </c>
      <c r="B1423" t="inlineStr">
        <is>
          <t>Vandal Addict</t>
        </is>
      </c>
      <c r="C1423" s="3" t="n">
        <v>460</v>
      </c>
      <c r="D1423" s="3" t="n">
        <v>209</v>
      </c>
      <c r="E1423" t="inlineStr"/>
      <c r="F1423" t="inlineStr"/>
      <c r="G1423" t="inlineStr"/>
      <c r="H1423" s="4" t="n">
        <v>70</v>
      </c>
      <c r="I1423" t="inlineStr"/>
      <c r="J1423" t="inlineStr">
        <is>
          <t>07929 Thüringen - Saalburg-Ebersdorf</t>
        </is>
      </c>
      <c r="K1423" s="5" t="n">
        <v>45434</v>
      </c>
      <c r="L1423" t="inlineStr"/>
      <c r="M1423" s="6">
        <f>HYPERLINK("https://www.kleinanzeigen.de/s-anzeige/windsurf-segel-vandal-addict-7-0/2768578424-230-3591", "Link")</f>
        <v/>
      </c>
      <c r="N1423" s="6">
        <f>HYPERLINK("C:\Projects\Kleinanzeigen-Scraper\offer_images\2768578424", "Link")</f>
        <v/>
      </c>
      <c r="O1423" t="inlineStr">
        <is>
          <t>Andreas</t>
        </is>
      </c>
      <c r="P1423" s="6">
        <f>HYPERLINK("https://www.kleinanzeigen.de/s-bestandsliste.html?userId=22315660", "Link")</f>
        <v/>
      </c>
      <c r="Q1423" s="7" t="n">
        <v>45549.57445601852</v>
      </c>
      <c r="R1423" s="3" t="inlineStr">
        <is>
          <t>261.20</t>
        </is>
      </c>
      <c r="S1423" t="inlineStr">
        <is>
          <t>München</t>
        </is>
      </c>
    </row>
    <row r="1424">
      <c r="A1424" s="2" t="n">
        <v>3.7</v>
      </c>
      <c r="B1424" t="inlineStr">
        <is>
          <t>Duotone SuperHero</t>
        </is>
      </c>
      <c r="C1424" s="3" t="inlineStr"/>
      <c r="D1424" s="3" t="inlineStr"/>
      <c r="E1424" t="inlineStr"/>
      <c r="F1424" t="inlineStr">
        <is>
          <t>2023</t>
        </is>
      </c>
      <c r="G1424" t="inlineStr">
        <is>
          <t>new</t>
        </is>
      </c>
      <c r="H1424" s="4" t="n">
        <v>410</v>
      </c>
      <c r="I1424" t="inlineStr"/>
      <c r="J1424" t="inlineStr">
        <is>
          <t>22607 Altona - Hamburg Groß Flottbek</t>
        </is>
      </c>
      <c r="K1424" s="5" t="n">
        <v>45543</v>
      </c>
      <c r="L1424" t="inlineStr">
        <is>
          <t>Sold</t>
        </is>
      </c>
      <c r="M1424" s="6">
        <f>HYPERLINK("https://www.kleinanzeigen.de/s-anzeige/duotone-superhero-3-7-2023/2857395184-230-9500", "Link")</f>
        <v/>
      </c>
      <c r="N1424" s="6">
        <f>HYPERLINK("C:\Projects\Kleinanzeigen-Scraper\offer_images\2857395184", "Link")</f>
        <v/>
      </c>
      <c r="O1424" t="inlineStr">
        <is>
          <t>Anton</t>
        </is>
      </c>
      <c r="P1424" s="6">
        <f>HYPERLINK("https://www.kleinanzeigen.de/s-bestandsliste.html?userId=17826480", "Link")</f>
        <v/>
      </c>
      <c r="Q1424" s="7" t="n">
        <v>45549.57445601852</v>
      </c>
      <c r="R1424" s="3" t="inlineStr">
        <is>
          <t>354.01</t>
        </is>
      </c>
      <c r="S1424" t="inlineStr">
        <is>
          <t>Köln</t>
        </is>
      </c>
    </row>
    <row r="1425">
      <c r="A1425" s="2" t="n">
        <v>7</v>
      </c>
      <c r="B1425" t="inlineStr">
        <is>
          <t>Naish Noa IV</t>
        </is>
      </c>
      <c r="C1425" s="3" t="inlineStr"/>
      <c r="D1425" s="3" t="inlineStr"/>
      <c r="E1425" t="inlineStr"/>
      <c r="F1425" t="inlineStr"/>
      <c r="G1425" t="inlineStr">
        <is>
          <t>used</t>
        </is>
      </c>
      <c r="H1425" s="4" t="n">
        <v>50</v>
      </c>
      <c r="I1425" t="inlineStr">
        <is>
          <t>VB</t>
        </is>
      </c>
      <c r="J1425" t="inlineStr">
        <is>
          <t>41540 Nordrhein-Westfalen - Dormagen</t>
        </is>
      </c>
      <c r="K1425" s="5" t="n">
        <v>45528</v>
      </c>
      <c r="L1425" t="inlineStr">
        <is>
          <t>Sold</t>
        </is>
      </c>
      <c r="M1425" s="6">
        <f>HYPERLINK("https://www.kleinanzeigen.de/s-anzeige/naish-sails-noa-iv-7-0-qm/2844777305-230-1881", "Link")</f>
        <v/>
      </c>
      <c r="N1425" s="6">
        <f>HYPERLINK("C:\Projects\Kleinanzeigen-Scraper\offer_images\2844777305", "Link")</f>
        <v/>
      </c>
      <c r="O1425" t="inlineStr">
        <is>
          <t>Björn Schenk</t>
        </is>
      </c>
      <c r="P1425" s="6">
        <f>HYPERLINK("https://www.kleinanzeigen.de/s-bestandsliste.html?userId=25301127", "Link")</f>
        <v/>
      </c>
      <c r="Q1425" s="7" t="n">
        <v>45549.57443287037</v>
      </c>
      <c r="R1425" s="3" t="inlineStr">
        <is>
          <t>19.12</t>
        </is>
      </c>
      <c r="S1425" t="inlineStr">
        <is>
          <t>Köln</t>
        </is>
      </c>
    </row>
    <row r="1426">
      <c r="A1426" s="2" t="n">
        <v>6</v>
      </c>
      <c r="B1426" t="inlineStr">
        <is>
          <t>Duotone Rebel SLS</t>
        </is>
      </c>
      <c r="C1426" s="3" t="inlineStr"/>
      <c r="D1426" s="3" t="inlineStr"/>
      <c r="E1426" t="inlineStr"/>
      <c r="F1426" t="inlineStr">
        <is>
          <t>2024</t>
        </is>
      </c>
      <c r="G1426" t="inlineStr">
        <is>
          <t>new</t>
        </is>
      </c>
      <c r="H1426" s="4" t="n">
        <v>1.85</v>
      </c>
      <c r="I1426" t="inlineStr"/>
      <c r="J1426" t="inlineStr">
        <is>
          <t>10827 Berlin - Schöneberg</t>
        </is>
      </c>
      <c r="K1426" s="5" t="n">
        <v>45543</v>
      </c>
      <c r="L1426" t="inlineStr">
        <is>
          <t>Sold</t>
        </is>
      </c>
      <c r="M1426" s="6">
        <f>HYPERLINK("https://www.kleinanzeigen.de/s-anzeige/fabrikneu-duotone-rebel-sls-2024-6m2-coral-vanilla/2857042886-230-3447", "Link")</f>
        <v/>
      </c>
      <c r="N1426" s="6">
        <f>HYPERLINK("C:\Projects\Kleinanzeigen-Scraper\offer_images\2857042886", "Link")</f>
        <v/>
      </c>
      <c r="O1426" t="inlineStr">
        <is>
          <t>Magda</t>
        </is>
      </c>
      <c r="P1426" s="6">
        <f>HYPERLINK("https://www.kleinanzeigen.de/s-bestandsliste.html?userId=84281727", "Link")</f>
        <v/>
      </c>
      <c r="Q1426" s="7" t="n">
        <v>45549.57443287037</v>
      </c>
      <c r="R1426" s="3" t="inlineStr">
        <is>
          <t>473.04</t>
        </is>
      </c>
      <c r="S1426" t="inlineStr">
        <is>
          <t>Köln</t>
        </is>
      </c>
    </row>
    <row r="1427">
      <c r="A1427" s="2" t="n">
        <v>4.7</v>
      </c>
      <c r="B1427" t="inlineStr">
        <is>
          <t>Naish Boxer</t>
        </is>
      </c>
      <c r="C1427" s="3" t="n">
        <v>370</v>
      </c>
      <c r="D1427" s="3" t="n">
        <v>155</v>
      </c>
      <c r="E1427" t="inlineStr"/>
      <c r="F1427" t="inlineStr"/>
      <c r="G1427" t="inlineStr">
        <is>
          <t>repaired</t>
        </is>
      </c>
      <c r="H1427" s="4" t="n">
        <v>60</v>
      </c>
      <c r="I1427" t="inlineStr"/>
      <c r="J1427" t="inlineStr">
        <is>
          <t>20359 Hamburg-Mitte - Hamburg St. Pauli</t>
        </is>
      </c>
      <c r="K1427" s="5" t="n">
        <v>45491</v>
      </c>
      <c r="L1427" t="inlineStr">
        <is>
          <t>Sold</t>
        </is>
      </c>
      <c r="M1427" s="6">
        <f>HYPERLINK("https://www.kleinanzeigen.de/s-anzeige/windsurf-segel-naish-boxer-4-7/2815114348-230-9495", "Link")</f>
        <v/>
      </c>
      <c r="N1427" s="6">
        <f>HYPERLINK("C:\Projects\Kleinanzeigen-Scraper\offer_images\2815114348", "Link")</f>
        <v/>
      </c>
      <c r="O1427" t="inlineStr">
        <is>
          <t>Niklas</t>
        </is>
      </c>
      <c r="P1427" s="6">
        <f>HYPERLINK("https://www.kleinanzeigen.de/s-bestandsliste.html?userId=11198381", "Link")</f>
        <v/>
      </c>
      <c r="Q1427" s="7" t="n">
        <v>45549.57443287037</v>
      </c>
      <c r="R1427" s="3" t="inlineStr">
        <is>
          <t>355.45</t>
        </is>
      </c>
      <c r="S1427" t="inlineStr">
        <is>
          <t>Köln</t>
        </is>
      </c>
    </row>
    <row r="1428">
      <c r="A1428" s="2" t="n">
        <v>7.8</v>
      </c>
      <c r="B1428" t="inlineStr">
        <is>
          <t>Gun Sails Vector</t>
        </is>
      </c>
      <c r="C1428" s="3" t="inlineStr"/>
      <c r="D1428" s="3" t="inlineStr"/>
      <c r="E1428" t="inlineStr">
        <is>
          <t>Freerace</t>
        </is>
      </c>
      <c r="F1428" t="inlineStr"/>
      <c r="G1428" t="inlineStr">
        <is>
          <t>used</t>
        </is>
      </c>
      <c r="H1428" s="4" t="n">
        <v>405</v>
      </c>
      <c r="I1428" t="inlineStr">
        <is>
          <t>VB</t>
        </is>
      </c>
      <c r="J1428" t="inlineStr">
        <is>
          <t>18439 Mecklenburg-Vorpommern - Stralsund</t>
        </is>
      </c>
      <c r="K1428" s="5" t="n">
        <v>45347</v>
      </c>
      <c r="L1428" t="inlineStr"/>
      <c r="M1428" s="6">
        <f>HYPERLINK("https://www.kleinanzeigen.de/s-anzeige/gun-sails-vector-7-8-windsurfen-segel/2689393810-230-135", "Link")</f>
        <v/>
      </c>
      <c r="N1428" s="6">
        <f>HYPERLINK("C:\Projects\Kleinanzeigen-Scraper\offer_images\2689393810", "Link")</f>
        <v/>
      </c>
      <c r="O1428" t="inlineStr">
        <is>
          <t>Lehmann</t>
        </is>
      </c>
      <c r="P1428" s="6">
        <f>HYPERLINK("https://www.kleinanzeigen.de/s-bestandsliste.html?userId=18098925", "Link")</f>
        <v/>
      </c>
      <c r="Q1428" s="7" t="n">
        <v>45549.57440972222</v>
      </c>
      <c r="R1428" s="3" t="inlineStr">
        <is>
          <t>557.94</t>
        </is>
      </c>
      <c r="S1428" t="inlineStr">
        <is>
          <t>Köln</t>
        </is>
      </c>
    </row>
    <row r="1429">
      <c r="A1429" s="2" t="n">
        <v>5</v>
      </c>
      <c r="B1429" t="inlineStr">
        <is>
          <t>Neilpryde Combat Wave</t>
        </is>
      </c>
      <c r="C1429" s="3" t="n">
        <v>4.53</v>
      </c>
      <c r="D1429" s="3" t="n">
        <v>1.68</v>
      </c>
      <c r="E1429" t="inlineStr"/>
      <c r="F1429" t="inlineStr"/>
      <c r="G1429" t="inlineStr">
        <is>
          <t>used</t>
        </is>
      </c>
      <c r="H1429" s="4" t="n">
        <v>1</v>
      </c>
      <c r="I1429" t="inlineStr">
        <is>
          <t>VB</t>
        </is>
      </c>
      <c r="J1429" t="inlineStr">
        <is>
          <t>38102 Niedersachsen - Braunschweig</t>
        </is>
      </c>
      <c r="K1429" s="5" t="n">
        <v>45534</v>
      </c>
      <c r="L1429" t="inlineStr"/>
      <c r="M1429" s="6">
        <f>HYPERLINK("https://www.kleinanzeigen.de/s-anzeige/surfsegel-windsurfing-gun-north-sails-neilpryde-art-2/2850248272-230-2460", "Link")</f>
        <v/>
      </c>
      <c r="N1429" s="6">
        <f>HYPERLINK("C:\Projects\Kleinanzeigen-Scraper\offer_images\2850248272", "Link")</f>
        <v/>
      </c>
      <c r="O1429" t="inlineStr">
        <is>
          <t>Ole</t>
        </is>
      </c>
      <c r="P1429" s="6">
        <f>HYPERLINK("https://www.kleinanzeigen.de/s-bestandsliste.html?userId=10971033", "Link")</f>
        <v/>
      </c>
      <c r="Q1429" s="7" t="n">
        <v>45549.57438657407</v>
      </c>
      <c r="R1429" s="3" t="inlineStr">
        <is>
          <t>287.38</t>
        </is>
      </c>
      <c r="S1429" t="inlineStr">
        <is>
          <t>Köln</t>
        </is>
      </c>
    </row>
    <row r="1430">
      <c r="A1430" s="2" t="n">
        <v>7</v>
      </c>
      <c r="B1430" t="inlineStr">
        <is>
          <t>Ezzy Sails Hydra Pro</t>
        </is>
      </c>
      <c r="C1430" s="3" t="n">
        <v>430</v>
      </c>
      <c r="D1430" s="3" t="inlineStr">
        <is>
          <t>184-198</t>
        </is>
      </c>
      <c r="E1430" t="inlineStr"/>
      <c r="F1430" t="inlineStr"/>
      <c r="G1430" t="inlineStr">
        <is>
          <t>used</t>
        </is>
      </c>
      <c r="H1430" s="4" t="n">
        <v>250</v>
      </c>
      <c r="I1430" t="inlineStr">
        <is>
          <t>VB</t>
        </is>
      </c>
      <c r="J1430" t="inlineStr">
        <is>
          <t>40629 Düsseldorf - Gerresheim</t>
        </is>
      </c>
      <c r="K1430" s="5" t="n">
        <v>45368</v>
      </c>
      <c r="L1430" t="inlineStr">
        <is>
          <t>Sold</t>
        </is>
      </c>
      <c r="M1430" s="6">
        <f>HYPERLINK("https://www.kleinanzeigen.de/s-anzeige/ezzy-sails-hydra-pro-7-0/2709059524-230-16744", "Link")</f>
        <v/>
      </c>
      <c r="N1430" s="6">
        <f>HYPERLINK("C:\Projects\Kleinanzeigen-Scraper\offer_images\2709059524", "Link")</f>
        <v/>
      </c>
      <c r="O1430" t="inlineStr">
        <is>
          <t>Fritz Seemann</t>
        </is>
      </c>
      <c r="P1430" s="6">
        <f>HYPERLINK("https://www.kleinanzeigen.de/s-bestandsliste.html?userId=30859239", "Link")</f>
        <v/>
      </c>
      <c r="Q1430" s="7" t="n">
        <v>45549.57436342593</v>
      </c>
      <c r="R1430" s="3" t="inlineStr">
        <is>
          <t>35.52</t>
        </is>
      </c>
      <c r="S1430" t="inlineStr">
        <is>
          <t>Köln</t>
        </is>
      </c>
    </row>
    <row r="1431">
      <c r="A1431" s="2" t="n">
        <v>5.7</v>
      </c>
      <c r="B1431" t="inlineStr">
        <is>
          <t>North Sails</t>
        </is>
      </c>
      <c r="C1431" s="3" t="inlineStr"/>
      <c r="D1431" s="3" t="inlineStr"/>
      <c r="E1431" t="inlineStr"/>
      <c r="F1431" t="inlineStr"/>
      <c r="G1431" t="inlineStr">
        <is>
          <t>used</t>
        </is>
      </c>
      <c r="H1431" s="4" t="n">
        <v>30</v>
      </c>
      <c r="I1431" t="inlineStr"/>
      <c r="J1431" t="inlineStr">
        <is>
          <t>34298 Hessen - Helsa</t>
        </is>
      </c>
      <c r="K1431" s="5" t="n">
        <v>45547</v>
      </c>
      <c r="L1431" t="inlineStr">
        <is>
          <t>Sold</t>
        </is>
      </c>
      <c r="M1431" s="6">
        <f>HYPERLINK("https://www.kleinanzeigen.de/s-anzeige/north-sails-segel-5-7/2861186910-230-4592", "Link")</f>
        <v/>
      </c>
      <c r="N1431" s="6">
        <f>HYPERLINK("C:\Projects\Kleinanzeigen-Scraper\offer_images\2861186910", "Link")</f>
        <v/>
      </c>
      <c r="O1431" t="inlineStr">
        <is>
          <t>Schröder</t>
        </is>
      </c>
      <c r="P1431" s="6">
        <f>HYPERLINK("https://www.kleinanzeigen.de/s-bestandsliste.html?userId=2523504", "Link")</f>
        <v/>
      </c>
      <c r="Q1431" s="7" t="n">
        <v>45549.57435185185</v>
      </c>
      <c r="R1431" s="3" t="inlineStr">
        <is>
          <t>194.05</t>
        </is>
      </c>
      <c r="S1431" t="inlineStr">
        <is>
          <t>Köln</t>
        </is>
      </c>
    </row>
    <row r="1432">
      <c r="A1432" s="2" t="n">
        <v>8</v>
      </c>
      <c r="B1432" t="inlineStr">
        <is>
          <t>Neilpryde Evo Flight</t>
        </is>
      </c>
      <c r="C1432" s="3" t="inlineStr"/>
      <c r="D1432" s="3" t="inlineStr"/>
      <c r="E1432" t="inlineStr"/>
      <c r="F1432" t="inlineStr"/>
      <c r="G1432" t="inlineStr">
        <is>
          <t>used</t>
        </is>
      </c>
      <c r="H1432" s="4" t="n">
        <v>190</v>
      </c>
      <c r="I1432" t="inlineStr"/>
      <c r="J1432" t="inlineStr">
        <is>
          <t>67346 Rheinland-Pfalz - Speyer</t>
        </is>
      </c>
      <c r="K1432" s="5" t="n">
        <v>45517</v>
      </c>
      <c r="L1432" t="inlineStr"/>
      <c r="M1432" s="6">
        <f>HYPERLINK("https://www.kleinanzeigen.de/s-anzeige/neilpryde-evo-flight-8-qm-foil-segel/2835955337-230-5365", "Link")</f>
        <v/>
      </c>
      <c r="N1432" s="6">
        <f>HYPERLINK("C:\Projects\Kleinanzeigen-Scraper\offer_images\2835955337", "Link")</f>
        <v/>
      </c>
      <c r="O1432" t="inlineStr">
        <is>
          <t>D.B</t>
        </is>
      </c>
      <c r="P1432" s="6">
        <f>HYPERLINK("https://www.kleinanzeigen.de/s-bestandsliste.html?userId=30398929", "Link")</f>
        <v/>
      </c>
      <c r="Q1432" s="7" t="n">
        <v>45549.57435185185</v>
      </c>
      <c r="R1432" s="3" t="inlineStr">
        <is>
          <t>35.76</t>
        </is>
      </c>
      <c r="S1432" t="inlineStr">
        <is>
          <t>Karlsruhe</t>
        </is>
      </c>
    </row>
    <row r="1433">
      <c r="A1433" s="2" t="n">
        <v>4</v>
      </c>
      <c r="B1433" t="inlineStr">
        <is>
          <t>Severne S1-Pro</t>
        </is>
      </c>
      <c r="C1433" s="3" t="inlineStr"/>
      <c r="D1433" s="3" t="n">
        <v>152</v>
      </c>
      <c r="E1433" t="inlineStr"/>
      <c r="F1433" t="inlineStr"/>
      <c r="G1433" t="inlineStr">
        <is>
          <t>used</t>
        </is>
      </c>
      <c r="H1433" s="4" t="n">
        <v>280</v>
      </c>
      <c r="I1433" t="inlineStr">
        <is>
          <t>VB</t>
        </is>
      </c>
      <c r="J1433" t="inlineStr">
        <is>
          <t>10409 Pankow - Prenzlauer Berg</t>
        </is>
      </c>
      <c r="K1433" s="5" t="n">
        <v>45519</v>
      </c>
      <c r="L1433" t="inlineStr"/>
      <c r="M1433" s="6">
        <f>HYPERLINK("https://www.kleinanzeigen.de/s-anzeige/windsurf-segel-severne-s1-pro-4-0-qm-guter-zustand/2837874502-230-3494", "Link")</f>
        <v/>
      </c>
      <c r="N1433" s="6">
        <f>HYPERLINK("C:\Projects\Kleinanzeigen-Scraper\offer_images\2837874502", "Link")</f>
        <v/>
      </c>
      <c r="O1433" t="inlineStr">
        <is>
          <t>Sascha</t>
        </is>
      </c>
      <c r="P1433" s="6">
        <f>HYPERLINK("https://www.kleinanzeigen.de/s-bestandsliste.html?userId=29498547", "Link")</f>
        <v/>
      </c>
      <c r="Q1433" s="7" t="n">
        <v>45549.57430555556</v>
      </c>
      <c r="R1433" s="3" t="inlineStr">
        <is>
          <t>480.79</t>
        </is>
      </c>
      <c r="S1433" t="inlineStr">
        <is>
          <t>Köln</t>
        </is>
      </c>
    </row>
    <row r="1434">
      <c r="A1434" s="2" t="n">
        <v>4</v>
      </c>
      <c r="B1434" t="inlineStr">
        <is>
          <t>Severne Blade</t>
        </is>
      </c>
      <c r="C1434" s="3" t="inlineStr"/>
      <c r="D1434" s="3" t="inlineStr"/>
      <c r="E1434" t="inlineStr"/>
      <c r="F1434" t="inlineStr"/>
      <c r="G1434" t="inlineStr">
        <is>
          <t>used</t>
        </is>
      </c>
      <c r="H1434" s="4" t="n">
        <v>109</v>
      </c>
      <c r="I1434" t="inlineStr"/>
      <c r="J1434" t="inlineStr">
        <is>
          <t>58313 Nordrhein-Westfalen - Herdecke</t>
        </is>
      </c>
      <c r="K1434" s="5" t="n">
        <v>45545</v>
      </c>
      <c r="L1434" t="inlineStr"/>
      <c r="M1434" s="6">
        <f>HYPERLINK("https://www.kleinanzeigen.de/s-anzeige/severne-blade-segel-surfen-4-0-qm-optional-mit-mast/2859295793-230-1423", "Link")</f>
        <v/>
      </c>
      <c r="N1434" s="6">
        <f>HYPERLINK("C:\Projects\Kleinanzeigen-Scraper\offer_images\2859295793", "Link")</f>
        <v/>
      </c>
      <c r="O1434" t="inlineStr">
        <is>
          <t>mrsvital</t>
        </is>
      </c>
      <c r="P1434" s="6">
        <f>HYPERLINK("https://www.kleinanzeigen.de/s-bestandsliste.html?userId=23640088", "Link")</f>
        <v/>
      </c>
      <c r="Q1434" s="7" t="n">
        <v>45549.57430555556</v>
      </c>
      <c r="R1434" s="3" t="inlineStr">
        <is>
          <t>62.57</t>
        </is>
      </c>
      <c r="S1434" t="inlineStr">
        <is>
          <t>Köln</t>
        </is>
      </c>
    </row>
    <row r="1435">
      <c r="A1435" s="2" t="n">
        <v>6.7</v>
      </c>
      <c r="B1435" t="inlineStr">
        <is>
          <t>North X-Over</t>
        </is>
      </c>
      <c r="C1435" s="3" t="n">
        <v>430</v>
      </c>
      <c r="D1435" s="3" t="inlineStr"/>
      <c r="E1435" t="inlineStr">
        <is>
          <t>Wave</t>
        </is>
      </c>
      <c r="F1435" t="inlineStr">
        <is>
          <t>2023</t>
        </is>
      </c>
      <c r="G1435" t="inlineStr">
        <is>
          <t>new</t>
        </is>
      </c>
      <c r="H1435" s="4" t="n">
        <v>650</v>
      </c>
      <c r="I1435" t="inlineStr">
        <is>
          <t>VB</t>
        </is>
      </c>
      <c r="J1435" t="inlineStr">
        <is>
          <t>26465 Niedersachsen - Langeoog</t>
        </is>
      </c>
      <c r="K1435" s="5" t="n">
        <v>45542</v>
      </c>
      <c r="L1435" t="inlineStr">
        <is>
          <t>Sold</t>
        </is>
      </c>
      <c r="M1435" s="6">
        <f>HYPERLINK("https://www.kleinanzeigen.de/s-anzeige/north-segel-x-over-2023-6-7/2856511104-230-2480", "Link")</f>
        <v/>
      </c>
      <c r="N1435" s="6">
        <f>HYPERLINK("C:\Projects\Kleinanzeigen-Scraper\offer_images\2856511104", "Link")</f>
        <v/>
      </c>
      <c r="O1435" t="inlineStr">
        <is>
          <t>Tidens Surfhuus</t>
        </is>
      </c>
      <c r="P1435" s="6">
        <f>HYPERLINK("https://www.kleinanzeigen.de/s-bestandsliste.html?userId=122521264", "Link")</f>
        <v/>
      </c>
      <c r="Q1435" s="7" t="n">
        <v>45549.57430555556</v>
      </c>
      <c r="R1435" s="3" t="inlineStr">
        <is>
          <t>314.45</t>
        </is>
      </c>
      <c r="S1435" t="inlineStr">
        <is>
          <t>Köln</t>
        </is>
      </c>
    </row>
    <row r="1436">
      <c r="A1436" s="2" t="n">
        <v>4.4</v>
      </c>
      <c r="B1436" t="inlineStr">
        <is>
          <t>Simmer Style ACE</t>
        </is>
      </c>
      <c r="C1436" s="3" t="inlineStr"/>
      <c r="D1436" s="3" t="inlineStr"/>
      <c r="E1436" t="inlineStr">
        <is>
          <t>Freestyle</t>
        </is>
      </c>
      <c r="F1436" t="inlineStr">
        <is>
          <t>2022</t>
        </is>
      </c>
      <c r="G1436" t="inlineStr">
        <is>
          <t>used</t>
        </is>
      </c>
      <c r="H1436" s="4" t="n">
        <v>200</v>
      </c>
      <c r="I1436" t="inlineStr"/>
      <c r="J1436" t="inlineStr">
        <is>
          <t>55743 Rheinland-Pfalz - Fischbach</t>
        </is>
      </c>
      <c r="K1436" s="5" t="n">
        <v>45493</v>
      </c>
      <c r="L1436" t="inlineStr">
        <is>
          <t>Sold</t>
        </is>
      </c>
      <c r="M1436" s="6">
        <f>HYPERLINK("https://www.kleinanzeigen.de/s-anzeige/simmer-style-ace/2816643526-230-22090", "Link")</f>
        <v/>
      </c>
      <c r="N1436" s="6">
        <f>HYPERLINK("C:\Projects\Kleinanzeigen-Scraper\offer_images\2816643526", "Link")</f>
        <v/>
      </c>
      <c r="O1436" t="inlineStr">
        <is>
          <t>Franz</t>
        </is>
      </c>
      <c r="P1436" s="6">
        <f>HYPERLINK("https://www.kleinanzeigen.de/s-bestandsliste.html?userId=142643173", "Link")</f>
        <v/>
      </c>
      <c r="Q1436" s="7" t="n">
        <v>45549.5742824074</v>
      </c>
      <c r="R1436" s="3" t="inlineStr">
        <is>
          <t>109.37</t>
        </is>
      </c>
      <c r="S1436" t="inlineStr">
        <is>
          <t>Karlsruhe</t>
        </is>
      </c>
    </row>
    <row r="1437">
      <c r="A1437" s="2" t="n">
        <v>6.3</v>
      </c>
      <c r="B1437" t="inlineStr">
        <is>
          <t>Sailloft Ultimate</t>
        </is>
      </c>
      <c r="C1437" s="3" t="inlineStr"/>
      <c r="D1437" s="3" t="inlineStr"/>
      <c r="E1437" t="inlineStr"/>
      <c r="F1437" t="inlineStr"/>
      <c r="G1437" t="inlineStr">
        <is>
          <t>used</t>
        </is>
      </c>
      <c r="H1437" s="4" t="n">
        <v>290</v>
      </c>
      <c r="I1437" t="inlineStr">
        <is>
          <t>VB</t>
        </is>
      </c>
      <c r="J1437" t="inlineStr">
        <is>
          <t>22045 Wandsbek - Hamburg Tonndorf</t>
        </is>
      </c>
      <c r="K1437" s="5" t="n">
        <v>45545</v>
      </c>
      <c r="L1437" t="inlineStr"/>
      <c r="M1437" s="6">
        <f>HYPERLINK("https://www.kleinanzeigen.de/s-anzeige/sailloft-ultimate-6-3-slalom-segel/2859074062-230-17135", "Link")</f>
        <v/>
      </c>
      <c r="N1437" s="6">
        <f>HYPERLINK("C:\Projects\Kleinanzeigen-Scraper\offer_images\2859074062", "Link")</f>
        <v/>
      </c>
      <c r="O1437" t="inlineStr">
        <is>
          <t>Nadia J.</t>
        </is>
      </c>
      <c r="P1437" s="6">
        <f>HYPERLINK("https://www.kleinanzeigen.de/s-bestandsliste.html?userId=79389459", "Link")</f>
        <v/>
      </c>
      <c r="Q1437" s="7" t="n">
        <v>45549.57425925926</v>
      </c>
      <c r="R1437" s="3" t="inlineStr">
        <is>
          <t>364.91</t>
        </is>
      </c>
      <c r="S1437" t="inlineStr">
        <is>
          <t>Köln</t>
        </is>
      </c>
    </row>
    <row r="1438">
      <c r="A1438" s="2" t="n">
        <v>6.7</v>
      </c>
      <c r="B1438" t="inlineStr">
        <is>
          <t>Neilpryde Fusion HD</t>
        </is>
      </c>
      <c r="C1438" s="3" t="inlineStr"/>
      <c r="D1438" s="3" t="inlineStr"/>
      <c r="E1438" t="inlineStr"/>
      <c r="F1438" t="inlineStr"/>
      <c r="G1438" t="inlineStr">
        <is>
          <t>used</t>
        </is>
      </c>
      <c r="H1438" s="4" t="n">
        <v>180</v>
      </c>
      <c r="I1438" t="inlineStr"/>
      <c r="J1438" t="inlineStr">
        <is>
          <t>78048 Baden-Württemberg - Villingen-Schwenningen</t>
        </is>
      </c>
      <c r="K1438" s="5" t="n">
        <v>45471</v>
      </c>
      <c r="L1438" t="inlineStr">
        <is>
          <t>Sold</t>
        </is>
      </c>
      <c r="M1438" s="6">
        <f>HYPERLINK("https://www.kleinanzeigen.de/s-anzeige/neilpryde-fusion-hd-6-7/2799281945-230-9098", "Link")</f>
        <v/>
      </c>
      <c r="N1438" s="6">
        <f>HYPERLINK("C:\Projects\Kleinanzeigen-Scraper\offer_images\2799281945", "Link")</f>
        <v/>
      </c>
      <c r="O1438" t="inlineStr">
        <is>
          <t>Jens Hofmann</t>
        </is>
      </c>
      <c r="P1438" s="6">
        <f>HYPERLINK("https://www.kleinanzeigen.de/s-bestandsliste.html?userId=34186097", "Link")</f>
        <v/>
      </c>
      <c r="Q1438" s="7" t="n">
        <v>45549.57425925926</v>
      </c>
      <c r="R1438" s="3" t="inlineStr">
        <is>
          <t>30.52</t>
        </is>
      </c>
      <c r="S1438" t="inlineStr">
        <is>
          <t>Bonndorf</t>
        </is>
      </c>
    </row>
    <row r="1439">
      <c r="A1439" s="2" t="n">
        <v>4.8</v>
      </c>
      <c r="B1439" t="inlineStr">
        <is>
          <t>Severne Freek</t>
        </is>
      </c>
      <c r="C1439" s="3" t="inlineStr"/>
      <c r="D1439" s="3" t="inlineStr"/>
      <c r="E1439" t="inlineStr"/>
      <c r="F1439" t="inlineStr">
        <is>
          <t>2018</t>
        </is>
      </c>
      <c r="G1439" t="inlineStr">
        <is>
          <t>repaired</t>
        </is>
      </c>
      <c r="H1439" s="4" t="n">
        <v>75</v>
      </c>
      <c r="I1439" t="inlineStr">
        <is>
          <t>VB</t>
        </is>
      </c>
      <c r="J1439" t="inlineStr">
        <is>
          <t>82327 Bayern - Tutzing</t>
        </is>
      </c>
      <c r="K1439" s="5" t="n">
        <v>45508</v>
      </c>
      <c r="L1439" t="inlineStr">
        <is>
          <t>Sold</t>
        </is>
      </c>
      <c r="M1439" s="6">
        <f>HYPERLINK("https://www.kleinanzeigen.de/s-anzeige/severne-freek-4-8qm-2018/2828955338-230-5545", "Link")</f>
        <v/>
      </c>
      <c r="N1439" s="6">
        <f>HYPERLINK("C:\Projects\Kleinanzeigen-Scraper\offer_images\2828955338", "Link")</f>
        <v/>
      </c>
      <c r="O1439" t="inlineStr">
        <is>
          <t>Privat</t>
        </is>
      </c>
      <c r="P1439" s="6">
        <f>HYPERLINK("https://www.kleinanzeigen.de/s-bestandsliste.html?userId=29917054", "Link")</f>
        <v/>
      </c>
      <c r="Q1439" s="7" t="n">
        <v>45549.57424768519</v>
      </c>
      <c r="R1439" s="3" t="inlineStr">
        <is>
          <t>35.71</t>
        </is>
      </c>
      <c r="S1439" t="inlineStr">
        <is>
          <t>München</t>
        </is>
      </c>
    </row>
    <row r="1440">
      <c r="A1440" s="2" t="n">
        <v>5</v>
      </c>
      <c r="B1440" t="inlineStr">
        <is>
          <t>Naish Slash</t>
        </is>
      </c>
      <c r="C1440" s="3" t="inlineStr"/>
      <c r="D1440" s="3" t="inlineStr"/>
      <c r="E1440" t="inlineStr">
        <is>
          <t>Wave, Allrounder</t>
        </is>
      </c>
      <c r="F1440" t="inlineStr"/>
      <c r="G1440" t="inlineStr">
        <is>
          <t>used, repaired</t>
        </is>
      </c>
      <c r="H1440" s="4" t="n">
        <v>290</v>
      </c>
      <c r="I1440" t="inlineStr"/>
      <c r="J1440" t="inlineStr">
        <is>
          <t>24340 Schleswig-Holstein - Eckernförde</t>
        </is>
      </c>
      <c r="K1440" s="5" t="n">
        <v>45542</v>
      </c>
      <c r="L1440" t="inlineStr"/>
      <c r="M1440" s="6">
        <f>HYPERLINK("https://www.kleinanzeigen.de/s-anzeige/naish-slash-5-qm-inkl-naish-bar-top-/2856640343-230-13234", "Link")</f>
        <v/>
      </c>
      <c r="N1440" s="6">
        <f>HYPERLINK("C:\Projects\Kleinanzeigen-Scraper\offer_images\2856640343", "Link")</f>
        <v/>
      </c>
      <c r="O1440" t="inlineStr">
        <is>
          <t>FA</t>
        </is>
      </c>
      <c r="P1440" s="6">
        <f>HYPERLINK("https://www.kleinanzeigen.de/s-bestandsliste.html?userId=19147413", "Link")</f>
        <v/>
      </c>
      <c r="Q1440" s="7" t="n">
        <v>45549.57422453703</v>
      </c>
      <c r="R1440" s="3" t="inlineStr">
        <is>
          <t>434.69</t>
        </is>
      </c>
      <c r="S1440" t="inlineStr">
        <is>
          <t>Köln</t>
        </is>
      </c>
    </row>
    <row r="1441">
      <c r="A1441" s="2" t="n">
        <v>9.5</v>
      </c>
      <c r="B1441" t="inlineStr">
        <is>
          <t>Sailloft Traction</t>
        </is>
      </c>
      <c r="C1441" s="3" t="inlineStr"/>
      <c r="D1441" s="3" t="inlineStr"/>
      <c r="E1441" t="inlineStr"/>
      <c r="F1441" t="inlineStr"/>
      <c r="G1441" t="inlineStr">
        <is>
          <t>used</t>
        </is>
      </c>
      <c r="H1441" s="4" t="n">
        <v>120</v>
      </c>
      <c r="I1441" t="inlineStr"/>
      <c r="J1441" t="inlineStr">
        <is>
          <t>34281 Hessen - Gudensberg</t>
        </is>
      </c>
      <c r="K1441" s="5" t="n">
        <v>45381</v>
      </c>
      <c r="L1441" t="inlineStr">
        <is>
          <t>Sold</t>
        </is>
      </c>
      <c r="M1441" s="6">
        <f>HYPERLINK("https://www.kleinanzeigen.de/s-anzeige/sailloft-traction-9-5/2721006876-230-4423", "Link")</f>
        <v/>
      </c>
      <c r="N1441" s="6">
        <f>HYPERLINK("C:\Projects\Kleinanzeigen-Scraper\offer_images\2721006876", "Link")</f>
        <v/>
      </c>
      <c r="O1441" t="inlineStr">
        <is>
          <t>Wolfgang Krieg</t>
        </is>
      </c>
      <c r="P1441" s="6">
        <f>HYPERLINK("https://www.kleinanzeigen.de/s-bestandsliste.html?userId=2044499", "Link")</f>
        <v/>
      </c>
      <c r="Q1441" s="7" t="n">
        <v>45549.57422453703</v>
      </c>
      <c r="R1441" s="3" t="inlineStr">
        <is>
          <t>170.54</t>
        </is>
      </c>
      <c r="S1441" t="inlineStr">
        <is>
          <t>Köln</t>
        </is>
      </c>
    </row>
    <row r="1442">
      <c r="A1442" s="2" t="n">
        <v>5</v>
      </c>
      <c r="B1442" t="inlineStr">
        <is>
          <t>Simmer Icon</t>
        </is>
      </c>
      <c r="C1442" s="3" t="n">
        <v>400</v>
      </c>
      <c r="D1442" s="3" t="n">
        <v>169</v>
      </c>
      <c r="E1442" t="inlineStr"/>
      <c r="F1442" t="inlineStr"/>
      <c r="G1442" t="inlineStr">
        <is>
          <t>used</t>
        </is>
      </c>
      <c r="H1442" s="4" t="n">
        <v>180</v>
      </c>
      <c r="I1442" t="inlineStr">
        <is>
          <t>VB</t>
        </is>
      </c>
      <c r="J1442" t="inlineStr">
        <is>
          <t>97440 Bayern - Werneck</t>
        </is>
      </c>
      <c r="K1442" s="5" t="n">
        <v>45366</v>
      </c>
      <c r="L1442" t="inlineStr"/>
      <c r="M1442" s="6">
        <f>HYPERLINK("https://www.kleinanzeigen.de/s-anzeige/simmer-icon-5-0-qm/2706924328-230-6863", "Link")</f>
        <v/>
      </c>
      <c r="N1442" s="6">
        <f>HYPERLINK("C:\Projects\Kleinanzeigen-Scraper\offer_images\2706924328", "Link")</f>
        <v/>
      </c>
      <c r="O1442" t="inlineStr">
        <is>
          <t>Daniela Groß</t>
        </is>
      </c>
      <c r="P1442" s="6">
        <f>HYPERLINK("https://www.kleinanzeigen.de/s-bestandsliste.html?userId=23819466", "Link")</f>
        <v/>
      </c>
      <c r="Q1442" s="7" t="n">
        <v>45549.57421296297</v>
      </c>
      <c r="R1442" s="3" t="inlineStr">
        <is>
          <t>163.27</t>
        </is>
      </c>
      <c r="S1442" t="inlineStr">
        <is>
          <t>Karlsruhe</t>
        </is>
      </c>
    </row>
    <row r="1443">
      <c r="A1443" s="2" t="n">
        <v>6</v>
      </c>
      <c r="B1443" t="inlineStr">
        <is>
          <t>Severne Gator</t>
        </is>
      </c>
      <c r="C1443" s="3" t="n">
        <v>430</v>
      </c>
      <c r="D1443" s="3" t="n">
        <v>179</v>
      </c>
      <c r="E1443" t="inlineStr">
        <is>
          <t>Freeride</t>
        </is>
      </c>
      <c r="F1443" t="inlineStr">
        <is>
          <t>2022</t>
        </is>
      </c>
      <c r="G1443" t="inlineStr">
        <is>
          <t>used</t>
        </is>
      </c>
      <c r="H1443" s="4" t="n">
        <v>675</v>
      </c>
      <c r="I1443" t="inlineStr">
        <is>
          <t>VB</t>
        </is>
      </c>
      <c r="J1443" t="inlineStr">
        <is>
          <t>23769 Kreis Ostholstein - Fehmarn</t>
        </is>
      </c>
      <c r="K1443" s="5" t="n">
        <v>45539</v>
      </c>
      <c r="L1443" t="inlineStr">
        <is>
          <t>Sold</t>
        </is>
      </c>
      <c r="M1443" s="6">
        <f>HYPERLINK("https://www.kleinanzeigen.de/s-anzeige/severne-gator-6-0-segel/2854003373-230-19951", "Link")</f>
        <v/>
      </c>
      <c r="N1443" s="6">
        <f>HYPERLINK("C:\Projects\Kleinanzeigen-Scraper\offer_images\2854003373", "Link")</f>
        <v/>
      </c>
      <c r="O1443" t="inlineStr">
        <is>
          <t>Hermann</t>
        </is>
      </c>
      <c r="P1443" s="6">
        <f>HYPERLINK("https://www.kleinanzeigen.de/s-bestandsliste.html?userId=84019987", "Link")</f>
        <v/>
      </c>
      <c r="Q1443" s="7" t="n">
        <v>45549.57420138889</v>
      </c>
      <c r="R1443" s="3" t="inlineStr">
        <is>
          <t>483.01</t>
        </is>
      </c>
      <c r="S1443" t="inlineStr">
        <is>
          <t>Köln</t>
        </is>
      </c>
    </row>
    <row r="1444">
      <c r="A1444" s="2" t="n">
        <v>5.4</v>
      </c>
      <c r="B1444" t="inlineStr">
        <is>
          <t>North Sails Duke</t>
        </is>
      </c>
      <c r="C1444" s="3" t="inlineStr"/>
      <c r="D1444" s="3" t="inlineStr"/>
      <c r="E1444" t="inlineStr"/>
      <c r="F1444" t="inlineStr"/>
      <c r="G1444" t="inlineStr">
        <is>
          <t>repaired</t>
        </is>
      </c>
      <c r="H1444" s="4" t="n">
        <v>119</v>
      </c>
      <c r="I1444" t="inlineStr">
        <is>
          <t>VB</t>
        </is>
      </c>
      <c r="J1444" t="inlineStr">
        <is>
          <t>76287 Baden-Württemberg - Rheinstetten</t>
        </is>
      </c>
      <c r="K1444" s="5" t="n">
        <v>45548</v>
      </c>
      <c r="L1444" t="inlineStr">
        <is>
          <t>Sold</t>
        </is>
      </c>
      <c r="M1444" s="6">
        <f>HYPERLINK("https://www.kleinanzeigen.de/s-anzeige/north-sails-duke-5-4-windsurf-segel/2862437617-230-8166", "Link")</f>
        <v/>
      </c>
      <c r="N1444" s="6">
        <f>HYPERLINK("C:\Projects\Kleinanzeigen-Scraper\offer_images\2862437617", "Link")</f>
        <v/>
      </c>
      <c r="O1444" t="inlineStr">
        <is>
          <t>Dominik</t>
        </is>
      </c>
      <c r="P1444" s="6">
        <f>HYPERLINK("https://www.kleinanzeigen.de/s-bestandsliste.html?userId=16948579", "Link")</f>
        <v/>
      </c>
      <c r="Q1444" s="7" t="n">
        <v>45549.57418981481</v>
      </c>
      <c r="R1444" s="3" t="inlineStr">
        <is>
          <t>7.05</t>
        </is>
      </c>
      <c r="S1444" t="inlineStr">
        <is>
          <t>Karlsruhe</t>
        </is>
      </c>
    </row>
    <row r="1445">
      <c r="A1445" s="2" t="n">
        <v>6.4</v>
      </c>
      <c r="B1445" t="inlineStr">
        <is>
          <t>Fanatic</t>
        </is>
      </c>
      <c r="C1445" s="3" t="n">
        <v>430</v>
      </c>
      <c r="D1445" s="3" t="inlineStr"/>
      <c r="E1445" t="inlineStr"/>
      <c r="F1445" t="inlineStr"/>
      <c r="G1445" t="inlineStr">
        <is>
          <t>used</t>
        </is>
      </c>
      <c r="H1445" s="4" t="n">
        <v>20</v>
      </c>
      <c r="I1445" t="inlineStr">
        <is>
          <t>VB</t>
        </is>
      </c>
      <c r="J1445" t="inlineStr">
        <is>
          <t>58739 Nordrhein-Westfalen - Wickede (Ruhr)</t>
        </is>
      </c>
      <c r="K1445" s="5" t="n">
        <v>45532</v>
      </c>
      <c r="L1445" t="inlineStr">
        <is>
          <t>Sold</t>
        </is>
      </c>
      <c r="M1445" s="6">
        <f>HYPERLINK("https://www.kleinanzeigen.de/s-anzeige/sehr-guenstig-surfsegel-surfbrett-sport-fanatic-hot-wind/2848320222-230-1448", "Link")</f>
        <v/>
      </c>
      <c r="N1445" s="6">
        <f>HYPERLINK("C:\Projects\Kleinanzeigen-Scraper\offer_images\2848320222", "Link")</f>
        <v/>
      </c>
      <c r="O1445" t="inlineStr">
        <is>
          <t>Käufer/Verkäufer</t>
        </is>
      </c>
      <c r="P1445" s="6">
        <f>HYPERLINK("https://www.kleinanzeigen.de/s-bestandsliste.html?userId=63977933", "Link")</f>
        <v/>
      </c>
      <c r="Q1445" s="7" t="n">
        <v>45549.5741087963</v>
      </c>
      <c r="R1445" s="3" t="inlineStr">
        <is>
          <t>88.86</t>
        </is>
      </c>
      <c r="S1445" t="inlineStr">
        <is>
          <t>Köln</t>
        </is>
      </c>
    </row>
    <row r="1446">
      <c r="A1446" s="2" t="n">
        <v>7.4</v>
      </c>
      <c r="B1446" t="inlineStr">
        <is>
          <t>Neilpryde RS Racing Evo XIII</t>
        </is>
      </c>
      <c r="C1446" s="3" t="n">
        <v>460</v>
      </c>
      <c r="D1446" s="3" t="inlineStr">
        <is>
          <t>201-208</t>
        </is>
      </c>
      <c r="E1446" t="inlineStr"/>
      <c r="F1446" t="inlineStr"/>
      <c r="G1446" t="inlineStr">
        <is>
          <t>new</t>
        </is>
      </c>
      <c r="H1446" s="4" t="n">
        <v>450</v>
      </c>
      <c r="I1446" t="inlineStr"/>
      <c r="J1446" t="inlineStr">
        <is>
          <t>33758 Nordrhein-Westfalen - Schloß Holte-Stukenbrock</t>
        </is>
      </c>
      <c r="K1446" s="5" t="n">
        <v>45540</v>
      </c>
      <c r="L1446" t="inlineStr">
        <is>
          <t>Sold</t>
        </is>
      </c>
      <c r="M1446" s="6">
        <f>HYPERLINK("https://www.kleinanzeigen.de/s-anzeige/neilpryde-rs-racing-evo-xiii-7-4/2854950427-230-1646", "Link")</f>
        <v/>
      </c>
      <c r="N1446" s="6">
        <f>HYPERLINK("C:\Projects\Kleinanzeigen-Scraper\offer_images\2854950427", "Link")</f>
        <v/>
      </c>
      <c r="O1446" t="inlineStr">
        <is>
          <t>Ralf Ewers</t>
        </is>
      </c>
      <c r="P1446" s="6">
        <f>HYPERLINK("https://www.kleinanzeigen.de/s-bestandsliste.html?userId=75080608", "Link")</f>
        <v/>
      </c>
      <c r="Q1446" s="7" t="n">
        <v>45549.5741087963</v>
      </c>
      <c r="R1446" s="3" t="inlineStr">
        <is>
          <t>158.29</t>
        </is>
      </c>
      <c r="S1446" t="inlineStr">
        <is>
          <t>Köln</t>
        </is>
      </c>
    </row>
    <row r="1447">
      <c r="A1447" s="2" t="n">
        <v>5.5</v>
      </c>
      <c r="B1447" t="inlineStr">
        <is>
          <t>Neilpryde Slalom V6</t>
        </is>
      </c>
      <c r="C1447" s="3" t="inlineStr"/>
      <c r="D1447" s="3" t="inlineStr"/>
      <c r="E1447" t="inlineStr"/>
      <c r="F1447" t="inlineStr"/>
      <c r="G1447" t="inlineStr">
        <is>
          <t>used</t>
        </is>
      </c>
      <c r="H1447" s="4" t="n">
        <v>20</v>
      </c>
      <c r="I1447" t="inlineStr"/>
      <c r="J1447" t="inlineStr">
        <is>
          <t>33154 Nordrhein-Westfalen - Salzkotten</t>
        </is>
      </c>
      <c r="K1447" s="5" t="n">
        <v>45537</v>
      </c>
      <c r="L1447" t="inlineStr">
        <is>
          <t>Sold</t>
        </is>
      </c>
      <c r="M1447" s="6">
        <f>HYPERLINK("https://www.kleinanzeigen.de/s-anzeige/windsurfsegel-neilpryde-slalom-v6/2852806317-230-1362", "Link")</f>
        <v/>
      </c>
      <c r="N1447" s="6">
        <f>HYPERLINK("C:\Projects\Kleinanzeigen-Scraper\offer_images\2852806317", "Link")</f>
        <v/>
      </c>
      <c r="O1447" t="inlineStr">
        <is>
          <t>V. Falkenr</t>
        </is>
      </c>
      <c r="P1447" s="6">
        <f>HYPERLINK("https://www.kleinanzeigen.de/s-bestandsliste.html?userId=18770157", "Link")</f>
        <v/>
      </c>
      <c r="Q1447" s="7" t="n">
        <v>45549.5741087963</v>
      </c>
      <c r="R1447" s="3" t="inlineStr">
        <is>
          <t>140.54</t>
        </is>
      </c>
      <c r="S1447" t="inlineStr">
        <is>
          <t>Köln</t>
        </is>
      </c>
    </row>
    <row r="1448">
      <c r="A1448" s="2" t="n">
        <v>6.9</v>
      </c>
      <c r="B1448" t="inlineStr">
        <is>
          <t>GUN Sail Future</t>
        </is>
      </c>
      <c r="C1448" s="3" t="inlineStr"/>
      <c r="D1448" s="3" t="inlineStr"/>
      <c r="E1448" t="inlineStr"/>
      <c r="F1448" t="inlineStr"/>
      <c r="G1448" t="inlineStr">
        <is>
          <t>used</t>
        </is>
      </c>
      <c r="H1448" s="4" t="n">
        <v>168</v>
      </c>
      <c r="I1448" t="inlineStr">
        <is>
          <t>VB</t>
        </is>
      </c>
      <c r="J1448" t="inlineStr">
        <is>
          <t>04838 Sachsen - Eilenburg</t>
        </is>
      </c>
      <c r="K1448" s="5" t="n">
        <v>45415</v>
      </c>
      <c r="L1448" t="inlineStr"/>
      <c r="M1448" s="6">
        <f>HYPERLINK("https://www.kleinanzeigen.de/s-anzeige/windsurfsegel-gun-sail-6-9-m-future-freeride/2751862782-230-3922", "Link")</f>
        <v/>
      </c>
      <c r="N1448" s="6">
        <f>HYPERLINK("C:\Projects\Kleinanzeigen-Scraper\offer_images\2751862782", "Link")</f>
        <v/>
      </c>
      <c r="O1448" t="inlineStr">
        <is>
          <t>Rene</t>
        </is>
      </c>
      <c r="P1448" s="6">
        <f>HYPERLINK("https://www.kleinanzeigen.de/s-bestandsliste.html?userId=3225577", "Link")</f>
        <v/>
      </c>
      <c r="Q1448" s="7" t="n">
        <v>45549.5741087963</v>
      </c>
      <c r="R1448" s="3" t="inlineStr">
        <is>
          <t>380.37</t>
        </is>
      </c>
      <c r="S1448" t="inlineStr">
        <is>
          <t>München</t>
        </is>
      </c>
    </row>
    <row r="1449">
      <c r="A1449" s="2" t="n">
        <v>6</v>
      </c>
      <c r="B1449" t="inlineStr">
        <is>
          <t>Severne Turbo</t>
        </is>
      </c>
      <c r="C1449" s="3" t="inlineStr"/>
      <c r="D1449" s="3" t="inlineStr"/>
      <c r="E1449" t="inlineStr"/>
      <c r="F1449" t="inlineStr"/>
      <c r="G1449" t="inlineStr">
        <is>
          <t>used</t>
        </is>
      </c>
      <c r="H1449" s="4" t="n">
        <v>120</v>
      </c>
      <c r="I1449" t="inlineStr">
        <is>
          <t>VB</t>
        </is>
      </c>
      <c r="J1449" t="inlineStr">
        <is>
          <t>85276 Bayern - Pfaffenhofen a.d. Ilm</t>
        </is>
      </c>
      <c r="K1449" s="5" t="n">
        <v>45545</v>
      </c>
      <c r="L1449" t="inlineStr">
        <is>
          <t>Sold</t>
        </is>
      </c>
      <c r="M1449" s="6">
        <f>HYPERLINK("https://www.kleinanzeigen.de/s-anzeige/severne-turbo-6-0/2859659714-230-5850", "Link")</f>
        <v/>
      </c>
      <c r="N1449" s="6">
        <f>HYPERLINK("C:\Projects\Kleinanzeigen-Scraper\offer_images\2859659714", "Link")</f>
        <v/>
      </c>
      <c r="O1449" t="inlineStr">
        <is>
          <t>Fillip</t>
        </is>
      </c>
      <c r="P1449" s="6">
        <f>HYPERLINK("https://www.kleinanzeigen.de/s-bestandsliste.html?userId=65512741", "Link")</f>
        <v/>
      </c>
      <c r="Q1449" s="7" t="n">
        <v>45549.5741087963</v>
      </c>
      <c r="R1449" s="3" t="inlineStr">
        <is>
          <t>47.13</t>
        </is>
      </c>
      <c r="S1449" t="inlineStr">
        <is>
          <t>München</t>
        </is>
      </c>
    </row>
    <row r="1450">
      <c r="A1450" s="2" t="n">
        <v>6.5</v>
      </c>
      <c r="B1450" t="inlineStr">
        <is>
          <t>Neilpryde Fusion HD</t>
        </is>
      </c>
      <c r="C1450" s="3" t="n">
        <v>459</v>
      </c>
      <c r="D1450" s="3" t="n">
        <v>199</v>
      </c>
      <c r="E1450" t="inlineStr"/>
      <c r="F1450" t="inlineStr">
        <is>
          <t>2018</t>
        </is>
      </c>
      <c r="G1450" t="inlineStr">
        <is>
          <t>used</t>
        </is>
      </c>
      <c r="H1450" s="4" t="inlineStr"/>
      <c r="I1450" t="inlineStr">
        <is>
          <t>VB</t>
        </is>
      </c>
      <c r="J1450" t="inlineStr">
        <is>
          <t>41469 Nordrhein-Westfalen - Neuss</t>
        </is>
      </c>
      <c r="K1450" s="5" t="n">
        <v>45530</v>
      </c>
      <c r="L1450" t="inlineStr"/>
      <c r="M1450" s="6">
        <f>HYPERLINK("https://www.kleinanzeigen.de/s-anzeige/neilpryde-fusion-hd-6-5-qm-und-weitere-ausruestung-/2847307332-230-2116", "Link")</f>
        <v/>
      </c>
      <c r="N1450" s="6">
        <f>HYPERLINK("C:\Projects\Kleinanzeigen-Scraper\offer_images\2847307332", "Link")</f>
        <v/>
      </c>
      <c r="O1450" t="inlineStr">
        <is>
          <t>Patrik Steinhoff</t>
        </is>
      </c>
      <c r="P1450" s="6">
        <f>HYPERLINK("https://www.kleinanzeigen.de/s-bestandsliste.html?userId=24920057", "Link")</f>
        <v/>
      </c>
      <c r="Q1450" s="7" t="n">
        <v>45549.5741087963</v>
      </c>
      <c r="R1450" s="3" t="inlineStr">
        <is>
          <t>29.16</t>
        </is>
      </c>
      <c r="S1450" t="inlineStr">
        <is>
          <t>Köln</t>
        </is>
      </c>
    </row>
    <row r="1451">
      <c r="A1451" s="2" t="n">
        <v>10</v>
      </c>
      <c r="B1451" t="inlineStr">
        <is>
          <t>Duotone Neo DLAB</t>
        </is>
      </c>
      <c r="C1451" s="3" t="inlineStr"/>
      <c r="D1451" s="3" t="inlineStr"/>
      <c r="E1451" t="inlineStr"/>
      <c r="F1451" t="inlineStr">
        <is>
          <t>2023</t>
        </is>
      </c>
      <c r="G1451" t="inlineStr">
        <is>
          <t>new</t>
        </is>
      </c>
      <c r="H1451" s="4" t="n">
        <v>990</v>
      </c>
      <c r="I1451" t="inlineStr"/>
      <c r="J1451" t="inlineStr">
        <is>
          <t>10247 Friedrichshain-Kreuzberg - Friedrichshain</t>
        </is>
      </c>
      <c r="K1451" s="5" t="n">
        <v>45548</v>
      </c>
      <c r="L1451" t="inlineStr">
        <is>
          <t>Sold</t>
        </is>
      </c>
      <c r="M1451" s="6">
        <f>HYPERLINK("https://www.kleinanzeigen.de/s-anzeige/duotone-neo-dlab-2023-10qm-wie-neu/2850163430-230-3353", "Link")</f>
        <v/>
      </c>
      <c r="N1451" s="6">
        <f>HYPERLINK("C:\Projects\Kleinanzeigen-Scraper\offer_images\2850163430", "Link")</f>
        <v/>
      </c>
      <c r="O1451" t="inlineStr">
        <is>
          <t>Gunnar</t>
        </is>
      </c>
      <c r="P1451" s="6">
        <f>HYPERLINK("https://www.kleinanzeigen.de/s-bestandsliste.html?userId=8520696", "Link")</f>
        <v/>
      </c>
      <c r="Q1451" s="7" t="n">
        <v>45549.57408564815</v>
      </c>
      <c r="R1451" s="3" t="inlineStr">
        <is>
          <t>481.24</t>
        </is>
      </c>
      <c r="S1451" t="inlineStr">
        <is>
          <t>Köln</t>
        </is>
      </c>
    </row>
    <row r="1452">
      <c r="A1452" s="2" t="n">
        <v>5.9</v>
      </c>
      <c r="B1452" t="inlineStr">
        <is>
          <t>NeilPryde Excess</t>
        </is>
      </c>
      <c r="C1452" s="3" t="inlineStr"/>
      <c r="D1452" s="3" t="inlineStr"/>
      <c r="E1452" t="inlineStr"/>
      <c r="F1452" t="inlineStr"/>
      <c r="G1452" t="inlineStr">
        <is>
          <t>used</t>
        </is>
      </c>
      <c r="H1452" s="4" t="n">
        <v>60</v>
      </c>
      <c r="I1452" t="inlineStr"/>
      <c r="J1452" t="inlineStr">
        <is>
          <t>12277 Berlin - Tempelhof</t>
        </is>
      </c>
      <c r="K1452" s="5" t="n">
        <v>45540</v>
      </c>
      <c r="L1452" t="inlineStr"/>
      <c r="M1452" s="6">
        <f>HYPERLINK("https://www.kleinanzeigen.de/s-anzeige/windsurfsegel-neilpryde-5-9m2-excess/2855150578-230-3413", "Link")</f>
        <v/>
      </c>
      <c r="N1452" s="6">
        <f>HYPERLINK("C:\Projects\Kleinanzeigen-Scraper\offer_images\2855150578", "Link")</f>
        <v/>
      </c>
      <c r="O1452" t="inlineStr">
        <is>
          <t>Patrick Borchert</t>
        </is>
      </c>
      <c r="P1452" s="6">
        <f>HYPERLINK("https://www.kleinanzeigen.de/s-bestandsliste.html?userId=14043782", "Link")</f>
        <v/>
      </c>
      <c r="Q1452" s="7" t="n">
        <v>45549.57408564815</v>
      </c>
      <c r="R1452" s="3" t="inlineStr">
        <is>
          <t>471.90</t>
        </is>
      </c>
      <c r="S1452" t="inlineStr">
        <is>
          <t>Köln</t>
        </is>
      </c>
    </row>
    <row r="1453">
      <c r="A1453" s="2" t="n">
        <v>8.1</v>
      </c>
      <c r="B1453" t="inlineStr">
        <is>
          <t>Gun Sail Flash</t>
        </is>
      </c>
      <c r="C1453" s="3" t="n">
        <v>508</v>
      </c>
      <c r="D1453" s="3" t="n">
        <v>227</v>
      </c>
      <c r="E1453" t="inlineStr"/>
      <c r="F1453" t="inlineStr"/>
      <c r="G1453" t="inlineStr">
        <is>
          <t>new</t>
        </is>
      </c>
      <c r="H1453" s="4" t="n">
        <v>200</v>
      </c>
      <c r="I1453" t="inlineStr"/>
      <c r="J1453" t="inlineStr">
        <is>
          <t>78733 Baden-Württemberg - Aichhalden</t>
        </is>
      </c>
      <c r="K1453" s="5" t="n">
        <v>45494</v>
      </c>
      <c r="L1453" t="inlineStr">
        <is>
          <t>Sold</t>
        </is>
      </c>
      <c r="M1453" s="6">
        <f>HYPERLINK("https://www.kleinanzeigen.de/s-anzeige/unbenutztes-gun-sail-8-1m-flash/2817135646-230-18769", "Link")</f>
        <v/>
      </c>
      <c r="N1453" s="6">
        <f>HYPERLINK("C:\Projects\Kleinanzeigen-Scraper\offer_images\2817135646", "Link")</f>
        <v/>
      </c>
      <c r="O1453" t="inlineStr">
        <is>
          <t>R+C</t>
        </is>
      </c>
      <c r="P1453" s="6">
        <f>HYPERLINK("https://www.kleinanzeigen.de/s-bestandsliste.html?userId=78541589", "Link")</f>
        <v/>
      </c>
      <c r="Q1453" s="7" t="n">
        <v>45549.57408564815</v>
      </c>
      <c r="R1453" s="3" t="inlineStr">
        <is>
          <t>50.32</t>
        </is>
      </c>
      <c r="S1453" t="inlineStr">
        <is>
          <t>Bonndorf</t>
        </is>
      </c>
    </row>
    <row r="1454">
      <c r="A1454" s="2" t="inlineStr"/>
      <c r="B1454" t="inlineStr">
        <is>
          <t>Point 7</t>
        </is>
      </c>
      <c r="C1454" s="3" t="inlineStr"/>
      <c r="D1454" s="3" t="inlineStr"/>
      <c r="E1454" t="inlineStr">
        <is>
          <t>Slalom</t>
        </is>
      </c>
      <c r="F1454" t="inlineStr"/>
      <c r="G1454" t="inlineStr">
        <is>
          <t>repaired</t>
        </is>
      </c>
      <c r="H1454" s="4" t="n">
        <v>50</v>
      </c>
      <c r="I1454" t="inlineStr"/>
      <c r="J1454" t="inlineStr">
        <is>
          <t>49448 Niedersachsen - Lemförde</t>
        </is>
      </c>
      <c r="K1454" s="5" t="n">
        <v>45497</v>
      </c>
      <c r="L1454" t="inlineStr">
        <is>
          <t>Sold</t>
        </is>
      </c>
      <c r="M1454" s="6">
        <f>HYPERLINK("https://www.kleinanzeigen.de/s-anzeige/point-7-windsurfsegel/2820228492-230-18843", "Link")</f>
        <v/>
      </c>
      <c r="N1454" s="6">
        <f>HYPERLINK("C:\Projects\Kleinanzeigen-Scraper\offer_images\2820228492", "Link")</f>
        <v/>
      </c>
      <c r="O1454" t="inlineStr">
        <is>
          <t>Stefanie</t>
        </is>
      </c>
      <c r="P1454" s="6">
        <f>HYPERLINK("https://www.kleinanzeigen.de/s-bestandsliste.html?userId=18223900", "Link")</f>
        <v/>
      </c>
      <c r="Q1454" s="7" t="n">
        <v>45549.5740625</v>
      </c>
      <c r="R1454" s="3" t="inlineStr">
        <is>
          <t>195.68</t>
        </is>
      </c>
      <c r="S1454" t="inlineStr">
        <is>
          <t>Köln</t>
        </is>
      </c>
    </row>
    <row r="1455">
      <c r="A1455" s="2" t="n">
        <v>7.2</v>
      </c>
      <c r="B1455" t="inlineStr">
        <is>
          <t>Neilpryde Hellcat</t>
        </is>
      </c>
      <c r="C1455" s="3" t="n">
        <v>460</v>
      </c>
      <c r="D1455" s="3" t="n">
        <v>203</v>
      </c>
      <c r="E1455" t="inlineStr"/>
      <c r="F1455" t="inlineStr"/>
      <c r="G1455" t="inlineStr">
        <is>
          <t>used</t>
        </is>
      </c>
      <c r="H1455" s="4" t="n">
        <v>170</v>
      </c>
      <c r="I1455" t="inlineStr">
        <is>
          <t>VB</t>
        </is>
      </c>
      <c r="J1455" t="inlineStr">
        <is>
          <t>91792 Bayern - Ellingen</t>
        </is>
      </c>
      <c r="K1455" s="5" t="n">
        <v>45566</v>
      </c>
      <c r="L1455" t="inlineStr"/>
      <c r="M1455" s="6">
        <f>HYPERLINK("https://www.kleinanzeigen.de/s-anzeige/segel-neilpryde-hellcat-7-2-qm-top-zustand/2847440180-230-5868", "Link")</f>
        <v/>
      </c>
      <c r="N1455" s="6">
        <f>HYPERLINK("C:\Projects\Kleinanzeigen-Scraper\offer_images\2847440180", "Link")</f>
        <v/>
      </c>
      <c r="O1455" t="inlineStr">
        <is>
          <t>Bernd Müller</t>
        </is>
      </c>
      <c r="P1455" s="6">
        <f>HYPERLINK("https://www.kleinanzeigen.de/s-bestandsliste.html?userId=49791118", "Link")</f>
        <v/>
      </c>
      <c r="Q1455" s="7" t="n">
        <v>45549.5740625</v>
      </c>
      <c r="R1455" s="3" t="inlineStr">
        <is>
          <t>111.92</t>
        </is>
      </c>
      <c r="S1455" t="inlineStr">
        <is>
          <t>München</t>
        </is>
      </c>
    </row>
    <row r="1456">
      <c r="A1456" s="2" t="n">
        <v>6</v>
      </c>
      <c r="B1456" t="inlineStr">
        <is>
          <t>Duotone Neo SLS</t>
        </is>
      </c>
      <c r="C1456" s="3" t="inlineStr"/>
      <c r="D1456" s="3" t="inlineStr"/>
      <c r="E1456" t="inlineStr"/>
      <c r="F1456" t="inlineStr">
        <is>
          <t>2024</t>
        </is>
      </c>
      <c r="G1456" t="inlineStr">
        <is>
          <t>used</t>
        </is>
      </c>
      <c r="H1456" s="4" t="n">
        <v>1.1</v>
      </c>
      <c r="I1456" t="inlineStr"/>
      <c r="J1456" t="inlineStr">
        <is>
          <t>90451 Nürnberg (Mittelfr) - Aussenstadt-Sued</t>
        </is>
      </c>
      <c r="K1456" s="5" t="n">
        <v>45540</v>
      </c>
      <c r="L1456" t="inlineStr">
        <is>
          <t>Sold</t>
        </is>
      </c>
      <c r="M1456" s="6">
        <f>HYPERLINK("https://www.kleinanzeigen.de/s-anzeige/duotone-2024-neo-sls-6-0-qm/2854770423-230-6836", "Link")</f>
        <v/>
      </c>
      <c r="N1456" s="6">
        <f>HYPERLINK("C:\Projects\Kleinanzeigen-Scraper\offer_images\2854770423", "Link")</f>
        <v/>
      </c>
      <c r="O1456" t="inlineStr">
        <is>
          <t>No user name</t>
        </is>
      </c>
      <c r="P1456" s="6">
        <f>HYPERLINK("https://www.kleinanzeigen.deNo user link", "Link")</f>
        <v/>
      </c>
      <c r="Q1456" s="7" t="n">
        <v>45549.57405092593</v>
      </c>
      <c r="R1456" s="3" t="inlineStr">
        <is>
          <t>145.92</t>
        </is>
      </c>
      <c r="S1456" t="inlineStr">
        <is>
          <t>München</t>
        </is>
      </c>
    </row>
    <row r="1457">
      <c r="A1457" s="2" t="n">
        <v>4.2</v>
      </c>
      <c r="B1457" t="inlineStr">
        <is>
          <t>Naish Force</t>
        </is>
      </c>
      <c r="C1457" s="3" t="inlineStr"/>
      <c r="D1457" s="3" t="inlineStr"/>
      <c r="E1457" t="inlineStr"/>
      <c r="F1457" t="inlineStr"/>
      <c r="G1457" t="inlineStr">
        <is>
          <t>used</t>
        </is>
      </c>
      <c r="H1457" s="4" t="n">
        <v>20</v>
      </c>
      <c r="I1457" t="inlineStr"/>
      <c r="J1457" t="inlineStr">
        <is>
          <t>20359 Hamburg-Mitte - Hamburg St. Pauli</t>
        </is>
      </c>
      <c r="K1457" s="5" t="n">
        <v>45491</v>
      </c>
      <c r="L1457" t="inlineStr">
        <is>
          <t>Sold</t>
        </is>
      </c>
      <c r="M1457" s="6">
        <f>HYPERLINK("https://www.kleinanzeigen.de/s-anzeige/windsurf-segel-naish-force-4-2/2815119783-230-9495", "Link")</f>
        <v/>
      </c>
      <c r="N1457" s="6">
        <f>HYPERLINK("C:\Projects\Kleinanzeigen-Scraper\offer_images\2815119783", "Link")</f>
        <v/>
      </c>
      <c r="O1457" t="inlineStr">
        <is>
          <t>Niklas</t>
        </is>
      </c>
      <c r="P1457" s="6">
        <f>HYPERLINK("https://www.kleinanzeigen.de/s-bestandsliste.html?userId=11198381", "Link")</f>
        <v/>
      </c>
      <c r="Q1457" s="7" t="n">
        <v>45549.57405092593</v>
      </c>
      <c r="R1457" s="3" t="inlineStr">
        <is>
          <t>355.45</t>
        </is>
      </c>
      <c r="S1457" t="inlineStr">
        <is>
          <t>Köln</t>
        </is>
      </c>
    </row>
    <row r="1458">
      <c r="A1458" s="2" t="n">
        <v>5.3</v>
      </c>
      <c r="B1458" t="inlineStr">
        <is>
          <t>Simmer Style Icon</t>
        </is>
      </c>
      <c r="C1458" s="3" t="inlineStr"/>
      <c r="D1458" s="3" t="inlineStr"/>
      <c r="E1458" t="inlineStr"/>
      <c r="F1458" t="inlineStr"/>
      <c r="G1458" t="inlineStr">
        <is>
          <t>used</t>
        </is>
      </c>
      <c r="H1458" s="4" t="n">
        <v>89</v>
      </c>
      <c r="I1458" t="inlineStr"/>
      <c r="J1458" t="inlineStr">
        <is>
          <t>48163 Münster (Westfalen) - Mecklenbeck</t>
        </is>
      </c>
      <c r="K1458" s="5" t="n">
        <v>45231</v>
      </c>
      <c r="L1458" t="inlineStr"/>
      <c r="M1458" s="6">
        <f>HYPERLINK("https://www.kleinanzeigen.de/s-anzeige/simmer-style-icon-5-3/2589309442-230-17020", "Link")</f>
        <v/>
      </c>
      <c r="N1458" s="6">
        <f>HYPERLINK("C:\Projects\Kleinanzeigen-Scraper\offer_images\2589309442", "Link")</f>
        <v/>
      </c>
      <c r="O1458" t="inlineStr">
        <is>
          <t>W. S.</t>
        </is>
      </c>
      <c r="P1458" s="6">
        <f>HYPERLINK("https://www.kleinanzeigen.de/s-bestandsliste.html?userId=12392678", "Link")</f>
        <v/>
      </c>
      <c r="Q1458" s="7" t="n">
        <v>45549.57402777778</v>
      </c>
      <c r="R1458" s="3" t="inlineStr">
        <is>
          <t>114.86</t>
        </is>
      </c>
      <c r="S1458" t="inlineStr">
        <is>
          <t>Köln</t>
        </is>
      </c>
    </row>
    <row r="1459">
      <c r="A1459" s="2" t="n">
        <v>4.9</v>
      </c>
      <c r="B1459" t="inlineStr">
        <is>
          <t>Neilpryde Firefly</t>
        </is>
      </c>
      <c r="C1459" s="3" t="n">
        <v>400</v>
      </c>
      <c r="D1459" s="3" t="n">
        <v>161</v>
      </c>
      <c r="E1459" t="inlineStr"/>
      <c r="F1459" t="inlineStr"/>
      <c r="G1459" t="inlineStr">
        <is>
          <t>used</t>
        </is>
      </c>
      <c r="H1459" s="4" t="n">
        <v>190</v>
      </c>
      <c r="I1459" t="inlineStr">
        <is>
          <t>VB</t>
        </is>
      </c>
      <c r="J1459" t="inlineStr">
        <is>
          <t>87459 Bayern - Pfronten</t>
        </is>
      </c>
      <c r="K1459" s="5" t="n">
        <v>45489</v>
      </c>
      <c r="L1459" t="inlineStr"/>
      <c r="M1459" s="6">
        <f>HYPERLINK("https://www.kleinanzeigen.de/s-anzeige/windsurfsegel-neilpryde-firefly-4-9m-/2813887767-230-5528", "Link")</f>
        <v/>
      </c>
      <c r="N1459" s="6">
        <f>HYPERLINK("C:\Projects\Kleinanzeigen-Scraper\offer_images\2813887767", "Link")</f>
        <v/>
      </c>
      <c r="O1459" t="inlineStr">
        <is>
          <t>bierro</t>
        </is>
      </c>
      <c r="P1459" s="6">
        <f>HYPERLINK("https://www.kleinanzeigen.de/s-bestandsliste.html?userId=139461601", "Link")</f>
        <v/>
      </c>
      <c r="Q1459" s="7" t="n">
        <v>45549.57400462963</v>
      </c>
      <c r="R1459" s="3" t="inlineStr">
        <is>
          <t>99.84</t>
        </is>
      </c>
      <c r="S1459" t="inlineStr">
        <is>
          <t>München</t>
        </is>
      </c>
    </row>
    <row r="1460">
      <c r="A1460" s="2" t="n">
        <v>7.5</v>
      </c>
      <c r="B1460" t="inlineStr">
        <is>
          <t>North Prisma</t>
        </is>
      </c>
      <c r="C1460" s="3" t="inlineStr"/>
      <c r="D1460" s="3" t="n">
        <v>215</v>
      </c>
      <c r="E1460" t="inlineStr"/>
      <c r="F1460" t="inlineStr"/>
      <c r="G1460" t="inlineStr">
        <is>
          <t>used</t>
        </is>
      </c>
      <c r="H1460" s="4" t="n">
        <v>40</v>
      </c>
      <c r="I1460" t="inlineStr"/>
      <c r="J1460" t="inlineStr">
        <is>
          <t>41564 Nordrhein-Westfalen - Kaarst</t>
        </is>
      </c>
      <c r="K1460" s="5" t="n">
        <v>45548</v>
      </c>
      <c r="L1460" t="inlineStr">
        <is>
          <t>Sold</t>
        </is>
      </c>
      <c r="M1460" s="6">
        <f>HYPERLINK("https://www.kleinanzeigen.de/s-anzeige/north-windsurf-segel/2862338651-230-2107", "Link")</f>
        <v/>
      </c>
      <c r="N1460" s="6">
        <f>HYPERLINK("C:\Projects\Kleinanzeigen-Scraper\offer_images\2862338651", "Link")</f>
        <v/>
      </c>
      <c r="O1460" t="inlineStr">
        <is>
          <t>Hans-Jürgen</t>
        </is>
      </c>
      <c r="P1460" s="6">
        <f>HYPERLINK("https://www.kleinanzeigen.de/s-bestandsliste.html?userId=67801432", "Link")</f>
        <v/>
      </c>
      <c r="Q1460" s="7" t="n">
        <v>45549.57400462963</v>
      </c>
      <c r="R1460" s="3" t="inlineStr">
        <is>
          <t>39.22</t>
        </is>
      </c>
      <c r="S1460" t="inlineStr">
        <is>
          <t>Köln</t>
        </is>
      </c>
    </row>
    <row r="1461">
      <c r="A1461" s="2" t="n">
        <v>5</v>
      </c>
      <c r="B1461" t="inlineStr">
        <is>
          <t>Simmer Wave</t>
        </is>
      </c>
      <c r="C1461" s="3" t="inlineStr"/>
      <c r="D1461" s="3" t="inlineStr"/>
      <c r="E1461" t="inlineStr"/>
      <c r="F1461" t="inlineStr"/>
      <c r="G1461" t="inlineStr">
        <is>
          <t>used</t>
        </is>
      </c>
      <c r="H1461" s="4" t="n">
        <v>99</v>
      </c>
      <c r="I1461" t="inlineStr"/>
      <c r="J1461" t="inlineStr">
        <is>
          <t>90762 Bayern - Fürth</t>
        </is>
      </c>
      <c r="K1461" s="5" t="n">
        <v>45530</v>
      </c>
      <c r="L1461" t="inlineStr">
        <is>
          <t>Sold</t>
        </is>
      </c>
      <c r="M1461" s="6">
        <f>HYPERLINK("https://www.kleinanzeigen.de/s-anzeige/simmer-wave-segel-5-0m-diese-qualitaet-gibt-es-heute-nicht-m/2846882953-230-6807", "Link")</f>
        <v/>
      </c>
      <c r="N1461" s="6">
        <f>HYPERLINK("C:\Projects\Kleinanzeigen-Scraper\offer_images\2846882953", "Link")</f>
        <v/>
      </c>
      <c r="O1461" t="inlineStr">
        <is>
          <t>Erwin Wahlen</t>
        </is>
      </c>
      <c r="P1461" s="6">
        <f>HYPERLINK("https://www.kleinanzeigen.de/s-bestandsliste.html?userId=26392836", "Link")</f>
        <v/>
      </c>
      <c r="Q1461" s="7" t="n">
        <v>45549.57398148148</v>
      </c>
      <c r="R1461" s="3" t="inlineStr">
        <is>
          <t>154.52</t>
        </is>
      </c>
      <c r="S1461" t="inlineStr">
        <is>
          <t>München</t>
        </is>
      </c>
    </row>
    <row r="1462">
      <c r="A1462" s="2" t="n">
        <v>8</v>
      </c>
      <c r="B1462" t="inlineStr">
        <is>
          <t>Point7 Foil Sl</t>
        </is>
      </c>
      <c r="C1462" s="3" t="n">
        <v>490</v>
      </c>
      <c r="D1462" s="3" t="inlineStr"/>
      <c r="E1462" t="inlineStr"/>
      <c r="F1462" t="inlineStr"/>
      <c r="G1462" t="inlineStr">
        <is>
          <t>used</t>
        </is>
      </c>
      <c r="H1462" s="4" t="n">
        <v>390</v>
      </c>
      <c r="I1462" t="inlineStr">
        <is>
          <t>VB</t>
        </is>
      </c>
      <c r="J1462" t="inlineStr">
        <is>
          <t>72141 Baden-Württemberg - Walddorfhäslach</t>
        </is>
      </c>
      <c r="K1462" s="5" t="n">
        <v>45386</v>
      </c>
      <c r="L1462" t="inlineStr"/>
      <c r="M1462" s="6">
        <f>HYPERLINK("https://www.kleinanzeigen.de/s-anzeige/point7-foil-sl-8-0-foilslalom-segel/2726133874-230-8891", "Link")</f>
        <v/>
      </c>
      <c r="N1462" s="6">
        <f>HYPERLINK("C:\Projects\Kleinanzeigen-Scraper\offer_images\2726133874", "Link")</f>
        <v/>
      </c>
      <c r="O1462" t="inlineStr">
        <is>
          <t>Katharina &amp; Jan</t>
        </is>
      </c>
      <c r="P1462" s="6">
        <f>HYPERLINK("https://www.kleinanzeigen.de/s-bestandsliste.html?userId=5363487", "Link")</f>
        <v/>
      </c>
      <c r="Q1462" s="7" t="n">
        <v>45549.57395833333</v>
      </c>
      <c r="R1462" s="3" t="inlineStr">
        <is>
          <t>16.87</t>
        </is>
      </c>
      <c r="S1462" t="inlineStr">
        <is>
          <t>Böblingen</t>
        </is>
      </c>
    </row>
    <row r="1463">
      <c r="A1463" s="2" t="n">
        <v>6.4</v>
      </c>
      <c r="B1463" t="inlineStr">
        <is>
          <t>North Sails Volcano</t>
        </is>
      </c>
      <c r="C1463" s="3" t="n">
        <v>4.2</v>
      </c>
      <c r="D1463" s="3" t="n">
        <v>1.9</v>
      </c>
      <c r="E1463" t="inlineStr"/>
      <c r="F1463" t="inlineStr"/>
      <c r="G1463" t="inlineStr">
        <is>
          <t>used</t>
        </is>
      </c>
      <c r="H1463" s="4" t="inlineStr">
        <is>
          <t>Zu verschenken</t>
        </is>
      </c>
      <c r="I1463" t="inlineStr"/>
      <c r="J1463" t="inlineStr">
        <is>
          <t>85296 Bayern - Rohrbach</t>
        </is>
      </c>
      <c r="K1463" s="5" t="n">
        <v>45542</v>
      </c>
      <c r="L1463" t="inlineStr">
        <is>
          <t>Sold</t>
        </is>
      </c>
      <c r="M1463" s="6">
        <f>HYPERLINK("https://www.kleinanzeigen.de/s-anzeige/north-sails-volcano-6-4/2856380994-230-5841", "Link")</f>
        <v/>
      </c>
      <c r="N1463" s="6">
        <f>HYPERLINK("C:\Projects\Kleinanzeigen-Scraper\offer_images\2856380994", "Link")</f>
        <v/>
      </c>
      <c r="O1463" t="inlineStr">
        <is>
          <t>Riedel</t>
        </is>
      </c>
      <c r="P1463" s="6">
        <f>HYPERLINK("https://www.kleinanzeigen.de/s-bestandsliste.html?userId=43315081", "Link")</f>
        <v/>
      </c>
      <c r="Q1463" s="7" t="n">
        <v>45549.57395833333</v>
      </c>
      <c r="R1463" s="3" t="inlineStr">
        <is>
          <t>52.40</t>
        </is>
      </c>
      <c r="S1463" t="inlineStr">
        <is>
          <t>München</t>
        </is>
      </c>
    </row>
    <row r="1464">
      <c r="A1464" s="2" t="n">
        <v>4.7</v>
      </c>
      <c r="B1464" t="inlineStr">
        <is>
          <t>Arrows Craze</t>
        </is>
      </c>
      <c r="C1464" s="3" t="n">
        <v>400</v>
      </c>
      <c r="D1464" s="3" t="inlineStr">
        <is>
          <t>159-163</t>
        </is>
      </c>
      <c r="E1464" t="inlineStr"/>
      <c r="F1464" t="inlineStr"/>
      <c r="G1464" t="inlineStr">
        <is>
          <t>used</t>
        </is>
      </c>
      <c r="H1464" s="4" t="n">
        <v>99</v>
      </c>
      <c r="I1464" t="inlineStr">
        <is>
          <t>VB</t>
        </is>
      </c>
      <c r="J1464" t="inlineStr">
        <is>
          <t>76287 Baden-Württemberg - Rheinstetten</t>
        </is>
      </c>
      <c r="K1464" s="5" t="n">
        <v>45548</v>
      </c>
      <c r="L1464" t="inlineStr">
        <is>
          <t>Sold</t>
        </is>
      </c>
      <c r="M1464" s="6">
        <f>HYPERLINK("https://www.kleinanzeigen.de/s-anzeige/arrows-craze-4-7-windsurf-segel/2862423596-230-8166", "Link")</f>
        <v/>
      </c>
      <c r="N1464" s="6">
        <f>HYPERLINK("C:\Projects\Kleinanzeigen-Scraper\offer_images\2862423596", "Link")</f>
        <v/>
      </c>
      <c r="O1464" t="inlineStr">
        <is>
          <t>Dominik</t>
        </is>
      </c>
      <c r="P1464" s="6">
        <f>HYPERLINK("https://www.kleinanzeigen.de/s-bestandsliste.html?userId=16948579", "Link")</f>
        <v/>
      </c>
      <c r="Q1464" s="7" t="n">
        <v>45549.57392361111</v>
      </c>
      <c r="R1464" s="3" t="inlineStr">
        <is>
          <t>7.05</t>
        </is>
      </c>
      <c r="S1464" t="inlineStr">
        <is>
          <t>Karlsruhe</t>
        </is>
      </c>
    </row>
    <row r="1465">
      <c r="A1465" s="2" t="n">
        <v>7</v>
      </c>
      <c r="B1465" t="inlineStr">
        <is>
          <t>Loftsails Racing Blade</t>
        </is>
      </c>
      <c r="C1465" s="3" t="n">
        <v>4.7</v>
      </c>
      <c r="D1465" s="3" t="n">
        <v>2</v>
      </c>
      <c r="E1465" t="inlineStr">
        <is>
          <t>Slalom</t>
        </is>
      </c>
      <c r="F1465" t="inlineStr"/>
      <c r="G1465" t="inlineStr">
        <is>
          <t>used</t>
        </is>
      </c>
      <c r="H1465" s="4" t="n">
        <v>175</v>
      </c>
      <c r="I1465" t="inlineStr">
        <is>
          <t>VB</t>
        </is>
      </c>
      <c r="J1465" t="inlineStr">
        <is>
          <t>22459 Eimsbüttel - Hamburg Niendorf</t>
        </is>
      </c>
      <c r="K1465" s="5" t="n">
        <v>45477</v>
      </c>
      <c r="L1465" t="inlineStr"/>
      <c r="M1465" s="6">
        <f>HYPERLINK("https://www.kleinanzeigen.de/s-anzeige/loftsails-racing-blade-7-0-m-slalomsegel/2804211950-230-16475", "Link")</f>
        <v/>
      </c>
      <c r="N1465" s="6">
        <f>HYPERLINK("C:\Projects\Kleinanzeigen-Scraper\offer_images\2804211950", "Link")</f>
        <v/>
      </c>
      <c r="O1465" t="inlineStr">
        <is>
          <t>Paul</t>
        </is>
      </c>
      <c r="P1465" s="6">
        <f>HYPERLINK("https://www.kleinanzeigen.de/s-bestandsliste.html?userId=14853881", "Link")</f>
        <v/>
      </c>
      <c r="Q1465" s="7" t="n">
        <v>45549.57392361111</v>
      </c>
      <c r="R1465" s="3" t="inlineStr">
        <is>
          <t>361.89</t>
        </is>
      </c>
      <c r="S1465" t="inlineStr">
        <is>
          <t>Köln</t>
        </is>
      </c>
    </row>
    <row r="1466">
      <c r="A1466" s="2" t="n">
        <v>5.3</v>
      </c>
      <c r="B1466" t="inlineStr">
        <is>
          <t>Point-7 SALT</t>
        </is>
      </c>
      <c r="C1466" s="3" t="n">
        <v>4.12</v>
      </c>
      <c r="D1466" s="3" t="n">
        <v>164</v>
      </c>
      <c r="E1466" t="inlineStr">
        <is>
          <t>Wave</t>
        </is>
      </c>
      <c r="F1466" t="inlineStr">
        <is>
          <t>2021</t>
        </is>
      </c>
      <c r="G1466" t="inlineStr">
        <is>
          <t>new</t>
        </is>
      </c>
      <c r="H1466" s="4" t="n">
        <v>430</v>
      </c>
      <c r="I1466" t="inlineStr"/>
      <c r="J1466" t="inlineStr">
        <is>
          <t>82319 Bayern - Starnberg</t>
        </is>
      </c>
      <c r="K1466" s="5" t="n">
        <v>45553</v>
      </c>
      <c r="L1466" t="inlineStr"/>
      <c r="M1466" s="6">
        <f>HYPERLINK("https://www.kleinanzeigen.de/s-anzeige/point-7-salt-5-3-m2-yellow-pro-wave-windsurf-segel-neu/1891773584-230-5525", "Link")</f>
        <v/>
      </c>
      <c r="N1466" s="6">
        <f>HYPERLINK("C:\Projects\Kleinanzeigen-Scraper\offer_images\1891773584", "Link")</f>
        <v/>
      </c>
      <c r="O1466" t="inlineStr">
        <is>
          <t>No user name</t>
        </is>
      </c>
      <c r="P1466" s="6">
        <f>HYPERLINK("https://www.kleinanzeigen.deNo user link", "Link")</f>
        <v/>
      </c>
      <c r="Q1466" s="7" t="n">
        <v>45549.57392361111</v>
      </c>
      <c r="R1466" s="3" t="inlineStr">
        <is>
          <t>23.17</t>
        </is>
      </c>
      <c r="S1466" t="inlineStr">
        <is>
          <t>München</t>
        </is>
      </c>
    </row>
    <row r="1467">
      <c r="A1467" s="2" t="n">
        <v>4.8</v>
      </c>
      <c r="B1467" t="inlineStr">
        <is>
          <t>NeilPryde WZARD Pro</t>
        </is>
      </c>
      <c r="C1467" s="3" t="n">
        <v>400</v>
      </c>
      <c r="D1467" s="3" t="n">
        <v>190</v>
      </c>
      <c r="E1467" t="inlineStr"/>
      <c r="F1467" t="inlineStr">
        <is>
          <t>2021</t>
        </is>
      </c>
      <c r="G1467" t="inlineStr">
        <is>
          <t>used</t>
        </is>
      </c>
      <c r="H1467" s="4" t="n">
        <v>350</v>
      </c>
      <c r="I1467" t="inlineStr"/>
      <c r="J1467" t="inlineStr">
        <is>
          <t>18190 Bad Doberan - Landkreis - Sanitz</t>
        </is>
      </c>
      <c r="K1467" s="5" t="n">
        <v>45507</v>
      </c>
      <c r="L1467" t="inlineStr">
        <is>
          <t>Sold</t>
        </is>
      </c>
      <c r="M1467" s="6">
        <f>HYPERLINK("https://www.kleinanzeigen.de/s-anzeige/surfsegel-wzard-pro-2021-neilpryde-4-8/2827678221-230-155", "Link")</f>
        <v/>
      </c>
      <c r="N1467" s="6">
        <f>HYPERLINK("C:\Projects\Kleinanzeigen-Scraper\offer_images\2827678221", "Link")</f>
        <v/>
      </c>
      <c r="O1467" t="inlineStr">
        <is>
          <t>Lederer</t>
        </is>
      </c>
      <c r="P1467" s="6">
        <f>HYPERLINK("https://www.kleinanzeigen.de/s-bestandsliste.html?userId=36155052", "Link")</f>
        <v/>
      </c>
      <c r="Q1467" s="7" t="n">
        <v>45549.57390046296</v>
      </c>
      <c r="R1467" s="3" t="inlineStr">
        <is>
          <t>506.14</t>
        </is>
      </c>
      <c r="S1467" t="inlineStr">
        <is>
          <t>Köln</t>
        </is>
      </c>
    </row>
    <row r="1468">
      <c r="A1468" s="2" t="n">
        <v>5.9</v>
      </c>
      <c r="B1468" t="inlineStr">
        <is>
          <t>Simmer Style X-Type II</t>
        </is>
      </c>
      <c r="C1468" s="3" t="inlineStr"/>
      <c r="D1468" s="3" t="inlineStr"/>
      <c r="E1468" t="inlineStr"/>
      <c r="F1468" t="inlineStr">
        <is>
          <t>2007</t>
        </is>
      </c>
      <c r="G1468" t="inlineStr">
        <is>
          <t>used</t>
        </is>
      </c>
      <c r="H1468" s="4" t="n">
        <v>65</v>
      </c>
      <c r="I1468" t="inlineStr"/>
      <c r="J1468" t="inlineStr">
        <is>
          <t>31137 Niedersachsen - Hildesheim</t>
        </is>
      </c>
      <c r="K1468" s="5" t="n">
        <v>45540</v>
      </c>
      <c r="L1468" t="inlineStr">
        <is>
          <t>Sold</t>
        </is>
      </c>
      <c r="M1468" s="6">
        <f>HYPERLINK("https://www.kleinanzeigen.de/s-anzeige/simmer-style-segel-5-9-qm-x-type-2-2007-6-battens-windsurfsegel/2854908780-230-3150", "Link")</f>
        <v/>
      </c>
      <c r="N1468" s="6">
        <f>HYPERLINK("C:\Projects\Kleinanzeigen-Scraper\offer_images\2854908780", "Link")</f>
        <v/>
      </c>
      <c r="O1468" t="inlineStr">
        <is>
          <t>Uwe</t>
        </is>
      </c>
      <c r="P1468" s="6">
        <f>HYPERLINK("https://www.kleinanzeigen.de/s-bestandsliste.html?userId=9990941", "Link")</f>
        <v/>
      </c>
      <c r="Q1468" s="7" t="n">
        <v>45549.57388888889</v>
      </c>
      <c r="R1468" s="3" t="inlineStr">
        <is>
          <t>246.58</t>
        </is>
      </c>
      <c r="S1468" t="inlineStr">
        <is>
          <t>Köln</t>
        </is>
      </c>
    </row>
    <row r="1469">
      <c r="A1469" s="2" t="n">
        <v>5.9</v>
      </c>
      <c r="B1469" t="inlineStr">
        <is>
          <t>Sailloft Bionic</t>
        </is>
      </c>
      <c r="C1469" s="3" t="inlineStr"/>
      <c r="D1469" s="3" t="inlineStr"/>
      <c r="E1469" t="inlineStr"/>
      <c r="F1469" t="inlineStr"/>
      <c r="G1469" t="inlineStr">
        <is>
          <t>used</t>
        </is>
      </c>
      <c r="H1469" s="4" t="n">
        <v>49</v>
      </c>
      <c r="I1469" t="inlineStr">
        <is>
          <t>VB</t>
        </is>
      </c>
      <c r="J1469" t="inlineStr">
        <is>
          <t>04838 Sachsen - Eilenburg</t>
        </is>
      </c>
      <c r="K1469" s="5" t="n">
        <v>45415</v>
      </c>
      <c r="L1469" t="inlineStr"/>
      <c r="M1469" s="6">
        <f>HYPERLINK("https://www.kleinanzeigen.de/s-anzeige/windsurfsegel-sailloft-bionic-5-9-m-/2751909795-230-3922", "Link")</f>
        <v/>
      </c>
      <c r="N1469" s="6">
        <f>HYPERLINK("C:\Projects\Kleinanzeigen-Scraper\offer_images\2751909795", "Link")</f>
        <v/>
      </c>
      <c r="O1469" t="inlineStr">
        <is>
          <t>Rene</t>
        </is>
      </c>
      <c r="P1469" s="6">
        <f>HYPERLINK("https://www.kleinanzeigen.de/s-bestandsliste.html?userId=3225577", "Link")</f>
        <v/>
      </c>
      <c r="Q1469" s="7" t="n">
        <v>45549.57387731481</v>
      </c>
      <c r="R1469" s="3" t="inlineStr">
        <is>
          <t>380.37</t>
        </is>
      </c>
      <c r="S1469" t="inlineStr">
        <is>
          <t>München</t>
        </is>
      </c>
    </row>
    <row r="1470">
      <c r="A1470" s="2" t="n">
        <v>5.3</v>
      </c>
      <c r="B1470" t="inlineStr">
        <is>
          <t>North Sails Hero hybrid</t>
        </is>
      </c>
      <c r="C1470" s="3" t="inlineStr"/>
      <c r="D1470" s="3" t="inlineStr"/>
      <c r="E1470" t="inlineStr">
        <is>
          <t>Wave</t>
        </is>
      </c>
      <c r="F1470" t="inlineStr">
        <is>
          <t>2016</t>
        </is>
      </c>
      <c r="G1470" t="inlineStr">
        <is>
          <t>used</t>
        </is>
      </c>
      <c r="H1470" s="4" t="n">
        <v>160</v>
      </c>
      <c r="I1470" t="inlineStr">
        <is>
          <t>VB</t>
        </is>
      </c>
      <c r="J1470" t="inlineStr">
        <is>
          <t>40724 Nordrhein-Westfalen - Hilden</t>
        </is>
      </c>
      <c r="K1470" s="5" t="n">
        <v>45549</v>
      </c>
      <c r="L1470" t="inlineStr">
        <is>
          <t>Sold</t>
        </is>
      </c>
      <c r="M1470" s="6">
        <f>HYPERLINK("https://www.kleinanzeigen.de/s-anzeige/north-sails-hero-hybrid-5-3/2862857991-230-1859", "Link")</f>
        <v/>
      </c>
      <c r="N1470" s="6">
        <f>HYPERLINK("C:\Projects\Kleinanzeigen-Scraper\offer_images\2862857991", "Link")</f>
        <v/>
      </c>
      <c r="O1470" t="inlineStr">
        <is>
          <t>Laurenz Huhn</t>
        </is>
      </c>
      <c r="P1470" s="6">
        <f>HYPERLINK("https://www.kleinanzeigen.de/s-bestandsliste.html?userId=5367532", "Link")</f>
        <v/>
      </c>
      <c r="Q1470" s="7" t="n">
        <v>45549.57387731481</v>
      </c>
      <c r="R1470" s="3" t="inlineStr">
        <is>
          <t>26.51</t>
        </is>
      </c>
      <c r="S1470" t="inlineStr">
        <is>
          <t>Köln</t>
        </is>
      </c>
    </row>
    <row r="1471">
      <c r="A1471" s="2" t="n">
        <v>4.7</v>
      </c>
      <c r="B1471" t="inlineStr">
        <is>
          <t>Sailloft Bionic</t>
        </is>
      </c>
      <c r="C1471" s="3" t="inlineStr"/>
      <c r="D1471" s="3" t="inlineStr"/>
      <c r="E1471" t="inlineStr">
        <is>
          <t>Wave, Freestyle, Freeride</t>
        </is>
      </c>
      <c r="F1471" t="inlineStr"/>
      <c r="G1471" t="inlineStr">
        <is>
          <t>used</t>
        </is>
      </c>
      <c r="H1471" s="4" t="n">
        <v>95</v>
      </c>
      <c r="I1471" t="inlineStr"/>
      <c r="J1471" t="inlineStr">
        <is>
          <t>22085 Hamburg-Nord - Hamburg Uhlenhorst</t>
        </is>
      </c>
      <c r="K1471" s="5" t="n">
        <v>45549</v>
      </c>
      <c r="L1471" t="inlineStr"/>
      <c r="M1471" s="6">
        <f>HYPERLINK("https://www.kleinanzeigen.de/s-anzeige/sailloft-bionic-4-7/2862980264-230-9486", "Link")</f>
        <v/>
      </c>
      <c r="N1471" s="6">
        <f>HYPERLINK("C:\Projects\Kleinanzeigen-Scraper\offer_images\2862980264", "Link")</f>
        <v/>
      </c>
      <c r="O1471" t="inlineStr">
        <is>
          <t>Oliver</t>
        </is>
      </c>
      <c r="P1471" s="6">
        <f>HYPERLINK("https://www.kleinanzeigen.de/s-bestandsliste.html?userId=18682648", "Link")</f>
        <v/>
      </c>
      <c r="Q1471" s="7" t="n">
        <v>45549.57383101852</v>
      </c>
      <c r="R1471" s="3" t="inlineStr">
        <is>
          <t>359.41</t>
        </is>
      </c>
      <c r="S1471" t="inlineStr">
        <is>
          <t>Köln</t>
        </is>
      </c>
    </row>
    <row r="1472">
      <c r="A1472" s="2" t="n">
        <v>8.199999999999999</v>
      </c>
      <c r="B1472" t="inlineStr">
        <is>
          <t>Neilpryde Hellcat</t>
        </is>
      </c>
      <c r="C1472" s="3" t="n">
        <v>490</v>
      </c>
      <c r="D1472" s="3" t="n">
        <v>202</v>
      </c>
      <c r="E1472" t="inlineStr"/>
      <c r="F1472" t="inlineStr">
        <is>
          <t>2017</t>
        </is>
      </c>
      <c r="G1472" t="inlineStr">
        <is>
          <t>used</t>
        </is>
      </c>
      <c r="H1472" s="4" t="n">
        <v>199</v>
      </c>
      <c r="I1472" t="inlineStr">
        <is>
          <t>VB</t>
        </is>
      </c>
      <c r="J1472" t="inlineStr">
        <is>
          <t>85567 Bayern - Grafing bei München</t>
        </is>
      </c>
      <c r="K1472" s="5" t="n">
        <v>45543</v>
      </c>
      <c r="L1472" t="inlineStr"/>
      <c r="M1472" s="6">
        <f>HYPERLINK("https://www.kleinanzeigen.de/s-anzeige/surfsegel-neilpryde-hellcat-8-2-qm-2017/2858013206-230-6072", "Link")</f>
        <v/>
      </c>
      <c r="N1472" s="6">
        <f>HYPERLINK("C:\Projects\Kleinanzeigen-Scraper\offer_images\2858013206", "Link")</f>
        <v/>
      </c>
      <c r="O1472" t="inlineStr">
        <is>
          <t>m. gottschling</t>
        </is>
      </c>
      <c r="P1472" s="6">
        <f>HYPERLINK("https://www.kleinanzeigen.de/s-bestandsliste.html?userId=9936907", "Link")</f>
        <v/>
      </c>
      <c r="Q1472" s="7" t="n">
        <v>45549.57383101852</v>
      </c>
      <c r="R1472" s="3" t="inlineStr">
        <is>
          <t>30.52</t>
        </is>
      </c>
      <c r="S1472" t="inlineStr">
        <is>
          <t>München</t>
        </is>
      </c>
    </row>
    <row r="1473">
      <c r="A1473" s="2" t="n">
        <v>6.5</v>
      </c>
      <c r="B1473" t="inlineStr">
        <is>
          <t>Simmer Veron</t>
        </is>
      </c>
      <c r="C1473" s="3" t="n">
        <v>430</v>
      </c>
      <c r="D1473" s="3" t="n">
        <v>195</v>
      </c>
      <c r="E1473" t="inlineStr"/>
      <c r="F1473" t="inlineStr"/>
      <c r="G1473" t="inlineStr">
        <is>
          <t>used</t>
        </is>
      </c>
      <c r="H1473" s="4" t="n">
        <v>60</v>
      </c>
      <c r="I1473" t="inlineStr">
        <is>
          <t>VB</t>
        </is>
      </c>
      <c r="J1473" t="inlineStr">
        <is>
          <t>48249 Nordrhein-Westfalen - Dülmen</t>
        </is>
      </c>
      <c r="K1473" s="5" t="n">
        <v>45518</v>
      </c>
      <c r="L1473" t="inlineStr"/>
      <c r="M1473" s="6">
        <f>HYPERLINK("https://www.kleinanzeigen.de/s-anzeige/windsurfsegel-simmer-veron-6-5/2837060092-230-1331", "Link")</f>
        <v/>
      </c>
      <c r="N1473" s="6">
        <f>HYPERLINK("C:\Projects\Kleinanzeigen-Scraper\offer_images\2837060092", "Link")</f>
        <v/>
      </c>
      <c r="O1473" t="inlineStr">
        <is>
          <t>Tobias Kipp</t>
        </is>
      </c>
      <c r="P1473" s="6">
        <f>HYPERLINK("https://www.kleinanzeigen.de/s-bestandsliste.html?userId=27736332", "Link")</f>
        <v/>
      </c>
      <c r="Q1473" s="7" t="n">
        <v>45549.57383101852</v>
      </c>
      <c r="R1473" s="3" t="inlineStr">
        <is>
          <t>105.23</t>
        </is>
      </c>
      <c r="S1473" t="inlineStr">
        <is>
          <t>Köln</t>
        </is>
      </c>
    </row>
    <row r="1474">
      <c r="A1474" s="2" t="n">
        <v>5.7</v>
      </c>
      <c r="B1474" t="inlineStr">
        <is>
          <t>Simmer Iron</t>
        </is>
      </c>
      <c r="C1474" s="3" t="n">
        <v>4.36</v>
      </c>
      <c r="D1474" s="3" t="n">
        <v>1.78</v>
      </c>
      <c r="E1474" t="inlineStr">
        <is>
          <t>Wave</t>
        </is>
      </c>
      <c r="F1474" t="inlineStr"/>
      <c r="G1474" t="inlineStr">
        <is>
          <t>used</t>
        </is>
      </c>
      <c r="H1474" s="4" t="n">
        <v>150</v>
      </c>
      <c r="I1474" t="inlineStr">
        <is>
          <t>VB</t>
        </is>
      </c>
      <c r="J1474" t="inlineStr">
        <is>
          <t>32108 Nordrhein-Westfalen - Bad Salzuflen</t>
        </is>
      </c>
      <c r="K1474" s="5" t="n">
        <v>45500</v>
      </c>
      <c r="L1474" t="inlineStr"/>
      <c r="M1474" s="6">
        <f>HYPERLINK("https://www.kleinanzeigen.de/s-anzeige/windsurf-segel-simmer-iron-5-7/2822658595-230-1900", "Link")</f>
        <v/>
      </c>
      <c r="N1474" s="6">
        <f>HYPERLINK("C:\Projects\Kleinanzeigen-Scraper\offer_images\2822658595", "Link")</f>
        <v/>
      </c>
      <c r="O1474" t="inlineStr">
        <is>
          <t>ARBS</t>
        </is>
      </c>
      <c r="P1474" s="6">
        <f>HYPERLINK("https://www.kleinanzeigen.de/s-bestandsliste.html?userId=4066764", "Link")</f>
        <v/>
      </c>
      <c r="Q1474" s="7" t="n">
        <v>45549.57380787037</v>
      </c>
      <c r="R1474" s="3" t="inlineStr">
        <is>
          <t>180.99</t>
        </is>
      </c>
      <c r="S1474" t="inlineStr">
        <is>
          <t>Köln</t>
        </is>
      </c>
    </row>
    <row r="1475">
      <c r="A1475" s="2" t="n">
        <v>4.2</v>
      </c>
      <c r="B1475" t="inlineStr">
        <is>
          <t>Sailloft</t>
        </is>
      </c>
      <c r="C1475" s="3" t="inlineStr"/>
      <c r="D1475" s="3" t="inlineStr"/>
      <c r="E1475" t="inlineStr"/>
      <c r="F1475" t="inlineStr"/>
      <c r="G1475" t="inlineStr">
        <is>
          <t>used</t>
        </is>
      </c>
      <c r="H1475" s="4" t="n">
        <v>49</v>
      </c>
      <c r="I1475" t="inlineStr">
        <is>
          <t>VB</t>
        </is>
      </c>
      <c r="J1475" t="inlineStr">
        <is>
          <t>18211 Bad Doberan - Landkreis - Bargeshagen</t>
        </is>
      </c>
      <c r="K1475" s="5" t="n">
        <v>45445</v>
      </c>
      <c r="L1475" t="inlineStr">
        <is>
          <t>Sold</t>
        </is>
      </c>
      <c r="M1475" s="6">
        <f>HYPERLINK("https://www.kleinanzeigen.de/s-anzeige/surfsegel-sailloft-4-2/2778397742-230-16583", "Link")</f>
        <v/>
      </c>
      <c r="N1475" s="6">
        <f>HYPERLINK("C:\Projects\Kleinanzeigen-Scraper\offer_images\2778397742", "Link")</f>
        <v/>
      </c>
      <c r="O1475" t="inlineStr">
        <is>
          <t>Rüchel</t>
        </is>
      </c>
      <c r="P1475" s="6">
        <f>HYPERLINK("https://www.kleinanzeigen.de/s-bestandsliste.html?userId=51374637", "Link")</f>
        <v/>
      </c>
      <c r="Q1475" s="7" t="n">
        <v>45549.57380787037</v>
      </c>
      <c r="R1475" s="3" t="inlineStr">
        <is>
          <t>490.50</t>
        </is>
      </c>
      <c r="S1475" t="inlineStr">
        <is>
          <t>Köln</t>
        </is>
      </c>
    </row>
    <row r="1476">
      <c r="A1476" s="2" t="n">
        <v>4.4</v>
      </c>
      <c r="B1476" t="inlineStr">
        <is>
          <t>Sailloft Quad</t>
        </is>
      </c>
      <c r="C1476" s="3" t="inlineStr"/>
      <c r="D1476" s="3" t="inlineStr"/>
      <c r="E1476" t="inlineStr"/>
      <c r="F1476" t="inlineStr">
        <is>
          <t>2023</t>
        </is>
      </c>
      <c r="G1476" t="inlineStr">
        <is>
          <t>used</t>
        </is>
      </c>
      <c r="H1476" s="4" t="n">
        <v>320</v>
      </c>
      <c r="I1476" t="inlineStr">
        <is>
          <t>VB</t>
        </is>
      </c>
      <c r="J1476" t="inlineStr">
        <is>
          <t>24118 Kiel - Ravensberg-Brunswik-Düsternbrook</t>
        </is>
      </c>
      <c r="K1476" s="5" t="n">
        <v>45543</v>
      </c>
      <c r="L1476" t="inlineStr"/>
      <c r="M1476" s="6">
        <f>HYPERLINK("https://www.kleinanzeigen.de/s-anzeige/sailloft-quad-2023-4-4/2857914461-230-704", "Link")</f>
        <v/>
      </c>
      <c r="N1476" s="6">
        <f>HYPERLINK("C:\Projects\Kleinanzeigen-Scraper\offer_images\2857914461", "Link")</f>
        <v/>
      </c>
      <c r="O1476" t="inlineStr">
        <is>
          <t>Raphael</t>
        </is>
      </c>
      <c r="P1476" s="6">
        <f>HYPERLINK("https://www.kleinanzeigen.de/s-bestandsliste.html?userId=25473199", "Link")</f>
        <v/>
      </c>
      <c r="Q1476" s="7" t="n">
        <v>45549.57378472222</v>
      </c>
      <c r="R1476" s="3" t="inlineStr">
        <is>
          <t>434.29</t>
        </is>
      </c>
      <c r="S1476" t="inlineStr">
        <is>
          <t>Köln</t>
        </is>
      </c>
    </row>
    <row r="1477">
      <c r="A1477" s="2" t="n">
        <v>7</v>
      </c>
      <c r="B1477" t="inlineStr">
        <is>
          <t>Sailloft Ultimate</t>
        </is>
      </c>
      <c r="C1477" s="3" t="n">
        <v>430</v>
      </c>
      <c r="D1477" s="3" t="inlineStr"/>
      <c r="E1477" t="inlineStr"/>
      <c r="F1477" t="inlineStr"/>
      <c r="G1477" t="inlineStr">
        <is>
          <t>used, repaired</t>
        </is>
      </c>
      <c r="H1477" s="4" t="n">
        <v>200</v>
      </c>
      <c r="I1477" t="inlineStr">
        <is>
          <t>VB</t>
        </is>
      </c>
      <c r="J1477" t="inlineStr">
        <is>
          <t>04279 Leipzig - Dölitz-Dösen</t>
        </is>
      </c>
      <c r="K1477" s="5" t="n">
        <v>45371</v>
      </c>
      <c r="L1477" t="inlineStr"/>
      <c r="M1477" s="6">
        <f>HYPERLINK("https://www.kleinanzeigen.de/s-anzeige/sailloft-ultimate-7-0-surfen-segel-kein-neilpryde-northsails/2711601874-230-4264", "Link")</f>
        <v/>
      </c>
      <c r="N1477" s="6">
        <f>HYPERLINK("C:\Projects\Kleinanzeigen-Scraper\offer_images\2711601874", "Link")</f>
        <v/>
      </c>
      <c r="O1477" t="inlineStr">
        <is>
          <t>Sammler</t>
        </is>
      </c>
      <c r="P1477" s="6">
        <f>HYPERLINK("https://www.kleinanzeigen.de/s-bestandsliste.html?userId=23034636", "Link")</f>
        <v/>
      </c>
      <c r="Q1477" s="7" t="n">
        <v>45549.57376157407</v>
      </c>
      <c r="R1477" s="3" t="inlineStr">
        <is>
          <t>356.18</t>
        </is>
      </c>
      <c r="S1477" t="inlineStr">
        <is>
          <t>München</t>
        </is>
      </c>
    </row>
    <row r="1478">
      <c r="A1478" s="2" t="n">
        <v>9</v>
      </c>
      <c r="B1478" t="inlineStr">
        <is>
          <t>Duotone NEO</t>
        </is>
      </c>
      <c r="C1478" s="3" t="inlineStr"/>
      <c r="D1478" s="3" t="inlineStr"/>
      <c r="E1478" t="inlineStr"/>
      <c r="F1478" t="inlineStr"/>
      <c r="G1478" t="inlineStr">
        <is>
          <t>new</t>
        </is>
      </c>
      <c r="H1478" s="4" t="n">
        <v>470</v>
      </c>
      <c r="I1478" t="inlineStr">
        <is>
          <t>VB</t>
        </is>
      </c>
      <c r="J1478" t="inlineStr">
        <is>
          <t>82319 Bayern - Starnberg</t>
        </is>
      </c>
      <c r="K1478" s="5" t="n">
        <v>45540</v>
      </c>
      <c r="L1478" t="inlineStr">
        <is>
          <t>Sold</t>
        </is>
      </c>
      <c r="M1478" s="6">
        <f>HYPERLINK("https://www.kleinanzeigen.de/s-anzeige/duotone-neo-9m/2854879150-230-5525", "Link")</f>
        <v/>
      </c>
      <c r="N1478" s="6">
        <f>HYPERLINK("C:\Projects\Kleinanzeigen-Scraper\offer_images\2854879150", "Link")</f>
        <v/>
      </c>
      <c r="O1478" t="inlineStr">
        <is>
          <t>Christian Emmerz</t>
        </is>
      </c>
      <c r="P1478" s="6">
        <f>HYPERLINK("https://www.kleinanzeigen.de/s-bestandsliste.html?userId=3213536", "Link")</f>
        <v/>
      </c>
      <c r="Q1478" s="7" t="n">
        <v>45549.57375</v>
      </c>
      <c r="R1478" s="3" t="inlineStr">
        <is>
          <t>23.17</t>
        </is>
      </c>
      <c r="S1478" t="inlineStr">
        <is>
          <t>München</t>
        </is>
      </c>
    </row>
    <row r="1479">
      <c r="A1479" s="2" t="n">
        <v>7.5</v>
      </c>
      <c r="B1479" t="inlineStr">
        <is>
          <t>Sailloft Cross</t>
        </is>
      </c>
      <c r="C1479" s="3" t="inlineStr"/>
      <c r="D1479" s="3" t="inlineStr"/>
      <c r="E1479" t="inlineStr"/>
      <c r="F1479" t="inlineStr"/>
      <c r="G1479" t="inlineStr">
        <is>
          <t>used</t>
        </is>
      </c>
      <c r="H1479" s="4" t="n">
        <v>250</v>
      </c>
      <c r="I1479" t="inlineStr"/>
      <c r="J1479" t="inlineStr">
        <is>
          <t>59320 Nordrhein-Westfalen - Ennigerloh</t>
        </is>
      </c>
      <c r="K1479" s="5" t="n">
        <v>45487</v>
      </c>
      <c r="L1479" t="inlineStr"/>
      <c r="M1479" s="6">
        <f>HYPERLINK("https://www.kleinanzeigen.de/s-anzeige/sailloft-cross-segel-7-5-m-windsurfen/2812407832-230-1439", "Link")</f>
        <v/>
      </c>
      <c r="N1479" s="6">
        <f>HYPERLINK("C:\Projects\Kleinanzeigen-Scraper\offer_images\2812407832", "Link")</f>
        <v/>
      </c>
      <c r="O1479" t="inlineStr">
        <is>
          <t>MD</t>
        </is>
      </c>
      <c r="P1479" s="6">
        <f>HYPERLINK("https://www.kleinanzeigen.de/s-bestandsliste.html?userId=14971628", "Link")</f>
        <v/>
      </c>
      <c r="Q1479" s="7" t="n">
        <v>45549.57372685185</v>
      </c>
      <c r="R1479" s="3" t="inlineStr">
        <is>
          <t>126.09</t>
        </is>
      </c>
      <c r="S1479" t="inlineStr">
        <is>
          <t>Köln</t>
        </is>
      </c>
    </row>
    <row r="1480">
      <c r="A1480" s="2" t="n">
        <v>4</v>
      </c>
      <c r="B1480" t="inlineStr">
        <is>
          <t>Duotone Super Hero</t>
        </is>
      </c>
      <c r="C1480" s="3" t="inlineStr"/>
      <c r="D1480" s="3" t="inlineStr"/>
      <c r="E1480" t="inlineStr"/>
      <c r="F1480" t="inlineStr">
        <is>
          <t>2023</t>
        </is>
      </c>
      <c r="G1480" t="inlineStr">
        <is>
          <t>used</t>
        </is>
      </c>
      <c r="H1480" s="4" t="n">
        <v>550</v>
      </c>
      <c r="I1480" t="inlineStr">
        <is>
          <t>VB</t>
        </is>
      </c>
      <c r="J1480" t="inlineStr">
        <is>
          <t>23769 Fehmarn - Westfehmarn</t>
        </is>
      </c>
      <c r="K1480" s="5" t="n">
        <v>45539</v>
      </c>
      <c r="L1480" t="inlineStr">
        <is>
          <t>Sold</t>
        </is>
      </c>
      <c r="M1480" s="6">
        <f>HYPERLINK("https://www.kleinanzeigen.de/s-anzeige/duotone-super-hero-4-0/2781224953-230-430", "Link")</f>
        <v/>
      </c>
      <c r="N1480" s="6">
        <f>HYPERLINK("C:\Projects\Kleinanzeigen-Scraper\offer_images\2781224953", "Link")</f>
        <v/>
      </c>
      <c r="O1480" t="inlineStr">
        <is>
          <t>No user name</t>
        </is>
      </c>
      <c r="P1480" s="6">
        <f>HYPERLINK("https://www.kleinanzeigen.deNo user link", "Link")</f>
        <v/>
      </c>
      <c r="Q1480" s="7" t="n">
        <v>45549.5737037037</v>
      </c>
      <c r="R1480" s="3" t="inlineStr">
        <is>
          <t>483.01</t>
        </is>
      </c>
      <c r="S1480" t="inlineStr">
        <is>
          <t>Köln</t>
        </is>
      </c>
    </row>
    <row r="1481">
      <c r="A1481" s="2" t="n">
        <v>7.4</v>
      </c>
      <c r="B1481" t="inlineStr">
        <is>
          <t>NEILPRYDE RS RACING EVO XII</t>
        </is>
      </c>
      <c r="C1481" s="3" t="n">
        <v>460</v>
      </c>
      <c r="D1481" s="3" t="inlineStr">
        <is>
          <t>201-208</t>
        </is>
      </c>
      <c r="E1481" t="inlineStr">
        <is>
          <t>Racing</t>
        </is>
      </c>
      <c r="F1481" t="inlineStr"/>
      <c r="G1481" t="inlineStr">
        <is>
          <t>used</t>
        </is>
      </c>
      <c r="H1481" s="4" t="n">
        <v>400</v>
      </c>
      <c r="I1481" t="inlineStr">
        <is>
          <t>VB</t>
        </is>
      </c>
      <c r="J1481" t="inlineStr">
        <is>
          <t>88074 Baden-Württemberg - Meckenbeuren</t>
        </is>
      </c>
      <c r="K1481" s="5" t="n">
        <v>45538</v>
      </c>
      <c r="L1481" t="inlineStr"/>
      <c r="M1481" s="6">
        <f>HYPERLINK("https://www.kleinanzeigen.de/s-anzeige/neilpryde-rs-racing-evo-xii-7-4qm/2853280096-230-8349", "Link")</f>
        <v/>
      </c>
      <c r="N1481" s="6">
        <f>HYPERLINK("C:\Projects\Kleinanzeigen-Scraper\offer_images\2853280096", "Link")</f>
        <v/>
      </c>
      <c r="O1481" t="inlineStr">
        <is>
          <t>Dennis E.</t>
        </is>
      </c>
      <c r="P1481" s="6">
        <f>HYPERLINK("https://www.kleinanzeigen.de/s-bestandsliste.html?userId=12947484", "Link")</f>
        <v/>
      </c>
      <c r="Q1481" s="7" t="n">
        <v>45549.57368055556</v>
      </c>
      <c r="R1481" s="3" t="inlineStr">
        <is>
          <t>93.37</t>
        </is>
      </c>
      <c r="S1481" t="inlineStr">
        <is>
          <t>Bonndorf</t>
        </is>
      </c>
    </row>
    <row r="1482">
      <c r="A1482" s="2" t="n">
        <v>3.3</v>
      </c>
      <c r="B1482" t="inlineStr">
        <is>
          <t>GUN Sails Energy Slalom</t>
        </is>
      </c>
      <c r="C1482" s="3" t="inlineStr"/>
      <c r="D1482" s="3" t="inlineStr"/>
      <c r="E1482" t="inlineStr"/>
      <c r="F1482" t="inlineStr"/>
      <c r="G1482" t="inlineStr">
        <is>
          <t>used</t>
        </is>
      </c>
      <c r="H1482" s="4" t="n">
        <v>58</v>
      </c>
      <c r="I1482" t="inlineStr">
        <is>
          <t>VB</t>
        </is>
      </c>
      <c r="J1482" t="inlineStr">
        <is>
          <t>91161 Bayern - Hilpoltstein</t>
        </is>
      </c>
      <c r="K1482" s="5" t="n">
        <v>45437</v>
      </c>
      <c r="L1482" t="inlineStr">
        <is>
          <t>Sold</t>
        </is>
      </c>
      <c r="M1482" s="6">
        <f>HYPERLINK("https://www.kleinanzeigen.de/s-anzeige/windsurfsegel-gun-sails-energy-slalom-3-3-qm/2770405118-230-5624", "Link")</f>
        <v/>
      </c>
      <c r="N1482" s="6">
        <f>HYPERLINK("C:\Projects\Kleinanzeigen-Scraper\offer_images\2770405118", "Link")</f>
        <v/>
      </c>
      <c r="O1482" t="inlineStr">
        <is>
          <t>Klaus</t>
        </is>
      </c>
      <c r="P1482" s="6">
        <f>HYPERLINK("https://www.kleinanzeigen.de/s-bestandsliste.html?userId=19666860", "Link")</f>
        <v/>
      </c>
      <c r="Q1482" s="7" t="n">
        <v>45549.57366898148</v>
      </c>
      <c r="R1482" s="3" t="inlineStr">
        <is>
          <t>118.01</t>
        </is>
      </c>
      <c r="S1482" t="inlineStr">
        <is>
          <t>München</t>
        </is>
      </c>
    </row>
    <row r="1483">
      <c r="A1483" s="2" t="n">
        <v>5.6</v>
      </c>
      <c r="B1483" t="inlineStr">
        <is>
          <t>Severne Freek</t>
        </is>
      </c>
      <c r="C1483" s="3" t="n">
        <v>430</v>
      </c>
      <c r="D1483" s="3" t="n">
        <v>176</v>
      </c>
      <c r="E1483" t="inlineStr"/>
      <c r="F1483" t="inlineStr"/>
      <c r="G1483" t="inlineStr">
        <is>
          <t>used</t>
        </is>
      </c>
      <c r="H1483" s="4" t="n">
        <v>165</v>
      </c>
      <c r="I1483" t="inlineStr"/>
      <c r="J1483" t="inlineStr">
        <is>
          <t>83471 Bayern - Berchtesgaden</t>
        </is>
      </c>
      <c r="K1483" s="5" t="n">
        <v>45547</v>
      </c>
      <c r="L1483" t="inlineStr"/>
      <c r="M1483" s="6">
        <f>HYPERLINK("https://www.kleinanzeigen.de/s-anzeige/severne-freek-5-6/2860874210-230-9604", "Link")</f>
        <v/>
      </c>
      <c r="N1483" s="6">
        <f>HYPERLINK("C:\Projects\Kleinanzeigen-Scraper\offer_images\2860874210", "Link")</f>
        <v/>
      </c>
      <c r="O1483" t="inlineStr">
        <is>
          <t>Christian Klubitschko</t>
        </is>
      </c>
      <c r="P1483" s="6">
        <f>HYPERLINK("https://www.kleinanzeigen.de/s-bestandsliste.html?userId=40415233", "Link")</f>
        <v/>
      </c>
      <c r="Q1483" s="7" t="n">
        <v>45549.57365740741</v>
      </c>
      <c r="R1483" s="3" t="inlineStr">
        <is>
          <t>123.65</t>
        </is>
      </c>
      <c r="S1483" t="inlineStr">
        <is>
          <t>München</t>
        </is>
      </c>
    </row>
    <row r="1484">
      <c r="A1484" s="2" t="n">
        <v>7</v>
      </c>
      <c r="B1484" t="inlineStr">
        <is>
          <t>Neilpryde RS Racing EVO</t>
        </is>
      </c>
      <c r="C1484" s="3" t="n">
        <v>471</v>
      </c>
      <c r="D1484" s="3" t="inlineStr">
        <is>
          <t>196-201</t>
        </is>
      </c>
      <c r="E1484" t="inlineStr">
        <is>
          <t>Racing</t>
        </is>
      </c>
      <c r="F1484" t="inlineStr"/>
      <c r="G1484" t="inlineStr"/>
      <c r="H1484" s="4" t="n">
        <v>150</v>
      </c>
      <c r="I1484" t="inlineStr"/>
      <c r="J1484" t="inlineStr">
        <is>
          <t>18211 Bad Doberan - Landkreis - Bargeshagen</t>
        </is>
      </c>
      <c r="K1484" s="5" t="n">
        <v>45541</v>
      </c>
      <c r="L1484" t="inlineStr"/>
      <c r="M1484" s="6">
        <f>HYPERLINK("https://www.kleinanzeigen.de/s-anzeige/neilpryde-rs-racing-evo-7-0qm-windsurfsegel/2855752378-230-16583", "Link")</f>
        <v/>
      </c>
      <c r="N1484" s="6">
        <f>HYPERLINK("C:\Projects\Kleinanzeigen-Scraper\offer_images\2855752378", "Link")</f>
        <v/>
      </c>
      <c r="O1484" t="inlineStr">
        <is>
          <t>Dirk</t>
        </is>
      </c>
      <c r="P1484" s="6">
        <f>HYPERLINK("https://www.kleinanzeigen.de/s-bestandsliste.html?userId=141661148", "Link")</f>
        <v/>
      </c>
      <c r="Q1484" s="7" t="n">
        <v>45549.57364583333</v>
      </c>
      <c r="R1484" s="3" t="inlineStr">
        <is>
          <t>490.50</t>
        </is>
      </c>
      <c r="S1484" t="inlineStr">
        <is>
          <t>Köln</t>
        </is>
      </c>
    </row>
    <row r="1485">
      <c r="A1485" s="2" t="n">
        <v>4.8</v>
      </c>
      <c r="B1485" t="inlineStr">
        <is>
          <t>Severne S-1 Pro</t>
        </is>
      </c>
      <c r="C1485" s="3" t="inlineStr"/>
      <c r="D1485" s="3" t="inlineStr"/>
      <c r="E1485" t="inlineStr"/>
      <c r="F1485" t="inlineStr">
        <is>
          <t>2021</t>
        </is>
      </c>
      <c r="G1485" t="inlineStr">
        <is>
          <t>used</t>
        </is>
      </c>
      <c r="H1485" s="4" t="n">
        <v>420</v>
      </c>
      <c r="I1485" t="inlineStr"/>
      <c r="J1485" t="inlineStr">
        <is>
          <t>85598 Bayern - Baldham</t>
        </is>
      </c>
      <c r="K1485" s="5" t="n">
        <v>44844</v>
      </c>
      <c r="L1485" t="inlineStr"/>
      <c r="M1485" s="6">
        <f>HYPERLINK("https://www.kleinanzeigen.de/s-anzeige/2021-severne-s-1-pro-4-8/2238301552-230-5580", "Link")</f>
        <v/>
      </c>
      <c r="N1485" s="6">
        <f>HYPERLINK("C:\Projects\Kleinanzeigen-Scraper\offer_images\2238301552", "Link")</f>
        <v/>
      </c>
      <c r="O1485" t="inlineStr">
        <is>
          <t>Florian Werndl-Laue</t>
        </is>
      </c>
      <c r="P1485" s="6">
        <f>HYPERLINK("https://www.kleinanzeigen.de/s-bestandsliste.html?userId=50731680", "Link")</f>
        <v/>
      </c>
      <c r="Q1485" s="7" t="n">
        <v>45549.57364583333</v>
      </c>
      <c r="R1485" s="3" t="inlineStr">
        <is>
          <t>16.41</t>
        </is>
      </c>
      <c r="S1485" t="inlineStr">
        <is>
          <t>München</t>
        </is>
      </c>
    </row>
    <row r="1486">
      <c r="A1486" s="2" t="n">
        <v>8.6</v>
      </c>
      <c r="B1486" t="inlineStr">
        <is>
          <t>Severne Mach 4</t>
        </is>
      </c>
      <c r="C1486" s="3" t="n">
        <v>430</v>
      </c>
      <c r="D1486" s="3" t="n">
        <v>222</v>
      </c>
      <c r="E1486" t="inlineStr"/>
      <c r="F1486" t="inlineStr"/>
      <c r="G1486" t="inlineStr">
        <is>
          <t>used</t>
        </is>
      </c>
      <c r="H1486" s="4" t="n">
        <v>425</v>
      </c>
      <c r="I1486" t="inlineStr">
        <is>
          <t>VB</t>
        </is>
      </c>
      <c r="J1486" t="inlineStr">
        <is>
          <t>51379 Nordrhein-Westfalen - Leverkusen</t>
        </is>
      </c>
      <c r="K1486" s="5" t="n">
        <v>45522</v>
      </c>
      <c r="L1486" t="inlineStr"/>
      <c r="M1486" s="6">
        <f>HYPERLINK("https://www.kleinanzeigen.de/s-anzeige/severne-mach-4-8-6-rabatt-fuer-jugendliche-siehe-beschreibung-/2839832060-230-1991", "Link")</f>
        <v/>
      </c>
      <c r="N1486" s="6">
        <f>HYPERLINK("C:\Projects\Kleinanzeigen-Scraper\offer_images\2839832060", "Link")</f>
        <v/>
      </c>
      <c r="O1486" t="inlineStr">
        <is>
          <t>Katharina</t>
        </is>
      </c>
      <c r="P1486" s="6">
        <f>HYPERLINK("https://www.kleinanzeigen.de/s-bestandsliste.html?userId=63873442", "Link")</f>
        <v/>
      </c>
      <c r="Q1486" s="7" t="n">
        <v>45549.57363425926</v>
      </c>
      <c r="R1486" s="3" t="inlineStr">
        <is>
          <t>14.88</t>
        </is>
      </c>
      <c r="S1486" t="inlineStr">
        <is>
          <t>Köln</t>
        </is>
      </c>
    </row>
    <row r="1487">
      <c r="A1487" s="2" t="n">
        <v>8.4</v>
      </c>
      <c r="B1487" t="inlineStr">
        <is>
          <t>RRD Fire</t>
        </is>
      </c>
      <c r="C1487" s="3" t="n">
        <v>490</v>
      </c>
      <c r="D1487" s="3" t="n">
        <v>220</v>
      </c>
      <c r="E1487" t="inlineStr"/>
      <c r="F1487" t="inlineStr"/>
      <c r="G1487" t="inlineStr">
        <is>
          <t>new</t>
        </is>
      </c>
      <c r="H1487" s="4" t="n">
        <v>120</v>
      </c>
      <c r="I1487" t="inlineStr">
        <is>
          <t>VB</t>
        </is>
      </c>
      <c r="J1487" t="inlineStr">
        <is>
          <t>94315 Bayern - Straubing</t>
        </is>
      </c>
      <c r="K1487" s="5" t="n">
        <v>45528</v>
      </c>
      <c r="L1487" t="inlineStr"/>
      <c r="M1487" s="6">
        <f>HYPERLINK("https://www.kleinanzeigen.de/s-anzeige/rrd-fire-8-4-no-cam-freerace-kein-point-7-np-ga/2845038967-230-7337", "Link")</f>
        <v/>
      </c>
      <c r="N1487" s="6">
        <f>HYPERLINK("C:\Projects\Kleinanzeigen-Scraper\offer_images\2845038967", "Link")</f>
        <v/>
      </c>
      <c r="O1487" t="inlineStr">
        <is>
          <t>markus</t>
        </is>
      </c>
      <c r="P1487" s="6">
        <f>HYPERLINK("https://www.kleinanzeigen.de/s-bestandsliste.html?userId=7206810", "Link")</f>
        <v/>
      </c>
      <c r="Q1487" s="7" t="n">
        <v>45549.57363425926</v>
      </c>
      <c r="R1487" s="3" t="inlineStr">
        <is>
          <t>110.14</t>
        </is>
      </c>
      <c r="S1487" t="inlineStr">
        <is>
          <t>München</t>
        </is>
      </c>
    </row>
    <row r="1488">
      <c r="A1488" s="2" t="n">
        <v>5</v>
      </c>
      <c r="B1488" t="inlineStr">
        <is>
          <t>Neilpryde V6</t>
        </is>
      </c>
      <c r="C1488" s="3" t="inlineStr"/>
      <c r="D1488" s="3" t="inlineStr"/>
      <c r="E1488" t="inlineStr"/>
      <c r="F1488" t="inlineStr"/>
      <c r="G1488" t="inlineStr"/>
      <c r="H1488" s="4" t="n">
        <v>25</v>
      </c>
      <c r="I1488" t="inlineStr"/>
      <c r="J1488" t="inlineStr">
        <is>
          <t>95444 Bayern - Bayreuth</t>
        </is>
      </c>
      <c r="K1488" s="5" t="n">
        <v>45521</v>
      </c>
      <c r="L1488" t="inlineStr"/>
      <c r="M1488" s="6">
        <f>HYPERLINK("https://www.kleinanzeigen.de/s-anzeige/neilpryde-v6-5-0-windsurfsegel/2839369249-230-7494", "Link")</f>
        <v/>
      </c>
      <c r="N1488" s="6">
        <f>HYPERLINK("C:\Projects\Kleinanzeigen-Scraper\offer_images\2839369249", "Link")</f>
        <v/>
      </c>
      <c r="O1488" t="inlineStr">
        <is>
          <t>R.Schäfer</t>
        </is>
      </c>
      <c r="P1488" s="6">
        <f>HYPERLINK("https://www.kleinanzeigen.de/s-bestandsliste.html?userId=3764992", "Link")</f>
        <v/>
      </c>
      <c r="Q1488" s="7" t="n">
        <v>45549.57361111111</v>
      </c>
      <c r="R1488" s="3" t="inlineStr">
        <is>
          <t>200.86</t>
        </is>
      </c>
      <c r="S1488" t="inlineStr">
        <is>
          <t>München</t>
        </is>
      </c>
    </row>
    <row r="1489">
      <c r="A1489" s="2" t="n">
        <v>4.7</v>
      </c>
      <c r="B1489" t="inlineStr">
        <is>
          <t>Goya Banzai</t>
        </is>
      </c>
      <c r="C1489" s="3" t="inlineStr"/>
      <c r="D1489" s="3" t="inlineStr"/>
      <c r="E1489" t="inlineStr">
        <is>
          <t>Wave</t>
        </is>
      </c>
      <c r="F1489" t="inlineStr"/>
      <c r="G1489" t="inlineStr">
        <is>
          <t>used</t>
        </is>
      </c>
      <c r="H1489" s="4" t="n">
        <v>222</v>
      </c>
      <c r="I1489" t="inlineStr">
        <is>
          <t>VB</t>
        </is>
      </c>
      <c r="J1489" t="inlineStr">
        <is>
          <t>28215 Findorff - Findorff-Bürgerweide</t>
        </is>
      </c>
      <c r="K1489" s="5" t="n">
        <v>45521</v>
      </c>
      <c r="L1489" t="inlineStr"/>
      <c r="M1489" s="6">
        <f>HYPERLINK("https://www.kleinanzeigen.de/s-anzeige/windsurf-segel-4-7-goya-banzai-wave/2839054447-230-38", "Link")</f>
        <v/>
      </c>
      <c r="N1489" s="6">
        <f>HYPERLINK("C:\Projects\Kleinanzeigen-Scraper\offer_images\2839054447", "Link")</f>
        <v/>
      </c>
      <c r="O1489" t="inlineStr">
        <is>
          <t>Dennis</t>
        </is>
      </c>
      <c r="P1489" s="6">
        <f>HYPERLINK("https://www.kleinanzeigen.de/s-bestandsliste.html?userId=4201410", "Link")</f>
        <v/>
      </c>
      <c r="Q1489" s="7" t="n">
        <v>45549.57359953703</v>
      </c>
      <c r="R1489" s="3" t="inlineStr">
        <is>
          <t>271.71</t>
        </is>
      </c>
      <c r="S1489" t="inlineStr">
        <is>
          <t>Köln</t>
        </is>
      </c>
    </row>
    <row r="1490">
      <c r="A1490" s="2" t="n">
        <v>6.4</v>
      </c>
      <c r="B1490" t="inlineStr">
        <is>
          <t>Point 7</t>
        </is>
      </c>
      <c r="C1490" s="3" t="n">
        <v>562</v>
      </c>
      <c r="D1490" s="3" t="n">
        <v>206</v>
      </c>
      <c r="E1490" t="inlineStr"/>
      <c r="F1490" t="inlineStr"/>
      <c r="G1490" t="inlineStr">
        <is>
          <t>repaired</t>
        </is>
      </c>
      <c r="H1490" s="4" t="n">
        <v>130</v>
      </c>
      <c r="I1490" t="inlineStr"/>
      <c r="J1490" t="inlineStr">
        <is>
          <t>52531 Nordrhein-Westfalen - Übach-Palenberg</t>
        </is>
      </c>
      <c r="K1490" s="5" t="n">
        <v>45524</v>
      </c>
      <c r="L1490" t="inlineStr"/>
      <c r="M1490" s="6">
        <f>HYPERLINK("https://www.kleinanzeigen.de/s-anzeige/point-7-6-4-qm-windsurfsegel/2842019760-230-1702", "Link")</f>
        <v/>
      </c>
      <c r="N1490" s="6">
        <f>HYPERLINK("C:\Projects\Kleinanzeigen-Scraper\offer_images\2842019760", "Link")</f>
        <v/>
      </c>
      <c r="O1490" t="inlineStr">
        <is>
          <t>Jörg Schwarz</t>
        </is>
      </c>
      <c r="P1490" s="6">
        <f>HYPERLINK("https://www.kleinanzeigen.de/s-bestandsliste.html?userId=6010672", "Link")</f>
        <v/>
      </c>
      <c r="Q1490" s="7" t="n">
        <v>45549.57359953703</v>
      </c>
      <c r="R1490" s="3" t="inlineStr">
        <is>
          <t>58.62</t>
        </is>
      </c>
      <c r="S1490" t="inlineStr">
        <is>
          <t>Köln</t>
        </is>
      </c>
    </row>
    <row r="1491">
      <c r="A1491" s="2" t="n">
        <v>3.1</v>
      </c>
      <c r="B1491" t="inlineStr">
        <is>
          <t>Simmer Blacktip</t>
        </is>
      </c>
      <c r="C1491" s="3" t="n">
        <v>340</v>
      </c>
      <c r="D1491" s="3" t="n">
        <v>131</v>
      </c>
      <c r="E1491" t="inlineStr"/>
      <c r="F1491" t="inlineStr">
        <is>
          <t>2023</t>
        </is>
      </c>
      <c r="G1491" t="inlineStr">
        <is>
          <t>new</t>
        </is>
      </c>
      <c r="H1491" s="4" t="n">
        <v>285</v>
      </c>
      <c r="I1491" t="inlineStr"/>
      <c r="J1491" t="inlineStr">
        <is>
          <t>31515 Niedersachsen - Wunstorf</t>
        </is>
      </c>
      <c r="K1491" s="5" t="n">
        <v>45518</v>
      </c>
      <c r="L1491" t="inlineStr">
        <is>
          <t>Sold</t>
        </is>
      </c>
      <c r="M1491" s="6">
        <f>HYPERLINK("https://www.kleinanzeigen.de/s-anzeige/simmer-blacktip-windsurf-segel-2023-unbenutzt-/2836388040-230-2930", "Link")</f>
        <v/>
      </c>
      <c r="N1491" s="6">
        <f>HYPERLINK("C:\Projects\Kleinanzeigen-Scraper\offer_images\2836388040", "Link")</f>
        <v/>
      </c>
      <c r="O1491" t="inlineStr">
        <is>
          <t>Serge L.</t>
        </is>
      </c>
      <c r="P1491" s="6">
        <f>HYPERLINK("https://www.kleinanzeigen.de/s-bestandsliste.html?userId=6779191", "Link")</f>
        <v/>
      </c>
      <c r="Q1491" s="7" t="n">
        <v>45549.57357638889</v>
      </c>
      <c r="R1491" s="3" t="inlineStr">
        <is>
          <t>236.47</t>
        </is>
      </c>
      <c r="S1491" t="inlineStr">
        <is>
          <t>Köln</t>
        </is>
      </c>
    </row>
    <row r="1492">
      <c r="A1492" s="2" t="n">
        <v>8.1</v>
      </c>
      <c r="B1492" t="inlineStr">
        <is>
          <t>Gun Sails Stream</t>
        </is>
      </c>
      <c r="C1492" s="3" t="n">
        <v>502</v>
      </c>
      <c r="D1492" s="3" t="n">
        <v>216</v>
      </c>
      <c r="E1492" t="inlineStr">
        <is>
          <t>Freeride</t>
        </is>
      </c>
      <c r="F1492" t="inlineStr"/>
      <c r="G1492" t="inlineStr">
        <is>
          <t>new</t>
        </is>
      </c>
      <c r="H1492" s="4" t="n">
        <v>430</v>
      </c>
      <c r="I1492" t="inlineStr">
        <is>
          <t>VB</t>
        </is>
      </c>
      <c r="J1492" t="inlineStr">
        <is>
          <t>73614 Baden-Württemberg - Schorndorf</t>
        </is>
      </c>
      <c r="K1492" s="5" t="n">
        <v>45528</v>
      </c>
      <c r="L1492" t="inlineStr"/>
      <c r="M1492" s="6">
        <f>HYPERLINK("https://www.kleinanzeigen.de/s-anzeige/surfsegel-gun-sails-stream-8-1qm/2845029729-230-8415", "Link")</f>
        <v/>
      </c>
      <c r="N1492" s="6">
        <f>HYPERLINK("C:\Projects\Kleinanzeigen-Scraper\offer_images\2845029729", "Link")</f>
        <v/>
      </c>
      <c r="O1492" t="inlineStr">
        <is>
          <t>Joachim Völker</t>
        </is>
      </c>
      <c r="P1492" s="6">
        <f>HYPERLINK("https://www.kleinanzeigen.de/s-bestandsliste.html?userId=44901542", "Link")</f>
        <v/>
      </c>
      <c r="Q1492" s="7" t="n">
        <v>45549.57357638889</v>
      </c>
      <c r="R1492" s="3" t="inlineStr">
        <is>
          <t>42.17</t>
        </is>
      </c>
      <c r="S1492" t="inlineStr">
        <is>
          <t>Böblingen</t>
        </is>
      </c>
    </row>
    <row r="1493">
      <c r="A1493" s="2" t="n">
        <v>4.2</v>
      </c>
      <c r="B1493" t="inlineStr">
        <is>
          <t>Gun Sails Hammer</t>
        </is>
      </c>
      <c r="C1493" s="3" t="n">
        <v>389</v>
      </c>
      <c r="D1493" s="3" t="n">
        <v>151</v>
      </c>
      <c r="E1493" t="inlineStr">
        <is>
          <t>Wave</t>
        </is>
      </c>
      <c r="F1493" t="inlineStr"/>
      <c r="G1493" t="inlineStr">
        <is>
          <t>used</t>
        </is>
      </c>
      <c r="H1493" s="4" t="n">
        <v>35</v>
      </c>
      <c r="I1493" t="inlineStr"/>
      <c r="J1493" t="inlineStr">
        <is>
          <t>40545 Düsseldorf - Oberkassel</t>
        </is>
      </c>
      <c r="K1493" s="5" t="n">
        <v>45395</v>
      </c>
      <c r="L1493" t="inlineStr"/>
      <c r="M1493" s="6">
        <f>HYPERLINK("https://www.kleinanzeigen.de/s-anzeige/gun-sails-4-2-hammer-tiptop-fast-neu/2733413724-230-2071", "Link")</f>
        <v/>
      </c>
      <c r="N1493" s="6">
        <f>HYPERLINK("C:\Projects\Kleinanzeigen-Scraper\offer_images\2733413724", "Link")</f>
        <v/>
      </c>
      <c r="O1493" t="inlineStr">
        <is>
          <t>Frank Paschke</t>
        </is>
      </c>
      <c r="P1493" s="6">
        <f>HYPERLINK("https://www.kleinanzeigen.de/s-bestandsliste.html?userId=20896549", "Link")</f>
        <v/>
      </c>
      <c r="Q1493" s="7" t="n">
        <v>45549.57357638889</v>
      </c>
      <c r="R1493" s="3" t="inlineStr">
        <is>
          <t>35.10</t>
        </is>
      </c>
      <c r="S1493" t="inlineStr">
        <is>
          <t>Köln</t>
        </is>
      </c>
    </row>
    <row r="1494">
      <c r="A1494" s="2" t="n">
        <v>4.2</v>
      </c>
      <c r="B1494" t="inlineStr">
        <is>
          <t>Ezzy Zeta</t>
        </is>
      </c>
      <c r="C1494" s="3" t="n">
        <v>370</v>
      </c>
      <c r="D1494" s="3" t="inlineStr">
        <is>
          <t>148-157</t>
        </is>
      </c>
      <c r="E1494" t="inlineStr"/>
      <c r="F1494" t="inlineStr">
        <is>
          <t>2022</t>
        </is>
      </c>
      <c r="G1494" t="inlineStr">
        <is>
          <t>used</t>
        </is>
      </c>
      <c r="H1494" s="4" t="n">
        <v>400</v>
      </c>
      <c r="I1494" t="inlineStr">
        <is>
          <t>VB</t>
        </is>
      </c>
      <c r="J1494" t="inlineStr">
        <is>
          <t>22339 Hamburg-Nord - Hamburg Fuhlsbüttel</t>
        </is>
      </c>
      <c r="K1494" s="5" t="n">
        <v>45401</v>
      </c>
      <c r="L1494" t="inlineStr"/>
      <c r="M1494" s="6">
        <f>HYPERLINK("https://www.kleinanzeigen.de/s-anzeige/ezzy-zeta-4-2/2739520878-230-9478", "Link")</f>
        <v/>
      </c>
      <c r="N1494" s="6">
        <f>HYPERLINK("C:\Projects\Kleinanzeigen-Scraper\offer_images\2739520878", "Link")</f>
        <v/>
      </c>
      <c r="O1494" t="inlineStr">
        <is>
          <t>Juan Martinez</t>
        </is>
      </c>
      <c r="P1494" s="6">
        <f>HYPERLINK("https://www.kleinanzeigen.de/s-bestandsliste.html?userId=19986880", "Link")</f>
        <v/>
      </c>
      <c r="Q1494" s="7" t="n">
        <v>45549.57355324074</v>
      </c>
      <c r="R1494" s="3" t="inlineStr">
        <is>
          <t>366.73</t>
        </is>
      </c>
      <c r="S1494" t="inlineStr">
        <is>
          <t>Köln</t>
        </is>
      </c>
    </row>
    <row r="1495">
      <c r="A1495" s="2" t="n">
        <v>6.2</v>
      </c>
      <c r="B1495" t="inlineStr">
        <is>
          <t>North X-over</t>
        </is>
      </c>
      <c r="C1495" s="3" t="inlineStr"/>
      <c r="D1495" s="3" t="inlineStr"/>
      <c r="E1495" t="inlineStr">
        <is>
          <t>Wave</t>
        </is>
      </c>
      <c r="F1495" t="inlineStr">
        <is>
          <t>2023</t>
        </is>
      </c>
      <c r="G1495" t="inlineStr">
        <is>
          <t>new</t>
        </is>
      </c>
      <c r="H1495" s="4" t="n">
        <v>640</v>
      </c>
      <c r="I1495" t="inlineStr">
        <is>
          <t>VB</t>
        </is>
      </c>
      <c r="J1495" t="inlineStr">
        <is>
          <t>26465 Niedersachsen - Langeoog</t>
        </is>
      </c>
      <c r="K1495" s="5" t="n">
        <v>45542</v>
      </c>
      <c r="L1495" t="inlineStr">
        <is>
          <t>Sold</t>
        </is>
      </c>
      <c r="M1495" s="6">
        <f>HYPERLINK("https://www.kleinanzeigen.de/s-anzeige/north-segel-x-over-2023-6-2/2856513730-230-2480", "Link")</f>
        <v/>
      </c>
      <c r="N1495" s="6">
        <f>HYPERLINK("C:\Projects\Kleinanzeigen-Scraper\offer_images\2856513730", "Link")</f>
        <v/>
      </c>
      <c r="O1495" t="inlineStr">
        <is>
          <t>Tidens Surfhuus</t>
        </is>
      </c>
      <c r="P1495" s="6">
        <f>HYPERLINK("https://www.kleinanzeigen.de/s-bestandsliste.html?userId=122521264", "Link")</f>
        <v/>
      </c>
      <c r="Q1495" s="7" t="n">
        <v>45549.57355324074</v>
      </c>
      <c r="R1495" s="3" t="inlineStr">
        <is>
          <t>314.45</t>
        </is>
      </c>
      <c r="S1495" t="inlineStr">
        <is>
          <t>Köln</t>
        </is>
      </c>
    </row>
    <row r="1496">
      <c r="A1496" s="2" t="n">
        <v>7</v>
      </c>
      <c r="B1496" t="inlineStr">
        <is>
          <t>Severne Hyper Glide 6</t>
        </is>
      </c>
      <c r="C1496" s="3" t="n">
        <v>460</v>
      </c>
      <c r="D1496" s="3" t="n">
        <v>198</v>
      </c>
      <c r="E1496" t="inlineStr"/>
      <c r="F1496" t="inlineStr">
        <is>
          <t>2023</t>
        </is>
      </c>
      <c r="G1496" t="inlineStr">
        <is>
          <t>used</t>
        </is>
      </c>
      <c r="H1496" s="4" t="n">
        <v>730</v>
      </c>
      <c r="I1496" t="inlineStr">
        <is>
          <t>VB</t>
        </is>
      </c>
      <c r="J1496" t="inlineStr">
        <is>
          <t>24217 Schleswig-Holstein - Schönberg (Holstein)</t>
        </is>
      </c>
      <c r="K1496" s="5" t="n">
        <v>45529</v>
      </c>
      <c r="L1496" t="inlineStr"/>
      <c r="M1496" s="6">
        <f>HYPERLINK("https://www.kleinanzeigen.de/s-anzeige/severne-foil-slalom-segel-hyperglide-6-in-7-0m2/2846426303-230-18587", "Link")</f>
        <v/>
      </c>
      <c r="N1496" s="6">
        <f>HYPERLINK("C:\Projects\Kleinanzeigen-Scraper\offer_images\2846426303", "Link")</f>
        <v/>
      </c>
      <c r="O1496" t="inlineStr">
        <is>
          <t>Malte Büchler</t>
        </is>
      </c>
      <c r="P1496" s="6">
        <f>HYPERLINK("https://www.kleinanzeigen.de/s-bestandsliste.html?userId=10736115", "Link")</f>
        <v/>
      </c>
      <c r="Q1496" s="7" t="n">
        <v>45549.57355324074</v>
      </c>
      <c r="R1496" s="3" t="inlineStr">
        <is>
          <t>447.79</t>
        </is>
      </c>
      <c r="S1496" t="inlineStr">
        <is>
          <t>Köln</t>
        </is>
      </c>
    </row>
    <row r="1497">
      <c r="A1497" s="2" t="n">
        <v>5.8</v>
      </c>
      <c r="B1497" t="inlineStr">
        <is>
          <t>Ezzy Wave SE</t>
        </is>
      </c>
      <c r="C1497" s="3" t="n">
        <v>430</v>
      </c>
      <c r="D1497" s="3" t="n">
        <v>183</v>
      </c>
      <c r="E1497" t="inlineStr">
        <is>
          <t>Wave</t>
        </is>
      </c>
      <c r="F1497" t="inlineStr"/>
      <c r="G1497" t="inlineStr">
        <is>
          <t>used</t>
        </is>
      </c>
      <c r="H1497" s="4" t="n">
        <v>100</v>
      </c>
      <c r="I1497" t="inlineStr"/>
      <c r="J1497" t="inlineStr">
        <is>
          <t>23795 Schleswig-Holstein - Bad Segeberg</t>
        </is>
      </c>
      <c r="K1497" s="5" t="n">
        <v>45548</v>
      </c>
      <c r="L1497" t="inlineStr"/>
      <c r="M1497" s="6">
        <f>HYPERLINK("https://www.kleinanzeigen.de/s-anzeige/ezzy-wave-se-5-8/2862342665-230-13372", "Link")</f>
        <v/>
      </c>
      <c r="N1497" s="6">
        <f>HYPERLINK("C:\Projects\Kleinanzeigen-Scraper\offer_images\2862342665", "Link")</f>
        <v/>
      </c>
      <c r="O1497" t="inlineStr">
        <is>
          <t>H.P.</t>
        </is>
      </c>
      <c r="P1497" s="6">
        <f>HYPERLINK("https://www.kleinanzeigen.de/s-bestandsliste.html?userId=3587719", "Link")</f>
        <v/>
      </c>
      <c r="Q1497" s="7" t="n">
        <v>45549.5735300926</v>
      </c>
      <c r="R1497" s="3" t="inlineStr">
        <is>
          <t>402.01</t>
        </is>
      </c>
      <c r="S1497" t="inlineStr">
        <is>
          <t>Köln</t>
        </is>
      </c>
    </row>
    <row r="1498">
      <c r="A1498" s="2" t="n">
        <v>6.8</v>
      </c>
      <c r="B1498" t="inlineStr">
        <is>
          <t>Duotone Warp</t>
        </is>
      </c>
      <c r="C1498" s="3" t="n">
        <v>4.83</v>
      </c>
      <c r="D1498" s="3" t="inlineStr"/>
      <c r="E1498" t="inlineStr">
        <is>
          <t>Slalom</t>
        </is>
      </c>
      <c r="F1498" t="inlineStr">
        <is>
          <t>2023</t>
        </is>
      </c>
      <c r="G1498" t="inlineStr">
        <is>
          <t>repaired</t>
        </is>
      </c>
      <c r="H1498" s="4" t="n">
        <v>220</v>
      </c>
      <c r="I1498" t="inlineStr"/>
      <c r="J1498" t="inlineStr">
        <is>
          <t>21493 Herzogtum Lauenburg - Schwarzenbek</t>
        </is>
      </c>
      <c r="K1498" s="5" t="n">
        <v>45544</v>
      </c>
      <c r="L1498" t="inlineStr">
        <is>
          <t>Sold</t>
        </is>
      </c>
      <c r="M1498" s="6">
        <f>HYPERLINK("https://www.kleinanzeigen.de/s-anzeige/duotone-warp-6-8-slalom-segel-kein-mach-ac1-evo/2858401236-230-746", "Link")</f>
        <v/>
      </c>
      <c r="N1498" s="6">
        <f>HYPERLINK("C:\Projects\Kleinanzeigen-Scraper\offer_images\2858401236", "Link")</f>
        <v/>
      </c>
      <c r="O1498" t="inlineStr">
        <is>
          <t>Sebastian</t>
        </is>
      </c>
      <c r="P1498" s="6">
        <f>HYPERLINK("https://www.kleinanzeigen.de/s-bestandsliste.html?userId=141573193", "Link")</f>
        <v/>
      </c>
      <c r="Q1498" s="7" t="n">
        <v>45549.5735300926</v>
      </c>
      <c r="R1498" s="3" t="inlineStr">
        <is>
          <t>378.85</t>
        </is>
      </c>
      <c r="S1498" t="inlineStr">
        <is>
          <t>Köln</t>
        </is>
      </c>
    </row>
    <row r="1499">
      <c r="A1499" s="2" t="n">
        <v>4.2</v>
      </c>
      <c r="B1499" t="inlineStr">
        <is>
          <t>Ezzy Zeta</t>
        </is>
      </c>
      <c r="C1499" s="3" t="n">
        <v>370</v>
      </c>
      <c r="D1499" s="3" t="n">
        <v>157</v>
      </c>
      <c r="E1499" t="inlineStr"/>
      <c r="F1499" t="inlineStr">
        <is>
          <t>2022</t>
        </is>
      </c>
      <c r="G1499" t="inlineStr">
        <is>
          <t>used</t>
        </is>
      </c>
      <c r="H1499" s="4" t="n">
        <v>400</v>
      </c>
      <c r="I1499" t="inlineStr">
        <is>
          <t>VB</t>
        </is>
      </c>
      <c r="J1499" t="inlineStr">
        <is>
          <t>22339 Hamburg-Nord - Hamburg Fuhlsbüttel</t>
        </is>
      </c>
      <c r="K1499" s="5" t="n">
        <v>45401</v>
      </c>
      <c r="L1499" t="inlineStr"/>
      <c r="M1499" s="6">
        <f>HYPERLINK("https://www.kleinanzeigen.de/s-anzeige/ezzy-zeta-4-2/2739518215-230-9478", "Link")</f>
        <v/>
      </c>
      <c r="N1499" s="6">
        <f>HYPERLINK("C:\Projects\Kleinanzeigen-Scraper\offer_images\2739518215", "Link")</f>
        <v/>
      </c>
      <c r="O1499" t="inlineStr">
        <is>
          <t>Juan Martinez</t>
        </is>
      </c>
      <c r="P1499" s="6">
        <f>HYPERLINK("https://www.kleinanzeigen.de/s-bestandsliste.html?userId=19986880", "Link")</f>
        <v/>
      </c>
      <c r="Q1499" s="7" t="n">
        <v>45549.57350694444</v>
      </c>
      <c r="R1499" s="3" t="inlineStr">
        <is>
          <t>366.73</t>
        </is>
      </c>
      <c r="S1499" t="inlineStr">
        <is>
          <t>Köln</t>
        </is>
      </c>
    </row>
    <row r="1500">
      <c r="A1500" s="2" t="n">
        <v>3.3</v>
      </c>
      <c r="B1500" t="inlineStr">
        <is>
          <t>Neilpryde Fly</t>
        </is>
      </c>
      <c r="C1500" s="3" t="inlineStr"/>
      <c r="D1500" s="3" t="inlineStr"/>
      <c r="E1500" t="inlineStr"/>
      <c r="F1500" t="inlineStr"/>
      <c r="G1500" t="inlineStr">
        <is>
          <t>used</t>
        </is>
      </c>
      <c r="H1500" s="4" t="n">
        <v>440</v>
      </c>
      <c r="I1500" t="inlineStr">
        <is>
          <t>VB</t>
        </is>
      </c>
      <c r="J1500" t="inlineStr">
        <is>
          <t>82256 Bayern - Fürstenfeldbruck</t>
        </is>
      </c>
      <c r="K1500" s="5" t="n">
        <v>45539</v>
      </c>
      <c r="L1500" t="inlineStr">
        <is>
          <t>Sold</t>
        </is>
      </c>
      <c r="M1500" s="6">
        <f>HYPERLINK("https://www.kleinanzeigen.de/s-anzeige/wing-neillpryde-fly-3-3-qm-fast-neu-wingsurfer-foil-no-duotone/2854510843-230-6311", "Link")</f>
        <v/>
      </c>
      <c r="N1500" s="6">
        <f>HYPERLINK("C:\Projects\Kleinanzeigen-Scraper\offer_images\2854510843", "Link")</f>
        <v/>
      </c>
      <c r="O1500" t="inlineStr">
        <is>
          <t>Privat</t>
        </is>
      </c>
      <c r="P1500" s="6">
        <f>HYPERLINK("https://www.kleinanzeigen.de/s-bestandsliste.html?userId=34533756", "Link")</f>
        <v/>
      </c>
      <c r="Q1500" s="7" t="n">
        <v>45549.57350694444</v>
      </c>
      <c r="R1500" s="3" t="inlineStr">
        <is>
          <t>25.37</t>
        </is>
      </c>
      <c r="S1500" t="inlineStr">
        <is>
          <t>München</t>
        </is>
      </c>
    </row>
    <row r="1501">
      <c r="A1501" s="2" t="n">
        <v>7.7</v>
      </c>
      <c r="B1501" t="inlineStr">
        <is>
          <t>Neilpryde Ryde</t>
        </is>
      </c>
      <c r="C1501" s="3" t="inlineStr"/>
      <c r="D1501" s="3" t="inlineStr"/>
      <c r="E1501" t="inlineStr"/>
      <c r="F1501" t="inlineStr">
        <is>
          <t>2021</t>
        </is>
      </c>
      <c r="G1501" t="inlineStr">
        <is>
          <t>used</t>
        </is>
      </c>
      <c r="H1501" s="4" t="n">
        <v>225</v>
      </c>
      <c r="I1501" t="inlineStr">
        <is>
          <t>VB</t>
        </is>
      </c>
      <c r="J1501" t="inlineStr">
        <is>
          <t>82024 Kr. München - Taufkirchen</t>
        </is>
      </c>
      <c r="K1501" s="5" t="n">
        <v>45521</v>
      </c>
      <c r="L1501" t="inlineStr"/>
      <c r="M1501" s="6">
        <f>HYPERLINK("https://www.kleinanzeigen.de/s-anzeige/neilpryde-ryde-7-7-modell-2021-/2838825848-230-19863", "Link")</f>
        <v/>
      </c>
      <c r="N1501" s="6">
        <f>HYPERLINK("C:\Projects\Kleinanzeigen-Scraper\offer_images\2838825848", "Link")</f>
        <v/>
      </c>
      <c r="O1501" t="inlineStr">
        <is>
          <t>Stefan</t>
        </is>
      </c>
      <c r="P1501" s="6">
        <f>HYPERLINK("https://www.kleinanzeigen.de/s-bestandsliste.html?userId=37080424", "Link")</f>
        <v/>
      </c>
      <c r="Q1501" s="7" t="n">
        <v>45549.5734837963</v>
      </c>
      <c r="R1501" s="3" t="inlineStr">
        <is>
          <t>11.52</t>
        </is>
      </c>
      <c r="S1501" t="inlineStr">
        <is>
          <t>München</t>
        </is>
      </c>
    </row>
    <row r="1502">
      <c r="A1502" s="2" t="n">
        <v>5.6</v>
      </c>
      <c r="B1502" t="inlineStr">
        <is>
          <t>Point 7 AC1</t>
        </is>
      </c>
      <c r="C1502" s="3" t="inlineStr"/>
      <c r="D1502" s="3" t="inlineStr"/>
      <c r="E1502" t="inlineStr"/>
      <c r="F1502" t="inlineStr"/>
      <c r="G1502" t="inlineStr">
        <is>
          <t>used</t>
        </is>
      </c>
      <c r="H1502" s="4" t="n">
        <v>250</v>
      </c>
      <c r="I1502" t="inlineStr"/>
      <c r="J1502" t="inlineStr">
        <is>
          <t>10245 Friedrichshain-Kreuzberg - Friedrichshain</t>
        </is>
      </c>
      <c r="K1502" s="5" t="n">
        <v>45532</v>
      </c>
      <c r="L1502" t="inlineStr"/>
      <c r="M1502" s="6">
        <f>HYPERLINK("https://www.kleinanzeigen.de/s-anzeige/windsurfsegel-point-7-ac1-5-6/2848424131-230-3352", "Link")</f>
        <v/>
      </c>
      <c r="N1502" s="6">
        <f>HYPERLINK("C:\Projects\Kleinanzeigen-Scraper\offer_images\2848424131", "Link")</f>
        <v/>
      </c>
      <c r="O1502" t="inlineStr">
        <is>
          <t>Andreas</t>
        </is>
      </c>
      <c r="P1502" s="6">
        <f>HYPERLINK("https://www.kleinanzeigen.de/s-bestandsliste.html?userId=69753985", "Link")</f>
        <v/>
      </c>
      <c r="Q1502" s="7" t="n">
        <v>45549.5734837963</v>
      </c>
      <c r="R1502" s="3" t="inlineStr">
        <is>
          <t>480.20</t>
        </is>
      </c>
      <c r="S1502" t="inlineStr">
        <is>
          <t>Köln</t>
        </is>
      </c>
    </row>
    <row r="1503">
      <c r="A1503" s="2" t="n">
        <v>9.6</v>
      </c>
      <c r="B1503" t="inlineStr">
        <is>
          <t>Loftsails Racing Blade</t>
        </is>
      </c>
      <c r="C1503" s="3" t="n">
        <v>520</v>
      </c>
      <c r="D1503" s="3" t="n">
        <v>244</v>
      </c>
      <c r="E1503" t="inlineStr"/>
      <c r="F1503" t="inlineStr"/>
      <c r="G1503" t="inlineStr">
        <is>
          <t>used</t>
        </is>
      </c>
      <c r="H1503" s="4" t="inlineStr"/>
      <c r="I1503" t="inlineStr">
        <is>
          <t>VB</t>
        </is>
      </c>
      <c r="J1503" t="inlineStr">
        <is>
          <t>36326 Hessen - Antrifttal</t>
        </is>
      </c>
      <c r="K1503" s="5" t="n">
        <v>45473</v>
      </c>
      <c r="L1503" t="inlineStr"/>
      <c r="M1503" s="6">
        <f>HYPERLINK("https://www.kleinanzeigen.de/s-anzeige/loftsails-racing-blade-9-6-windsurf-segel/2800760783-230-19928", "Link")</f>
        <v/>
      </c>
      <c r="N1503" s="6">
        <f>HYPERLINK("C:\Projects\Kleinanzeigen-Scraper\offer_images\2800760783", "Link")</f>
        <v/>
      </c>
      <c r="O1503" t="inlineStr">
        <is>
          <t>Luigi Coppola</t>
        </is>
      </c>
      <c r="P1503" s="6">
        <f>HYPERLINK("https://www.kleinanzeigen.de/s-bestandsliste.html?userId=46070077", "Link")</f>
        <v/>
      </c>
      <c r="Q1503" s="7" t="n">
        <v>45549.5734837963</v>
      </c>
      <c r="R1503" s="3" t="inlineStr">
        <is>
          <t>157.33</t>
        </is>
      </c>
      <c r="S1503" t="inlineStr">
        <is>
          <t>Köln</t>
        </is>
      </c>
    </row>
    <row r="1504">
      <c r="A1504" s="2" t="n">
        <v>3.5</v>
      </c>
      <c r="B1504" t="inlineStr">
        <is>
          <t>Gun Sails Seal</t>
        </is>
      </c>
      <c r="C1504" s="3" t="inlineStr"/>
      <c r="D1504" s="3" t="inlineStr"/>
      <c r="E1504" t="inlineStr"/>
      <c r="F1504" t="inlineStr"/>
      <c r="G1504" t="inlineStr">
        <is>
          <t>used</t>
        </is>
      </c>
      <c r="H1504" s="4" t="n">
        <v>250</v>
      </c>
      <c r="I1504" t="inlineStr">
        <is>
          <t>VB</t>
        </is>
      </c>
      <c r="J1504" t="inlineStr">
        <is>
          <t>24103 Kiel - Mitte</t>
        </is>
      </c>
      <c r="K1504" s="5" t="n">
        <v>45543</v>
      </c>
      <c r="L1504" t="inlineStr">
        <is>
          <t>Sold</t>
        </is>
      </c>
      <c r="M1504" s="6">
        <f>HYPERLINK("https://www.kleinanzeigen.de/s-anzeige/windsurfsegel-gun-sails-seal-3-5/2857588184-230-710", "Link")</f>
        <v/>
      </c>
      <c r="N1504" s="6">
        <f>HYPERLINK("C:\Projects\Kleinanzeigen-Scraper\offer_images\2857588184", "Link")</f>
        <v/>
      </c>
      <c r="O1504" t="inlineStr">
        <is>
          <t>Sonja Lugowski</t>
        </is>
      </c>
      <c r="P1504" s="6">
        <f>HYPERLINK("https://www.kleinanzeigen.de/s-bestandsliste.html?userId=83263294", "Link")</f>
        <v/>
      </c>
      <c r="Q1504" s="7" t="n">
        <v>45549.57346064815</v>
      </c>
      <c r="R1504" s="3" t="inlineStr">
        <is>
          <t>433.13</t>
        </is>
      </c>
      <c r="S1504" t="inlineStr">
        <is>
          <t>Köln</t>
        </is>
      </c>
    </row>
    <row r="1505">
      <c r="A1505" s="2" t="n">
        <v>4.7</v>
      </c>
      <c r="B1505" t="inlineStr">
        <is>
          <t>Sailloft Curve</t>
        </is>
      </c>
      <c r="C1505" s="3" t="inlineStr"/>
      <c r="D1505" s="3" t="inlineStr"/>
      <c r="E1505" t="inlineStr"/>
      <c r="F1505" t="inlineStr"/>
      <c r="G1505" t="inlineStr">
        <is>
          <t>damaged</t>
        </is>
      </c>
      <c r="H1505" s="4" t="n">
        <v>70</v>
      </c>
      <c r="I1505" t="inlineStr">
        <is>
          <t>VB</t>
        </is>
      </c>
      <c r="J1505" t="inlineStr">
        <is>
          <t>24118 Kiel - Ravensberg-Brunswik-Düsternbrook</t>
        </is>
      </c>
      <c r="K1505" s="5" t="n">
        <v>45527</v>
      </c>
      <c r="L1505" t="inlineStr"/>
      <c r="M1505" s="6">
        <f>HYPERLINK("https://www.kleinanzeigen.de/s-anzeige/sailloft-curve-4-7/2844365273-230-704", "Link")</f>
        <v/>
      </c>
      <c r="N1505" s="6">
        <f>HYPERLINK("C:\Projects\Kleinanzeigen-Scraper\offer_images\2844365273", "Link")</f>
        <v/>
      </c>
      <c r="O1505" t="inlineStr">
        <is>
          <t>NB</t>
        </is>
      </c>
      <c r="P1505" s="6">
        <f>HYPERLINK("https://www.kleinanzeigen.de/s-bestandsliste.html?userId=31136821", "Link")</f>
        <v/>
      </c>
      <c r="Q1505" s="7" t="n">
        <v>45549.57346064815</v>
      </c>
      <c r="R1505" s="3" t="inlineStr">
        <is>
          <t>434.29</t>
        </is>
      </c>
      <c r="S1505" t="inlineStr">
        <is>
          <t>Köln</t>
        </is>
      </c>
    </row>
    <row r="1506">
      <c r="A1506" s="2" t="n">
        <v>7</v>
      </c>
      <c r="B1506" t="inlineStr">
        <is>
          <t>Sailloft Ultimate</t>
        </is>
      </c>
      <c r="C1506" s="3" t="n">
        <v>430</v>
      </c>
      <c r="D1506" s="3" t="inlineStr"/>
      <c r="E1506" t="inlineStr">
        <is>
          <t>Slalom</t>
        </is>
      </c>
      <c r="F1506" t="inlineStr">
        <is>
          <t>2019</t>
        </is>
      </c>
      <c r="G1506" t="inlineStr">
        <is>
          <t>used</t>
        </is>
      </c>
      <c r="H1506" s="4" t="n">
        <v>270</v>
      </c>
      <c r="I1506" t="inlineStr"/>
      <c r="J1506" t="inlineStr">
        <is>
          <t>22045 Wandsbek - Hamburg Tonndorf</t>
        </is>
      </c>
      <c r="K1506" s="5" t="n">
        <v>45444</v>
      </c>
      <c r="L1506" t="inlineStr"/>
      <c r="M1506" s="6">
        <f>HYPERLINK("https://www.kleinanzeigen.de/s-anzeige/sailloft-ultimate-7-0-slalom-segel-aus-2019/2776960727-230-17135", "Link")</f>
        <v/>
      </c>
      <c r="N1506" s="6">
        <f>HYPERLINK("C:\Projects\Kleinanzeigen-Scraper\offer_images\2776960727", "Link")</f>
        <v/>
      </c>
      <c r="O1506" t="inlineStr">
        <is>
          <t>Nadia J.</t>
        </is>
      </c>
      <c r="P1506" s="6">
        <f>HYPERLINK("https://www.kleinanzeigen.de/s-bestandsliste.html?userId=79389459", "Link")</f>
        <v/>
      </c>
      <c r="Q1506" s="7" t="n">
        <v>45549.57344907407</v>
      </c>
      <c r="R1506" s="3" t="inlineStr">
        <is>
          <t>364.91</t>
        </is>
      </c>
      <c r="S1506" t="inlineStr">
        <is>
          <t>Köln</t>
        </is>
      </c>
    </row>
    <row r="1507">
      <c r="A1507" s="2" t="n">
        <v>4.2</v>
      </c>
      <c r="B1507" t="inlineStr">
        <is>
          <t>Severne Blade</t>
        </is>
      </c>
      <c r="C1507" s="3" t="n">
        <v>370</v>
      </c>
      <c r="D1507" s="3" t="n">
        <v>157</v>
      </c>
      <c r="E1507" t="inlineStr">
        <is>
          <t>Wave</t>
        </is>
      </c>
      <c r="F1507" t="inlineStr">
        <is>
          <t>2022</t>
        </is>
      </c>
      <c r="G1507" t="inlineStr">
        <is>
          <t>new</t>
        </is>
      </c>
      <c r="H1507" s="4" t="n">
        <v>650</v>
      </c>
      <c r="I1507" t="inlineStr">
        <is>
          <t>VB</t>
        </is>
      </c>
      <c r="J1507" t="inlineStr">
        <is>
          <t>23769 Kreis Ostholstein - Fehmarn</t>
        </is>
      </c>
      <c r="K1507" s="5" t="n">
        <v>45539</v>
      </c>
      <c r="L1507" t="inlineStr">
        <is>
          <t>Sold</t>
        </is>
      </c>
      <c r="M1507" s="6">
        <f>HYPERLINK("https://www.kleinanzeigen.de/s-anzeige/severne-blade-4-2-segel/2854011519-230-19951", "Link")</f>
        <v/>
      </c>
      <c r="N1507" s="6">
        <f>HYPERLINK("C:\Projects\Kleinanzeigen-Scraper\offer_images\2854011519", "Link")</f>
        <v/>
      </c>
      <c r="O1507" t="inlineStr">
        <is>
          <t>Hermann</t>
        </is>
      </c>
      <c r="P1507" s="6">
        <f>HYPERLINK("https://www.kleinanzeigen.de/s-bestandsliste.html?userId=84019987", "Link")</f>
        <v/>
      </c>
      <c r="Q1507" s="7" t="n">
        <v>45549.57337962963</v>
      </c>
      <c r="R1507" s="3" t="inlineStr">
        <is>
          <t>483.01</t>
        </is>
      </c>
      <c r="S1507" t="inlineStr">
        <is>
          <t>Köln</t>
        </is>
      </c>
    </row>
    <row r="1508">
      <c r="A1508" s="2" t="n">
        <v>4.5</v>
      </c>
      <c r="B1508" t="inlineStr">
        <is>
          <t>Neilpryde The Fly2</t>
        </is>
      </c>
      <c r="C1508" s="3" t="inlineStr"/>
      <c r="D1508" s="3" t="inlineStr"/>
      <c r="E1508" t="inlineStr"/>
      <c r="F1508" t="inlineStr"/>
      <c r="G1508" t="inlineStr">
        <is>
          <t>used</t>
        </is>
      </c>
      <c r="H1508" s="4" t="n">
        <v>50</v>
      </c>
      <c r="I1508" t="inlineStr">
        <is>
          <t>VB</t>
        </is>
      </c>
      <c r="J1508" t="inlineStr">
        <is>
          <t>38120 Niedersachsen - Braunschweig</t>
        </is>
      </c>
      <c r="K1508" s="5" t="n">
        <v>45527</v>
      </c>
      <c r="L1508" t="inlineStr"/>
      <c r="M1508" s="6">
        <f>HYPERLINK("https://www.kleinanzeigen.de/s-anzeige/segel-neilpryde-4-5-the-fly2/2844232555-230-2453", "Link")</f>
        <v/>
      </c>
      <c r="N1508" s="6">
        <f>HYPERLINK("C:\Projects\Kleinanzeigen-Scraper\offer_images\2844232555", "Link")</f>
        <v/>
      </c>
      <c r="O1508" t="inlineStr">
        <is>
          <t>Rico</t>
        </is>
      </c>
      <c r="P1508" s="6">
        <f>HYPERLINK("https://www.kleinanzeigen.de/s-bestandsliste.html?userId=12353639", "Link")</f>
        <v/>
      </c>
      <c r="Q1508" s="7" t="n">
        <v>45549.57335648148</v>
      </c>
      <c r="R1508" s="3" t="inlineStr">
        <is>
          <t>283.50</t>
        </is>
      </c>
      <c r="S1508" t="inlineStr">
        <is>
          <t>Köln</t>
        </is>
      </c>
    </row>
    <row r="1509">
      <c r="A1509" s="2" t="n">
        <v>5.8</v>
      </c>
      <c r="B1509" t="inlineStr">
        <is>
          <t>Loftsails Oxygen HD</t>
        </is>
      </c>
      <c r="C1509" s="3" t="n">
        <v>426</v>
      </c>
      <c r="D1509" s="3" t="n">
        <v>192</v>
      </c>
      <c r="E1509" t="inlineStr"/>
      <c r="F1509" t="inlineStr"/>
      <c r="G1509" t="inlineStr">
        <is>
          <t>used</t>
        </is>
      </c>
      <c r="H1509" s="4" t="n">
        <v>350</v>
      </c>
      <c r="I1509" t="inlineStr"/>
      <c r="J1509" t="inlineStr">
        <is>
          <t>84095 Kr. Landshut - Furth</t>
        </is>
      </c>
      <c r="K1509" s="5" t="n">
        <v>45539</v>
      </c>
      <c r="L1509" t="inlineStr">
        <is>
          <t>Sold</t>
        </is>
      </c>
      <c r="M1509" s="6">
        <f>HYPERLINK("https://www.kleinanzeigen.de/s-anzeige/loftsails-oxygen-hd-5-8qm/2854531679-230-6398", "Link")</f>
        <v/>
      </c>
      <c r="N1509" s="6">
        <f>HYPERLINK("C:\Projects\Kleinanzeigen-Scraper\offer_images\2854531679", "Link")</f>
        <v/>
      </c>
      <c r="O1509" t="inlineStr">
        <is>
          <t>Niro</t>
        </is>
      </c>
      <c r="P1509" s="6">
        <f>HYPERLINK("https://www.kleinanzeigen.de/s-bestandsliste.html?userId=22205576", "Link")</f>
        <v/>
      </c>
      <c r="Q1509" s="7" t="n">
        <v>45549.57333333333</v>
      </c>
      <c r="R1509" s="3" t="inlineStr">
        <is>
          <t>60.37</t>
        </is>
      </c>
      <c r="S1509" t="inlineStr">
        <is>
          <t>München</t>
        </is>
      </c>
    </row>
    <row r="1510">
      <c r="A1510" s="2" t="n">
        <v>6</v>
      </c>
      <c r="B1510" t="inlineStr">
        <is>
          <t>Simmer Style Freezone</t>
        </is>
      </c>
      <c r="C1510" s="3" t="n">
        <v>460</v>
      </c>
      <c r="D1510" s="3" t="n">
        <v>185</v>
      </c>
      <c r="E1510" t="inlineStr"/>
      <c r="F1510" t="inlineStr"/>
      <c r="G1510" t="inlineStr"/>
      <c r="H1510" s="4" t="n">
        <v>100</v>
      </c>
      <c r="I1510" t="inlineStr"/>
      <c r="J1510" t="inlineStr">
        <is>
          <t>12555 Berlin - Köpenick</t>
        </is>
      </c>
      <c r="K1510" s="5" t="n">
        <v>44786</v>
      </c>
      <c r="L1510" t="inlineStr">
        <is>
          <t>Sold</t>
        </is>
      </c>
      <c r="M1510" s="6">
        <f>HYPERLINK("https://www.kleinanzeigen.de/s-anzeige/windsurfsegel-simmer-style-freezone-6-0/2181987784-230-3365", "Link")</f>
        <v/>
      </c>
      <c r="N1510" s="6">
        <f>HYPERLINK("C:\Projects\Kleinanzeigen-Scraper\offer_images\2181987784", "Link")</f>
        <v/>
      </c>
      <c r="O1510" t="inlineStr">
        <is>
          <t>Eber</t>
        </is>
      </c>
      <c r="P1510" s="6">
        <f>HYPERLINK("https://www.kleinanzeigen.de/s-bestandsliste.html?userId=21519154", "Link")</f>
        <v/>
      </c>
      <c r="Q1510" s="7" t="n">
        <v>45549.57332175926</v>
      </c>
      <c r="R1510" s="3" t="inlineStr">
        <is>
          <t>487.27</t>
        </is>
      </c>
      <c r="S1510" t="inlineStr">
        <is>
          <t>Köln</t>
        </is>
      </c>
    </row>
    <row r="1511">
      <c r="A1511" s="2" t="n">
        <v>5.7</v>
      </c>
      <c r="B1511" t="inlineStr">
        <is>
          <t>Gun Sails Torro</t>
        </is>
      </c>
      <c r="C1511" s="3" t="n">
        <v>430</v>
      </c>
      <c r="D1511" s="3" t="n">
        <v>180</v>
      </c>
      <c r="E1511" t="inlineStr"/>
      <c r="F1511" t="inlineStr"/>
      <c r="G1511" t="inlineStr">
        <is>
          <t>used, repaired</t>
        </is>
      </c>
      <c r="H1511" s="4" t="n">
        <v>80</v>
      </c>
      <c r="I1511" t="inlineStr"/>
      <c r="J1511" t="inlineStr">
        <is>
          <t>45721 Nordrhein-Westfalen - Haltern am See</t>
        </is>
      </c>
      <c r="K1511" s="5" t="n">
        <v>45502</v>
      </c>
      <c r="L1511" t="inlineStr">
        <is>
          <t>Sold</t>
        </is>
      </c>
      <c r="M1511" s="6">
        <f>HYPERLINK("https://www.kleinanzeigen.de/s-anzeige/gun-sails-segel-torro-5-7-gunsails/2824563099-230-1336", "Link")</f>
        <v/>
      </c>
      <c r="N1511" s="6">
        <f>HYPERLINK("C:\Projects\Kleinanzeigen-Scraper\offer_images\2824563099", "Link")</f>
        <v/>
      </c>
      <c r="O1511" t="inlineStr">
        <is>
          <t>Alexander</t>
        </is>
      </c>
      <c r="P1511" s="6">
        <f>HYPERLINK("https://www.kleinanzeigen.de/s-bestandsliste.html?userId=1171247", "Link")</f>
        <v/>
      </c>
      <c r="Q1511" s="7" t="n">
        <v>45549.57331018519</v>
      </c>
      <c r="R1511" s="3" t="inlineStr">
        <is>
          <t>95.03</t>
        </is>
      </c>
      <c r="S1511" t="inlineStr">
        <is>
          <t>Köln</t>
        </is>
      </c>
    </row>
    <row r="1512">
      <c r="A1512" s="2" t="n">
        <v>7.5</v>
      </c>
      <c r="B1512" t="inlineStr">
        <is>
          <t>Point7 ACX</t>
        </is>
      </c>
      <c r="C1512" s="3" t="inlineStr"/>
      <c r="D1512" s="3" t="inlineStr"/>
      <c r="E1512" t="inlineStr"/>
      <c r="F1512" t="inlineStr"/>
      <c r="G1512" t="inlineStr">
        <is>
          <t>used</t>
        </is>
      </c>
      <c r="H1512" s="4" t="n">
        <v>160</v>
      </c>
      <c r="I1512" t="inlineStr">
        <is>
          <t>VB</t>
        </is>
      </c>
      <c r="J1512" t="inlineStr">
        <is>
          <t>97469 Bayern - Gochsheim</t>
        </is>
      </c>
      <c r="K1512" s="5" t="n">
        <v>45417</v>
      </c>
      <c r="L1512" t="inlineStr"/>
      <c r="M1512" s="6">
        <f>HYPERLINK("https://www.kleinanzeigen.de/s-anzeige/point7-acx-7-5-m/2753608918-230-6853", "Link")</f>
        <v/>
      </c>
      <c r="N1512" s="6">
        <f>HYPERLINK("C:\Projects\Kleinanzeigen-Scraper\offer_images\2753608918", "Link")</f>
        <v/>
      </c>
      <c r="O1512" t="inlineStr">
        <is>
          <t>Patrick Kern</t>
        </is>
      </c>
      <c r="P1512" s="6">
        <f>HYPERLINK("https://www.kleinanzeigen.de/s-bestandsliste.html?userId=8221036", "Link")</f>
        <v/>
      </c>
      <c r="Q1512" s="7" t="n">
        <v>45549.57331018519</v>
      </c>
      <c r="R1512" s="3" t="inlineStr">
        <is>
          <t>177.32</t>
        </is>
      </c>
      <c r="S1512" t="inlineStr">
        <is>
          <t>Böblingen</t>
        </is>
      </c>
    </row>
    <row r="1513">
      <c r="A1513" s="2" t="n">
        <v>4</v>
      </c>
      <c r="B1513" t="inlineStr">
        <is>
          <t>Gun Sails Wave Mc</t>
        </is>
      </c>
      <c r="C1513" s="3" t="inlineStr"/>
      <c r="D1513" s="3" t="inlineStr"/>
      <c r="E1513" t="inlineStr">
        <is>
          <t>Wave</t>
        </is>
      </c>
      <c r="F1513" t="inlineStr"/>
      <c r="G1513" t="inlineStr">
        <is>
          <t>used</t>
        </is>
      </c>
      <c r="H1513" s="4" t="n">
        <v>100</v>
      </c>
      <c r="I1513" t="inlineStr"/>
      <c r="J1513" t="inlineStr">
        <is>
          <t>59199 Nordrhein-Westfalen - Bönen</t>
        </is>
      </c>
      <c r="K1513" s="5" t="n">
        <v>45438</v>
      </c>
      <c r="L1513" t="inlineStr">
        <is>
          <t>Sold</t>
        </is>
      </c>
      <c r="M1513" s="6">
        <f>HYPERLINK("https://www.kleinanzeigen.de/s-anzeige/gun-sails-wave-mc-4-0m2-windsurfen/2771513547-230-1444", "Link")</f>
        <v/>
      </c>
      <c r="N1513" s="6">
        <f>HYPERLINK("C:\Projects\Kleinanzeigen-Scraper\offer_images\2771513547", "Link")</f>
        <v/>
      </c>
      <c r="O1513" t="inlineStr">
        <is>
          <t>R R</t>
        </is>
      </c>
      <c r="P1513" s="6">
        <f>HYPERLINK("https://www.kleinanzeigen.de/s-bestandsliste.html?userId=7416314", "Link")</f>
        <v/>
      </c>
      <c r="Q1513" s="7" t="n">
        <v>45549.57331018519</v>
      </c>
      <c r="R1513" s="3" t="inlineStr">
        <is>
          <t>91.63</t>
        </is>
      </c>
      <c r="S1513" t="inlineStr">
        <is>
          <t>Köln</t>
        </is>
      </c>
    </row>
    <row r="1514">
      <c r="A1514" s="2" t="n">
        <v>7.2</v>
      </c>
      <c r="B1514" t="inlineStr">
        <is>
          <t>Neilpryde Hellcat</t>
        </is>
      </c>
      <c r="C1514" s="3" t="inlineStr"/>
      <c r="D1514" s="3" t="inlineStr"/>
      <c r="E1514" t="inlineStr"/>
      <c r="F1514" t="inlineStr"/>
      <c r="G1514" t="inlineStr">
        <is>
          <t>used</t>
        </is>
      </c>
      <c r="H1514" s="4" t="n">
        <v>180</v>
      </c>
      <c r="I1514" t="inlineStr">
        <is>
          <t>VB</t>
        </is>
      </c>
      <c r="J1514" t="inlineStr">
        <is>
          <t>82178 Bayern - Puchheim</t>
        </is>
      </c>
      <c r="K1514" s="5" t="n">
        <v>45544</v>
      </c>
      <c r="L1514" t="inlineStr"/>
      <c r="M1514" s="6">
        <f>HYPERLINK("https://www.kleinanzeigen.de/s-anzeige/neilpryde-hellcat-7-2qm/2858871463-230-5599", "Link")</f>
        <v/>
      </c>
      <c r="N1514" s="6">
        <f>HYPERLINK("C:\Projects\Kleinanzeigen-Scraper\offer_images\2858871463", "Link")</f>
        <v/>
      </c>
      <c r="O1514" t="inlineStr">
        <is>
          <t>Uflacker</t>
        </is>
      </c>
      <c r="P1514" s="6">
        <f>HYPERLINK("https://www.kleinanzeigen.de/s-bestandsliste.html?userId=5770146", "Link")</f>
        <v/>
      </c>
      <c r="Q1514" s="7" t="n">
        <v>45549.57328703703</v>
      </c>
      <c r="R1514" s="3" t="inlineStr">
        <is>
          <t>17.38</t>
        </is>
      </c>
      <c r="S1514" t="inlineStr">
        <is>
          <t>München</t>
        </is>
      </c>
    </row>
    <row r="1515">
      <c r="A1515" s="2" t="n">
        <v>9</v>
      </c>
      <c r="B1515" t="inlineStr">
        <is>
          <t>Severne HGO (Hyper Glide Olympia)</t>
        </is>
      </c>
      <c r="C1515" s="3" t="inlineStr"/>
      <c r="D1515" s="3" t="inlineStr"/>
      <c r="E1515" t="inlineStr"/>
      <c r="F1515" t="inlineStr"/>
      <c r="G1515" t="inlineStr">
        <is>
          <t>used</t>
        </is>
      </c>
      <c r="H1515" s="4" t="n">
        <v>450</v>
      </c>
      <c r="I1515" t="inlineStr">
        <is>
          <t>VB</t>
        </is>
      </c>
      <c r="J1515" t="inlineStr">
        <is>
          <t>24105 Schleswig-Holstein - Kiel</t>
        </is>
      </c>
      <c r="K1515" s="5" t="n">
        <v>45452</v>
      </c>
      <c r="L1515" t="inlineStr"/>
      <c r="M1515" s="6">
        <f>HYPERLINK("https://www.kleinanzeigen.de/s-anzeige/severne-hgo-9-0-hyper-glide-olympia-iq-foil/2783478232-230-708", "Link")</f>
        <v/>
      </c>
      <c r="N1515" s="6">
        <f>HYPERLINK("C:\Projects\Kleinanzeigen-Scraper\offer_images\2783478232", "Link")</f>
        <v/>
      </c>
      <c r="O1515" t="inlineStr">
        <is>
          <t>Felix</t>
        </is>
      </c>
      <c r="P1515" s="6">
        <f>HYPERLINK("https://www.kleinanzeigen.de/s-bestandsliste.html?userId=47395745", "Link")</f>
        <v/>
      </c>
      <c r="Q1515" s="7" t="n">
        <v>45549.57327546296</v>
      </c>
      <c r="R1515" s="3" t="inlineStr">
        <is>
          <t>435.05</t>
        </is>
      </c>
      <c r="S1515" t="inlineStr">
        <is>
          <t>Köln</t>
        </is>
      </c>
    </row>
    <row r="1516">
      <c r="A1516" s="2" t="n">
        <v>6.9</v>
      </c>
      <c r="B1516" t="inlineStr">
        <is>
          <t>Goya Nexus</t>
        </is>
      </c>
      <c r="C1516" s="3" t="inlineStr"/>
      <c r="D1516" s="3" t="inlineStr"/>
      <c r="E1516" t="inlineStr">
        <is>
          <t>Freeride</t>
        </is>
      </c>
      <c r="F1516" t="inlineStr">
        <is>
          <t>2020</t>
        </is>
      </c>
      <c r="G1516" t="inlineStr">
        <is>
          <t>used</t>
        </is>
      </c>
      <c r="H1516" s="4" t="n">
        <v>330</v>
      </c>
      <c r="I1516" t="inlineStr"/>
      <c r="J1516" t="inlineStr">
        <is>
          <t>50321 Nordrhein-Westfalen - Brühl</t>
        </is>
      </c>
      <c r="K1516" s="5" t="n">
        <v>45519</v>
      </c>
      <c r="L1516" t="inlineStr">
        <is>
          <t>Sold</t>
        </is>
      </c>
      <c r="M1516" s="6">
        <f>HYPERLINK("https://www.kleinanzeigen.de/s-anzeige/goya-nexus-6-9-top/2837175083-230-1158", "Link")</f>
        <v/>
      </c>
      <c r="N1516" s="6">
        <f>HYPERLINK("C:\Projects\Kleinanzeigen-Scraper\offer_images\2837175083", "Link")</f>
        <v/>
      </c>
      <c r="O1516" t="inlineStr">
        <is>
          <t>Charlie</t>
        </is>
      </c>
      <c r="P1516" s="6">
        <f>HYPERLINK("https://www.kleinanzeigen.de/s-bestandsliste.html?userId=12517484", "Link")</f>
        <v/>
      </c>
      <c r="Q1516" s="7" t="n">
        <v>45549.57327546296</v>
      </c>
      <c r="R1516" s="3" t="inlineStr">
        <is>
          <t>14.26</t>
        </is>
      </c>
      <c r="S1516" t="inlineStr">
        <is>
          <t>Köln</t>
        </is>
      </c>
    </row>
    <row r="1517">
      <c r="A1517" s="2" t="n">
        <v>8.199999999999999</v>
      </c>
      <c r="B1517" t="inlineStr">
        <is>
          <t>Neil Pryde H2</t>
        </is>
      </c>
      <c r="C1517" s="3" t="inlineStr"/>
      <c r="D1517" s="3" t="inlineStr"/>
      <c r="E1517" t="inlineStr"/>
      <c r="F1517" t="inlineStr"/>
      <c r="G1517" t="inlineStr">
        <is>
          <t>new</t>
        </is>
      </c>
      <c r="H1517" s="4" t="n">
        <v>222</v>
      </c>
      <c r="I1517" t="inlineStr">
        <is>
          <t>VB</t>
        </is>
      </c>
      <c r="J1517" t="inlineStr">
        <is>
          <t>82515 Bayern - Wolfratshausen</t>
        </is>
      </c>
      <c r="K1517" s="5" t="n">
        <v>45493</v>
      </c>
      <c r="L1517" t="inlineStr">
        <is>
          <t>Sold</t>
        </is>
      </c>
      <c r="M1517" s="6">
        <f>HYPERLINK("https://www.kleinanzeigen.de/s-anzeige/neil-pryde-h2-neilpryde-8-2/2816827683-230-5540", "Link")</f>
        <v/>
      </c>
      <c r="N1517" s="6">
        <f>HYPERLINK("C:\Projects\Kleinanzeigen-Scraper\offer_images\2816827683", "Link")</f>
        <v/>
      </c>
      <c r="O1517" t="inlineStr">
        <is>
          <t>Gerhard Radlmayr</t>
        </is>
      </c>
      <c r="P1517" s="6">
        <f>HYPERLINK("https://www.kleinanzeigen.de/s-bestandsliste.html?userId=12219456", "Link")</f>
        <v/>
      </c>
      <c r="Q1517" s="7" t="n">
        <v>45549.57326388889</v>
      </c>
      <c r="R1517" s="3" t="inlineStr">
        <is>
          <t>27.06</t>
        </is>
      </c>
      <c r="S1517" t="inlineStr">
        <is>
          <t>München</t>
        </is>
      </c>
    </row>
    <row r="1518">
      <c r="A1518" s="2" t="n">
        <v>8</v>
      </c>
      <c r="B1518" t="inlineStr">
        <is>
          <t>Neilpryde V6</t>
        </is>
      </c>
      <c r="C1518" s="3" t="inlineStr"/>
      <c r="D1518" s="3" t="inlineStr"/>
      <c r="E1518" t="inlineStr"/>
      <c r="F1518" t="inlineStr"/>
      <c r="G1518" t="inlineStr">
        <is>
          <t>used</t>
        </is>
      </c>
      <c r="H1518" s="4" t="n">
        <v>70</v>
      </c>
      <c r="I1518" t="inlineStr"/>
      <c r="J1518" t="inlineStr">
        <is>
          <t>24539 Schleswig-Holstein - Neumünster</t>
        </is>
      </c>
      <c r="K1518" s="5" t="n">
        <v>45536</v>
      </c>
      <c r="L1518" t="inlineStr"/>
      <c r="M1518" s="6">
        <f>HYPERLINK("https://www.kleinanzeigen.de/s-anzeige/neilpryde-segel-v6-in-8-m2/2851423596-230-648", "Link")</f>
        <v/>
      </c>
      <c r="N1518" s="6">
        <f>HYPERLINK("C:\Projects\Kleinanzeigen-Scraper\offer_images\2851423596", "Link")</f>
        <v/>
      </c>
      <c r="O1518" t="inlineStr">
        <is>
          <t>Frank</t>
        </is>
      </c>
      <c r="P1518" s="6">
        <f>HYPERLINK("https://www.kleinanzeigen.de/s-bestandsliste.html?userId=21856366", "Link")</f>
        <v/>
      </c>
      <c r="Q1518" s="7" t="n">
        <v>45549.57325231482</v>
      </c>
      <c r="R1518" s="3" t="inlineStr">
        <is>
          <t>402.09</t>
        </is>
      </c>
      <c r="S1518" t="inlineStr">
        <is>
          <t>Köln</t>
        </is>
      </c>
    </row>
    <row r="1519">
      <c r="A1519" s="2" t="n">
        <v>2.5</v>
      </c>
      <c r="B1519" t="inlineStr">
        <is>
          <t>TEN CATE</t>
        </is>
      </c>
      <c r="C1519" s="3" t="n">
        <v>4.26</v>
      </c>
      <c r="D1519" s="3" t="inlineStr"/>
      <c r="E1519" t="inlineStr"/>
      <c r="F1519" t="inlineStr">
        <is>
          <t>1980</t>
        </is>
      </c>
      <c r="G1519" t="inlineStr">
        <is>
          <t>new</t>
        </is>
      </c>
      <c r="H1519" s="4" t="n">
        <v>128</v>
      </c>
      <c r="I1519" t="inlineStr"/>
      <c r="J1519" t="inlineStr">
        <is>
          <t>37124 Niedersachsen - Rosdorf</t>
        </is>
      </c>
      <c r="K1519" s="5" t="n">
        <v>45549</v>
      </c>
      <c r="L1519" t="inlineStr">
        <is>
          <t>Sold</t>
        </is>
      </c>
      <c r="M1519" s="6">
        <f>HYPERLINK("https://www.kleinanzeigen.de/s-anzeige/vintage-ten-cate-windsurf-segel-80er-jahre-gb-2-5-m-1339-/2737603791-230-3133", "Link")</f>
        <v/>
      </c>
      <c r="N1519" s="6">
        <f>HYPERLINK("C:\Projects\Kleinanzeigen-Scraper\offer_images\2737603791", "Link")</f>
        <v/>
      </c>
      <c r="O1519" t="inlineStr">
        <is>
          <t>No user name</t>
        </is>
      </c>
      <c r="P1519" s="6">
        <f>HYPERLINK("https://www.kleinanzeigen.deNo user link", "Link")</f>
        <v/>
      </c>
      <c r="Q1519" s="7" t="n">
        <v>45549.57322916666</v>
      </c>
      <c r="R1519" s="3" t="inlineStr">
        <is>
          <t>214.72</t>
        </is>
      </c>
      <c r="S1519" t="inlineStr">
        <is>
          <t>Köln</t>
        </is>
      </c>
    </row>
    <row r="1520">
      <c r="A1520" s="2" t="n">
        <v>6.9</v>
      </c>
      <c r="B1520" t="inlineStr">
        <is>
          <t>Gun Sails Stream</t>
        </is>
      </c>
      <c r="C1520" s="3" t="n">
        <v>457</v>
      </c>
      <c r="D1520" s="3" t="n">
        <v>198</v>
      </c>
      <c r="E1520" t="inlineStr"/>
      <c r="F1520" t="inlineStr"/>
      <c r="G1520" t="inlineStr">
        <is>
          <t>used</t>
        </is>
      </c>
      <c r="H1520" s="4" t="n">
        <v>300</v>
      </c>
      <c r="I1520" t="inlineStr"/>
      <c r="J1520" t="inlineStr">
        <is>
          <t>23795 Schleswig-Holstein - Bad Segeberg</t>
        </is>
      </c>
      <c r="K1520" s="5" t="n">
        <v>45548</v>
      </c>
      <c r="L1520" t="inlineStr"/>
      <c r="M1520" s="6">
        <f>HYPERLINK("https://www.kleinanzeigen.de/s-anzeige/gun-sails-stream-6-9-top-zustand/2862331477-230-13372", "Link")</f>
        <v/>
      </c>
      <c r="N1520" s="6">
        <f>HYPERLINK("C:\Projects\Kleinanzeigen-Scraper\offer_images\2862331477", "Link")</f>
        <v/>
      </c>
      <c r="O1520" t="inlineStr">
        <is>
          <t>H.P.</t>
        </is>
      </c>
      <c r="P1520" s="6">
        <f>HYPERLINK("https://www.kleinanzeigen.de/s-bestandsliste.html?userId=3587719", "Link")</f>
        <v/>
      </c>
      <c r="Q1520" s="7" t="n">
        <v>45549.57322916666</v>
      </c>
      <c r="R1520" s="3" t="inlineStr">
        <is>
          <t>402.01</t>
        </is>
      </c>
      <c r="S1520" t="inlineStr">
        <is>
          <t>Köln</t>
        </is>
      </c>
    </row>
    <row r="1521">
      <c r="A1521" s="2" t="n">
        <v>7.2</v>
      </c>
      <c r="B1521" t="inlineStr">
        <is>
          <t>Point 7 AC-1</t>
        </is>
      </c>
      <c r="C1521" s="3" t="inlineStr"/>
      <c r="D1521" s="3" t="inlineStr"/>
      <c r="E1521" t="inlineStr">
        <is>
          <t>Race</t>
        </is>
      </c>
      <c r="F1521" t="inlineStr"/>
      <c r="G1521" t="inlineStr">
        <is>
          <t>damaged</t>
        </is>
      </c>
      <c r="H1521" s="4" t="n">
        <v>15</v>
      </c>
      <c r="I1521" t="inlineStr">
        <is>
          <t>VB</t>
        </is>
      </c>
      <c r="J1521" t="inlineStr">
        <is>
          <t>29336 Niedersachsen - Nienhagen</t>
        </is>
      </c>
      <c r="K1521" s="5" t="n">
        <v>45365</v>
      </c>
      <c r="L1521" t="inlineStr"/>
      <c r="M1521" s="6">
        <f>HYPERLINK("https://www.kleinanzeigen.de/s-anzeige/point-7-ac-1-7-2-windsurfsegel/2706396079-230-3212", "Link")</f>
        <v/>
      </c>
      <c r="N1521" s="6">
        <f>HYPERLINK("C:\Projects\Kleinanzeigen-Scraper\offer_images\2706396079", "Link")</f>
        <v/>
      </c>
      <c r="O1521" t="inlineStr">
        <is>
          <t>Florian</t>
        </is>
      </c>
      <c r="P1521" s="6">
        <f>HYPERLINK("https://www.kleinanzeigen.de/s-bestandsliste.html?userId=26467194", "Link")</f>
        <v/>
      </c>
      <c r="Q1521" s="7" t="n">
        <v>45549.5732175926</v>
      </c>
      <c r="R1521" s="3" t="inlineStr">
        <is>
          <t>281.73</t>
        </is>
      </c>
      <c r="S1521" t="inlineStr">
        <is>
          <t>Köln</t>
        </is>
      </c>
    </row>
    <row r="1522">
      <c r="A1522" s="2" t="n">
        <v>8.199999999999999</v>
      </c>
      <c r="B1522" t="inlineStr">
        <is>
          <t>Neilpryde V8</t>
        </is>
      </c>
      <c r="C1522" s="3" t="inlineStr"/>
      <c r="D1522" s="3" t="inlineStr"/>
      <c r="E1522" t="inlineStr">
        <is>
          <t>Freerace</t>
        </is>
      </c>
      <c r="F1522" t="inlineStr">
        <is>
          <t>2022</t>
        </is>
      </c>
      <c r="G1522" t="inlineStr">
        <is>
          <t>used</t>
        </is>
      </c>
      <c r="H1522" s="4" t="n">
        <v>399</v>
      </c>
      <c r="I1522" t="inlineStr">
        <is>
          <t>VB</t>
        </is>
      </c>
      <c r="J1522" t="inlineStr">
        <is>
          <t>24966 Schleswig-Holstein - Sörup</t>
        </is>
      </c>
      <c r="K1522" s="5" t="n">
        <v>45510</v>
      </c>
      <c r="L1522" t="inlineStr"/>
      <c r="M1522" s="6">
        <f>HYPERLINK("https://www.kleinanzeigen.de/s-anzeige/neilpryde-v8-8-2-2022-freerace-surfsegel-windsurfen-8-2-np/2830435123-230-731", "Link")</f>
        <v/>
      </c>
      <c r="N1522" s="6">
        <f>HYPERLINK("C:\Projects\Kleinanzeigen-Scraper\offer_images\2830435123", "Link")</f>
        <v/>
      </c>
      <c r="O1522" t="inlineStr">
        <is>
          <t>Julian</t>
        </is>
      </c>
      <c r="P1522" s="6">
        <f>HYPERLINK("https://www.kleinanzeigen.de/s-bestandsliste.html?userId=12703429", "Link")</f>
        <v/>
      </c>
      <c r="Q1522" s="7" t="n">
        <v>45549.57320601852</v>
      </c>
      <c r="R1522" s="3" t="inlineStr">
        <is>
          <t>459.16</t>
        </is>
      </c>
      <c r="S1522" t="inlineStr">
        <is>
          <t>Köln</t>
        </is>
      </c>
    </row>
    <row r="1523">
      <c r="A1523" s="2" t="n">
        <v>8.6</v>
      </c>
      <c r="B1523" t="inlineStr">
        <is>
          <t>Severne Overdrive M4</t>
        </is>
      </c>
      <c r="C1523" s="3" t="inlineStr"/>
      <c r="D1523" s="3" t="inlineStr"/>
      <c r="E1523" t="inlineStr">
        <is>
          <t>Freeride</t>
        </is>
      </c>
      <c r="F1523" t="inlineStr">
        <is>
          <t>2023</t>
        </is>
      </c>
      <c r="G1523" t="inlineStr">
        <is>
          <t>used</t>
        </is>
      </c>
      <c r="H1523" s="4" t="n">
        <v>450</v>
      </c>
      <c r="I1523" t="inlineStr">
        <is>
          <t>VB</t>
        </is>
      </c>
      <c r="J1523" t="inlineStr">
        <is>
          <t>82266 Bayern - Inning am Ammersee</t>
        </is>
      </c>
      <c r="K1523" s="5" t="n">
        <v>45495</v>
      </c>
      <c r="L1523" t="inlineStr">
        <is>
          <t>Sold</t>
        </is>
      </c>
      <c r="M1523" s="6">
        <f>HYPERLINK("https://www.kleinanzeigen.de/s-anzeige/severne-8-6qm-m4-overdrive-2023/2818505696-230-6358", "Link")</f>
        <v/>
      </c>
      <c r="N1523" s="6">
        <f>HYPERLINK("C:\Projects\Kleinanzeigen-Scraper\offer_images\2818505696", "Link")</f>
        <v/>
      </c>
      <c r="O1523" t="inlineStr">
        <is>
          <t>Jürgen</t>
        </is>
      </c>
      <c r="P1523" s="6">
        <f>HYPERLINK("https://www.kleinanzeigen.de/s-bestandsliste.html?userId=25450680", "Link")</f>
        <v/>
      </c>
      <c r="Q1523" s="7" t="n">
        <v>45549.57320601852</v>
      </c>
      <c r="R1523" s="3" t="inlineStr">
        <is>
          <t>31.93</t>
        </is>
      </c>
      <c r="S1523" t="inlineStr">
        <is>
          <t>München</t>
        </is>
      </c>
    </row>
    <row r="1524">
      <c r="A1524" s="2" t="n">
        <v>8.6</v>
      </c>
      <c r="B1524" t="inlineStr">
        <is>
          <t>Gun Sails GS-R</t>
        </is>
      </c>
      <c r="C1524" s="3" t="inlineStr"/>
      <c r="D1524" s="3" t="inlineStr"/>
      <c r="E1524" t="inlineStr"/>
      <c r="F1524" t="inlineStr">
        <is>
          <t>2018</t>
        </is>
      </c>
      <c r="G1524" t="inlineStr">
        <is>
          <t>used</t>
        </is>
      </c>
      <c r="H1524" s="4" t="n">
        <v>160</v>
      </c>
      <c r="I1524" t="inlineStr"/>
      <c r="J1524" t="inlineStr">
        <is>
          <t>30519 Hannover - Döhren-Wülfel</t>
        </is>
      </c>
      <c r="K1524" s="5" t="n">
        <v>45431</v>
      </c>
      <c r="L1524" t="inlineStr"/>
      <c r="M1524" s="6">
        <f>HYPERLINK("https://www.kleinanzeigen.de/s-anzeige/gun-sails-gs-r-8-6-windsurf-segel-gunsails/2764913314-230-3174", "Link")</f>
        <v/>
      </c>
      <c r="N1524" s="6">
        <f>HYPERLINK("C:\Projects\Kleinanzeigen-Scraper\offer_images\2764913314", "Link")</f>
        <v/>
      </c>
      <c r="O1524" t="inlineStr">
        <is>
          <t>Reiner Gils</t>
        </is>
      </c>
      <c r="P1524" s="6">
        <f>HYPERLINK("https://www.kleinanzeigen.de/s-bestandsliste.html?userId=31386551", "Link")</f>
        <v/>
      </c>
      <c r="Q1524" s="7" t="n">
        <v>45549.57320601852</v>
      </c>
      <c r="R1524" s="3" t="inlineStr">
        <is>
          <t>248.98</t>
        </is>
      </c>
      <c r="S1524" t="inlineStr">
        <is>
          <t>Köln</t>
        </is>
      </c>
    </row>
    <row r="1525">
      <c r="A1525" s="2" t="n">
        <v>4.7</v>
      </c>
      <c r="B1525" t="inlineStr">
        <is>
          <t>GOYA BANZAI X</t>
        </is>
      </c>
      <c r="C1525" s="3" t="n">
        <v>370</v>
      </c>
      <c r="D1525" s="3" t="n">
        <v>400</v>
      </c>
      <c r="E1525" t="inlineStr">
        <is>
          <t>Freestyle</t>
        </is>
      </c>
      <c r="F1525" t="inlineStr">
        <is>
          <t>2023</t>
        </is>
      </c>
      <c r="G1525" t="inlineStr">
        <is>
          <t>used</t>
        </is>
      </c>
      <c r="H1525" s="4" t="n">
        <v>420</v>
      </c>
      <c r="I1525" t="inlineStr"/>
      <c r="J1525" t="inlineStr">
        <is>
          <t>67245 Rheinland-Pfalz - Lambsheim</t>
        </is>
      </c>
      <c r="K1525" s="5" t="n">
        <v>45541</v>
      </c>
      <c r="L1525" t="inlineStr">
        <is>
          <t>Sold</t>
        </is>
      </c>
      <c r="M1525" s="6">
        <f>HYPERLINK("https://www.kleinanzeigen.de/s-anzeige/goya-banzai-x-4-7-2023/2855675240-230-5186", "Link")</f>
        <v/>
      </c>
      <c r="N1525" s="6">
        <f>HYPERLINK("C:\Projects\Kleinanzeigen-Scraper\offer_images\2855675240", "Link")</f>
        <v/>
      </c>
      <c r="O1525" t="inlineStr">
        <is>
          <t>Frank</t>
        </is>
      </c>
      <c r="P1525" s="6">
        <f>HYPERLINK("https://www.kleinanzeigen.de/s-bestandsliste.html?userId=8491603", "Link")</f>
        <v/>
      </c>
      <c r="Q1525" s="7" t="n">
        <v>45549.57318287037</v>
      </c>
      <c r="R1525" s="3" t="inlineStr">
        <is>
          <t>56.18</t>
        </is>
      </c>
      <c r="S1525" t="inlineStr">
        <is>
          <t>Karlsruhe</t>
        </is>
      </c>
    </row>
    <row r="1526">
      <c r="A1526" s="2" t="n">
        <v>5</v>
      </c>
      <c r="B1526" t="inlineStr"/>
      <c r="C1526" s="3" t="n">
        <v>419</v>
      </c>
      <c r="D1526" s="3" t="n">
        <v>111</v>
      </c>
      <c r="E1526" t="inlineStr"/>
      <c r="F1526" t="inlineStr"/>
      <c r="G1526" t="inlineStr">
        <is>
          <t>defective</t>
        </is>
      </c>
      <c r="H1526" s="4" t="n">
        <v>15</v>
      </c>
      <c r="I1526" t="inlineStr"/>
      <c r="J1526" t="inlineStr">
        <is>
          <t>09111 Sachsen - Chemnitz</t>
        </is>
      </c>
      <c r="K1526" s="5" t="n">
        <v>45547</v>
      </c>
      <c r="L1526" t="inlineStr">
        <is>
          <t>Sold</t>
        </is>
      </c>
      <c r="M1526" s="6">
        <f>HYPERLINK("https://www.kleinanzeigen.de/s-anzeige/windsurf-segel-5m-defekt-/2861644326-230-3886", "Link")</f>
        <v/>
      </c>
      <c r="N1526" s="6">
        <f>HYPERLINK("C:\Projects\Kleinanzeigen-Scraper\offer_images\2861644326", "Link")</f>
        <v/>
      </c>
      <c r="O1526" t="inlineStr">
        <is>
          <t>olaf</t>
        </is>
      </c>
      <c r="P1526" s="6">
        <f>HYPERLINK("https://www.kleinanzeigen.de/s-bestandsliste.html?userId=8857923", "Link")</f>
        <v/>
      </c>
      <c r="Q1526" s="7" t="n">
        <v>45549.57318287037</v>
      </c>
      <c r="R1526" s="3" t="inlineStr">
        <is>
          <t>315.71</t>
        </is>
      </c>
      <c r="S1526" t="inlineStr">
        <is>
          <t>München</t>
        </is>
      </c>
    </row>
    <row r="1527">
      <c r="A1527" s="2" t="n">
        <v>6.7</v>
      </c>
      <c r="B1527" t="inlineStr">
        <is>
          <t>NeilPryde Speedster</t>
        </is>
      </c>
      <c r="C1527" s="3" t="n">
        <v>430</v>
      </c>
      <c r="D1527" s="3" t="inlineStr"/>
      <c r="E1527" t="inlineStr">
        <is>
          <t>Slalom</t>
        </is>
      </c>
      <c r="F1527" t="inlineStr">
        <is>
          <t>2020</t>
        </is>
      </c>
      <c r="G1527" t="inlineStr">
        <is>
          <t>used</t>
        </is>
      </c>
      <c r="H1527" s="4" t="n">
        <v>250</v>
      </c>
      <c r="I1527" t="inlineStr">
        <is>
          <t>VB</t>
        </is>
      </c>
      <c r="J1527" t="inlineStr">
        <is>
          <t>82211 Bayern - Herrsching</t>
        </is>
      </c>
      <c r="K1527" s="5" t="n">
        <v>45514</v>
      </c>
      <c r="L1527" t="inlineStr"/>
      <c r="M1527" s="6">
        <f>HYPERLINK("https://www.kleinanzeigen.de/s-anzeige/neilpryde-speedster-slalom-windsurf-segel-6-7-qm/2833716881-230-5520", "Link")</f>
        <v/>
      </c>
      <c r="N1527" s="6">
        <f>HYPERLINK("C:\Projects\Kleinanzeigen-Scraper\offer_images\2833716881", "Link")</f>
        <v/>
      </c>
      <c r="O1527" t="inlineStr">
        <is>
          <t>Oliver</t>
        </is>
      </c>
      <c r="P1527" s="6">
        <f>HYPERLINK("https://www.kleinanzeigen.de/s-bestandsliste.html?userId=17846362", "Link")</f>
        <v/>
      </c>
      <c r="Q1527" s="7" t="n">
        <v>45549.57315972223</v>
      </c>
      <c r="R1527" s="3" t="inlineStr">
        <is>
          <t>32.73</t>
        </is>
      </c>
      <c r="S1527" t="inlineStr">
        <is>
          <t>München</t>
        </is>
      </c>
    </row>
    <row r="1528">
      <c r="A1528" s="2" t="n">
        <v>4.8</v>
      </c>
      <c r="B1528" t="inlineStr">
        <is>
          <t>Sailloft Quad</t>
        </is>
      </c>
      <c r="C1528" s="3" t="inlineStr"/>
      <c r="D1528" s="3" t="inlineStr"/>
      <c r="E1528" t="inlineStr"/>
      <c r="F1528" t="inlineStr"/>
      <c r="G1528" t="inlineStr">
        <is>
          <t>damaged</t>
        </is>
      </c>
      <c r="H1528" s="4" t="n">
        <v>40</v>
      </c>
      <c r="I1528" t="inlineStr">
        <is>
          <t>VB</t>
        </is>
      </c>
      <c r="J1528" t="inlineStr">
        <is>
          <t>24217 Schleswig-Holstein - Krokau</t>
        </is>
      </c>
      <c r="K1528" s="5" t="n">
        <v>45548</v>
      </c>
      <c r="L1528" t="inlineStr"/>
      <c r="M1528" s="6">
        <f>HYPERLINK("https://www.kleinanzeigen.de/s-anzeige/windsurf-sailloft-quad-4-8m-/2862259422-230-26395", "Link")</f>
        <v/>
      </c>
      <c r="N1528" s="6">
        <f>HYPERLINK("C:\Projects\Kleinanzeigen-Scraper\offer_images\2862259422", "Link")</f>
        <v/>
      </c>
      <c r="O1528" t="inlineStr">
        <is>
          <t>Torben</t>
        </is>
      </c>
      <c r="P1528" s="6">
        <f>HYPERLINK("https://www.kleinanzeigen.de/s-bestandsliste.html?userId=17228514", "Link")</f>
        <v/>
      </c>
      <c r="Q1528" s="7" t="n">
        <v>45549.57313657407</v>
      </c>
      <c r="R1528" s="3" t="inlineStr">
        <is>
          <t>447.79</t>
        </is>
      </c>
      <c r="S1528" t="inlineStr">
        <is>
          <t>Köln</t>
        </is>
      </c>
    </row>
    <row r="1529">
      <c r="A1529" s="2" t="n">
        <v>5</v>
      </c>
      <c r="B1529" t="inlineStr">
        <is>
          <t>Point 7 AC1</t>
        </is>
      </c>
      <c r="C1529" s="3" t="n">
        <v>370</v>
      </c>
      <c r="D1529" s="3" t="inlineStr"/>
      <c r="E1529" t="inlineStr"/>
      <c r="F1529" t="inlineStr"/>
      <c r="G1529" t="inlineStr">
        <is>
          <t>used</t>
        </is>
      </c>
      <c r="H1529" s="4" t="n">
        <v>200</v>
      </c>
      <c r="I1529" t="inlineStr"/>
      <c r="J1529" t="inlineStr">
        <is>
          <t>82467 Bayern - Garmisch-Partenkirchen</t>
        </is>
      </c>
      <c r="K1529" s="5" t="n">
        <v>45504</v>
      </c>
      <c r="L1529" t="inlineStr">
        <is>
          <t>Sold</t>
        </is>
      </c>
      <c r="M1529" s="6">
        <f>HYPERLINK("https://www.kleinanzeigen.de/s-anzeige/windsurfsegel-point-7-ac1-5-0/2825662933-230-6338", "Link")</f>
        <v/>
      </c>
      <c r="N1529" s="6">
        <f>HYPERLINK("C:\Projects\Kleinanzeigen-Scraper\offer_images\2825662933", "Link")</f>
        <v/>
      </c>
      <c r="O1529" t="inlineStr">
        <is>
          <t>Stephan</t>
        </is>
      </c>
      <c r="P1529" s="6">
        <f>HYPERLINK("https://www.kleinanzeigen.de/s-bestandsliste.html?userId=24549656", "Link")</f>
        <v/>
      </c>
      <c r="Q1529" s="7" t="n">
        <v>45549.5730787037</v>
      </c>
      <c r="R1529" s="3" t="inlineStr">
        <is>
          <t>80.76</t>
        </is>
      </c>
      <c r="S1529" t="inlineStr">
        <is>
          <t>München</t>
        </is>
      </c>
    </row>
    <row r="1530">
      <c r="A1530" s="2" t="n">
        <v>8.699999999999999</v>
      </c>
      <c r="B1530" t="inlineStr">
        <is>
          <t>Neilpryde RS Flight Evo IV</t>
        </is>
      </c>
      <c r="C1530" s="3" t="n">
        <v>520</v>
      </c>
      <c r="D1530" s="3" t="inlineStr"/>
      <c r="E1530" t="inlineStr"/>
      <c r="F1530" t="inlineStr">
        <is>
          <t>2023</t>
        </is>
      </c>
      <c r="G1530" t="inlineStr">
        <is>
          <t>used</t>
        </is>
      </c>
      <c r="H1530" s="4" t="n">
        <v>459</v>
      </c>
      <c r="I1530" t="inlineStr"/>
      <c r="J1530" t="inlineStr">
        <is>
          <t>75334 Baden-Württemberg - Straubenhardt</t>
        </is>
      </c>
      <c r="K1530" s="5" t="n">
        <v>45548</v>
      </c>
      <c r="L1530" t="inlineStr"/>
      <c r="M1530" s="6">
        <f>HYPERLINK("https://www.kleinanzeigen.de/s-anzeige/neilpryde-rs-flight-evo-iv-8-7-2023-k-gunsails-severne-gaastra-/2862158511-230-8117", "Link")</f>
        <v/>
      </c>
      <c r="N1530" s="6">
        <f>HYPERLINK("C:\Projects\Kleinanzeigen-Scraper\offer_images\2862158511", "Link")</f>
        <v/>
      </c>
      <c r="O1530" t="inlineStr">
        <is>
          <t>Björn</t>
        </is>
      </c>
      <c r="P1530" s="6">
        <f>HYPERLINK("https://www.kleinanzeigen.de/s-bestandsliste.html?userId=29930593", "Link")</f>
        <v/>
      </c>
      <c r="Q1530" s="7" t="n">
        <v>45549.57306712963</v>
      </c>
      <c r="R1530" s="3" t="inlineStr">
        <is>
          <t>21.11</t>
        </is>
      </c>
      <c r="S1530" t="inlineStr">
        <is>
          <t>Karlsruhe</t>
        </is>
      </c>
    </row>
    <row r="1531">
      <c r="A1531" s="2" t="n">
        <v>5.2</v>
      </c>
      <c r="B1531" t="inlineStr">
        <is>
          <t>Sailloft Air</t>
        </is>
      </c>
      <c r="C1531" s="3" t="inlineStr"/>
      <c r="D1531" s="3" t="inlineStr"/>
      <c r="E1531" t="inlineStr"/>
      <c r="F1531" t="inlineStr"/>
      <c r="G1531" t="inlineStr">
        <is>
          <t>used</t>
        </is>
      </c>
      <c r="H1531" s="4" t="n">
        <v>210</v>
      </c>
      <c r="I1531" t="inlineStr">
        <is>
          <t>VB</t>
        </is>
      </c>
      <c r="J1531" t="inlineStr">
        <is>
          <t>20259 Eimsbüttel - Hamburg Eimsbüttel (Stadtteil)</t>
        </is>
      </c>
      <c r="K1531" s="5" t="n">
        <v>45544</v>
      </c>
      <c r="L1531" t="inlineStr"/>
      <c r="M1531" s="6">
        <f>HYPERLINK("https://www.kleinanzeigen.de/s-anzeige/sailloft-air-5-2-windsurfsegel-/2858712727-230-9427", "Link")</f>
        <v/>
      </c>
      <c r="N1531" s="6">
        <f>HYPERLINK("C:\Projects\Kleinanzeigen-Scraper\offer_images\2858712727", "Link")</f>
        <v/>
      </c>
      <c r="O1531" t="inlineStr">
        <is>
          <t>Basti</t>
        </is>
      </c>
      <c r="P1531" s="6">
        <f>HYPERLINK("https://www.kleinanzeigen.de/s-bestandsliste.html?userId=29333636", "Link")</f>
        <v/>
      </c>
      <c r="Q1531" s="7" t="n">
        <v>45549.57305555556</v>
      </c>
      <c r="R1531" s="3" t="inlineStr">
        <is>
          <t>356.92</t>
        </is>
      </c>
      <c r="S1531" t="inlineStr">
        <is>
          <t>Köln</t>
        </is>
      </c>
    </row>
    <row r="1532">
      <c r="A1532" s="2" t="n">
        <v>5</v>
      </c>
      <c r="B1532" t="inlineStr">
        <is>
          <t>Neilpryde Wave pro</t>
        </is>
      </c>
      <c r="C1532" s="3" t="inlineStr"/>
      <c r="D1532" s="3" t="inlineStr"/>
      <c r="E1532" t="inlineStr"/>
      <c r="F1532" t="inlineStr"/>
      <c r="G1532" t="inlineStr">
        <is>
          <t>used</t>
        </is>
      </c>
      <c r="H1532" s="4" t="n">
        <v>25</v>
      </c>
      <c r="I1532" t="inlineStr">
        <is>
          <t>VB</t>
        </is>
      </c>
      <c r="J1532" t="inlineStr">
        <is>
          <t>31226 Niedersachsen - Peine</t>
        </is>
      </c>
      <c r="K1532" s="5" t="n">
        <v>45543</v>
      </c>
      <c r="L1532" t="inlineStr"/>
      <c r="M1532" s="6">
        <f>HYPERLINK("https://www.kleinanzeigen.de/s-anzeige/neilpryde-wave-pro/2857459263-230-2674", "Link")</f>
        <v/>
      </c>
      <c r="N1532" s="6">
        <f>HYPERLINK("C:\Projects\Kleinanzeigen-Scraper\offer_images\2857459263", "Link")</f>
        <v/>
      </c>
      <c r="O1532" t="inlineStr">
        <is>
          <t>E.N</t>
        </is>
      </c>
      <c r="P1532" s="6">
        <f>HYPERLINK("https://www.kleinanzeigen.de/s-bestandsliste.html?userId=131940441", "Link")</f>
        <v/>
      </c>
      <c r="Q1532" s="7" t="n">
        <v>45549.57295138889</v>
      </c>
      <c r="R1532" s="3" t="inlineStr">
        <is>
          <t>268.90</t>
        </is>
      </c>
      <c r="S1532" t="inlineStr">
        <is>
          <t>Köln</t>
        </is>
      </c>
    </row>
    <row r="1533">
      <c r="A1533" s="2" t="n">
        <v>5.7</v>
      </c>
      <c r="B1533" t="inlineStr">
        <is>
          <t>Gun Sails TRANS WAVE</t>
        </is>
      </c>
      <c r="C1533" s="3" t="n">
        <v>443</v>
      </c>
      <c r="D1533" s="3" t="n">
        <v>183</v>
      </c>
      <c r="E1533" t="inlineStr"/>
      <c r="F1533" t="inlineStr"/>
      <c r="G1533" t="inlineStr">
        <is>
          <t>used, very good condition</t>
        </is>
      </c>
      <c r="H1533" s="4" t="n">
        <v>130</v>
      </c>
      <c r="I1533" t="inlineStr">
        <is>
          <t>VB</t>
        </is>
      </c>
      <c r="J1533" t="inlineStr">
        <is>
          <t>23909 Herzogtum Lauenburg - Ratzeburg</t>
        </is>
      </c>
      <c r="K1533" s="5" t="n">
        <v>45546</v>
      </c>
      <c r="L1533" t="inlineStr"/>
      <c r="M1533" s="6">
        <f>HYPERLINK("https://www.kleinanzeigen.de/s-anzeige/gun-sails-trans-wave-5-7-top-powerwavesegel/2860156678-230-811", "Link")</f>
        <v/>
      </c>
      <c r="N1533" s="6">
        <f>HYPERLINK("C:\Projects\Kleinanzeigen-Scraper\offer_images\2860156678", "Link")</f>
        <v/>
      </c>
      <c r="O1533" t="inlineStr">
        <is>
          <t>Silvia S.</t>
        </is>
      </c>
      <c r="P1533" s="6">
        <f>HYPERLINK("https://www.kleinanzeigen.de/s-bestandsliste.html?userId=86555296", "Link")</f>
        <v/>
      </c>
      <c r="Q1533" s="7" t="n">
        <v>45549.57295138889</v>
      </c>
      <c r="R1533" s="3" t="inlineStr">
        <is>
          <t>401.75</t>
        </is>
      </c>
      <c r="S1533" t="inlineStr">
        <is>
          <t>Köln</t>
        </is>
      </c>
    </row>
    <row r="1534">
      <c r="A1534" s="2" t="n">
        <v>7.7</v>
      </c>
      <c r="B1534" t="inlineStr">
        <is>
          <t>Neilpryde Tempo</t>
        </is>
      </c>
      <c r="C1534" s="3" t="inlineStr"/>
      <c r="D1534" s="3" t="inlineStr"/>
      <c r="E1534" t="inlineStr"/>
      <c r="F1534" t="inlineStr"/>
      <c r="G1534" t="inlineStr">
        <is>
          <t>repaired</t>
        </is>
      </c>
      <c r="H1534" s="4" t="n">
        <v>30</v>
      </c>
      <c r="I1534" t="inlineStr"/>
      <c r="J1534" t="inlineStr">
        <is>
          <t>75334 Baden-Württemberg - Straubenhardt</t>
        </is>
      </c>
      <c r="K1534" s="5" t="n">
        <v>45494</v>
      </c>
      <c r="L1534" t="inlineStr">
        <is>
          <t>Sold</t>
        </is>
      </c>
      <c r="M1534" s="6">
        <f>HYPERLINK("https://www.kleinanzeigen.de/s-anzeige/neilpryde-tempo-7-7-freeride-windsurfsegel/2817480862-230-8117", "Link")</f>
        <v/>
      </c>
      <c r="N1534" s="6">
        <f>HYPERLINK("C:\Projects\Kleinanzeigen-Scraper\offer_images\2817480862", "Link")</f>
        <v/>
      </c>
      <c r="O1534" t="inlineStr">
        <is>
          <t>Richter</t>
        </is>
      </c>
      <c r="P1534" s="6">
        <f>HYPERLINK("https://www.kleinanzeigen.de/s-bestandsliste.html?userId=15721218", "Link")</f>
        <v/>
      </c>
      <c r="Q1534" s="7" t="n">
        <v>45549.57293981482</v>
      </c>
      <c r="R1534" s="3" t="inlineStr">
        <is>
          <t>21.11</t>
        </is>
      </c>
      <c r="S1534" t="inlineStr">
        <is>
          <t>Karlsruhe</t>
        </is>
      </c>
    </row>
    <row r="1535">
      <c r="A1535" s="2" t="n">
        <v>10</v>
      </c>
      <c r="B1535" t="inlineStr">
        <is>
          <t>Naish Torch</t>
        </is>
      </c>
      <c r="C1535" s="3" t="inlineStr"/>
      <c r="D1535" s="3" t="inlineStr"/>
      <c r="E1535" t="inlineStr"/>
      <c r="F1535" t="inlineStr"/>
      <c r="G1535" t="inlineStr">
        <is>
          <t>defective</t>
        </is>
      </c>
      <c r="H1535" s="4" t="n">
        <v>60</v>
      </c>
      <c r="I1535" t="inlineStr">
        <is>
          <t>VB</t>
        </is>
      </c>
      <c r="J1535" t="inlineStr">
        <is>
          <t>22955 Schleswig-Holstein - Hoisdorf</t>
        </is>
      </c>
      <c r="K1535" s="5" t="n">
        <v>45531</v>
      </c>
      <c r="L1535" t="inlineStr"/>
      <c r="M1535" s="6">
        <f>HYPERLINK("https://www.kleinanzeigen.de/s-anzeige/naish-torch-10qm/2847780689-230-925", "Link")</f>
        <v/>
      </c>
      <c r="N1535" s="6">
        <f>HYPERLINK("C:\Projects\Kleinanzeigen-Scraper\offer_images\2847780689", "Link")</f>
        <v/>
      </c>
      <c r="O1535" t="inlineStr">
        <is>
          <t>Ole Poorthuis</t>
        </is>
      </c>
      <c r="P1535" s="6">
        <f>HYPERLINK("https://www.kleinanzeigen.de/s-bestandsliste.html?userId=30349538", "Link")</f>
        <v/>
      </c>
      <c r="Q1535" s="7" t="n">
        <v>45549.57292824074</v>
      </c>
      <c r="R1535" s="3" t="inlineStr">
        <is>
          <t>378.99</t>
        </is>
      </c>
      <c r="S1535" t="inlineStr">
        <is>
          <t>Köln</t>
        </is>
      </c>
    </row>
    <row r="1536">
      <c r="A1536" s="2" t="n">
        <v>5.3</v>
      </c>
      <c r="B1536" t="inlineStr">
        <is>
          <t>Simmer Icon</t>
        </is>
      </c>
      <c r="C1536" s="3" t="inlineStr"/>
      <c r="D1536" s="3" t="inlineStr"/>
      <c r="E1536" t="inlineStr"/>
      <c r="F1536" t="inlineStr"/>
      <c r="G1536" t="inlineStr">
        <is>
          <t>used</t>
        </is>
      </c>
      <c r="H1536" s="4" t="n">
        <v>95</v>
      </c>
      <c r="I1536" t="inlineStr"/>
      <c r="J1536" t="inlineStr">
        <is>
          <t>83623 Bayern - Dietramszell</t>
        </is>
      </c>
      <c r="K1536" s="5" t="n">
        <v>45494</v>
      </c>
      <c r="L1536" t="inlineStr"/>
      <c r="M1536" s="6">
        <f>HYPERLINK("https://www.kleinanzeigen.de/s-anzeige/windsurf-segel-simmer-icon-5-3-guter-s-g-zustand/2817325446-230-6194", "Link")</f>
        <v/>
      </c>
      <c r="N1536" s="6">
        <f>HYPERLINK("C:\Projects\Kleinanzeigen-Scraper\offer_images\2817325446", "Link")</f>
        <v/>
      </c>
      <c r="O1536" t="inlineStr">
        <is>
          <t>Michl</t>
        </is>
      </c>
      <c r="P1536" s="6">
        <f>HYPERLINK("https://www.kleinanzeigen.de/s-bestandsliste.html?userId=23358488", "Link")</f>
        <v/>
      </c>
      <c r="Q1536" s="7" t="n">
        <v>45549.57292824074</v>
      </c>
      <c r="R1536" s="3" t="inlineStr">
        <is>
          <t>31.34</t>
        </is>
      </c>
      <c r="S1536" t="inlineStr">
        <is>
          <t>München</t>
        </is>
      </c>
    </row>
    <row r="1537">
      <c r="A1537" s="2" t="n">
        <v>3.3</v>
      </c>
      <c r="B1537" t="inlineStr">
        <is>
          <t>Gun Sails Steel</t>
        </is>
      </c>
      <c r="C1537" s="3" t="n">
        <v>350</v>
      </c>
      <c r="D1537" s="3" t="n">
        <v>140</v>
      </c>
      <c r="E1537" t="inlineStr"/>
      <c r="F1537" t="inlineStr"/>
      <c r="G1537" t="inlineStr">
        <is>
          <t>used</t>
        </is>
      </c>
      <c r="H1537" s="4" t="n">
        <v>125</v>
      </c>
      <c r="I1537" t="inlineStr">
        <is>
          <t>VB</t>
        </is>
      </c>
      <c r="J1537" t="inlineStr">
        <is>
          <t>93128 Bayern - Regenstauf</t>
        </is>
      </c>
      <c r="K1537" s="5" t="n">
        <v>45382</v>
      </c>
      <c r="L1537" t="inlineStr"/>
      <c r="M1537" s="6">
        <f>HYPERLINK("https://www.kleinanzeigen.de/s-anzeige/gun-sails-steel-3-3/2721920131-230-5781", "Link")</f>
        <v/>
      </c>
      <c r="N1537" s="6">
        <f>HYPERLINK("C:\Projects\Kleinanzeigen-Scraper\offer_images\2721920131", "Link")</f>
        <v/>
      </c>
      <c r="O1537" t="inlineStr">
        <is>
          <t>Stephan Wimmer</t>
        </is>
      </c>
      <c r="P1537" s="6">
        <f>HYPERLINK("https://www.kleinanzeigen.de/s-bestandsliste.html?userId=30264076", "Link")</f>
        <v/>
      </c>
      <c r="Q1537" s="7" t="n">
        <v>45549.57290509259</v>
      </c>
      <c r="R1537" s="3" t="inlineStr">
        <is>
          <t>120.91</t>
        </is>
      </c>
      <c r="S1537" t="inlineStr">
        <is>
          <t>München</t>
        </is>
      </c>
    </row>
    <row r="1538">
      <c r="A1538" s="2" t="n">
        <v>4.7</v>
      </c>
      <c r="B1538" t="inlineStr">
        <is>
          <t>Loftsails LipWave</t>
        </is>
      </c>
      <c r="C1538" s="3" t="n">
        <v>402</v>
      </c>
      <c r="D1538" s="3" t="n">
        <v>169</v>
      </c>
      <c r="E1538" t="inlineStr"/>
      <c r="F1538" t="inlineStr"/>
      <c r="G1538" t="inlineStr">
        <is>
          <t>repaired</t>
        </is>
      </c>
      <c r="H1538" s="4" t="n">
        <v>70</v>
      </c>
      <c r="I1538" t="inlineStr"/>
      <c r="J1538" t="inlineStr">
        <is>
          <t>23769 Kreis Ostholstein - Fehmarn</t>
        </is>
      </c>
      <c r="K1538" s="5" t="n">
        <v>45495</v>
      </c>
      <c r="L1538" t="inlineStr">
        <is>
          <t>Sold</t>
        </is>
      </c>
      <c r="M1538" s="6">
        <f>HYPERLINK("https://www.kleinanzeigen.de/s-anzeige/loftsails-lipwave-4-7/2818216059-230-19951", "Link")</f>
        <v/>
      </c>
      <c r="N1538" s="6">
        <f>HYPERLINK("C:\Projects\Kleinanzeigen-Scraper\offer_images\2818216059", "Link")</f>
        <v/>
      </c>
      <c r="O1538" t="inlineStr">
        <is>
          <t>Bodo Balbach</t>
        </is>
      </c>
      <c r="P1538" s="6">
        <f>HYPERLINK("https://www.kleinanzeigen.de/s-bestandsliste.html?userId=14778094", "Link")</f>
        <v/>
      </c>
      <c r="Q1538" s="7" t="n">
        <v>45549.57290509259</v>
      </c>
      <c r="R1538" s="3" t="inlineStr">
        <is>
          <t>483.01</t>
        </is>
      </c>
      <c r="S1538" t="inlineStr">
        <is>
          <t>Köln</t>
        </is>
      </c>
    </row>
    <row r="1539">
      <c r="A1539" s="2" t="n">
        <v>7.8</v>
      </c>
      <c r="B1539" t="inlineStr">
        <is>
          <t>NeilPryde Racing Evo XI</t>
        </is>
      </c>
      <c r="C1539" s="3" t="n">
        <v>460</v>
      </c>
      <c r="D1539" s="3" t="inlineStr"/>
      <c r="E1539" t="inlineStr"/>
      <c r="F1539" t="inlineStr"/>
      <c r="G1539" t="inlineStr">
        <is>
          <t>used</t>
        </is>
      </c>
      <c r="H1539" s="4" t="n">
        <v>400</v>
      </c>
      <c r="I1539" t="inlineStr">
        <is>
          <t>VB</t>
        </is>
      </c>
      <c r="J1539" t="inlineStr">
        <is>
          <t>88074 Baden-Württemberg - Meckenbeuren</t>
        </is>
      </c>
      <c r="K1539" s="5" t="n">
        <v>45538</v>
      </c>
      <c r="L1539" t="inlineStr"/>
      <c r="M1539" s="6">
        <f>HYPERLINK("https://www.kleinanzeigen.de/s-anzeige/neilpryde-racing-evo-xi-7-8qm/2853266440-230-8349", "Link")</f>
        <v/>
      </c>
      <c r="N1539" s="6">
        <f>HYPERLINK("C:\Projects\Kleinanzeigen-Scraper\offer_images\2853266440", "Link")</f>
        <v/>
      </c>
      <c r="O1539" t="inlineStr">
        <is>
          <t>Dennis E.</t>
        </is>
      </c>
      <c r="P1539" s="6">
        <f>HYPERLINK("https://www.kleinanzeigen.de/s-bestandsliste.html?userId=12947484", "Link")</f>
        <v/>
      </c>
      <c r="Q1539" s="7" t="n">
        <v>45549.57288194444</v>
      </c>
      <c r="R1539" s="3" t="inlineStr">
        <is>
          <t>93.37</t>
        </is>
      </c>
      <c r="S1539" t="inlineStr">
        <is>
          <t>Bonndorf</t>
        </is>
      </c>
    </row>
    <row r="1540">
      <c r="A1540" s="2" t="n">
        <v>7</v>
      </c>
      <c r="B1540" t="inlineStr">
        <is>
          <t>Naish Redline</t>
        </is>
      </c>
      <c r="C1540" s="3" t="n">
        <v>460</v>
      </c>
      <c r="D1540" s="3" t="n">
        <v>204</v>
      </c>
      <c r="E1540" t="inlineStr">
        <is>
          <t>Freerace/Slalom</t>
        </is>
      </c>
      <c r="F1540" t="inlineStr"/>
      <c r="G1540" t="inlineStr">
        <is>
          <t>used</t>
        </is>
      </c>
      <c r="H1540" s="4" t="n">
        <v>200</v>
      </c>
      <c r="I1540" t="inlineStr">
        <is>
          <t>VB</t>
        </is>
      </c>
      <c r="J1540" t="inlineStr">
        <is>
          <t>21037 Bergedorf - Kirchwerder</t>
        </is>
      </c>
      <c r="K1540" s="5" t="n">
        <v>45512</v>
      </c>
      <c r="L1540" t="inlineStr"/>
      <c r="M1540" s="6">
        <f>HYPERLINK("https://www.kleinanzeigen.de/s-anzeige/windsurfsegel-naish-redline-7-0m2/2831981400-230-18570", "Link")</f>
        <v/>
      </c>
      <c r="N1540" s="6">
        <f>HYPERLINK("C:\Projects\Kleinanzeigen-Scraper\offer_images\2831981400", "Link")</f>
        <v/>
      </c>
      <c r="O1540" t="inlineStr">
        <is>
          <t>Windsurfing Hamburg GmbH</t>
        </is>
      </c>
      <c r="P1540" s="6">
        <f>HYPERLINK("https://www.kleinanzeigen.de/s-bestandsliste.html?userId=68035383", "Link")</f>
        <v/>
      </c>
      <c r="Q1540" s="7" t="n">
        <v>45549.57288194444</v>
      </c>
      <c r="R1540" s="3" t="inlineStr">
        <is>
          <t>354.05</t>
        </is>
      </c>
      <c r="S1540" t="inlineStr">
        <is>
          <t>Köln</t>
        </is>
      </c>
    </row>
    <row r="1541">
      <c r="A1541" s="2" t="n">
        <v>4.5</v>
      </c>
      <c r="B1541" t="inlineStr">
        <is>
          <t>Simmer Wave</t>
        </is>
      </c>
      <c r="C1541" s="3" t="inlineStr"/>
      <c r="D1541" s="3" t="inlineStr"/>
      <c r="E1541" t="inlineStr"/>
      <c r="F1541" t="inlineStr"/>
      <c r="G1541" t="inlineStr">
        <is>
          <t>used</t>
        </is>
      </c>
      <c r="H1541" s="4" t="n">
        <v>50</v>
      </c>
      <c r="I1541" t="inlineStr"/>
      <c r="J1541" t="inlineStr">
        <is>
          <t>23847 Schleswig-Holstein - Bliestorf</t>
        </is>
      </c>
      <c r="K1541" s="5" t="n">
        <v>45535</v>
      </c>
      <c r="L1541" t="inlineStr"/>
      <c r="M1541" s="6">
        <f>HYPERLINK("https://www.kleinanzeigen.de/s-anzeige/segel-simmer-wave-4-5/2850782932-230-18801", "Link")</f>
        <v/>
      </c>
      <c r="N1541" s="6">
        <f>HYPERLINK("C:\Projects\Kleinanzeigen-Scraper\offer_images\2850782932", "Link")</f>
        <v/>
      </c>
      <c r="O1541" t="inlineStr">
        <is>
          <t>Ingolf</t>
        </is>
      </c>
      <c r="P1541" s="6">
        <f>HYPERLINK("https://www.kleinanzeigen.de/s-bestandsliste.html?userId=44541152", "Link")</f>
        <v/>
      </c>
      <c r="Q1541" s="7" t="n">
        <v>45549.57288194444</v>
      </c>
      <c r="R1541" s="3" t="inlineStr">
        <is>
          <t>393.54</t>
        </is>
      </c>
      <c r="S1541" t="inlineStr">
        <is>
          <t>Köln</t>
        </is>
      </c>
    </row>
    <row r="1542">
      <c r="A1542" s="2" t="inlineStr"/>
      <c r="B1542" t="inlineStr">
        <is>
          <t>Loftsails</t>
        </is>
      </c>
      <c r="C1542" s="3" t="inlineStr"/>
      <c r="D1542" s="3" t="inlineStr"/>
      <c r="E1542" t="inlineStr"/>
      <c r="F1542" t="inlineStr"/>
      <c r="G1542" t="inlineStr"/>
      <c r="H1542" s="4" t="n">
        <v>85</v>
      </c>
      <c r="I1542" t="inlineStr">
        <is>
          <t>VB</t>
        </is>
      </c>
      <c r="J1542" t="inlineStr">
        <is>
          <t>22047 Wandsbek - Hamburg Tonndorf</t>
        </is>
      </c>
      <c r="K1542" s="5" t="n">
        <v>45020</v>
      </c>
      <c r="L1542" t="inlineStr"/>
      <c r="M1542" s="6">
        <f>HYPERLINK("https://www.kleinanzeigen.de/s-anzeige/loftsails-skyblade-tarifa-sails-in-hh-tonndorf/2405384244-230-16924", "Link")</f>
        <v/>
      </c>
      <c r="N1542" s="6">
        <f>HYPERLINK("C:\Projects\Kleinanzeigen-Scraper\offer_images\2405384244", "Link")</f>
        <v/>
      </c>
      <c r="O1542" t="inlineStr">
        <is>
          <t>H.Bakman</t>
        </is>
      </c>
      <c r="P1542" s="6">
        <f>HYPERLINK("https://www.kleinanzeigen.de/s-bestandsliste.html?userId=8779261", "Link")</f>
        <v/>
      </c>
      <c r="Q1542" s="7" t="n">
        <v>45549.57285879629</v>
      </c>
      <c r="R1542" s="3" t="inlineStr">
        <is>
          <t>364.13</t>
        </is>
      </c>
      <c r="S1542" t="inlineStr">
        <is>
          <t>Köln</t>
        </is>
      </c>
    </row>
    <row r="1543">
      <c r="A1543" s="2" t="n">
        <v>8.5</v>
      </c>
      <c r="B1543" t="inlineStr">
        <is>
          <t>Severne Mach 6</t>
        </is>
      </c>
      <c r="C1543" s="3" t="n">
        <v>490</v>
      </c>
      <c r="D1543" s="3" t="n">
        <v>280</v>
      </c>
      <c r="E1543" t="inlineStr"/>
      <c r="F1543" t="inlineStr"/>
      <c r="G1543" t="inlineStr">
        <is>
          <t>new</t>
        </is>
      </c>
      <c r="H1543" s="4" t="n">
        <v>650</v>
      </c>
      <c r="I1543" t="inlineStr">
        <is>
          <t>VB</t>
        </is>
      </c>
      <c r="J1543" t="inlineStr">
        <is>
          <t>51379 Nordrhein-Westfalen - Leverkusen</t>
        </is>
      </c>
      <c r="K1543" s="5" t="n">
        <v>45522</v>
      </c>
      <c r="L1543" t="inlineStr"/>
      <c r="M1543" s="6">
        <f>HYPERLINK("https://www.kleinanzeigen.de/s-anzeige/severne-mach-6-8-5/2839893582-230-1991", "Link")</f>
        <v/>
      </c>
      <c r="N1543" s="6">
        <f>HYPERLINK("C:\Projects\Kleinanzeigen-Scraper\offer_images\2839893582", "Link")</f>
        <v/>
      </c>
      <c r="O1543" t="inlineStr">
        <is>
          <t>Katharina</t>
        </is>
      </c>
      <c r="P1543" s="6">
        <f>HYPERLINK("https://www.kleinanzeigen.de/s-bestandsliste.html?userId=63873442", "Link")</f>
        <v/>
      </c>
      <c r="Q1543" s="7" t="n">
        <v>45549.57285879629</v>
      </c>
      <c r="R1543" s="3" t="inlineStr">
        <is>
          <t>14.88</t>
        </is>
      </c>
      <c r="S1543" t="inlineStr">
        <is>
          <t>Köln</t>
        </is>
      </c>
    </row>
    <row r="1544">
      <c r="A1544" s="2" t="n">
        <v>4</v>
      </c>
      <c r="B1544" t="inlineStr">
        <is>
          <t>Ezzy Wave Panther 3</t>
        </is>
      </c>
      <c r="C1544" s="3" t="inlineStr"/>
      <c r="D1544" s="3" t="inlineStr"/>
      <c r="E1544" t="inlineStr"/>
      <c r="F1544" t="inlineStr"/>
      <c r="G1544" t="inlineStr">
        <is>
          <t>used</t>
        </is>
      </c>
      <c r="H1544" s="4" t="n">
        <v>180</v>
      </c>
      <c r="I1544" t="inlineStr"/>
      <c r="J1544" t="inlineStr">
        <is>
          <t>18439 Mecklenburg-Vorpommern - Stralsund</t>
        </is>
      </c>
      <c r="K1544" s="5" t="n">
        <v>45221</v>
      </c>
      <c r="L1544" t="inlineStr"/>
      <c r="M1544" s="6">
        <f>HYPERLINK("https://www.kleinanzeigen.de/s-anzeige/ezzy-wave-panther-3-4-0/2580634529-230-135", "Link")</f>
        <v/>
      </c>
      <c r="N1544" s="6">
        <f>HYPERLINK("C:\Projects\Kleinanzeigen-Scraper\offer_images\2580634529", "Link")</f>
        <v/>
      </c>
      <c r="O1544" t="inlineStr">
        <is>
          <t>Bert</t>
        </is>
      </c>
      <c r="P1544" s="6">
        <f>HYPERLINK("https://www.kleinanzeigen.de/s-bestandsliste.html?userId=55220931", "Link")</f>
        <v/>
      </c>
      <c r="Q1544" s="7" t="n">
        <v>45549.57284722223</v>
      </c>
      <c r="R1544" s="3" t="inlineStr">
        <is>
          <t>557.94</t>
        </is>
      </c>
      <c r="S1544" t="inlineStr">
        <is>
          <t>Köln</t>
        </is>
      </c>
    </row>
    <row r="1545">
      <c r="A1545" s="2" t="n">
        <v>5.5</v>
      </c>
      <c r="B1545" t="inlineStr">
        <is>
          <t>Naish Wingsurfer MK4</t>
        </is>
      </c>
      <c r="C1545" s="3" t="inlineStr"/>
      <c r="D1545" s="3" t="inlineStr"/>
      <c r="E1545" t="inlineStr"/>
      <c r="F1545" t="inlineStr">
        <is>
          <t>2022/23</t>
        </is>
      </c>
      <c r="G1545" t="inlineStr">
        <is>
          <t>used</t>
        </is>
      </c>
      <c r="H1545" s="4" t="n">
        <v>349</v>
      </c>
      <c r="I1545" t="inlineStr">
        <is>
          <t>VB</t>
        </is>
      </c>
      <c r="J1545" t="inlineStr">
        <is>
          <t>52499 Nordrhein-Westfalen - Baesweiler</t>
        </is>
      </c>
      <c r="K1545" s="5" t="n">
        <v>45543</v>
      </c>
      <c r="L1545" t="inlineStr">
        <is>
          <t>Sold</t>
        </is>
      </c>
      <c r="M1545" s="6">
        <f>HYPERLINK("https://www.kleinanzeigen.de/s-anzeige/naish-wingsurfer-mk4-5-5qm-2022-23/2857318419-230-1710", "Link")</f>
        <v/>
      </c>
      <c r="N1545" s="6">
        <f>HYPERLINK("C:\Projects\Kleinanzeigen-Scraper\offer_images\2857318419", "Link")</f>
        <v/>
      </c>
      <c r="O1545" t="inlineStr">
        <is>
          <t>GT</t>
        </is>
      </c>
      <c r="P1545" s="6">
        <f>HYPERLINK("https://www.kleinanzeigen.de/s-bestandsliste.html?userId=4984231", "Link")</f>
        <v/>
      </c>
      <c r="Q1545" s="7" t="n">
        <v>45549.57283564815</v>
      </c>
      <c r="R1545" s="3" t="inlineStr">
        <is>
          <t>53.24</t>
        </is>
      </c>
      <c r="S1545" t="inlineStr">
        <is>
          <t>Köln</t>
        </is>
      </c>
    </row>
    <row r="1546">
      <c r="A1546" s="2" t="n">
        <v>3.7</v>
      </c>
      <c r="B1546" t="inlineStr">
        <is>
          <t>NeilPryde Zone</t>
        </is>
      </c>
      <c r="C1546" s="3" t="inlineStr"/>
      <c r="D1546" s="3" t="inlineStr"/>
      <c r="E1546" t="inlineStr">
        <is>
          <t>Wave</t>
        </is>
      </c>
      <c r="F1546" t="inlineStr"/>
      <c r="G1546" t="inlineStr">
        <is>
          <t>used</t>
        </is>
      </c>
      <c r="H1546" s="4" t="n">
        <v>75</v>
      </c>
      <c r="I1546" t="inlineStr">
        <is>
          <t>VB</t>
        </is>
      </c>
      <c r="J1546" t="inlineStr">
        <is>
          <t>81369 München - Sendling</t>
        </is>
      </c>
      <c r="K1546" s="5" t="n">
        <v>45526</v>
      </c>
      <c r="L1546" t="inlineStr"/>
      <c r="M1546" s="6">
        <f>HYPERLINK("https://www.kleinanzeigen.de/s-anzeige/neilpryde-wavesegel-zone-3-7qm-gut-erhalten/2843456444-230-16382", "Link")</f>
        <v/>
      </c>
      <c r="N1546" s="6">
        <f>HYPERLINK("C:\Projects\Kleinanzeigen-Scraper\offer_images\2843456444", "Link")</f>
        <v/>
      </c>
      <c r="O1546" t="inlineStr">
        <is>
          <t>Ulrich Wenger</t>
        </is>
      </c>
      <c r="P1546" s="6">
        <f>HYPERLINK("https://www.kleinanzeigen.de/s-bestandsliste.html?userId=130437378", "Link")</f>
        <v/>
      </c>
      <c r="Q1546" s="7" t="n">
        <v>45549.57282407407</v>
      </c>
      <c r="R1546" s="3" t="inlineStr">
        <is>
          <t>4.53</t>
        </is>
      </c>
      <c r="S1546" t="inlineStr">
        <is>
          <t>München</t>
        </is>
      </c>
    </row>
    <row r="1547">
      <c r="A1547" s="2" t="n">
        <v>11</v>
      </c>
      <c r="B1547" t="inlineStr">
        <is>
          <t>North Orbit</t>
        </is>
      </c>
      <c r="C1547" s="3" t="inlineStr"/>
      <c r="D1547" s="3" t="inlineStr"/>
      <c r="E1547" t="inlineStr"/>
      <c r="F1547" t="inlineStr">
        <is>
          <t>2023</t>
        </is>
      </c>
      <c r="G1547" t="inlineStr">
        <is>
          <t>used</t>
        </is>
      </c>
      <c r="H1547" s="4" t="n">
        <v>830</v>
      </c>
      <c r="I1547" t="inlineStr"/>
      <c r="J1547" t="inlineStr">
        <is>
          <t>18055 Rostock - Stadtmitte</t>
        </is>
      </c>
      <c r="K1547" s="5" t="n">
        <v>45543</v>
      </c>
      <c r="L1547" t="inlineStr">
        <is>
          <t>Sold</t>
        </is>
      </c>
      <c r="M1547" s="6">
        <f>HYPERLINK("https://www.kleinanzeigen.de/s-anzeige/north-orbit-11-qm-2023-yellow/2857281865-230-157", "Link")</f>
        <v/>
      </c>
      <c r="N1547" s="6">
        <f>HYPERLINK("C:\Projects\Kleinanzeigen-Scraper\offer_images\2857281865", "Link")</f>
        <v/>
      </c>
      <c r="O1547" t="inlineStr">
        <is>
          <t>Hannah S.</t>
        </is>
      </c>
      <c r="P1547" s="6">
        <f>HYPERLINK("https://www.kleinanzeigen.de/s-bestandsliste.html?userId=24196860", "Link")</f>
        <v/>
      </c>
      <c r="Q1547" s="7" t="n">
        <v>45549.5728125</v>
      </c>
      <c r="R1547" s="3" t="inlineStr">
        <is>
          <t>496.50</t>
        </is>
      </c>
      <c r="S1547" t="inlineStr">
        <is>
          <t>Köln</t>
        </is>
      </c>
    </row>
    <row r="1548">
      <c r="A1548" s="2" t="n">
        <v>5.2</v>
      </c>
      <c r="B1548" t="inlineStr">
        <is>
          <t>Gun Sails Groove</t>
        </is>
      </c>
      <c r="C1548" s="3" t="n">
        <v>428</v>
      </c>
      <c r="D1548" s="3" t="n">
        <v>176</v>
      </c>
      <c r="E1548" t="inlineStr"/>
      <c r="F1548" t="inlineStr"/>
      <c r="G1548" t="inlineStr">
        <is>
          <t>used</t>
        </is>
      </c>
      <c r="H1548" s="4" t="n">
        <v>80</v>
      </c>
      <c r="I1548" t="inlineStr"/>
      <c r="J1548" t="inlineStr">
        <is>
          <t>04539 Sachsen - Groitzsch</t>
        </is>
      </c>
      <c r="K1548" s="5" t="n">
        <v>45529</v>
      </c>
      <c r="L1548" t="inlineStr">
        <is>
          <t>Sold</t>
        </is>
      </c>
      <c r="M1548" s="6">
        <f>HYPERLINK("https://www.kleinanzeigen.de/s-anzeige/segel-surfen-sport-kita-gun-sails-wasser/2845575683-230-2318", "Link")</f>
        <v/>
      </c>
      <c r="N1548" s="6">
        <f>HYPERLINK("C:\Projects\Kleinanzeigen-Scraper\offer_images\2845575683", "Link")</f>
        <v/>
      </c>
      <c r="O1548" t="inlineStr">
        <is>
          <t>Jakob</t>
        </is>
      </c>
      <c r="P1548" s="6">
        <f>HYPERLINK("https://www.kleinanzeigen.de/s-bestandsliste.html?userId=137364405", "Link")</f>
        <v/>
      </c>
      <c r="Q1548" s="7" t="n">
        <v>45549.57280092593</v>
      </c>
      <c r="R1548" s="3" t="inlineStr">
        <is>
          <t>339.36</t>
        </is>
      </c>
      <c r="S1548" t="inlineStr">
        <is>
          <t>München</t>
        </is>
      </c>
    </row>
    <row r="1549">
      <c r="A1549" s="2" t="n">
        <v>5</v>
      </c>
      <c r="B1549" t="inlineStr">
        <is>
          <t>Simmer Iron</t>
        </is>
      </c>
      <c r="C1549" s="3" t="n">
        <v>400</v>
      </c>
      <c r="D1549" s="3" t="n">
        <v>166</v>
      </c>
      <c r="E1549" t="inlineStr"/>
      <c r="F1549" t="inlineStr"/>
      <c r="G1549" t="inlineStr">
        <is>
          <t>used</t>
        </is>
      </c>
      <c r="H1549" s="4" t="n">
        <v>100</v>
      </c>
      <c r="I1549" t="inlineStr"/>
      <c r="J1549" t="inlineStr">
        <is>
          <t>28816 Niedersachsen - Stuhr</t>
        </is>
      </c>
      <c r="K1549" s="5" t="n">
        <v>45536</v>
      </c>
      <c r="L1549" t="inlineStr"/>
      <c r="M1549" s="6">
        <f>HYPERLINK("https://www.kleinanzeigen.de/s-anzeige/surfsegel-simmer-5-0qm/2851467944-230-2735", "Link")</f>
        <v/>
      </c>
      <c r="N1549" s="6">
        <f>HYPERLINK("C:\Projects\Kleinanzeigen-Scraper\offer_images\2851467944", "Link")</f>
        <v/>
      </c>
      <c r="O1549" t="inlineStr">
        <is>
          <t>Andy</t>
        </is>
      </c>
      <c r="P1549" s="6">
        <f>HYPERLINK("https://www.kleinanzeigen.de/s-bestandsliste.html?userId=34868649", "Link")</f>
        <v/>
      </c>
      <c r="Q1549" s="7" t="n">
        <v>45549.57280092593</v>
      </c>
      <c r="R1549" s="3" t="inlineStr">
        <is>
          <t>259.72</t>
        </is>
      </c>
      <c r="S1549" t="inlineStr">
        <is>
          <t>Köln</t>
        </is>
      </c>
    </row>
    <row r="1550">
      <c r="A1550" s="2" t="n">
        <v>3.7</v>
      </c>
      <c r="B1550" t="inlineStr">
        <is>
          <t>Severne S1</t>
        </is>
      </c>
      <c r="C1550" s="3" t="inlineStr"/>
      <c r="D1550" s="3" t="inlineStr"/>
      <c r="E1550" t="inlineStr"/>
      <c r="F1550" t="inlineStr"/>
      <c r="G1550" t="inlineStr">
        <is>
          <t>used</t>
        </is>
      </c>
      <c r="H1550" s="4" t="n">
        <v>200</v>
      </c>
      <c r="I1550" t="inlineStr"/>
      <c r="J1550" t="inlineStr">
        <is>
          <t>25474 Kreis Pinneberg - Bönningstedt</t>
        </is>
      </c>
      <c r="K1550" s="5" t="n">
        <v>45536</v>
      </c>
      <c r="L1550" t="inlineStr">
        <is>
          <t>Sold</t>
        </is>
      </c>
      <c r="M1550" s="6">
        <f>HYPERLINK("https://www.kleinanzeigen.de/s-anzeige/severne-s1-in-3-7-surfsegel/2851647314-230-10632", "Link")</f>
        <v/>
      </c>
      <c r="N1550" s="6">
        <f>HYPERLINK("C:\Projects\Kleinanzeigen-Scraper\offer_images\2851647314", "Link")</f>
        <v/>
      </c>
      <c r="O1550" t="inlineStr">
        <is>
          <t>JT</t>
        </is>
      </c>
      <c r="P1550" s="6">
        <f>HYPERLINK("https://www.kleinanzeigen.de/s-bestandsliste.html?userId=46269491", "Link")</f>
        <v/>
      </c>
      <c r="Q1550" s="7" t="n">
        <v>45549.57277777778</v>
      </c>
      <c r="R1550" s="3" t="inlineStr">
        <is>
          <t>365.65</t>
        </is>
      </c>
      <c r="S1550" t="inlineStr">
        <is>
          <t>Köln</t>
        </is>
      </c>
    </row>
    <row r="1551">
      <c r="A1551" s="2" t="n">
        <v>10</v>
      </c>
      <c r="B1551" t="inlineStr">
        <is>
          <t>Neil Pryde RSRacing EVO II</t>
        </is>
      </c>
      <c r="C1551" s="3" t="n">
        <v>540</v>
      </c>
      <c r="D1551" s="3" t="n">
        <v>248</v>
      </c>
      <c r="E1551" t="inlineStr"/>
      <c r="F1551" t="inlineStr"/>
      <c r="G1551" t="inlineStr">
        <is>
          <t>damaged</t>
        </is>
      </c>
      <c r="H1551" s="4" t="n">
        <v>70</v>
      </c>
      <c r="I1551" t="inlineStr">
        <is>
          <t>VB</t>
        </is>
      </c>
      <c r="J1551" t="inlineStr">
        <is>
          <t>12587 Berlin - Köpenick</t>
        </is>
      </c>
      <c r="K1551" s="5" t="n">
        <v>45528</v>
      </c>
      <c r="L1551" t="inlineStr"/>
      <c r="M1551" s="6">
        <f>HYPERLINK("https://www.kleinanzeigen.de/s-anzeige/neilpryde-rsracing-evo-ii-10-0-m-/2845295376-230-3374", "Link")</f>
        <v/>
      </c>
      <c r="N1551" s="6">
        <f>HYPERLINK("C:\Projects\Kleinanzeigen-Scraper\offer_images\2845295376", "Link")</f>
        <v/>
      </c>
      <c r="O1551" t="inlineStr">
        <is>
          <t>Müller</t>
        </is>
      </c>
      <c r="P1551" s="6">
        <f>HYPERLINK("https://www.kleinanzeigen.de/s-bestandsliste.html?userId=5985090", "Link")</f>
        <v/>
      </c>
      <c r="Q1551" s="7" t="n">
        <v>45549.57277777778</v>
      </c>
      <c r="R1551" s="3" t="inlineStr">
        <is>
          <t>490.72</t>
        </is>
      </c>
      <c r="S1551" t="inlineStr">
        <is>
          <t>Köln</t>
        </is>
      </c>
    </row>
    <row r="1552">
      <c r="A1552" s="2" t="n">
        <v>7.5</v>
      </c>
      <c r="B1552" t="inlineStr">
        <is>
          <t>Gun Sails Cannonball</t>
        </is>
      </c>
      <c r="C1552" s="3" t="n">
        <v>460</v>
      </c>
      <c r="D1552" s="3" t="n">
        <v>211</v>
      </c>
      <c r="E1552" t="inlineStr"/>
      <c r="F1552" t="inlineStr"/>
      <c r="G1552" t="inlineStr">
        <is>
          <t>used</t>
        </is>
      </c>
      <c r="H1552" s="4" t="n">
        <v>70</v>
      </c>
      <c r="I1552" t="inlineStr">
        <is>
          <t>VB</t>
        </is>
      </c>
      <c r="J1552" t="inlineStr">
        <is>
          <t>89233 Bayern - Neu Ulm</t>
        </is>
      </c>
      <c r="K1552" s="5" t="n">
        <v>45530</v>
      </c>
      <c r="L1552" t="inlineStr"/>
      <c r="M1552" s="6">
        <f>HYPERLINK("https://www.kleinanzeigen.de/s-anzeige/gun-sails-cannonball-7-5-qm/2846972033-230-6682", "Link")</f>
        <v/>
      </c>
      <c r="N1552" s="6">
        <f>HYPERLINK("C:\Projects\Kleinanzeigen-Scraper\offer_images\2846972033", "Link")</f>
        <v/>
      </c>
      <c r="O1552" t="inlineStr">
        <is>
          <t>Tim</t>
        </is>
      </c>
      <c r="P1552" s="6">
        <f>HYPERLINK("https://www.kleinanzeigen.de/s-bestandsliste.html?userId=52906790", "Link")</f>
        <v/>
      </c>
      <c r="Q1552" s="7" t="n">
        <v>45549.57270833333</v>
      </c>
      <c r="R1552" s="3" t="inlineStr">
        <is>
          <t>86.39</t>
        </is>
      </c>
      <c r="S1552" t="inlineStr">
        <is>
          <t>Böblingen</t>
        </is>
      </c>
    </row>
    <row r="1553">
      <c r="A1553" s="2" t="n">
        <v>6.5</v>
      </c>
      <c r="B1553" t="inlineStr">
        <is>
          <t>Gun Sails Booster</t>
        </is>
      </c>
      <c r="C1553" s="3" t="n">
        <v>465</v>
      </c>
      <c r="D1553" s="3" t="n">
        <v>198</v>
      </c>
      <c r="E1553" t="inlineStr"/>
      <c r="F1553" t="inlineStr"/>
      <c r="G1553" t="inlineStr">
        <is>
          <t>used</t>
        </is>
      </c>
      <c r="H1553" s="4" t="n">
        <v>137</v>
      </c>
      <c r="I1553" t="inlineStr"/>
      <c r="J1553" t="inlineStr">
        <is>
          <t>71336 Baden-Württemberg - Waiblingen</t>
        </is>
      </c>
      <c r="K1553" s="5" t="n">
        <v>44868</v>
      </c>
      <c r="L1553" t="inlineStr"/>
      <c r="M1553" s="6">
        <f>HYPERLINK("https://www.kleinanzeigen.de/s-anzeige/segel-gun-sails-booster-6-5qm-top-zustand/2261220931-230-9042", "Link")</f>
        <v/>
      </c>
      <c r="N1553" s="6">
        <f>HYPERLINK("C:\Projects\Kleinanzeigen-Scraper\offer_images\2261220931", "Link")</f>
        <v/>
      </c>
      <c r="O1553" t="inlineStr">
        <is>
          <t>Tanja</t>
        </is>
      </c>
      <c r="P1553" s="6">
        <f>HYPERLINK("https://www.kleinanzeigen.de/s-bestandsliste.html?userId=53774355", "Link")</f>
        <v/>
      </c>
      <c r="Q1553" s="7" t="n">
        <v>45549.57270833333</v>
      </c>
      <c r="R1553" s="3" t="inlineStr">
        <is>
          <t>33.67</t>
        </is>
      </c>
      <c r="S1553" t="inlineStr">
        <is>
          <t>Böblingen</t>
        </is>
      </c>
    </row>
    <row r="1554">
      <c r="A1554" s="2" t="n">
        <v>5.3</v>
      </c>
      <c r="B1554" t="inlineStr">
        <is>
          <t>Gun Sails Wave MC</t>
        </is>
      </c>
      <c r="C1554" s="3" t="n">
        <v>430</v>
      </c>
      <c r="D1554" s="3" t="n">
        <v>178</v>
      </c>
      <c r="E1554" t="inlineStr"/>
      <c r="F1554" t="inlineStr">
        <is>
          <t>2022</t>
        </is>
      </c>
      <c r="G1554" t="inlineStr">
        <is>
          <t>used</t>
        </is>
      </c>
      <c r="H1554" s="4" t="n">
        <v>70</v>
      </c>
      <c r="I1554" t="inlineStr">
        <is>
          <t>VB</t>
        </is>
      </c>
      <c r="J1554" t="inlineStr">
        <is>
          <t>86179 Bayern - Augsburg</t>
        </is>
      </c>
      <c r="K1554" s="5" t="n">
        <v>45534</v>
      </c>
      <c r="L1554" t="inlineStr"/>
      <c r="M1554" s="6">
        <f>HYPERLINK("https://www.kleinanzeigen.de/s-anzeige/gun-sails-wave-mc-5-3-m2-euro-wave-surf-segel/2849882324-230-7531", "Link")</f>
        <v/>
      </c>
      <c r="N1554" s="6">
        <f>HYPERLINK("C:\Projects\Kleinanzeigen-Scraper\offer_images\2849882324", "Link")</f>
        <v/>
      </c>
      <c r="O1554" t="inlineStr">
        <is>
          <t>Henning Latza</t>
        </is>
      </c>
      <c r="P1554" s="6">
        <f>HYPERLINK("https://www.kleinanzeigen.de/s-bestandsliste.html?userId=11393224", "Link")</f>
        <v/>
      </c>
      <c r="Q1554" s="7" t="n">
        <v>45549.57268518519</v>
      </c>
      <c r="R1554" s="3" t="inlineStr">
        <is>
          <t>51.96</t>
        </is>
      </c>
      <c r="S1554" t="inlineStr">
        <is>
          <t>München</t>
        </is>
      </c>
    </row>
    <row r="1555">
      <c r="A1555" s="2" t="n">
        <v>7.6</v>
      </c>
      <c r="B1555" t="inlineStr">
        <is>
          <t>Naish Indy</t>
        </is>
      </c>
      <c r="C1555" s="3" t="n">
        <v>460</v>
      </c>
      <c r="D1555" s="3" t="n">
        <v>198</v>
      </c>
      <c r="E1555" t="inlineStr">
        <is>
          <t>Freeride</t>
        </is>
      </c>
      <c r="F1555" t="inlineStr"/>
      <c r="G1555" t="inlineStr">
        <is>
          <t>used</t>
        </is>
      </c>
      <c r="H1555" s="4" t="n">
        <v>140</v>
      </c>
      <c r="I1555" t="inlineStr"/>
      <c r="J1555" t="inlineStr">
        <is>
          <t>66125 Saarbrücken-Dudweiler - Dudweiler</t>
        </is>
      </c>
      <c r="K1555" s="5" t="n">
        <v>45500</v>
      </c>
      <c r="L1555" t="inlineStr">
        <is>
          <t>Sold</t>
        </is>
      </c>
      <c r="M1555" s="6">
        <f>HYPERLINK("https://www.kleinanzeigen.de/s-anzeige/surfsegel-naish-indy-7-6/2822603489-230-390", "Link")</f>
        <v/>
      </c>
      <c r="N1555" s="6">
        <f>HYPERLINK("C:\Projects\Kleinanzeigen-Scraper\offer_images\2822603489", "Link")</f>
        <v/>
      </c>
      <c r="O1555" t="inlineStr">
        <is>
          <t>Martin</t>
        </is>
      </c>
      <c r="P1555" s="6">
        <f>HYPERLINK("https://www.kleinanzeigen.de/s-bestandsliste.html?userId=73955372", "Link")</f>
        <v/>
      </c>
      <c r="Q1555" s="7" t="n">
        <v>45549.57267361111</v>
      </c>
      <c r="R1555" s="3" t="inlineStr">
        <is>
          <t>104.07</t>
        </is>
      </c>
      <c r="S1555" t="inlineStr">
        <is>
          <t>Karlsruhe</t>
        </is>
      </c>
    </row>
    <row r="1556">
      <c r="A1556" s="2" t="n">
        <v>7.3</v>
      </c>
      <c r="B1556" t="inlineStr">
        <is>
          <t>Gun</t>
        </is>
      </c>
      <c r="C1556" s="3" t="inlineStr"/>
      <c r="D1556" s="3" t="inlineStr"/>
      <c r="E1556" t="inlineStr">
        <is>
          <t>Speed Slalom</t>
        </is>
      </c>
      <c r="F1556" t="inlineStr"/>
      <c r="G1556" t="inlineStr">
        <is>
          <t>used, repaired</t>
        </is>
      </c>
      <c r="H1556" s="4" t="n">
        <v>129</v>
      </c>
      <c r="I1556" t="inlineStr"/>
      <c r="J1556" t="inlineStr">
        <is>
          <t>09111 Sachsen - Chemnitz</t>
        </is>
      </c>
      <c r="K1556" s="5" t="n">
        <v>45189</v>
      </c>
      <c r="L1556" t="inlineStr"/>
      <c r="M1556" s="6">
        <f>HYPERLINK("https://www.kleinanzeigen.de/s-anzeige/gun-7-3m-sails-speed-slalom-gebraucht-gut-zustand-windsurf-segel/2550358580-230-3886", "Link")</f>
        <v/>
      </c>
      <c r="N1556" s="6">
        <f>HYPERLINK("C:\Projects\Kleinanzeigen-Scraper\offer_images\2550358580", "Link")</f>
        <v/>
      </c>
      <c r="O1556" t="inlineStr">
        <is>
          <t>olaf</t>
        </is>
      </c>
      <c r="P1556" s="6">
        <f>HYPERLINK("https://www.kleinanzeigen.de/s-bestandsliste.html?userId=8857923", "Link")</f>
        <v/>
      </c>
      <c r="Q1556" s="7" t="n">
        <v>45549.57267361111</v>
      </c>
      <c r="R1556" s="3" t="inlineStr">
        <is>
          <t>315.71</t>
        </is>
      </c>
      <c r="S1556" t="inlineStr">
        <is>
          <t>München</t>
        </is>
      </c>
    </row>
    <row r="1557">
      <c r="A1557" s="2" t="n">
        <v>7</v>
      </c>
      <c r="B1557" t="inlineStr">
        <is>
          <t>Severne Turbo GT</t>
        </is>
      </c>
      <c r="C1557" s="3" t="inlineStr"/>
      <c r="D1557" s="3" t="inlineStr"/>
      <c r="E1557" t="inlineStr"/>
      <c r="F1557" t="inlineStr"/>
      <c r="G1557" t="inlineStr">
        <is>
          <t>used</t>
        </is>
      </c>
      <c r="H1557" s="4" t="n">
        <v>100</v>
      </c>
      <c r="I1557" t="inlineStr">
        <is>
          <t>VB</t>
        </is>
      </c>
      <c r="J1557" t="inlineStr">
        <is>
          <t>99817 Thüringen - Eisenach</t>
        </is>
      </c>
      <c r="K1557" s="5" t="n">
        <v>45530</v>
      </c>
      <c r="L1557" t="inlineStr"/>
      <c r="M1557" s="6">
        <f>HYPERLINK("https://www.kleinanzeigen.de/s-anzeige/severne-turbo-gt-7-0-segel/2846552414-230-3714", "Link")</f>
        <v/>
      </c>
      <c r="N1557" s="6">
        <f>HYPERLINK("C:\Projects\Kleinanzeigen-Scraper\offer_images\2846552414", "Link")</f>
        <v/>
      </c>
      <c r="O1557" t="inlineStr">
        <is>
          <t>Virginia</t>
        </is>
      </c>
      <c r="P1557" s="6">
        <f>HYPERLINK("https://www.kleinanzeigen.de/s-bestandsliste.html?userId=141754413", "Link")</f>
        <v/>
      </c>
      <c r="Q1557" s="7" t="n">
        <v>45549.57265046296</v>
      </c>
      <c r="R1557" s="3" t="inlineStr">
        <is>
          <t>235.39</t>
        </is>
      </c>
      <c r="S1557" t="inlineStr">
        <is>
          <t>Köln</t>
        </is>
      </c>
    </row>
    <row r="1558">
      <c r="A1558" s="2" t="n">
        <v>6.5</v>
      </c>
      <c r="B1558" t="inlineStr">
        <is>
          <t>Neilpryde Fusion</t>
        </is>
      </c>
      <c r="C1558" s="3" t="inlineStr"/>
      <c r="D1558" s="3" t="inlineStr"/>
      <c r="E1558" t="inlineStr"/>
      <c r="F1558" t="inlineStr">
        <is>
          <t>2016</t>
        </is>
      </c>
      <c r="G1558" t="inlineStr">
        <is>
          <t>used, repaired</t>
        </is>
      </c>
      <c r="H1558" s="4" t="n">
        <v>220</v>
      </c>
      <c r="I1558" t="inlineStr">
        <is>
          <t>VB</t>
        </is>
      </c>
      <c r="J1558" t="inlineStr">
        <is>
          <t>24118 Kiel - Ravensberg-Brunswik-Düsternbrook</t>
        </is>
      </c>
      <c r="K1558" s="5" t="n">
        <v>45489</v>
      </c>
      <c r="L1558" t="inlineStr"/>
      <c r="M1558" s="6">
        <f>HYPERLINK("https://www.kleinanzeigen.de/s-anzeige/neilpryde-fusion-6-5-qm-2016-neil-pryde-segel/2813477142-230-704", "Link")</f>
        <v/>
      </c>
      <c r="N1558" s="6">
        <f>HYPERLINK("C:\Projects\Kleinanzeigen-Scraper\offer_images\2813477142", "Link")</f>
        <v/>
      </c>
      <c r="O1558" t="inlineStr">
        <is>
          <t>Tim</t>
        </is>
      </c>
      <c r="P1558" s="6">
        <f>HYPERLINK("https://www.kleinanzeigen.de/s-bestandsliste.html?userId=10064062", "Link")</f>
        <v/>
      </c>
      <c r="Q1558" s="7" t="n">
        <v>45549.57260416666</v>
      </c>
      <c r="R1558" s="3" t="inlineStr">
        <is>
          <t>434.29</t>
        </is>
      </c>
      <c r="S1558" t="inlineStr">
        <is>
          <t>Köln</t>
        </is>
      </c>
    </row>
    <row r="1559">
      <c r="A1559" s="2" t="n">
        <v>4</v>
      </c>
      <c r="B1559" t="inlineStr">
        <is>
          <t>NEILPRYDE COMBAT PRO</t>
        </is>
      </c>
      <c r="C1559" s="3" t="inlineStr"/>
      <c r="D1559" s="3" t="inlineStr"/>
      <c r="E1559" t="inlineStr"/>
      <c r="F1559" t="inlineStr">
        <is>
          <t>2023</t>
        </is>
      </c>
      <c r="G1559" t="inlineStr">
        <is>
          <t>used</t>
        </is>
      </c>
      <c r="H1559" s="4" t="n">
        <v>349</v>
      </c>
      <c r="I1559" t="inlineStr">
        <is>
          <t>VB</t>
        </is>
      </c>
      <c r="J1559" t="inlineStr">
        <is>
          <t>47918 Nordrhein-Westfalen - Tönisvorst</t>
        </is>
      </c>
      <c r="K1559" s="5" t="n">
        <v>45518</v>
      </c>
      <c r="L1559" t="inlineStr">
        <is>
          <t>Sold</t>
        </is>
      </c>
      <c r="M1559" s="6">
        <f>HYPERLINK("https://www.kleinanzeigen.de/s-anzeige/neilpryde-windsurfsegel-combat-pro-4-0-aus-2023/2836729015-230-1121", "Link")</f>
        <v/>
      </c>
      <c r="N1559" s="6">
        <f>HYPERLINK("C:\Projects\Kleinanzeigen-Scraper\offer_images\2836729015", "Link")</f>
        <v/>
      </c>
      <c r="O1559" t="inlineStr">
        <is>
          <t>Ulrich Lufen</t>
        </is>
      </c>
      <c r="P1559" s="6">
        <f>HYPERLINK("https://www.kleinanzeigen.de/s-bestandsliste.html?userId=28551898", "Link")</f>
        <v/>
      </c>
      <c r="Q1559" s="7" t="n">
        <v>45549.57258101852</v>
      </c>
      <c r="R1559" s="3" t="inlineStr">
        <is>
          <t>56.00</t>
        </is>
      </c>
      <c r="S1559" t="inlineStr">
        <is>
          <t>Köln</t>
        </is>
      </c>
    </row>
    <row r="1560">
      <c r="A1560" s="2" t="n">
        <v>8.6</v>
      </c>
      <c r="B1560" t="inlineStr">
        <is>
          <t>Gun Sails Cannonball</t>
        </is>
      </c>
      <c r="C1560" s="3" t="n">
        <v>519</v>
      </c>
      <c r="D1560" s="3" t="n">
        <v>229</v>
      </c>
      <c r="E1560" t="inlineStr"/>
      <c r="F1560" t="inlineStr"/>
      <c r="G1560" t="inlineStr">
        <is>
          <t>used</t>
        </is>
      </c>
      <c r="H1560" s="4" t="n">
        <v>190</v>
      </c>
      <c r="I1560" t="inlineStr"/>
      <c r="J1560" t="inlineStr">
        <is>
          <t>15749 Brandenburg - Mittenwalde</t>
        </is>
      </c>
      <c r="K1560" s="5" t="n">
        <v>45492</v>
      </c>
      <c r="L1560" t="inlineStr">
        <is>
          <t>Sold</t>
        </is>
      </c>
      <c r="M1560" s="6">
        <f>HYPERLINK("https://www.kleinanzeigen.de/s-anzeige/gun-sail-cannonball-8-6-qm/2816159753-230-7905", "Link")</f>
        <v/>
      </c>
      <c r="N1560" s="6">
        <f>HYPERLINK("C:\Projects\Kleinanzeigen-Scraper\offer_images\2816159753", "Link")</f>
        <v/>
      </c>
      <c r="O1560" t="inlineStr">
        <is>
          <t>Harald Mueller</t>
        </is>
      </c>
      <c r="P1560" s="6">
        <f>HYPERLINK("https://www.kleinanzeigen.de/s-bestandsliste.html?userId=17235871", "Link")</f>
        <v/>
      </c>
      <c r="Q1560" s="7" t="n">
        <v>45549.57258101852</v>
      </c>
      <c r="R1560" s="3" t="inlineStr">
        <is>
          <t>477.62</t>
        </is>
      </c>
      <c r="S1560" t="inlineStr">
        <is>
          <t>Köln</t>
        </is>
      </c>
    </row>
    <row r="1561">
      <c r="A1561" s="2" t="n">
        <v>6.6</v>
      </c>
      <c r="B1561" t="inlineStr">
        <is>
          <t>NeilPryde RS Flight EVO 3</t>
        </is>
      </c>
      <c r="C1561" s="3" t="n">
        <v>460</v>
      </c>
      <c r="D1561" s="3" t="n">
        <v>190</v>
      </c>
      <c r="E1561" t="inlineStr"/>
      <c r="F1561" t="inlineStr">
        <is>
          <t>2022</t>
        </is>
      </c>
      <c r="G1561" t="inlineStr">
        <is>
          <t>used</t>
        </is>
      </c>
      <c r="H1561" s="4" t="n">
        <v>430</v>
      </c>
      <c r="I1561" t="inlineStr">
        <is>
          <t>VB</t>
        </is>
      </c>
      <c r="J1561" t="inlineStr">
        <is>
          <t>99991 Unstrut-Hainich - Weberstedt</t>
        </is>
      </c>
      <c r="K1561" s="5" t="n">
        <v>45500</v>
      </c>
      <c r="L1561" t="inlineStr">
        <is>
          <t>Sold</t>
        </is>
      </c>
      <c r="M1561" s="6">
        <f>HYPERLINK("https://www.kleinanzeigen.de/s-anzeige/neilpryde-rs-flight-evo-3-2022-6-6-foil-segel/2822288794-230-27803", "Link")</f>
        <v/>
      </c>
      <c r="N1561" s="6">
        <f>HYPERLINK("C:\Projects\Kleinanzeigen-Scraper\offer_images\2822288794", "Link")</f>
        <v/>
      </c>
      <c r="O1561" t="inlineStr">
        <is>
          <t>Dirk Kolberg</t>
        </is>
      </c>
      <c r="P1561" s="6">
        <f>HYPERLINK("https://www.kleinanzeigen.de/s-bestandsliste.html?userId=57653293", "Link")</f>
        <v/>
      </c>
      <c r="Q1561" s="7" t="n">
        <v>45549.57255787037</v>
      </c>
      <c r="R1561" s="3" t="inlineStr">
        <is>
          <t>254.19</t>
        </is>
      </c>
      <c r="S1561" t="inlineStr">
        <is>
          <t>Köln</t>
        </is>
      </c>
    </row>
    <row r="1562">
      <c r="A1562" s="2" t="n">
        <v>10</v>
      </c>
      <c r="B1562" t="inlineStr">
        <is>
          <t>Duotone Neo Sls</t>
        </is>
      </c>
      <c r="C1562" s="3" t="inlineStr"/>
      <c r="D1562" s="3" t="inlineStr"/>
      <c r="E1562" t="inlineStr"/>
      <c r="F1562" t="inlineStr">
        <is>
          <t>2024</t>
        </is>
      </c>
      <c r="G1562" t="inlineStr">
        <is>
          <t>new</t>
        </is>
      </c>
      <c r="H1562" s="4" t="n">
        <v>1.05</v>
      </c>
      <c r="I1562" t="inlineStr"/>
      <c r="J1562" t="inlineStr">
        <is>
          <t>80993 München - Moosach</t>
        </is>
      </c>
      <c r="K1562" s="5" t="n">
        <v>45548</v>
      </c>
      <c r="L1562" t="inlineStr">
        <is>
          <t>Sold</t>
        </is>
      </c>
      <c r="M1562" s="6">
        <f>HYPERLINK("https://www.kleinanzeigen.de/s-anzeige/duotone-neo-sls-2024-10-m2/2853619703-230-6446", "Link")</f>
        <v/>
      </c>
      <c r="N1562" s="6">
        <f>HYPERLINK("C:\Projects\Kleinanzeigen-Scraper\offer_images\2853619703", "Link")</f>
        <v/>
      </c>
      <c r="O1562" t="inlineStr">
        <is>
          <t>Magnus</t>
        </is>
      </c>
      <c r="P1562" s="6">
        <f>HYPERLINK("https://www.kleinanzeigen.de/s-bestandsliste.html?userId=86472404", "Link")</f>
        <v/>
      </c>
      <c r="Q1562" s="7" t="n">
        <v>45549.57255787037</v>
      </c>
      <c r="R1562" s="3" t="inlineStr">
        <is>
          <t>6.77</t>
        </is>
      </c>
      <c r="S1562" t="inlineStr">
        <is>
          <t>München</t>
        </is>
      </c>
    </row>
    <row r="1563">
      <c r="A1563" s="2" t="n">
        <v>5.3</v>
      </c>
      <c r="B1563" t="inlineStr">
        <is>
          <t>Neilpryde Combat HD</t>
        </is>
      </c>
      <c r="C1563" s="3" t="n">
        <v>428</v>
      </c>
      <c r="D1563" s="3" t="n">
        <v>173</v>
      </c>
      <c r="E1563" t="inlineStr">
        <is>
          <t>Powerwave</t>
        </is>
      </c>
      <c r="F1563" t="inlineStr"/>
      <c r="G1563" t="inlineStr">
        <is>
          <t>used</t>
        </is>
      </c>
      <c r="H1563" s="4" t="n">
        <v>150</v>
      </c>
      <c r="I1563" t="inlineStr">
        <is>
          <t>VB</t>
        </is>
      </c>
      <c r="J1563" t="inlineStr">
        <is>
          <t>01109 Dresden - Hellerberge</t>
        </is>
      </c>
      <c r="K1563" s="5" t="n">
        <v>45498</v>
      </c>
      <c r="L1563" t="inlineStr">
        <is>
          <t>Sold</t>
        </is>
      </c>
      <c r="M1563" s="6">
        <f>HYPERLINK("https://www.kleinanzeigen.de/s-anzeige/neilpryde-combat-hd-5-3-surfsegel-5-3/2820660365-230-24669", "Link")</f>
        <v/>
      </c>
      <c r="N1563" s="6">
        <f>HYPERLINK("C:\Projects\Kleinanzeigen-Scraper\offer_images\2820660365", "Link")</f>
        <v/>
      </c>
      <c r="O1563" t="inlineStr">
        <is>
          <t>Andreas</t>
        </is>
      </c>
      <c r="P1563" s="6">
        <f>HYPERLINK("https://www.kleinanzeigen.de/s-bestandsliste.html?userId=10879495", "Link")</f>
        <v/>
      </c>
      <c r="Q1563" s="7" t="n">
        <v>45549.57254629629</v>
      </c>
      <c r="R1563" s="3" t="inlineStr">
        <is>
          <t>366.01</t>
        </is>
      </c>
      <c r="S1563" t="inlineStr">
        <is>
          <t>München</t>
        </is>
      </c>
    </row>
    <row r="1564">
      <c r="A1564" s="2" t="n">
        <v>12</v>
      </c>
      <c r="B1564" t="inlineStr">
        <is>
          <t>Duotone Dice SLS</t>
        </is>
      </c>
      <c r="C1564" s="3" t="inlineStr"/>
      <c r="D1564" s="3" t="inlineStr"/>
      <c r="E1564" t="inlineStr"/>
      <c r="F1564" t="inlineStr">
        <is>
          <t>2023</t>
        </is>
      </c>
      <c r="G1564" t="inlineStr">
        <is>
          <t>repaired</t>
        </is>
      </c>
      <c r="H1564" s="4" t="n">
        <v>950</v>
      </c>
      <c r="I1564" t="inlineStr"/>
      <c r="J1564" t="inlineStr">
        <is>
          <t>23769 Kreis Ostholstein - Fehmarn</t>
        </is>
      </c>
      <c r="K1564" s="5" t="n">
        <v>45540</v>
      </c>
      <c r="L1564" t="inlineStr">
        <is>
          <t>Sold</t>
        </is>
      </c>
      <c r="M1564" s="6">
        <f>HYPERLINK("https://www.kleinanzeigen.de/s-anzeige/duotone-dice-sls-12m-2023/2855055059-230-19951", "Link")</f>
        <v/>
      </c>
      <c r="N1564" s="6">
        <f>HYPERLINK("C:\Projects\Kleinanzeigen-Scraper\offer_images\2855055059", "Link")</f>
        <v/>
      </c>
      <c r="O1564" t="inlineStr">
        <is>
          <t>Tobi</t>
        </is>
      </c>
      <c r="P1564" s="6">
        <f>HYPERLINK("https://www.kleinanzeigen.de/s-bestandsliste.html?userId=8351410", "Link")</f>
        <v/>
      </c>
      <c r="Q1564" s="7" t="n">
        <v>45549.57253472223</v>
      </c>
      <c r="R1564" s="3" t="inlineStr">
        <is>
          <t>483.01</t>
        </is>
      </c>
      <c r="S1564" t="inlineStr">
        <is>
          <t>Köln</t>
        </is>
      </c>
    </row>
    <row r="1565">
      <c r="A1565" s="2" t="n">
        <v>4.7</v>
      </c>
      <c r="B1565" t="inlineStr">
        <is>
          <t>Fanatic Wild Wing</t>
        </is>
      </c>
      <c r="C1565" s="3" t="n">
        <v>436</v>
      </c>
      <c r="D1565" s="3" t="n">
        <v>170</v>
      </c>
      <c r="E1565" t="inlineStr"/>
      <c r="F1565" t="inlineStr"/>
      <c r="G1565" t="inlineStr">
        <is>
          <t>used</t>
        </is>
      </c>
      <c r="H1565" s="4" t="n">
        <v>20</v>
      </c>
      <c r="I1565" t="inlineStr">
        <is>
          <t>VB</t>
        </is>
      </c>
      <c r="J1565" t="inlineStr">
        <is>
          <t>71263 Baden-Württemberg - Weil der Stadt</t>
        </is>
      </c>
      <c r="K1565" s="5" t="n">
        <v>45520</v>
      </c>
      <c r="L1565" t="inlineStr">
        <is>
          <t>Sold</t>
        </is>
      </c>
      <c r="M1565" s="6">
        <f>HYPERLINK("https://www.kleinanzeigen.de/s-anzeige/fanatic-wild-wing-4-7-surfsegel/2838409690-230-8404", "Link")</f>
        <v/>
      </c>
      <c r="N1565" s="6">
        <f>HYPERLINK("C:\Projects\Kleinanzeigen-Scraper\offer_images\2838409690", "Link")</f>
        <v/>
      </c>
      <c r="O1565" t="inlineStr">
        <is>
          <t>Christoph Steffen</t>
        </is>
      </c>
      <c r="P1565" s="6">
        <f>HYPERLINK("https://www.kleinanzeigen.de/s-bestandsliste.html?userId=16138442", "Link")</f>
        <v/>
      </c>
      <c r="Q1565" s="7" t="n">
        <v>45549.57252314815</v>
      </c>
      <c r="R1565" s="3" t="inlineStr">
        <is>
          <t>12.30</t>
        </is>
      </c>
      <c r="S1565" t="inlineStr">
        <is>
          <t>Böblingen</t>
        </is>
      </c>
    </row>
    <row r="1566">
      <c r="A1566" s="2" t="n">
        <v>4.5</v>
      </c>
      <c r="B1566" t="inlineStr">
        <is>
          <t>Naish Session</t>
        </is>
      </c>
      <c r="C1566" s="3" t="n">
        <v>400</v>
      </c>
      <c r="D1566" s="3" t="n">
        <v>152</v>
      </c>
      <c r="E1566" t="inlineStr">
        <is>
          <t>Wave</t>
        </is>
      </c>
      <c r="F1566" t="inlineStr"/>
      <c r="G1566" t="inlineStr">
        <is>
          <t>used</t>
        </is>
      </c>
      <c r="H1566" s="4" t="n">
        <v>150</v>
      </c>
      <c r="I1566" t="inlineStr">
        <is>
          <t>VB</t>
        </is>
      </c>
      <c r="J1566" t="inlineStr">
        <is>
          <t>24105 Schleswig-Holstein - Kiel</t>
        </is>
      </c>
      <c r="K1566" s="5" t="n">
        <v>45473</v>
      </c>
      <c r="L1566" t="inlineStr">
        <is>
          <t>Sold</t>
        </is>
      </c>
      <c r="M1566" s="6">
        <f>HYPERLINK("https://www.kleinanzeigen.de/s-anzeige/surfsegel-4-5-qm-naish-session/2800506690-230-708", "Link")</f>
        <v/>
      </c>
      <c r="N1566" s="6">
        <f>HYPERLINK("C:\Projects\Kleinanzeigen-Scraper\offer_images\2800506690", "Link")</f>
        <v/>
      </c>
      <c r="O1566" t="inlineStr">
        <is>
          <t>Martina Fuchs</t>
        </is>
      </c>
      <c r="P1566" s="6">
        <f>HYPERLINK("https://www.kleinanzeigen.de/s-bestandsliste.html?userId=67941009", "Link")</f>
        <v/>
      </c>
      <c r="Q1566" s="7" t="n">
        <v>45549.5725</v>
      </c>
      <c r="R1566" s="3" t="inlineStr">
        <is>
          <t>435.05</t>
        </is>
      </c>
      <c r="S1566" t="inlineStr">
        <is>
          <t>Köln</t>
        </is>
      </c>
    </row>
    <row r="1567">
      <c r="A1567" s="2" t="n">
        <v>4.2</v>
      </c>
      <c r="B1567" t="inlineStr">
        <is>
          <t>GOYA BANZAI X</t>
        </is>
      </c>
      <c r="C1567" s="3" t="n">
        <v>370</v>
      </c>
      <c r="D1567" s="3" t="inlineStr"/>
      <c r="E1567" t="inlineStr"/>
      <c r="F1567" t="inlineStr">
        <is>
          <t>2023</t>
        </is>
      </c>
      <c r="G1567" t="inlineStr">
        <is>
          <t>used</t>
        </is>
      </c>
      <c r="H1567" s="4" t="n">
        <v>420</v>
      </c>
      <c r="I1567" t="inlineStr"/>
      <c r="J1567" t="inlineStr">
        <is>
          <t>67245 Rheinland-Pfalz - Lambsheim</t>
        </is>
      </c>
      <c r="K1567" s="5" t="n">
        <v>45541</v>
      </c>
      <c r="L1567" t="inlineStr">
        <is>
          <t>Sold</t>
        </is>
      </c>
      <c r="M1567" s="6">
        <f>HYPERLINK("https://www.kleinanzeigen.de/s-anzeige/goya-banzai-x-4-2-2023/2855668859-230-5186", "Link")</f>
        <v/>
      </c>
      <c r="N1567" s="6">
        <f>HYPERLINK("C:\Projects\Kleinanzeigen-Scraper\offer_images\2855668859", "Link")</f>
        <v/>
      </c>
      <c r="O1567" t="inlineStr">
        <is>
          <t>Frank</t>
        </is>
      </c>
      <c r="P1567" s="6">
        <f>HYPERLINK("https://www.kleinanzeigen.de/s-bestandsliste.html?userId=8491603", "Link")</f>
        <v/>
      </c>
      <c r="Q1567" s="7" t="n">
        <v>45549.5725</v>
      </c>
      <c r="R1567" s="3" t="inlineStr">
        <is>
          <t>56.18</t>
        </is>
      </c>
      <c r="S1567" t="inlineStr">
        <is>
          <t>Karlsruhe</t>
        </is>
      </c>
    </row>
    <row r="1568">
      <c r="A1568" s="2" t="n">
        <v>8.300000000000001</v>
      </c>
      <c r="B1568" t="inlineStr">
        <is>
          <t>Point 7</t>
        </is>
      </c>
      <c r="C1568" s="3" t="n">
        <v>490</v>
      </c>
      <c r="D1568" s="3" t="n">
        <v>226</v>
      </c>
      <c r="E1568" t="inlineStr"/>
      <c r="F1568" t="inlineStr"/>
      <c r="G1568" t="inlineStr">
        <is>
          <t>used</t>
        </is>
      </c>
      <c r="H1568" s="4" t="n">
        <v>50</v>
      </c>
      <c r="I1568" t="inlineStr"/>
      <c r="J1568" t="inlineStr">
        <is>
          <t>83346 Bayern - Bergen</t>
        </is>
      </c>
      <c r="K1568" s="5" t="n">
        <v>45456</v>
      </c>
      <c r="L1568" t="inlineStr">
        <is>
          <t>Sold</t>
        </is>
      </c>
      <c r="M1568" s="6">
        <f>HYPERLINK("https://www.kleinanzeigen.de/s-anzeige/windsurfsegel-point-7-8-3-qm-gebraucht-billig/2787423844-230-17456", "Link")</f>
        <v/>
      </c>
      <c r="N1568" s="6">
        <f>HYPERLINK("C:\Projects\Kleinanzeigen-Scraper\offer_images\2787423844", "Link")</f>
        <v/>
      </c>
      <c r="O1568" t="inlineStr">
        <is>
          <t>Bernhard Limberg</t>
        </is>
      </c>
      <c r="P1568" s="6">
        <f>HYPERLINK("https://www.kleinanzeigen.de/s-bestandsliste.html?userId=12071426", "Link")</f>
        <v/>
      </c>
      <c r="Q1568" s="7" t="n">
        <v>45549.57248842593</v>
      </c>
      <c r="R1568" s="3" t="inlineStr">
        <is>
          <t>84.11</t>
        </is>
      </c>
      <c r="S1568" t="inlineStr">
        <is>
          <t>München</t>
        </is>
      </c>
    </row>
    <row r="1569">
      <c r="A1569" s="2" t="n">
        <v>5.7</v>
      </c>
      <c r="B1569" t="inlineStr">
        <is>
          <t>Gun Sails Blow</t>
        </is>
      </c>
      <c r="C1569" s="3" t="n">
        <v>400</v>
      </c>
      <c r="D1569" s="3" t="n">
        <v>178</v>
      </c>
      <c r="E1569" t="inlineStr"/>
      <c r="F1569" t="inlineStr"/>
      <c r="G1569" t="inlineStr">
        <is>
          <t>used</t>
        </is>
      </c>
      <c r="H1569" s="4" t="n">
        <v>90</v>
      </c>
      <c r="I1569" t="inlineStr"/>
      <c r="J1569" t="inlineStr">
        <is>
          <t>29699 Niedersachsen - Bomlitz</t>
        </is>
      </c>
      <c r="K1569" s="5" t="n">
        <v>45480</v>
      </c>
      <c r="L1569" t="inlineStr"/>
      <c r="M1569" s="6">
        <f>HYPERLINK("https://www.kleinanzeigen.de/s-anzeige/gun-sails-blow-5-7qm/2806096170-230-3293", "Link")</f>
        <v/>
      </c>
      <c r="N1569" s="6">
        <f>HYPERLINK("C:\Projects\Kleinanzeigen-Scraper\offer_images\2806096170", "Link")</f>
        <v/>
      </c>
      <c r="O1569" t="inlineStr">
        <is>
          <t>Marvin</t>
        </is>
      </c>
      <c r="P1569" s="6">
        <f>HYPERLINK("https://www.kleinanzeigen.de/s-bestandsliste.html?userId=18511564", "Link")</f>
        <v/>
      </c>
      <c r="Q1569" s="7" t="n">
        <v>45549.57248842593</v>
      </c>
      <c r="R1569" s="3" t="inlineStr">
        <is>
          <t>286.63</t>
        </is>
      </c>
      <c r="S1569" t="inlineStr">
        <is>
          <t>Köln</t>
        </is>
      </c>
    </row>
    <row r="1570">
      <c r="A1570" s="2" t="n">
        <v>7.8</v>
      </c>
      <c r="B1570" t="inlineStr">
        <is>
          <t>Severne Overdrive</t>
        </is>
      </c>
      <c r="C1570" s="3" t="inlineStr"/>
      <c r="D1570" s="3" t="inlineStr"/>
      <c r="E1570" t="inlineStr"/>
      <c r="F1570" t="inlineStr"/>
      <c r="G1570" t="inlineStr">
        <is>
          <t>used</t>
        </is>
      </c>
      <c r="H1570" s="4" t="n">
        <v>450</v>
      </c>
      <c r="I1570" t="inlineStr">
        <is>
          <t>VB</t>
        </is>
      </c>
      <c r="J1570" t="inlineStr">
        <is>
          <t>61449 Hessen - Steinbach</t>
        </is>
      </c>
      <c r="K1570" s="5" t="n">
        <v>45496</v>
      </c>
      <c r="L1570" t="inlineStr">
        <is>
          <t>Sold</t>
        </is>
      </c>
      <c r="M1570" s="6">
        <f>HYPERLINK("https://www.kleinanzeigen.de/s-anzeige/suefsegel-severne-overdrive-7-8/2818877863-230-4579", "Link")</f>
        <v/>
      </c>
      <c r="N1570" s="6">
        <f>HYPERLINK("C:\Projects\Kleinanzeigen-Scraper\offer_images\2818877863", "Link")</f>
        <v/>
      </c>
      <c r="O1570" t="inlineStr">
        <is>
          <t>Uwe Richter</t>
        </is>
      </c>
      <c r="P1570" s="6">
        <f>HYPERLINK("https://www.kleinanzeigen.de/s-bestandsliste.html?userId=2098273", "Link")</f>
        <v/>
      </c>
      <c r="Q1570" s="7" t="n">
        <v>45549.5724537037</v>
      </c>
      <c r="R1570" s="3" t="inlineStr">
        <is>
          <t>129.86</t>
        </is>
      </c>
      <c r="S1570" t="inlineStr">
        <is>
          <t>Karlsruhe</t>
        </is>
      </c>
    </row>
    <row r="1571">
      <c r="A1571" s="2" t="n">
        <v>5.8</v>
      </c>
      <c r="B1571" t="inlineStr">
        <is>
          <t>Duotone Sail Duke</t>
        </is>
      </c>
      <c r="C1571" s="3" t="inlineStr"/>
      <c r="D1571" s="3" t="inlineStr"/>
      <c r="E1571" t="inlineStr"/>
      <c r="F1571" t="inlineStr">
        <is>
          <t>2023</t>
        </is>
      </c>
      <c r="G1571" t="inlineStr">
        <is>
          <t>new</t>
        </is>
      </c>
      <c r="H1571" s="4" t="n">
        <v>679</v>
      </c>
      <c r="I1571" t="inlineStr"/>
      <c r="J1571" t="inlineStr">
        <is>
          <t>82319 Bayern - Starnberg</t>
        </is>
      </c>
      <c r="K1571" s="5" t="n">
        <v>45548</v>
      </c>
      <c r="L1571" t="inlineStr">
        <is>
          <t>Sold</t>
        </is>
      </c>
      <c r="M1571" s="6">
        <f>HYPERLINK("https://www.kleinanzeigen.de/s-anzeige/dtw-duotone-sail-duke-5-8-2023-neu-/2498769784-230-5525", "Link")</f>
        <v/>
      </c>
      <c r="N1571" s="6">
        <f>HYPERLINK("C:\Projects\Kleinanzeigen-Scraper\offer_images\2498769784", "Link")</f>
        <v/>
      </c>
      <c r="O1571" t="inlineStr">
        <is>
          <t>No user name</t>
        </is>
      </c>
      <c r="P1571" s="6">
        <f>HYPERLINK("https://www.kleinanzeigen.deNo user link", "Link")</f>
        <v/>
      </c>
      <c r="Q1571" s="7" t="n">
        <v>45549.57240740741</v>
      </c>
      <c r="R1571" s="3" t="inlineStr">
        <is>
          <t>23.17</t>
        </is>
      </c>
      <c r="S1571" t="inlineStr">
        <is>
          <t>München</t>
        </is>
      </c>
    </row>
    <row r="1572">
      <c r="A1572" s="2" t="n">
        <v>7.8</v>
      </c>
      <c r="B1572" t="inlineStr">
        <is>
          <t>Severne Reflex8</t>
        </is>
      </c>
      <c r="C1572" s="3" t="n">
        <v>460</v>
      </c>
      <c r="D1572" s="3" t="n">
        <v>222</v>
      </c>
      <c r="E1572" t="inlineStr">
        <is>
          <t>Slalom</t>
        </is>
      </c>
      <c r="F1572" t="inlineStr"/>
      <c r="G1572" t="inlineStr">
        <is>
          <t>used</t>
        </is>
      </c>
      <c r="H1572" s="4" t="n">
        <v>350</v>
      </c>
      <c r="I1572" t="inlineStr"/>
      <c r="J1572" t="inlineStr">
        <is>
          <t>23769 Kreis Ostholstein - Fehmarn</t>
        </is>
      </c>
      <c r="K1572" s="5" t="n">
        <v>45475</v>
      </c>
      <c r="L1572" t="inlineStr"/>
      <c r="M1572" s="6">
        <f>HYPERLINK("https://www.kleinanzeigen.de/s-anzeige/severne-reflex8-7-8-slalom-segel/2802474828-230-19951", "Link")</f>
        <v/>
      </c>
      <c r="N1572" s="6">
        <f>HYPERLINK("C:\Projects\Kleinanzeigen-Scraper\offer_images\2802474828", "Link")</f>
        <v/>
      </c>
      <c r="O1572" t="inlineStr">
        <is>
          <t>Surfshop Fehmarn</t>
        </is>
      </c>
      <c r="P1572" s="6">
        <f>HYPERLINK("https://www.kleinanzeigen.de/s-bestandsliste.html?userId=85528872", "Link")</f>
        <v/>
      </c>
      <c r="Q1572" s="7" t="n">
        <v>45549.57238425926</v>
      </c>
      <c r="R1572" s="3" t="inlineStr">
        <is>
          <t>483.01</t>
        </is>
      </c>
      <c r="S1572" t="inlineStr">
        <is>
          <t>Köln</t>
        </is>
      </c>
    </row>
    <row r="1573">
      <c r="A1573" s="2" t="n">
        <v>5.3</v>
      </c>
      <c r="B1573" t="inlineStr">
        <is>
          <t>North Sails / Duotone SuperStar</t>
        </is>
      </c>
      <c r="C1573" s="3" t="n">
        <v>439</v>
      </c>
      <c r="D1573" s="3" t="inlineStr">
        <is>
          <t>172-174</t>
        </is>
      </c>
      <c r="E1573" t="inlineStr"/>
      <c r="F1573" t="inlineStr"/>
      <c r="G1573" t="inlineStr">
        <is>
          <t>used</t>
        </is>
      </c>
      <c r="H1573" s="4" t="n">
        <v>180</v>
      </c>
      <c r="I1573" t="inlineStr"/>
      <c r="J1573" t="inlineStr">
        <is>
          <t>53567 Rheinland-Pfalz - Asbach</t>
        </is>
      </c>
      <c r="K1573" s="5" t="n">
        <v>45543</v>
      </c>
      <c r="L1573" t="inlineStr">
        <is>
          <t>Sold</t>
        </is>
      </c>
      <c r="M1573" s="6">
        <f>HYPERLINK("https://www.kleinanzeigen.de/s-anzeige/surfsegel-north-sails-duotone-superstar-5-3/2858111004-230-10528", "Link")</f>
        <v/>
      </c>
      <c r="N1573" s="6">
        <f>HYPERLINK("C:\Projects\Kleinanzeigen-Scraper\offer_images\2858111004", "Link")</f>
        <v/>
      </c>
      <c r="O1573" t="inlineStr">
        <is>
          <t>Stephan</t>
        </is>
      </c>
      <c r="P1573" s="6">
        <f>HYPERLINK("https://www.kleinanzeigen.de/s-bestandsliste.html?userId=85778427", "Link")</f>
        <v/>
      </c>
      <c r="Q1573" s="7" t="n">
        <v>45549.57238425926</v>
      </c>
      <c r="R1573" s="3" t="inlineStr">
        <is>
          <t>43.30</t>
        </is>
      </c>
      <c r="S1573" t="inlineStr">
        <is>
          <t>Köln</t>
        </is>
      </c>
    </row>
    <row r="1574">
      <c r="A1574" s="2" t="n">
        <v>4.2</v>
      </c>
      <c r="B1574" t="inlineStr">
        <is>
          <t>Sailloft Curve</t>
        </is>
      </c>
      <c r="C1574" s="3" t="inlineStr"/>
      <c r="D1574" s="3" t="inlineStr"/>
      <c r="E1574" t="inlineStr"/>
      <c r="F1574" t="inlineStr"/>
      <c r="G1574" t="inlineStr">
        <is>
          <t>used</t>
        </is>
      </c>
      <c r="H1574" s="4" t="n">
        <v>45</v>
      </c>
      <c r="I1574" t="inlineStr">
        <is>
          <t>VB</t>
        </is>
      </c>
      <c r="J1574" t="inlineStr">
        <is>
          <t>48329 Nordrhein-Westfalen - Havixbeck</t>
        </is>
      </c>
      <c r="K1574" s="5" t="n">
        <v>45540</v>
      </c>
      <c r="L1574" t="inlineStr"/>
      <c r="M1574" s="6">
        <f>HYPERLINK("https://www.kleinanzeigen.de/s-anzeige/sailloft-curve-4-2-segel/2855229321-230-1320", "Link")</f>
        <v/>
      </c>
      <c r="N1574" s="6">
        <f>HYPERLINK("C:\Projects\Kleinanzeigen-Scraper\offer_images\2855229321", "Link")</f>
        <v/>
      </c>
      <c r="O1574" t="inlineStr">
        <is>
          <t>Tobias</t>
        </is>
      </c>
      <c r="P1574" s="6">
        <f>HYPERLINK("https://www.kleinanzeigen.de/s-bestandsliste.html?userId=22799132", "Link")</f>
        <v/>
      </c>
      <c r="Q1574" s="7" t="n">
        <v>45549.57233796296</v>
      </c>
      <c r="R1574" s="3" t="inlineStr">
        <is>
          <t>119.19</t>
        </is>
      </c>
      <c r="S1574" t="inlineStr">
        <is>
          <t>Köln</t>
        </is>
      </c>
    </row>
    <row r="1575">
      <c r="A1575" s="2" t="n">
        <v>5.6</v>
      </c>
      <c r="B1575" t="inlineStr">
        <is>
          <t>Point-7 AC1</t>
        </is>
      </c>
      <c r="C1575" s="3" t="inlineStr"/>
      <c r="D1575" s="3" t="inlineStr"/>
      <c r="E1575" t="inlineStr">
        <is>
          <t>Slalom/Speed</t>
        </is>
      </c>
      <c r="F1575" t="inlineStr">
        <is>
          <t>2022</t>
        </is>
      </c>
      <c r="G1575" t="inlineStr">
        <is>
          <t>repaired</t>
        </is>
      </c>
      <c r="H1575" s="4" t="n">
        <v>325</v>
      </c>
      <c r="I1575" t="inlineStr">
        <is>
          <t>VB</t>
        </is>
      </c>
      <c r="J1575" t="inlineStr">
        <is>
          <t>47665 Nordrhein-Westfalen - Sonsbeck</t>
        </is>
      </c>
      <c r="K1575" s="5" t="n">
        <v>45542</v>
      </c>
      <c r="L1575" t="inlineStr"/>
      <c r="M1575" s="6">
        <f>HYPERLINK("https://www.kleinanzeigen.de/s-anzeige/point-7-ac1-5-6-2022/2856452677-230-1404", "Link")</f>
        <v/>
      </c>
      <c r="N1575" s="6">
        <f>HYPERLINK("C:\Projects\Kleinanzeigen-Scraper\offer_images\2856452677", "Link")</f>
        <v/>
      </c>
      <c r="O1575" t="inlineStr">
        <is>
          <t>Becker Jan</t>
        </is>
      </c>
      <c r="P1575" s="6">
        <f>HYPERLINK("https://www.kleinanzeigen.de/s-bestandsliste.html?userId=91021997", "Link")</f>
        <v/>
      </c>
      <c r="Q1575" s="7" t="n">
        <v>45549.57232638889</v>
      </c>
      <c r="R1575" s="3" t="inlineStr">
        <is>
          <t>86.26</t>
        </is>
      </c>
      <c r="S1575" t="inlineStr">
        <is>
          <t>Köln</t>
        </is>
      </c>
    </row>
    <row r="1576">
      <c r="A1576" s="2" t="n">
        <v>5.3</v>
      </c>
      <c r="B1576" t="inlineStr">
        <is>
          <t>Severne Blade pro</t>
        </is>
      </c>
      <c r="C1576" s="3" t="inlineStr"/>
      <c r="D1576" s="3" t="inlineStr"/>
      <c r="E1576" t="inlineStr"/>
      <c r="F1576" t="inlineStr">
        <is>
          <t>2021</t>
        </is>
      </c>
      <c r="G1576" t="inlineStr">
        <is>
          <t>used</t>
        </is>
      </c>
      <c r="H1576" s="4" t="n">
        <v>480</v>
      </c>
      <c r="I1576" t="inlineStr"/>
      <c r="J1576" t="inlineStr">
        <is>
          <t>93309 Bayern - Kelheim</t>
        </is>
      </c>
      <c r="K1576" s="5" t="n">
        <v>45543</v>
      </c>
      <c r="L1576" t="inlineStr">
        <is>
          <t>Sold</t>
        </is>
      </c>
      <c r="M1576" s="6">
        <f>HYPERLINK("https://www.kleinanzeigen.de/s-anzeige/severne-blade-pro-5-3-m2/2857038672-230-6235", "Link")</f>
        <v/>
      </c>
      <c r="N1576" s="6">
        <f>HYPERLINK("C:\Projects\Kleinanzeigen-Scraper\offer_images\2857038672", "Link")</f>
        <v/>
      </c>
      <c r="O1576" t="inlineStr">
        <is>
          <t>MS</t>
        </is>
      </c>
      <c r="P1576" s="6">
        <f>HYPERLINK("https://www.kleinanzeigen.de/s-bestandsliste.html?userId=19708796", "Link")</f>
        <v/>
      </c>
      <c r="Q1576" s="7" t="n">
        <v>45549.57232638889</v>
      </c>
      <c r="R1576" s="3" t="inlineStr">
        <is>
          <t>88.18</t>
        </is>
      </c>
      <c r="S1576" t="inlineStr">
        <is>
          <t>München</t>
        </is>
      </c>
    </row>
    <row r="1577">
      <c r="A1577" s="2" t="n">
        <v>5</v>
      </c>
      <c r="B1577" t="inlineStr">
        <is>
          <t>Naish Force IV</t>
        </is>
      </c>
      <c r="C1577" s="3" t="inlineStr"/>
      <c r="D1577" s="3" t="inlineStr"/>
      <c r="E1577" t="inlineStr"/>
      <c r="F1577" t="inlineStr"/>
      <c r="G1577" t="inlineStr">
        <is>
          <t>used</t>
        </is>
      </c>
      <c r="H1577" s="4" t="n">
        <v>249</v>
      </c>
      <c r="I1577" t="inlineStr">
        <is>
          <t>VB</t>
        </is>
      </c>
      <c r="J1577" t="inlineStr">
        <is>
          <t>40789 Nordrhein-Westfalen - Monheim am Rhein</t>
        </is>
      </c>
      <c r="K1577" s="5" t="n">
        <v>45543</v>
      </c>
      <c r="L1577" t="inlineStr">
        <is>
          <t>Sold</t>
        </is>
      </c>
      <c r="M1577" s="6">
        <f>HYPERLINK("https://www.kleinanzeigen.de/s-anzeige/naish-windsurfsegel-force-iv-segel-groesse-5-0-qm/2857706787-230-1116", "Link")</f>
        <v/>
      </c>
      <c r="N1577" s="6">
        <f>HYPERLINK("C:\Projects\Kleinanzeigen-Scraper\offer_images\2857706787", "Link")</f>
        <v/>
      </c>
      <c r="O1577" t="inlineStr">
        <is>
          <t>Anne Langenfeld</t>
        </is>
      </c>
      <c r="P1577" s="6">
        <f>HYPERLINK("https://www.kleinanzeigen.de/s-bestandsliste.html?userId=34911340", "Link")</f>
        <v/>
      </c>
      <c r="Q1577" s="7" t="n">
        <v>45549.57232638889</v>
      </c>
      <c r="R1577" s="3" t="inlineStr">
        <is>
          <t>18.00</t>
        </is>
      </c>
      <c r="S1577" t="inlineStr">
        <is>
          <t>Köln</t>
        </is>
      </c>
    </row>
    <row r="1578">
      <c r="A1578" s="2" t="n">
        <v>6.8</v>
      </c>
      <c r="B1578" t="inlineStr">
        <is>
          <t>Gun Sails Flash</t>
        </is>
      </c>
      <c r="C1578" s="3" t="inlineStr"/>
      <c r="D1578" s="3" t="inlineStr"/>
      <c r="E1578" t="inlineStr"/>
      <c r="F1578" t="inlineStr"/>
      <c r="G1578" t="inlineStr">
        <is>
          <t>used</t>
        </is>
      </c>
      <c r="H1578" s="4" t="n">
        <v>60</v>
      </c>
      <c r="I1578" t="inlineStr">
        <is>
          <t>VB</t>
        </is>
      </c>
      <c r="J1578" t="inlineStr">
        <is>
          <t>24113 Schleswig-Holstein - Molfsee</t>
        </is>
      </c>
      <c r="K1578" s="5" t="n">
        <v>45515</v>
      </c>
      <c r="L1578" t="inlineStr"/>
      <c r="M1578" s="6">
        <f>HYPERLINK("https://www.kleinanzeigen.de/s-anzeige/surfsegel-gun-sails-6-8-qm-flash/2834771830-230-21250", "Link")</f>
        <v/>
      </c>
      <c r="N1578" s="6">
        <f>HYPERLINK("C:\Projects\Kleinanzeigen-Scraper\offer_images\2834771830", "Link")</f>
        <v/>
      </c>
      <c r="O1578" t="inlineStr">
        <is>
          <t>Thorsten Stamp</t>
        </is>
      </c>
      <c r="P1578" s="6">
        <f>HYPERLINK("https://www.kleinanzeigen.de/s-bestandsliste.html?userId=22337276", "Link")</f>
        <v/>
      </c>
      <c r="Q1578" s="7" t="n">
        <v>45549.57230324074</v>
      </c>
      <c r="R1578" s="3" t="inlineStr">
        <is>
          <t>427.37</t>
        </is>
      </c>
      <c r="S1578" t="inlineStr">
        <is>
          <t>Köln</t>
        </is>
      </c>
    </row>
    <row r="1579">
      <c r="A1579" s="2" t="n">
        <v>6.3</v>
      </c>
      <c r="B1579" t="inlineStr">
        <is>
          <t>Gun Sails GS-R</t>
        </is>
      </c>
      <c r="C1579" s="3" t="n">
        <v>452</v>
      </c>
      <c r="D1579" s="3" t="n">
        <v>190</v>
      </c>
      <c r="E1579" t="inlineStr">
        <is>
          <t>Slalom</t>
        </is>
      </c>
      <c r="F1579" t="inlineStr"/>
      <c r="G1579" t="inlineStr">
        <is>
          <t>used</t>
        </is>
      </c>
      <c r="H1579" s="4" t="n">
        <v>150</v>
      </c>
      <c r="I1579" t="inlineStr">
        <is>
          <t>VB</t>
        </is>
      </c>
      <c r="J1579" t="inlineStr">
        <is>
          <t>23769 Kreis Ostholstein - Fehmarn</t>
        </is>
      </c>
      <c r="K1579" s="5" t="n">
        <v>45369</v>
      </c>
      <c r="L1579" t="inlineStr">
        <is>
          <t>Sold</t>
        </is>
      </c>
      <c r="M1579" s="6">
        <f>HYPERLINK("https://www.kleinanzeigen.de/s-anzeige/windsurf-slalomsegel-gun-sails-gs-r-6-3-qm/2710290696-230-19951", "Link")</f>
        <v/>
      </c>
      <c r="N1579" s="6">
        <f>HYPERLINK("C:\Projects\Kleinanzeigen-Scraper\offer_images\2710290696", "Link")</f>
        <v/>
      </c>
      <c r="O1579" t="inlineStr">
        <is>
          <t>Nils</t>
        </is>
      </c>
      <c r="P1579" s="6">
        <f>HYPERLINK("https://www.kleinanzeigen.de/s-bestandsliste.html?userId=6526835", "Link")</f>
        <v/>
      </c>
      <c r="Q1579" s="7" t="n">
        <v>45549.57223379629</v>
      </c>
      <c r="R1579" s="3" t="inlineStr">
        <is>
          <t>483.01</t>
        </is>
      </c>
      <c r="S1579" t="inlineStr">
        <is>
          <t>Köln</t>
        </is>
      </c>
    </row>
    <row r="1580">
      <c r="A1580" s="2" t="n">
        <v>5.5</v>
      </c>
      <c r="B1580" t="inlineStr">
        <is>
          <t>Goya Banzai</t>
        </is>
      </c>
      <c r="C1580" s="3" t="inlineStr"/>
      <c r="D1580" s="3" t="inlineStr"/>
      <c r="E1580" t="inlineStr"/>
      <c r="F1580" t="inlineStr"/>
      <c r="G1580" t="inlineStr">
        <is>
          <t>repaired</t>
        </is>
      </c>
      <c r="H1580" s="4" t="n">
        <v>75</v>
      </c>
      <c r="I1580" t="inlineStr">
        <is>
          <t>VB</t>
        </is>
      </c>
      <c r="J1580" t="inlineStr">
        <is>
          <t>80339 München - Schwanthalerhöhe</t>
        </is>
      </c>
      <c r="K1580" s="5" t="n">
        <v>45486</v>
      </c>
      <c r="L1580" t="inlineStr"/>
      <c r="M1580" s="6">
        <f>HYPERLINK("https://www.kleinanzeigen.de/s-anzeige/windsurf-segel-sail-goya-banzai-5-5/2811508905-230-6444", "Link")</f>
        <v/>
      </c>
      <c r="N1580" s="6">
        <f>HYPERLINK("C:\Projects\Kleinanzeigen-Scraper\offer_images\2811508905", "Link")</f>
        <v/>
      </c>
      <c r="O1580" t="inlineStr">
        <is>
          <t>Timo Kusior</t>
        </is>
      </c>
      <c r="P1580" s="6">
        <f>HYPERLINK("https://www.kleinanzeigen.de/s-bestandsliste.html?userId=26960606", "Link")</f>
        <v/>
      </c>
      <c r="Q1580" s="7" t="n">
        <v>45549.57223379629</v>
      </c>
      <c r="R1580" s="3" t="inlineStr">
        <is>
          <t>2.57</t>
        </is>
      </c>
      <c r="S1580" t="inlineStr">
        <is>
          <t>München</t>
        </is>
      </c>
    </row>
    <row r="1581">
      <c r="A1581" s="2" t="n">
        <v>5</v>
      </c>
      <c r="B1581" t="inlineStr">
        <is>
          <t>Neilpryde Combat</t>
        </is>
      </c>
      <c r="C1581" s="3" t="n">
        <v>400</v>
      </c>
      <c r="D1581" s="3" t="n">
        <v>164</v>
      </c>
      <c r="E1581" t="inlineStr"/>
      <c r="F1581" t="inlineStr">
        <is>
          <t>2015</t>
        </is>
      </c>
      <c r="G1581" t="inlineStr">
        <is>
          <t>repaired</t>
        </is>
      </c>
      <c r="H1581" s="4" t="n">
        <v>65</v>
      </c>
      <c r="I1581" t="inlineStr">
        <is>
          <t>VB</t>
        </is>
      </c>
      <c r="J1581" t="inlineStr">
        <is>
          <t>70597 Stuttgart - Degerloch</t>
        </is>
      </c>
      <c r="K1581" s="5" t="n">
        <v>45468</v>
      </c>
      <c r="L1581" t="inlineStr"/>
      <c r="M1581" s="6">
        <f>HYPERLINK("https://www.kleinanzeigen.de/s-anzeige/neilpryde-combat-5-0-surfsegel-wavesegel/2796800257-230-9297", "Link")</f>
        <v/>
      </c>
      <c r="N1581" s="6">
        <f>HYPERLINK("C:\Projects\Kleinanzeigen-Scraper\offer_images\2796800257", "Link")</f>
        <v/>
      </c>
      <c r="O1581" t="inlineStr">
        <is>
          <t>Lukas Worbs</t>
        </is>
      </c>
      <c r="P1581" s="6">
        <f>HYPERLINK("https://www.kleinanzeigen.de/s-bestandsliste.html?userId=41627552", "Link")</f>
        <v/>
      </c>
      <c r="Q1581" s="7" t="n">
        <v>45549.57222222222</v>
      </c>
      <c r="R1581" s="3" t="inlineStr">
        <is>
          <t>16.37</t>
        </is>
      </c>
      <c r="S1581" t="inlineStr">
        <is>
          <t>Böblingen</t>
        </is>
      </c>
    </row>
    <row r="1582">
      <c r="A1582" s="2" t="n">
        <v>6.6</v>
      </c>
      <c r="B1582" t="inlineStr">
        <is>
          <t>Neilpryde RS Racing Evo XII</t>
        </is>
      </c>
      <c r="C1582" s="3" t="n">
        <v>430</v>
      </c>
      <c r="D1582" s="3" t="inlineStr">
        <is>
          <t>189-196</t>
        </is>
      </c>
      <c r="E1582" t="inlineStr"/>
      <c r="F1582" t="inlineStr"/>
      <c r="G1582" t="inlineStr">
        <is>
          <t>new</t>
        </is>
      </c>
      <c r="H1582" s="4" t="n">
        <v>350</v>
      </c>
      <c r="I1582" t="inlineStr"/>
      <c r="J1582" t="inlineStr">
        <is>
          <t>33758 Nordrhein-Westfalen - Schloß Holte-Stukenbrock</t>
        </is>
      </c>
      <c r="K1582" s="5" t="n">
        <v>45540</v>
      </c>
      <c r="L1582" t="inlineStr"/>
      <c r="M1582" s="6">
        <f>HYPERLINK("https://www.kleinanzeigen.de/s-anzeige/neilpryde-rs-racing-evo-xii-6-6/2854948720-230-1646", "Link")</f>
        <v/>
      </c>
      <c r="N1582" s="6">
        <f>HYPERLINK("C:\Projects\Kleinanzeigen-Scraper\offer_images\2854948720", "Link")</f>
        <v/>
      </c>
      <c r="O1582" t="inlineStr">
        <is>
          <t>Ralf Ewers</t>
        </is>
      </c>
      <c r="P1582" s="6">
        <f>HYPERLINK("https://www.kleinanzeigen.de/s-bestandsliste.html?userId=75080608", "Link")</f>
        <v/>
      </c>
      <c r="Q1582" s="7" t="n">
        <v>45549.57219907407</v>
      </c>
      <c r="R1582" s="3" t="inlineStr">
        <is>
          <t>158.29</t>
        </is>
      </c>
      <c r="S1582" t="inlineStr">
        <is>
          <t>Köln</t>
        </is>
      </c>
    </row>
    <row r="1583">
      <c r="A1583" s="2" t="n">
        <v>7.8</v>
      </c>
      <c r="B1583" t="inlineStr">
        <is>
          <t>Point-Ack</t>
        </is>
      </c>
      <c r="C1583" s="3" t="inlineStr"/>
      <c r="D1583" s="3" t="inlineStr"/>
      <c r="E1583" t="inlineStr"/>
      <c r="F1583" t="inlineStr">
        <is>
          <t>2020</t>
        </is>
      </c>
      <c r="G1583" t="inlineStr">
        <is>
          <t>used</t>
        </is>
      </c>
      <c r="H1583" s="4" t="n">
        <v>160</v>
      </c>
      <c r="I1583" t="inlineStr"/>
      <c r="J1583" t="inlineStr">
        <is>
          <t>47665 Nordrhein-Westfalen - Sonsbeck</t>
        </is>
      </c>
      <c r="K1583" s="5" t="n">
        <v>45542</v>
      </c>
      <c r="L1583" t="inlineStr"/>
      <c r="M1583" s="6">
        <f>HYPERLINK("https://www.kleinanzeigen.de/s-anzeige/point-ack-7-8-2020/2856463550-230-1404", "Link")</f>
        <v/>
      </c>
      <c r="N1583" s="6">
        <f>HYPERLINK("C:\Projects\Kleinanzeigen-Scraper\offer_images\2856463550", "Link")</f>
        <v/>
      </c>
      <c r="O1583" t="inlineStr">
        <is>
          <t>Becker Jan</t>
        </is>
      </c>
      <c r="P1583" s="6">
        <f>HYPERLINK("https://www.kleinanzeigen.de/s-bestandsliste.html?userId=91021997", "Link")</f>
        <v/>
      </c>
      <c r="Q1583" s="7" t="n">
        <v>45549.5721875</v>
      </c>
      <c r="R1583" s="3" t="inlineStr">
        <is>
          <t>86.26</t>
        </is>
      </c>
      <c r="S1583" t="inlineStr">
        <is>
          <t>Köln</t>
        </is>
      </c>
    </row>
    <row r="1584">
      <c r="A1584" s="2" t="n">
        <v>6.9</v>
      </c>
      <c r="B1584" t="inlineStr">
        <is>
          <t>Sailloft Slam</t>
        </is>
      </c>
      <c r="C1584" s="3" t="n">
        <v>478</v>
      </c>
      <c r="D1584" s="3" t="n">
        <v>200</v>
      </c>
      <c r="E1584" t="inlineStr"/>
      <c r="F1584" t="inlineStr"/>
      <c r="G1584" t="inlineStr">
        <is>
          <t>used</t>
        </is>
      </c>
      <c r="H1584" s="4" t="n">
        <v>35</v>
      </c>
      <c r="I1584" t="inlineStr">
        <is>
          <t>VB</t>
        </is>
      </c>
      <c r="J1584" t="inlineStr">
        <is>
          <t>29525 Niedersachsen - Uelzen</t>
        </is>
      </c>
      <c r="K1584" s="5" t="n">
        <v>45479</v>
      </c>
      <c r="L1584" t="inlineStr"/>
      <c r="M1584" s="6">
        <f>HYPERLINK("https://www.kleinanzeigen.de/s-anzeige/sailloft-slam-6-9-windsurf-segel/2805334623-230-3234", "Link")</f>
        <v/>
      </c>
      <c r="N1584" s="6">
        <f>HYPERLINK("C:\Projects\Kleinanzeigen-Scraper\offer_images\2805334623", "Link")</f>
        <v/>
      </c>
      <c r="O1584" t="inlineStr">
        <is>
          <t>Ahlers Helmut</t>
        </is>
      </c>
      <c r="P1584" s="6">
        <f>HYPERLINK("https://www.kleinanzeigen.de/s-bestandsliste.html?userId=5686725", "Link")</f>
        <v/>
      </c>
      <c r="Q1584" s="7" t="n">
        <v>45549.57217592592</v>
      </c>
      <c r="R1584" s="3" t="inlineStr">
        <is>
          <t>337.48</t>
        </is>
      </c>
      <c r="S1584" t="inlineStr">
        <is>
          <t>Köln</t>
        </is>
      </c>
    </row>
    <row r="1585">
      <c r="A1585" s="2" t="n">
        <v>4.2</v>
      </c>
      <c r="B1585" t="inlineStr">
        <is>
          <t>Sailloft Cannibal Curve</t>
        </is>
      </c>
      <c r="C1585" s="3" t="inlineStr"/>
      <c r="D1585" s="3" t="inlineStr"/>
      <c r="E1585" t="inlineStr">
        <is>
          <t>Wave</t>
        </is>
      </c>
      <c r="F1585" t="inlineStr"/>
      <c r="G1585" t="inlineStr">
        <is>
          <t>used</t>
        </is>
      </c>
      <c r="H1585" s="4" t="n">
        <v>80</v>
      </c>
      <c r="I1585" t="inlineStr"/>
      <c r="J1585" t="inlineStr">
        <is>
          <t>24340 Schleswig-Holstein - Eckernförde</t>
        </is>
      </c>
      <c r="K1585" s="5" t="n">
        <v>45432</v>
      </c>
      <c r="L1585" t="inlineStr"/>
      <c r="M1585" s="6">
        <f>HYPERLINK("https://www.kleinanzeigen.de/s-anzeige/4-2-m2-sailloft-surfsegel/2766481450-230-13234", "Link")</f>
        <v/>
      </c>
      <c r="N1585" s="6">
        <f>HYPERLINK("C:\Projects\Kleinanzeigen-Scraper\offer_images\2766481450", "Link")</f>
        <v/>
      </c>
      <c r="O1585" t="inlineStr">
        <is>
          <t>Lasse</t>
        </is>
      </c>
      <c r="P1585" s="6">
        <f>HYPERLINK("https://www.kleinanzeigen.de/s-bestandsliste.html?userId=18419958", "Link")</f>
        <v/>
      </c>
      <c r="Q1585" s="7" t="n">
        <v>45549.57215277778</v>
      </c>
      <c r="R1585" s="3" t="inlineStr">
        <is>
          <t>434.69</t>
        </is>
      </c>
      <c r="S1585" t="inlineStr">
        <is>
          <t>Köln</t>
        </is>
      </c>
    </row>
    <row r="1586">
      <c r="A1586" s="2" t="n">
        <v>5.5</v>
      </c>
      <c r="B1586" t="inlineStr">
        <is>
          <t>Simmer Style Race</t>
        </is>
      </c>
      <c r="C1586" s="3" t="inlineStr"/>
      <c r="D1586" s="3" t="inlineStr"/>
      <c r="E1586" t="inlineStr"/>
      <c r="F1586" t="inlineStr"/>
      <c r="G1586" t="inlineStr">
        <is>
          <t>used</t>
        </is>
      </c>
      <c r="H1586" s="4" t="n">
        <v>30</v>
      </c>
      <c r="I1586" t="inlineStr"/>
      <c r="J1586" t="inlineStr">
        <is>
          <t>41468 Nordrhein-Westfalen - Neuss</t>
        </is>
      </c>
      <c r="K1586" s="5" t="n">
        <v>45514</v>
      </c>
      <c r="L1586" t="inlineStr">
        <is>
          <t>Sold</t>
        </is>
      </c>
      <c r="M1586" s="6">
        <f>HYPERLINK("https://www.kleinanzeigen.de/s-anzeige/windsurf-segel-simmer-style-race-5-5/2833345823-230-2112", "Link")</f>
        <v/>
      </c>
      <c r="N1586" s="6">
        <f>HYPERLINK("C:\Projects\Kleinanzeigen-Scraper\offer_images\2833345823", "Link")</f>
        <v/>
      </c>
      <c r="O1586" t="inlineStr">
        <is>
          <t>Familie H</t>
        </is>
      </c>
      <c r="P1586" s="6">
        <f>HYPERLINK("https://www.kleinanzeigen.de/s-bestandsliste.html?userId=38602523", "Link")</f>
        <v/>
      </c>
      <c r="Q1586" s="7" t="n">
        <v>45549.57212962963</v>
      </c>
      <c r="R1586" s="3" t="inlineStr">
        <is>
          <t>27.78</t>
        </is>
      </c>
      <c r="S1586" t="inlineStr">
        <is>
          <t>Köln</t>
        </is>
      </c>
    </row>
    <row r="1587">
      <c r="A1587" s="2" t="n">
        <v>4.7</v>
      </c>
      <c r="B1587" t="inlineStr">
        <is>
          <t>North Sails Hero</t>
        </is>
      </c>
      <c r="C1587" s="3" t="inlineStr"/>
      <c r="D1587" s="3" t="inlineStr"/>
      <c r="E1587" t="inlineStr">
        <is>
          <t>Wave</t>
        </is>
      </c>
      <c r="F1587" t="inlineStr">
        <is>
          <t>2014</t>
        </is>
      </c>
      <c r="G1587" t="inlineStr">
        <is>
          <t>used</t>
        </is>
      </c>
      <c r="H1587" s="4" t="n">
        <v>120</v>
      </c>
      <c r="I1587" t="inlineStr">
        <is>
          <t>VB</t>
        </is>
      </c>
      <c r="J1587" t="inlineStr">
        <is>
          <t>40724 Nordrhein-Westfalen - Hilden</t>
        </is>
      </c>
      <c r="K1587" s="5" t="n">
        <v>45549</v>
      </c>
      <c r="L1587" t="inlineStr">
        <is>
          <t>Sold</t>
        </is>
      </c>
      <c r="M1587" s="6">
        <f>HYPERLINK("https://www.kleinanzeigen.de/s-anzeige/north-sails-hero-4-7/2862883739-230-1859", "Link")</f>
        <v/>
      </c>
      <c r="N1587" s="6">
        <f>HYPERLINK("C:\Projects\Kleinanzeigen-Scraper\offer_images\2862883739", "Link")</f>
        <v/>
      </c>
      <c r="O1587" t="inlineStr">
        <is>
          <t>Laurenz Huhn</t>
        </is>
      </c>
      <c r="P1587" s="6">
        <f>HYPERLINK("https://www.kleinanzeigen.de/s-bestandsliste.html?userId=5367532", "Link")</f>
        <v/>
      </c>
      <c r="Q1587" s="7" t="n">
        <v>45549.57212962963</v>
      </c>
      <c r="R1587" s="3" t="inlineStr">
        <is>
          <t>26.51</t>
        </is>
      </c>
      <c r="S1587" t="inlineStr">
        <is>
          <t>Köln</t>
        </is>
      </c>
    </row>
    <row r="1588">
      <c r="A1588" s="2" t="n">
        <v>8.199999999999999</v>
      </c>
      <c r="B1588" t="inlineStr">
        <is>
          <t>NeilPryde V8</t>
        </is>
      </c>
      <c r="C1588" s="3" t="inlineStr"/>
      <c r="D1588" s="3" t="inlineStr"/>
      <c r="E1588" t="inlineStr">
        <is>
          <t>Racing</t>
        </is>
      </c>
      <c r="F1588" t="inlineStr">
        <is>
          <t>2019</t>
        </is>
      </c>
      <c r="G1588" t="inlineStr">
        <is>
          <t>used</t>
        </is>
      </c>
      <c r="H1588" s="4" t="n">
        <v>200</v>
      </c>
      <c r="I1588" t="inlineStr"/>
      <c r="J1588" t="inlineStr">
        <is>
          <t>82211 Bayern - Herrsching</t>
        </is>
      </c>
      <c r="K1588" s="5" t="n">
        <v>45537</v>
      </c>
      <c r="L1588" t="inlineStr"/>
      <c r="M1588" s="6">
        <f>HYPERLINK("https://www.kleinanzeigen.de/s-anzeige/neilpryde-v8-racesegel-windsurfsegel-8-2-qm/2852964577-230-5520", "Link")</f>
        <v/>
      </c>
      <c r="N1588" s="6">
        <f>HYPERLINK("C:\Projects\Kleinanzeigen-Scraper\offer_images\2852964577", "Link")</f>
        <v/>
      </c>
      <c r="O1588" t="inlineStr">
        <is>
          <t>Oliver</t>
        </is>
      </c>
      <c r="P1588" s="6">
        <f>HYPERLINK("https://www.kleinanzeigen.de/s-bestandsliste.html?userId=17846362", "Link")</f>
        <v/>
      </c>
      <c r="Q1588" s="7" t="n">
        <v>45549.57210648148</v>
      </c>
      <c r="R1588" s="3" t="inlineStr">
        <is>
          <t>32.73</t>
        </is>
      </c>
      <c r="S1588" t="inlineStr">
        <is>
          <t>München</t>
        </is>
      </c>
    </row>
    <row r="1589">
      <c r="A1589" s="2" t="n">
        <v>5</v>
      </c>
      <c r="B1589" t="inlineStr">
        <is>
          <t>Simmer Wave</t>
        </is>
      </c>
      <c r="C1589" s="3" t="n">
        <v>430</v>
      </c>
      <c r="D1589" s="3" t="inlineStr">
        <is>
          <t>144-157</t>
        </is>
      </c>
      <c r="E1589" t="inlineStr"/>
      <c r="F1589" t="inlineStr"/>
      <c r="G1589" t="inlineStr">
        <is>
          <t>used</t>
        </is>
      </c>
      <c r="H1589" s="4" t="n">
        <v>80</v>
      </c>
      <c r="I1589" t="inlineStr"/>
      <c r="J1589" t="inlineStr">
        <is>
          <t>59597 Nordrhein-Westfalen - Erwitte</t>
        </is>
      </c>
      <c r="K1589" s="5" t="n">
        <v>45144</v>
      </c>
      <c r="L1589" t="inlineStr"/>
      <c r="M1589" s="6">
        <f>HYPERLINK("https://www.kleinanzeigen.de/s-anzeige/simmer-wave-5-0/2513741666-230-1266", "Link")</f>
        <v/>
      </c>
      <c r="N1589" s="6">
        <f>HYPERLINK("C:\Projects\Kleinanzeigen-Scraper\offer_images\2513741666", "Link")</f>
        <v/>
      </c>
      <c r="O1589" t="inlineStr">
        <is>
          <t>Jürgen  Jarmatz</t>
        </is>
      </c>
      <c r="P1589" s="6">
        <f>HYPERLINK("https://www.kleinanzeigen.de/s-bestandsliste.html?userId=124087048", "Link")</f>
        <v/>
      </c>
      <c r="Q1589" s="7" t="n">
        <v>45549.57210648148</v>
      </c>
      <c r="R1589" s="3" t="inlineStr">
        <is>
          <t>119.91</t>
        </is>
      </c>
      <c r="S1589" t="inlineStr">
        <is>
          <t>Köln</t>
        </is>
      </c>
    </row>
    <row r="1590">
      <c r="A1590" s="2" t="n">
        <v>7</v>
      </c>
      <c r="B1590" t="inlineStr">
        <is>
          <t>Sailloft Bionic SL</t>
        </is>
      </c>
      <c r="C1590" s="3" t="inlineStr"/>
      <c r="D1590" s="3" t="inlineStr"/>
      <c r="E1590" t="inlineStr"/>
      <c r="F1590" t="inlineStr"/>
      <c r="G1590" t="inlineStr">
        <is>
          <t>used</t>
        </is>
      </c>
      <c r="H1590" s="4" t="n">
        <v>230</v>
      </c>
      <c r="I1590" t="inlineStr"/>
      <c r="J1590" t="inlineStr">
        <is>
          <t>59320 Nordrhein-Westfalen - Ennigerloh</t>
        </is>
      </c>
      <c r="K1590" s="5" t="n">
        <v>45487</v>
      </c>
      <c r="L1590" t="inlineStr"/>
      <c r="M1590" s="6">
        <f>HYPERLINK("https://www.kleinanzeigen.de/s-anzeige/sailloft-bionic-sl-segel-7-0-m-windsurfen/2812390420-230-1439", "Link")</f>
        <v/>
      </c>
      <c r="N1590" s="6">
        <f>HYPERLINK("C:\Projects\Kleinanzeigen-Scraper\offer_images\2812390420", "Link")</f>
        <v/>
      </c>
      <c r="O1590" t="inlineStr">
        <is>
          <t>MD</t>
        </is>
      </c>
      <c r="P1590" s="6">
        <f>HYPERLINK("https://www.kleinanzeigen.de/s-bestandsliste.html?userId=14971628", "Link")</f>
        <v/>
      </c>
      <c r="Q1590" s="7" t="n">
        <v>45549.57206018519</v>
      </c>
      <c r="R1590" s="3" t="inlineStr">
        <is>
          <t>126.09</t>
        </is>
      </c>
      <c r="S1590" t="inlineStr">
        <is>
          <t>Köln</t>
        </is>
      </c>
    </row>
    <row r="1591">
      <c r="A1591" s="2" t="n">
        <v>4.1</v>
      </c>
      <c r="B1591" t="inlineStr">
        <is>
          <t>Point7 Swell</t>
        </is>
      </c>
      <c r="C1591" s="3" t="inlineStr"/>
      <c r="D1591" s="3" t="inlineStr"/>
      <c r="E1591" t="inlineStr"/>
      <c r="F1591" t="inlineStr"/>
      <c r="G1591" t="inlineStr">
        <is>
          <t>used</t>
        </is>
      </c>
      <c r="H1591" s="4" t="n">
        <v>125</v>
      </c>
      <c r="I1591" t="inlineStr">
        <is>
          <t>VB</t>
        </is>
      </c>
      <c r="J1591" t="inlineStr">
        <is>
          <t>25489 Schleswig-Holstein - Haselau</t>
        </is>
      </c>
      <c r="K1591" s="5" t="n">
        <v>45502</v>
      </c>
      <c r="L1591" t="inlineStr">
        <is>
          <t>Sold</t>
        </is>
      </c>
      <c r="M1591" s="6">
        <f>HYPERLINK("https://www.kleinanzeigen.de/s-anzeige/point7-swell-surfsegel-4-1-qm/2824566259-230-23663", "Link")</f>
        <v/>
      </c>
      <c r="N1591" s="6">
        <f>HYPERLINK("C:\Projects\Kleinanzeigen-Scraper\offer_images\2824566259", "Link")</f>
        <v/>
      </c>
      <c r="O1591" t="inlineStr">
        <is>
          <t>Werner Marckmann</t>
        </is>
      </c>
      <c r="P1591" s="6">
        <f>HYPERLINK("https://www.kleinanzeigen.de/s-bestandsliste.html?userId=9276219", "Link")</f>
        <v/>
      </c>
      <c r="Q1591" s="7" t="n">
        <v>45549.57203703704</v>
      </c>
      <c r="R1591" s="3" t="inlineStr">
        <is>
          <t>349.68</t>
        </is>
      </c>
      <c r="S1591" t="inlineStr">
        <is>
          <t>Köln</t>
        </is>
      </c>
    </row>
    <row r="1592">
      <c r="A1592" s="2" t="n">
        <v>14</v>
      </c>
      <c r="B1592" t="inlineStr">
        <is>
          <t>Naish Pivot</t>
        </is>
      </c>
      <c r="C1592" s="3" t="inlineStr"/>
      <c r="D1592" s="3" t="inlineStr"/>
      <c r="E1592" t="inlineStr"/>
      <c r="F1592" t="inlineStr"/>
      <c r="G1592" t="inlineStr">
        <is>
          <t>used</t>
        </is>
      </c>
      <c r="H1592" s="4" t="n">
        <v>390</v>
      </c>
      <c r="I1592" t="inlineStr"/>
      <c r="J1592" t="inlineStr">
        <is>
          <t>22527 Eimsbüttel - Hamburg Stellingen</t>
        </is>
      </c>
      <c r="K1592" s="5" t="n">
        <v>45476</v>
      </c>
      <c r="L1592" t="inlineStr">
        <is>
          <t>Sold</t>
        </is>
      </c>
      <c r="M1592" s="6">
        <f>HYPERLINK("https://www.kleinanzeigen.de/s-anzeige/naish-pivot-14-qm/2803470672-230-9435", "Link")</f>
        <v/>
      </c>
      <c r="N1592" s="6">
        <f>HYPERLINK("C:\Projects\Kleinanzeigen-Scraper\offer_images\2803470672", "Link")</f>
        <v/>
      </c>
      <c r="O1592" t="inlineStr">
        <is>
          <t>Germann</t>
        </is>
      </c>
      <c r="P1592" s="6">
        <f>HYPERLINK("https://www.kleinanzeigen.de/s-bestandsliste.html?userId=38974013", "Link")</f>
        <v/>
      </c>
      <c r="Q1592" s="7" t="n">
        <v>45549.57203703704</v>
      </c>
      <c r="R1592" s="3" t="inlineStr">
        <is>
          <t>358.47</t>
        </is>
      </c>
      <c r="S1592" t="inlineStr">
        <is>
          <t>Köln</t>
        </is>
      </c>
    </row>
    <row r="1593">
      <c r="A1593" s="2" t="n">
        <v>5.9</v>
      </c>
      <c r="B1593" t="inlineStr">
        <is>
          <t>Loft</t>
        </is>
      </c>
      <c r="C1593" s="3" t="n">
        <v>430</v>
      </c>
      <c r="D1593" s="3" t="n">
        <v>190</v>
      </c>
      <c r="E1593" t="inlineStr"/>
      <c r="F1593" t="inlineStr"/>
      <c r="G1593" t="inlineStr">
        <is>
          <t>used</t>
        </is>
      </c>
      <c r="H1593" s="4" t="n">
        <v>20</v>
      </c>
      <c r="I1593" t="inlineStr">
        <is>
          <t>VB</t>
        </is>
      </c>
      <c r="J1593" t="inlineStr">
        <is>
          <t>22159 Wandsbek - Hamburg Farmsen-Berne</t>
        </is>
      </c>
      <c r="K1593" s="5" t="n">
        <v>45493</v>
      </c>
      <c r="L1593" t="inlineStr"/>
      <c r="M1593" s="6">
        <f>HYPERLINK("https://www.kleinanzeigen.de/s-anzeige/loft-sail-5-9/2816773465-230-9454", "Link")</f>
        <v/>
      </c>
      <c r="N1593" s="6">
        <f>HYPERLINK("C:\Projects\Kleinanzeigen-Scraper\offer_images\2816773465", "Link")</f>
        <v/>
      </c>
      <c r="O1593" t="inlineStr">
        <is>
          <t>Uli H</t>
        </is>
      </c>
      <c r="P1593" s="6">
        <f>HYPERLINK("https://www.kleinanzeigen.de/s-bestandsliste.html?userId=16927779", "Link")</f>
        <v/>
      </c>
      <c r="Q1593" s="7" t="n">
        <v>45549.57197916666</v>
      </c>
      <c r="R1593" s="3" t="inlineStr">
        <is>
          <t>367.33</t>
        </is>
      </c>
      <c r="S1593" t="inlineStr">
        <is>
          <t>Köln</t>
        </is>
      </c>
    </row>
    <row r="1594">
      <c r="A1594" s="2" t="n">
        <v>7.8</v>
      </c>
      <c r="B1594" t="inlineStr">
        <is>
          <t>Point-7 AC-K</t>
        </is>
      </c>
      <c r="C1594" s="3" t="n">
        <v>460</v>
      </c>
      <c r="D1594" s="3" t="n">
        <v>210</v>
      </c>
      <c r="E1594" t="inlineStr"/>
      <c r="F1594" t="inlineStr"/>
      <c r="G1594" t="inlineStr">
        <is>
          <t>used</t>
        </is>
      </c>
      <c r="H1594" s="4" t="n">
        <v>215</v>
      </c>
      <c r="I1594" t="inlineStr">
        <is>
          <t>VB</t>
        </is>
      </c>
      <c r="J1594" t="inlineStr">
        <is>
          <t>25469 Kreis Pinneberg - Halstenbek</t>
        </is>
      </c>
      <c r="K1594" s="5" t="n">
        <v>45555</v>
      </c>
      <c r="L1594" t="inlineStr">
        <is>
          <t>Sold</t>
        </is>
      </c>
      <c r="M1594" s="6">
        <f>HYPERLINK("https://www.kleinanzeigen.de/s-anzeige/surfsegel-point-7-ac-k-7-8/2850978300-230-617", "Link")</f>
        <v/>
      </c>
      <c r="N1594" s="6">
        <f>HYPERLINK("C:\Projects\Kleinanzeigen-Scraper\offer_images\2850978300", "Link")</f>
        <v/>
      </c>
      <c r="O1594" t="inlineStr">
        <is>
          <t>Ole Sanmann</t>
        </is>
      </c>
      <c r="P1594" s="6">
        <f>HYPERLINK("https://www.kleinanzeigen.de/s-bestandsliste.html?userId=37045102", "Link")</f>
        <v/>
      </c>
      <c r="Q1594" s="7" t="n">
        <v>45549.57197916666</v>
      </c>
      <c r="R1594" s="3" t="inlineStr">
        <is>
          <t>356.43</t>
        </is>
      </c>
      <c r="S1594" t="inlineStr">
        <is>
          <t>Köln</t>
        </is>
      </c>
    </row>
    <row r="1595">
      <c r="A1595" s="2" t="n">
        <v>5.8</v>
      </c>
      <c r="B1595" t="inlineStr">
        <is>
          <t>Severne Freek</t>
        </is>
      </c>
      <c r="C1595" s="3" t="inlineStr"/>
      <c r="D1595" s="3" t="inlineStr"/>
      <c r="E1595" t="inlineStr"/>
      <c r="F1595" t="inlineStr"/>
      <c r="G1595" t="inlineStr">
        <is>
          <t>used</t>
        </is>
      </c>
      <c r="H1595" s="4" t="n">
        <v>100</v>
      </c>
      <c r="I1595" t="inlineStr">
        <is>
          <t>VB</t>
        </is>
      </c>
      <c r="J1595" t="inlineStr">
        <is>
          <t>85276 Bayern - Pfaffenhofen a.d. Ilm</t>
        </is>
      </c>
      <c r="K1595" s="5" t="n">
        <v>45545</v>
      </c>
      <c r="L1595" t="inlineStr"/>
      <c r="M1595" s="6">
        <f>HYPERLINK("https://www.kleinanzeigen.de/s-anzeige/windsurfsegel-severne-freek-5-8/2859651223-230-5850", "Link")</f>
        <v/>
      </c>
      <c r="N1595" s="6">
        <f>HYPERLINK("C:\Projects\Kleinanzeigen-Scraper\offer_images\2859651223", "Link")</f>
        <v/>
      </c>
      <c r="O1595" t="inlineStr">
        <is>
          <t>Fillip</t>
        </is>
      </c>
      <c r="P1595" s="6">
        <f>HYPERLINK("https://www.kleinanzeigen.de/s-bestandsliste.html?userId=65512741", "Link")</f>
        <v/>
      </c>
      <c r="Q1595" s="7" t="n">
        <v>45549.57197916666</v>
      </c>
      <c r="R1595" s="3" t="inlineStr">
        <is>
          <t>47.13</t>
        </is>
      </c>
      <c r="S1595" t="inlineStr">
        <is>
          <t>München</t>
        </is>
      </c>
    </row>
    <row r="1596">
      <c r="A1596" s="2" t="n">
        <v>5.5</v>
      </c>
      <c r="B1596" t="inlineStr">
        <is>
          <t>Sailloft Cross</t>
        </is>
      </c>
      <c r="C1596" s="3" t="inlineStr"/>
      <c r="D1596" s="3" t="inlineStr"/>
      <c r="E1596" t="inlineStr"/>
      <c r="F1596" t="inlineStr"/>
      <c r="G1596" t="inlineStr">
        <is>
          <t>used</t>
        </is>
      </c>
      <c r="H1596" s="4" t="n">
        <v>69</v>
      </c>
      <c r="I1596" t="inlineStr">
        <is>
          <t>VB</t>
        </is>
      </c>
      <c r="J1596" t="inlineStr">
        <is>
          <t>48432 Nordrhein-Westfalen - Rheine</t>
        </is>
      </c>
      <c r="K1596" s="5" t="n">
        <v>45497</v>
      </c>
      <c r="L1596" t="inlineStr">
        <is>
          <t>Sold</t>
        </is>
      </c>
      <c r="M1596" s="6">
        <f>HYPERLINK("https://www.kleinanzeigen.de/s-anzeige/sailloft-cross-5-5-qm-segel/2820060425-230-1783", "Link")</f>
        <v/>
      </c>
      <c r="N1596" s="6">
        <f>HYPERLINK("C:\Projects\Kleinanzeigen-Scraper\offer_images\2820060425", "Link")</f>
        <v/>
      </c>
      <c r="O1596" t="inlineStr">
        <is>
          <t>N. Marks</t>
        </is>
      </c>
      <c r="P1596" s="6">
        <f>HYPERLINK("https://www.kleinanzeigen.de/s-bestandsliste.html?userId=23180514", "Link")</f>
        <v/>
      </c>
      <c r="Q1596" s="7" t="n">
        <v>45549.57197916666</v>
      </c>
      <c r="R1596" s="3" t="inlineStr">
        <is>
          <t>148.12</t>
        </is>
      </c>
      <c r="S1596" t="inlineStr">
        <is>
          <t>Köln</t>
        </is>
      </c>
    </row>
    <row r="1597">
      <c r="A1597" s="2" t="n">
        <v>8.199999999999999</v>
      </c>
      <c r="B1597" t="inlineStr">
        <is>
          <t>Neil Pryde RS Racing Evo XII</t>
        </is>
      </c>
      <c r="C1597" s="3" t="inlineStr"/>
      <c r="D1597" s="3" t="inlineStr"/>
      <c r="E1597" t="inlineStr"/>
      <c r="F1597" t="inlineStr">
        <is>
          <t>2020</t>
        </is>
      </c>
      <c r="G1597" t="inlineStr">
        <is>
          <t>used</t>
        </is>
      </c>
      <c r="H1597" s="4" t="n">
        <v>350</v>
      </c>
      <c r="I1597" t="inlineStr"/>
      <c r="J1597" t="inlineStr">
        <is>
          <t>28832 Niedersachsen - Achim</t>
        </is>
      </c>
      <c r="K1597" s="5" t="n">
        <v>45457</v>
      </c>
      <c r="L1597" t="inlineStr"/>
      <c r="M1597" s="6">
        <f>HYPERLINK("https://www.kleinanzeigen.de/s-anzeige/neilpryde-rs-racing-evo-xii-8-2qm-neil-pryde/2787605198-230-2658", "Link")</f>
        <v/>
      </c>
      <c r="N1597" s="6">
        <f>HYPERLINK("C:\Projects\Kleinanzeigen-Scraper\offer_images\2787605198", "Link")</f>
        <v/>
      </c>
      <c r="O1597" t="inlineStr">
        <is>
          <t>T.E</t>
        </is>
      </c>
      <c r="P1597" s="6">
        <f>HYPERLINK("https://www.kleinanzeigen.de/s-bestandsliste.html?userId=3663502", "Link")</f>
        <v/>
      </c>
      <c r="Q1597" s="7" t="n">
        <v>45549.57195601852</v>
      </c>
      <c r="R1597" s="3" t="inlineStr">
        <is>
          <t>273.42</t>
        </is>
      </c>
      <c r="S1597" t="inlineStr">
        <is>
          <t>Köln</t>
        </is>
      </c>
    </row>
    <row r="1598">
      <c r="A1598" s="2" t="n">
        <v>8.5</v>
      </c>
      <c r="B1598" t="inlineStr">
        <is>
          <t>Severne Glide</t>
        </is>
      </c>
      <c r="C1598" s="3" t="inlineStr"/>
      <c r="D1598" s="3" t="inlineStr"/>
      <c r="E1598" t="inlineStr">
        <is>
          <t>Freerace</t>
        </is>
      </c>
      <c r="F1598" t="inlineStr"/>
      <c r="G1598" t="inlineStr">
        <is>
          <t>used</t>
        </is>
      </c>
      <c r="H1598" s="4" t="n">
        <v>180</v>
      </c>
      <c r="I1598" t="inlineStr">
        <is>
          <t>VB</t>
        </is>
      </c>
      <c r="J1598" t="inlineStr">
        <is>
          <t>12555 Berlin - Köpenick</t>
        </is>
      </c>
      <c r="K1598" s="5" t="n">
        <v>45173</v>
      </c>
      <c r="L1598" t="inlineStr"/>
      <c r="M1598" s="6">
        <f>HYPERLINK("https://www.kleinanzeigen.de/s-anzeige/freerace-segel-severne-glide-8-5-surfen-leichtwindsegel/2537842157-230-3365", "Link")</f>
        <v/>
      </c>
      <c r="N1598" s="6">
        <f>HYPERLINK("C:\Projects\Kleinanzeigen-Scraper\offer_images\2537842157", "Link")</f>
        <v/>
      </c>
      <c r="O1598" t="inlineStr">
        <is>
          <t>Gregor Gelbert</t>
        </is>
      </c>
      <c r="P1598" s="6">
        <f>HYPERLINK("https://www.kleinanzeigen.de/s-bestandsliste.html?userId=20288784", "Link")</f>
        <v/>
      </c>
      <c r="Q1598" s="7" t="n">
        <v>45549.57195601852</v>
      </c>
      <c r="R1598" s="3" t="inlineStr">
        <is>
          <t>487.27</t>
        </is>
      </c>
      <c r="S1598" t="inlineStr">
        <is>
          <t>Köln</t>
        </is>
      </c>
    </row>
    <row r="1599">
      <c r="A1599" s="2" t="n">
        <v>6.2</v>
      </c>
      <c r="B1599" t="inlineStr">
        <is>
          <t>Severne Reflex 6</t>
        </is>
      </c>
      <c r="C1599" s="3" t="inlineStr"/>
      <c r="D1599" s="3" t="inlineStr"/>
      <c r="E1599" t="inlineStr"/>
      <c r="F1599" t="inlineStr"/>
      <c r="G1599" t="inlineStr">
        <is>
          <t>damaged</t>
        </is>
      </c>
      <c r="H1599" s="4" t="n">
        <v>90</v>
      </c>
      <c r="I1599" t="inlineStr"/>
      <c r="J1599" t="inlineStr">
        <is>
          <t>46539 Nordrhein-Westfalen - Dinslaken</t>
        </is>
      </c>
      <c r="K1599" s="5" t="n">
        <v>45496</v>
      </c>
      <c r="L1599" t="inlineStr"/>
      <c r="M1599" s="6">
        <f>HYPERLINK("https://www.kleinanzeigen.de/s-anzeige/severne-reflex-6-in-6-2-qm-windsurf-segel/2819090116-230-1855", "Link")</f>
        <v/>
      </c>
      <c r="N1599" s="6">
        <f>HYPERLINK("C:\Projects\Kleinanzeigen-Scraper\offer_images\2819090116", "Link")</f>
        <v/>
      </c>
      <c r="O1599" t="inlineStr">
        <is>
          <t>Kuhlmann</t>
        </is>
      </c>
      <c r="P1599" s="6">
        <f>HYPERLINK("https://www.kleinanzeigen.de/s-bestandsliste.html?userId=50984913", "Link")</f>
        <v/>
      </c>
      <c r="Q1599" s="7" t="n">
        <v>45549.57193287037</v>
      </c>
      <c r="R1599" s="3" t="inlineStr">
        <is>
          <t>72.34</t>
        </is>
      </c>
      <c r="S1599" t="inlineStr">
        <is>
          <t>Köln</t>
        </is>
      </c>
    </row>
    <row r="1600">
      <c r="A1600" s="2" t="n">
        <v>7</v>
      </c>
      <c r="B1600" t="inlineStr">
        <is>
          <t>North Sails Pyro</t>
        </is>
      </c>
      <c r="C1600" s="3" t="n">
        <v>497</v>
      </c>
      <c r="D1600" s="3" t="inlineStr">
        <is>
          <t>203-206</t>
        </is>
      </c>
      <c r="E1600" t="inlineStr"/>
      <c r="F1600" t="inlineStr"/>
      <c r="G1600" t="inlineStr">
        <is>
          <t>used</t>
        </is>
      </c>
      <c r="H1600" s="4" t="n">
        <v>100</v>
      </c>
      <c r="I1600" t="inlineStr">
        <is>
          <t>VB</t>
        </is>
      </c>
      <c r="J1600" t="inlineStr">
        <is>
          <t>48477 Hörstel - Riesenbeck</t>
        </is>
      </c>
      <c r="K1600" s="5" t="n">
        <v>45544</v>
      </c>
      <c r="L1600" t="inlineStr">
        <is>
          <t>Sold</t>
        </is>
      </c>
      <c r="M1600" s="6">
        <f>HYPERLINK("https://www.kleinanzeigen.de/s-anzeige/north-sails-pyro-7-0qm/2858945174-230-27853", "Link")</f>
        <v/>
      </c>
      <c r="N1600" s="6">
        <f>HYPERLINK("C:\Projects\Kleinanzeigen-Scraper\offer_images\2858945174", "Link")</f>
        <v/>
      </c>
      <c r="O1600" t="inlineStr">
        <is>
          <t>Marvin</t>
        </is>
      </c>
      <c r="P1600" s="6">
        <f>HYPERLINK("https://www.kleinanzeigen.de/s-bestandsliste.html?userId=141883333", "Link")</f>
        <v/>
      </c>
      <c r="Q1600" s="7" t="n">
        <v>45549.57190972222</v>
      </c>
      <c r="R1600" s="3" t="inlineStr">
        <is>
          <t>157.42</t>
        </is>
      </c>
      <c r="S1600" t="inlineStr">
        <is>
          <t>Köln</t>
        </is>
      </c>
    </row>
    <row r="1601">
      <c r="A1601" s="2" t="n">
        <v>5.5</v>
      </c>
      <c r="B1601" t="inlineStr">
        <is>
          <t>Gun</t>
        </is>
      </c>
      <c r="C1601" s="3" t="n">
        <v>4.7</v>
      </c>
      <c r="D1601" s="3" t="n">
        <v>1.9</v>
      </c>
      <c r="E1601" t="inlineStr">
        <is>
          <t>Race Slalom</t>
        </is>
      </c>
      <c r="F1601" t="inlineStr"/>
      <c r="G1601" t="inlineStr">
        <is>
          <t>used</t>
        </is>
      </c>
      <c r="H1601" s="4" t="n">
        <v>249</v>
      </c>
      <c r="I1601" t="inlineStr"/>
      <c r="J1601" t="inlineStr">
        <is>
          <t>09111 Sachsen - Chemnitz</t>
        </is>
      </c>
      <c r="K1601" s="5" t="n">
        <v>45189</v>
      </c>
      <c r="L1601" t="inlineStr"/>
      <c r="M1601" s="6">
        <f>HYPERLINK("https://www.kleinanzeigen.de/s-anzeige/gun-5-5m-sails-race-slalom-gebraucht-gut-zustand-windsurf-segel/2550376109-230-3886", "Link")</f>
        <v/>
      </c>
      <c r="N1601" s="6">
        <f>HYPERLINK("C:\Projects\Kleinanzeigen-Scraper\offer_images\2550376109", "Link")</f>
        <v/>
      </c>
      <c r="O1601" t="inlineStr">
        <is>
          <t>olaf</t>
        </is>
      </c>
      <c r="P1601" s="6">
        <f>HYPERLINK("https://www.kleinanzeigen.de/s-bestandsliste.html?userId=8857923", "Link")</f>
        <v/>
      </c>
      <c r="Q1601" s="7" t="n">
        <v>45549.57188657407</v>
      </c>
      <c r="R1601" s="3" t="inlineStr">
        <is>
          <t>315.71</t>
        </is>
      </c>
      <c r="S1601" t="inlineStr">
        <is>
          <t>München</t>
        </is>
      </c>
    </row>
    <row r="1602">
      <c r="A1602" s="2" t="n">
        <v>5</v>
      </c>
      <c r="B1602" t="inlineStr">
        <is>
          <t>Gun Sails Target</t>
        </is>
      </c>
      <c r="C1602" s="3" t="inlineStr"/>
      <c r="D1602" s="3" t="inlineStr"/>
      <c r="E1602" t="inlineStr"/>
      <c r="F1602" t="inlineStr"/>
      <c r="G1602" t="inlineStr">
        <is>
          <t>used</t>
        </is>
      </c>
      <c r="H1602" s="4" t="n">
        <v>99</v>
      </c>
      <c r="I1602" t="inlineStr"/>
      <c r="J1602" t="inlineStr">
        <is>
          <t>82319 Bayern - Starnberg</t>
        </is>
      </c>
      <c r="K1602" s="5" t="n">
        <v>45487</v>
      </c>
      <c r="L1602" t="inlineStr"/>
      <c r="M1602" s="6">
        <f>HYPERLINK("https://www.kleinanzeigen.de/s-anzeige/surfsegel-gun-sails-target-5-0-zu-verkaufen-/2812469344-230-5525", "Link")</f>
        <v/>
      </c>
      <c r="N1602" s="6">
        <f>HYPERLINK("C:\Projects\Kleinanzeigen-Scraper\offer_images\2812469344", "Link")</f>
        <v/>
      </c>
      <c r="O1602" t="inlineStr">
        <is>
          <t>Richard</t>
        </is>
      </c>
      <c r="P1602" s="6">
        <f>HYPERLINK("https://www.kleinanzeigen.de/s-bestandsliste.html?userId=11456922", "Link")</f>
        <v/>
      </c>
      <c r="Q1602" s="7" t="n">
        <v>45549.571875</v>
      </c>
      <c r="R1602" s="3" t="inlineStr">
        <is>
          <t>23.17</t>
        </is>
      </c>
      <c r="S1602" t="inlineStr">
        <is>
          <t>München</t>
        </is>
      </c>
    </row>
    <row r="1603">
      <c r="A1603" s="2" t="n">
        <v>7</v>
      </c>
      <c r="B1603" t="inlineStr">
        <is>
          <t>Simmer</t>
        </is>
      </c>
      <c r="C1603" s="3" t="n">
        <v>5.03</v>
      </c>
      <c r="D1603" s="3" t="n">
        <v>2.03</v>
      </c>
      <c r="E1603" t="inlineStr"/>
      <c r="F1603" t="inlineStr"/>
      <c r="G1603" t="inlineStr">
        <is>
          <t>used</t>
        </is>
      </c>
      <c r="H1603" s="4" t="n">
        <v>40</v>
      </c>
      <c r="I1603" t="inlineStr"/>
      <c r="J1603" t="inlineStr">
        <is>
          <t>47506 Nordrhein-Westfalen - Neukirchen-Vluyn</t>
        </is>
      </c>
      <c r="K1603" s="5" t="n">
        <v>45544</v>
      </c>
      <c r="L1603" t="inlineStr"/>
      <c r="M1603" s="6">
        <f>HYPERLINK("https://www.kleinanzeigen.de/s-anzeige/surfsegel-simmer-7-0-m2/2858416164-230-1128", "Link")</f>
        <v/>
      </c>
      <c r="N1603" s="6">
        <f>HYPERLINK("C:\Projects\Kleinanzeigen-Scraper\offer_images\2858416164", "Link")</f>
        <v/>
      </c>
      <c r="O1603" t="inlineStr">
        <is>
          <t>Reinhold Bergmann</t>
        </is>
      </c>
      <c r="P1603" s="6">
        <f>HYPERLINK("https://www.kleinanzeigen.de/s-bestandsliste.html?userId=3033626", "Link")</f>
        <v/>
      </c>
      <c r="Q1603" s="7" t="n">
        <v>45549.57186342592</v>
      </c>
      <c r="R1603" s="3" t="inlineStr">
        <is>
          <t>63.19</t>
        </is>
      </c>
      <c r="S1603" t="inlineStr">
        <is>
          <t>Köln</t>
        </is>
      </c>
    </row>
    <row r="1604">
      <c r="A1604" s="2" t="n">
        <v>6.7</v>
      </c>
      <c r="B1604" t="inlineStr">
        <is>
          <t>Gun Sail Rapid</t>
        </is>
      </c>
      <c r="C1604" s="3" t="n">
        <v>455</v>
      </c>
      <c r="D1604" s="3" t="inlineStr">
        <is>
          <t>198-205</t>
        </is>
      </c>
      <c r="E1604" t="inlineStr"/>
      <c r="F1604" t="inlineStr">
        <is>
          <t>2022</t>
        </is>
      </c>
      <c r="G1604" t="inlineStr">
        <is>
          <t>new</t>
        </is>
      </c>
      <c r="H1604" s="4" t="n">
        <v>320</v>
      </c>
      <c r="I1604" t="inlineStr">
        <is>
          <t>VB</t>
        </is>
      </c>
      <c r="J1604" t="inlineStr">
        <is>
          <t>30855 Niedersachsen - Langenhagen</t>
        </is>
      </c>
      <c r="K1604" s="5" t="n">
        <v>45533</v>
      </c>
      <c r="L1604" t="inlineStr">
        <is>
          <t>Sold</t>
        </is>
      </c>
      <c r="M1604" s="6">
        <f>HYPERLINK("https://www.kleinanzeigen.de/s-anzeige/surf-segel-gun-sail-rapid-6-7-aus-22-wie-neu/2849283318-230-3043", "Link")</f>
        <v/>
      </c>
      <c r="N1604" s="6">
        <f>HYPERLINK("C:\Projects\Kleinanzeigen-Scraper\offer_images\2849283318", "Link")</f>
        <v/>
      </c>
      <c r="O1604" t="inlineStr">
        <is>
          <t>Hagen Wieck</t>
        </is>
      </c>
      <c r="P1604" s="6">
        <f>HYPERLINK("https://www.kleinanzeigen.de/s-bestandsliste.html?userId=4634457", "Link")</f>
        <v/>
      </c>
      <c r="Q1604" s="7" t="n">
        <v>45549.57185185186</v>
      </c>
      <c r="R1604" s="3" t="inlineStr">
        <is>
          <t>255.34</t>
        </is>
      </c>
      <c r="S1604" t="inlineStr">
        <is>
          <t>Köln</t>
        </is>
      </c>
    </row>
    <row r="1605">
      <c r="A1605" s="2" t="n">
        <v>9</v>
      </c>
      <c r="B1605" t="inlineStr">
        <is>
          <t>Duotone Dice SLS</t>
        </is>
      </c>
      <c r="C1605" s="3" t="inlineStr"/>
      <c r="D1605" s="3" t="inlineStr"/>
      <c r="E1605" t="inlineStr"/>
      <c r="F1605" t="inlineStr">
        <is>
          <t>2022</t>
        </is>
      </c>
      <c r="G1605" t="inlineStr">
        <is>
          <t>used</t>
        </is>
      </c>
      <c r="H1605" s="4" t="n">
        <v>639</v>
      </c>
      <c r="I1605" t="inlineStr">
        <is>
          <t>VB</t>
        </is>
      </c>
      <c r="J1605" t="inlineStr">
        <is>
          <t>26759 Niedersachsen - Hinte</t>
        </is>
      </c>
      <c r="K1605" s="5" t="n">
        <v>45546</v>
      </c>
      <c r="L1605" t="inlineStr">
        <is>
          <t>Sold</t>
        </is>
      </c>
      <c r="M1605" s="6">
        <f>HYPERLINK("https://www.kleinanzeigen.de/s-anzeige/duotone-dice-sls-9-qm/2860649229-230-16994", "Link")</f>
        <v/>
      </c>
      <c r="N1605" s="6">
        <f>HYPERLINK("C:\Projects\Kleinanzeigen-Scraper\offer_images\2860649229", "Link")</f>
        <v/>
      </c>
      <c r="O1605" t="inlineStr">
        <is>
          <t>Benjamin</t>
        </is>
      </c>
      <c r="P1605" s="6">
        <f>HYPERLINK("https://www.kleinanzeigen.de/s-bestandsliste.html?userId=117948239", "Link")</f>
        <v/>
      </c>
      <c r="Q1605" s="7" t="n">
        <v>45549.5718287037</v>
      </c>
      <c r="R1605" s="3" t="inlineStr">
        <is>
          <t>276.68</t>
        </is>
      </c>
      <c r="S1605" t="inlineStr">
        <is>
          <t>Köln</t>
        </is>
      </c>
    </row>
    <row r="1606">
      <c r="A1606" s="2" t="n">
        <v>4.2</v>
      </c>
      <c r="B1606" t="inlineStr">
        <is>
          <t>Neilpryde VX</t>
        </is>
      </c>
      <c r="C1606" s="3" t="inlineStr"/>
      <c r="D1606" s="3" t="inlineStr"/>
      <c r="E1606" t="inlineStr"/>
      <c r="F1606" t="inlineStr"/>
      <c r="G1606" t="inlineStr">
        <is>
          <t>used</t>
        </is>
      </c>
      <c r="H1606" s="4" t="n">
        <v>20</v>
      </c>
      <c r="I1606" t="inlineStr"/>
      <c r="J1606" t="inlineStr">
        <is>
          <t>58256 Nordrhein-Westfalen - Ennepetal</t>
        </is>
      </c>
      <c r="K1606" s="5" t="n">
        <v>45490</v>
      </c>
      <c r="L1606" t="inlineStr"/>
      <c r="M1606" s="6">
        <f>HYPERLINK("https://www.kleinanzeigen.de/s-anzeige/neilpryde-vx-high-wind-4-2/2814834358-230-1548", "Link")</f>
        <v/>
      </c>
      <c r="N1606" s="6">
        <f>HYPERLINK("C:\Projects\Kleinanzeigen-Scraper\offer_images\2814834358", "Link")</f>
        <v/>
      </c>
      <c r="O1606" t="inlineStr">
        <is>
          <t>Marvin Schmidt</t>
        </is>
      </c>
      <c r="P1606" s="6">
        <f>HYPERLINK("https://www.kleinanzeigen.de/s-bestandsliste.html?userId=7010581", "Link")</f>
        <v/>
      </c>
      <c r="Q1606" s="7" t="n">
        <v>45549.57180555556</v>
      </c>
      <c r="R1606" s="3" t="inlineStr">
        <is>
          <t>46.87</t>
        </is>
      </c>
      <c r="S1606" t="inlineStr">
        <is>
          <t>Köln</t>
        </is>
      </c>
    </row>
    <row r="1607">
      <c r="A1607" s="2" t="n">
        <v>7</v>
      </c>
      <c r="B1607" t="inlineStr">
        <is>
          <t>Neilpryde Fusion</t>
        </is>
      </c>
      <c r="C1607" s="3" t="inlineStr"/>
      <c r="D1607" s="3" t="inlineStr"/>
      <c r="E1607" t="inlineStr"/>
      <c r="F1607" t="inlineStr">
        <is>
          <t>2024</t>
        </is>
      </c>
      <c r="G1607" t="inlineStr">
        <is>
          <t>used</t>
        </is>
      </c>
      <c r="H1607" s="4" t="n">
        <v>630</v>
      </c>
      <c r="I1607" t="inlineStr">
        <is>
          <t>VB</t>
        </is>
      </c>
      <c r="J1607" t="inlineStr">
        <is>
          <t>01069 Dresden - Innere Altstadt</t>
        </is>
      </c>
      <c r="K1607" s="5" t="n">
        <v>45544</v>
      </c>
      <c r="L1607" t="inlineStr">
        <is>
          <t>Sold</t>
        </is>
      </c>
      <c r="M1607" s="6">
        <f>HYPERLINK("https://www.kleinanzeigen.de/s-anzeige/neilpryde-neil-pryde-fusion-7-0/2858501579-230-3833", "Link")</f>
        <v/>
      </c>
      <c r="N1607" s="6">
        <f>HYPERLINK("C:\Projects\Kleinanzeigen-Scraper\offer_images\2858501579", "Link")</f>
        <v/>
      </c>
      <c r="O1607" t="inlineStr">
        <is>
          <t>Roman Lemke</t>
        </is>
      </c>
      <c r="P1607" s="6">
        <f>HYPERLINK("https://www.kleinanzeigen.de/s-bestandsliste.html?userId=16285527", "Link")</f>
        <v/>
      </c>
      <c r="Q1607" s="7" t="n">
        <v>45549.57180555556</v>
      </c>
      <c r="R1607" s="3" t="inlineStr">
        <is>
          <t>358.49</t>
        </is>
      </c>
      <c r="S1607" t="inlineStr">
        <is>
          <t>München</t>
        </is>
      </c>
    </row>
    <row r="1608">
      <c r="A1608" s="2" t="n">
        <v>6.9</v>
      </c>
      <c r="B1608" t="inlineStr">
        <is>
          <t>Gun Sails Torro</t>
        </is>
      </c>
      <c r="C1608" s="3" t="n">
        <v>430</v>
      </c>
      <c r="D1608" s="3" t="inlineStr"/>
      <c r="E1608" t="inlineStr"/>
      <c r="F1608" t="inlineStr"/>
      <c r="G1608" t="inlineStr">
        <is>
          <t>used</t>
        </is>
      </c>
      <c r="H1608" s="4" t="n">
        <v>230</v>
      </c>
      <c r="I1608" t="inlineStr">
        <is>
          <t>VB</t>
        </is>
      </c>
      <c r="J1608" t="inlineStr">
        <is>
          <t>91301 Bayern - Forchheim</t>
        </is>
      </c>
      <c r="K1608" s="5" t="n">
        <v>45536</v>
      </c>
      <c r="L1608" t="inlineStr"/>
      <c r="M1608" s="6">
        <f>HYPERLINK("https://www.kleinanzeigen.de/s-anzeige/gun-sails-torro-6-9/2851344642-230-6278", "Link")</f>
        <v/>
      </c>
      <c r="N1608" s="6">
        <f>HYPERLINK("C:\Projects\Kleinanzeigen-Scraper\offer_images\2851344642", "Link")</f>
        <v/>
      </c>
      <c r="O1608" t="inlineStr">
        <is>
          <t>Michael Chistel</t>
        </is>
      </c>
      <c r="P1608" s="6">
        <f>HYPERLINK("https://www.kleinanzeigen.de/s-bestandsliste.html?userId=14371761", "Link")</f>
        <v/>
      </c>
      <c r="Q1608" s="7" t="n">
        <v>45549.57178240741</v>
      </c>
      <c r="R1608" s="3" t="inlineStr">
        <is>
          <t>180.34</t>
        </is>
      </c>
      <c r="S1608" t="inlineStr">
        <is>
          <t>München</t>
        </is>
      </c>
    </row>
    <row r="1609">
      <c r="A1609" s="2" t="n">
        <v>5.3</v>
      </c>
      <c r="B1609" t="inlineStr">
        <is>
          <t>Goya Banzai</t>
        </is>
      </c>
      <c r="C1609" s="3" t="n">
        <v>400</v>
      </c>
      <c r="D1609" s="3" t="n">
        <v>175</v>
      </c>
      <c r="E1609" t="inlineStr">
        <is>
          <t>Wave</t>
        </is>
      </c>
      <c r="F1609" t="inlineStr"/>
      <c r="G1609" t="inlineStr">
        <is>
          <t>used</t>
        </is>
      </c>
      <c r="H1609" s="4" t="n">
        <v>110</v>
      </c>
      <c r="I1609" t="inlineStr">
        <is>
          <t>VB</t>
        </is>
      </c>
      <c r="J1609" t="inlineStr">
        <is>
          <t>18059 Rostock - Südstadt</t>
        </is>
      </c>
      <c r="K1609" s="5" t="n">
        <v>45407</v>
      </c>
      <c r="L1609" t="inlineStr"/>
      <c r="M1609" s="6">
        <f>HYPERLINK("https://www.kleinanzeigen.de/s-anzeige/goya-banzai-5-3-m-windsurf-segel/2744656321-230-13049", "Link")</f>
        <v/>
      </c>
      <c r="N1609" s="6">
        <f>HYPERLINK("C:\Projects\Kleinanzeigen-Scraper\offer_images\2744656321", "Link")</f>
        <v/>
      </c>
      <c r="O1609" t="inlineStr">
        <is>
          <t>Carlos Kirchner</t>
        </is>
      </c>
      <c r="P1609" s="6">
        <f>HYPERLINK("https://www.kleinanzeigen.de/s-bestandsliste.html?userId=17015406", "Link")</f>
        <v/>
      </c>
      <c r="Q1609" s="7" t="n">
        <v>45549.57178240741</v>
      </c>
      <c r="R1609" s="3" t="inlineStr">
        <is>
          <t>489.44</t>
        </is>
      </c>
      <c r="S1609" t="inlineStr">
        <is>
          <t>Köln</t>
        </is>
      </c>
    </row>
    <row r="1610">
      <c r="A1610" s="2" t="n">
        <v>5</v>
      </c>
      <c r="B1610" t="inlineStr">
        <is>
          <t>Gun Sails TRANS WAVE</t>
        </is>
      </c>
      <c r="C1610" s="3" t="n">
        <v>420</v>
      </c>
      <c r="D1610" s="3" t="n">
        <v>175</v>
      </c>
      <c r="E1610" t="inlineStr"/>
      <c r="F1610" t="inlineStr"/>
      <c r="G1610" t="inlineStr">
        <is>
          <t>used, very good condition</t>
        </is>
      </c>
      <c r="H1610" s="4" t="n">
        <v>125</v>
      </c>
      <c r="I1610" t="inlineStr">
        <is>
          <t>VB</t>
        </is>
      </c>
      <c r="J1610" t="inlineStr">
        <is>
          <t>23909 Herzogtum Lauenburg - Ratzeburg</t>
        </is>
      </c>
      <c r="K1610" s="5" t="n">
        <v>45547</v>
      </c>
      <c r="L1610" t="inlineStr">
        <is>
          <t>Sold</t>
        </is>
      </c>
      <c r="M1610" s="6">
        <f>HYPERLINK("https://www.kleinanzeigen.de/s-anzeige/gun-sails-trans-wave-5-0-top-zustand-/2861261654-230-811", "Link")</f>
        <v/>
      </c>
      <c r="N1610" s="6">
        <f>HYPERLINK("C:\Projects\Kleinanzeigen-Scraper\offer_images\2861261654", "Link")</f>
        <v/>
      </c>
      <c r="O1610" t="inlineStr">
        <is>
          <t>Silvia S.</t>
        </is>
      </c>
      <c r="P1610" s="6">
        <f>HYPERLINK("https://www.kleinanzeigen.de/s-bestandsliste.html?userId=86555296", "Link")</f>
        <v/>
      </c>
      <c r="Q1610" s="7" t="n">
        <v>45549.57178240741</v>
      </c>
      <c r="R1610" s="3" t="inlineStr">
        <is>
          <t>401.75</t>
        </is>
      </c>
      <c r="S1610" t="inlineStr">
        <is>
          <t>Köln</t>
        </is>
      </c>
    </row>
    <row r="1611">
      <c r="A1611" s="2" t="n">
        <v>7.5</v>
      </c>
      <c r="B1611" t="inlineStr">
        <is>
          <t>North Sails</t>
        </is>
      </c>
      <c r="C1611" s="3" t="inlineStr"/>
      <c r="D1611" s="3" t="inlineStr"/>
      <c r="E1611" t="inlineStr"/>
      <c r="F1611" t="inlineStr"/>
      <c r="G1611" t="inlineStr">
        <is>
          <t>used</t>
        </is>
      </c>
      <c r="H1611" s="4" t="n">
        <v>80</v>
      </c>
      <c r="I1611" t="inlineStr">
        <is>
          <t>VB</t>
        </is>
      </c>
      <c r="J1611" t="inlineStr">
        <is>
          <t>25856 Nordfriesland - Wobbenbüll</t>
        </is>
      </c>
      <c r="K1611" s="5" t="n">
        <v>45547</v>
      </c>
      <c r="L1611" t="inlineStr">
        <is>
          <t>Sold</t>
        </is>
      </c>
      <c r="M1611" s="6">
        <f>HYPERLINK("https://www.kleinanzeigen.de/s-anzeige/7-5-qm-north-sails-segel/2861264198-230-579", "Link")</f>
        <v/>
      </c>
      <c r="N1611" s="6">
        <f>HYPERLINK("C:\Projects\Kleinanzeigen-Scraper\offer_images\2861264198", "Link")</f>
        <v/>
      </c>
      <c r="O1611" t="inlineStr">
        <is>
          <t>Jörg Schmidt</t>
        </is>
      </c>
      <c r="P1611" s="6">
        <f>HYPERLINK("https://www.kleinanzeigen.de/s-bestandsliste.html?userId=19046279", "Link")</f>
        <v/>
      </c>
      <c r="Q1611" s="7" t="n">
        <v>45549.57178240741</v>
      </c>
      <c r="R1611" s="3" t="inlineStr">
        <is>
          <t>422.57</t>
        </is>
      </c>
      <c r="S1611" t="inlineStr">
        <is>
          <t>Köln</t>
        </is>
      </c>
    </row>
    <row r="1612">
      <c r="A1612" s="2" t="n">
        <v>5.7</v>
      </c>
      <c r="B1612" t="inlineStr">
        <is>
          <t>North Sails Superstar</t>
        </is>
      </c>
      <c r="C1612" s="3" t="inlineStr"/>
      <c r="D1612" s="3" t="inlineStr"/>
      <c r="E1612" t="inlineStr"/>
      <c r="F1612" t="inlineStr"/>
      <c r="G1612" t="inlineStr">
        <is>
          <t>repaired</t>
        </is>
      </c>
      <c r="H1612" s="4" t="n">
        <v>70</v>
      </c>
      <c r="I1612" t="inlineStr">
        <is>
          <t>VB</t>
        </is>
      </c>
      <c r="J1612" t="inlineStr">
        <is>
          <t>22393 Wandsbek - Hamburg Sasel</t>
        </is>
      </c>
      <c r="K1612" s="5" t="n">
        <v>45536</v>
      </c>
      <c r="L1612" t="inlineStr">
        <is>
          <t>Sold</t>
        </is>
      </c>
      <c r="M1612" s="6">
        <f>HYPERLINK("https://www.kleinanzeigen.de/s-anzeige/north-sails-superstar-5-7-qm/2851333210-230-18783", "Link")</f>
        <v/>
      </c>
      <c r="N1612" s="6">
        <f>HYPERLINK("C:\Projects\Kleinanzeigen-Scraper\offer_images\2851333210", "Link")</f>
        <v/>
      </c>
      <c r="O1612" t="inlineStr">
        <is>
          <t>Oliver</t>
        </is>
      </c>
      <c r="P1612" s="6">
        <f>HYPERLINK("https://www.kleinanzeigen.de/s-bestandsliste.html?userId=8582943", "Link")</f>
        <v/>
      </c>
      <c r="Q1612" s="7" t="n">
        <v>45549.57177083333</v>
      </c>
      <c r="R1612" s="3" t="inlineStr">
        <is>
          <t>370.55</t>
        </is>
      </c>
      <c r="S1612" t="inlineStr">
        <is>
          <t>Köln</t>
        </is>
      </c>
    </row>
    <row r="1613">
      <c r="A1613" s="2" t="n">
        <v>7.4</v>
      </c>
      <c r="B1613" t="inlineStr">
        <is>
          <t>Gun Sails</t>
        </is>
      </c>
      <c r="C1613" s="3" t="n">
        <v>487</v>
      </c>
      <c r="D1613" s="3" t="n">
        <v>214</v>
      </c>
      <c r="E1613" t="inlineStr"/>
      <c r="F1613" t="inlineStr"/>
      <c r="G1613" t="inlineStr">
        <is>
          <t>used</t>
        </is>
      </c>
      <c r="H1613" s="4" t="n">
        <v>60</v>
      </c>
      <c r="I1613" t="inlineStr"/>
      <c r="J1613" t="inlineStr">
        <is>
          <t>22303 Hamburg-Nord - Hamburg Winterhude</t>
        </is>
      </c>
      <c r="K1613" s="5" t="n">
        <v>45519</v>
      </c>
      <c r="L1613" t="inlineStr"/>
      <c r="M1613" s="6">
        <f>HYPERLINK("https://www.kleinanzeigen.de/s-anzeige/gun-sails-segel-7-4qm-windsurfsegel/2837442200-230-9482", "Link")</f>
        <v/>
      </c>
      <c r="N1613" s="6">
        <f>HYPERLINK("C:\Projects\Kleinanzeigen-Scraper\offer_images\2837442200", "Link")</f>
        <v/>
      </c>
      <c r="O1613" t="inlineStr">
        <is>
          <t>Daniel</t>
        </is>
      </c>
      <c r="P1613" s="6">
        <f>HYPERLINK("https://www.kleinanzeigen.de/s-bestandsliste.html?userId=33396736", "Link")</f>
        <v/>
      </c>
      <c r="Q1613" s="7" t="n">
        <v>45549.57175925926</v>
      </c>
      <c r="R1613" s="3" t="inlineStr">
        <is>
          <t>361.45</t>
        </is>
      </c>
      <c r="S1613" t="inlineStr">
        <is>
          <t>Köln</t>
        </is>
      </c>
    </row>
    <row r="1614">
      <c r="A1614" s="2" t="n">
        <v>6.3</v>
      </c>
      <c r="B1614" t="inlineStr">
        <is>
          <t>Gun Sails Energy</t>
        </is>
      </c>
      <c r="C1614" s="3" t="n">
        <v>4.65</v>
      </c>
      <c r="D1614" s="3" t="n">
        <v>1.94</v>
      </c>
      <c r="E1614" t="inlineStr"/>
      <c r="F1614" t="inlineStr"/>
      <c r="G1614" t="inlineStr">
        <is>
          <t>used</t>
        </is>
      </c>
      <c r="H1614" s="4" t="n">
        <v>150</v>
      </c>
      <c r="I1614" t="inlineStr">
        <is>
          <t>VB</t>
        </is>
      </c>
      <c r="J1614" t="inlineStr">
        <is>
          <t>04155 Leipzig - Gohlis-Mitte</t>
        </is>
      </c>
      <c r="K1614" s="5" t="n">
        <v>45501</v>
      </c>
      <c r="L1614" t="inlineStr">
        <is>
          <t>Sold</t>
        </is>
      </c>
      <c r="M1614" s="6">
        <f>HYPERLINK("https://www.kleinanzeigen.de/s-anzeige/windsurf-segel-gun-sails-energy-6-3/2823685911-230-4255", "Link")</f>
        <v/>
      </c>
      <c r="N1614" s="6">
        <f>HYPERLINK("C:\Projects\Kleinanzeigen-Scraper\offer_images\2823685911", "Link")</f>
        <v/>
      </c>
      <c r="O1614" t="inlineStr">
        <is>
          <t>Pietsch</t>
        </is>
      </c>
      <c r="P1614" s="6">
        <f>HYPERLINK("https://www.kleinanzeigen.de/s-bestandsliste.html?userId=35609886", "Link")</f>
        <v/>
      </c>
      <c r="Q1614" s="7" t="n">
        <v>45549.57173611111</v>
      </c>
      <c r="R1614" s="3" t="inlineStr">
        <is>
          <t>362.90</t>
        </is>
      </c>
      <c r="S1614" t="inlineStr">
        <is>
          <t>München</t>
        </is>
      </c>
    </row>
    <row r="1615">
      <c r="A1615" s="2" t="n">
        <v>6.7</v>
      </c>
      <c r="B1615" t="inlineStr">
        <is>
          <t>Neilpryde Fusion HD</t>
        </is>
      </c>
      <c r="C1615" s="3" t="inlineStr"/>
      <c r="D1615" s="3" t="inlineStr"/>
      <c r="E1615" t="inlineStr">
        <is>
          <t>Freemove</t>
        </is>
      </c>
      <c r="F1615" t="inlineStr"/>
      <c r="G1615" t="inlineStr">
        <is>
          <t>used, repaired</t>
        </is>
      </c>
      <c r="H1615" s="4" t="n">
        <v>55</v>
      </c>
      <c r="I1615" t="inlineStr">
        <is>
          <t>VB</t>
        </is>
      </c>
      <c r="J1615" t="inlineStr">
        <is>
          <t>21635 Niedersachsen - Jork</t>
        </is>
      </c>
      <c r="K1615" s="5" t="n">
        <v>45473</v>
      </c>
      <c r="L1615" t="inlineStr"/>
      <c r="M1615" s="6">
        <f>HYPERLINK("https://www.kleinanzeigen.de/s-anzeige/neilpryde-fusion-hd-6-7-freemove-segel/2800646495-230-3291", "Link")</f>
        <v/>
      </c>
      <c r="N1615" s="6">
        <f>HYPERLINK("C:\Projects\Kleinanzeigen-Scraper\offer_images\2800646495", "Link")</f>
        <v/>
      </c>
      <c r="O1615" t="inlineStr">
        <is>
          <t>MU</t>
        </is>
      </c>
      <c r="P1615" s="6">
        <f>HYPERLINK("https://www.kleinanzeigen.de/s-bestandsliste.html?userId=7562773", "Link")</f>
        <v/>
      </c>
      <c r="Q1615" s="7" t="n">
        <v>45549.57172453704</v>
      </c>
      <c r="R1615" s="3" t="inlineStr">
        <is>
          <t>343.43</t>
        </is>
      </c>
      <c r="S1615" t="inlineStr">
        <is>
          <t>Köln</t>
        </is>
      </c>
    </row>
    <row r="1616">
      <c r="A1616" s="2" t="n">
        <v>3</v>
      </c>
      <c r="B1616" t="inlineStr">
        <is>
          <t>Ezzy Wave</t>
        </is>
      </c>
      <c r="C1616" s="3" t="n">
        <v>340</v>
      </c>
      <c r="D1616" s="3" t="inlineStr">
        <is>
          <t>130-138</t>
        </is>
      </c>
      <c r="E1616" t="inlineStr">
        <is>
          <t>Wave</t>
        </is>
      </c>
      <c r="F1616" t="inlineStr">
        <is>
          <t>2023</t>
        </is>
      </c>
      <c r="G1616" t="inlineStr">
        <is>
          <t>new</t>
        </is>
      </c>
      <c r="H1616" s="4" t="n">
        <v>420</v>
      </c>
      <c r="I1616" t="inlineStr">
        <is>
          <t>VB</t>
        </is>
      </c>
      <c r="J1616" t="inlineStr">
        <is>
          <t>22339 Hamburg-Nord - Hamburg Fuhlsbüttel</t>
        </is>
      </c>
      <c r="K1616" s="5" t="n">
        <v>45401</v>
      </c>
      <c r="L1616" t="inlineStr"/>
      <c r="M1616" s="6">
        <f>HYPERLINK("https://www.kleinanzeigen.de/s-anzeige/ezzy-wave-3-0-top/2739514769-230-9478", "Link")</f>
        <v/>
      </c>
      <c r="N1616" s="6">
        <f>HYPERLINK("C:\Projects\Kleinanzeigen-Scraper\offer_images\2739514769", "Link")</f>
        <v/>
      </c>
      <c r="O1616" t="inlineStr">
        <is>
          <t>Juan Martinez</t>
        </is>
      </c>
      <c r="P1616" s="6">
        <f>HYPERLINK("https://www.kleinanzeigen.de/s-bestandsliste.html?userId=19986880", "Link")</f>
        <v/>
      </c>
      <c r="Q1616" s="7" t="n">
        <v>45549.57171296296</v>
      </c>
      <c r="R1616" s="3" t="inlineStr">
        <is>
          <t>366.73</t>
        </is>
      </c>
      <c r="S1616" t="inlineStr">
        <is>
          <t>Köln</t>
        </is>
      </c>
    </row>
    <row r="1617">
      <c r="A1617" s="2" t="n">
        <v>4</v>
      </c>
      <c r="B1617" t="inlineStr">
        <is>
          <t>Severne Freek</t>
        </is>
      </c>
      <c r="C1617" s="3" t="n">
        <v>378</v>
      </c>
      <c r="D1617" s="3" t="n">
        <v>152</v>
      </c>
      <c r="E1617" t="inlineStr"/>
      <c r="F1617" t="inlineStr">
        <is>
          <t>2021</t>
        </is>
      </c>
      <c r="G1617" t="inlineStr">
        <is>
          <t>used</t>
        </is>
      </c>
      <c r="H1617" s="4" t="n">
        <v>300</v>
      </c>
      <c r="I1617" t="inlineStr">
        <is>
          <t>VB</t>
        </is>
      </c>
      <c r="J1617" t="inlineStr">
        <is>
          <t>82256 Bayern - Fürstenfeldbruck</t>
        </is>
      </c>
      <c r="K1617" s="5" t="n">
        <v>45542</v>
      </c>
      <c r="L1617" t="inlineStr">
        <is>
          <t>Sold</t>
        </is>
      </c>
      <c r="M1617" s="6">
        <f>HYPERLINK("https://www.kleinanzeigen.de/s-anzeige/severne-freek-2021-4-0-m-/2856508714-230-6311", "Link")</f>
        <v/>
      </c>
      <c r="N1617" s="6">
        <f>HYPERLINK("C:\Projects\Kleinanzeigen-Scraper\offer_images\2856508714", "Link")</f>
        <v/>
      </c>
      <c r="O1617" t="inlineStr">
        <is>
          <t>Stefan</t>
        </is>
      </c>
      <c r="P1617" s="6">
        <f>HYPERLINK("https://www.kleinanzeigen.de/s-bestandsliste.html?userId=8932191", "Link")</f>
        <v/>
      </c>
      <c r="Q1617" s="7" t="n">
        <v>45549.57171296296</v>
      </c>
      <c r="R1617" s="3" t="inlineStr">
        <is>
          <t>25.37</t>
        </is>
      </c>
      <c r="S1617" t="inlineStr">
        <is>
          <t>München</t>
        </is>
      </c>
    </row>
    <row r="1618">
      <c r="A1618" s="2" t="n">
        <v>6.8</v>
      </c>
      <c r="B1618" t="inlineStr">
        <is>
          <t>Loftsails Oxygen HD</t>
        </is>
      </c>
      <c r="C1618" s="3" t="n">
        <v>430</v>
      </c>
      <c r="D1618" s="3" t="inlineStr"/>
      <c r="E1618" t="inlineStr"/>
      <c r="F1618" t="inlineStr"/>
      <c r="G1618" t="inlineStr">
        <is>
          <t>used</t>
        </is>
      </c>
      <c r="H1618" s="4" t="n">
        <v>370</v>
      </c>
      <c r="I1618" t="inlineStr"/>
      <c r="J1618" t="inlineStr">
        <is>
          <t>84095 Kr. Landshut - Furth</t>
        </is>
      </c>
      <c r="K1618" s="5" t="n">
        <v>45539</v>
      </c>
      <c r="L1618" t="inlineStr">
        <is>
          <t>Sold</t>
        </is>
      </c>
      <c r="M1618" s="6">
        <f>HYPERLINK("https://www.kleinanzeigen.de/s-anzeige/loftsails-oxygen-hd-6-8qm/2854534080-230-6398", "Link")</f>
        <v/>
      </c>
      <c r="N1618" s="6">
        <f>HYPERLINK("C:\Projects\Kleinanzeigen-Scraper\offer_images\2854534080", "Link")</f>
        <v/>
      </c>
      <c r="O1618" t="inlineStr">
        <is>
          <t>Niro</t>
        </is>
      </c>
      <c r="P1618" s="6">
        <f>HYPERLINK("https://www.kleinanzeigen.de/s-bestandsliste.html?userId=22205576", "Link")</f>
        <v/>
      </c>
      <c r="Q1618" s="7" t="n">
        <v>45549.57166666666</v>
      </c>
      <c r="R1618" s="3" t="inlineStr">
        <is>
          <t>60.37</t>
        </is>
      </c>
      <c r="S1618" t="inlineStr">
        <is>
          <t>München</t>
        </is>
      </c>
    </row>
    <row r="1619">
      <c r="A1619" s="2" t="n">
        <v>4</v>
      </c>
      <c r="B1619" t="inlineStr">
        <is>
          <t>Neilpryde Combat</t>
        </is>
      </c>
      <c r="C1619" s="3" t="inlineStr"/>
      <c r="D1619" s="3" t="inlineStr"/>
      <c r="E1619" t="inlineStr"/>
      <c r="F1619" t="inlineStr"/>
      <c r="G1619" t="inlineStr">
        <is>
          <t>used</t>
        </is>
      </c>
      <c r="H1619" s="4" t="inlineStr">
        <is>
          <t>Zu verschenken</t>
        </is>
      </c>
      <c r="I1619" t="inlineStr"/>
      <c r="J1619" t="inlineStr">
        <is>
          <t>41238 Nordrhein-Westfalen - Mönchengladbach</t>
        </is>
      </c>
      <c r="K1619" s="5" t="n">
        <v>45492</v>
      </c>
      <c r="L1619" t="inlineStr">
        <is>
          <t>Sold</t>
        </is>
      </c>
      <c r="M1619" s="6">
        <f>HYPERLINK("https://www.kleinanzeigen.de/s-anzeige/windsurfsegel-combat-4-0-von-neilpryde/2816039552-230-1962", "Link")</f>
        <v/>
      </c>
      <c r="N1619" s="6">
        <f>HYPERLINK("C:\Projects\Kleinanzeigen-Scraper\offer_images\2816039552", "Link")</f>
        <v/>
      </c>
      <c r="O1619" t="inlineStr">
        <is>
          <t>Carsten Behr</t>
        </is>
      </c>
      <c r="P1619" s="6">
        <f>HYPERLINK("https://www.kleinanzeigen.de/s-bestandsliste.html?userId=24660876", "Link")</f>
        <v/>
      </c>
      <c r="Q1619" s="7" t="n">
        <v>45549.57166666666</v>
      </c>
      <c r="R1619" s="3" t="inlineStr">
        <is>
          <t>40.78</t>
        </is>
      </c>
      <c r="S1619" t="inlineStr">
        <is>
          <t>Köln</t>
        </is>
      </c>
    </row>
    <row r="1620">
      <c r="A1620" s="2" t="n">
        <v>7.2</v>
      </c>
      <c r="B1620" t="inlineStr">
        <is>
          <t>Gun Sails</t>
        </is>
      </c>
      <c r="C1620" s="3" t="n">
        <v>5.08</v>
      </c>
      <c r="D1620" s="3" t="n">
        <v>2.17</v>
      </c>
      <c r="E1620" t="inlineStr"/>
      <c r="F1620" t="inlineStr"/>
      <c r="G1620" t="inlineStr">
        <is>
          <t>repaired</t>
        </is>
      </c>
      <c r="H1620" s="4" t="n">
        <v>5</v>
      </c>
      <c r="I1620" t="inlineStr"/>
      <c r="J1620" t="inlineStr">
        <is>
          <t>24837 Schleswig-Holstein - Schleswig</t>
        </is>
      </c>
      <c r="K1620" s="5" t="n">
        <v>45515</v>
      </c>
      <c r="L1620" t="inlineStr"/>
      <c r="M1620" s="6">
        <f>HYPERLINK("https://www.kleinanzeigen.de/s-anzeige/surf-segel-gun-sails-7-2/2834387129-230-558", "Link")</f>
        <v/>
      </c>
      <c r="N1620" s="6">
        <f>HYPERLINK("C:\Projects\Kleinanzeigen-Scraper\offer_images\2834387129", "Link")</f>
        <v/>
      </c>
      <c r="O1620" t="inlineStr">
        <is>
          <t>Stefan Hansen</t>
        </is>
      </c>
      <c r="P1620" s="6">
        <f>HYPERLINK("https://www.kleinanzeigen.de/s-bestandsliste.html?userId=39623977", "Link")</f>
        <v/>
      </c>
      <c r="Q1620" s="7" t="n">
        <v>45549.57165509259</v>
      </c>
      <c r="R1620" s="3" t="inlineStr">
        <is>
          <t>435.51</t>
        </is>
      </c>
      <c r="S1620" t="inlineStr">
        <is>
          <t>Köln</t>
        </is>
      </c>
    </row>
    <row r="1621">
      <c r="A1621" s="2" t="n">
        <v>4.7</v>
      </c>
      <c r="B1621" t="inlineStr">
        <is>
          <t>Ka Sails Kaos</t>
        </is>
      </c>
      <c r="C1621" s="3" t="n">
        <v>400</v>
      </c>
      <c r="D1621" s="3" t="n">
        <v>158</v>
      </c>
      <c r="E1621" t="inlineStr"/>
      <c r="F1621" t="inlineStr"/>
      <c r="G1621" t="inlineStr">
        <is>
          <t>used</t>
        </is>
      </c>
      <c r="H1621" s="4" t="n">
        <v>100</v>
      </c>
      <c r="I1621" t="inlineStr"/>
      <c r="J1621" t="inlineStr">
        <is>
          <t>71093 Baden-Württemberg - Weil im Schönbuch</t>
        </is>
      </c>
      <c r="K1621" s="5" t="n">
        <v>45545</v>
      </c>
      <c r="L1621" t="inlineStr">
        <is>
          <t>Sold</t>
        </is>
      </c>
      <c r="M1621" s="6">
        <f>HYPERLINK("https://www.kleinanzeigen.de/s-anzeige/ka-sails-kaos-4-7m-segel-neilpryde-severne/2859085566-230-8785", "Link")</f>
        <v/>
      </c>
      <c r="N1621" s="6">
        <f>HYPERLINK("C:\Projects\Kleinanzeigen-Scraper\offer_images\2859085566", "Link")</f>
        <v/>
      </c>
      <c r="O1621" t="inlineStr">
        <is>
          <t>Schorschi</t>
        </is>
      </c>
      <c r="P1621" s="6">
        <f>HYPERLINK("https://www.kleinanzeigen.de/s-bestandsliste.html?userId=71398211", "Link")</f>
        <v/>
      </c>
      <c r="Q1621" s="7" t="n">
        <v>45549.57163194445</v>
      </c>
      <c r="R1621" s="3" t="inlineStr">
        <is>
          <t>9.52</t>
        </is>
      </c>
      <c r="S1621" t="inlineStr">
        <is>
          <t>Böblingen</t>
        </is>
      </c>
    </row>
    <row r="1622">
      <c r="A1622" s="2" t="n">
        <v>5.8</v>
      </c>
      <c r="B1622" t="inlineStr">
        <is>
          <t>Gun Sails BEAT</t>
        </is>
      </c>
      <c r="C1622" s="3" t="n">
        <v>425</v>
      </c>
      <c r="D1622" s="3" t="n">
        <v>180</v>
      </c>
      <c r="E1622" t="inlineStr"/>
      <c r="F1622" t="inlineStr"/>
      <c r="G1622" t="inlineStr">
        <is>
          <t>used</t>
        </is>
      </c>
      <c r="H1622" s="4" t="n">
        <v>139</v>
      </c>
      <c r="I1622" t="inlineStr"/>
      <c r="J1622" t="inlineStr">
        <is>
          <t>09111 Sachsen - Chemnitz</t>
        </is>
      </c>
      <c r="K1622" s="5" t="n">
        <v>45113</v>
      </c>
      <c r="L1622" t="inlineStr"/>
      <c r="M1622" s="6">
        <f>HYPERLINK("https://www.kleinanzeigen.de/s-anzeige/windsurf-gun-sails-5-8m-beat-guter-zustand-segel/2486908307-230-3886", "Link")</f>
        <v/>
      </c>
      <c r="N1622" s="6">
        <f>HYPERLINK("C:\Projects\Kleinanzeigen-Scraper\offer_images\2486908307", "Link")</f>
        <v/>
      </c>
      <c r="O1622" t="inlineStr">
        <is>
          <t>olaf</t>
        </is>
      </c>
      <c r="P1622" s="6">
        <f>HYPERLINK("https://www.kleinanzeigen.de/s-bestandsliste.html?userId=8857923", "Link")</f>
        <v/>
      </c>
      <c r="Q1622" s="7" t="n">
        <v>45549.57160879629</v>
      </c>
      <c r="R1622" s="3" t="inlineStr">
        <is>
          <t>315.71</t>
        </is>
      </c>
      <c r="S1622" t="inlineStr">
        <is>
          <t>München</t>
        </is>
      </c>
    </row>
    <row r="1623">
      <c r="A1623" s="2" t="n">
        <v>6.5</v>
      </c>
      <c r="B1623" t="inlineStr">
        <is>
          <t>Neilpryde Excess</t>
        </is>
      </c>
      <c r="C1623" s="3" t="inlineStr"/>
      <c r="D1623" s="3" t="inlineStr"/>
      <c r="E1623" t="inlineStr">
        <is>
          <t>Freeride, Freestyle</t>
        </is>
      </c>
      <c r="F1623" t="inlineStr"/>
      <c r="G1623" t="inlineStr"/>
      <c r="H1623" s="4" t="n">
        <v>180</v>
      </c>
      <c r="I1623" t="inlineStr">
        <is>
          <t>VB</t>
        </is>
      </c>
      <c r="J1623" t="inlineStr">
        <is>
          <t>72141 Baden-Württemberg - Walddorfhäslach</t>
        </is>
      </c>
      <c r="K1623" s="5" t="n">
        <v>45521</v>
      </c>
      <c r="L1623" t="inlineStr"/>
      <c r="M1623" s="6">
        <f>HYPERLINK("https://www.kleinanzeigen.de/s-anzeige/neilpryde-excess-freeride-freestyle-segel-6-5/2839334549-230-8891", "Link")</f>
        <v/>
      </c>
      <c r="N1623" s="6">
        <f>HYPERLINK("C:\Projects\Kleinanzeigen-Scraper\offer_images\2839334549", "Link")</f>
        <v/>
      </c>
      <c r="O1623" t="inlineStr">
        <is>
          <t>Katharina &amp; Jan</t>
        </is>
      </c>
      <c r="P1623" s="6">
        <f>HYPERLINK("https://www.kleinanzeigen.de/s-bestandsliste.html?userId=5363487", "Link")</f>
        <v/>
      </c>
      <c r="Q1623" s="7" t="n">
        <v>45549.57159722222</v>
      </c>
      <c r="R1623" s="3" t="inlineStr">
        <is>
          <t>16.87</t>
        </is>
      </c>
      <c r="S1623" t="inlineStr">
        <is>
          <t>Böblingen</t>
        </is>
      </c>
    </row>
    <row r="1624">
      <c r="A1624" s="2" t="n">
        <v>7.4</v>
      </c>
      <c r="B1624" t="inlineStr">
        <is>
          <t>Goya Nexus Pro</t>
        </is>
      </c>
      <c r="C1624" s="3" t="n">
        <v>460</v>
      </c>
      <c r="D1624" s="3" t="inlineStr"/>
      <c r="E1624" t="inlineStr"/>
      <c r="F1624" t="inlineStr">
        <is>
          <t>2019</t>
        </is>
      </c>
      <c r="G1624" t="inlineStr">
        <is>
          <t>new</t>
        </is>
      </c>
      <c r="H1624" s="4" t="n">
        <v>190</v>
      </c>
      <c r="I1624" t="inlineStr"/>
      <c r="J1624" t="inlineStr">
        <is>
          <t>71093 Baden-Württemberg - Weil im Schönbuch</t>
        </is>
      </c>
      <c r="K1624" s="5" t="n">
        <v>45544</v>
      </c>
      <c r="L1624" t="inlineStr"/>
      <c r="M1624" s="6">
        <f>HYPERLINK("https://www.kleinanzeigen.de/s-anzeige/goya-nexus-pro-7-4m-segel/2858245407-230-8785", "Link")</f>
        <v/>
      </c>
      <c r="N1624" s="6">
        <f>HYPERLINK("C:\Projects\Kleinanzeigen-Scraper\offer_images\2858245407", "Link")</f>
        <v/>
      </c>
      <c r="O1624" t="inlineStr">
        <is>
          <t>Schorschi</t>
        </is>
      </c>
      <c r="P1624" s="6">
        <f>HYPERLINK("https://www.kleinanzeigen.de/s-bestandsliste.html?userId=71398211", "Link")</f>
        <v/>
      </c>
      <c r="Q1624" s="7" t="n">
        <v>45549.57158564815</v>
      </c>
      <c r="R1624" s="3" t="inlineStr">
        <is>
          <t>9.52</t>
        </is>
      </c>
      <c r="S1624" t="inlineStr">
        <is>
          <t>Böblingen</t>
        </is>
      </c>
    </row>
    <row r="1625">
      <c r="A1625" s="2" t="n">
        <v>4.7</v>
      </c>
      <c r="B1625" t="inlineStr">
        <is>
          <t>Novex - Simmer Style</t>
        </is>
      </c>
      <c r="C1625" s="3" t="inlineStr"/>
      <c r="D1625" s="3" t="inlineStr"/>
      <c r="E1625" t="inlineStr"/>
      <c r="F1625" t="inlineStr"/>
      <c r="G1625" t="inlineStr">
        <is>
          <t>used</t>
        </is>
      </c>
      <c r="H1625" s="4" t="n">
        <v>150</v>
      </c>
      <c r="I1625" t="inlineStr"/>
      <c r="J1625" t="inlineStr">
        <is>
          <t>38239 Niedersachsen - Salzgitter</t>
        </is>
      </c>
      <c r="K1625" s="5" t="n">
        <v>45416</v>
      </c>
      <c r="L1625" t="inlineStr"/>
      <c r="M1625" s="6">
        <f>HYPERLINK("https://www.kleinanzeigen.de/s-anzeige/windsurf-segel-novex-simmer-style-4-7/2752398192-230-2438", "Link")</f>
        <v/>
      </c>
      <c r="N1625" s="6">
        <f>HYPERLINK("C:\Projects\Kleinanzeigen-Scraper\offer_images\2752398192", "Link")</f>
        <v/>
      </c>
      <c r="O1625" t="inlineStr">
        <is>
          <t>Andreas</t>
        </is>
      </c>
      <c r="P1625" s="6">
        <f>HYPERLINK("https://www.kleinanzeigen.de/s-bestandsliste.html?userId=11529602", "Link")</f>
        <v/>
      </c>
      <c r="Q1625" s="7" t="n">
        <v>45549.57157407407</v>
      </c>
      <c r="R1625" s="3" t="inlineStr">
        <is>
          <t>277.16</t>
        </is>
      </c>
      <c r="S1625" t="inlineStr">
        <is>
          <t>Köln</t>
        </is>
      </c>
    </row>
    <row r="1626">
      <c r="A1626" s="2" t="n">
        <v>7.3</v>
      </c>
      <c r="B1626" t="inlineStr">
        <is>
          <t>Fanatic FREE CAM</t>
        </is>
      </c>
      <c r="C1626" s="3" t="n">
        <v>502</v>
      </c>
      <c r="D1626" s="3" t="n">
        <v>211.5</v>
      </c>
      <c r="E1626" t="inlineStr"/>
      <c r="F1626" t="inlineStr"/>
      <c r="G1626" t="inlineStr">
        <is>
          <t>repaired</t>
        </is>
      </c>
      <c r="H1626" s="4" t="n">
        <v>25</v>
      </c>
      <c r="I1626" t="inlineStr">
        <is>
          <t>VB</t>
        </is>
      </c>
      <c r="J1626" t="inlineStr">
        <is>
          <t>01219 Dresden - Strehlen</t>
        </is>
      </c>
      <c r="K1626" s="5" t="n">
        <v>45513</v>
      </c>
      <c r="L1626" t="inlineStr">
        <is>
          <t>Sold</t>
        </is>
      </c>
      <c r="M1626" s="6">
        <f>HYPERLINK("https://www.kleinanzeigen.de/s-anzeige/surfsegel-fanatic-free-cam-7-3-m2-guter-zustand/2833016552-230-23500", "Link")</f>
        <v/>
      </c>
      <c r="N1626" s="6">
        <f>HYPERLINK("C:\Projects\Kleinanzeigen-Scraper\offer_images\2833016552", "Link")</f>
        <v/>
      </c>
      <c r="O1626" t="inlineStr">
        <is>
          <t>Martin</t>
        </is>
      </c>
      <c r="P1626" s="6">
        <f>HYPERLINK("https://www.kleinanzeigen.de/s-bestandsliste.html?userId=23965013", "Link")</f>
        <v/>
      </c>
      <c r="Q1626" s="7" t="n">
        <v>45549.5715625</v>
      </c>
      <c r="R1626" s="3" t="inlineStr">
        <is>
          <t>358.03</t>
        </is>
      </c>
      <c r="S1626" t="inlineStr">
        <is>
          <t>München</t>
        </is>
      </c>
    </row>
    <row r="1627">
      <c r="A1627" s="2" t="n">
        <v>4.8</v>
      </c>
      <c r="B1627" t="inlineStr">
        <is>
          <t>Sailloft Air</t>
        </is>
      </c>
      <c r="C1627" s="3" t="inlineStr"/>
      <c r="D1627" s="3" t="inlineStr"/>
      <c r="E1627" t="inlineStr">
        <is>
          <t>Freestyle</t>
        </is>
      </c>
      <c r="F1627" t="inlineStr">
        <is>
          <t>2023</t>
        </is>
      </c>
      <c r="G1627" t="inlineStr">
        <is>
          <t>used</t>
        </is>
      </c>
      <c r="H1627" s="4" t="n">
        <v>290</v>
      </c>
      <c r="I1627" t="inlineStr">
        <is>
          <t>VB</t>
        </is>
      </c>
      <c r="J1627" t="inlineStr">
        <is>
          <t>21465 Schleswig-Holstein - Reinbek</t>
        </is>
      </c>
      <c r="K1627" s="5" t="n">
        <v>45529</v>
      </c>
      <c r="L1627" t="inlineStr"/>
      <c r="M1627" s="6">
        <f>HYPERLINK("https://www.kleinanzeigen.de/s-anzeige/sailloft-air-4-8-2023-freestyle-windsurfsegel/2845914082-230-13590", "Link")</f>
        <v/>
      </c>
      <c r="N1627" s="6">
        <f>HYPERLINK("C:\Projects\Kleinanzeigen-Scraper\offer_images\2845914082", "Link")</f>
        <v/>
      </c>
      <c r="O1627" t="inlineStr">
        <is>
          <t>Luke</t>
        </is>
      </c>
      <c r="P1627" s="6">
        <f>HYPERLINK("https://www.kleinanzeigen.de/s-bestandsliste.html?userId=51608714", "Link")</f>
        <v/>
      </c>
      <c r="Q1627" s="7" t="n">
        <v>45549.5715625</v>
      </c>
      <c r="R1627" s="3" t="inlineStr">
        <is>
          <t>366.85</t>
        </is>
      </c>
      <c r="S1627" t="inlineStr">
        <is>
          <t>Köln</t>
        </is>
      </c>
    </row>
    <row r="1628">
      <c r="A1628" s="2" t="n">
        <v>5</v>
      </c>
      <c r="B1628" t="inlineStr">
        <is>
          <t>Loftsails Wavescape</t>
        </is>
      </c>
      <c r="C1628" s="3" t="inlineStr"/>
      <c r="D1628" s="3" t="inlineStr"/>
      <c r="E1628" t="inlineStr">
        <is>
          <t>Wave</t>
        </is>
      </c>
      <c r="F1628" t="inlineStr">
        <is>
          <t>2023</t>
        </is>
      </c>
      <c r="G1628" t="inlineStr">
        <is>
          <t>new</t>
        </is>
      </c>
      <c r="H1628" s="4" t="n">
        <v>470</v>
      </c>
      <c r="I1628" t="inlineStr"/>
      <c r="J1628" t="inlineStr">
        <is>
          <t>55218 Rheinland-Pfalz - Ingelheim am Rhein</t>
        </is>
      </c>
      <c r="K1628" s="5" t="n">
        <v>45164</v>
      </c>
      <c r="L1628" t="inlineStr"/>
      <c r="M1628" s="6">
        <f>HYPERLINK("https://www.kleinanzeigen.de/s-anzeige/2023-loftsails-wavescape-5-0-4-latten/2529950853-230-5126", "Link")</f>
        <v/>
      </c>
      <c r="N1628" s="6">
        <f>HYPERLINK("C:\Projects\Kleinanzeigen-Scraper\offer_images\2529950853", "Link")</f>
        <v/>
      </c>
      <c r="O1628" t="inlineStr">
        <is>
          <t>Peters Windsurfing Shop</t>
        </is>
      </c>
      <c r="P1628" s="6">
        <f>HYPERLINK("https://www.kleinanzeigen.de/s-bestandsliste.html?userId=120339149", "Link")</f>
        <v/>
      </c>
      <c r="Q1628" s="7" t="n">
        <v>45549.5715162037</v>
      </c>
      <c r="R1628" s="3" t="inlineStr">
        <is>
          <t>108.99</t>
        </is>
      </c>
      <c r="S1628" t="inlineStr">
        <is>
          <t>Karlsruhe</t>
        </is>
      </c>
    </row>
    <row r="1629">
      <c r="A1629" s="2" t="n">
        <v>4.7</v>
      </c>
      <c r="B1629" t="inlineStr">
        <is>
          <t>Ezzy Elite</t>
        </is>
      </c>
      <c r="C1629" s="3" t="inlineStr"/>
      <c r="D1629" s="3" t="inlineStr"/>
      <c r="E1629" t="inlineStr"/>
      <c r="F1629" t="inlineStr"/>
      <c r="G1629" t="inlineStr">
        <is>
          <t>repaired</t>
        </is>
      </c>
      <c r="H1629" s="4" t="n">
        <v>50</v>
      </c>
      <c r="I1629" t="inlineStr">
        <is>
          <t>VB</t>
        </is>
      </c>
      <c r="J1629" t="inlineStr">
        <is>
          <t>40239 Düsseldorf - Düsseltal</t>
        </is>
      </c>
      <c r="K1629" s="5" t="n">
        <v>45546</v>
      </c>
      <c r="L1629" t="inlineStr">
        <is>
          <t>Sold</t>
        </is>
      </c>
      <c r="M1629" s="6">
        <f>HYPERLINK("https://www.kleinanzeigen.de/s-anzeige/ezzy-elite-wavesegel-4-7/2860333708-230-16742", "Link")</f>
        <v/>
      </c>
      <c r="N1629" s="6">
        <f>HYPERLINK("C:\Projects\Kleinanzeigen-Scraper\offer_images\2860333708", "Link")</f>
        <v/>
      </c>
      <c r="O1629" t="inlineStr">
        <is>
          <t>Jerome Fransen</t>
        </is>
      </c>
      <c r="P1629" s="6">
        <f>HYPERLINK("https://www.kleinanzeigen.de/s-bestandsliste.html?userId=11246700", "Link")</f>
        <v/>
      </c>
      <c r="Q1629" s="7" t="n">
        <v>45549.57149305556</v>
      </c>
      <c r="R1629" s="3" t="inlineStr">
        <is>
          <t>35.68</t>
        </is>
      </c>
      <c r="S1629" t="inlineStr">
        <is>
          <t>Köln</t>
        </is>
      </c>
    </row>
    <row r="1630">
      <c r="A1630" s="2" t="n">
        <v>4.2</v>
      </c>
      <c r="B1630" t="inlineStr">
        <is>
          <t>North Sails Hero</t>
        </is>
      </c>
      <c r="C1630" s="3" t="inlineStr"/>
      <c r="D1630" s="3" t="inlineStr"/>
      <c r="E1630" t="inlineStr">
        <is>
          <t>Wave</t>
        </is>
      </c>
      <c r="F1630" t="inlineStr">
        <is>
          <t>2014</t>
        </is>
      </c>
      <c r="G1630" t="inlineStr">
        <is>
          <t>used</t>
        </is>
      </c>
      <c r="H1630" s="4" t="n">
        <v>110</v>
      </c>
      <c r="I1630" t="inlineStr">
        <is>
          <t>VB</t>
        </is>
      </c>
      <c r="J1630" t="inlineStr">
        <is>
          <t>40724 Nordrhein-Westfalen - Hilden</t>
        </is>
      </c>
      <c r="K1630" s="5" t="n">
        <v>45549</v>
      </c>
      <c r="L1630" t="inlineStr">
        <is>
          <t>Sold</t>
        </is>
      </c>
      <c r="M1630" s="6">
        <f>HYPERLINK("https://www.kleinanzeigen.de/s-anzeige/north-sails-hero-4-2/2862903405-230-1859", "Link")</f>
        <v/>
      </c>
      <c r="N1630" s="6">
        <f>HYPERLINK("C:\Projects\Kleinanzeigen-Scraper\offer_images\2862903405", "Link")</f>
        <v/>
      </c>
      <c r="O1630" t="inlineStr">
        <is>
          <t>Laurenz Huhn</t>
        </is>
      </c>
      <c r="P1630" s="6">
        <f>HYPERLINK("https://www.kleinanzeigen.de/s-bestandsliste.html?userId=5367532", "Link")</f>
        <v/>
      </c>
      <c r="Q1630" s="7" t="n">
        <v>45549.57149305556</v>
      </c>
      <c r="R1630" s="3" t="inlineStr">
        <is>
          <t>26.51</t>
        </is>
      </c>
      <c r="S1630" t="inlineStr">
        <is>
          <t>Köln</t>
        </is>
      </c>
    </row>
    <row r="1631">
      <c r="A1631" s="2" t="n">
        <v>6.6</v>
      </c>
      <c r="B1631" t="inlineStr">
        <is>
          <t>North Natural</t>
        </is>
      </c>
      <c r="C1631" s="3" t="n">
        <v>4.6</v>
      </c>
      <c r="D1631" s="3" t="n">
        <v>1.9</v>
      </c>
      <c r="E1631" t="inlineStr">
        <is>
          <t>Freeride</t>
        </is>
      </c>
      <c r="F1631" t="inlineStr"/>
      <c r="G1631" t="inlineStr">
        <is>
          <t>new</t>
        </is>
      </c>
      <c r="H1631" s="4" t="n">
        <v>65</v>
      </c>
      <c r="I1631" t="inlineStr">
        <is>
          <t>VB</t>
        </is>
      </c>
      <c r="J1631" t="inlineStr">
        <is>
          <t>79117 Baden-Württemberg - Freiburg im Breisgau</t>
        </is>
      </c>
      <c r="K1631" s="5" t="n">
        <v>45543</v>
      </c>
      <c r="L1631" t="inlineStr">
        <is>
          <t>Sold</t>
        </is>
      </c>
      <c r="M1631" s="6">
        <f>HYPERLINK("https://www.kleinanzeigen.de/s-anzeige/surfsegel-north-natural-6-6/2857268391-230-9365", "Link")</f>
        <v/>
      </c>
      <c r="N1631" s="6">
        <f>HYPERLINK("C:\Projects\Kleinanzeigen-Scraper\offer_images\2857268391", "Link")</f>
        <v/>
      </c>
      <c r="O1631" t="inlineStr">
        <is>
          <t>Kurt Leistikow</t>
        </is>
      </c>
      <c r="P1631" s="6">
        <f>HYPERLINK("https://www.kleinanzeigen.de/s-bestandsliste.html?userId=28069952", "Link")</f>
        <v/>
      </c>
      <c r="Q1631" s="7" t="n">
        <v>45549.57146990741</v>
      </c>
      <c r="R1631" s="3" t="inlineStr">
        <is>
          <t>36.56</t>
        </is>
      </c>
      <c r="S1631" t="inlineStr">
        <is>
          <t>Bonndorf</t>
        </is>
      </c>
    </row>
    <row r="1632">
      <c r="A1632" s="2" t="n">
        <v>8.6</v>
      </c>
      <c r="B1632" t="inlineStr">
        <is>
          <t>Gun Sails GSR</t>
        </is>
      </c>
      <c r="C1632" s="3" t="inlineStr"/>
      <c r="D1632" s="3" t="inlineStr"/>
      <c r="E1632" t="inlineStr"/>
      <c r="F1632" t="inlineStr">
        <is>
          <t>2018</t>
        </is>
      </c>
      <c r="G1632" t="inlineStr">
        <is>
          <t>used</t>
        </is>
      </c>
      <c r="H1632" s="4" t="n">
        <v>160</v>
      </c>
      <c r="I1632" t="inlineStr">
        <is>
          <t>VB</t>
        </is>
      </c>
      <c r="J1632" t="inlineStr">
        <is>
          <t>94137 Bayern - Bayerbach</t>
        </is>
      </c>
      <c r="K1632" s="5" t="n">
        <v>45440</v>
      </c>
      <c r="L1632" t="inlineStr">
        <is>
          <t>Sold</t>
        </is>
      </c>
      <c r="M1632" s="6">
        <f>HYPERLINK("https://www.kleinanzeigen.de/s-anzeige/gun-sails-gsr-8-6/2773211193-230-5796", "Link")</f>
        <v/>
      </c>
      <c r="N1632" s="6">
        <f>HYPERLINK("C:\Projects\Kleinanzeigen-Scraper\offer_images\2773211193", "Link")</f>
        <v/>
      </c>
      <c r="O1632" t="inlineStr">
        <is>
          <t>jonas</t>
        </is>
      </c>
      <c r="P1632" s="6">
        <f>HYPERLINK("https://www.kleinanzeigen.de/s-bestandsliste.html?userId=130273358", "Link")</f>
        <v/>
      </c>
      <c r="Q1632" s="7" t="n">
        <v>45549.57146990741</v>
      </c>
      <c r="R1632" s="3" t="inlineStr">
        <is>
          <t>120.19</t>
        </is>
      </c>
      <c r="S1632" t="inlineStr">
        <is>
          <t>München</t>
        </is>
      </c>
    </row>
    <row r="1633">
      <c r="A1633" s="2" t="n">
        <v>6.2</v>
      </c>
      <c r="B1633" t="inlineStr">
        <is>
          <t>Neilpryde Speedster</t>
        </is>
      </c>
      <c r="C1633" s="3" t="inlineStr"/>
      <c r="D1633" s="3" t="inlineStr"/>
      <c r="E1633" t="inlineStr"/>
      <c r="F1633" t="inlineStr"/>
      <c r="G1633" t="inlineStr">
        <is>
          <t>used</t>
        </is>
      </c>
      <c r="H1633" s="4" t="n">
        <v>250</v>
      </c>
      <c r="I1633" t="inlineStr"/>
      <c r="J1633" t="inlineStr">
        <is>
          <t>24114 Schleswig-Holstein - Kiel</t>
        </is>
      </c>
      <c r="K1633" s="5" t="n">
        <v>45525</v>
      </c>
      <c r="L1633" t="inlineStr">
        <is>
          <t>Sold</t>
        </is>
      </c>
      <c r="M1633" s="6">
        <f>HYPERLINK("https://www.kleinanzeigen.de/s-anzeige/neilpryde-speedster-6-2-windsurf-segel/2842594340-230-697", "Link")</f>
        <v/>
      </c>
      <c r="N1633" s="6">
        <f>HYPERLINK("C:\Projects\Kleinanzeigen-Scraper\offer_images\2842594340", "Link")</f>
        <v/>
      </c>
      <c r="O1633" t="inlineStr">
        <is>
          <t>Jan B.</t>
        </is>
      </c>
      <c r="P1633" s="6">
        <f>HYPERLINK("https://www.kleinanzeigen.de/s-bestandsliste.html?userId=62021960", "Link")</f>
        <v/>
      </c>
      <c r="Q1633" s="7" t="n">
        <v>45549.57145833333</v>
      </c>
      <c r="R1633" s="3" t="inlineStr">
        <is>
          <t>431.59</t>
        </is>
      </c>
      <c r="S1633" t="inlineStr">
        <is>
          <t>Köln</t>
        </is>
      </c>
    </row>
    <row r="1634">
      <c r="A1634" s="2" t="n">
        <v>3.6</v>
      </c>
      <c r="B1634" t="inlineStr">
        <is>
          <t>Simmer Wave</t>
        </is>
      </c>
      <c r="C1634" s="3" t="n">
        <v>377</v>
      </c>
      <c r="D1634" s="3" t="n">
        <v>138</v>
      </c>
      <c r="E1634" t="inlineStr"/>
      <c r="F1634" t="inlineStr"/>
      <c r="G1634" t="inlineStr">
        <is>
          <t>used</t>
        </is>
      </c>
      <c r="H1634" s="4" t="n">
        <v>60</v>
      </c>
      <c r="I1634" t="inlineStr"/>
      <c r="J1634" t="inlineStr">
        <is>
          <t>59597 Nordrhein-Westfalen - Erwitte</t>
        </is>
      </c>
      <c r="K1634" s="5" t="n">
        <v>45144</v>
      </c>
      <c r="L1634" t="inlineStr"/>
      <c r="M1634" s="6">
        <f>HYPERLINK("https://www.kleinanzeigen.de/s-anzeige/simmer-wave-3-6/2513726575-230-1266", "Link")</f>
        <v/>
      </c>
      <c r="N1634" s="6">
        <f>HYPERLINK("C:\Projects\Kleinanzeigen-Scraper\offer_images\2513726575", "Link")</f>
        <v/>
      </c>
      <c r="O1634" t="inlineStr">
        <is>
          <t>Jürgen  Jarmatz</t>
        </is>
      </c>
      <c r="P1634" s="6">
        <f>HYPERLINK("https://www.kleinanzeigen.de/s-bestandsliste.html?userId=124087048", "Link")</f>
        <v/>
      </c>
      <c r="Q1634" s="7" t="n">
        <v>45549.57144675926</v>
      </c>
      <c r="R1634" s="3" t="inlineStr">
        <is>
          <t>119.91</t>
        </is>
      </c>
      <c r="S1634" t="inlineStr">
        <is>
          <t>Köln</t>
        </is>
      </c>
    </row>
    <row r="1635">
      <c r="A1635" s="2" t="n">
        <v>7.8</v>
      </c>
      <c r="B1635" t="inlineStr">
        <is>
          <t>Loftsails Racing-Blade</t>
        </is>
      </c>
      <c r="C1635" s="3" t="inlineStr"/>
      <c r="D1635" s="3" t="inlineStr"/>
      <c r="E1635" t="inlineStr"/>
      <c r="F1635" t="inlineStr"/>
      <c r="G1635" t="inlineStr">
        <is>
          <t>used</t>
        </is>
      </c>
      <c r="H1635" s="4" t="n">
        <v>320</v>
      </c>
      <c r="I1635" t="inlineStr">
        <is>
          <t>VB</t>
        </is>
      </c>
      <c r="J1635" t="inlineStr">
        <is>
          <t>15732 Brandenburg - Eichwalde</t>
        </is>
      </c>
      <c r="K1635" s="5" t="n">
        <v>45394</v>
      </c>
      <c r="L1635" t="inlineStr"/>
      <c r="M1635" s="6">
        <f>HYPERLINK("https://www.kleinanzeigen.de/s-anzeige/loftsails-racing-blade-7-8m-/2732781260-230-3372", "Link")</f>
        <v/>
      </c>
      <c r="N1635" s="6">
        <f>HYPERLINK("C:\Projects\Kleinanzeigen-Scraper\offer_images\2732781260", "Link")</f>
        <v/>
      </c>
      <c r="O1635" t="inlineStr">
        <is>
          <t>Fabi Fab</t>
        </is>
      </c>
      <c r="P1635" s="6">
        <f>HYPERLINK("https://www.kleinanzeigen.de/s-bestandsliste.html?userId=27752190", "Link")</f>
        <v/>
      </c>
      <c r="Q1635" s="7" t="n">
        <v>45549.57142361111</v>
      </c>
      <c r="R1635" s="3" t="inlineStr">
        <is>
          <t>483.29</t>
        </is>
      </c>
      <c r="S1635" t="inlineStr">
        <is>
          <t>Köln</t>
        </is>
      </c>
    </row>
    <row r="1636">
      <c r="A1636" s="2" t="n">
        <v>7.7</v>
      </c>
      <c r="B1636" t="inlineStr">
        <is>
          <t>Neilpryde Hellcat</t>
        </is>
      </c>
      <c r="C1636" s="3" t="n">
        <v>490</v>
      </c>
      <c r="D1636" s="3" t="n">
        <v>208</v>
      </c>
      <c r="E1636" t="inlineStr"/>
      <c r="F1636" t="inlineStr"/>
      <c r="G1636" t="inlineStr">
        <is>
          <t>used</t>
        </is>
      </c>
      <c r="H1636" s="4" t="n">
        <v>150</v>
      </c>
      <c r="I1636" t="inlineStr"/>
      <c r="J1636" t="inlineStr">
        <is>
          <t>18211 Bad Doberan - Landkreis - Bargeshagen</t>
        </is>
      </c>
      <c r="K1636" s="5" t="n">
        <v>45541</v>
      </c>
      <c r="L1636" t="inlineStr"/>
      <c r="M1636" s="6">
        <f>HYPERLINK("https://www.kleinanzeigen.de/s-anzeige/neilpryde-hellcat-7-7qm-windsurfsegel/2855748592-230-16583", "Link")</f>
        <v/>
      </c>
      <c r="N1636" s="6">
        <f>HYPERLINK("C:\Projects\Kleinanzeigen-Scraper\offer_images\2855748592", "Link")</f>
        <v/>
      </c>
      <c r="O1636" t="inlineStr">
        <is>
          <t>Dirk</t>
        </is>
      </c>
      <c r="P1636" s="6">
        <f>HYPERLINK("https://www.kleinanzeigen.de/s-bestandsliste.html?userId=141661148", "Link")</f>
        <v/>
      </c>
      <c r="Q1636" s="7" t="n">
        <v>45549.57140046296</v>
      </c>
      <c r="R1636" s="3" t="inlineStr">
        <is>
          <t>490.50</t>
        </is>
      </c>
      <c r="S1636" t="inlineStr">
        <is>
          <t>Köln</t>
        </is>
      </c>
    </row>
    <row r="1637">
      <c r="A1637" s="2" t="n">
        <v>4</v>
      </c>
      <c r="B1637" t="inlineStr">
        <is>
          <t>Sailloft Air</t>
        </is>
      </c>
      <c r="C1637" s="3" t="inlineStr"/>
      <c r="D1637" s="3" t="inlineStr"/>
      <c r="E1637" t="inlineStr"/>
      <c r="F1637" t="inlineStr">
        <is>
          <t>2022</t>
        </is>
      </c>
      <c r="G1637" t="inlineStr">
        <is>
          <t>used</t>
        </is>
      </c>
      <c r="H1637" s="4" t="n">
        <v>220</v>
      </c>
      <c r="I1637" t="inlineStr">
        <is>
          <t>VB</t>
        </is>
      </c>
      <c r="J1637" t="inlineStr">
        <is>
          <t>24217 Schleswig-Holstein - Schönberg (Holstein)</t>
        </is>
      </c>
      <c r="K1637" s="5" t="n">
        <v>45545</v>
      </c>
      <c r="L1637" t="inlineStr">
        <is>
          <t>Sold</t>
        </is>
      </c>
      <c r="M1637" s="6">
        <f>HYPERLINK("https://www.kleinanzeigen.de/s-anzeige/sailloft-air-4-0-2022/2859146442-230-18587", "Link")</f>
        <v/>
      </c>
      <c r="N1637" s="6">
        <f>HYPERLINK("C:\Projects\Kleinanzeigen-Scraper\offer_images\2859146442", "Link")</f>
        <v/>
      </c>
      <c r="O1637" t="inlineStr">
        <is>
          <t>S.Wahl</t>
        </is>
      </c>
      <c r="P1637" s="6">
        <f>HYPERLINK("https://www.kleinanzeigen.de/s-bestandsliste.html?userId=11293188", "Link")</f>
        <v/>
      </c>
      <c r="Q1637" s="7" t="n">
        <v>45549.57140046296</v>
      </c>
      <c r="R1637" s="3" t="inlineStr">
        <is>
          <t>447.79</t>
        </is>
      </c>
      <c r="S1637" t="inlineStr">
        <is>
          <t>Köln</t>
        </is>
      </c>
    </row>
    <row r="1638">
      <c r="A1638" s="2" t="n">
        <v>9</v>
      </c>
      <c r="B1638" t="inlineStr">
        <is>
          <t>NeilPryde RS Flight EVO 2</t>
        </is>
      </c>
      <c r="C1638" s="3" t="n">
        <v>550</v>
      </c>
      <c r="D1638" s="3" t="inlineStr">
        <is>
          <t>221-228</t>
        </is>
      </c>
      <c r="E1638" t="inlineStr"/>
      <c r="F1638" t="inlineStr">
        <is>
          <t>2021</t>
        </is>
      </c>
      <c r="G1638" t="inlineStr">
        <is>
          <t>used</t>
        </is>
      </c>
      <c r="H1638" s="4" t="n">
        <v>380</v>
      </c>
      <c r="I1638" t="inlineStr">
        <is>
          <t>VB</t>
        </is>
      </c>
      <c r="J1638" t="inlineStr">
        <is>
          <t>99991 Unstrut-Hainich - Weberstedt</t>
        </is>
      </c>
      <c r="K1638" s="5" t="n">
        <v>45500</v>
      </c>
      <c r="L1638" t="inlineStr">
        <is>
          <t>Sold</t>
        </is>
      </c>
      <c r="M1638" s="6">
        <f>HYPERLINK("https://www.kleinanzeigen.de/s-anzeige/neilpryde-rs-flight-evo-2-2021-9-0-foil-segel/2822311956-230-27803", "Link")</f>
        <v/>
      </c>
      <c r="N1638" s="6">
        <f>HYPERLINK("C:\Projects\Kleinanzeigen-Scraper\offer_images\2822311956", "Link")</f>
        <v/>
      </c>
      <c r="O1638" t="inlineStr">
        <is>
          <t>Dirk Kolberg</t>
        </is>
      </c>
      <c r="P1638" s="6">
        <f>HYPERLINK("https://www.kleinanzeigen.de/s-bestandsliste.html?userId=57653293", "Link")</f>
        <v/>
      </c>
      <c r="Q1638" s="7" t="n">
        <v>45549.57137731482</v>
      </c>
      <c r="R1638" s="3" t="inlineStr">
        <is>
          <t>254.19</t>
        </is>
      </c>
      <c r="S1638" t="inlineStr">
        <is>
          <t>Köln</t>
        </is>
      </c>
    </row>
    <row r="1639">
      <c r="A1639" s="2" t="n">
        <v>5.8</v>
      </c>
      <c r="B1639" t="inlineStr">
        <is>
          <t>Neilpryde Atlas HD</t>
        </is>
      </c>
      <c r="C1639" s="3" t="n">
        <v>430</v>
      </c>
      <c r="D1639" s="3" t="n">
        <v>183</v>
      </c>
      <c r="E1639" t="inlineStr"/>
      <c r="F1639" t="inlineStr">
        <is>
          <t>2021</t>
        </is>
      </c>
      <c r="G1639" t="inlineStr">
        <is>
          <t>used</t>
        </is>
      </c>
      <c r="H1639" s="4" t="n">
        <v>390</v>
      </c>
      <c r="I1639" t="inlineStr">
        <is>
          <t>VB</t>
        </is>
      </c>
      <c r="J1639" t="inlineStr">
        <is>
          <t>23769 Fehmarn - Westfehmarn</t>
        </is>
      </c>
      <c r="K1639" s="5" t="n">
        <v>45558</v>
      </c>
      <c r="L1639" t="inlineStr"/>
      <c r="M1639" s="6">
        <f>HYPERLINK("https://www.kleinanzeigen.de/s-anzeige/neilpryde-atlas-hd-5-8/2745566606-230-430", "Link")</f>
        <v/>
      </c>
      <c r="N1639" s="6">
        <f>HYPERLINK("C:\Projects\Kleinanzeigen-Scraper\offer_images\2745566606", "Link")</f>
        <v/>
      </c>
      <c r="O1639" t="inlineStr">
        <is>
          <t>No user name</t>
        </is>
      </c>
      <c r="P1639" s="6">
        <f>HYPERLINK("https://www.kleinanzeigen.deNo user link", "Link")</f>
        <v/>
      </c>
      <c r="Q1639" s="7" t="n">
        <v>45549.57135416667</v>
      </c>
      <c r="R1639" s="3" t="inlineStr">
        <is>
          <t>483.01</t>
        </is>
      </c>
      <c r="S1639" t="inlineStr">
        <is>
          <t>Köln</t>
        </is>
      </c>
    </row>
    <row r="1640">
      <c r="A1640" s="2" t="n">
        <v>2.5</v>
      </c>
      <c r="B1640" t="inlineStr">
        <is>
          <t>Robert Ricci Designs KID joy</t>
        </is>
      </c>
      <c r="C1640" s="3" t="inlineStr"/>
      <c r="D1640" s="3" t="inlineStr"/>
      <c r="E1640" t="inlineStr"/>
      <c r="F1640" t="inlineStr"/>
      <c r="G1640" t="inlineStr">
        <is>
          <t>used</t>
        </is>
      </c>
      <c r="H1640" s="4" t="n">
        <v>180</v>
      </c>
      <c r="I1640" t="inlineStr"/>
      <c r="J1640" t="inlineStr">
        <is>
          <t>18375 Darß - Born am Darß</t>
        </is>
      </c>
      <c r="K1640" s="5" t="n">
        <v>45495</v>
      </c>
      <c r="L1640" t="inlineStr">
        <is>
          <t>Sold</t>
        </is>
      </c>
      <c r="M1640" s="6">
        <f>HYPERLINK("https://www.kleinanzeigen.de/s-anzeige/2-5qm-rrd-kindersegel/2818154661-230-13567", "Link")</f>
        <v/>
      </c>
      <c r="N1640" s="6">
        <f>HYPERLINK("C:\Projects\Kleinanzeigen-Scraper\offer_images\2818154661", "Link")</f>
        <v/>
      </c>
      <c r="O1640" t="inlineStr">
        <is>
          <t>Oskar B</t>
        </is>
      </c>
      <c r="P1640" s="6">
        <f>HYPERLINK("https://www.kleinanzeigen.de/s-bestandsliste.html?userId=125050423", "Link")</f>
        <v/>
      </c>
      <c r="Q1640" s="7" t="n">
        <v>45549.57133101852</v>
      </c>
      <c r="R1640" s="3" t="inlineStr">
        <is>
          <t>538.88</t>
        </is>
      </c>
      <c r="S1640" t="inlineStr">
        <is>
          <t>Köln</t>
        </is>
      </c>
    </row>
    <row r="1641">
      <c r="A1641" s="2" t="n">
        <v>3.7</v>
      </c>
      <c r="B1641" t="inlineStr">
        <is>
          <t>Point 7 Sado</t>
        </is>
      </c>
      <c r="C1641" s="3" t="inlineStr"/>
      <c r="D1641" s="3" t="inlineStr"/>
      <c r="E1641" t="inlineStr"/>
      <c r="F1641" t="inlineStr"/>
      <c r="G1641" t="inlineStr">
        <is>
          <t>used</t>
        </is>
      </c>
      <c r="H1641" s="4" t="n">
        <v>150</v>
      </c>
      <c r="I1641" t="inlineStr"/>
      <c r="J1641" t="inlineStr">
        <is>
          <t>93309 Bayern - Kelheim</t>
        </is>
      </c>
      <c r="K1641" s="5" t="n">
        <v>45543</v>
      </c>
      <c r="L1641" t="inlineStr"/>
      <c r="M1641" s="6">
        <f>HYPERLINK("https://www.kleinanzeigen.de/s-anzeige/point-7-sado-3-7-m2/2857045326-230-6235", "Link")</f>
        <v/>
      </c>
      <c r="N1641" s="6">
        <f>HYPERLINK("C:\Projects\Kleinanzeigen-Scraper\offer_images\2857045326", "Link")</f>
        <v/>
      </c>
      <c r="O1641" t="inlineStr">
        <is>
          <t>MS</t>
        </is>
      </c>
      <c r="P1641" s="6">
        <f>HYPERLINK("https://www.kleinanzeigen.de/s-bestandsliste.html?userId=19708796", "Link")</f>
        <v/>
      </c>
      <c r="Q1641" s="7" t="n">
        <v>45549.57129629629</v>
      </c>
      <c r="R1641" s="3" t="inlineStr">
        <is>
          <t>88.18</t>
        </is>
      </c>
      <c r="S1641" t="inlineStr">
        <is>
          <t>München</t>
        </is>
      </c>
    </row>
    <row r="1642">
      <c r="A1642" s="2" t="n">
        <v>6.7</v>
      </c>
      <c r="B1642" t="inlineStr">
        <is>
          <t>NEILPRYDE HiFly</t>
        </is>
      </c>
      <c r="C1642" s="3" t="n">
        <v>450</v>
      </c>
      <c r="D1642" s="3" t="n">
        <v>248</v>
      </c>
      <c r="E1642" t="inlineStr"/>
      <c r="F1642" t="inlineStr"/>
      <c r="G1642" t="inlineStr">
        <is>
          <t>used</t>
        </is>
      </c>
      <c r="H1642" s="4" t="n">
        <v>139</v>
      </c>
      <c r="I1642" t="inlineStr"/>
      <c r="J1642" t="inlineStr">
        <is>
          <t>37124 Niedersachsen - Rosdorf</t>
        </is>
      </c>
      <c r="K1642" s="5" t="n">
        <v>45549</v>
      </c>
      <c r="L1642" t="inlineStr"/>
      <c r="M1642" s="6">
        <f>HYPERLINK("https://www.kleinanzeigen.de/s-anzeige/vintage-windsurf-segel-6-7qm-neilpryde-hifly-1338-/2737662470-230-3133", "Link")</f>
        <v/>
      </c>
      <c r="N1642" s="6">
        <f>HYPERLINK("C:\Projects\Kleinanzeigen-Scraper\offer_images\2737662470", "Link")</f>
        <v/>
      </c>
      <c r="O1642" t="inlineStr">
        <is>
          <t>No user name</t>
        </is>
      </c>
      <c r="P1642" s="6">
        <f>HYPERLINK("https://www.kleinanzeigen.deNo user link", "Link")</f>
        <v/>
      </c>
      <c r="Q1642" s="7" t="n">
        <v>45549.57129629629</v>
      </c>
      <c r="R1642" s="3" t="inlineStr">
        <is>
          <t>214.72</t>
        </is>
      </c>
      <c r="S1642" t="inlineStr">
        <is>
          <t>Köln</t>
        </is>
      </c>
    </row>
    <row r="1643">
      <c r="A1643" s="2" t="n">
        <v>5</v>
      </c>
      <c r="B1643" t="inlineStr">
        <is>
          <t>Neilpryde</t>
        </is>
      </c>
      <c r="C1643" s="3" t="inlineStr"/>
      <c r="D1643" s="3" t="inlineStr"/>
      <c r="E1643" t="inlineStr"/>
      <c r="F1643" t="inlineStr"/>
      <c r="G1643" t="inlineStr"/>
      <c r="H1643" s="4" t="n">
        <v>100</v>
      </c>
      <c r="I1643" t="inlineStr"/>
      <c r="J1643" t="inlineStr">
        <is>
          <t>88161 Bayern - Lindenberg im Allgäu</t>
        </is>
      </c>
      <c r="K1643" s="5" t="n">
        <v>45531</v>
      </c>
      <c r="L1643" t="inlineStr"/>
      <c r="M1643" s="6">
        <f>HYPERLINK("https://www.kleinanzeigen.de/s-anzeige/surfsegel-neilpryde-5m2-mit-camber/2848042583-230-8596", "Link")</f>
        <v/>
      </c>
      <c r="N1643" s="6">
        <f>HYPERLINK("C:\Projects\Kleinanzeigen-Scraper\offer_images\2848042583", "Link")</f>
        <v/>
      </c>
      <c r="O1643" t="inlineStr">
        <is>
          <t>Frank Reisinger</t>
        </is>
      </c>
      <c r="P1643" s="6">
        <f>HYPERLINK("https://www.kleinanzeigen.de/s-bestandsliste.html?userId=130614574", "Link")</f>
        <v/>
      </c>
      <c r="Q1643" s="7" t="n">
        <v>45549.57128472222</v>
      </c>
      <c r="R1643" s="3" t="inlineStr">
        <is>
          <t>118.20</t>
        </is>
      </c>
      <c r="S1643" t="inlineStr">
        <is>
          <t>Bonndorf</t>
        </is>
      </c>
    </row>
    <row r="1644">
      <c r="A1644" s="2" t="n">
        <v>5.4</v>
      </c>
      <c r="B1644" t="inlineStr">
        <is>
          <t>Neilpryde Alpha</t>
        </is>
      </c>
      <c r="C1644" s="3" t="inlineStr"/>
      <c r="D1644" s="3" t="inlineStr"/>
      <c r="E1644" t="inlineStr"/>
      <c r="F1644" t="inlineStr"/>
      <c r="G1644" t="inlineStr">
        <is>
          <t>used</t>
        </is>
      </c>
      <c r="H1644" s="4" t="n">
        <v>120</v>
      </c>
      <c r="I1644" t="inlineStr"/>
      <c r="J1644" t="inlineStr">
        <is>
          <t>18059 Rostock - Südstadt</t>
        </is>
      </c>
      <c r="K1644" s="5" t="n">
        <v>45549</v>
      </c>
      <c r="L1644" t="inlineStr">
        <is>
          <t>Sold</t>
        </is>
      </c>
      <c r="M1644" s="6">
        <f>HYPERLINK("https://www.kleinanzeigen.de/s-anzeige/windsurfsegel-surfsegel-neilpryde-alpha-5-4/2862850854-230-13049", "Link")</f>
        <v/>
      </c>
      <c r="N1644" s="6">
        <f>HYPERLINK("C:\Projects\Kleinanzeigen-Scraper\offer_images\2862850854", "Link")</f>
        <v/>
      </c>
      <c r="O1644" t="inlineStr">
        <is>
          <t>Martin Wentzel</t>
        </is>
      </c>
      <c r="P1644" s="6">
        <f>HYPERLINK("https://www.kleinanzeigen.de/s-bestandsliste.html?userId=18974115", "Link")</f>
        <v/>
      </c>
      <c r="Q1644" s="7" t="n">
        <v>45549.57127314815</v>
      </c>
      <c r="R1644" s="3" t="inlineStr">
        <is>
          <t>489.44</t>
        </is>
      </c>
      <c r="S1644" t="inlineStr">
        <is>
          <t>Köln</t>
        </is>
      </c>
    </row>
    <row r="1645">
      <c r="A1645" s="2" t="n">
        <v>7</v>
      </c>
      <c r="B1645" t="inlineStr">
        <is>
          <t>Severne Reflex8</t>
        </is>
      </c>
      <c r="C1645" s="3" t="n">
        <v>460</v>
      </c>
      <c r="D1645" s="3" t="n">
        <v>202</v>
      </c>
      <c r="E1645" t="inlineStr">
        <is>
          <t>Slalom</t>
        </is>
      </c>
      <c r="F1645" t="inlineStr"/>
      <c r="G1645" t="inlineStr"/>
      <c r="H1645" s="4" t="n">
        <v>350</v>
      </c>
      <c r="I1645" t="inlineStr"/>
      <c r="J1645" t="inlineStr">
        <is>
          <t>23769 Kreis Ostholstein - Fehmarn</t>
        </is>
      </c>
      <c r="K1645" s="5" t="n">
        <v>45475</v>
      </c>
      <c r="L1645" t="inlineStr"/>
      <c r="M1645" s="6">
        <f>HYPERLINK("https://www.kleinanzeigen.de/s-anzeige/severne-reflex8-7-0-slalom-segel/2802484778-230-19951", "Link")</f>
        <v/>
      </c>
      <c r="N1645" s="6">
        <f>HYPERLINK("C:\Projects\Kleinanzeigen-Scraper\offer_images\2802484778", "Link")</f>
        <v/>
      </c>
      <c r="O1645" t="inlineStr">
        <is>
          <t>Surfshop Fehmarn</t>
        </is>
      </c>
      <c r="P1645" s="6">
        <f>HYPERLINK("https://www.kleinanzeigen.de/s-bestandsliste.html?userId=85528872", "Link")</f>
        <v/>
      </c>
      <c r="Q1645" s="7" t="n">
        <v>45549.57125</v>
      </c>
      <c r="R1645" s="3" t="inlineStr">
        <is>
          <t>483.01</t>
        </is>
      </c>
      <c r="S1645" t="inlineStr">
        <is>
          <t>Köln</t>
        </is>
      </c>
    </row>
    <row r="1646">
      <c r="A1646" s="2" t="n">
        <v>7.7</v>
      </c>
      <c r="B1646" t="inlineStr">
        <is>
          <t>Gunsails GSR</t>
        </is>
      </c>
      <c r="C1646" s="3" t="n">
        <v>460</v>
      </c>
      <c r="D1646" s="3" t="inlineStr"/>
      <c r="E1646" t="inlineStr"/>
      <c r="F1646" t="inlineStr"/>
      <c r="G1646" t="inlineStr">
        <is>
          <t>new</t>
        </is>
      </c>
      <c r="H1646" s="4" t="n">
        <v>250</v>
      </c>
      <c r="I1646" t="inlineStr"/>
      <c r="J1646" t="inlineStr">
        <is>
          <t>21493 Herzogtum Lauenburg - Schwarzenbek</t>
        </is>
      </c>
      <c r="K1646" s="5" t="n">
        <v>45548</v>
      </c>
      <c r="L1646" t="inlineStr">
        <is>
          <t>Sold</t>
        </is>
      </c>
      <c r="M1646" s="6">
        <f>HYPERLINK("https://www.kleinanzeigen.de/s-anzeige/gunsails-gsr-7-7-slalom-segel-windsurfen-kein-mach-warp-ac1/2862125784-230-746", "Link")</f>
        <v/>
      </c>
      <c r="N1646" s="6">
        <f>HYPERLINK("C:\Projects\Kleinanzeigen-Scraper\offer_images\2862125784", "Link")</f>
        <v/>
      </c>
      <c r="O1646" t="inlineStr">
        <is>
          <t>Sebastian</t>
        </is>
      </c>
      <c r="P1646" s="6">
        <f>HYPERLINK("https://www.kleinanzeigen.de/s-bestandsliste.html?userId=141573193", "Link")</f>
        <v/>
      </c>
      <c r="Q1646" s="7" t="n">
        <v>45549.5712037037</v>
      </c>
      <c r="R1646" s="3" t="inlineStr">
        <is>
          <t>378.85</t>
        </is>
      </c>
      <c r="S1646" t="inlineStr">
        <is>
          <t>Köln</t>
        </is>
      </c>
    </row>
    <row r="1647">
      <c r="A1647" s="2" t="n">
        <v>9</v>
      </c>
      <c r="B1647" t="inlineStr">
        <is>
          <t>Neilpryde V8</t>
        </is>
      </c>
      <c r="C1647" s="3" t="n">
        <v>490</v>
      </c>
      <c r="D1647" s="3" t="n">
        <v>245</v>
      </c>
      <c r="E1647" t="inlineStr">
        <is>
          <t>Leichtwind</t>
        </is>
      </c>
      <c r="F1647" t="inlineStr"/>
      <c r="G1647" t="inlineStr">
        <is>
          <t>used</t>
        </is>
      </c>
      <c r="H1647" s="4" t="n">
        <v>95</v>
      </c>
      <c r="I1647" t="inlineStr">
        <is>
          <t>VB</t>
        </is>
      </c>
      <c r="J1647" t="inlineStr">
        <is>
          <t>25469 Kreis Pinneberg - Halstenbek</t>
        </is>
      </c>
      <c r="K1647" s="5" t="n">
        <v>45536</v>
      </c>
      <c r="L1647" t="inlineStr"/>
      <c r="M1647" s="6">
        <f>HYPERLINK("https://www.kleinanzeigen.de/s-anzeige/neilpryde-v8-9-0-m2-leichtwind-surfsegel/2851742432-230-617", "Link")</f>
        <v/>
      </c>
      <c r="N1647" s="6">
        <f>HYPERLINK("C:\Projects\Kleinanzeigen-Scraper\offer_images\2851742432", "Link")</f>
        <v/>
      </c>
      <c r="O1647" t="inlineStr">
        <is>
          <t>Stephan</t>
        </is>
      </c>
      <c r="P1647" s="6">
        <f>HYPERLINK("https://www.kleinanzeigen.de/s-bestandsliste.html?userId=29277367", "Link")</f>
        <v/>
      </c>
      <c r="Q1647" s="7" t="n">
        <v>45549.57118055555</v>
      </c>
      <c r="R1647" s="3" t="inlineStr">
        <is>
          <t>356.43</t>
        </is>
      </c>
      <c r="S1647" t="inlineStr">
        <is>
          <t>Köln</t>
        </is>
      </c>
    </row>
    <row r="1648">
      <c r="A1648" s="2" t="n">
        <v>5.4</v>
      </c>
      <c r="B1648" t="inlineStr">
        <is>
          <t>Naish Boxer</t>
        </is>
      </c>
      <c r="C1648" s="3" t="n">
        <v>400</v>
      </c>
      <c r="D1648" s="3" t="n">
        <v>190</v>
      </c>
      <c r="E1648" t="inlineStr"/>
      <c r="F1648" t="inlineStr"/>
      <c r="G1648" t="inlineStr">
        <is>
          <t>used</t>
        </is>
      </c>
      <c r="H1648" s="4" t="n">
        <v>135</v>
      </c>
      <c r="I1648" t="inlineStr">
        <is>
          <t>VB</t>
        </is>
      </c>
      <c r="J1648" t="inlineStr">
        <is>
          <t>82549 Bayern - Königsdorf</t>
        </is>
      </c>
      <c r="K1648" s="5" t="n">
        <v>45539</v>
      </c>
      <c r="L1648" t="inlineStr"/>
      <c r="M1648" s="6">
        <f>HYPERLINK("https://www.kleinanzeigen.de/s-anzeige/naish-boxer-5-4-top-zustand/2854563215-230-6331", "Link")</f>
        <v/>
      </c>
      <c r="N1648" s="6">
        <f>HYPERLINK("C:\Projects\Kleinanzeigen-Scraper\offer_images\2854563215", "Link")</f>
        <v/>
      </c>
      <c r="O1648" t="inlineStr">
        <is>
          <t>Thomas Loibl</t>
        </is>
      </c>
      <c r="P1648" s="6">
        <f>HYPERLINK("https://www.kleinanzeigen.de/s-bestandsliste.html?userId=22829407", "Link")</f>
        <v/>
      </c>
      <c r="Q1648" s="7" t="n">
        <v>45549.57115740741</v>
      </c>
      <c r="R1648" s="3" t="inlineStr">
        <is>
          <t>36.23</t>
        </is>
      </c>
      <c r="S1648" t="inlineStr">
        <is>
          <t>München</t>
        </is>
      </c>
    </row>
    <row r="1649">
      <c r="A1649" s="2" t="n">
        <v>7.5</v>
      </c>
      <c r="B1649" t="inlineStr">
        <is>
          <t>Neilpryde V8 Matrix</t>
        </is>
      </c>
      <c r="C1649" s="3" t="n">
        <v>460</v>
      </c>
      <c r="D1649" s="3" t="n">
        <v>215</v>
      </c>
      <c r="E1649" t="inlineStr"/>
      <c r="F1649" t="inlineStr">
        <is>
          <t>2010</t>
        </is>
      </c>
      <c r="G1649" t="inlineStr">
        <is>
          <t>used</t>
        </is>
      </c>
      <c r="H1649" s="4" t="n">
        <v>90</v>
      </c>
      <c r="I1649" t="inlineStr"/>
      <c r="J1649" t="inlineStr">
        <is>
          <t>88682 Baden-Württemberg - Salem</t>
        </is>
      </c>
      <c r="K1649" s="5" t="n">
        <v>45502</v>
      </c>
      <c r="L1649" t="inlineStr">
        <is>
          <t>Sold</t>
        </is>
      </c>
      <c r="M1649" s="6">
        <f>HYPERLINK("https://www.kleinanzeigen.de/s-anzeige/neilpryde-7-5-v8-matrix-460-windsurfing-segel/2824207409-230-9206", "Link")</f>
        <v/>
      </c>
      <c r="N1649" s="6">
        <f>HYPERLINK("C:\Projects\Kleinanzeigen-Scraper\offer_images\2824207409", "Link")</f>
        <v/>
      </c>
      <c r="O1649" t="inlineStr">
        <is>
          <t>Nicola</t>
        </is>
      </c>
      <c r="P1649" s="6">
        <f>HYPERLINK("https://www.kleinanzeigen.de/s-bestandsliste.html?userId=119149597", "Link")</f>
        <v/>
      </c>
      <c r="Q1649" s="7" t="n">
        <v>45549.57115740741</v>
      </c>
      <c r="R1649" s="3" t="inlineStr">
        <is>
          <t>71.86</t>
        </is>
      </c>
      <c r="S1649" t="inlineStr">
        <is>
          <t>Bonndorf</t>
        </is>
      </c>
    </row>
    <row r="1650">
      <c r="A1650" s="2" t="n">
        <v>5.2</v>
      </c>
      <c r="B1650" t="inlineStr">
        <is>
          <t>Gun Sails Blow</t>
        </is>
      </c>
      <c r="C1650" s="3" t="inlineStr"/>
      <c r="D1650" s="3" t="inlineStr"/>
      <c r="E1650" t="inlineStr">
        <is>
          <t>Wave</t>
        </is>
      </c>
      <c r="F1650" t="inlineStr">
        <is>
          <t>2012</t>
        </is>
      </c>
      <c r="G1650" t="inlineStr">
        <is>
          <t>used</t>
        </is>
      </c>
      <c r="H1650" s="4" t="n">
        <v>50</v>
      </c>
      <c r="I1650" t="inlineStr">
        <is>
          <t>VB</t>
        </is>
      </c>
      <c r="J1650" t="inlineStr">
        <is>
          <t>24106 Kiel - Steenbek-Projensdorf</t>
        </is>
      </c>
      <c r="K1650" s="5" t="n">
        <v>45545</v>
      </c>
      <c r="L1650" t="inlineStr"/>
      <c r="M1650" s="6">
        <f>HYPERLINK("https://www.kleinanzeigen.de/s-anzeige/gun-sails-blow-5-2-aus-2012/2859799934-230-12197", "Link")</f>
        <v/>
      </c>
      <c r="N1650" s="6">
        <f>HYPERLINK("C:\Projects\Kleinanzeigen-Scraper\offer_images\2859799934", "Link")</f>
        <v/>
      </c>
      <c r="O1650" t="inlineStr">
        <is>
          <t>Hauke</t>
        </is>
      </c>
      <c r="P1650" s="6">
        <f>HYPERLINK("https://www.kleinanzeigen.de/s-bestandsliste.html?userId=16282055", "Link")</f>
        <v/>
      </c>
      <c r="Q1650" s="7" t="n">
        <v>45549.57114583333</v>
      </c>
      <c r="R1650" s="3" t="inlineStr">
        <is>
          <t>436.03</t>
        </is>
      </c>
      <c r="S1650" t="inlineStr">
        <is>
          <t>Köln</t>
        </is>
      </c>
    </row>
    <row r="1651">
      <c r="A1651" s="2" t="n">
        <v>5</v>
      </c>
      <c r="B1651" t="inlineStr">
        <is>
          <t>Severne S1</t>
        </is>
      </c>
      <c r="C1651" s="3" t="n">
        <v>400</v>
      </c>
      <c r="D1651" s="3" t="n">
        <v>169</v>
      </c>
      <c r="E1651" t="inlineStr">
        <is>
          <t>Wave</t>
        </is>
      </c>
      <c r="F1651" t="inlineStr"/>
      <c r="G1651" t="inlineStr">
        <is>
          <t>repaired</t>
        </is>
      </c>
      <c r="H1651" s="4" t="n">
        <v>145</v>
      </c>
      <c r="I1651" t="inlineStr">
        <is>
          <t>VB</t>
        </is>
      </c>
      <c r="J1651" t="inlineStr">
        <is>
          <t>87656 Bayern - Germaringen</t>
        </is>
      </c>
      <c r="K1651" s="5" t="n">
        <v>45442</v>
      </c>
      <c r="L1651" t="inlineStr"/>
      <c r="M1651" s="6">
        <f>HYPERLINK("https://www.kleinanzeigen.de/s-anzeige/severne-s1-wave-segel-5-0/2775243213-230-7267", "Link")</f>
        <v/>
      </c>
      <c r="N1651" s="6">
        <f>HYPERLINK("C:\Projects\Kleinanzeigen-Scraper\offer_images\2775243213", "Link")</f>
        <v/>
      </c>
      <c r="O1651" t="inlineStr">
        <is>
          <t>Lena</t>
        </is>
      </c>
      <c r="P1651" s="6">
        <f>HYPERLINK("https://www.kleinanzeigen.de/s-bestandsliste.html?userId=51278280", "Link")</f>
        <v/>
      </c>
      <c r="Q1651" s="7" t="n">
        <v>45549.57113425926</v>
      </c>
      <c r="R1651" s="3" t="inlineStr">
        <is>
          <t>71.41</t>
        </is>
      </c>
      <c r="S1651" t="inlineStr">
        <is>
          <t>München</t>
        </is>
      </c>
    </row>
    <row r="1652">
      <c r="A1652" s="2" t="n">
        <v>4.7</v>
      </c>
      <c r="B1652" t="inlineStr">
        <is>
          <t>Naish Session</t>
        </is>
      </c>
      <c r="C1652" s="3" t="inlineStr"/>
      <c r="D1652" s="3" t="inlineStr"/>
      <c r="E1652" t="inlineStr">
        <is>
          <t>Wave</t>
        </is>
      </c>
      <c r="F1652" t="inlineStr"/>
      <c r="G1652" t="inlineStr">
        <is>
          <t>used, repaired</t>
        </is>
      </c>
      <c r="H1652" s="4" t="n">
        <v>99</v>
      </c>
      <c r="I1652" t="inlineStr">
        <is>
          <t>VB</t>
        </is>
      </c>
      <c r="J1652" t="inlineStr">
        <is>
          <t>94377 Bayern - Steinach b. Straubing</t>
        </is>
      </c>
      <c r="K1652" s="5" t="n">
        <v>45509</v>
      </c>
      <c r="L1652" t="inlineStr"/>
      <c r="M1652" s="6">
        <f>HYPERLINK("https://www.kleinanzeigen.de/s-anzeige/naish-session-4-7qm-segel-mit-original-autogramm-robby-naish/2829841903-230-7343", "Link")</f>
        <v/>
      </c>
      <c r="N1652" s="6">
        <f>HYPERLINK("C:\Projects\Kleinanzeigen-Scraper\offer_images\2829841903", "Link")</f>
        <v/>
      </c>
      <c r="O1652" t="inlineStr">
        <is>
          <t>M. Dendorfer</t>
        </is>
      </c>
      <c r="P1652" s="6">
        <f>HYPERLINK("https://www.kleinanzeigen.de/s-bestandsliste.html?userId=8619359", "Link")</f>
        <v/>
      </c>
      <c r="Q1652" s="7" t="n">
        <v>45549.57112268519</v>
      </c>
      <c r="R1652" s="3" t="inlineStr">
        <is>
          <t>118.60</t>
        </is>
      </c>
      <c r="S1652" t="inlineStr">
        <is>
          <t>München</t>
        </is>
      </c>
    </row>
    <row r="1653">
      <c r="A1653" s="2" t="n">
        <v>7.5</v>
      </c>
      <c r="B1653" t="inlineStr">
        <is>
          <t>SAILLOFT HAMBURG CROSS</t>
        </is>
      </c>
      <c r="C1653" s="3" t="n">
        <v>460</v>
      </c>
      <c r="D1653" s="3" t="n">
        <v>204</v>
      </c>
      <c r="E1653" t="inlineStr"/>
      <c r="F1653" t="inlineStr"/>
      <c r="G1653" t="inlineStr">
        <is>
          <t>new</t>
        </is>
      </c>
      <c r="H1653" s="4" t="n">
        <v>280</v>
      </c>
      <c r="I1653" t="inlineStr"/>
      <c r="J1653" t="inlineStr">
        <is>
          <t>19067 Parchim - Landkreis - Dobin am See</t>
        </is>
      </c>
      <c r="K1653" s="5" t="n">
        <v>45537</v>
      </c>
      <c r="L1653" t="inlineStr">
        <is>
          <t>Sold</t>
        </is>
      </c>
      <c r="M1653" s="6">
        <f>HYPERLINK("https://www.kleinanzeigen.de/s-anzeige/segel-sailloft-7-5m-neuzustand-markenqualitaet/2852369197-230-16542", "Link")</f>
        <v/>
      </c>
      <c r="N1653" s="6">
        <f>HYPERLINK("C:\Projects\Kleinanzeigen-Scraper\offer_images\2852369197", "Link")</f>
        <v/>
      </c>
      <c r="O1653" t="inlineStr">
        <is>
          <t>Ralf</t>
        </is>
      </c>
      <c r="P1653" s="6">
        <f>HYPERLINK("https://www.kleinanzeigen.de/s-bestandsliste.html?userId=24676102", "Link")</f>
        <v/>
      </c>
      <c r="Q1653" s="7" t="n">
        <v>45549.57112268519</v>
      </c>
      <c r="R1653" s="3" t="inlineStr">
        <is>
          <t>436.46</t>
        </is>
      </c>
      <c r="S1653" t="inlineStr">
        <is>
          <t>Köln</t>
        </is>
      </c>
    </row>
    <row r="1654">
      <c r="A1654" s="2" t="n">
        <v>4.7</v>
      </c>
      <c r="B1654" t="inlineStr">
        <is>
          <t>Neilpryde Combat Wave</t>
        </is>
      </c>
      <c r="C1654" s="3" t="inlineStr"/>
      <c r="D1654" s="3" t="inlineStr"/>
      <c r="E1654" t="inlineStr"/>
      <c r="F1654" t="inlineStr"/>
      <c r="G1654" t="inlineStr">
        <is>
          <t>used</t>
        </is>
      </c>
      <c r="H1654" s="4" t="n">
        <v>20</v>
      </c>
      <c r="I1654" t="inlineStr"/>
      <c r="J1654" t="inlineStr">
        <is>
          <t>41468 Nordrhein-Westfalen - Neuss</t>
        </is>
      </c>
      <c r="K1654" s="5" t="n">
        <v>45514</v>
      </c>
      <c r="L1654" t="inlineStr"/>
      <c r="M1654" s="6">
        <f>HYPERLINK("https://www.kleinanzeigen.de/s-anzeige/windsurf-segel-neilpryde-4-7-combat-wave/2833352328-230-2112", "Link")</f>
        <v/>
      </c>
      <c r="N1654" s="6">
        <f>HYPERLINK("C:\Projects\Kleinanzeigen-Scraper\offer_images\2833352328", "Link")</f>
        <v/>
      </c>
      <c r="O1654" t="inlineStr">
        <is>
          <t>Familie H</t>
        </is>
      </c>
      <c r="P1654" s="6">
        <f>HYPERLINK("https://www.kleinanzeigen.de/s-bestandsliste.html?userId=38602523", "Link")</f>
        <v/>
      </c>
      <c r="Q1654" s="7" t="n">
        <v>45549.57111111111</v>
      </c>
      <c r="R1654" s="3" t="inlineStr">
        <is>
          <t>27.78</t>
        </is>
      </c>
      <c r="S1654" t="inlineStr">
        <is>
          <t>Köln</t>
        </is>
      </c>
    </row>
    <row r="1655">
      <c r="A1655" s="2" t="n">
        <v>6</v>
      </c>
      <c r="B1655" t="inlineStr">
        <is>
          <t>Simmer Freezone</t>
        </is>
      </c>
      <c r="C1655" s="3" t="n">
        <v>430</v>
      </c>
      <c r="D1655" s="3" t="inlineStr">
        <is>
          <t>182-192</t>
        </is>
      </c>
      <c r="E1655" t="inlineStr">
        <is>
          <t>Freestyle</t>
        </is>
      </c>
      <c r="F1655" t="inlineStr"/>
      <c r="G1655" t="inlineStr">
        <is>
          <t>repaired</t>
        </is>
      </c>
      <c r="H1655" s="4" t="n">
        <v>1</v>
      </c>
      <c r="I1655" t="inlineStr">
        <is>
          <t>VB</t>
        </is>
      </c>
      <c r="J1655" t="inlineStr">
        <is>
          <t>52134 Nordrhein-Westfalen - Herzogenrath</t>
        </is>
      </c>
      <c r="K1655" s="5" t="n">
        <v>45501</v>
      </c>
      <c r="L1655" t="inlineStr">
        <is>
          <t>Sold</t>
        </is>
      </c>
      <c r="M1655" s="6">
        <f>HYPERLINK("https://www.kleinanzeigen.de/s-anzeige/simmer-freezone-6-0-freestyle-windsurf-segel/2823103460-230-1712", "Link")</f>
        <v/>
      </c>
      <c r="N1655" s="6">
        <f>HYPERLINK("C:\Projects\Kleinanzeigen-Scraper\offer_images\2823103460", "Link")</f>
        <v/>
      </c>
      <c r="O1655" t="inlineStr">
        <is>
          <t>Heuschen</t>
        </is>
      </c>
      <c r="P1655" s="6">
        <f>HYPERLINK("https://www.kleinanzeigen.de/s-bestandsliste.html?userId=26564711", "Link")</f>
        <v/>
      </c>
      <c r="Q1655" s="7" t="n">
        <v>45549.57108796296</v>
      </c>
      <c r="R1655" s="3" t="inlineStr">
        <is>
          <t>59.57</t>
        </is>
      </c>
      <c r="S1655" t="inlineStr">
        <is>
          <t>Köln</t>
        </is>
      </c>
    </row>
    <row r="1656">
      <c r="A1656" s="2" t="inlineStr"/>
      <c r="B1656" t="inlineStr">
        <is>
          <t>Naish</t>
        </is>
      </c>
      <c r="C1656" s="3" t="inlineStr"/>
      <c r="D1656" s="3" t="inlineStr"/>
      <c r="E1656" t="inlineStr"/>
      <c r="F1656" t="inlineStr"/>
      <c r="G1656" t="inlineStr">
        <is>
          <t>used</t>
        </is>
      </c>
      <c r="H1656" s="4" t="n">
        <v>10</v>
      </c>
      <c r="I1656" t="inlineStr">
        <is>
          <t>VB</t>
        </is>
      </c>
      <c r="J1656" t="inlineStr">
        <is>
          <t>93105 Bayern - Tegernheim</t>
        </is>
      </c>
      <c r="K1656" s="5" t="n">
        <v>45521</v>
      </c>
      <c r="L1656" t="inlineStr">
        <is>
          <t>Sold</t>
        </is>
      </c>
      <c r="M1656" s="6">
        <f>HYPERLINK("https://www.kleinanzeigen.de/s-anzeige/naish-segel-windsurfen/2839348390-230-7646", "Link")</f>
        <v/>
      </c>
      <c r="N1656" s="6">
        <f>HYPERLINK("C:\Projects\Kleinanzeigen-Scraper\offer_images\2839348390", "Link")</f>
        <v/>
      </c>
      <c r="O1656" t="inlineStr">
        <is>
          <t>We</t>
        </is>
      </c>
      <c r="P1656" s="6">
        <f>HYPERLINK("https://www.kleinanzeigen.de/s-bestandsliste.html?userId=125382959", "Link")</f>
        <v/>
      </c>
      <c r="Q1656" s="7" t="n">
        <v>45549.57107638889</v>
      </c>
      <c r="R1656" s="3" t="inlineStr">
        <is>
          <t>108.98</t>
        </is>
      </c>
      <c r="S1656" t="inlineStr">
        <is>
          <t>München</t>
        </is>
      </c>
    </row>
    <row r="1657">
      <c r="A1657" s="2" t="n">
        <v>4</v>
      </c>
      <c r="B1657" t="inlineStr">
        <is>
          <t>North Sails Ezzy Wave</t>
        </is>
      </c>
      <c r="C1657" s="3" t="inlineStr"/>
      <c r="D1657" s="3" t="inlineStr"/>
      <c r="E1657" t="inlineStr"/>
      <c r="F1657" t="inlineStr"/>
      <c r="G1657" t="inlineStr"/>
      <c r="H1657" s="4" t="n">
        <v>30</v>
      </c>
      <c r="I1657" t="inlineStr">
        <is>
          <t>VB</t>
        </is>
      </c>
      <c r="J1657" t="inlineStr">
        <is>
          <t>71640 Baden-Württemberg - Ludwigsburg</t>
        </is>
      </c>
      <c r="K1657" s="5" t="n">
        <v>45529</v>
      </c>
      <c r="L1657" t="inlineStr">
        <is>
          <t>Sold</t>
        </is>
      </c>
      <c r="M1657" s="6">
        <f>HYPERLINK("https://www.kleinanzeigen.de/s-anzeige/surfsegel-north-sails-ezzy-wave/2846148865-230-9063", "Link")</f>
        <v/>
      </c>
      <c r="N1657" s="6">
        <f>HYPERLINK("C:\Projects\Kleinanzeigen-Scraper\offer_images\2846148865", "Link")</f>
        <v/>
      </c>
      <c r="O1657" t="inlineStr">
        <is>
          <t>Neumann</t>
        </is>
      </c>
      <c r="P1657" s="6">
        <f>HYPERLINK("https://www.kleinanzeigen.de/s-bestandsliste.html?userId=37399470", "Link")</f>
        <v/>
      </c>
      <c r="Q1657" s="7" t="n">
        <v>45549.57107638889</v>
      </c>
      <c r="R1657" s="3" t="inlineStr">
        <is>
          <t>30.55</t>
        </is>
      </c>
      <c r="S1657" t="inlineStr">
        <is>
          <t>Böblingen</t>
        </is>
      </c>
    </row>
    <row r="1658">
      <c r="A1658" s="2" t="n">
        <v>5.2</v>
      </c>
      <c r="B1658" t="inlineStr">
        <is>
          <t>Gun Sails</t>
        </is>
      </c>
      <c r="C1658" s="3" t="inlineStr"/>
      <c r="D1658" s="3" t="inlineStr"/>
      <c r="E1658" t="inlineStr"/>
      <c r="F1658" t="inlineStr"/>
      <c r="G1658" t="inlineStr">
        <is>
          <t>new</t>
        </is>
      </c>
      <c r="H1658" s="4" t="n">
        <v>100</v>
      </c>
      <c r="I1658" t="inlineStr">
        <is>
          <t>VB</t>
        </is>
      </c>
      <c r="J1658" t="inlineStr">
        <is>
          <t>66126 Saarbrücken-West - Altenkessel</t>
        </is>
      </c>
      <c r="K1658" s="5" t="n">
        <v>45452</v>
      </c>
      <c r="L1658" t="inlineStr"/>
      <c r="M1658" s="6">
        <f>HYPERLINK("https://www.kleinanzeigen.de/s-anzeige/surfsegel-gun-sails-5-2-neuwerig/2783596612-230-391", "Link")</f>
        <v/>
      </c>
      <c r="N1658" s="6">
        <f>HYPERLINK("C:\Projects\Kleinanzeigen-Scraper\offer_images\2783596612", "Link")</f>
        <v/>
      </c>
      <c r="O1658" t="inlineStr">
        <is>
          <t>Michael</t>
        </is>
      </c>
      <c r="P1658" s="6">
        <f>HYPERLINK("https://www.kleinanzeigen.de/s-bestandsliste.html?userId=7254358", "Link")</f>
        <v/>
      </c>
      <c r="Q1658" s="7" t="n">
        <v>45549.57104166667</v>
      </c>
      <c r="R1658" s="3" t="inlineStr">
        <is>
          <t>110.89</t>
        </is>
      </c>
      <c r="S1658" t="inlineStr">
        <is>
          <t>Karlsruhe</t>
        </is>
      </c>
    </row>
    <row r="1659">
      <c r="A1659" s="2" t="n">
        <v>7.7</v>
      </c>
      <c r="B1659" t="inlineStr">
        <is>
          <t>Neilpryde H2 Racing</t>
        </is>
      </c>
      <c r="C1659" s="3" t="n">
        <v>460</v>
      </c>
      <c r="D1659" s="3" t="n">
        <v>211</v>
      </c>
      <c r="E1659" t="inlineStr">
        <is>
          <t>Racing</t>
        </is>
      </c>
      <c r="F1659" t="inlineStr"/>
      <c r="G1659" t="inlineStr">
        <is>
          <t>new</t>
        </is>
      </c>
      <c r="H1659" s="4" t="n">
        <v>350</v>
      </c>
      <c r="I1659" t="inlineStr">
        <is>
          <t>VB</t>
        </is>
      </c>
      <c r="J1659" t="inlineStr">
        <is>
          <t>01109 Dresden - Hellerberge</t>
        </is>
      </c>
      <c r="K1659" s="5" t="n">
        <v>45498</v>
      </c>
      <c r="L1659" t="inlineStr">
        <is>
          <t>Sold</t>
        </is>
      </c>
      <c r="M1659" s="6">
        <f>HYPERLINK("https://www.kleinanzeigen.de/s-anzeige/neilpryde-h2-racing-7-7-neu-surfsegel-7-7-camber/2820768565-230-24669", "Link")</f>
        <v/>
      </c>
      <c r="N1659" s="6">
        <f>HYPERLINK("C:\Projects\Kleinanzeigen-Scraper\offer_images\2820768565", "Link")</f>
        <v/>
      </c>
      <c r="O1659" t="inlineStr">
        <is>
          <t>Andreas</t>
        </is>
      </c>
      <c r="P1659" s="6">
        <f>HYPERLINK("https://www.kleinanzeigen.de/s-bestandsliste.html?userId=10879495", "Link")</f>
        <v/>
      </c>
      <c r="Q1659" s="7" t="n">
        <v>45549.57103009259</v>
      </c>
      <c r="R1659" s="3" t="inlineStr">
        <is>
          <t>366.01</t>
        </is>
      </c>
      <c r="S1659" t="inlineStr">
        <is>
          <t>München</t>
        </is>
      </c>
    </row>
    <row r="1660">
      <c r="A1660" s="2" t="n">
        <v>3.6</v>
      </c>
      <c r="B1660" t="inlineStr">
        <is>
          <t>Gun Sails Blow</t>
        </is>
      </c>
      <c r="C1660" s="3" t="n">
        <v>361</v>
      </c>
      <c r="D1660" s="3" t="n">
        <v>149</v>
      </c>
      <c r="E1660" t="inlineStr">
        <is>
          <t>Wave</t>
        </is>
      </c>
      <c r="F1660" t="inlineStr"/>
      <c r="G1660" t="inlineStr">
        <is>
          <t>used</t>
        </is>
      </c>
      <c r="H1660" s="4" t="n">
        <v>235</v>
      </c>
      <c r="I1660" t="inlineStr"/>
      <c r="J1660" t="inlineStr">
        <is>
          <t>55268 Rheinland-Pfalz - Nieder-Olm</t>
        </is>
      </c>
      <c r="K1660" s="5" t="n">
        <v>45521</v>
      </c>
      <c r="L1660" t="inlineStr">
        <is>
          <t>Sold</t>
        </is>
      </c>
      <c r="M1660" s="6">
        <f>HYPERLINK("https://www.kleinanzeigen.de/s-anzeige/gun-sails-blow-3-6-wave-und-kinder-sail/2838829485-230-5333", "Link")</f>
        <v/>
      </c>
      <c r="N1660" s="6">
        <f>HYPERLINK("C:\Projects\Kleinanzeigen-Scraper\offer_images\2838829485", "Link")</f>
        <v/>
      </c>
      <c r="O1660" t="inlineStr">
        <is>
          <t>Markus</t>
        </is>
      </c>
      <c r="P1660" s="6">
        <f>HYPERLINK("https://www.kleinanzeigen.de/s-bestandsliste.html?userId=11373238", "Link")</f>
        <v/>
      </c>
      <c r="Q1660" s="7" t="n">
        <v>45549.57101851852</v>
      </c>
      <c r="R1660" s="3" t="inlineStr">
        <is>
          <t>101.19</t>
        </is>
      </c>
      <c r="S1660" t="inlineStr">
        <is>
          <t>Karlsruhe</t>
        </is>
      </c>
    </row>
    <row r="1661">
      <c r="A1661" s="2" t="n">
        <v>8.199999999999999</v>
      </c>
      <c r="B1661" t="inlineStr">
        <is>
          <t>Sailloft Cross HR</t>
        </is>
      </c>
      <c r="C1661" s="3" t="inlineStr"/>
      <c r="D1661" s="3" t="inlineStr"/>
      <c r="E1661" t="inlineStr"/>
      <c r="F1661" t="inlineStr"/>
      <c r="G1661" t="inlineStr">
        <is>
          <t>used</t>
        </is>
      </c>
      <c r="H1661" s="4" t="n">
        <v>600</v>
      </c>
      <c r="I1661" t="inlineStr">
        <is>
          <t>VB</t>
        </is>
      </c>
      <c r="J1661" t="inlineStr">
        <is>
          <t>86343 Bayern - Königsbrunn</t>
        </is>
      </c>
      <c r="K1661" s="5" t="n">
        <v>45489</v>
      </c>
      <c r="L1661" t="inlineStr">
        <is>
          <t>Sold</t>
        </is>
      </c>
      <c r="M1661" s="6">
        <f>HYPERLINK("https://www.kleinanzeigen.de/s-anzeige/sailloft-cross-hr-8-2/2813592686-230-7034", "Link")</f>
        <v/>
      </c>
      <c r="N1661" s="6">
        <f>HYPERLINK("C:\Projects\Kleinanzeigen-Scraper\offer_images\2813592686", "Link")</f>
        <v/>
      </c>
      <c r="O1661" t="inlineStr">
        <is>
          <t>Wolfgang Dennstädt</t>
        </is>
      </c>
      <c r="P1661" s="6">
        <f>HYPERLINK("https://www.kleinanzeigen.de/s-bestandsliste.html?userId=20340449", "Link")</f>
        <v/>
      </c>
      <c r="Q1661" s="7" t="n">
        <v>45549.57100694445</v>
      </c>
      <c r="R1661" s="3" t="inlineStr">
        <is>
          <t>52.97</t>
        </is>
      </c>
      <c r="S1661" t="inlineStr">
        <is>
          <t>München</t>
        </is>
      </c>
    </row>
    <row r="1662">
      <c r="A1662" s="2" t="n">
        <v>7.3</v>
      </c>
      <c r="B1662" t="inlineStr">
        <is>
          <t>North Sails X-Type</t>
        </is>
      </c>
      <c r="C1662" s="3" t="inlineStr"/>
      <c r="D1662" s="3" t="inlineStr"/>
      <c r="E1662" t="inlineStr"/>
      <c r="F1662" t="inlineStr">
        <is>
          <t>2013</t>
        </is>
      </c>
      <c r="G1662" t="inlineStr">
        <is>
          <t>used, repaired</t>
        </is>
      </c>
      <c r="H1662" s="4" t="n">
        <v>70</v>
      </c>
      <c r="I1662" t="inlineStr">
        <is>
          <t>VB</t>
        </is>
      </c>
      <c r="J1662" t="inlineStr">
        <is>
          <t>22393 Wandsbek - Hamburg Sasel</t>
        </is>
      </c>
      <c r="K1662" s="5" t="n">
        <v>45536</v>
      </c>
      <c r="L1662" t="inlineStr">
        <is>
          <t>Sold</t>
        </is>
      </c>
      <c r="M1662" s="6">
        <f>HYPERLINK("https://www.kleinanzeigen.de/s-anzeige/north-sails-x-type-7-3/2851535839-230-18783", "Link")</f>
        <v/>
      </c>
      <c r="N1662" s="6">
        <f>HYPERLINK("C:\Projects\Kleinanzeigen-Scraper\offer_images\2851535839", "Link")</f>
        <v/>
      </c>
      <c r="O1662" t="inlineStr">
        <is>
          <t>Oliver</t>
        </is>
      </c>
      <c r="P1662" s="6">
        <f>HYPERLINK("https://www.kleinanzeigen.de/s-bestandsliste.html?userId=8582943", "Link")</f>
        <v/>
      </c>
      <c r="Q1662" s="7" t="n">
        <v>45549.57096064815</v>
      </c>
      <c r="R1662" s="3" t="inlineStr">
        <is>
          <t>370.55</t>
        </is>
      </c>
      <c r="S1662" t="inlineStr">
        <is>
          <t>Köln</t>
        </is>
      </c>
    </row>
    <row r="1663">
      <c r="A1663" s="2" t="n">
        <v>5.9</v>
      </c>
      <c r="B1663" t="inlineStr">
        <is>
          <t>Severne Freek</t>
        </is>
      </c>
      <c r="C1663" s="3" t="inlineStr"/>
      <c r="D1663" s="3" t="inlineStr"/>
      <c r="E1663" t="inlineStr"/>
      <c r="F1663" t="inlineStr"/>
      <c r="G1663" t="inlineStr">
        <is>
          <t>used</t>
        </is>
      </c>
      <c r="H1663" s="4" t="n">
        <v>290</v>
      </c>
      <c r="I1663" t="inlineStr"/>
      <c r="J1663" t="inlineStr">
        <is>
          <t>04416 Sachsen - Markkleeberg</t>
        </is>
      </c>
      <c r="K1663" s="5" t="n">
        <v>45522</v>
      </c>
      <c r="L1663" t="inlineStr"/>
      <c r="M1663" s="6">
        <f>HYPERLINK("https://www.kleinanzeigen.de/s-anzeige/windsurfsegel-severne-blade-5-3m-gebraucht/2840185771-230-3911", "Link")</f>
        <v/>
      </c>
      <c r="N1663" s="6">
        <f>HYPERLINK("C:\Projects\Kleinanzeigen-Scraper\offer_images\2840185771", "Link")</f>
        <v/>
      </c>
      <c r="O1663" t="inlineStr">
        <is>
          <t>ALL-on-SEA</t>
        </is>
      </c>
      <c r="P1663" s="6">
        <f>HYPERLINK("https://www.kleinanzeigen.de/s-bestandsliste.html?userId=67056706", "Link")</f>
        <v/>
      </c>
      <c r="Q1663" s="7" t="n">
        <v>45549.57096064815</v>
      </c>
      <c r="R1663" s="3" t="inlineStr">
        <is>
          <t>353.27</t>
        </is>
      </c>
      <c r="S1663" t="inlineStr">
        <is>
          <t>München</t>
        </is>
      </c>
    </row>
    <row r="1664">
      <c r="A1664" s="2" t="n">
        <v>7.2</v>
      </c>
      <c r="B1664" t="inlineStr">
        <is>
          <t>Gun Sails Rapid</t>
        </is>
      </c>
      <c r="C1664" s="3" t="n">
        <v>460</v>
      </c>
      <c r="D1664" s="3" t="n">
        <v>206</v>
      </c>
      <c r="E1664" t="inlineStr"/>
      <c r="F1664" t="inlineStr"/>
      <c r="G1664" t="inlineStr">
        <is>
          <t>used</t>
        </is>
      </c>
      <c r="H1664" s="4" t="n">
        <v>160</v>
      </c>
      <c r="I1664" t="inlineStr">
        <is>
          <t>VB</t>
        </is>
      </c>
      <c r="J1664" t="inlineStr">
        <is>
          <t>26603 Niedersachsen - Aurich</t>
        </is>
      </c>
      <c r="K1664" s="5" t="n">
        <v>45410</v>
      </c>
      <c r="L1664" t="inlineStr"/>
      <c r="M1664" s="6">
        <f>HYPERLINK("https://www.kleinanzeigen.de/s-anzeige/windsurfen-gun-sails-rapid-7-2-zu-verkaufen/2747911541-230-3032", "Link")</f>
        <v/>
      </c>
      <c r="N1664" s="6">
        <f>HYPERLINK("C:\Projects\Kleinanzeigen-Scraper\offer_images\2747911541", "Link")</f>
        <v/>
      </c>
      <c r="O1664" t="inlineStr">
        <is>
          <t>J. Sodeik</t>
        </is>
      </c>
      <c r="P1664" s="6">
        <f>HYPERLINK("https://www.kleinanzeigen.de/s-bestandsliste.html?userId=16489469", "Link")</f>
        <v/>
      </c>
      <c r="Q1664" s="7" t="n">
        <v>45549.57096064815</v>
      </c>
      <c r="R1664" s="3" t="inlineStr">
        <is>
          <t>284.11</t>
        </is>
      </c>
      <c r="S1664" t="inlineStr">
        <is>
          <t>Köln</t>
        </is>
      </c>
    </row>
    <row r="1665">
      <c r="A1665" s="2" t="n">
        <v>5.6</v>
      </c>
      <c r="B1665" t="inlineStr">
        <is>
          <t>Severne Freek</t>
        </is>
      </c>
      <c r="C1665" s="3" t="inlineStr"/>
      <c r="D1665" s="3" t="inlineStr"/>
      <c r="E1665" t="inlineStr"/>
      <c r="F1665" t="inlineStr">
        <is>
          <t>2017</t>
        </is>
      </c>
      <c r="G1665" t="inlineStr">
        <is>
          <t>used</t>
        </is>
      </c>
      <c r="H1665" s="4" t="n">
        <v>150</v>
      </c>
      <c r="I1665" t="inlineStr">
        <is>
          <t>VB</t>
        </is>
      </c>
      <c r="J1665" t="inlineStr">
        <is>
          <t>82327 Bayern - Tutzing</t>
        </is>
      </c>
      <c r="K1665" s="5" t="n">
        <v>45508</v>
      </c>
      <c r="L1665" t="inlineStr">
        <is>
          <t>Sold</t>
        </is>
      </c>
      <c r="M1665" s="6">
        <f>HYPERLINK("https://www.kleinanzeigen.de/s-anzeige/severne-freek-5-6qm-2017/2828941036-230-5545", "Link")</f>
        <v/>
      </c>
      <c r="N1665" s="6">
        <f>HYPERLINK("C:\Projects\Kleinanzeigen-Scraper\offer_images\2828941036", "Link")</f>
        <v/>
      </c>
      <c r="O1665" t="inlineStr">
        <is>
          <t>Privat</t>
        </is>
      </c>
      <c r="P1665" s="6">
        <f>HYPERLINK("https://www.kleinanzeigen.de/s-bestandsliste.html?userId=29917054", "Link")</f>
        <v/>
      </c>
      <c r="Q1665" s="7" t="n">
        <v>45549.5709375</v>
      </c>
      <c r="R1665" s="3" t="inlineStr">
        <is>
          <t>35.71</t>
        </is>
      </c>
      <c r="S1665" t="inlineStr">
        <is>
          <t>München</t>
        </is>
      </c>
    </row>
    <row r="1666">
      <c r="A1666" s="2" t="n">
        <v>6.8</v>
      </c>
      <c r="B1666" t="inlineStr">
        <is>
          <t>Loftsails Oxygen HD</t>
        </is>
      </c>
      <c r="C1666" s="3" t="inlineStr"/>
      <c r="D1666" s="3" t="inlineStr"/>
      <c r="E1666" t="inlineStr"/>
      <c r="F1666" t="inlineStr"/>
      <c r="G1666" t="inlineStr">
        <is>
          <t>used</t>
        </is>
      </c>
      <c r="H1666" s="4" t="n">
        <v>370</v>
      </c>
      <c r="I1666" t="inlineStr"/>
      <c r="J1666" t="inlineStr">
        <is>
          <t>84095 Kr. Landshut - Furth</t>
        </is>
      </c>
      <c r="K1666" s="5" t="n">
        <v>45537</v>
      </c>
      <c r="L1666" t="inlineStr">
        <is>
          <t>Sold</t>
        </is>
      </c>
      <c r="M1666" s="6">
        <f>HYPERLINK("https://www.kleinanzeigen.de/s-anzeige/loftsails-oxygen-hd-6-8-no-cam-freerace-windsurfsegel/2772007622-230-6398", "Link")</f>
        <v/>
      </c>
      <c r="N1666" s="6">
        <f>HYPERLINK("C:\Projects\Kleinanzeigen-Scraper\offer_images\2772007622", "Link")</f>
        <v/>
      </c>
      <c r="O1666" t="inlineStr">
        <is>
          <t>Niklas</t>
        </is>
      </c>
      <c r="P1666" s="6">
        <f>HYPERLINK("https://www.kleinanzeigen.de/s-bestandsliste.html?userId=22205576", "Link")</f>
        <v/>
      </c>
      <c r="Q1666" s="7" t="n">
        <v>45549.57092592592</v>
      </c>
      <c r="R1666" s="3" t="inlineStr">
        <is>
          <t>60.37</t>
        </is>
      </c>
      <c r="S1666" t="inlineStr">
        <is>
          <t>München</t>
        </is>
      </c>
    </row>
    <row r="1667">
      <c r="A1667" s="2" t="n">
        <v>4.5</v>
      </c>
      <c r="B1667" t="inlineStr">
        <is>
          <t>Neilpryde FLY II Pro</t>
        </is>
      </c>
      <c r="C1667" s="3" t="inlineStr"/>
      <c r="D1667" s="3" t="inlineStr"/>
      <c r="E1667" t="inlineStr"/>
      <c r="F1667" t="inlineStr">
        <is>
          <t>2024</t>
        </is>
      </c>
      <c r="G1667" t="inlineStr">
        <is>
          <t>new</t>
        </is>
      </c>
      <c r="H1667" s="4" t="n">
        <v>1.1</v>
      </c>
      <c r="I1667" t="inlineStr">
        <is>
          <t>VB</t>
        </is>
      </c>
      <c r="J1667" t="inlineStr">
        <is>
          <t>83623 Bayern - Dietramszell</t>
        </is>
      </c>
      <c r="K1667" s="5" t="n">
        <v>45539</v>
      </c>
      <c r="L1667" t="inlineStr"/>
      <c r="M1667" s="6">
        <f>HYPERLINK("https://www.kleinanzeigen.de/s-anzeige/neilpryde-fly-ii-pro-allula-2024-4-5qm/2853965172-230-6194", "Link")</f>
        <v/>
      </c>
      <c r="N1667" s="6">
        <f>HYPERLINK("C:\Projects\Kleinanzeigen-Scraper\offer_images\2853965172", "Link")</f>
        <v/>
      </c>
      <c r="O1667" t="inlineStr">
        <is>
          <t>Zellner</t>
        </is>
      </c>
      <c r="P1667" s="6">
        <f>HYPERLINK("https://www.kleinanzeigen.de/s-bestandsliste.html?userId=19280114", "Link")</f>
        <v/>
      </c>
      <c r="Q1667" s="7" t="n">
        <v>45549.57090277778</v>
      </c>
      <c r="R1667" s="3" t="inlineStr">
        <is>
          <t>31.34</t>
        </is>
      </c>
      <c r="S1667" t="inlineStr">
        <is>
          <t>München</t>
        </is>
      </c>
    </row>
    <row r="1668">
      <c r="A1668" s="2" t="n">
        <v>4</v>
      </c>
      <c r="B1668" t="inlineStr">
        <is>
          <t>Simmer Style Black Tip</t>
        </is>
      </c>
      <c r="C1668" s="3" t="n">
        <v>340</v>
      </c>
      <c r="D1668" s="3" t="n">
        <v>148</v>
      </c>
      <c r="E1668" t="inlineStr"/>
      <c r="F1668" t="inlineStr"/>
      <c r="G1668" t="inlineStr">
        <is>
          <t>used</t>
        </is>
      </c>
      <c r="H1668" s="4" t="n">
        <v>220</v>
      </c>
      <c r="I1668" t="inlineStr"/>
      <c r="J1668" t="inlineStr">
        <is>
          <t>66453 Saarland - Gersheim</t>
        </is>
      </c>
      <c r="K1668" s="5" t="n">
        <v>45413</v>
      </c>
      <c r="L1668" t="inlineStr"/>
      <c r="M1668" s="6">
        <f>HYPERLINK("https://www.kleinanzeigen.de/s-anzeige/simmer-style-black-tip-4-0-surfsegel-in-top-blacktip/2750040811-230-287", "Link")</f>
        <v/>
      </c>
      <c r="N1668" s="6">
        <f>HYPERLINK("C:\Projects\Kleinanzeigen-Scraper\offer_images\2750040811", "Link")</f>
        <v/>
      </c>
      <c r="O1668" t="inlineStr">
        <is>
          <t>Wagner Frank</t>
        </is>
      </c>
      <c r="P1668" s="6">
        <f>HYPERLINK("https://www.kleinanzeigen.de/s-bestandsliste.html?userId=16718754", "Link")</f>
        <v/>
      </c>
      <c r="Q1668" s="7" t="n">
        <v>45549.5708912037</v>
      </c>
      <c r="R1668" s="3" t="inlineStr">
        <is>
          <t>86.68</t>
        </is>
      </c>
      <c r="S1668" t="inlineStr">
        <is>
          <t>Karlsruhe</t>
        </is>
      </c>
    </row>
    <row r="1669">
      <c r="A1669" s="2" t="n">
        <v>6.5</v>
      </c>
      <c r="B1669" t="inlineStr">
        <is>
          <t>Neilpryde V6</t>
        </is>
      </c>
      <c r="C1669" s="3" t="inlineStr"/>
      <c r="D1669" s="3" t="inlineStr"/>
      <c r="E1669" t="inlineStr"/>
      <c r="F1669" t="inlineStr"/>
      <c r="G1669" t="inlineStr">
        <is>
          <t>used</t>
        </is>
      </c>
      <c r="H1669" s="4" t="n">
        <v>79</v>
      </c>
      <c r="I1669" t="inlineStr">
        <is>
          <t>VB</t>
        </is>
      </c>
      <c r="J1669" t="inlineStr">
        <is>
          <t>04249 Leipzig - Knautkleeberg-Knauthain</t>
        </is>
      </c>
      <c r="K1669" s="5" t="n">
        <v>45509</v>
      </c>
      <c r="L1669" t="inlineStr">
        <is>
          <t>Sold</t>
        </is>
      </c>
      <c r="M1669" s="6">
        <f>HYPERLINK("https://www.kleinanzeigen.de/s-anzeige/surfsegel-neilpryde-6-5-m2/2829607564-230-4252", "Link")</f>
        <v/>
      </c>
      <c r="N1669" s="6">
        <f>HYPERLINK("C:\Projects\Kleinanzeigen-Scraper\offer_images\2829607564", "Link")</f>
        <v/>
      </c>
      <c r="O1669" t="inlineStr">
        <is>
          <t>Jan</t>
        </is>
      </c>
      <c r="P1669" s="6">
        <f>HYPERLINK("https://www.kleinanzeigen.de/s-bestandsliste.html?userId=19623282", "Link")</f>
        <v/>
      </c>
      <c r="Q1669" s="7" t="n">
        <v>45549.57087962963</v>
      </c>
      <c r="R1669" s="3" t="inlineStr">
        <is>
          <t>353.31</t>
        </is>
      </c>
      <c r="S1669" t="inlineStr">
        <is>
          <t>München</t>
        </is>
      </c>
    </row>
    <row r="1670">
      <c r="A1670" s="2" t="n">
        <v>5.3</v>
      </c>
      <c r="B1670" t="inlineStr">
        <is>
          <t>North Vertigo</t>
        </is>
      </c>
      <c r="C1670" s="3" t="n">
        <v>4.4</v>
      </c>
      <c r="D1670" s="3" t="n">
        <v>1.74</v>
      </c>
      <c r="E1670" t="inlineStr"/>
      <c r="F1670" t="inlineStr"/>
      <c r="G1670" t="inlineStr">
        <is>
          <t>used</t>
        </is>
      </c>
      <c r="H1670" s="4" t="n">
        <v>47</v>
      </c>
      <c r="I1670" t="inlineStr">
        <is>
          <t>VB</t>
        </is>
      </c>
      <c r="J1670" t="inlineStr">
        <is>
          <t>89331 Bayern - Burgau</t>
        </is>
      </c>
      <c r="K1670" s="5" t="n">
        <v>45548</v>
      </c>
      <c r="L1670" t="inlineStr">
        <is>
          <t>Sold</t>
        </is>
      </c>
      <c r="M1670" s="6">
        <f>HYPERLINK("https://www.kleinanzeigen.de/s-anzeige/windsurfsegel-north-vertigo-5-3/2861878215-230-6711", "Link")</f>
        <v/>
      </c>
      <c r="N1670" s="6">
        <f>HYPERLINK("C:\Projects\Kleinanzeigen-Scraper\offer_images\2861878215", "Link")</f>
        <v/>
      </c>
      <c r="O1670" t="inlineStr">
        <is>
          <t>Jürgen Adam</t>
        </is>
      </c>
      <c r="P1670" s="6">
        <f>HYPERLINK("https://www.kleinanzeigen.de/s-bestandsliste.html?userId=4431328", "Link")</f>
        <v/>
      </c>
      <c r="Q1670" s="7" t="n">
        <v>45549.57086805555</v>
      </c>
      <c r="R1670" s="3" t="inlineStr">
        <is>
          <t>93.60</t>
        </is>
      </c>
      <c r="S1670" t="inlineStr">
        <is>
          <t>München</t>
        </is>
      </c>
    </row>
    <row r="1671">
      <c r="A1671" s="2" t="n">
        <v>9</v>
      </c>
      <c r="B1671" t="inlineStr">
        <is>
          <t>Sailloft Ultimate</t>
        </is>
      </c>
      <c r="C1671" s="3" t="n">
        <v>520</v>
      </c>
      <c r="D1671" s="3" t="inlineStr"/>
      <c r="E1671" t="inlineStr">
        <is>
          <t>Slalom</t>
        </is>
      </c>
      <c r="F1671" t="inlineStr">
        <is>
          <t>2023</t>
        </is>
      </c>
      <c r="G1671" t="inlineStr">
        <is>
          <t>new</t>
        </is>
      </c>
      <c r="H1671" s="4" t="n">
        <v>390</v>
      </c>
      <c r="I1671" t="inlineStr"/>
      <c r="J1671" t="inlineStr">
        <is>
          <t>22769 Altona - Hamburg Bahrenfeld</t>
        </is>
      </c>
      <c r="K1671" s="5" t="n">
        <v>45544</v>
      </c>
      <c r="L1671" t="inlineStr">
        <is>
          <t>Sold</t>
        </is>
      </c>
      <c r="M1671" s="6">
        <f>HYPERLINK("https://www.kleinanzeigen.de/s-anzeige/sailloft-ultimate-9-0-m-fin-foil-2023-slalom-segel-neu-/2858324000-230-26485", "Link")</f>
        <v/>
      </c>
      <c r="N1671" s="6">
        <f>HYPERLINK("C:\Projects\Kleinanzeigen-Scraper\offer_images\2858324000", "Link")</f>
        <v/>
      </c>
      <c r="O1671" t="inlineStr">
        <is>
          <t>nordlicht</t>
        </is>
      </c>
      <c r="P1671" s="6">
        <f>HYPERLINK("https://www.kleinanzeigen.de/s-bestandsliste.html?userId=86235875", "Link")</f>
        <v/>
      </c>
      <c r="Q1671" s="7" t="n">
        <v>45549.57085648148</v>
      </c>
      <c r="R1671" s="3" t="inlineStr">
        <is>
          <t>356.14</t>
        </is>
      </c>
      <c r="S1671" t="inlineStr">
        <is>
          <t>Köln</t>
        </is>
      </c>
    </row>
    <row r="1672">
      <c r="A1672" s="2" t="n">
        <v>9</v>
      </c>
      <c r="B1672" t="inlineStr">
        <is>
          <t>North (Duoton) Rebel</t>
        </is>
      </c>
      <c r="C1672" s="3" t="inlineStr"/>
      <c r="D1672" s="3" t="inlineStr"/>
      <c r="E1672" t="inlineStr"/>
      <c r="F1672" t="inlineStr"/>
      <c r="G1672" t="inlineStr">
        <is>
          <t>used</t>
        </is>
      </c>
      <c r="H1672" s="4" t="n">
        <v>100</v>
      </c>
      <c r="I1672" t="inlineStr">
        <is>
          <t>VB</t>
        </is>
      </c>
      <c r="J1672" t="inlineStr">
        <is>
          <t>23847 Schleswig-Holstein - Kastorf</t>
        </is>
      </c>
      <c r="K1672" s="5" t="n">
        <v>45541</v>
      </c>
      <c r="L1672" t="inlineStr">
        <is>
          <t>Sold</t>
        </is>
      </c>
      <c r="M1672" s="6">
        <f>HYPERLINK("https://www.kleinanzeigen.de/s-anzeige/north-duoton-rebel-9qm/2855857457-230-18809", "Link")</f>
        <v/>
      </c>
      <c r="N1672" s="6">
        <f>HYPERLINK("C:\Projects\Kleinanzeigen-Scraper\offer_images\2855857457", "Link")</f>
        <v/>
      </c>
      <c r="O1672" t="inlineStr">
        <is>
          <t>M.S</t>
        </is>
      </c>
      <c r="P1672" s="6">
        <f>HYPERLINK("https://www.kleinanzeigen.de/s-bestandsliste.html?userId=7767723", "Link")</f>
        <v/>
      </c>
      <c r="Q1672" s="7" t="n">
        <v>45549.57085648148</v>
      </c>
      <c r="R1672" s="3" t="inlineStr">
        <is>
          <t>393.54</t>
        </is>
      </c>
      <c r="S1672" t="inlineStr">
        <is>
          <t>Köln</t>
        </is>
      </c>
    </row>
    <row r="1673">
      <c r="A1673" s="2" t="n">
        <v>7.5</v>
      </c>
      <c r="B1673" t="inlineStr">
        <is>
          <t>Gun Sails Mega XS</t>
        </is>
      </c>
      <c r="C1673" s="3" t="inlineStr"/>
      <c r="D1673" s="3" t="inlineStr"/>
      <c r="E1673" t="inlineStr"/>
      <c r="F1673" t="inlineStr"/>
      <c r="G1673" t="inlineStr">
        <is>
          <t>used</t>
        </is>
      </c>
      <c r="H1673" s="4" t="n">
        <v>120</v>
      </c>
      <c r="I1673" t="inlineStr">
        <is>
          <t>VB</t>
        </is>
      </c>
      <c r="J1673" t="inlineStr">
        <is>
          <t>27726 Niedersachsen - Worpswede</t>
        </is>
      </c>
      <c r="K1673" s="5" t="n">
        <v>45438</v>
      </c>
      <c r="L1673" t="inlineStr">
        <is>
          <t>Sold</t>
        </is>
      </c>
      <c r="M1673" s="6">
        <f>HYPERLINK("https://www.kleinanzeigen.de/s-anzeige/gun-sails-mega-xs-segel-7-5/2771617777-230-2654", "Link")</f>
        <v/>
      </c>
      <c r="N1673" s="6">
        <f>HYPERLINK("C:\Projects\Kleinanzeigen-Scraper\offer_images\2771617777", "Link")</f>
        <v/>
      </c>
      <c r="O1673" t="inlineStr">
        <is>
          <t>Nils Kühtmann</t>
        </is>
      </c>
      <c r="P1673" s="6">
        <f>HYPERLINK("https://www.kleinanzeigen.de/s-bestandsliste.html?userId=15771868", "Link")</f>
        <v/>
      </c>
      <c r="Q1673" s="7" t="n">
        <v>45549.57083333333</v>
      </c>
      <c r="R1673" s="3" t="inlineStr">
        <is>
          <t>289.88</t>
        </is>
      </c>
      <c r="S1673" t="inlineStr">
        <is>
          <t>Köln</t>
        </is>
      </c>
    </row>
    <row r="1674">
      <c r="A1674" s="2" t="n">
        <v>9</v>
      </c>
      <c r="B1674" t="inlineStr">
        <is>
          <t>Severne IQ-Foil HGO</t>
        </is>
      </c>
      <c r="C1674" s="3" t="n">
        <v>4.5</v>
      </c>
      <c r="D1674" s="3" t="n">
        <v>2.21</v>
      </c>
      <c r="E1674" t="inlineStr"/>
      <c r="F1674" t="inlineStr"/>
      <c r="G1674" t="inlineStr">
        <is>
          <t>repaired</t>
        </is>
      </c>
      <c r="H1674" s="4" t="n">
        <v>80</v>
      </c>
      <c r="I1674" t="inlineStr"/>
      <c r="J1674" t="inlineStr">
        <is>
          <t>75334 Baden-Württemberg - Straubenhardt</t>
        </is>
      </c>
      <c r="K1674" s="5" t="n">
        <v>45547</v>
      </c>
      <c r="L1674" t="inlineStr">
        <is>
          <t>Sold</t>
        </is>
      </c>
      <c r="M1674" s="6">
        <f>HYPERLINK("https://www.kleinanzeigen.de/s-anzeige/severne-iq-foil-hgo-9-0-foilsegel/2861214158-230-8117", "Link")</f>
        <v/>
      </c>
      <c r="N1674" s="6">
        <f>HYPERLINK("C:\Projects\Kleinanzeigen-Scraper\offer_images\2861214158", "Link")</f>
        <v/>
      </c>
      <c r="O1674" t="inlineStr">
        <is>
          <t>Jonne</t>
        </is>
      </c>
      <c r="P1674" s="6">
        <f>HYPERLINK("https://www.kleinanzeigen.de/s-bestandsliste.html?userId=139390681", "Link")</f>
        <v/>
      </c>
      <c r="Q1674" s="7" t="n">
        <v>45549.57081018519</v>
      </c>
      <c r="R1674" s="3" t="inlineStr">
        <is>
          <t>21.11</t>
        </is>
      </c>
      <c r="S1674" t="inlineStr">
        <is>
          <t>Karlsruhe</t>
        </is>
      </c>
    </row>
    <row r="1675">
      <c r="A1675" s="2" t="n">
        <v>6.2</v>
      </c>
      <c r="B1675" t="inlineStr">
        <is>
          <t>Gun Sails</t>
        </is>
      </c>
      <c r="C1675" s="3" t="n">
        <v>4.82</v>
      </c>
      <c r="D1675" s="3" t="n">
        <v>1.93</v>
      </c>
      <c r="E1675" t="inlineStr"/>
      <c r="F1675" t="inlineStr"/>
      <c r="G1675" t="inlineStr"/>
      <c r="H1675" s="4" t="n">
        <v>50</v>
      </c>
      <c r="I1675" t="inlineStr"/>
      <c r="J1675" t="inlineStr">
        <is>
          <t>24837 Schleswig-Holstein - Schleswig</t>
        </is>
      </c>
      <c r="K1675" s="5" t="n">
        <v>45515</v>
      </c>
      <c r="L1675" t="inlineStr"/>
      <c r="M1675" s="6">
        <f>HYPERLINK("https://www.kleinanzeigen.de/s-anzeige/surf-segel-gun-sails-6-2/2834380060-230-558", "Link")</f>
        <v/>
      </c>
      <c r="N1675" s="6">
        <f>HYPERLINK("C:\Projects\Kleinanzeigen-Scraper\offer_images\2834380060", "Link")</f>
        <v/>
      </c>
      <c r="O1675" t="inlineStr">
        <is>
          <t>Stefan Hansen</t>
        </is>
      </c>
      <c r="P1675" s="6">
        <f>HYPERLINK("https://www.kleinanzeigen.de/s-bestandsliste.html?userId=39623977", "Link")</f>
        <v/>
      </c>
      <c r="Q1675" s="7" t="n">
        <v>45549.57081018519</v>
      </c>
      <c r="R1675" s="3" t="inlineStr">
        <is>
          <t>435.51</t>
        </is>
      </c>
      <c r="S1675" t="inlineStr">
        <is>
          <t>Köln</t>
        </is>
      </c>
    </row>
    <row r="1676">
      <c r="A1676" s="2" t="n">
        <v>8.6</v>
      </c>
      <c r="B1676" t="inlineStr">
        <is>
          <t>Point 7 AC One</t>
        </is>
      </c>
      <c r="C1676" s="3" t="inlineStr"/>
      <c r="D1676" s="3" t="inlineStr"/>
      <c r="E1676" t="inlineStr"/>
      <c r="F1676" t="inlineStr"/>
      <c r="G1676" t="inlineStr">
        <is>
          <t>used</t>
        </is>
      </c>
      <c r="H1676" s="4" t="n">
        <v>190</v>
      </c>
      <c r="I1676" t="inlineStr"/>
      <c r="J1676" t="inlineStr">
        <is>
          <t>81545 München - Untergiesing-Harlaching</t>
        </is>
      </c>
      <c r="K1676" s="5" t="n">
        <v>45526</v>
      </c>
      <c r="L1676" t="inlineStr"/>
      <c r="M1676" s="6">
        <f>HYPERLINK("https://www.kleinanzeigen.de/s-anzeige/point-7-ac-one-8-6-m2/2843860476-230-6429", "Link")</f>
        <v/>
      </c>
      <c r="N1676" s="6">
        <f>HYPERLINK("C:\Projects\Kleinanzeigen-Scraper\offer_images\2843860476", "Link")</f>
        <v/>
      </c>
      <c r="O1676" t="inlineStr">
        <is>
          <t>Laurent Brückner</t>
        </is>
      </c>
      <c r="P1676" s="6">
        <f>HYPERLINK("https://www.kleinanzeigen.de/s-bestandsliste.html?userId=27347213", "Link")</f>
        <v/>
      </c>
      <c r="Q1676" s="7" t="n">
        <v>45549.57081018519</v>
      </c>
      <c r="R1676" s="3" t="inlineStr">
        <is>
          <t>5.65</t>
        </is>
      </c>
      <c r="S1676" t="inlineStr">
        <is>
          <t>München</t>
        </is>
      </c>
    </row>
    <row r="1677">
      <c r="A1677" s="2" t="n">
        <v>8.1</v>
      </c>
      <c r="B1677" t="inlineStr">
        <is>
          <t>Gun Sails Stream</t>
        </is>
      </c>
      <c r="C1677" s="3" t="n">
        <v>503</v>
      </c>
      <c r="D1677" s="3" t="n">
        <v>214</v>
      </c>
      <c r="E1677" t="inlineStr">
        <is>
          <t>Freeride</t>
        </is>
      </c>
      <c r="F1677" t="inlineStr">
        <is>
          <t>2017</t>
        </is>
      </c>
      <c r="G1677" t="inlineStr">
        <is>
          <t>used</t>
        </is>
      </c>
      <c r="H1677" s="4" t="n">
        <v>200</v>
      </c>
      <c r="I1677" t="inlineStr">
        <is>
          <t>VB</t>
        </is>
      </c>
      <c r="J1677" t="inlineStr">
        <is>
          <t>23701 Kreis Ostholstein - Eutin</t>
        </is>
      </c>
      <c r="K1677" s="5" t="n">
        <v>45499</v>
      </c>
      <c r="L1677" t="inlineStr">
        <is>
          <t>Sold</t>
        </is>
      </c>
      <c r="M1677" s="6">
        <f>HYPERLINK("https://www.kleinanzeigen.de/s-anzeige/windsurfsegel-gun-sails/2821955340-230-10552", "Link")</f>
        <v/>
      </c>
      <c r="N1677" s="6">
        <f>HYPERLINK("C:\Projects\Kleinanzeigen-Scraper\offer_images\2821955340", "Link")</f>
        <v/>
      </c>
      <c r="O1677" t="inlineStr">
        <is>
          <t>Dennis</t>
        </is>
      </c>
      <c r="P1677" s="6">
        <f>HYPERLINK("https://www.kleinanzeigen.de/s-bestandsliste.html?userId=3023662", "Link")</f>
        <v/>
      </c>
      <c r="Q1677" s="7" t="n">
        <v>45549.57081018519</v>
      </c>
      <c r="R1677" s="3" t="inlineStr">
        <is>
          <t>431.90</t>
        </is>
      </c>
      <c r="S1677" t="inlineStr">
        <is>
          <t>Köln</t>
        </is>
      </c>
    </row>
    <row r="1678">
      <c r="A1678" s="2" t="n">
        <v>7.2</v>
      </c>
      <c r="B1678" t="inlineStr">
        <is>
          <t>Neilpryde Speedster</t>
        </is>
      </c>
      <c r="C1678" s="3" t="inlineStr"/>
      <c r="D1678" s="3" t="inlineStr"/>
      <c r="E1678" t="inlineStr"/>
      <c r="F1678" t="inlineStr">
        <is>
          <t>2022</t>
        </is>
      </c>
      <c r="G1678" t="inlineStr">
        <is>
          <t>used</t>
        </is>
      </c>
      <c r="H1678" s="4" t="n">
        <v>400</v>
      </c>
      <c r="I1678" t="inlineStr"/>
      <c r="J1678" t="inlineStr">
        <is>
          <t>87480 Bayern - Weitnau</t>
        </is>
      </c>
      <c r="K1678" s="5" t="n">
        <v>45545</v>
      </c>
      <c r="L1678" t="inlineStr"/>
      <c r="M1678" s="6">
        <f>HYPERLINK("https://www.kleinanzeigen.de/s-anzeige/neilpryde-speedster-7-2/2859699777-230-7628", "Link")</f>
        <v/>
      </c>
      <c r="N1678" s="6">
        <f>HYPERLINK("C:\Projects\Kleinanzeigen-Scraper\offer_images\2859699777", "Link")</f>
        <v/>
      </c>
      <c r="O1678" t="inlineStr">
        <is>
          <t>Silvan</t>
        </is>
      </c>
      <c r="P1678" s="6">
        <f>HYPERLINK("https://www.kleinanzeigen.de/s-bestandsliste.html?userId=81631153", "Link")</f>
        <v/>
      </c>
      <c r="Q1678" s="7" t="n">
        <v>45549.57078703704</v>
      </c>
      <c r="R1678" s="3" t="inlineStr">
        <is>
          <t>121.15</t>
        </is>
      </c>
      <c r="S1678" t="inlineStr">
        <is>
          <t>München</t>
        </is>
      </c>
    </row>
    <row r="1679">
      <c r="A1679" s="2" t="n">
        <v>5.7</v>
      </c>
      <c r="B1679" t="inlineStr">
        <is>
          <t>Gun Sails Impact Wave</t>
        </is>
      </c>
      <c r="C1679" s="3" t="n">
        <v>430</v>
      </c>
      <c r="D1679" s="3" t="inlineStr"/>
      <c r="E1679" t="inlineStr"/>
      <c r="F1679" t="inlineStr"/>
      <c r="G1679" t="inlineStr">
        <is>
          <t>used</t>
        </is>
      </c>
      <c r="H1679" s="4" t="n">
        <v>100</v>
      </c>
      <c r="I1679" t="inlineStr"/>
      <c r="J1679" t="inlineStr">
        <is>
          <t>59199 Nordrhein-Westfalen - Bönen</t>
        </is>
      </c>
      <c r="K1679" s="5" t="n">
        <v>45438</v>
      </c>
      <c r="L1679" t="inlineStr">
        <is>
          <t>Sold</t>
        </is>
      </c>
      <c r="M1679" s="6">
        <f>HYPERLINK("https://www.kleinanzeigen.de/s-anzeige/gun-sails-impact-wave-5-7m2-windsurfen/2771456701-230-1444", "Link")</f>
        <v/>
      </c>
      <c r="N1679" s="6">
        <f>HYPERLINK("C:\Projects\Kleinanzeigen-Scraper\offer_images\2771456701", "Link")</f>
        <v/>
      </c>
      <c r="O1679" t="inlineStr">
        <is>
          <t>R R</t>
        </is>
      </c>
      <c r="P1679" s="6">
        <f>HYPERLINK("https://www.kleinanzeigen.de/s-bestandsliste.html?userId=7416314", "Link")</f>
        <v/>
      </c>
      <c r="Q1679" s="7" t="n">
        <v>45549.57076388889</v>
      </c>
      <c r="R1679" s="3" t="inlineStr">
        <is>
          <t>91.63</t>
        </is>
      </c>
      <c r="S1679" t="inlineStr">
        <is>
          <t>Köln</t>
        </is>
      </c>
    </row>
    <row r="1680">
      <c r="A1680" s="2" t="n">
        <v>3.7</v>
      </c>
      <c r="B1680" t="inlineStr">
        <is>
          <t>Witchcraft Slayer</t>
        </is>
      </c>
      <c r="C1680" s="3" t="inlineStr"/>
      <c r="D1680" s="3" t="inlineStr"/>
      <c r="E1680" t="inlineStr"/>
      <c r="F1680" t="inlineStr"/>
      <c r="G1680" t="inlineStr">
        <is>
          <t>used</t>
        </is>
      </c>
      <c r="H1680" s="4" t="n">
        <v>230</v>
      </c>
      <c r="I1680" t="inlineStr">
        <is>
          <t>VB</t>
        </is>
      </c>
      <c r="J1680" t="inlineStr">
        <is>
          <t>41179 Mönchengladbach</t>
        </is>
      </c>
      <c r="K1680" s="5" t="n">
        <v>45548</v>
      </c>
      <c r="L1680" t="inlineStr">
        <is>
          <t>Sold</t>
        </is>
      </c>
      <c r="M1680" s="6">
        <f>HYPERLINK("https://www.dailydose.de/kleinanzeigen/detail.htm?ai=422492&amp;cf=kk&amp;pg=5&amp;ci=5", "Link")</f>
        <v/>
      </c>
      <c r="N1680" s="6">
        <f>HYPERLINK("C:\Projects\Kleinanzeigen-Scraper\offer_images\422492", "Link")</f>
        <v/>
      </c>
      <c r="O1680" t="inlineStr">
        <is>
          <t>simmo</t>
        </is>
      </c>
      <c r="P1680" s="6">
        <f>HYPERLINK("https://www.dailydose.de/kleinanzeigen/user/11649", "Link")</f>
        <v/>
      </c>
      <c r="Q1680" s="7" t="n">
        <v>45548.5525</v>
      </c>
      <c r="R1680" s="3" t="inlineStr">
        <is>
          <t>48.88</t>
        </is>
      </c>
      <c r="S1680" t="inlineStr">
        <is>
          <t>Köln</t>
        </is>
      </c>
    </row>
    <row r="1681">
      <c r="A1681" s="2" t="n">
        <v>5</v>
      </c>
      <c r="B1681" t="inlineStr">
        <is>
          <t>Severne Blade</t>
        </is>
      </c>
      <c r="C1681" s="3" t="inlineStr"/>
      <c r="D1681" s="3" t="inlineStr"/>
      <c r="E1681" t="inlineStr">
        <is>
          <t>Power Wave</t>
        </is>
      </c>
      <c r="F1681" t="inlineStr">
        <is>
          <t>2021</t>
        </is>
      </c>
      <c r="G1681" t="inlineStr">
        <is>
          <t>used</t>
        </is>
      </c>
      <c r="H1681" s="4" t="n">
        <v>290</v>
      </c>
      <c r="I1681" t="inlineStr"/>
      <c r="J1681" t="inlineStr">
        <is>
          <t>Kreta + 87629 Füssen</t>
        </is>
      </c>
      <c r="K1681" s="5" t="n">
        <v>45547</v>
      </c>
      <c r="L1681" t="inlineStr">
        <is>
          <t>Sold</t>
        </is>
      </c>
      <c r="M1681" s="6">
        <f>HYPERLINK("https://www.dailydose.de/kleinanzeigen/detail.htm?ai=422470&amp;cf=kk&amp;pg=5&amp;ci=5", "Link")</f>
        <v/>
      </c>
      <c r="N1681" s="6">
        <f>HYPERLINK("C:\Projects\Kleinanzeigen-Scraper\offer_images\422470", "Link")</f>
        <v/>
      </c>
      <c r="O1681" t="inlineStr">
        <is>
          <t>J_198</t>
        </is>
      </c>
      <c r="P1681" s="6">
        <f>HYPERLINK("https://www.dailydose.de/kleinanzeigen/user/12670", "Link")</f>
        <v/>
      </c>
      <c r="Q1681" s="7" t="n">
        <v>45548.55246527777</v>
      </c>
      <c r="R1681" s="3" t="inlineStr">
        <is>
          <t>92.19</t>
        </is>
      </c>
      <c r="S1681" t="inlineStr">
        <is>
          <t>München</t>
        </is>
      </c>
    </row>
    <row r="1682">
      <c r="A1682" s="2" t="n">
        <v>7.1</v>
      </c>
      <c r="B1682" t="inlineStr">
        <is>
          <t>GUN Sails GS-R</t>
        </is>
      </c>
      <c r="C1682" s="3" t="n">
        <v>458</v>
      </c>
      <c r="D1682" s="3" t="inlineStr">
        <is>
          <t>210/203</t>
        </is>
      </c>
      <c r="E1682" t="inlineStr"/>
      <c r="F1682" t="inlineStr"/>
      <c r="G1682" t="inlineStr">
        <is>
          <t>used</t>
        </is>
      </c>
      <c r="H1682" s="4" t="n">
        <v>250</v>
      </c>
      <c r="I1682" t="inlineStr"/>
      <c r="J1682" t="inlineStr">
        <is>
          <t>Bremen</t>
        </is>
      </c>
      <c r="K1682" s="5" t="n">
        <v>45547</v>
      </c>
      <c r="L1682" t="inlineStr">
        <is>
          <t>Sold</t>
        </is>
      </c>
      <c r="M1682" s="6">
        <f>HYPERLINK("https://www.dailydose.de/kleinanzeigen/detail.htm?ai=422481&amp;cf=kk&amp;pg=3&amp;ci=5", "Link")</f>
        <v/>
      </c>
      <c r="N1682" s="6">
        <f>HYPERLINK("C:\Projects\Kleinanzeigen-Scraper\offer_images\422481", "Link")</f>
        <v/>
      </c>
      <c r="O1682" t="inlineStr">
        <is>
          <t>Jo_150</t>
        </is>
      </c>
      <c r="P1682" s="6">
        <f>HYPERLINK("https://www.dailydose.de/kleinanzeigen/user/12342", "Link")</f>
        <v/>
      </c>
      <c r="Q1682" s="7" t="n">
        <v>45548.55243055556</v>
      </c>
      <c r="R1682" s="3" t="inlineStr">
        <is>
          <t>269.36</t>
        </is>
      </c>
      <c r="S1682" t="inlineStr">
        <is>
          <t>Köln</t>
        </is>
      </c>
    </row>
    <row r="1683">
      <c r="A1683" s="2" t="n">
        <v>6.2</v>
      </c>
      <c r="B1683" t="inlineStr">
        <is>
          <t>Gun Rapid</t>
        </is>
      </c>
      <c r="C1683" s="3" t="inlineStr"/>
      <c r="D1683" s="3" t="inlineStr"/>
      <c r="E1683" t="inlineStr"/>
      <c r="F1683" t="inlineStr"/>
      <c r="G1683" t="inlineStr">
        <is>
          <t>used</t>
        </is>
      </c>
      <c r="H1683" s="4" t="n">
        <v>99</v>
      </c>
      <c r="I1683" t="inlineStr"/>
      <c r="J1683" t="inlineStr">
        <is>
          <t>versand</t>
        </is>
      </c>
      <c r="K1683" s="5" t="n">
        <v>45548</v>
      </c>
      <c r="L1683" t="inlineStr">
        <is>
          <t>Sold</t>
        </is>
      </c>
      <c r="M1683" s="6">
        <f>HYPERLINK("https://www.dailydose.de/kleinanzeigen/detail.htm?ai=422503&amp;cf=kk&amp;pg=4&amp;ci=5", "Link")</f>
        <v/>
      </c>
      <c r="N1683" s="6">
        <f>HYPERLINK("C:\Projects\Kleinanzeigen-Scraper\offer_images\422503", "Link")</f>
        <v/>
      </c>
      <c r="O1683" t="inlineStr">
        <is>
          <t>margarethe_22</t>
        </is>
      </c>
      <c r="P1683" s="6">
        <f>HYPERLINK("https://www.dailydose.de/kleinanzeigen/user/15510", "Link")</f>
        <v/>
      </c>
      <c r="Q1683" s="7" t="n">
        <v>45548.55045138889</v>
      </c>
      <c r="R1683" s="3" t="inlineStr">
        <is>
          <t>343.40</t>
        </is>
      </c>
      <c r="S1683" t="inlineStr">
        <is>
          <t>München</t>
        </is>
      </c>
    </row>
    <row r="1684">
      <c r="A1684" s="2" t="n">
        <v>5.8</v>
      </c>
      <c r="B1684" t="inlineStr">
        <is>
          <t>Duotone Duke C11</t>
        </is>
      </c>
      <c r="C1684" s="3" t="n">
        <v>430</v>
      </c>
      <c r="D1684" s="3" t="n">
        <v>178</v>
      </c>
      <c r="E1684" t="inlineStr"/>
      <c r="F1684" t="inlineStr">
        <is>
          <t>2024</t>
        </is>
      </c>
      <c r="G1684" t="inlineStr">
        <is>
          <t>new</t>
        </is>
      </c>
      <c r="H1684" s="4" t="n">
        <v>477</v>
      </c>
      <c r="I1684" t="inlineStr"/>
      <c r="J1684" t="inlineStr">
        <is>
          <t>8402 Graz</t>
        </is>
      </c>
      <c r="K1684" s="5" t="n">
        <v>45547</v>
      </c>
      <c r="L1684" t="inlineStr">
        <is>
          <t>Sold</t>
        </is>
      </c>
      <c r="M1684" s="6">
        <f>HYPERLINK("https://www.dailydose.de/kleinanzeigen/detail.htm?ai=422466&amp;cf=kk&amp;pg=5&amp;ci=5", "Link")</f>
        <v/>
      </c>
      <c r="N1684" s="6">
        <f>HYPERLINK("C:\Projects\Kleinanzeigen-Scraper\offer_images\422466", "Link")</f>
        <v/>
      </c>
      <c r="O1684" t="inlineStr">
        <is>
          <t>Mario_117</t>
        </is>
      </c>
      <c r="P1684" s="6">
        <f>HYPERLINK("https://www.dailydose.de/kleinanzeigen/user/16485", "Link")</f>
        <v/>
      </c>
      <c r="Q1684" s="7" t="n">
        <v>45548.55006944444</v>
      </c>
      <c r="R1684" s="3" t="inlineStr">
        <is>
          <t>313.03</t>
        </is>
      </c>
      <c r="S1684" t="inlineStr">
        <is>
          <t>München</t>
        </is>
      </c>
    </row>
    <row r="1685">
      <c r="A1685" s="2" t="n">
        <v>4.2</v>
      </c>
      <c r="B1685" t="inlineStr">
        <is>
          <t>Gun Sails Transwave</t>
        </is>
      </c>
      <c r="C1685" s="3" t="inlineStr"/>
      <c r="D1685" s="3" t="inlineStr"/>
      <c r="E1685" t="inlineStr"/>
      <c r="F1685" t="inlineStr"/>
      <c r="G1685" t="inlineStr">
        <is>
          <t>used</t>
        </is>
      </c>
      <c r="H1685" s="4" t="n">
        <v>79</v>
      </c>
      <c r="I1685" t="inlineStr">
        <is>
          <t>VB</t>
        </is>
      </c>
      <c r="J1685" t="inlineStr">
        <is>
          <t>40221 Düsseldorf - Unterbilk</t>
        </is>
      </c>
      <c r="K1685" s="5" t="n">
        <v>45547</v>
      </c>
      <c r="L1685" t="inlineStr">
        <is>
          <t>Sold</t>
        </is>
      </c>
      <c r="M1685" s="6">
        <f>HYPERLINK("https://www.kleinanzeigen.de/s-anzeige/windsurf-segel-gun-sails-transwave-4-2-qm-full-x-ply/2860927026-230-29950", "Link")</f>
        <v/>
      </c>
      <c r="N1685" s="6">
        <f>HYPERLINK("C:\Projects\Kleinanzeigen-Scraper\offer_images\2860927026", "Link")</f>
        <v/>
      </c>
      <c r="O1685" t="inlineStr">
        <is>
          <t>So_oder_So</t>
        </is>
      </c>
      <c r="P1685" s="6">
        <f>HYPERLINK("https://www.kleinanzeigen.de/s-bestandsliste.html?userId=62512814", "Link")</f>
        <v/>
      </c>
      <c r="Q1685" s="7" t="n">
        <v>45548.54953703703</v>
      </c>
      <c r="R1685" s="3" t="inlineStr">
        <is>
          <t>32.31</t>
        </is>
      </c>
      <c r="S1685" t="inlineStr">
        <is>
          <t>Köln</t>
        </is>
      </c>
    </row>
    <row r="1686">
      <c r="A1686" s="2" t="n">
        <v>7.3</v>
      </c>
      <c r="B1686" t="inlineStr">
        <is>
          <t>Attack</t>
        </is>
      </c>
      <c r="C1686" s="3" t="n">
        <v>490</v>
      </c>
      <c r="D1686" s="3" t="n">
        <v>230</v>
      </c>
      <c r="E1686" t="inlineStr"/>
      <c r="F1686" t="inlineStr"/>
      <c r="G1686" t="inlineStr">
        <is>
          <t>used</t>
        </is>
      </c>
      <c r="H1686" s="4" t="n">
        <v>100</v>
      </c>
      <c r="I1686" t="inlineStr">
        <is>
          <t>VB</t>
        </is>
      </c>
      <c r="J1686" t="inlineStr">
        <is>
          <t>40221 Düsseldorf - Unterbilk</t>
        </is>
      </c>
      <c r="K1686" s="5" t="n">
        <v>45547</v>
      </c>
      <c r="L1686" t="inlineStr">
        <is>
          <t>Sold</t>
        </is>
      </c>
      <c r="M1686" s="6">
        <f>HYPERLINK("https://www.kleinanzeigen.de/s-anzeige/windsurf-segel-freeride-slalom-7-3-qm/2860972676-230-29950", "Link")</f>
        <v/>
      </c>
      <c r="N1686" s="6">
        <f>HYPERLINK("C:\Projects\Kleinanzeigen-Scraper\offer_images\2860972676", "Link")</f>
        <v/>
      </c>
      <c r="O1686" t="inlineStr">
        <is>
          <t>So_oder_So</t>
        </is>
      </c>
      <c r="P1686" s="6">
        <f>HYPERLINK("https://www.kleinanzeigen.de/s-bestandsliste.html?userId=62512814", "Link")</f>
        <v/>
      </c>
      <c r="Q1686" s="7" t="n">
        <v>45548.54918981482</v>
      </c>
      <c r="R1686" s="3" t="inlineStr">
        <is>
          <t>32.31</t>
        </is>
      </c>
      <c r="S1686" t="inlineStr">
        <is>
          <t>Köln</t>
        </is>
      </c>
    </row>
    <row r="1687">
      <c r="A1687" s="2" t="n">
        <v>6.2</v>
      </c>
      <c r="B1687" t="inlineStr">
        <is>
          <t>FANATIC Fun Wing</t>
        </is>
      </c>
      <c r="C1687" s="3" t="n">
        <v>4.8</v>
      </c>
      <c r="D1687" s="3" t="n">
        <v>2</v>
      </c>
      <c r="E1687" t="inlineStr"/>
      <c r="F1687" t="inlineStr"/>
      <c r="G1687" t="inlineStr">
        <is>
          <t>used</t>
        </is>
      </c>
      <c r="H1687" s="4" t="n">
        <v>139</v>
      </c>
      <c r="I1687" t="inlineStr"/>
      <c r="J1687" t="inlineStr">
        <is>
          <t>37124 Niedersachsen - Rosdorf</t>
        </is>
      </c>
      <c r="K1687" s="5" t="n">
        <v>45547</v>
      </c>
      <c r="L1687" t="inlineStr">
        <is>
          <t>Sold</t>
        </is>
      </c>
      <c r="M1687" s="6">
        <f>HYPERLINK("https://www.kleinanzeigen.de/s-anzeige/windsurf-segel-fanatic-fun-wing-kaum-genutzt-6-2-qm-2082-/2165848800-211-3133", "Link")</f>
        <v/>
      </c>
      <c r="N1687" s="6">
        <f>HYPERLINK("C:\Projects\Kleinanzeigen-Scraper\offer_images\2165848800", "Link")</f>
        <v/>
      </c>
      <c r="O1687" t="inlineStr">
        <is>
          <t>No user name</t>
        </is>
      </c>
      <c r="P1687" s="6">
        <f>HYPERLINK("https://www.kleinanzeigen.deNo user link", "Link")</f>
        <v/>
      </c>
      <c r="Q1687" s="7" t="n">
        <v>45548.54918981482</v>
      </c>
      <c r="R1687" s="3" t="inlineStr">
        <is>
          <t>214.72</t>
        </is>
      </c>
      <c r="S1687" t="inlineStr">
        <is>
          <t>Köln</t>
        </is>
      </c>
    </row>
    <row r="1688">
      <c r="A1688" s="2" t="n">
        <v>5</v>
      </c>
      <c r="B1688" t="inlineStr">
        <is>
          <t>Gaastra Pilot</t>
        </is>
      </c>
      <c r="C1688" s="3" t="inlineStr"/>
      <c r="D1688" s="3" t="inlineStr"/>
      <c r="E1688" t="inlineStr"/>
      <c r="F1688" t="inlineStr">
        <is>
          <t>2012</t>
        </is>
      </c>
      <c r="G1688" t="inlineStr">
        <is>
          <t>used</t>
        </is>
      </c>
      <c r="H1688" s="4" t="n">
        <v>35</v>
      </c>
      <c r="I1688" t="inlineStr">
        <is>
          <t>VB</t>
        </is>
      </c>
      <c r="J1688" t="inlineStr">
        <is>
          <t>24939 Schleswig-Holstein - Flensburg</t>
        </is>
      </c>
      <c r="K1688" s="5" t="n">
        <v>45547</v>
      </c>
      <c r="L1688" t="inlineStr">
        <is>
          <t>Sold</t>
        </is>
      </c>
      <c r="M1688" s="6">
        <f>HYPERLINK("https://www.kleinanzeigen.de/s-anzeige/windsurf-segel-gaastra-5qm/2861570993-230-717", "Link")</f>
        <v/>
      </c>
      <c r="N1688" s="6">
        <f>HYPERLINK("C:\Projects\Kleinanzeigen-Scraper\offer_images\2861570993", "Link")</f>
        <v/>
      </c>
      <c r="O1688" t="inlineStr">
        <is>
          <t>Jan</t>
        </is>
      </c>
      <c r="P1688" s="6">
        <f>HYPERLINK("https://www.kleinanzeigen.de/s-bestandsliste.html?userId=52543514", "Link")</f>
        <v/>
      </c>
      <c r="Q1688" s="7" t="n">
        <v>45548.54909722223</v>
      </c>
      <c r="R1688" s="3" t="inlineStr">
        <is>
          <t>460.36</t>
        </is>
      </c>
      <c r="S1688" t="inlineStr">
        <is>
          <t>Köln</t>
        </is>
      </c>
    </row>
    <row r="1689">
      <c r="A1689" s="2" t="n">
        <v>4.2</v>
      </c>
      <c r="B1689" t="inlineStr">
        <is>
          <t>Naish Outlaw</t>
        </is>
      </c>
      <c r="C1689" s="3" t="inlineStr"/>
      <c r="D1689" s="3" t="inlineStr"/>
      <c r="E1689" t="inlineStr"/>
      <c r="F1689" t="inlineStr"/>
      <c r="G1689" t="inlineStr">
        <is>
          <t>used</t>
        </is>
      </c>
      <c r="H1689" s="4" t="n">
        <v>70</v>
      </c>
      <c r="I1689" t="inlineStr">
        <is>
          <t>VB</t>
        </is>
      </c>
      <c r="J1689" t="inlineStr">
        <is>
          <t>40221 Düsseldorf - Unterbilk</t>
        </is>
      </c>
      <c r="K1689" s="5" t="n">
        <v>45547</v>
      </c>
      <c r="L1689" t="inlineStr">
        <is>
          <t>Sold</t>
        </is>
      </c>
      <c r="M1689" s="6">
        <f>HYPERLINK("https://www.kleinanzeigen.de/s-anzeige/windsurf-segel-naish-outlaw-4-2-qm/2860912354-230-29950", "Link")</f>
        <v/>
      </c>
      <c r="N1689" s="6">
        <f>HYPERLINK("C:\Projects\Kleinanzeigen-Scraper\offer_images\2860912354", "Link")</f>
        <v/>
      </c>
      <c r="O1689" t="inlineStr">
        <is>
          <t>So_oder_So</t>
        </is>
      </c>
      <c r="P1689" s="6">
        <f>HYPERLINK("https://www.kleinanzeigen.de/s-bestandsliste.html?userId=62512814", "Link")</f>
        <v/>
      </c>
      <c r="Q1689" s="7" t="n">
        <v>45548.54884259259</v>
      </c>
      <c r="R1689" s="3" t="inlineStr">
        <is>
          <t>32.31</t>
        </is>
      </c>
      <c r="S1689" t="inlineStr">
        <is>
          <t>Köln</t>
        </is>
      </c>
    </row>
    <row r="1690">
      <c r="A1690" s="2" t="n">
        <v>5</v>
      </c>
      <c r="B1690" t="inlineStr">
        <is>
          <t>GAASTRA FREESTYLE</t>
        </is>
      </c>
      <c r="C1690" s="3" t="inlineStr"/>
      <c r="D1690" s="3" t="inlineStr"/>
      <c r="E1690" t="inlineStr">
        <is>
          <t>Freestyle</t>
        </is>
      </c>
      <c r="F1690" t="inlineStr">
        <is>
          <t>1993</t>
        </is>
      </c>
      <c r="G1690" t="inlineStr">
        <is>
          <t>used</t>
        </is>
      </c>
      <c r="H1690" s="4" t="n">
        <v>25</v>
      </c>
      <c r="I1690" t="inlineStr"/>
      <c r="J1690" t="inlineStr">
        <is>
          <t>73457 Baden-Württemberg - Essingen</t>
        </is>
      </c>
      <c r="K1690" s="5" t="n">
        <v>45547</v>
      </c>
      <c r="L1690" t="inlineStr"/>
      <c r="M1690" s="6">
        <f>HYPERLINK("https://www.kleinanzeigen.de/s-anzeige/gaastra-freestyle-5-0-windsurfsegel/2861004053-230-9081", "Link")</f>
        <v/>
      </c>
      <c r="N1690" s="6">
        <f>HYPERLINK("C:\Projects\Kleinanzeigen-Scraper\offer_images\2861004053", "Link")</f>
        <v/>
      </c>
      <c r="O1690" t="inlineStr">
        <is>
          <t>Bia</t>
        </is>
      </c>
      <c r="P1690" s="6">
        <f>HYPERLINK("https://www.kleinanzeigen.de/s-bestandsliste.html?userId=37409788", "Link")</f>
        <v/>
      </c>
      <c r="Q1690" s="7" t="n">
        <v>45548.54880787037</v>
      </c>
      <c r="R1690" s="3" t="inlineStr">
        <is>
          <t>78.43</t>
        </is>
      </c>
      <c r="S1690" t="inlineStr">
        <is>
          <t>Böblingen</t>
        </is>
      </c>
    </row>
    <row r="1691">
      <c r="A1691" s="2" t="n">
        <v>8</v>
      </c>
      <c r="B1691" t="inlineStr">
        <is>
          <t>Patrik GT3</t>
        </is>
      </c>
      <c r="C1691" s="3" t="n">
        <v>490</v>
      </c>
      <c r="D1691" s="3" t="n">
        <v>205</v>
      </c>
      <c r="E1691" t="inlineStr">
        <is>
          <t>freerace</t>
        </is>
      </c>
      <c r="F1691" t="inlineStr">
        <is>
          <t>2024</t>
        </is>
      </c>
      <c r="G1691" t="inlineStr">
        <is>
          <t>new</t>
        </is>
      </c>
      <c r="H1691" s="4" t="n">
        <v>440</v>
      </c>
      <c r="I1691" t="inlineStr"/>
      <c r="J1691" t="inlineStr">
        <is>
          <t>47803 Krefeld &amp; Holland</t>
        </is>
      </c>
      <c r="K1691" s="5" t="n">
        <v>45546</v>
      </c>
      <c r="L1691" t="inlineStr">
        <is>
          <t>Sold</t>
        </is>
      </c>
      <c r="M1691" s="6">
        <f>HYPERLINK("https://www.dailydose.de/kleinanzeigen/detail.htm?ai=422429&amp;cf=kk&amp;pg=3&amp;ci=5", "Link")</f>
        <v/>
      </c>
      <c r="N1691" s="6">
        <f>HYPERLINK("C:\Projects\Kleinanzeigen-Scraper\offer_images\422429", "Link")</f>
        <v/>
      </c>
      <c r="O1691" t="inlineStr">
        <is>
          <t>Matthias_4</t>
        </is>
      </c>
      <c r="P1691" s="6">
        <f>HYPERLINK("https://www.dailydose.de/kleinanzeigen/user/25579", "Link")</f>
        <v/>
      </c>
      <c r="Q1691" s="7" t="n">
        <v>45547.55598379629</v>
      </c>
      <c r="R1691" s="3" t="inlineStr">
        <is>
          <t>53.61</t>
        </is>
      </c>
      <c r="S1691" t="inlineStr">
        <is>
          <t>Köln</t>
        </is>
      </c>
    </row>
    <row r="1692">
      <c r="A1692" s="2" t="n">
        <v>8</v>
      </c>
      <c r="B1692" t="inlineStr">
        <is>
          <t>Severne Hyper Glide 6</t>
        </is>
      </c>
      <c r="C1692" s="3" t="n">
        <v>490</v>
      </c>
      <c r="D1692" s="3" t="n">
        <v>208</v>
      </c>
      <c r="E1692" t="inlineStr"/>
      <c r="F1692" t="inlineStr">
        <is>
          <t>2023</t>
        </is>
      </c>
      <c r="G1692" t="inlineStr">
        <is>
          <t>used</t>
        </is>
      </c>
      <c r="H1692" s="4" t="n">
        <v>779</v>
      </c>
      <c r="I1692" t="inlineStr">
        <is>
          <t>VB</t>
        </is>
      </c>
      <c r="J1692" t="inlineStr">
        <is>
          <t>24217 Wisch</t>
        </is>
      </c>
      <c r="K1692" s="5" t="n">
        <v>45547</v>
      </c>
      <c r="L1692" t="inlineStr">
        <is>
          <t>Sold</t>
        </is>
      </c>
      <c r="M1692" s="6">
        <f>HYPERLINK("https://www.dailydose.de/kleinanzeigen/detail.htm?ai=422455&amp;cf=kk&amp;pg=5&amp;ci=5", "Link")</f>
        <v/>
      </c>
      <c r="N1692" s="6">
        <f>HYPERLINK("C:\Projects\Kleinanzeigen-Scraper\offer_images\422455", "Link")</f>
        <v/>
      </c>
      <c r="O1692" t="inlineStr">
        <is>
          <t>MenoBuechler</t>
        </is>
      </c>
      <c r="P1692" s="6">
        <f>HYPERLINK("https://www.dailydose.de/kleinanzeigen/user/26395", "Link")</f>
        <v/>
      </c>
      <c r="Q1692" s="7" t="n">
        <v>45547.55591435185</v>
      </c>
      <c r="R1692" s="3" t="inlineStr">
        <is>
          <t>447.79</t>
        </is>
      </c>
      <c r="S1692" t="inlineStr">
        <is>
          <t>Köln</t>
        </is>
      </c>
    </row>
    <row r="1693">
      <c r="A1693" s="2" t="n">
        <v>7.2</v>
      </c>
      <c r="B1693" t="inlineStr">
        <is>
          <t>Gaastra Vapor</t>
        </is>
      </c>
      <c r="C1693" s="3" t="inlineStr"/>
      <c r="D1693" s="3" t="inlineStr"/>
      <c r="E1693" t="inlineStr"/>
      <c r="F1693" t="inlineStr"/>
      <c r="G1693" t="inlineStr">
        <is>
          <t>used</t>
        </is>
      </c>
      <c r="H1693" s="4" t="n">
        <v>340</v>
      </c>
      <c r="I1693" t="inlineStr"/>
      <c r="J1693" t="inlineStr">
        <is>
          <t>30855 Langenhagen</t>
        </is>
      </c>
      <c r="K1693" s="5" t="n">
        <v>45547</v>
      </c>
      <c r="L1693" t="inlineStr">
        <is>
          <t>Sold</t>
        </is>
      </c>
      <c r="M1693" s="6">
        <f>HYPERLINK("https://www.dailydose.de/kleinanzeigen/detail.htm?ai=422442&amp;cf=kk&amp;pg=5&amp;ci=5", "Link")</f>
        <v/>
      </c>
      <c r="N1693" s="6">
        <f>HYPERLINK("C:\Projects\Kleinanzeigen-Scraper\offer_images\422442", "Link")</f>
        <v/>
      </c>
      <c r="O1693" t="inlineStr">
        <is>
          <t>h_81</t>
        </is>
      </c>
      <c r="P1693" s="6">
        <f>HYPERLINK("https://www.dailydose.de/kleinanzeigen/user/10786", "Link")</f>
        <v/>
      </c>
      <c r="Q1693" s="7" t="n">
        <v>45547.55443287037</v>
      </c>
      <c r="R1693" s="3" t="inlineStr">
        <is>
          <t>255.34</t>
        </is>
      </c>
      <c r="S1693" t="inlineStr">
        <is>
          <t>Köln</t>
        </is>
      </c>
    </row>
    <row r="1694">
      <c r="A1694" s="2" t="n">
        <v>8.199999999999999</v>
      </c>
      <c r="B1694" t="inlineStr">
        <is>
          <t>Neilpryde Diablo</t>
        </is>
      </c>
      <c r="C1694" s="3" t="n">
        <v>496</v>
      </c>
      <c r="D1694" s="3" t="n">
        <v>235</v>
      </c>
      <c r="E1694" t="inlineStr">
        <is>
          <t>FreeRace, FreeRide</t>
        </is>
      </c>
      <c r="F1694" t="inlineStr"/>
      <c r="G1694" t="inlineStr">
        <is>
          <t>used</t>
        </is>
      </c>
      <c r="H1694" s="4" t="n">
        <v>135</v>
      </c>
      <c r="I1694" t="inlineStr"/>
      <c r="J1694" t="inlineStr">
        <is>
          <t>12527 Berlin</t>
        </is>
      </c>
      <c r="K1694" s="5" t="n">
        <v>45546</v>
      </c>
      <c r="L1694" t="inlineStr">
        <is>
          <t>Sold</t>
        </is>
      </c>
      <c r="M1694" s="6">
        <f>HYPERLINK("https://www.dailydose.de/kleinanzeigen/detail.htm?ai=422409&amp;cf=kk&amp;pg=5&amp;ci=5", "Link")</f>
        <v/>
      </c>
      <c r="N1694" s="6">
        <f>HYPERLINK("C:\Projects\Kleinanzeigen-Scraper\offer_images\422409", "Link")</f>
        <v/>
      </c>
      <c r="O1694" t="inlineStr">
        <is>
          <t>newt3</t>
        </is>
      </c>
      <c r="P1694" s="6">
        <f>HYPERLINK("https://www.dailydose.de/kleinanzeigen/user/22148", "Link")</f>
        <v/>
      </c>
      <c r="Q1694" s="7" t="n">
        <v>45547.55421296296</v>
      </c>
      <c r="R1694" s="3" t="inlineStr">
        <is>
          <t>487.71</t>
        </is>
      </c>
      <c r="S1694" t="inlineStr">
        <is>
          <t>Köln</t>
        </is>
      </c>
    </row>
    <row r="1695">
      <c r="A1695" s="2" t="n">
        <v>8.5</v>
      </c>
      <c r="B1695" t="inlineStr">
        <is>
          <t>Tushingham Bolt</t>
        </is>
      </c>
      <c r="C1695" s="3" t="n">
        <v>4.95</v>
      </c>
      <c r="D1695" s="3" t="n">
        <v>224</v>
      </c>
      <c r="E1695" t="inlineStr"/>
      <c r="F1695" t="inlineStr"/>
      <c r="G1695" t="inlineStr">
        <is>
          <t>used</t>
        </is>
      </c>
      <c r="H1695" s="4" t="n">
        <v>299</v>
      </c>
      <c r="I1695" t="inlineStr">
        <is>
          <t>VB</t>
        </is>
      </c>
      <c r="J1695" t="inlineStr">
        <is>
          <t>22851 Norderstedt</t>
        </is>
      </c>
      <c r="K1695" s="5" t="n">
        <v>45546</v>
      </c>
      <c r="L1695" t="inlineStr">
        <is>
          <t>Sold</t>
        </is>
      </c>
      <c r="M1695" s="6">
        <f>HYPERLINK("https://www.dailydose.de/kleinanzeigen/detail.htm?ai=422417&amp;cf=kk&amp;pg=5&amp;ci=5", "Link")</f>
        <v/>
      </c>
      <c r="N1695" s="6">
        <f>HYPERLINK("C:\Projects\Kleinanzeigen-Scraper\offer_images\422417", "Link")</f>
        <v/>
      </c>
      <c r="O1695" t="inlineStr">
        <is>
          <t>Suse_91</t>
        </is>
      </c>
      <c r="P1695" s="6">
        <f>HYPERLINK("https://www.dailydose.de/kleinanzeigen/user/21775", "Link")</f>
        <v/>
      </c>
      <c r="Q1695" s="7" t="n">
        <v>45547.55399305555</v>
      </c>
      <c r="R1695" s="3" t="inlineStr">
        <is>
          <t>372.21</t>
        </is>
      </c>
      <c r="S1695" t="inlineStr">
        <is>
          <t>Köln</t>
        </is>
      </c>
    </row>
    <row r="1696">
      <c r="A1696" s="2" t="n">
        <v>4.7</v>
      </c>
      <c r="B1696" t="inlineStr">
        <is>
          <t>GA Sails Manic</t>
        </is>
      </c>
      <c r="C1696" s="3" t="inlineStr"/>
      <c r="D1696" s="3" t="inlineStr"/>
      <c r="E1696" t="inlineStr"/>
      <c r="F1696" t="inlineStr"/>
      <c r="G1696" t="inlineStr">
        <is>
          <t>used</t>
        </is>
      </c>
      <c r="H1696" s="4" t="n">
        <v>180</v>
      </c>
      <c r="I1696" t="inlineStr"/>
      <c r="J1696" t="inlineStr">
        <is>
          <t>Kiel, HH, DK</t>
        </is>
      </c>
      <c r="K1696" s="5" t="n">
        <v>45547</v>
      </c>
      <c r="L1696" t="inlineStr">
        <is>
          <t>Sold</t>
        </is>
      </c>
      <c r="M1696" s="6">
        <f>HYPERLINK("https://www.dailydose.de/kleinanzeigen/detail.htm?ai=422446&amp;cf=kk&amp;pg=4&amp;ci=5", "Link")</f>
        <v/>
      </c>
      <c r="N1696" s="6">
        <f>HYPERLINK("C:\Projects\Kleinanzeigen-Scraper\offer_images\422446", "Link")</f>
        <v/>
      </c>
      <c r="O1696" t="inlineStr">
        <is>
          <t>Strand</t>
        </is>
      </c>
      <c r="P1696" s="6">
        <f>HYPERLINK("https://www.dailydose.de/kleinanzeigen/user/2078", "Link")</f>
        <v/>
      </c>
      <c r="Q1696" s="7" t="n">
        <v>45547.55369212963</v>
      </c>
      <c r="R1696" s="3" t="inlineStr">
        <is>
          <t>435.55</t>
        </is>
      </c>
      <c r="S1696" t="inlineStr">
        <is>
          <t>Köln</t>
        </is>
      </c>
    </row>
    <row r="1697">
      <c r="A1697" s="2" t="n">
        <v>6.7</v>
      </c>
      <c r="B1697" t="inlineStr">
        <is>
          <t>Gun Sail Rapid</t>
        </is>
      </c>
      <c r="C1697" s="3" t="n">
        <v>455</v>
      </c>
      <c r="D1697" s="3" t="inlineStr">
        <is>
          <t>198-205</t>
        </is>
      </c>
      <c r="E1697" t="inlineStr"/>
      <c r="F1697" t="inlineStr">
        <is>
          <t>2022</t>
        </is>
      </c>
      <c r="G1697" t="inlineStr">
        <is>
          <t>new</t>
        </is>
      </c>
      <c r="H1697" s="4" t="n">
        <v>320</v>
      </c>
      <c r="I1697" t="inlineStr"/>
      <c r="J1697" t="inlineStr">
        <is>
          <t>30855 Langenhagen</t>
        </is>
      </c>
      <c r="K1697" s="5" t="n">
        <v>45547</v>
      </c>
      <c r="L1697" t="inlineStr">
        <is>
          <t>Sold</t>
        </is>
      </c>
      <c r="M1697" s="6">
        <f>HYPERLINK("https://www.dailydose.de/kleinanzeigen/detail.htm?ai=422438&amp;cf=kk&amp;pg=5&amp;ci=5", "Link")</f>
        <v/>
      </c>
      <c r="N1697" s="6">
        <f>HYPERLINK("C:\Projects\Kleinanzeigen-Scraper\offer_images\422438", "Link")</f>
        <v/>
      </c>
      <c r="O1697" t="inlineStr">
        <is>
          <t>h_81</t>
        </is>
      </c>
      <c r="P1697" s="6">
        <f>HYPERLINK("https://www.dailydose.de/kleinanzeigen/user/10786", "Link")</f>
        <v/>
      </c>
      <c r="Q1697" s="7" t="n">
        <v>45547.55314814814</v>
      </c>
      <c r="R1697" s="3" t="inlineStr">
        <is>
          <t>255.34</t>
        </is>
      </c>
      <c r="S1697" t="inlineStr">
        <is>
          <t>Köln</t>
        </is>
      </c>
    </row>
    <row r="1698">
      <c r="A1698" s="2" t="n">
        <v>8</v>
      </c>
      <c r="B1698" t="inlineStr">
        <is>
          <t>Gaastra Vapor</t>
        </is>
      </c>
      <c r="C1698" s="3" t="inlineStr"/>
      <c r="D1698" s="3" t="inlineStr"/>
      <c r="E1698" t="inlineStr"/>
      <c r="F1698" t="inlineStr"/>
      <c r="G1698" t="inlineStr">
        <is>
          <t>used</t>
        </is>
      </c>
      <c r="H1698" s="4" t="n">
        <v>290</v>
      </c>
      <c r="I1698" t="inlineStr"/>
      <c r="J1698" t="inlineStr">
        <is>
          <t>30855 Langenhagen</t>
        </is>
      </c>
      <c r="K1698" s="5" t="n">
        <v>45547</v>
      </c>
      <c r="L1698" t="inlineStr">
        <is>
          <t>Sold</t>
        </is>
      </c>
      <c r="M1698" s="6">
        <f>HYPERLINK("https://www.dailydose.de/kleinanzeigen/detail.htm?ai=422441&amp;cf=kk&amp;pg=5&amp;ci=5", "Link")</f>
        <v/>
      </c>
      <c r="N1698" s="6">
        <f>HYPERLINK("C:\Projects\Kleinanzeigen-Scraper\offer_images\422441", "Link")</f>
        <v/>
      </c>
      <c r="O1698" t="inlineStr">
        <is>
          <t>h_81</t>
        </is>
      </c>
      <c r="P1698" s="6">
        <f>HYPERLINK("https://www.dailydose.de/kleinanzeigen/user/10786", "Link")</f>
        <v/>
      </c>
      <c r="Q1698" s="7" t="n">
        <v>45547.5525</v>
      </c>
      <c r="R1698" s="3" t="inlineStr">
        <is>
          <t>255.34</t>
        </is>
      </c>
      <c r="S1698" t="inlineStr">
        <is>
          <t>Köln</t>
        </is>
      </c>
    </row>
    <row r="1699">
      <c r="A1699" s="2" t="n">
        <v>7</v>
      </c>
      <c r="B1699" t="inlineStr">
        <is>
          <t>Severne Hyperglide 6</t>
        </is>
      </c>
      <c r="C1699" s="3" t="n">
        <v>460</v>
      </c>
      <c r="D1699" s="3" t="n">
        <v>198</v>
      </c>
      <c r="E1699" t="inlineStr">
        <is>
          <t>Foil-Slalom</t>
        </is>
      </c>
      <c r="F1699" t="inlineStr">
        <is>
          <t>2023</t>
        </is>
      </c>
      <c r="G1699" t="inlineStr">
        <is>
          <t>used</t>
        </is>
      </c>
      <c r="H1699" s="4" t="n">
        <v>760</v>
      </c>
      <c r="I1699" t="inlineStr">
        <is>
          <t>VB</t>
        </is>
      </c>
      <c r="J1699" t="inlineStr">
        <is>
          <t>24217 Wisch</t>
        </is>
      </c>
      <c r="K1699" s="5" t="n">
        <v>45547</v>
      </c>
      <c r="L1699" t="inlineStr">
        <is>
          <t>Sold</t>
        </is>
      </c>
      <c r="M1699" s="6">
        <f>HYPERLINK("https://www.dailydose.de/kleinanzeigen/detail.htm?ai=422452&amp;cf=kk&amp;pg=5&amp;ci=5", "Link")</f>
        <v/>
      </c>
      <c r="N1699" s="6">
        <f>HYPERLINK("C:\Projects\Kleinanzeigen-Scraper\offer_images\422452", "Link")</f>
        <v/>
      </c>
      <c r="O1699" t="inlineStr">
        <is>
          <t>MenoBuechler</t>
        </is>
      </c>
      <c r="P1699" s="6">
        <f>HYPERLINK("https://www.dailydose.de/kleinanzeigen/user/26395", "Link")</f>
        <v/>
      </c>
      <c r="Q1699" s="7" t="n">
        <v>45547.55247685185</v>
      </c>
      <c r="R1699" s="3" t="inlineStr">
        <is>
          <t>447.79</t>
        </is>
      </c>
      <c r="S1699" t="inlineStr">
        <is>
          <t>Köln</t>
        </is>
      </c>
    </row>
    <row r="1700">
      <c r="A1700" s="2" t="n">
        <v>5.7</v>
      </c>
      <c r="B1700" t="inlineStr">
        <is>
          <t>Severne Blade</t>
        </is>
      </c>
      <c r="C1700" s="3" t="inlineStr"/>
      <c r="D1700" s="3" t="inlineStr"/>
      <c r="E1700" t="inlineStr">
        <is>
          <t>Freewave Wave</t>
        </is>
      </c>
      <c r="F1700" t="inlineStr">
        <is>
          <t>2020</t>
        </is>
      </c>
      <c r="G1700" t="inlineStr">
        <is>
          <t>used</t>
        </is>
      </c>
      <c r="H1700" s="4" t="n">
        <v>350</v>
      </c>
      <c r="I1700" t="inlineStr">
        <is>
          <t>VB</t>
        </is>
      </c>
      <c r="J1700" t="inlineStr">
        <is>
          <t>82211 Bayern - Herrsching</t>
        </is>
      </c>
      <c r="K1700" s="5" t="n">
        <v>45546</v>
      </c>
      <c r="L1700" t="inlineStr">
        <is>
          <t>Sold</t>
        </is>
      </c>
      <c r="M1700" s="6">
        <f>HYPERLINK("https://www.kleinanzeigen.de/s-anzeige/severne-blade-5-7-windsurf-segel-freewave-wave/2860785283-230-5520", "Link")</f>
        <v/>
      </c>
      <c r="N1700" s="6">
        <f>HYPERLINK("C:\Projects\Kleinanzeigen-Scraper\offer_images\2860785283", "Link")</f>
        <v/>
      </c>
      <c r="O1700" t="inlineStr">
        <is>
          <t>Oliver</t>
        </is>
      </c>
      <c r="P1700" s="6">
        <f>HYPERLINK("https://www.kleinanzeigen.de/s-bestandsliste.html?userId=17846362", "Link")</f>
        <v/>
      </c>
      <c r="Q1700" s="7" t="n">
        <v>45547.55168981481</v>
      </c>
      <c r="R1700" s="3" t="inlineStr">
        <is>
          <t>32.73</t>
        </is>
      </c>
      <c r="S1700" t="inlineStr">
        <is>
          <t>München</t>
        </is>
      </c>
    </row>
    <row r="1701">
      <c r="A1701" s="2" t="n">
        <v>4.5</v>
      </c>
      <c r="B1701" t="inlineStr">
        <is>
          <t>Gunsails Seal</t>
        </is>
      </c>
      <c r="C1701" s="3" t="n">
        <v>385</v>
      </c>
      <c r="D1701" s="3" t="n">
        <v>191</v>
      </c>
      <c r="E1701" t="inlineStr"/>
      <c r="F1701" t="inlineStr">
        <is>
          <t>2021</t>
        </is>
      </c>
      <c r="G1701" t="inlineStr">
        <is>
          <t>used</t>
        </is>
      </c>
      <c r="H1701" s="4" t="n">
        <v>150</v>
      </c>
      <c r="I1701" t="inlineStr"/>
      <c r="J1701" t="inlineStr">
        <is>
          <t>21465 Reinbek/Fehmarn/Kiel</t>
        </is>
      </c>
      <c r="K1701" s="5" t="n">
        <v>45546</v>
      </c>
      <c r="L1701" t="inlineStr">
        <is>
          <t>Sold</t>
        </is>
      </c>
      <c r="M1701" s="6">
        <f>HYPERLINK("https://www.dailydose.de/kleinanzeigen/detail.htm?ai=422374&amp;cf=kk&amp;pg=5&amp;ci=5", "Link")</f>
        <v/>
      </c>
      <c r="N1701" s="6">
        <f>HYPERLINK("C:\Projects\Kleinanzeigen-Scraper\offer_images\422374", "Link")</f>
        <v/>
      </c>
      <c r="O1701" t="inlineStr">
        <is>
          <t>Luke_116</t>
        </is>
      </c>
      <c r="P1701" s="6">
        <f>HYPERLINK("https://www.dailydose.de/kleinanzeigen/user/14562", "Link")</f>
        <v/>
      </c>
      <c r="Q1701" s="7" t="n">
        <v>45546.57966435186</v>
      </c>
      <c r="R1701" s="3" t="inlineStr">
        <is>
          <t>366.85</t>
        </is>
      </c>
      <c r="S1701" t="inlineStr">
        <is>
          <t>Köln</t>
        </is>
      </c>
    </row>
    <row r="1702">
      <c r="A1702" s="2" t="n">
        <v>4.8</v>
      </c>
      <c r="B1702" t="inlineStr">
        <is>
          <t>Sailloft Air</t>
        </is>
      </c>
      <c r="C1702" s="3" t="inlineStr"/>
      <c r="D1702" s="3" t="inlineStr"/>
      <c r="E1702" t="inlineStr"/>
      <c r="F1702" t="inlineStr">
        <is>
          <t>2023</t>
        </is>
      </c>
      <c r="G1702" t="inlineStr">
        <is>
          <t>used</t>
        </is>
      </c>
      <c r="H1702" s="4" t="n">
        <v>290</v>
      </c>
      <c r="I1702" t="inlineStr"/>
      <c r="J1702" t="inlineStr">
        <is>
          <t>21465 Reinbek/Fehmarn/Kiel</t>
        </is>
      </c>
      <c r="K1702" s="5" t="n">
        <v>45546</v>
      </c>
      <c r="L1702" t="inlineStr">
        <is>
          <t>Sold</t>
        </is>
      </c>
      <c r="M1702" s="6">
        <f>HYPERLINK("https://www.dailydose.de/kleinanzeigen/detail.htm?ai=422375&amp;cf=kk&amp;pg=5&amp;ci=5", "Link")</f>
        <v/>
      </c>
      <c r="N1702" s="6">
        <f>HYPERLINK("C:\Projects\Kleinanzeigen-Scraper\offer_images\422375", "Link")</f>
        <v/>
      </c>
      <c r="O1702" t="inlineStr">
        <is>
          <t>Luke_116</t>
        </is>
      </c>
      <c r="P1702" s="6">
        <f>HYPERLINK("https://www.dailydose.de/kleinanzeigen/user/14562", "Link")</f>
        <v/>
      </c>
      <c r="Q1702" s="7" t="n">
        <v>45546.57962962963</v>
      </c>
      <c r="R1702" s="3" t="inlineStr">
        <is>
          <t>366.85</t>
        </is>
      </c>
      <c r="S1702" t="inlineStr">
        <is>
          <t>Köln</t>
        </is>
      </c>
    </row>
    <row r="1703">
      <c r="A1703" s="2" t="n">
        <v>4.4</v>
      </c>
      <c r="B1703" t="inlineStr">
        <is>
          <t>Sailloft Air</t>
        </is>
      </c>
      <c r="C1703" s="3" t="inlineStr"/>
      <c r="D1703" s="3" t="inlineStr"/>
      <c r="E1703" t="inlineStr"/>
      <c r="F1703" t="inlineStr">
        <is>
          <t>2023</t>
        </is>
      </c>
      <c r="G1703" t="inlineStr">
        <is>
          <t>used</t>
        </is>
      </c>
      <c r="H1703" s="4" t="n">
        <v>250</v>
      </c>
      <c r="I1703" t="inlineStr"/>
      <c r="J1703" t="inlineStr">
        <is>
          <t>21465 Reinbek/Kiel/Fehmarn</t>
        </is>
      </c>
      <c r="K1703" s="5" t="n">
        <v>45546</v>
      </c>
      <c r="L1703" t="inlineStr">
        <is>
          <t>Sold</t>
        </is>
      </c>
      <c r="M1703" s="6">
        <f>HYPERLINK("https://www.dailydose.de/kleinanzeigen/detail.htm?ai=422376&amp;cf=kk&amp;pg=5&amp;ci=5", "Link")</f>
        <v/>
      </c>
      <c r="N1703" s="6">
        <f>HYPERLINK("C:\Projects\Kleinanzeigen-Scraper\offer_images\422376", "Link")</f>
        <v/>
      </c>
      <c r="O1703" t="inlineStr">
        <is>
          <t>Luke_116</t>
        </is>
      </c>
      <c r="P1703" s="6">
        <f>HYPERLINK("https://www.dailydose.de/kleinanzeigen/user/14562", "Link")</f>
        <v/>
      </c>
      <c r="Q1703" s="7" t="n">
        <v>45546.57953703704</v>
      </c>
      <c r="R1703" s="3" t="inlineStr">
        <is>
          <t>366.85</t>
        </is>
      </c>
      <c r="S1703" t="inlineStr">
        <is>
          <t>Köln</t>
        </is>
      </c>
    </row>
    <row r="1704">
      <c r="A1704" s="2" t="n">
        <v>4.4</v>
      </c>
      <c r="B1704" t="inlineStr">
        <is>
          <t>Ga Pure</t>
        </is>
      </c>
      <c r="C1704" s="3" t="inlineStr"/>
      <c r="D1704" s="3" t="inlineStr"/>
      <c r="E1704" t="inlineStr"/>
      <c r="F1704" t="inlineStr">
        <is>
          <t>2022</t>
        </is>
      </c>
      <c r="G1704" t="inlineStr">
        <is>
          <t>repaired</t>
        </is>
      </c>
      <c r="H1704" s="4" t="n">
        <v>150</v>
      </c>
      <c r="I1704" t="inlineStr"/>
      <c r="J1704" t="inlineStr">
        <is>
          <t>21465 Reinbek/Kiel/Fehmarn</t>
        </is>
      </c>
      <c r="K1704" s="5" t="n">
        <v>45546</v>
      </c>
      <c r="L1704" t="inlineStr">
        <is>
          <t>Sold</t>
        </is>
      </c>
      <c r="M1704" s="6">
        <f>HYPERLINK("https://www.dailydose.de/kleinanzeigen/detail.htm?ai=422372&amp;cf=kk&amp;pg=5&amp;ci=5", "Link")</f>
        <v/>
      </c>
      <c r="N1704" s="6">
        <f>HYPERLINK("C:\Projects\Kleinanzeigen-Scraper\offer_images\422372", "Link")</f>
        <v/>
      </c>
      <c r="O1704" t="inlineStr">
        <is>
          <t>Luke_116</t>
        </is>
      </c>
      <c r="P1704" s="6">
        <f>HYPERLINK("https://www.dailydose.de/kleinanzeigen/user/14562", "Link")</f>
        <v/>
      </c>
      <c r="Q1704" s="7" t="n">
        <v>45546.57931712963</v>
      </c>
      <c r="R1704" s="3" t="inlineStr">
        <is>
          <t>366.85</t>
        </is>
      </c>
      <c r="S1704" t="inlineStr">
        <is>
          <t>Köln</t>
        </is>
      </c>
    </row>
    <row r="1705">
      <c r="A1705" s="2" t="n">
        <v>8.199999999999999</v>
      </c>
      <c r="B1705" t="inlineStr">
        <is>
          <t>Neilpryde V8</t>
        </is>
      </c>
      <c r="C1705" s="3" t="inlineStr"/>
      <c r="D1705" s="3" t="inlineStr"/>
      <c r="E1705" t="inlineStr">
        <is>
          <t>Freerace</t>
        </is>
      </c>
      <c r="F1705" t="inlineStr">
        <is>
          <t>2022</t>
        </is>
      </c>
      <c r="G1705" t="inlineStr">
        <is>
          <t>used</t>
        </is>
      </c>
      <c r="H1705" s="4" t="n">
        <v>399</v>
      </c>
      <c r="I1705" t="inlineStr">
        <is>
          <t>VB</t>
        </is>
      </c>
      <c r="J1705" t="inlineStr">
        <is>
          <t>24966 Flensburg</t>
        </is>
      </c>
      <c r="K1705" s="5" t="n">
        <v>45546</v>
      </c>
      <c r="L1705" t="inlineStr">
        <is>
          <t>Sold</t>
        </is>
      </c>
      <c r="M1705" s="6">
        <f>HYPERLINK("https://www.dailydose.de/kleinanzeigen/detail.htm?ai=422369&amp;cf=kk&amp;pg=5&amp;ci=5", "Link")</f>
        <v/>
      </c>
      <c r="N1705" s="6">
        <f>HYPERLINK("C:\Projects\Kleinanzeigen-Scraper\offer_images\422369", "Link")</f>
        <v/>
      </c>
      <c r="O1705" t="inlineStr">
        <is>
          <t>jstapel</t>
        </is>
      </c>
      <c r="P1705" s="6">
        <f>HYPERLINK("https://www.dailydose.de/kleinanzeigen/user/12794", "Link")</f>
        <v/>
      </c>
      <c r="Q1705" s="7" t="n">
        <v>45546.57847222222</v>
      </c>
      <c r="R1705" s="3" t="inlineStr">
        <is>
          <t>459.16</t>
        </is>
      </c>
      <c r="S1705" t="inlineStr">
        <is>
          <t>Köln</t>
        </is>
      </c>
    </row>
    <row r="1706">
      <c r="A1706" s="2" t="n">
        <v>4.4</v>
      </c>
      <c r="B1706" t="inlineStr">
        <is>
          <t>Severne S1</t>
        </is>
      </c>
      <c r="C1706" s="3" t="n">
        <v>370</v>
      </c>
      <c r="D1706" s="3" t="n">
        <v>156</v>
      </c>
      <c r="E1706" t="inlineStr"/>
      <c r="F1706" t="inlineStr">
        <is>
          <t>2024</t>
        </is>
      </c>
      <c r="G1706" t="inlineStr">
        <is>
          <t>repaired</t>
        </is>
      </c>
      <c r="H1706" s="4" t="n">
        <v>400</v>
      </c>
      <c r="I1706" t="inlineStr"/>
      <c r="J1706" t="inlineStr">
        <is>
          <t>21279 Appel</t>
        </is>
      </c>
      <c r="K1706" s="5" t="n">
        <v>45546</v>
      </c>
      <c r="L1706" t="inlineStr">
        <is>
          <t>Sold</t>
        </is>
      </c>
      <c r="M1706" s="6">
        <f>HYPERLINK("https://www.dailydose.de/kleinanzeigen/detail.htm?ai=422389&amp;cf=kk&amp;pg=5&amp;ci=5", "Link")</f>
        <v/>
      </c>
      <c r="N1706" s="6">
        <f>HYPERLINK("C:\Projects\Kleinanzeigen-Scraper\offer_images\422389", "Link")</f>
        <v/>
      </c>
      <c r="O1706" t="inlineStr">
        <is>
          <t>UWaudiologiX.de</t>
        </is>
      </c>
      <c r="P1706" s="6">
        <f>HYPERLINK("https://www.dailydose.de/kleinanzeigen/user/24400", "Link")</f>
        <v/>
      </c>
      <c r="Q1706" s="7" t="n">
        <v>45546.57847222222</v>
      </c>
      <c r="R1706" s="3" t="inlineStr">
        <is>
          <t>330.60</t>
        </is>
      </c>
      <c r="S1706" t="inlineStr">
        <is>
          <t>Köln</t>
        </is>
      </c>
    </row>
    <row r="1707">
      <c r="A1707" s="2" t="n">
        <v>4.2</v>
      </c>
      <c r="B1707" t="inlineStr">
        <is>
          <t>KA Sails Kaos</t>
        </is>
      </c>
      <c r="C1707" s="3" t="n">
        <v>410</v>
      </c>
      <c r="D1707" s="3" t="n">
        <v>156</v>
      </c>
      <c r="E1707" t="inlineStr">
        <is>
          <t>Wavesegel</t>
        </is>
      </c>
      <c r="F1707" t="inlineStr"/>
      <c r="G1707" t="inlineStr">
        <is>
          <t>new</t>
        </is>
      </c>
      <c r="H1707" s="4" t="n">
        <v>100</v>
      </c>
      <c r="I1707" t="inlineStr"/>
      <c r="J1707" t="inlineStr">
        <is>
          <t>Stuttgart</t>
        </is>
      </c>
      <c r="K1707" s="5" t="n">
        <v>45546</v>
      </c>
      <c r="L1707" t="inlineStr">
        <is>
          <t>Sold</t>
        </is>
      </c>
      <c r="M1707" s="6">
        <f>HYPERLINK("https://www.dailydose.de/kleinanzeigen/detail.htm?ai=422380&amp;cf=kk&amp;pg=3&amp;ci=5", "Link")</f>
        <v/>
      </c>
      <c r="N1707" s="6">
        <f>HYPERLINK("C:\Projects\Kleinanzeigen-Scraper\offer_images\422380", "Link")</f>
        <v/>
      </c>
      <c r="O1707" t="inlineStr">
        <is>
          <t>Roman_96</t>
        </is>
      </c>
      <c r="P1707" s="6">
        <f>HYPERLINK("https://www.dailydose.de/kleinanzeigen/user/20905", "Link")</f>
        <v/>
      </c>
      <c r="Q1707" s="7" t="n">
        <v>45546.57831018518</v>
      </c>
      <c r="R1707" s="3" t="inlineStr">
        <is>
          <t>18.71</t>
        </is>
      </c>
      <c r="S1707" t="inlineStr">
        <is>
          <t>Böblingen</t>
        </is>
      </c>
    </row>
    <row r="1708">
      <c r="A1708" s="2" t="n">
        <v>9.199999999999999</v>
      </c>
      <c r="B1708" t="inlineStr">
        <is>
          <t>Neil Pryde H2</t>
        </is>
      </c>
      <c r="C1708" s="3" t="n">
        <v>490</v>
      </c>
      <c r="D1708" s="3" t="n">
        <v>235</v>
      </c>
      <c r="E1708" t="inlineStr"/>
      <c r="F1708" t="inlineStr"/>
      <c r="G1708" t="inlineStr">
        <is>
          <t>repaired</t>
        </is>
      </c>
      <c r="H1708" s="4" t="n">
        <v>180</v>
      </c>
      <c r="I1708" t="inlineStr"/>
      <c r="J1708" t="inlineStr">
        <is>
          <t>51377 Leverkusen</t>
        </is>
      </c>
      <c r="K1708" s="5" t="n">
        <v>45546</v>
      </c>
      <c r="L1708" t="inlineStr">
        <is>
          <t>Sold</t>
        </is>
      </c>
      <c r="M1708" s="6">
        <f>HYPERLINK("https://www.dailydose.de/kleinanzeigen/detail.htm?ai=422393&amp;cf=kk&amp;pg=5&amp;ci=5", "Link")</f>
        <v/>
      </c>
      <c r="N1708" s="6">
        <f>HYPERLINK("C:\Projects\Kleinanzeigen-Scraper\offer_images\422393", "Link")</f>
        <v/>
      </c>
      <c r="O1708" t="inlineStr">
        <is>
          <t>johni007</t>
        </is>
      </c>
      <c r="P1708" s="6">
        <f>HYPERLINK("https://www.dailydose.de/kleinanzeigen/user/11816", "Link")</f>
        <v/>
      </c>
      <c r="Q1708" s="7" t="n">
        <v>45546.57825231482</v>
      </c>
      <c r="R1708" s="3" t="inlineStr">
        <is>
          <t>15.33</t>
        </is>
      </c>
      <c r="S1708" t="inlineStr">
        <is>
          <t>Köln</t>
        </is>
      </c>
    </row>
    <row r="1709">
      <c r="A1709" s="2" t="n">
        <v>4.2</v>
      </c>
      <c r="B1709" t="inlineStr">
        <is>
          <t>The Loft Loftsails Lip Wave</t>
        </is>
      </c>
      <c r="C1709" s="3" t="n">
        <v>377</v>
      </c>
      <c r="D1709" s="3" t="n">
        <v>178</v>
      </c>
      <c r="E1709" t="inlineStr">
        <is>
          <t>Wave</t>
        </is>
      </c>
      <c r="F1709" t="inlineStr"/>
      <c r="G1709" t="inlineStr">
        <is>
          <t>used</t>
        </is>
      </c>
      <c r="H1709" s="4" t="n">
        <v>110</v>
      </c>
      <c r="I1709" t="inlineStr"/>
      <c r="J1709" t="inlineStr">
        <is>
          <t>Stuttgart</t>
        </is>
      </c>
      <c r="K1709" s="5" t="n">
        <v>45546</v>
      </c>
      <c r="L1709" t="inlineStr">
        <is>
          <t>Sold</t>
        </is>
      </c>
      <c r="M1709" s="6">
        <f>HYPERLINK("https://www.dailydose.de/kleinanzeigen/detail.htm?ai=422378&amp;cf=kk&amp;pg=5&amp;ci=5", "Link")</f>
        <v/>
      </c>
      <c r="N1709" s="6">
        <f>HYPERLINK("C:\Projects\Kleinanzeigen-Scraper\offer_images\422378", "Link")</f>
        <v/>
      </c>
      <c r="O1709" t="inlineStr">
        <is>
          <t>Roman_96</t>
        </is>
      </c>
      <c r="P1709" s="6">
        <f>HYPERLINK("https://www.dailydose.de/kleinanzeigen/user/20905", "Link")</f>
        <v/>
      </c>
      <c r="Q1709" s="7" t="n">
        <v>45546.57697916667</v>
      </c>
      <c r="R1709" s="3" t="inlineStr">
        <is>
          <t>18.71</t>
        </is>
      </c>
      <c r="S1709" t="inlineStr">
        <is>
          <t>Böblingen</t>
        </is>
      </c>
    </row>
    <row r="1710">
      <c r="A1710" s="2" t="n">
        <v>5.2</v>
      </c>
      <c r="B1710" t="inlineStr">
        <is>
          <t>Gunsail Yeah</t>
        </is>
      </c>
      <c r="C1710" s="3" t="inlineStr"/>
      <c r="D1710" s="3" t="inlineStr"/>
      <c r="E1710" t="inlineStr"/>
      <c r="F1710" t="inlineStr">
        <is>
          <t>2020</t>
        </is>
      </c>
      <c r="G1710" t="inlineStr">
        <is>
          <t>repaired</t>
        </is>
      </c>
      <c r="H1710" s="4" t="n">
        <v>170</v>
      </c>
      <c r="I1710" t="inlineStr"/>
      <c r="J1710" t="inlineStr">
        <is>
          <t>21465 Reinbek/Fehmarn/Kiel</t>
        </is>
      </c>
      <c r="K1710" s="5" t="n">
        <v>45546</v>
      </c>
      <c r="L1710" t="inlineStr">
        <is>
          <t>Sold</t>
        </is>
      </c>
      <c r="M1710" s="6">
        <f>HYPERLINK("https://www.dailydose.de/kleinanzeigen/detail.htm?ai=422373&amp;cf=kk&amp;pg=5&amp;ci=5", "Link")</f>
        <v/>
      </c>
      <c r="N1710" s="6">
        <f>HYPERLINK("C:\Projects\Kleinanzeigen-Scraper\offer_images\422373", "Link")</f>
        <v/>
      </c>
      <c r="O1710" t="inlineStr">
        <is>
          <t>Luke_116</t>
        </is>
      </c>
      <c r="P1710" s="6">
        <f>HYPERLINK("https://www.dailydose.de/kleinanzeigen/user/14562", "Link")</f>
        <v/>
      </c>
      <c r="Q1710" s="7" t="n">
        <v>45546.57646990741</v>
      </c>
      <c r="R1710" s="3" t="inlineStr">
        <is>
          <t>366.85</t>
        </is>
      </c>
      <c r="S1710" t="inlineStr">
        <is>
          <t>Köln</t>
        </is>
      </c>
    </row>
    <row r="1711">
      <c r="A1711" s="2" t="n">
        <v>4.8</v>
      </c>
      <c r="B1711" t="inlineStr">
        <is>
          <t>GA Pure</t>
        </is>
      </c>
      <c r="C1711" s="3" t="inlineStr"/>
      <c r="D1711" s="3" t="inlineStr"/>
      <c r="E1711" t="inlineStr"/>
      <c r="F1711" t="inlineStr">
        <is>
          <t>2022</t>
        </is>
      </c>
      <c r="G1711" t="inlineStr">
        <is>
          <t>used</t>
        </is>
      </c>
      <c r="H1711" s="4" t="n">
        <v>250</v>
      </c>
      <c r="I1711" t="inlineStr"/>
      <c r="J1711" t="inlineStr">
        <is>
          <t>21465 Reinbek/Fehmarn/Kiel</t>
        </is>
      </c>
      <c r="K1711" s="5" t="n">
        <v>45546</v>
      </c>
      <c r="L1711" t="inlineStr">
        <is>
          <t>Sold</t>
        </is>
      </c>
      <c r="M1711" s="6">
        <f>HYPERLINK("https://www.dailydose.de/kleinanzeigen/detail.htm?ai=422371&amp;cf=kk&amp;pg=5&amp;ci=5", "Link")</f>
        <v/>
      </c>
      <c r="N1711" s="6">
        <f>HYPERLINK("C:\Projects\Kleinanzeigen-Scraper\offer_images\422371", "Link")</f>
        <v/>
      </c>
      <c r="O1711" t="inlineStr">
        <is>
          <t>Luke_116</t>
        </is>
      </c>
      <c r="P1711" s="6">
        <f>HYPERLINK("https://www.dailydose.de/kleinanzeigen/user/14562", "Link")</f>
        <v/>
      </c>
      <c r="Q1711" s="7" t="n">
        <v>45546.57640046296</v>
      </c>
      <c r="R1711" s="3" t="inlineStr">
        <is>
          <t>366.85</t>
        </is>
      </c>
      <c r="S1711" t="inlineStr">
        <is>
          <t>Köln</t>
        </is>
      </c>
    </row>
    <row r="1712">
      <c r="A1712" s="2" t="n">
        <v>5.3</v>
      </c>
      <c r="B1712" t="inlineStr">
        <is>
          <t>Goya Eclipse</t>
        </is>
      </c>
      <c r="C1712" s="3" t="n">
        <v>450</v>
      </c>
      <c r="D1712" s="3" t="n">
        <v>173</v>
      </c>
      <c r="E1712" t="inlineStr">
        <is>
          <t>Wavesegel</t>
        </is>
      </c>
      <c r="F1712" t="inlineStr"/>
      <c r="G1712" t="inlineStr">
        <is>
          <t>new</t>
        </is>
      </c>
      <c r="H1712" s="4" t="n">
        <v>130</v>
      </c>
      <c r="I1712" t="inlineStr"/>
      <c r="J1712" t="inlineStr">
        <is>
          <t>Stuttgart</t>
        </is>
      </c>
      <c r="K1712" s="5" t="n">
        <v>45546</v>
      </c>
      <c r="L1712" t="inlineStr">
        <is>
          <t>Sold</t>
        </is>
      </c>
      <c r="M1712" s="6">
        <f>HYPERLINK("https://www.dailydose.de/kleinanzeigen/detail.htm?ai=422379&amp;cf=kk&amp;pg=1&amp;ci=5", "Link")</f>
        <v/>
      </c>
      <c r="N1712" s="6">
        <f>HYPERLINK("C:\Projects\Kleinanzeigen-Scraper\offer_images\422379", "Link")</f>
        <v/>
      </c>
      <c r="O1712" t="inlineStr">
        <is>
          <t>Roman_96</t>
        </is>
      </c>
      <c r="P1712" s="6">
        <f>HYPERLINK("https://www.dailydose.de/kleinanzeigen/user/20905", "Link")</f>
        <v/>
      </c>
      <c r="Q1712" s="7" t="n">
        <v>45546.57637731481</v>
      </c>
      <c r="R1712" s="3" t="inlineStr">
        <is>
          <t>18.71</t>
        </is>
      </c>
      <c r="S1712" t="inlineStr">
        <is>
          <t>Böblingen</t>
        </is>
      </c>
    </row>
    <row r="1713">
      <c r="A1713" s="2" t="n">
        <v>7.7</v>
      </c>
      <c r="B1713" t="inlineStr">
        <is>
          <t>NeilPryde X-Ryde</t>
        </is>
      </c>
      <c r="C1713" s="3" t="inlineStr">
        <is>
          <t>430-460</t>
        </is>
      </c>
      <c r="D1713" s="3" t="inlineStr"/>
      <c r="E1713" t="inlineStr">
        <is>
          <t>Freeride</t>
        </is>
      </c>
      <c r="F1713" t="inlineStr">
        <is>
          <t>2019</t>
        </is>
      </c>
      <c r="G1713" t="inlineStr">
        <is>
          <t>used</t>
        </is>
      </c>
      <c r="H1713" s="4" t="n">
        <v>199</v>
      </c>
      <c r="I1713" t="inlineStr"/>
      <c r="J1713" t="inlineStr">
        <is>
          <t>74376 Baden-Württemberg - Gemmrigheim</t>
        </is>
      </c>
      <c r="K1713" s="5" t="n">
        <v>45545</v>
      </c>
      <c r="L1713" t="inlineStr"/>
      <c r="M1713" s="6">
        <f>HYPERLINK("https://www.kleinanzeigen.de/s-anzeige/windsurf-segel-neilpryde-x-ryde-7-7-neuwertig/2859240422-230-8676", "Link")</f>
        <v/>
      </c>
      <c r="N1713" s="6">
        <f>HYPERLINK("C:\Projects\Kleinanzeigen-Scraper\offer_images\2859240422", "Link")</f>
        <v/>
      </c>
      <c r="O1713" t="inlineStr">
        <is>
          <t>C. Henke</t>
        </is>
      </c>
      <c r="P1713" s="6">
        <f>HYPERLINK("https://www.kleinanzeigen.de/s-bestandsliste.html?userId=127819089", "Link")</f>
        <v/>
      </c>
      <c r="Q1713" s="7" t="n">
        <v>45546.57611111111</v>
      </c>
      <c r="R1713" s="3" t="inlineStr">
        <is>
          <t>41.18</t>
        </is>
      </c>
      <c r="S1713" t="inlineStr">
        <is>
          <t>Böblingen</t>
        </is>
      </c>
    </row>
    <row r="1714">
      <c r="A1714" s="2" t="n">
        <v>3</v>
      </c>
      <c r="B1714" t="inlineStr">
        <is>
          <t>Ascan Pro</t>
        </is>
      </c>
      <c r="C1714" s="3" t="inlineStr"/>
      <c r="D1714" s="3" t="inlineStr"/>
      <c r="E1714" t="inlineStr"/>
      <c r="F1714" t="inlineStr"/>
      <c r="G1714" t="inlineStr">
        <is>
          <t>used</t>
        </is>
      </c>
      <c r="H1714" s="4" t="n">
        <v>200</v>
      </c>
      <c r="I1714" t="inlineStr"/>
      <c r="J1714" t="inlineStr">
        <is>
          <t>30175 Hannover - Mitte</t>
        </is>
      </c>
      <c r="K1714" s="5" t="n">
        <v>45545</v>
      </c>
      <c r="L1714" t="inlineStr">
        <is>
          <t>Sold</t>
        </is>
      </c>
      <c r="M1714" s="6">
        <f>HYPERLINK("https://www.kleinanzeigen.de/s-anzeige/ascan-pro-windsurf-segel-3-0-qm-gelb-gruen-jugendsegel/2859589443-230-3167", "Link")</f>
        <v/>
      </c>
      <c r="N1714" s="6">
        <f>HYPERLINK("C:\Projects\Kleinanzeigen-Scraper\offer_images\2859589443", "Link")</f>
        <v/>
      </c>
      <c r="O1714" t="inlineStr">
        <is>
          <t>Sailsurf</t>
        </is>
      </c>
      <c r="P1714" s="6">
        <f>HYPERLINK("https://www.kleinanzeigen.de/s-bestandsliste.html?userId=76982009", "Link")</f>
        <v/>
      </c>
      <c r="Q1714" s="7" t="n">
        <v>45546.57586805556</v>
      </c>
      <c r="R1714" s="3" t="inlineStr">
        <is>
          <t>251.23</t>
        </is>
      </c>
      <c r="S1714" t="inlineStr">
        <is>
          <t>Köln</t>
        </is>
      </c>
    </row>
    <row r="1715">
      <c r="A1715" s="2" t="n">
        <v>8.1</v>
      </c>
      <c r="B1715" t="inlineStr">
        <is>
          <t>North Natural</t>
        </is>
      </c>
      <c r="C1715" s="3" t="n">
        <v>490</v>
      </c>
      <c r="D1715" s="3" t="inlineStr"/>
      <c r="E1715" t="inlineStr"/>
      <c r="F1715" t="inlineStr">
        <is>
          <t>2024</t>
        </is>
      </c>
      <c r="G1715" t="inlineStr">
        <is>
          <t>used</t>
        </is>
      </c>
      <c r="H1715" s="4" t="n">
        <v>150</v>
      </c>
      <c r="I1715" t="inlineStr">
        <is>
          <t>VB</t>
        </is>
      </c>
      <c r="J1715" t="inlineStr">
        <is>
          <t>40221 Düsseldorf - Unterbilk</t>
        </is>
      </c>
      <c r="K1715" s="5" t="n">
        <v>45545</v>
      </c>
      <c r="L1715" t="inlineStr">
        <is>
          <t>Sold</t>
        </is>
      </c>
      <c r="M1715" s="6">
        <f>HYPERLINK("https://www.kleinanzeigen.de/s-anzeige/windsurf-segel-freeride-8-1-qm-north-natural-mast-auf-wunsch-sdm/2859158544-230-29950", "Link")</f>
        <v/>
      </c>
      <c r="N1715" s="6">
        <f>HYPERLINK("C:\Projects\Kleinanzeigen-Scraper\offer_images\2859158544", "Link")</f>
        <v/>
      </c>
      <c r="O1715" t="inlineStr">
        <is>
          <t>So_oder_So</t>
        </is>
      </c>
      <c r="P1715" s="6">
        <f>HYPERLINK("https://www.kleinanzeigen.de/s-bestandsliste.html?userId=62512814", "Link")</f>
        <v/>
      </c>
      <c r="Q1715" s="7" t="n">
        <v>45546.5756712963</v>
      </c>
      <c r="R1715" s="3" t="inlineStr">
        <is>
          <t>32.31</t>
        </is>
      </c>
      <c r="S1715" t="inlineStr">
        <is>
          <t>Köln</t>
        </is>
      </c>
    </row>
    <row r="1716">
      <c r="A1716" s="2" t="n">
        <v>6.2</v>
      </c>
      <c r="B1716" t="inlineStr">
        <is>
          <t>NeilPryde Atlas Pro HD</t>
        </is>
      </c>
      <c r="C1716" s="3" t="n">
        <v>430</v>
      </c>
      <c r="D1716" s="3" t="n">
        <v>183</v>
      </c>
      <c r="E1716" t="inlineStr"/>
      <c r="F1716" t="inlineStr">
        <is>
          <t>2023</t>
        </is>
      </c>
      <c r="G1716" t="inlineStr">
        <is>
          <t>new</t>
        </is>
      </c>
      <c r="H1716" s="4" t="n">
        <v>287</v>
      </c>
      <c r="I1716" t="inlineStr">
        <is>
          <t>VB</t>
        </is>
      </c>
      <c r="J1716" t="inlineStr">
        <is>
          <t>89134 Baden-Württemberg - Blaustein</t>
        </is>
      </c>
      <c r="K1716" s="5" t="n">
        <v>45545</v>
      </c>
      <c r="L1716" t="inlineStr"/>
      <c r="M1716" s="6">
        <f>HYPERLINK("https://www.kleinanzeigen.de/s-anzeige/windsurf-segel-neilpryde-atlas-pro-hd-6-2/2859029802-230-8683", "Link")</f>
        <v/>
      </c>
      <c r="N1716" s="6">
        <f>HYPERLINK("C:\Projects\Kleinanzeigen-Scraper\offer_images\2859029802", "Link")</f>
        <v/>
      </c>
      <c r="O1716" t="inlineStr">
        <is>
          <t>Andreas Tutzer</t>
        </is>
      </c>
      <c r="P1716" s="6">
        <f>HYPERLINK("https://www.kleinanzeigen.de/s-bestandsliste.html?userId=30750637", "Link")</f>
        <v/>
      </c>
      <c r="Q1716" s="7" t="n">
        <v>45546.5756712963</v>
      </c>
      <c r="R1716" s="3" t="inlineStr">
        <is>
          <t>74.25</t>
        </is>
      </c>
      <c r="S1716" t="inlineStr">
        <is>
          <t>Böblingen</t>
        </is>
      </c>
    </row>
    <row r="1717">
      <c r="A1717" s="2" t="n">
        <v>5.6</v>
      </c>
      <c r="B1717" t="inlineStr">
        <is>
          <t>Gun Sails Yeah</t>
        </is>
      </c>
      <c r="C1717" s="3" t="n">
        <v>452</v>
      </c>
      <c r="D1717" s="3" t="n">
        <v>174</v>
      </c>
      <c r="E1717" t="inlineStr"/>
      <c r="F1717" t="inlineStr"/>
      <c r="G1717" t="inlineStr">
        <is>
          <t>used</t>
        </is>
      </c>
      <c r="H1717" s="4" t="n">
        <v>210</v>
      </c>
      <c r="I1717" t="inlineStr">
        <is>
          <t>VB</t>
        </is>
      </c>
      <c r="J1717" t="inlineStr">
        <is>
          <t>78315 Baden-Württemberg - Radolfzell am Bodensee</t>
        </is>
      </c>
      <c r="K1717" s="5" t="n">
        <v>45545</v>
      </c>
      <c r="L1717" t="inlineStr">
        <is>
          <t>Sold</t>
        </is>
      </c>
      <c r="M1717" s="6">
        <f>HYPERLINK("https://www.kleinanzeigen.de/s-anzeige/gun-sails-yeah-5-6m-windsurf-segel/2859868406-230-8190", "Link")</f>
        <v/>
      </c>
      <c r="N1717" s="6">
        <f>HYPERLINK("C:\Projects\Kleinanzeigen-Scraper\offer_images\2859868406", "Link")</f>
        <v/>
      </c>
      <c r="O1717" t="inlineStr">
        <is>
          <t>Matze</t>
        </is>
      </c>
      <c r="P1717" s="6">
        <f>HYPERLINK("https://www.kleinanzeigen.de/s-bestandsliste.html?userId=32267890", "Link")</f>
        <v/>
      </c>
      <c r="Q1717" s="7" t="n">
        <v>45546.57559027777</v>
      </c>
      <c r="R1717" s="3" t="inlineStr">
        <is>
          <t>48.46</t>
        </is>
      </c>
      <c r="S1717" t="inlineStr">
        <is>
          <t>Bonndorf</t>
        </is>
      </c>
    </row>
    <row r="1718">
      <c r="A1718" s="2" t="n">
        <v>8</v>
      </c>
      <c r="B1718" t="inlineStr">
        <is>
          <t>Gaastra Matrix</t>
        </is>
      </c>
      <c r="C1718" s="3" t="n">
        <v>460</v>
      </c>
      <c r="D1718" s="3" t="n">
        <v>215</v>
      </c>
      <c r="E1718" t="inlineStr"/>
      <c r="F1718" t="inlineStr">
        <is>
          <t>2016</t>
        </is>
      </c>
      <c r="G1718" t="inlineStr">
        <is>
          <t>used</t>
        </is>
      </c>
      <c r="H1718" s="4" t="n">
        <v>235</v>
      </c>
      <c r="I1718" t="inlineStr"/>
      <c r="J1718" t="inlineStr">
        <is>
          <t>88048 Baden-Württemberg - Friedrichshafen</t>
        </is>
      </c>
      <c r="K1718" s="5" t="n">
        <v>45545</v>
      </c>
      <c r="L1718" t="inlineStr"/>
      <c r="M1718" s="6">
        <f>HYPERLINK("https://www.kleinanzeigen.de/s-anzeige/windsurf-segel-gaastra-matrix-8-0-opt-mit-ga-sdm460-c75-mast/2859865399-230-9212", "Link")</f>
        <v/>
      </c>
      <c r="N1718" s="6">
        <f>HYPERLINK("C:\Projects\Kleinanzeigen-Scraper\offer_images\2859865399", "Link")</f>
        <v/>
      </c>
      <c r="O1718" t="inlineStr">
        <is>
          <t>C. Dönges</t>
        </is>
      </c>
      <c r="P1718" s="6">
        <f>HYPERLINK("https://www.kleinanzeigen.de/s-bestandsliste.html?userId=22879095", "Link")</f>
        <v/>
      </c>
      <c r="Q1718" s="7" t="n">
        <v>45546.57552083334</v>
      </c>
      <c r="R1718" s="3" t="inlineStr">
        <is>
          <t>87.69</t>
        </is>
      </c>
      <c r="S1718" t="inlineStr">
        <is>
          <t>Bonndorf</t>
        </is>
      </c>
    </row>
    <row r="1719">
      <c r="A1719" s="2" t="n">
        <v>5</v>
      </c>
      <c r="B1719" t="inlineStr">
        <is>
          <t>Severne Blade</t>
        </is>
      </c>
      <c r="C1719" s="3" t="inlineStr"/>
      <c r="D1719" s="3" t="inlineStr"/>
      <c r="E1719" t="inlineStr">
        <is>
          <t>Power Wave</t>
        </is>
      </c>
      <c r="F1719" t="inlineStr">
        <is>
          <t>2021</t>
        </is>
      </c>
      <c r="G1719" t="inlineStr">
        <is>
          <t>used</t>
        </is>
      </c>
      <c r="H1719" s="4" t="n">
        <v>280</v>
      </c>
      <c r="I1719" t="inlineStr"/>
      <c r="J1719" t="inlineStr">
        <is>
          <t>Kreta / Füssen</t>
        </is>
      </c>
      <c r="K1719" s="5" t="n">
        <v>45545</v>
      </c>
      <c r="L1719" t="inlineStr">
        <is>
          <t>Sold</t>
        </is>
      </c>
      <c r="M1719" s="6">
        <f>HYPERLINK("https://www.dailydose.de/kleinanzeigen/detail.htm?ai=422344&amp;cf=kk&amp;pg=1&amp;ci=5", "Link")</f>
        <v/>
      </c>
      <c r="N1719" s="6">
        <f>HYPERLINK("C:\Projects\Kleinanzeigen-Scraper\offer_images\422344", "Link")</f>
        <v/>
      </c>
      <c r="O1719" t="inlineStr">
        <is>
          <t>J_198</t>
        </is>
      </c>
      <c r="P1719" s="6">
        <f>HYPERLINK("https://www.dailydose.de/kleinanzeigen/user/12670", "Link")</f>
        <v/>
      </c>
      <c r="Q1719" s="7" t="n">
        <v>45545.86517361111</v>
      </c>
      <c r="R1719" s="3" t="inlineStr">
        <is>
          <t>195.39</t>
        </is>
      </c>
      <c r="S1719" t="inlineStr">
        <is>
          <t>Köln</t>
        </is>
      </c>
    </row>
    <row r="1720">
      <c r="A1720" s="2" t="n">
        <v>4.5</v>
      </c>
      <c r="B1720" t="inlineStr">
        <is>
          <t>Duotone Super Hero</t>
        </is>
      </c>
      <c r="C1720" s="3" t="inlineStr"/>
      <c r="D1720" s="3" t="inlineStr"/>
      <c r="E1720" t="inlineStr"/>
      <c r="F1720" t="inlineStr">
        <is>
          <t>2022</t>
        </is>
      </c>
      <c r="G1720" t="inlineStr">
        <is>
          <t>used</t>
        </is>
      </c>
      <c r="H1720" s="4" t="n">
        <v>290</v>
      </c>
      <c r="I1720" t="inlineStr"/>
      <c r="J1720" t="inlineStr">
        <is>
          <t>23758 Ostholstein</t>
        </is>
      </c>
      <c r="K1720" s="5" t="n">
        <v>45545</v>
      </c>
      <c r="L1720" t="inlineStr">
        <is>
          <t>Sold</t>
        </is>
      </c>
      <c r="M1720" s="6">
        <f>HYPERLINK("https://www.dailydose.de/kleinanzeigen/detail.htm?ai=422341&amp;cf=kk&amp;pg=5&amp;ci=5", "Link")</f>
        <v/>
      </c>
      <c r="N1720" s="6">
        <f>HYPERLINK("C:\Projects\Kleinanzeigen-Scraper\offer_images\422341", "Link")</f>
        <v/>
      </c>
      <c r="O1720" t="inlineStr">
        <is>
          <t>wellenkasper</t>
        </is>
      </c>
      <c r="P1720" s="6">
        <f>HYPERLINK("https://www.dailydose.de/kleinanzeigen/user/512", "Link")</f>
        <v/>
      </c>
      <c r="Q1720" s="7" t="n">
        <v>45545.86508101852</v>
      </c>
      <c r="R1720" s="3" t="inlineStr">
        <is>
          <t>459.51</t>
        </is>
      </c>
      <c r="S1720" t="inlineStr">
        <is>
          <t>Köln</t>
        </is>
      </c>
    </row>
    <row r="1721">
      <c r="A1721" s="2" t="n">
        <v>5.7</v>
      </c>
      <c r="B1721" t="inlineStr">
        <is>
          <t>Gun Sails TRANS WAVE</t>
        </is>
      </c>
      <c r="C1721" s="3" t="n">
        <v>443</v>
      </c>
      <c r="D1721" s="3" t="n">
        <v>183</v>
      </c>
      <c r="E1721" t="inlineStr">
        <is>
          <t>Wave</t>
        </is>
      </c>
      <c r="F1721" t="inlineStr"/>
      <c r="G1721" t="inlineStr">
        <is>
          <t>used, very good condition</t>
        </is>
      </c>
      <c r="H1721" s="4" t="n">
        <v>130</v>
      </c>
      <c r="I1721" t="inlineStr">
        <is>
          <t>VB</t>
        </is>
      </c>
      <c r="J1721" t="inlineStr">
        <is>
          <t>23909 Ratzeburg</t>
        </is>
      </c>
      <c r="K1721" s="5" t="n">
        <v>45545</v>
      </c>
      <c r="L1721" t="inlineStr">
        <is>
          <t>Sold</t>
        </is>
      </c>
      <c r="M1721" s="6">
        <f>HYPERLINK("https://www.dailydose.de/kleinanzeigen/detail.htm?ai=422328&amp;cf=kk&amp;pg=5&amp;ci=5", "Link")</f>
        <v/>
      </c>
      <c r="N1721" s="6">
        <f>HYPERLINK("C:\Projects\Kleinanzeigen-Scraper\offer_images\422328", "Link")</f>
        <v/>
      </c>
      <c r="O1721" t="inlineStr">
        <is>
          <t>Insider</t>
        </is>
      </c>
      <c r="P1721" s="6">
        <f>HYPERLINK("https://www.dailydose.de/kleinanzeigen/user/20603", "Link")</f>
        <v/>
      </c>
      <c r="Q1721" s="7" t="n">
        <v>45545.86399305556</v>
      </c>
      <c r="R1721" s="3" t="inlineStr">
        <is>
          <t>401.75</t>
        </is>
      </c>
      <c r="S1721" t="inlineStr">
        <is>
          <t>Köln</t>
        </is>
      </c>
    </row>
    <row r="1722">
      <c r="A1722" s="2" t="n">
        <v>4</v>
      </c>
      <c r="B1722" t="inlineStr">
        <is>
          <t>Neil Pryde COMBAT</t>
        </is>
      </c>
      <c r="C1722" s="3" t="n">
        <v>366</v>
      </c>
      <c r="D1722" s="3" t="n">
        <v>150</v>
      </c>
      <c r="E1722" t="inlineStr">
        <is>
          <t>Wave</t>
        </is>
      </c>
      <c r="F1722" t="inlineStr"/>
      <c r="G1722" t="inlineStr">
        <is>
          <t>used, very good condition</t>
        </is>
      </c>
      <c r="H1722" s="4" t="n">
        <v>130</v>
      </c>
      <c r="I1722" t="inlineStr">
        <is>
          <t>VB</t>
        </is>
      </c>
      <c r="J1722" t="inlineStr">
        <is>
          <t>23909 Ratzeburg</t>
        </is>
      </c>
      <c r="K1722" s="5" t="n">
        <v>45545</v>
      </c>
      <c r="L1722" t="inlineStr">
        <is>
          <t>Sold</t>
        </is>
      </c>
      <c r="M1722" s="6">
        <f>HYPERLINK("https://www.dailydose.de/kleinanzeigen/detail.htm?ai=422332&amp;cf=kk&amp;pg=5&amp;ci=5", "Link")</f>
        <v/>
      </c>
      <c r="N1722" s="6">
        <f>HYPERLINK("C:\Projects\Kleinanzeigen-Scraper\offer_images\422332", "Link")</f>
        <v/>
      </c>
      <c r="O1722" t="inlineStr">
        <is>
          <t>Insider</t>
        </is>
      </c>
      <c r="P1722" s="6">
        <f>HYPERLINK("https://www.dailydose.de/kleinanzeigen/user/20603", "Link")</f>
        <v/>
      </c>
      <c r="Q1722" s="7" t="n">
        <v>45545.86351851852</v>
      </c>
      <c r="R1722" s="3" t="inlineStr">
        <is>
          <t>401.75</t>
        </is>
      </c>
      <c r="S1722" t="inlineStr">
        <is>
          <t>Köln</t>
        </is>
      </c>
    </row>
    <row r="1723">
      <c r="A1723" s="2" t="n">
        <v>7.7</v>
      </c>
      <c r="B1723" t="inlineStr">
        <is>
          <t>Neilpryde Speedster</t>
        </is>
      </c>
      <c r="C1723" s="3" t="inlineStr"/>
      <c r="D1723" s="3" t="inlineStr"/>
      <c r="E1723" t="inlineStr">
        <is>
          <t>Freerace</t>
        </is>
      </c>
      <c r="F1723" t="inlineStr">
        <is>
          <t>2020</t>
        </is>
      </c>
      <c r="G1723" t="inlineStr">
        <is>
          <t>new</t>
        </is>
      </c>
      <c r="H1723" s="4" t="n">
        <v>420</v>
      </c>
      <c r="I1723" t="inlineStr">
        <is>
          <t>VB</t>
        </is>
      </c>
      <c r="J1723" t="inlineStr">
        <is>
          <t>58706 Menden</t>
        </is>
      </c>
      <c r="K1723" s="5" t="n">
        <v>45545</v>
      </c>
      <c r="L1723" t="inlineStr">
        <is>
          <t>Sold</t>
        </is>
      </c>
      <c r="M1723" s="6">
        <f>HYPERLINK("https://www.dailydose.de/kleinanzeigen/detail.htm?ai=422356&amp;cf=kk&amp;pg=2&amp;ci=5", "Link")</f>
        <v/>
      </c>
      <c r="N1723" s="6">
        <f>HYPERLINK("C:\Projects\Kleinanzeigen-Scraper\offer_images\422356", "Link")</f>
        <v/>
      </c>
      <c r="O1723" t="inlineStr">
        <is>
          <t>Peter_86</t>
        </is>
      </c>
      <c r="P1723" s="6">
        <f>HYPERLINK("https://www.dailydose.de/kleinanzeigen/user/8903", "Link")</f>
        <v/>
      </c>
      <c r="Q1723" s="7" t="n">
        <v>45545.86274305556</v>
      </c>
      <c r="R1723" s="3" t="inlineStr">
        <is>
          <t>79.87</t>
        </is>
      </c>
      <c r="S1723" t="inlineStr">
        <is>
          <t>Köln</t>
        </is>
      </c>
    </row>
    <row r="1724">
      <c r="A1724" s="2" t="n">
        <v>5.4</v>
      </c>
      <c r="B1724" t="inlineStr">
        <is>
          <t>Neil Pryde ATLAS</t>
        </is>
      </c>
      <c r="C1724" s="3" t="n">
        <v>424</v>
      </c>
      <c r="D1724" s="3" t="n">
        <v>173</v>
      </c>
      <c r="E1724" t="inlineStr"/>
      <c r="F1724" t="inlineStr"/>
      <c r="G1724" t="inlineStr">
        <is>
          <t>used, very good condition</t>
        </is>
      </c>
      <c r="H1724" s="4" t="n">
        <v>150</v>
      </c>
      <c r="I1724" t="inlineStr">
        <is>
          <t>VB</t>
        </is>
      </c>
      <c r="J1724" t="inlineStr">
        <is>
          <t>23909 Ratzeburg</t>
        </is>
      </c>
      <c r="K1724" s="5" t="n">
        <v>45545</v>
      </c>
      <c r="L1724" t="inlineStr">
        <is>
          <t>Sold</t>
        </is>
      </c>
      <c r="M1724" s="6">
        <f>HYPERLINK("https://www.dailydose.de/kleinanzeigen/detail.htm?ai=422331&amp;cf=kk&amp;pg=1&amp;ci=5", "Link")</f>
        <v/>
      </c>
      <c r="N1724" s="6">
        <f>HYPERLINK("C:\Projects\Kleinanzeigen-Scraper\offer_images\422331", "Link")</f>
        <v/>
      </c>
      <c r="O1724" t="inlineStr">
        <is>
          <t>Insider</t>
        </is>
      </c>
      <c r="P1724" s="6">
        <f>HYPERLINK("https://www.dailydose.de/kleinanzeigen/user/20603", "Link")</f>
        <v/>
      </c>
      <c r="Q1724" s="7" t="n">
        <v>45545.86265046296</v>
      </c>
      <c r="R1724" s="3" t="inlineStr">
        <is>
          <t>401.75</t>
        </is>
      </c>
      <c r="S1724" t="inlineStr">
        <is>
          <t>Köln</t>
        </is>
      </c>
    </row>
    <row r="1725">
      <c r="A1725" s="2" t="n">
        <v>6.9</v>
      </c>
      <c r="B1725" t="inlineStr">
        <is>
          <t>Simmer Zero</t>
        </is>
      </c>
      <c r="C1725" s="3" t="n">
        <v>460</v>
      </c>
      <c r="D1725" s="3" t="n">
        <v>197</v>
      </c>
      <c r="E1725" t="inlineStr">
        <is>
          <t>Freeride</t>
        </is>
      </c>
      <c r="F1725" t="inlineStr"/>
      <c r="G1725" t="inlineStr">
        <is>
          <t>used</t>
        </is>
      </c>
      <c r="H1725" s="4" t="n">
        <v>60</v>
      </c>
      <c r="I1725" t="inlineStr"/>
      <c r="J1725" t="inlineStr">
        <is>
          <t>10557 Berlin</t>
        </is>
      </c>
      <c r="K1725" s="5" t="n">
        <v>45545</v>
      </c>
      <c r="L1725" t="inlineStr">
        <is>
          <t>Sold</t>
        </is>
      </c>
      <c r="M1725" s="6">
        <f>HYPERLINK("https://www.dailydose.de/kleinanzeigen/detail.htm?ai=422324&amp;cf=kk&amp;pg=5&amp;ci=5", "Link")</f>
        <v/>
      </c>
      <c r="N1725" s="6">
        <f>HYPERLINK("C:\Projects\Kleinanzeigen-Scraper\offer_images\422324", "Link")</f>
        <v/>
      </c>
      <c r="O1725" t="inlineStr">
        <is>
          <t>Fabian Becher</t>
        </is>
      </c>
      <c r="P1725" s="6">
        <f>HYPERLINK("https://www.dailydose.de/kleinanzeigen/user/8106", "Link")</f>
        <v/>
      </c>
      <c r="Q1725" s="7" t="n">
        <v>45545.86216435185</v>
      </c>
      <c r="R1725" s="3" t="inlineStr">
        <is>
          <t>475.20</t>
        </is>
      </c>
      <c r="S1725" t="inlineStr">
        <is>
          <t>Köln</t>
        </is>
      </c>
    </row>
    <row r="1726">
      <c r="A1726" s="2" t="n">
        <v>5</v>
      </c>
      <c r="B1726" t="inlineStr">
        <is>
          <t>HotSails Maui Smack</t>
        </is>
      </c>
      <c r="C1726" s="3" t="inlineStr"/>
      <c r="D1726" s="3" t="inlineStr"/>
      <c r="E1726" t="inlineStr"/>
      <c r="F1726" t="inlineStr"/>
      <c r="G1726" t="inlineStr">
        <is>
          <t>repaired</t>
        </is>
      </c>
      <c r="H1726" s="4" t="n">
        <v>50</v>
      </c>
      <c r="I1726" t="inlineStr"/>
      <c r="J1726" t="inlineStr">
        <is>
          <t>22085 Hamburg</t>
        </is>
      </c>
      <c r="K1726" s="5" t="n">
        <v>45545</v>
      </c>
      <c r="L1726" t="inlineStr">
        <is>
          <t>Sold</t>
        </is>
      </c>
      <c r="M1726" s="6">
        <f>HYPERLINK("https://www.dailydose.de/kleinanzeigen/detail.htm?ai=422335&amp;cf=kk&amp;pg=5&amp;ci=5", "Link")</f>
        <v/>
      </c>
      <c r="N1726" s="6">
        <f>HYPERLINK("C:\Projects\Kleinanzeigen-Scraper\offer_images\422335", "Link")</f>
        <v/>
      </c>
      <c r="O1726" t="inlineStr">
        <is>
          <t>Alex_26</t>
        </is>
      </c>
      <c r="P1726" s="6">
        <f>HYPERLINK("https://www.dailydose.de/kleinanzeigen/user/3265", "Link")</f>
        <v/>
      </c>
      <c r="Q1726" s="7" t="n">
        <v>45545.86210648148</v>
      </c>
      <c r="R1726" s="3" t="inlineStr">
        <is>
          <t>359.41</t>
        </is>
      </c>
      <c r="S1726" t="inlineStr">
        <is>
          <t>Köln</t>
        </is>
      </c>
    </row>
    <row r="1727">
      <c r="A1727" s="2" t="n">
        <v>8.199999999999999</v>
      </c>
      <c r="B1727" t="inlineStr">
        <is>
          <t>Challenger H2O LIQUIDO</t>
        </is>
      </c>
      <c r="C1727" s="3" t="n">
        <v>494</v>
      </c>
      <c r="D1727" s="3" t="n">
        <v>210</v>
      </c>
      <c r="E1727" t="inlineStr">
        <is>
          <t>Freerace</t>
        </is>
      </c>
      <c r="F1727" t="inlineStr"/>
      <c r="G1727" t="inlineStr">
        <is>
          <t>used</t>
        </is>
      </c>
      <c r="H1727" s="4" t="n">
        <v>150</v>
      </c>
      <c r="I1727" t="inlineStr">
        <is>
          <t>VB</t>
        </is>
      </c>
      <c r="J1727" t="inlineStr">
        <is>
          <t>23909 Ratzeburg</t>
        </is>
      </c>
      <c r="K1727" s="5" t="n">
        <v>45545</v>
      </c>
      <c r="L1727" t="inlineStr">
        <is>
          <t>Sold</t>
        </is>
      </c>
      <c r="M1727" s="6">
        <f>HYPERLINK("https://www.dailydose.de/kleinanzeigen/detail.htm?ai=422329&amp;cf=kk&amp;pg=5&amp;ci=5", "Link")</f>
        <v/>
      </c>
      <c r="N1727" s="6">
        <f>HYPERLINK("C:\Projects\Kleinanzeigen-Scraper\offer_images\422329", "Link")</f>
        <v/>
      </c>
      <c r="O1727" t="inlineStr">
        <is>
          <t>Insider</t>
        </is>
      </c>
      <c r="P1727" s="6">
        <f>HYPERLINK("https://www.dailydose.de/kleinanzeigen/user/20603", "Link")</f>
        <v/>
      </c>
      <c r="Q1727" s="7" t="n">
        <v>45545.86203703703</v>
      </c>
      <c r="R1727" s="3" t="inlineStr">
        <is>
          <t>401.75</t>
        </is>
      </c>
      <c r="S1727" t="inlineStr">
        <is>
          <t>Köln</t>
        </is>
      </c>
    </row>
    <row r="1728">
      <c r="A1728" s="2" t="n">
        <v>5.3</v>
      </c>
      <c r="B1728" t="inlineStr">
        <is>
          <t>North Sails ICE</t>
        </is>
      </c>
      <c r="C1728" s="3" t="n">
        <v>430</v>
      </c>
      <c r="D1728" s="3" t="n">
        <v>173</v>
      </c>
      <c r="E1728" t="inlineStr"/>
      <c r="F1728" t="inlineStr"/>
      <c r="G1728" t="inlineStr">
        <is>
          <t>new</t>
        </is>
      </c>
      <c r="H1728" s="4" t="n">
        <v>80</v>
      </c>
      <c r="I1728" t="inlineStr">
        <is>
          <t>VB</t>
        </is>
      </c>
      <c r="J1728" t="inlineStr">
        <is>
          <t>92637 Bayern - Weiden (Oberpfalz)</t>
        </is>
      </c>
      <c r="K1728" s="5" t="n">
        <v>45544</v>
      </c>
      <c r="L1728" t="inlineStr">
        <is>
          <t>Sold</t>
        </is>
      </c>
      <c r="M1728" s="6">
        <f>HYPERLINK("https://www.kleinanzeigen.de/s-anzeige/windsurfsegel-surfsegel-north-sails-ice-5-3-windsurfen-mit-bag/2858867300-230-7219", "Link")</f>
        <v/>
      </c>
      <c r="N1728" s="6">
        <f>HYPERLINK("C:\Projects\Kleinanzeigen-Scraper\offer_images\2858867300", "Link")</f>
        <v/>
      </c>
      <c r="O1728" t="inlineStr">
        <is>
          <t>Ge.Ro.</t>
        </is>
      </c>
      <c r="P1728" s="6">
        <f>HYPERLINK("https://www.kleinanzeigen.de/s-bestandsliste.html?userId=32298751", "Link")</f>
        <v/>
      </c>
      <c r="Q1728" s="7" t="n">
        <v>45545.86163194444</v>
      </c>
      <c r="R1728" s="3" t="inlineStr">
        <is>
          <t>176.14</t>
        </is>
      </c>
      <c r="S1728" t="inlineStr">
        <is>
          <t>München</t>
        </is>
      </c>
    </row>
    <row r="1729">
      <c r="A1729" s="2" t="n">
        <v>5.2</v>
      </c>
      <c r="B1729" t="inlineStr"/>
      <c r="C1729" s="3" t="inlineStr"/>
      <c r="D1729" s="3" t="inlineStr"/>
      <c r="E1729" t="inlineStr"/>
      <c r="F1729" t="inlineStr"/>
      <c r="G1729" t="inlineStr">
        <is>
          <t>used</t>
        </is>
      </c>
      <c r="H1729" s="4" t="n">
        <v>40</v>
      </c>
      <c r="I1729" t="inlineStr">
        <is>
          <t>VB</t>
        </is>
      </c>
      <c r="J1729" t="inlineStr">
        <is>
          <t>30171 Hannover - Südstadt-Bult</t>
        </is>
      </c>
      <c r="K1729" s="5" t="n">
        <v>45544</v>
      </c>
      <c r="L1729" t="inlineStr">
        <is>
          <t>Sold</t>
        </is>
      </c>
      <c r="M1729" s="6">
        <f>HYPERLINK("https://www.kleinanzeigen.de/s-anzeige/windsurf-segel-5-2-4-3-5/2858916509-230-3162", "Link")</f>
        <v/>
      </c>
      <c r="N1729" s="6">
        <f>HYPERLINK("C:\Projects\Kleinanzeigen-Scraper\offer_images\2858916509", "Link")</f>
        <v/>
      </c>
      <c r="O1729" t="inlineStr">
        <is>
          <t>Oliver</t>
        </is>
      </c>
      <c r="P1729" s="6">
        <f>HYPERLINK("https://www.kleinanzeigen.de/s-bestandsliste.html?userId=17323003", "Link")</f>
        <v/>
      </c>
      <c r="Q1729" s="7" t="n">
        <v>45545.86157407407</v>
      </c>
      <c r="R1729" s="3" t="inlineStr">
        <is>
          <t>249.94</t>
        </is>
      </c>
      <c r="S1729" t="inlineStr">
        <is>
          <t>Köln</t>
        </is>
      </c>
    </row>
    <row r="1730">
      <c r="A1730" s="2" t="n">
        <v>5.6</v>
      </c>
      <c r="B1730" t="inlineStr">
        <is>
          <t>Goya Guru Pro</t>
        </is>
      </c>
      <c r="C1730" s="3" t="n">
        <v>430</v>
      </c>
      <c r="D1730" s="3" t="n">
        <v>179</v>
      </c>
      <c r="E1730" t="inlineStr"/>
      <c r="F1730" t="inlineStr"/>
      <c r="G1730" t="inlineStr">
        <is>
          <t>used</t>
        </is>
      </c>
      <c r="H1730" s="4" t="n">
        <v>80</v>
      </c>
      <c r="I1730" t="inlineStr">
        <is>
          <t>VB</t>
        </is>
      </c>
      <c r="J1730" t="inlineStr">
        <is>
          <t>92637 Bayern - Weiden (Oberpfalz)</t>
        </is>
      </c>
      <c r="K1730" s="5" t="n">
        <v>45544</v>
      </c>
      <c r="L1730" t="inlineStr"/>
      <c r="M1730" s="6">
        <f>HYPERLINK("https://www.kleinanzeigen.de/s-anzeige/windsurfsegel-surfsegel-goya-guru-pro-5-6-windsurfen-mit-bag/2858860618-230-7219", "Link")</f>
        <v/>
      </c>
      <c r="N1730" s="6">
        <f>HYPERLINK("C:\Projects\Kleinanzeigen-Scraper\offer_images\2858860618", "Link")</f>
        <v/>
      </c>
      <c r="O1730" t="inlineStr">
        <is>
          <t>Ge.Ro.</t>
        </is>
      </c>
      <c r="P1730" s="6">
        <f>HYPERLINK("https://www.kleinanzeigen.de/s-bestandsliste.html?userId=32298751", "Link")</f>
        <v/>
      </c>
      <c r="Q1730" s="7" t="n">
        <v>45545.86134259259</v>
      </c>
      <c r="R1730" s="3" t="inlineStr">
        <is>
          <t>176.14</t>
        </is>
      </c>
      <c r="S1730" t="inlineStr">
        <is>
          <t>München</t>
        </is>
      </c>
    </row>
    <row r="1731">
      <c r="A1731" s="2" t="n">
        <v>5.2</v>
      </c>
      <c r="B1731" t="inlineStr">
        <is>
          <t>Sailloft</t>
        </is>
      </c>
      <c r="C1731" s="3" t="inlineStr"/>
      <c r="D1731" s="3" t="inlineStr"/>
      <c r="E1731" t="inlineStr">
        <is>
          <t>Freestyle</t>
        </is>
      </c>
      <c r="F1731" t="inlineStr"/>
      <c r="G1731" t="inlineStr">
        <is>
          <t>new</t>
        </is>
      </c>
      <c r="H1731" s="4" t="n">
        <v>285</v>
      </c>
      <c r="I1731" t="inlineStr"/>
      <c r="J1731" t="inlineStr">
        <is>
          <t>22769 Altona - Hamburg Bahrenfeld</t>
        </is>
      </c>
      <c r="K1731" s="5" t="n">
        <v>45543</v>
      </c>
      <c r="L1731" t="inlineStr">
        <is>
          <t>Sold</t>
        </is>
      </c>
      <c r="M1731" s="6">
        <f>HYPERLINK("https://www.kleinanzeigen.de/s-anzeige/sailloft-air-5-2-m-segel-windsurf-freestyle/2857684426-230-26485", "Link")</f>
        <v/>
      </c>
      <c r="N1731" s="6">
        <f>HYPERLINK("C:\Projects\Kleinanzeigen-Scraper\offer_images\2857684426", "Link")</f>
        <v/>
      </c>
      <c r="O1731" t="inlineStr">
        <is>
          <t>nordlicht</t>
        </is>
      </c>
      <c r="P1731" s="6">
        <f>HYPERLINK("https://www.kleinanzeigen.de/s-bestandsliste.html?userId=86235875", "Link")</f>
        <v/>
      </c>
      <c r="Q1731" s="7" t="n">
        <v>45545.8612037037</v>
      </c>
      <c r="R1731" s="3" t="inlineStr">
        <is>
          <t>356.14</t>
        </is>
      </c>
      <c r="S1731" t="inlineStr">
        <is>
          <t>Köln</t>
        </is>
      </c>
    </row>
    <row r="1732">
      <c r="A1732" s="2" t="n">
        <v>6.4</v>
      </c>
      <c r="B1732" t="inlineStr">
        <is>
          <t>F2 Speed Slalom</t>
        </is>
      </c>
      <c r="C1732" s="3" t="n">
        <v>485</v>
      </c>
      <c r="D1732" s="3" t="n">
        <v>200</v>
      </c>
      <c r="E1732" t="inlineStr"/>
      <c r="F1732" t="inlineStr">
        <is>
          <t>1980s</t>
        </is>
      </c>
      <c r="G1732" t="inlineStr">
        <is>
          <t>used</t>
        </is>
      </c>
      <c r="H1732" s="4" t="n">
        <v>20</v>
      </c>
      <c r="I1732" t="inlineStr">
        <is>
          <t>VB</t>
        </is>
      </c>
      <c r="J1732" t="inlineStr">
        <is>
          <t>64283 Hessen - Darmstadt</t>
        </is>
      </c>
      <c r="K1732" s="5" t="n">
        <v>45544</v>
      </c>
      <c r="L1732" t="inlineStr">
        <is>
          <t>Sold</t>
        </is>
      </c>
      <c r="M1732" s="6">
        <f>HYPERLINK("https://www.kleinanzeigen.de/s-anzeige/f2-windsurf-segel-6-4-m-/2858811287-230-4896", "Link")</f>
        <v/>
      </c>
      <c r="N1732" s="6">
        <f>HYPERLINK("C:\Projects\Kleinanzeigen-Scraper\offer_images\2858811287", "Link")</f>
        <v/>
      </c>
      <c r="O1732" t="inlineStr">
        <is>
          <t>Leon</t>
        </is>
      </c>
      <c r="P1732" s="6">
        <f>HYPERLINK("https://www.kleinanzeigen.de/s-bestandsliste.html?userId=51062324", "Link")</f>
        <v/>
      </c>
      <c r="Q1732" s="7" t="n">
        <v>45545.86108796296</v>
      </c>
      <c r="R1732" s="3" t="inlineStr">
        <is>
          <t>97.72</t>
        </is>
      </c>
      <c r="S1732" t="inlineStr">
        <is>
          <t>Karlsruhe</t>
        </is>
      </c>
    </row>
    <row r="1733">
      <c r="A1733" s="2" t="n">
        <v>4.7</v>
      </c>
      <c r="B1733" t="inlineStr">
        <is>
          <t>North Sails ICE</t>
        </is>
      </c>
      <c r="C1733" s="3" t="n">
        <v>400</v>
      </c>
      <c r="D1733" s="3" t="n">
        <v>164</v>
      </c>
      <c r="E1733" t="inlineStr"/>
      <c r="F1733" t="inlineStr"/>
      <c r="G1733" t="inlineStr">
        <is>
          <t>used</t>
        </is>
      </c>
      <c r="H1733" s="4" t="n">
        <v>70</v>
      </c>
      <c r="I1733" t="inlineStr">
        <is>
          <t>VB</t>
        </is>
      </c>
      <c r="J1733" t="inlineStr">
        <is>
          <t>92637 Bayern - Weiden (Oberpfalz)</t>
        </is>
      </c>
      <c r="K1733" s="5" t="n">
        <v>45544</v>
      </c>
      <c r="L1733" t="inlineStr">
        <is>
          <t>Sold</t>
        </is>
      </c>
      <c r="M1733" s="6">
        <f>HYPERLINK("https://www.kleinanzeigen.de/s-anzeige/windsurfsegel-surfsegel-north-sails-ice-4-7-windsurfen-mit-bag/2858870706-230-7219", "Link")</f>
        <v/>
      </c>
      <c r="N1733" s="6">
        <f>HYPERLINK("C:\Projects\Kleinanzeigen-Scraper\offer_images\2858870706", "Link")</f>
        <v/>
      </c>
      <c r="O1733" t="inlineStr">
        <is>
          <t>Ge.Ro.</t>
        </is>
      </c>
      <c r="P1733" s="6">
        <f>HYPERLINK("https://www.kleinanzeigen.de/s-bestandsliste.html?userId=32298751", "Link")</f>
        <v/>
      </c>
      <c r="Q1733" s="7" t="n">
        <v>45545.86096064815</v>
      </c>
      <c r="R1733" s="3" t="inlineStr">
        <is>
          <t>176.14</t>
        </is>
      </c>
      <c r="S1733" t="inlineStr">
        <is>
          <t>München</t>
        </is>
      </c>
    </row>
    <row r="1734">
      <c r="A1734" s="2" t="n">
        <v>4.4</v>
      </c>
      <c r="B1734" t="inlineStr">
        <is>
          <t>S2 Maui Freestyle Ninja</t>
        </is>
      </c>
      <c r="C1734" s="3" t="n">
        <v>370</v>
      </c>
      <c r="D1734" s="3" t="n">
        <v>155</v>
      </c>
      <c r="E1734" t="inlineStr"/>
      <c r="F1734" t="inlineStr">
        <is>
          <t>2021</t>
        </is>
      </c>
      <c r="G1734" t="inlineStr">
        <is>
          <t>used</t>
        </is>
      </c>
      <c r="H1734" s="4" t="n">
        <v>190</v>
      </c>
      <c r="I1734" t="inlineStr"/>
      <c r="J1734" t="inlineStr">
        <is>
          <t>Kiel, Sylt, Bremen</t>
        </is>
      </c>
      <c r="K1734" s="5" t="n">
        <v>45544</v>
      </c>
      <c r="L1734" t="inlineStr">
        <is>
          <t>Sold</t>
        </is>
      </c>
      <c r="M1734" s="6">
        <f>HYPERLINK("https://www.dailydose.de/kleinanzeigen/detail.htm?ai=422292&amp;cf=kk&amp;pg=5&amp;ci=5", "Link")</f>
        <v/>
      </c>
      <c r="N1734" s="6">
        <f>HYPERLINK("C:\Projects\Kleinanzeigen-Scraper\offer_images\422292", "Link")</f>
        <v/>
      </c>
      <c r="O1734" t="inlineStr">
        <is>
          <t>sybille</t>
        </is>
      </c>
      <c r="P1734" s="6">
        <f>HYPERLINK("https://www.dailydose.de/kleinanzeigen/user/22818", "Link")</f>
        <v/>
      </c>
      <c r="Q1734" s="7" t="n">
        <v>45544.75217592593</v>
      </c>
      <c r="R1734" s="3" t="inlineStr">
        <is>
          <t>271.41</t>
        </is>
      </c>
      <c r="S1734" t="inlineStr">
        <is>
          <t>Köln</t>
        </is>
      </c>
    </row>
    <row r="1735">
      <c r="A1735" s="2" t="n">
        <v>7.8</v>
      </c>
      <c r="B1735" t="inlineStr">
        <is>
          <t>Duotone Warp_Fin</t>
        </is>
      </c>
      <c r="C1735" s="3" t="n">
        <v>460</v>
      </c>
      <c r="D1735" s="3" t="inlineStr"/>
      <c r="E1735" t="inlineStr"/>
      <c r="F1735" t="inlineStr">
        <is>
          <t>2024</t>
        </is>
      </c>
      <c r="G1735" t="inlineStr">
        <is>
          <t>new</t>
        </is>
      </c>
      <c r="H1735" s="4" t="n">
        <v>690</v>
      </c>
      <c r="I1735" t="inlineStr"/>
      <c r="J1735" t="inlineStr">
        <is>
          <t>33758 Schloß Holte</t>
        </is>
      </c>
      <c r="K1735" s="5" t="n">
        <v>45544</v>
      </c>
      <c r="L1735" t="inlineStr">
        <is>
          <t>Sold</t>
        </is>
      </c>
      <c r="M1735" s="6">
        <f>HYPERLINK("https://www.dailydose.de/kleinanzeigen/detail.htm?ai=422281&amp;cf=kk&amp;pg=5&amp;ci=5", "Link")</f>
        <v/>
      </c>
      <c r="N1735" s="6">
        <f>HYPERLINK("C:\Projects\Kleinanzeigen-Scraper\offer_images\422281", "Link")</f>
        <v/>
      </c>
      <c r="O1735" t="inlineStr">
        <is>
          <t>table__top</t>
        </is>
      </c>
      <c r="P1735" s="6">
        <f>HYPERLINK("https://www.dailydose.de/kleinanzeigen/user/808", "Link")</f>
        <v/>
      </c>
      <c r="Q1735" s="7" t="n">
        <v>45544.7508912037</v>
      </c>
      <c r="R1735" s="3" t="inlineStr">
        <is>
          <t>158.29</t>
        </is>
      </c>
      <c r="S1735" t="inlineStr">
        <is>
          <t>Köln</t>
        </is>
      </c>
    </row>
    <row r="1736">
      <c r="A1736" s="2" t="n">
        <v>5.2</v>
      </c>
      <c r="B1736" t="inlineStr">
        <is>
          <t>Patrik 4 Wave</t>
        </is>
      </c>
      <c r="C1736" s="3" t="n">
        <v>400</v>
      </c>
      <c r="D1736" s="3" t="n">
        <v>110</v>
      </c>
      <c r="E1736" t="inlineStr"/>
      <c r="F1736" t="inlineStr">
        <is>
          <t>2022</t>
        </is>
      </c>
      <c r="G1736" t="inlineStr">
        <is>
          <t>used</t>
        </is>
      </c>
      <c r="H1736" s="4" t="inlineStr">
        <is>
          <t>220 EUR</t>
        </is>
      </c>
      <c r="I1736" t="inlineStr"/>
      <c r="J1736" t="inlineStr">
        <is>
          <t>24145 Kiel</t>
        </is>
      </c>
      <c r="K1736" s="5" t="n">
        <v>45544</v>
      </c>
      <c r="L1736" t="inlineStr">
        <is>
          <t>Sold</t>
        </is>
      </c>
      <c r="M1736" s="6">
        <f>HYPERLINK("https://www.dailydose.de/kleinanzeigen/detail.htm?ai=422264&amp;cf=kk&amp;pg=5&amp;ci=5", "Link")</f>
        <v/>
      </c>
      <c r="N1736" s="6">
        <f>HYPERLINK("C:\Projects\Kleinanzeigen-Scraper\offer_images\422264", "Link")</f>
        <v/>
      </c>
      <c r="O1736" t="inlineStr">
        <is>
          <t>Arne_98</t>
        </is>
      </c>
      <c r="P1736" s="6">
        <f>HYPERLINK("https://www.dailydose.de/kleinanzeigen/user/3117", "Link")</f>
        <v/>
      </c>
      <c r="Q1736" s="7" t="n">
        <v>45544.75060185185</v>
      </c>
      <c r="R1736" s="3" t="inlineStr">
        <is>
          <t>430.05</t>
        </is>
      </c>
      <c r="S1736" t="inlineStr">
        <is>
          <t>Köln</t>
        </is>
      </c>
    </row>
    <row r="1737">
      <c r="A1737" s="2" t="n">
        <v>6.6</v>
      </c>
      <c r="B1737" t="inlineStr">
        <is>
          <t>Neilpryde RS Racing Evo XIII</t>
        </is>
      </c>
      <c r="C1737" s="3" t="n">
        <v>430</v>
      </c>
      <c r="D1737" s="3" t="inlineStr">
        <is>
          <t>189-196</t>
        </is>
      </c>
      <c r="E1737" t="inlineStr"/>
      <c r="F1737" t="inlineStr"/>
      <c r="G1737" t="inlineStr">
        <is>
          <t>new</t>
        </is>
      </c>
      <c r="H1737" s="4" t="n">
        <v>490</v>
      </c>
      <c r="I1737" t="inlineStr"/>
      <c r="J1737" t="inlineStr">
        <is>
          <t>33758 Schloß Holte</t>
        </is>
      </c>
      <c r="K1737" s="5" t="n">
        <v>45544</v>
      </c>
      <c r="L1737" t="inlineStr">
        <is>
          <t>Sold</t>
        </is>
      </c>
      <c r="M1737" s="6">
        <f>HYPERLINK("https://www.dailydose.de/kleinanzeigen/detail.htm?ai=422282&amp;cf=kk&amp;pg=5&amp;ci=5", "Link")</f>
        <v/>
      </c>
      <c r="N1737" s="6">
        <f>HYPERLINK("C:\Projects\Kleinanzeigen-Scraper\offer_images\422282", "Link")</f>
        <v/>
      </c>
      <c r="O1737" t="inlineStr">
        <is>
          <t>table__top</t>
        </is>
      </c>
      <c r="P1737" s="6">
        <f>HYPERLINK("https://www.dailydose.de/kleinanzeigen/user/808", "Link")</f>
        <v/>
      </c>
      <c r="Q1737" s="7" t="n">
        <v>45544.7502662037</v>
      </c>
      <c r="R1737" s="3" t="inlineStr">
        <is>
          <t>158.29</t>
        </is>
      </c>
      <c r="S1737" t="inlineStr">
        <is>
          <t>Köln</t>
        </is>
      </c>
    </row>
    <row r="1738">
      <c r="A1738" s="2" t="n">
        <v>8.4</v>
      </c>
      <c r="B1738" t="inlineStr">
        <is>
          <t>Duotone Warp_Fin</t>
        </is>
      </c>
      <c r="C1738" s="3" t="n">
        <v>490</v>
      </c>
      <c r="D1738" s="3" t="inlineStr"/>
      <c r="E1738" t="inlineStr"/>
      <c r="F1738" t="inlineStr">
        <is>
          <t>2024</t>
        </is>
      </c>
      <c r="G1738" t="inlineStr">
        <is>
          <t>new</t>
        </is>
      </c>
      <c r="H1738" s="4" t="n">
        <v>790</v>
      </c>
      <c r="I1738" t="inlineStr"/>
      <c r="J1738" t="inlineStr">
        <is>
          <t>33758 Schloß Holte</t>
        </is>
      </c>
      <c r="K1738" s="5" t="n">
        <v>45544</v>
      </c>
      <c r="L1738" t="inlineStr">
        <is>
          <t>Sold</t>
        </is>
      </c>
      <c r="M1738" s="6">
        <f>HYPERLINK("https://www.dailydose.de/kleinanzeigen/detail.htm?ai=422280&amp;cf=kk&amp;pg=5&amp;ci=5", "Link")</f>
        <v/>
      </c>
      <c r="N1738" s="6">
        <f>HYPERLINK("C:\Projects\Kleinanzeigen-Scraper\offer_images\422280", "Link")</f>
        <v/>
      </c>
      <c r="O1738" t="inlineStr">
        <is>
          <t>table__top</t>
        </is>
      </c>
      <c r="P1738" s="6">
        <f>HYPERLINK("https://www.dailydose.de/kleinanzeigen/user/808", "Link")</f>
        <v/>
      </c>
      <c r="Q1738" s="7" t="n">
        <v>45544.75013888889</v>
      </c>
      <c r="R1738" s="3" t="inlineStr">
        <is>
          <t>158.29</t>
        </is>
      </c>
      <c r="S1738" t="inlineStr">
        <is>
          <t>Köln</t>
        </is>
      </c>
    </row>
    <row r="1739">
      <c r="A1739" s="2" t="n">
        <v>4.7</v>
      </c>
      <c r="B1739" t="inlineStr">
        <is>
          <t>NP Combat</t>
        </is>
      </c>
      <c r="C1739" s="3" t="n">
        <v>370</v>
      </c>
      <c r="D1739" s="3" t="n">
        <v>163</v>
      </c>
      <c r="E1739" t="inlineStr">
        <is>
          <t>Wave</t>
        </is>
      </c>
      <c r="F1739" t="inlineStr"/>
      <c r="G1739" t="inlineStr">
        <is>
          <t>used</t>
        </is>
      </c>
      <c r="H1739" s="4" t="inlineStr">
        <is>
          <t>80 EUR</t>
        </is>
      </c>
      <c r="I1739" t="inlineStr"/>
      <c r="J1739" t="inlineStr">
        <is>
          <t>24145 Kiel</t>
        </is>
      </c>
      <c r="K1739" s="5" t="n">
        <v>45544</v>
      </c>
      <c r="L1739" t="inlineStr">
        <is>
          <t>Sold</t>
        </is>
      </c>
      <c r="M1739" s="6">
        <f>HYPERLINK("https://www.dailydose.de/kleinanzeigen/detail.htm?ai=422262&amp;cf=kk&amp;pg=5&amp;ci=5", "Link")</f>
        <v/>
      </c>
      <c r="N1739" s="6">
        <f>HYPERLINK("C:\Projects\Kleinanzeigen-Scraper\offer_images\422262", "Link")</f>
        <v/>
      </c>
      <c r="O1739" t="inlineStr">
        <is>
          <t>Arne_98</t>
        </is>
      </c>
      <c r="P1739" s="6">
        <f>HYPERLINK("https://www.dailydose.de/kleinanzeigen/user/3117", "Link")</f>
        <v/>
      </c>
      <c r="Q1739" s="7" t="n">
        <v>45544.74978009259</v>
      </c>
      <c r="R1739" s="3" t="inlineStr">
        <is>
          <t>430.05</t>
        </is>
      </c>
      <c r="S1739" t="inlineStr">
        <is>
          <t>Köln</t>
        </is>
      </c>
    </row>
    <row r="1740">
      <c r="A1740" s="2" t="n">
        <v>6.3</v>
      </c>
      <c r="B1740" t="inlineStr">
        <is>
          <t>Gun Sails TORRO</t>
        </is>
      </c>
      <c r="C1740" s="3" t="inlineStr"/>
      <c r="D1740" s="3" t="inlineStr"/>
      <c r="E1740" t="inlineStr">
        <is>
          <t>Freemove</t>
        </is>
      </c>
      <c r="F1740" t="inlineStr"/>
      <c r="G1740" t="inlineStr"/>
      <c r="H1740" s="4" t="n">
        <v>175</v>
      </c>
      <c r="I1740" t="inlineStr">
        <is>
          <t>VB</t>
        </is>
      </c>
      <c r="J1740" t="inlineStr">
        <is>
          <t>23909 Ratzeburg</t>
        </is>
      </c>
      <c r="K1740" s="5" t="n">
        <v>45543</v>
      </c>
      <c r="L1740" t="inlineStr">
        <is>
          <t>Sold</t>
        </is>
      </c>
      <c r="M1740" s="6">
        <f>HYPERLINK("https://www.dailydose.de/kleinanzeigen/detail.htm?ai=422225&amp;cf=kk&amp;pg=1&amp;ci=5", "Link")</f>
        <v/>
      </c>
      <c r="N1740" s="6">
        <f>HYPERLINK("C:\Projects\Kleinanzeigen-Scraper\offer_images\422225", "Link")</f>
        <v/>
      </c>
      <c r="O1740" t="inlineStr">
        <is>
          <t>Insider</t>
        </is>
      </c>
      <c r="P1740" s="6">
        <f>HYPERLINK("https://www.dailydose.de/kleinanzeigen/user/20603", "Link")</f>
        <v/>
      </c>
      <c r="Q1740" s="7" t="n">
        <v>45544.74921296296</v>
      </c>
      <c r="R1740" s="3" t="inlineStr">
        <is>
          <t>401.75</t>
        </is>
      </c>
      <c r="S1740" t="inlineStr">
        <is>
          <t>Köln</t>
        </is>
      </c>
    </row>
    <row r="1741">
      <c r="A1741" s="2" t="n">
        <v>7.7</v>
      </c>
      <c r="B1741" t="inlineStr">
        <is>
          <t>Point7 AC2</t>
        </is>
      </c>
      <c r="C1741" s="3" t="inlineStr"/>
      <c r="D1741" s="3" t="inlineStr"/>
      <c r="E1741" t="inlineStr"/>
      <c r="F1741" t="inlineStr"/>
      <c r="G1741" t="inlineStr">
        <is>
          <t>repaired</t>
        </is>
      </c>
      <c r="H1741" s="4" t="n">
        <v>100</v>
      </c>
      <c r="I1741" t="inlineStr">
        <is>
          <t>VB</t>
        </is>
      </c>
      <c r="J1741" t="inlineStr">
        <is>
          <t>99867 Thüringen - Gotha</t>
        </is>
      </c>
      <c r="K1741" s="5" t="n">
        <v>45544</v>
      </c>
      <c r="L1741" t="inlineStr"/>
      <c r="M1741" s="6">
        <f>HYPERLINK("https://www.kleinanzeigen.de/s-anzeige/windsurfen-point7-ac2-racesegel-surfsegel/2858300323-230-3718", "Link")</f>
        <v/>
      </c>
      <c r="N1741" s="6">
        <f>HYPERLINK("C:\Projects\Kleinanzeigen-Scraper\offer_images\2858300323", "Link")</f>
        <v/>
      </c>
      <c r="O1741" t="inlineStr">
        <is>
          <t>Sebastian Trinks</t>
        </is>
      </c>
      <c r="P1741" s="6">
        <f>HYPERLINK("https://www.kleinanzeigen.de/s-bestandsliste.html?userId=14861576", "Link")</f>
        <v/>
      </c>
      <c r="Q1741" s="7" t="n">
        <v>45544.74892361111</v>
      </c>
      <c r="R1741" s="3" t="inlineStr">
        <is>
          <t>262.07</t>
        </is>
      </c>
      <c r="S1741" t="inlineStr">
        <is>
          <t>Köln</t>
        </is>
      </c>
    </row>
    <row r="1742">
      <c r="A1742" s="2" t="n">
        <v>4</v>
      </c>
      <c r="B1742" t="inlineStr">
        <is>
          <t>EZZY</t>
        </is>
      </c>
      <c r="C1742" s="3" t="n">
        <v>375</v>
      </c>
      <c r="D1742" s="3" t="n">
        <v>151</v>
      </c>
      <c r="E1742" t="inlineStr">
        <is>
          <t>Wave</t>
        </is>
      </c>
      <c r="F1742" t="inlineStr"/>
      <c r="G1742" t="inlineStr">
        <is>
          <t>used</t>
        </is>
      </c>
      <c r="H1742" s="4" t="n">
        <v>110</v>
      </c>
      <c r="I1742" t="inlineStr">
        <is>
          <t>VB</t>
        </is>
      </c>
      <c r="J1742" t="inlineStr">
        <is>
          <t>24976 Schleswig-Holstein - Handewitt</t>
        </is>
      </c>
      <c r="K1742" s="5" t="n">
        <v>45544</v>
      </c>
      <c r="L1742" t="inlineStr"/>
      <c r="M1742" s="6">
        <f>HYPERLINK("https://www.kleinanzeigen.de/s-anzeige/windsurf-segel-surfsegel-ezzy-4-0/2858211277-230-17448", "Link")</f>
        <v/>
      </c>
      <c r="N1742" s="6">
        <f>HYPERLINK("C:\Projects\Kleinanzeigen-Scraper\offer_images\2858211277", "Link")</f>
        <v/>
      </c>
      <c r="O1742" t="inlineStr">
        <is>
          <t>Alexander Mehrens</t>
        </is>
      </c>
      <c r="P1742" s="6">
        <f>HYPERLINK("https://www.kleinanzeigen.de/s-bestandsliste.html?userId=29130658", "Link")</f>
        <v/>
      </c>
      <c r="Q1742" s="7" t="n">
        <v>45544.74871527778</v>
      </c>
      <c r="R1742" s="3" t="inlineStr">
        <is>
          <t>453.75</t>
        </is>
      </c>
      <c r="S1742" t="inlineStr">
        <is>
          <t>Köln</t>
        </is>
      </c>
    </row>
    <row r="1743">
      <c r="A1743" s="2" t="n">
        <v>4</v>
      </c>
      <c r="B1743" t="inlineStr">
        <is>
          <t>Duotone Super Session HD</t>
        </is>
      </c>
      <c r="C1743" s="3" t="inlineStr"/>
      <c r="D1743" s="3" t="inlineStr"/>
      <c r="E1743" t="inlineStr">
        <is>
          <t>Freewave</t>
        </is>
      </c>
      <c r="F1743" t="inlineStr">
        <is>
          <t>2020</t>
        </is>
      </c>
      <c r="G1743" t="inlineStr">
        <is>
          <t>used</t>
        </is>
      </c>
      <c r="H1743" s="4" t="n">
        <v>300</v>
      </c>
      <c r="I1743" t="inlineStr">
        <is>
          <t>VB</t>
        </is>
      </c>
      <c r="J1743" t="inlineStr">
        <is>
          <t>82211 Bayern - Herrsching</t>
        </is>
      </c>
      <c r="K1743" s="5" t="n">
        <v>45544</v>
      </c>
      <c r="L1743" t="inlineStr">
        <is>
          <t>Sold</t>
        </is>
      </c>
      <c r="M1743" s="6">
        <f>HYPERLINK("https://www.kleinanzeigen.de/s-anzeige/duotone-super-session-hd-4-0-windsurf-segel-freewave/2858112033-230-5520", "Link")</f>
        <v/>
      </c>
      <c r="N1743" s="6">
        <f>HYPERLINK("C:\Projects\Kleinanzeigen-Scraper\offer_images\2858112033", "Link")</f>
        <v/>
      </c>
      <c r="O1743" t="inlineStr">
        <is>
          <t>Oliver</t>
        </is>
      </c>
      <c r="P1743" s="6">
        <f>HYPERLINK("https://www.kleinanzeigen.de/s-bestandsliste.html?userId=17846362", "Link")</f>
        <v/>
      </c>
      <c r="Q1743" s="7" t="n">
        <v>45544.74870370371</v>
      </c>
      <c r="R1743" s="3" t="inlineStr">
        <is>
          <t>32.73</t>
        </is>
      </c>
      <c r="S1743" t="inlineStr">
        <is>
          <t>München</t>
        </is>
      </c>
    </row>
    <row r="1744">
      <c r="A1744" s="2" t="n">
        <v>5.3</v>
      </c>
      <c r="B1744" t="inlineStr">
        <is>
          <t>Gun Sails RE Seal</t>
        </is>
      </c>
      <c r="C1744" s="3" t="inlineStr"/>
      <c r="D1744" s="3" t="inlineStr"/>
      <c r="E1744" t="inlineStr"/>
      <c r="F1744" t="inlineStr">
        <is>
          <t>2023</t>
        </is>
      </c>
      <c r="G1744" t="inlineStr">
        <is>
          <t>used</t>
        </is>
      </c>
      <c r="H1744" s="4" t="n">
        <v>290</v>
      </c>
      <c r="I1744" t="inlineStr">
        <is>
          <t>VB</t>
        </is>
      </c>
      <c r="J1744" t="inlineStr">
        <is>
          <t>23701 Kreis Ostholstein - Süsel</t>
        </is>
      </c>
      <c r="K1744" s="5" t="n">
        <v>45544</v>
      </c>
      <c r="L1744" t="inlineStr">
        <is>
          <t>Sold</t>
        </is>
      </c>
      <c r="M1744" s="6">
        <f>HYPERLINK("https://www.kleinanzeigen.de/s-anzeige/windsurfen-windsurfsegel-gun-sails-re-seal-5-3/2858135383-230-460", "Link")</f>
        <v/>
      </c>
      <c r="N1744" s="6">
        <f>HYPERLINK("C:\Projects\Kleinanzeigen-Scraper\offer_images\2858135383", "Link")</f>
        <v/>
      </c>
      <c r="O1744" t="inlineStr">
        <is>
          <t>Gunnar</t>
        </is>
      </c>
      <c r="P1744" s="6">
        <f>HYPERLINK("https://www.kleinanzeigen.de/s-bestandsliste.html?userId=18278794", "Link")</f>
        <v/>
      </c>
      <c r="Q1744" s="7" t="n">
        <v>45544.74868055555</v>
      </c>
      <c r="R1744" s="3" t="inlineStr">
        <is>
          <t>431.90</t>
        </is>
      </c>
      <c r="S1744" t="inlineStr">
        <is>
          <t>Köln</t>
        </is>
      </c>
    </row>
    <row r="1745">
      <c r="A1745" s="2" t="n">
        <v>6.4</v>
      </c>
      <c r="B1745" t="inlineStr">
        <is>
          <t>Point7</t>
        </is>
      </c>
      <c r="C1745" s="3" t="n">
        <v>430</v>
      </c>
      <c r="D1745" s="3" t="inlineStr"/>
      <c r="E1745" t="inlineStr"/>
      <c r="F1745" t="inlineStr"/>
      <c r="G1745" t="inlineStr">
        <is>
          <t>used</t>
        </is>
      </c>
      <c r="H1745" s="4" t="n">
        <v>175</v>
      </c>
      <c r="I1745" t="inlineStr"/>
      <c r="J1745" t="inlineStr">
        <is>
          <t>22880 Kreis Pinneberg - Wedel</t>
        </is>
      </c>
      <c r="K1745" s="5" t="n">
        <v>45543</v>
      </c>
      <c r="L1745" t="inlineStr"/>
      <c r="M1745" s="6">
        <f>HYPERLINK("https://www.kleinanzeigen.de/s-anzeige/point7-6-4-m-freeride-segel-windsurf-windfoil/2857627046-230-756", "Link")</f>
        <v/>
      </c>
      <c r="N1745" s="6">
        <f>HYPERLINK("C:\Projects\Kleinanzeigen-Scraper\offer_images\2857627046", "Link")</f>
        <v/>
      </c>
      <c r="O1745" t="inlineStr">
        <is>
          <t>Jahn</t>
        </is>
      </c>
      <c r="P1745" s="6">
        <f>HYPERLINK("https://www.kleinanzeigen.de/s-bestandsliste.html?userId=16125684", "Link")</f>
        <v/>
      </c>
      <c r="Q1745" s="7" t="n">
        <v>45544.74856481481</v>
      </c>
      <c r="R1745" s="3" t="inlineStr">
        <is>
          <t>349.30</t>
        </is>
      </c>
      <c r="S1745" t="inlineStr">
        <is>
          <t>Köln</t>
        </is>
      </c>
    </row>
    <row r="1746">
      <c r="A1746" s="2" t="n">
        <v>5.4</v>
      </c>
      <c r="B1746" t="inlineStr">
        <is>
          <t>Neil Pryde Search</t>
        </is>
      </c>
      <c r="C1746" s="3" t="n">
        <v>430</v>
      </c>
      <c r="D1746" s="3" t="n">
        <v>160</v>
      </c>
      <c r="E1746" t="inlineStr"/>
      <c r="F1746" t="inlineStr"/>
      <c r="G1746" t="inlineStr">
        <is>
          <t>repaired</t>
        </is>
      </c>
      <c r="H1746" s="4" t="n">
        <v>60</v>
      </c>
      <c r="I1746" t="inlineStr">
        <is>
          <t>VB</t>
        </is>
      </c>
      <c r="J1746" t="inlineStr">
        <is>
          <t>24976 Schleswig-Holstein - Handewitt</t>
        </is>
      </c>
      <c r="K1746" s="5" t="n">
        <v>45544</v>
      </c>
      <c r="L1746" t="inlineStr">
        <is>
          <t>Sold</t>
        </is>
      </c>
      <c r="M1746" s="6">
        <f>HYPERLINK("https://www.kleinanzeigen.de/s-anzeige/windsurf-segel-surfsegel-neil-pryde-search-5-4/2858218302-230-17448", "Link")</f>
        <v/>
      </c>
      <c r="N1746" s="6">
        <f>HYPERLINK("C:\Projects\Kleinanzeigen-Scraper\offer_images\2858218302", "Link")</f>
        <v/>
      </c>
      <c r="O1746" t="inlineStr">
        <is>
          <t>Alexander Mehrens</t>
        </is>
      </c>
      <c r="P1746" s="6">
        <f>HYPERLINK("https://www.kleinanzeigen.de/s-bestandsliste.html?userId=29130658", "Link")</f>
        <v/>
      </c>
      <c r="Q1746" s="7" t="n">
        <v>45544.7484837963</v>
      </c>
      <c r="R1746" s="3" t="inlineStr">
        <is>
          <t>453.75</t>
        </is>
      </c>
      <c r="S1746" t="inlineStr">
        <is>
          <t>Köln</t>
        </is>
      </c>
    </row>
    <row r="1747">
      <c r="A1747" s="2" t="n">
        <v>6.4</v>
      </c>
      <c r="B1747" t="inlineStr">
        <is>
          <t>Neil Pryde Excess</t>
        </is>
      </c>
      <c r="C1747" s="3" t="n">
        <v>460</v>
      </c>
      <c r="D1747" s="3" t="n">
        <v>192</v>
      </c>
      <c r="E1747" t="inlineStr"/>
      <c r="F1747" t="inlineStr"/>
      <c r="G1747" t="inlineStr">
        <is>
          <t>used</t>
        </is>
      </c>
      <c r="H1747" s="4" t="n">
        <v>85</v>
      </c>
      <c r="I1747" t="inlineStr">
        <is>
          <t>VB</t>
        </is>
      </c>
      <c r="J1747" t="inlineStr">
        <is>
          <t>99867 Thüringen - Gotha</t>
        </is>
      </c>
      <c r="K1747" s="5" t="n">
        <v>45544</v>
      </c>
      <c r="L1747" t="inlineStr">
        <is>
          <t>Sold</t>
        </is>
      </c>
      <c r="M1747" s="6">
        <f>HYPERLINK("https://www.kleinanzeigen.de/s-anzeige/windsurfen-neil-pryde-excess-6-4-surfsegel/2858287269-230-3718", "Link")</f>
        <v/>
      </c>
      <c r="N1747" s="6">
        <f>HYPERLINK("C:\Projects\Kleinanzeigen-Scraper\offer_images\2858287269", "Link")</f>
        <v/>
      </c>
      <c r="O1747" t="inlineStr">
        <is>
          <t>Sebastian Trinks</t>
        </is>
      </c>
      <c r="P1747" s="6">
        <f>HYPERLINK("https://www.kleinanzeigen.de/s-bestandsliste.html?userId=14861576", "Link")</f>
        <v/>
      </c>
      <c r="Q1747" s="7" t="n">
        <v>45544.74839120371</v>
      </c>
      <c r="R1747" s="3" t="inlineStr">
        <is>
          <t>262.07</t>
        </is>
      </c>
      <c r="S1747" t="inlineStr">
        <is>
          <t>Köln</t>
        </is>
      </c>
    </row>
    <row r="1748">
      <c r="A1748" s="2" t="n">
        <v>4.7</v>
      </c>
      <c r="B1748" t="inlineStr">
        <is>
          <t>EZZY Sails</t>
        </is>
      </c>
      <c r="C1748" s="3" t="n">
        <v>409</v>
      </c>
      <c r="D1748" s="3" t="n">
        <v>166</v>
      </c>
      <c r="E1748" t="inlineStr">
        <is>
          <t>Wave</t>
        </is>
      </c>
      <c r="F1748" t="inlineStr"/>
      <c r="G1748" t="inlineStr">
        <is>
          <t>used</t>
        </is>
      </c>
      <c r="H1748" s="4" t="n">
        <v>130</v>
      </c>
      <c r="I1748" t="inlineStr">
        <is>
          <t>VB</t>
        </is>
      </c>
      <c r="J1748" t="inlineStr">
        <is>
          <t>24976 Schleswig-Holstein - Handewitt</t>
        </is>
      </c>
      <c r="K1748" s="5" t="n">
        <v>45544</v>
      </c>
      <c r="L1748" t="inlineStr"/>
      <c r="M1748" s="6">
        <f>HYPERLINK("https://www.kleinanzeigen.de/s-anzeige/windsurf-segel-surfsegel-ezzy-sails-4-7/2858212842-230-17448", "Link")</f>
        <v/>
      </c>
      <c r="N1748" s="6">
        <f>HYPERLINK("C:\Projects\Kleinanzeigen-Scraper\offer_images\2858212842", "Link")</f>
        <v/>
      </c>
      <c r="O1748" t="inlineStr">
        <is>
          <t>Alexander Mehrens</t>
        </is>
      </c>
      <c r="P1748" s="6">
        <f>HYPERLINK("https://www.kleinanzeigen.de/s-bestandsliste.html?userId=29130658", "Link")</f>
        <v/>
      </c>
      <c r="Q1748" s="7" t="n">
        <v>45544.74839120371</v>
      </c>
      <c r="R1748" s="3" t="inlineStr">
        <is>
          <t>453.75</t>
        </is>
      </c>
      <c r="S1748" t="inlineStr">
        <is>
          <t>Köln</t>
        </is>
      </c>
    </row>
    <row r="1749">
      <c r="A1749" s="2" t="n">
        <v>7.7</v>
      </c>
      <c r="B1749" t="inlineStr">
        <is>
          <t>Patrik Race+</t>
        </is>
      </c>
      <c r="C1749" s="3" t="inlineStr"/>
      <c r="D1749" s="3" t="inlineStr"/>
      <c r="E1749" t="inlineStr">
        <is>
          <t>Slalom</t>
        </is>
      </c>
      <c r="F1749" t="inlineStr"/>
      <c r="G1749" t="inlineStr">
        <is>
          <t>used</t>
        </is>
      </c>
      <c r="H1749" s="4" t="n">
        <v>389</v>
      </c>
      <c r="I1749" t="inlineStr"/>
      <c r="J1749" t="inlineStr">
        <is>
          <t>22880 Kreis Pinneberg - Wedel</t>
        </is>
      </c>
      <c r="K1749" s="5" t="n">
        <v>45543</v>
      </c>
      <c r="L1749" t="inlineStr">
        <is>
          <t>Sold</t>
        </is>
      </c>
      <c r="M1749" s="6">
        <f>HYPERLINK("https://www.kleinanzeigen.de/s-anzeige/patrik-race-7-7-m-segel-windsurf-slalom/2857365899-230-756", "Link")</f>
        <v/>
      </c>
      <c r="N1749" s="6">
        <f>HYPERLINK("C:\Projects\Kleinanzeigen-Scraper\offer_images\2857365899", "Link")</f>
        <v/>
      </c>
      <c r="O1749" t="inlineStr">
        <is>
          <t>Jahn</t>
        </is>
      </c>
      <c r="P1749" s="6">
        <f>HYPERLINK("https://www.kleinanzeigen.de/s-bestandsliste.html?userId=16125684", "Link")</f>
        <v/>
      </c>
      <c r="Q1749" s="7" t="n">
        <v>45544.74828703704</v>
      </c>
      <c r="R1749" s="3" t="inlineStr">
        <is>
          <t>349.30</t>
        </is>
      </c>
      <c r="S1749" t="inlineStr">
        <is>
          <t>Köln</t>
        </is>
      </c>
    </row>
    <row r="1750">
      <c r="A1750" s="2" t="n">
        <v>4.7</v>
      </c>
      <c r="B1750" t="inlineStr">
        <is>
          <t>Gun Sails Seal</t>
        </is>
      </c>
      <c r="C1750" s="3" t="inlineStr"/>
      <c r="D1750" s="3" t="inlineStr"/>
      <c r="E1750" t="inlineStr"/>
      <c r="F1750" t="inlineStr">
        <is>
          <t>2022</t>
        </is>
      </c>
      <c r="G1750" t="inlineStr">
        <is>
          <t>used</t>
        </is>
      </c>
      <c r="H1750" s="4" t="n">
        <v>270</v>
      </c>
      <c r="I1750" t="inlineStr">
        <is>
          <t>VB</t>
        </is>
      </c>
      <c r="J1750" t="inlineStr">
        <is>
          <t>23701 Kreis Ostholstein - Süsel</t>
        </is>
      </c>
      <c r="K1750" s="5" t="n">
        <v>45544</v>
      </c>
      <c r="L1750" t="inlineStr">
        <is>
          <t>Sold</t>
        </is>
      </c>
      <c r="M1750" s="6">
        <f>HYPERLINK("https://www.kleinanzeigen.de/s-anzeige/windsurfen-windsurfsegel-gun-sails-seal-4-7-2022/2858135822-230-460", "Link")</f>
        <v/>
      </c>
      <c r="N1750" s="6">
        <f>HYPERLINK("C:\Projects\Kleinanzeigen-Scraper\offer_images\2858135822", "Link")</f>
        <v/>
      </c>
      <c r="O1750" t="inlineStr">
        <is>
          <t>Gunnar</t>
        </is>
      </c>
      <c r="P1750" s="6">
        <f>HYPERLINK("https://www.kleinanzeigen.de/s-bestandsliste.html?userId=18278794", "Link")</f>
        <v/>
      </c>
      <c r="Q1750" s="7" t="n">
        <v>45544.74820601852</v>
      </c>
      <c r="R1750" s="3" t="inlineStr">
        <is>
          <t>431.90</t>
        </is>
      </c>
      <c r="S1750" t="inlineStr">
        <is>
          <t>Köln</t>
        </is>
      </c>
    </row>
    <row r="1751">
      <c r="A1751" s="2" t="n">
        <v>5.6</v>
      </c>
      <c r="B1751" t="inlineStr">
        <is>
          <t>Gaastra Remedy</t>
        </is>
      </c>
      <c r="C1751" s="3" t="n">
        <v>430</v>
      </c>
      <c r="D1751" s="3" t="n">
        <v>180</v>
      </c>
      <c r="E1751" t="inlineStr"/>
      <c r="F1751" t="inlineStr"/>
      <c r="G1751" t="inlineStr">
        <is>
          <t>new</t>
        </is>
      </c>
      <c r="H1751" s="4" t="n">
        <v>170</v>
      </c>
      <c r="I1751" t="inlineStr"/>
      <c r="J1751" t="inlineStr">
        <is>
          <t>Waiblingen</t>
        </is>
      </c>
      <c r="K1751" s="5" t="n">
        <v>45542</v>
      </c>
      <c r="L1751" t="inlineStr">
        <is>
          <t>Sold</t>
        </is>
      </c>
      <c r="M1751" s="6">
        <f>HYPERLINK("https://www.dailydose.de/kleinanzeigen/detail.htm?ai=422179&amp;cf=kk&amp;pg=5&amp;ci=5", "Link")</f>
        <v/>
      </c>
      <c r="N1751" s="6">
        <f>HYPERLINK("C:\Projects\Kleinanzeigen-Scraper\offer_images\422179", "Link")</f>
        <v/>
      </c>
      <c r="O1751" t="inlineStr">
        <is>
          <t>Thomas L.</t>
        </is>
      </c>
      <c r="P1751" s="6">
        <f>HYPERLINK("https://www.dailydose.de/kleinanzeigen/user/14138", "Link")</f>
        <v/>
      </c>
      <c r="Q1751" s="7" t="n">
        <v>45543.55189814815</v>
      </c>
      <c r="R1751" s="3" t="inlineStr">
        <is>
          <t>30.33</t>
        </is>
      </c>
      <c r="S1751" t="inlineStr">
        <is>
          <t>Böblingen</t>
        </is>
      </c>
    </row>
    <row r="1752">
      <c r="A1752" s="2" t="n">
        <v>8</v>
      </c>
      <c r="B1752" t="inlineStr">
        <is>
          <t>Patrik GT3</t>
        </is>
      </c>
      <c r="C1752" s="3" t="n">
        <v>490</v>
      </c>
      <c r="D1752" s="3" t="n">
        <v>205</v>
      </c>
      <c r="E1752" t="inlineStr">
        <is>
          <t>freerace</t>
        </is>
      </c>
      <c r="F1752" t="inlineStr">
        <is>
          <t>2024</t>
        </is>
      </c>
      <c r="G1752" t="inlineStr">
        <is>
          <t>used</t>
        </is>
      </c>
      <c r="H1752" s="4" t="n">
        <v>480</v>
      </c>
      <c r="I1752" t="inlineStr"/>
      <c r="J1752" t="inlineStr">
        <is>
          <t>47803 Krefeld</t>
        </is>
      </c>
      <c r="K1752" s="5" t="n">
        <v>45542</v>
      </c>
      <c r="L1752" t="inlineStr">
        <is>
          <t>Sold</t>
        </is>
      </c>
      <c r="M1752" s="6">
        <f>HYPERLINK("https://www.dailydose.de/kleinanzeigen/detail.htm?ai=422190&amp;cf=kk&amp;pg=1&amp;ci=5", "Link")</f>
        <v/>
      </c>
      <c r="N1752" s="6">
        <f>HYPERLINK("C:\Projects\Kleinanzeigen-Scraper\offer_images\422190", "Link")</f>
        <v/>
      </c>
      <c r="O1752" t="inlineStr">
        <is>
          <t>Matthias_4</t>
        </is>
      </c>
      <c r="P1752" s="6">
        <f>HYPERLINK("https://www.dailydose.de/kleinanzeigen/user/25579", "Link")</f>
        <v/>
      </c>
      <c r="Q1752" s="7" t="n">
        <v>45543.55177083334</v>
      </c>
      <c r="R1752" s="3" t="inlineStr">
        <is>
          <t>53.61</t>
        </is>
      </c>
      <c r="S1752" t="inlineStr">
        <is>
          <t>Köln</t>
        </is>
      </c>
    </row>
    <row r="1753">
      <c r="A1753" s="2" t="n">
        <v>6.5</v>
      </c>
      <c r="B1753" t="inlineStr">
        <is>
          <t>Gaastra Matrix</t>
        </is>
      </c>
      <c r="C1753" s="3" t="n">
        <v>460</v>
      </c>
      <c r="D1753" s="3" t="n">
        <v>198</v>
      </c>
      <c r="E1753" t="inlineStr"/>
      <c r="F1753" t="inlineStr"/>
      <c r="G1753" t="inlineStr">
        <is>
          <t>used</t>
        </is>
      </c>
      <c r="H1753" s="4" t="n">
        <v>150</v>
      </c>
      <c r="I1753" t="inlineStr"/>
      <c r="J1753" t="inlineStr">
        <is>
          <t>71336 Waiblingen</t>
        </is>
      </c>
      <c r="K1753" s="5" t="n">
        <v>45542</v>
      </c>
      <c r="L1753" t="inlineStr">
        <is>
          <t>Sold</t>
        </is>
      </c>
      <c r="M1753" s="6">
        <f>HYPERLINK("https://www.dailydose.de/kleinanzeigen/detail.htm?ai=422180&amp;cf=kk&amp;pg=5&amp;ci=5", "Link")</f>
        <v/>
      </c>
      <c r="N1753" s="6">
        <f>HYPERLINK("C:\Projects\Kleinanzeigen-Scraper\offer_images\422180", "Link")</f>
        <v/>
      </c>
      <c r="O1753" t="inlineStr">
        <is>
          <t>Thomas L.</t>
        </is>
      </c>
      <c r="P1753" s="6">
        <f>HYPERLINK("https://www.dailydose.de/kleinanzeigen/user/14138", "Link")</f>
        <v/>
      </c>
      <c r="Q1753" s="7" t="n">
        <v>45543.55136574074</v>
      </c>
      <c r="R1753" s="3" t="inlineStr">
        <is>
          <t>33.67</t>
        </is>
      </c>
      <c r="S1753" t="inlineStr">
        <is>
          <t>Böblingen</t>
        </is>
      </c>
    </row>
    <row r="1754">
      <c r="A1754" s="2" t="n">
        <v>6.2</v>
      </c>
      <c r="B1754" t="inlineStr">
        <is>
          <t>Gun Rapid</t>
        </is>
      </c>
      <c r="C1754" s="3" t="n">
        <v>4.5</v>
      </c>
      <c r="D1754" s="3" t="n">
        <v>1.6</v>
      </c>
      <c r="E1754" t="inlineStr"/>
      <c r="F1754" t="inlineStr"/>
      <c r="G1754" t="inlineStr"/>
      <c r="H1754" s="4" t="n">
        <v>99</v>
      </c>
      <c r="I1754" t="inlineStr"/>
      <c r="J1754" t="inlineStr">
        <is>
          <t>Versand Marl</t>
        </is>
      </c>
      <c r="K1754" s="5" t="n">
        <v>45543</v>
      </c>
      <c r="L1754" t="inlineStr">
        <is>
          <t>Sold</t>
        </is>
      </c>
      <c r="M1754" s="6">
        <f>HYPERLINK("https://www.dailydose.de/kleinanzeigen/detail.htm?ai=422210&amp;cf=kk&amp;pg=2&amp;ci=5", "Link")</f>
        <v/>
      </c>
      <c r="N1754" s="6">
        <f>HYPERLINK("C:\Projects\Kleinanzeigen-Scraper\offer_images\422210", "Link")</f>
        <v/>
      </c>
      <c r="O1754" t="inlineStr">
        <is>
          <t>margarethe_22</t>
        </is>
      </c>
      <c r="P1754" s="6">
        <f>HYPERLINK("https://www.dailydose.de/kleinanzeigen/user/15510", "Link")</f>
        <v/>
      </c>
      <c r="Q1754" s="7" t="n">
        <v>45543.54974537037</v>
      </c>
      <c r="R1754" s="3" t="inlineStr">
        <is>
          <t>79.46</t>
        </is>
      </c>
      <c r="S1754" t="inlineStr">
        <is>
          <t>Köln</t>
        </is>
      </c>
    </row>
    <row r="1755">
      <c r="A1755" s="2" t="n">
        <v>5.7</v>
      </c>
      <c r="B1755" t="inlineStr">
        <is>
          <t>WINDSURFER LT</t>
        </is>
      </c>
      <c r="C1755" s="3" t="inlineStr"/>
      <c r="D1755" s="3" t="inlineStr"/>
      <c r="E1755" t="inlineStr"/>
      <c r="F1755" t="inlineStr"/>
      <c r="G1755" t="inlineStr">
        <is>
          <t>used</t>
        </is>
      </c>
      <c r="H1755" s="4" t="n">
        <v>299</v>
      </c>
      <c r="I1755" t="inlineStr">
        <is>
          <t>VB</t>
        </is>
      </c>
      <c r="J1755" t="inlineStr">
        <is>
          <t>10779 Berlin - Wilmersdorf</t>
        </is>
      </c>
      <c r="K1755" s="5" t="n">
        <v>45541</v>
      </c>
      <c r="L1755" t="inlineStr">
        <is>
          <t>Sold</t>
        </is>
      </c>
      <c r="M1755" s="6">
        <f>HYPERLINK("https://www.kleinanzeigen.de/s-anzeige/windsurfer-lt-race-sail-5-7/2855735606-230-3533", "Link")</f>
        <v/>
      </c>
      <c r="N1755" s="6">
        <f>HYPERLINK("C:\Projects\Kleinanzeigen-Scraper\offer_images\2855735606", "Link")</f>
        <v/>
      </c>
      <c r="O1755" t="inlineStr">
        <is>
          <t>matt</t>
        </is>
      </c>
      <c r="P1755" s="6">
        <f>HYPERLINK("https://www.kleinanzeigen.de/s-bestandsliste.html?userId=11910655", "Link")</f>
        <v/>
      </c>
      <c r="Q1755" s="7" t="n">
        <v>45543.54931712963</v>
      </c>
      <c r="R1755" s="3" t="inlineStr">
        <is>
          <t>472.47</t>
        </is>
      </c>
      <c r="S1755" t="inlineStr">
        <is>
          <t>Köln</t>
        </is>
      </c>
    </row>
    <row r="1756">
      <c r="A1756" s="2" t="n">
        <v>6.1</v>
      </c>
      <c r="B1756" t="inlineStr">
        <is>
          <t>Gunsails Transwave</t>
        </is>
      </c>
      <c r="C1756" s="3" t="inlineStr"/>
      <c r="D1756" s="3" t="inlineStr"/>
      <c r="E1756" t="inlineStr"/>
      <c r="F1756" t="inlineStr"/>
      <c r="G1756" t="inlineStr">
        <is>
          <t>used</t>
        </is>
      </c>
      <c r="H1756" s="4" t="n">
        <v>150</v>
      </c>
      <c r="I1756" t="inlineStr"/>
      <c r="J1756" t="inlineStr">
        <is>
          <t>23730 Kreis Ostholstein - Neustadt in Holstein</t>
        </is>
      </c>
      <c r="K1756" s="5" t="n">
        <v>45543</v>
      </c>
      <c r="L1756" t="inlineStr">
        <is>
          <t>Sold</t>
        </is>
      </c>
      <c r="M1756" s="6">
        <f>HYPERLINK("https://www.kleinanzeigen.de/s-anzeige/windsurf-segel-gunsails-6-1qm/2857152854-230-13579", "Link")</f>
        <v/>
      </c>
      <c r="N1756" s="6">
        <f>HYPERLINK("C:\Projects\Kleinanzeigen-Scraper\offer_images\2857152854", "Link")</f>
        <v/>
      </c>
      <c r="O1756" t="inlineStr">
        <is>
          <t>Behrendt</t>
        </is>
      </c>
      <c r="P1756" s="6">
        <f>HYPERLINK("https://www.kleinanzeigen.de/s-bestandsliste.html?userId=9402516", "Link")</f>
        <v/>
      </c>
      <c r="Q1756" s="7" t="n">
        <v>45543.54929398148</v>
      </c>
      <c r="R1756" s="3" t="inlineStr">
        <is>
          <t>441.08</t>
        </is>
      </c>
      <c r="S1756" t="inlineStr">
        <is>
          <t>Köln</t>
        </is>
      </c>
    </row>
    <row r="1757">
      <c r="A1757" s="2" t="n">
        <v>7.8</v>
      </c>
      <c r="B1757" t="inlineStr">
        <is>
          <t>North E Type</t>
        </is>
      </c>
      <c r="C1757" s="3" t="n">
        <v>460</v>
      </c>
      <c r="D1757" s="3" t="n">
        <v>209</v>
      </c>
      <c r="E1757" t="inlineStr"/>
      <c r="F1757" t="inlineStr">
        <is>
          <t>2018</t>
        </is>
      </c>
      <c r="G1757" t="inlineStr">
        <is>
          <t>used</t>
        </is>
      </c>
      <c r="H1757" s="4" t="n">
        <v>230</v>
      </c>
      <c r="I1757" t="inlineStr">
        <is>
          <t>VB</t>
        </is>
      </c>
      <c r="J1757" t="inlineStr">
        <is>
          <t>16515 Brandenburg - Oranienburg</t>
        </is>
      </c>
      <c r="K1757" s="5" t="n">
        <v>45543</v>
      </c>
      <c r="L1757" t="inlineStr">
        <is>
          <t>Sold</t>
        </is>
      </c>
      <c r="M1757" s="6">
        <f>HYPERLINK("https://www.kleinanzeigen.de/s-anzeige/north-sails-7-8-e-type-segel-windsurfen-surfsegel-e-type/2857106618-230-7814", "Link")</f>
        <v/>
      </c>
      <c r="N1757" s="6">
        <f>HYPERLINK("C:\Projects\Kleinanzeigen-Scraper\offer_images\2857106618", "Link")</f>
        <v/>
      </c>
      <c r="O1757" t="inlineStr">
        <is>
          <t>DW</t>
        </is>
      </c>
      <c r="P1757" s="6">
        <f>HYPERLINK("https://www.kleinanzeigen.de/s-bestandsliste.html?userId=7064273", "Link")</f>
        <v/>
      </c>
      <c r="Q1757" s="7" t="n">
        <v>45543.54915509259</v>
      </c>
      <c r="R1757" s="3" t="inlineStr">
        <is>
          <t>483.59</t>
        </is>
      </c>
      <c r="S1757" t="inlineStr">
        <is>
          <t>Köln</t>
        </is>
      </c>
    </row>
    <row r="1758">
      <c r="A1758" s="2" t="n">
        <v>6.7</v>
      </c>
      <c r="B1758" t="inlineStr">
        <is>
          <t>Duotone Supersession</t>
        </is>
      </c>
      <c r="C1758" s="3" t="n">
        <v>491</v>
      </c>
      <c r="D1758" s="3" t="n">
        <v>191</v>
      </c>
      <c r="E1758" t="inlineStr"/>
      <c r="F1758" t="inlineStr"/>
      <c r="G1758" t="inlineStr">
        <is>
          <t>used</t>
        </is>
      </c>
      <c r="H1758" s="4" t="n">
        <v>290</v>
      </c>
      <c r="I1758" t="inlineStr">
        <is>
          <t>VB</t>
        </is>
      </c>
      <c r="J1758" t="inlineStr">
        <is>
          <t>16515 Brandenburg - Oranienburg</t>
        </is>
      </c>
      <c r="K1758" s="5" t="n">
        <v>45543</v>
      </c>
      <c r="L1758" t="inlineStr">
        <is>
          <t>Sold</t>
        </is>
      </c>
      <c r="M1758" s="6">
        <f>HYPERLINK("https://www.kleinanzeigen.de/s-anzeige/duotone-supersession-6-7-surfsegel-windsurfen-segel/2857363235-230-7814", "Link")</f>
        <v/>
      </c>
      <c r="N1758" s="6">
        <f>HYPERLINK("C:\Projects\Kleinanzeigen-Scraper\offer_images\2857363235", "Link")</f>
        <v/>
      </c>
      <c r="O1758" t="inlineStr">
        <is>
          <t>DW</t>
        </is>
      </c>
      <c r="P1758" s="6">
        <f>HYPERLINK("https://www.kleinanzeigen.de/s-bestandsliste.html?userId=7064273", "Link")</f>
        <v/>
      </c>
      <c r="Q1758" s="7" t="n">
        <v>45543.54915509259</v>
      </c>
      <c r="R1758" s="3" t="inlineStr">
        <is>
          <t>483.59</t>
        </is>
      </c>
      <c r="S1758" t="inlineStr">
        <is>
          <t>Köln</t>
        </is>
      </c>
    </row>
    <row r="1759">
      <c r="A1759" s="2" t="n">
        <v>7.8</v>
      </c>
      <c r="B1759" t="inlineStr">
        <is>
          <t>Naish Bullet</t>
        </is>
      </c>
      <c r="C1759" s="3" t="inlineStr"/>
      <c r="D1759" s="3" t="inlineStr"/>
      <c r="E1759" t="inlineStr">
        <is>
          <t>Freerace, Freeride</t>
        </is>
      </c>
      <c r="F1759" t="inlineStr"/>
      <c r="G1759" t="inlineStr">
        <is>
          <t>used</t>
        </is>
      </c>
      <c r="H1759" s="4" t="n">
        <v>200</v>
      </c>
      <c r="I1759" t="inlineStr"/>
      <c r="J1759" t="inlineStr">
        <is>
          <t>73667 Baden-Württemberg - Kaisersbach</t>
        </is>
      </c>
      <c r="K1759" s="5" t="n">
        <v>45542</v>
      </c>
      <c r="L1759" t="inlineStr">
        <is>
          <t>Sold</t>
        </is>
      </c>
      <c r="M1759" s="6">
        <f>HYPERLINK("https://www.kleinanzeigen.de/s-anzeige/naish-bullet-7-8-2-cam-freerace-freeride-windsurf-segel/2856228326-230-8367", "Link")</f>
        <v/>
      </c>
      <c r="N1759" s="6">
        <f>HYPERLINK("C:\Projects\Kleinanzeigen-Scraper\offer_images\2856228326", "Link")</f>
        <v/>
      </c>
      <c r="O1759" t="inlineStr">
        <is>
          <t>K.D.</t>
        </is>
      </c>
      <c r="P1759" s="6">
        <f>HYPERLINK("https://www.kleinanzeigen.de/s-bestandsliste.html?userId=3597290", "Link")</f>
        <v/>
      </c>
      <c r="Q1759" s="7" t="n">
        <v>45543.54915509259</v>
      </c>
      <c r="R1759" s="3" t="inlineStr">
        <is>
          <t>55.95</t>
        </is>
      </c>
      <c r="S1759" t="inlineStr">
        <is>
          <t>Böblingen</t>
        </is>
      </c>
    </row>
    <row r="1760">
      <c r="A1760" s="2" t="n">
        <v>4</v>
      </c>
      <c r="B1760" t="inlineStr">
        <is>
          <t>ART Attack Wave/Slalom</t>
        </is>
      </c>
      <c r="C1760" s="3" t="n">
        <v>405</v>
      </c>
      <c r="D1760" s="3" t="n">
        <v>155</v>
      </c>
      <c r="E1760" t="inlineStr">
        <is>
          <t>Slalom</t>
        </is>
      </c>
      <c r="F1760" t="inlineStr"/>
      <c r="G1760" t="inlineStr">
        <is>
          <t>used</t>
        </is>
      </c>
      <c r="H1760" s="4" t="n">
        <v>70</v>
      </c>
      <c r="I1760" t="inlineStr"/>
      <c r="J1760" t="inlineStr">
        <is>
          <t>74321 Baden-Württemberg - Bietigheim-Bissingen</t>
        </is>
      </c>
      <c r="K1760" s="5" t="n">
        <v>45543</v>
      </c>
      <c r="L1760" t="inlineStr">
        <is>
          <t>Sold</t>
        </is>
      </c>
      <c r="M1760" s="6">
        <f>HYPERLINK("https://www.kleinanzeigen.de/s-anzeige/windsurf-segel-4-0-qm/2857025724-230-8681", "Link")</f>
        <v/>
      </c>
      <c r="N1760" s="6">
        <f>HYPERLINK("C:\Projects\Kleinanzeigen-Scraper\offer_images\2857025724", "Link")</f>
        <v/>
      </c>
      <c r="O1760" t="inlineStr">
        <is>
          <t>Andreas Jung</t>
        </is>
      </c>
      <c r="P1760" s="6">
        <f>HYPERLINK("https://www.kleinanzeigen.de/s-bestandsliste.html?userId=12454431", "Link")</f>
        <v/>
      </c>
      <c r="Q1760" s="7" t="n">
        <v>45543.54907407407</v>
      </c>
      <c r="R1760" s="3" t="inlineStr">
        <is>
          <t>32.66</t>
        </is>
      </c>
      <c r="S1760" t="inlineStr">
        <is>
          <t>Böblingen</t>
        </is>
      </c>
    </row>
    <row r="1761">
      <c r="A1761" s="2" t="n">
        <v>7.5</v>
      </c>
      <c r="B1761" t="inlineStr">
        <is>
          <t>Point 7 AC-X</t>
        </is>
      </c>
      <c r="C1761" s="3" t="n">
        <v>460</v>
      </c>
      <c r="D1761" s="3" t="inlineStr"/>
      <c r="E1761" t="inlineStr"/>
      <c r="F1761" t="inlineStr"/>
      <c r="G1761" t="inlineStr">
        <is>
          <t>used</t>
        </is>
      </c>
      <c r="H1761" s="4" t="n">
        <v>345</v>
      </c>
      <c r="I1761" t="inlineStr"/>
      <c r="J1761" t="inlineStr">
        <is>
          <t>81476 München - Thalk.Obersendl.-Forsten-Fürstenr.-Solln</t>
        </is>
      </c>
      <c r="K1761" s="5" t="n">
        <v>45541</v>
      </c>
      <c r="L1761" t="inlineStr">
        <is>
          <t>Sold</t>
        </is>
      </c>
      <c r="M1761" s="6">
        <f>HYPERLINK("https://www.kleinanzeigen.de/s-anzeige/windsurf-segel-point-7-ac-x-7-5-qm/2856063746-230-6436", "Link")</f>
        <v/>
      </c>
      <c r="N1761" s="6">
        <f>HYPERLINK("C:\Projects\Kleinanzeigen-Scraper\offer_images\2856063746", "Link")</f>
        <v/>
      </c>
      <c r="O1761" t="inlineStr">
        <is>
          <t>Mike</t>
        </is>
      </c>
      <c r="P1761" s="6">
        <f>HYPERLINK("https://www.kleinanzeigen.de/s-bestandsliste.html?userId=27971111", "Link")</f>
        <v/>
      </c>
      <c r="Q1761" s="7" t="n">
        <v>45543.54903935185</v>
      </c>
      <c r="R1761" s="3" t="inlineStr">
        <is>
          <t>8.19</t>
        </is>
      </c>
      <c r="S1761" t="inlineStr">
        <is>
          <t>München</t>
        </is>
      </c>
    </row>
    <row r="1762">
      <c r="A1762" s="2" t="n">
        <v>7.8</v>
      </c>
      <c r="B1762" t="inlineStr">
        <is>
          <t>Sailloft Ultimate</t>
        </is>
      </c>
      <c r="C1762" s="3" t="n">
        <v>4.07</v>
      </c>
      <c r="D1762" s="3" t="n">
        <v>2.22</v>
      </c>
      <c r="E1762" t="inlineStr">
        <is>
          <t>Slalom</t>
        </is>
      </c>
      <c r="F1762" t="inlineStr">
        <is>
          <t>2018</t>
        </is>
      </c>
      <c r="G1762" t="inlineStr">
        <is>
          <t>used</t>
        </is>
      </c>
      <c r="H1762" s="4" t="n">
        <v>225</v>
      </c>
      <c r="I1762" t="inlineStr"/>
      <c r="J1762" t="inlineStr">
        <is>
          <t>22769 Altona - Hamburg Bahrenfeld</t>
        </is>
      </c>
      <c r="K1762" s="5" t="n">
        <v>45543</v>
      </c>
      <c r="L1762" t="inlineStr">
        <is>
          <t>Sold</t>
        </is>
      </c>
      <c r="M1762" s="6">
        <f>HYPERLINK("https://www.kleinanzeigen.de/s-anzeige/sailloft-ultimate-7-8-m-slalom-segel-windsurf-race/2857313278-230-26485", "Link")</f>
        <v/>
      </c>
      <c r="N1762" s="6">
        <f>HYPERLINK("C:\Projects\Kleinanzeigen-Scraper\offer_images\2857313278", "Link")</f>
        <v/>
      </c>
      <c r="O1762" t="inlineStr">
        <is>
          <t>nordlicht</t>
        </is>
      </c>
      <c r="P1762" s="6">
        <f>HYPERLINK("https://www.kleinanzeigen.de/s-bestandsliste.html?userId=86235875", "Link")</f>
        <v/>
      </c>
      <c r="Q1762" s="7" t="n">
        <v>45543.54884259259</v>
      </c>
      <c r="R1762" s="3" t="inlineStr">
        <is>
          <t>356.14</t>
        </is>
      </c>
      <c r="S1762" t="inlineStr">
        <is>
          <t>Köln</t>
        </is>
      </c>
    </row>
    <row r="1763">
      <c r="A1763" s="2" t="n">
        <v>7</v>
      </c>
      <c r="B1763" t="inlineStr">
        <is>
          <t>Sailloft Ultimate</t>
        </is>
      </c>
      <c r="C1763" s="3" t="inlineStr"/>
      <c r="D1763" s="3" t="inlineStr"/>
      <c r="E1763" t="inlineStr">
        <is>
          <t>Slalom</t>
        </is>
      </c>
      <c r="F1763" t="inlineStr">
        <is>
          <t>2021</t>
        </is>
      </c>
      <c r="G1763" t="inlineStr">
        <is>
          <t>used</t>
        </is>
      </c>
      <c r="H1763" s="4" t="n">
        <v>375</v>
      </c>
      <c r="I1763" t="inlineStr"/>
      <c r="J1763" t="inlineStr">
        <is>
          <t>22769 Altona - Hamburg Bahrenfeld</t>
        </is>
      </c>
      <c r="K1763" s="5" t="n">
        <v>45543</v>
      </c>
      <c r="L1763" t="inlineStr">
        <is>
          <t>Sold</t>
        </is>
      </c>
      <c r="M1763" s="6">
        <f>HYPERLINK("https://www.kleinanzeigen.de/s-anzeige/sailloft-ultimate-7-0-m-segel-slalom-windsurf-race/2857326140-230-26485", "Link")</f>
        <v/>
      </c>
      <c r="N1763" s="6">
        <f>HYPERLINK("C:\Projects\Kleinanzeigen-Scraper\offer_images\2857326140", "Link")</f>
        <v/>
      </c>
      <c r="O1763" t="inlineStr">
        <is>
          <t>nordlicht</t>
        </is>
      </c>
      <c r="P1763" s="6">
        <f>HYPERLINK("https://www.kleinanzeigen.de/s-bestandsliste.html?userId=86235875", "Link")</f>
        <v/>
      </c>
      <c r="Q1763" s="7" t="n">
        <v>45543.54866898148</v>
      </c>
      <c r="R1763" s="3" t="inlineStr">
        <is>
          <t>356.14</t>
        </is>
      </c>
      <c r="S1763" t="inlineStr">
        <is>
          <t>Köln</t>
        </is>
      </c>
    </row>
    <row r="1764">
      <c r="A1764" s="2" t="n">
        <v>4</v>
      </c>
      <c r="B1764" t="inlineStr">
        <is>
          <t>North Ice</t>
        </is>
      </c>
      <c r="C1764" s="3" t="inlineStr"/>
      <c r="D1764" s="3" t="inlineStr"/>
      <c r="E1764" t="inlineStr"/>
      <c r="F1764" t="inlineStr"/>
      <c r="G1764" t="inlineStr">
        <is>
          <t>used</t>
        </is>
      </c>
      <c r="H1764" s="4" t="n">
        <v>70</v>
      </c>
      <c r="I1764" t="inlineStr">
        <is>
          <t>VB</t>
        </is>
      </c>
      <c r="J1764" t="inlineStr">
        <is>
          <t>30916 Niedersachsen - Isernhagen</t>
        </is>
      </c>
      <c r="K1764" s="5" t="n">
        <v>45537</v>
      </c>
      <c r="L1764" t="inlineStr">
        <is>
          <t>Sold</t>
        </is>
      </c>
      <c r="M1764" s="6">
        <f>HYPERLINK("https://www.kleinanzeigen.de/s-anzeige/north-ice-4-0-windsurfen/2852826066-230-2895", "Link")</f>
        <v/>
      </c>
      <c r="N1764" s="6">
        <f>HYPERLINK("C:\Projects\Kleinanzeigen-Scraper\offer_images\2852826066", "Link")</f>
        <v/>
      </c>
      <c r="O1764" t="inlineStr">
        <is>
          <t>Jan-Ole Hennig</t>
        </is>
      </c>
      <c r="P1764" s="6">
        <f>HYPERLINK("https://www.kleinanzeigen.de/s-bestandsliste.html?userId=66964874", "Link")</f>
        <v/>
      </c>
      <c r="Q1764" s="7" t="n">
        <v>45543.54865740741</v>
      </c>
      <c r="R1764" s="3" t="inlineStr">
        <is>
          <t>261.21</t>
        </is>
      </c>
      <c r="S1764" t="inlineStr">
        <is>
          <t>Köln</t>
        </is>
      </c>
    </row>
    <row r="1765">
      <c r="A1765" s="2" t="n">
        <v>7.2</v>
      </c>
      <c r="B1765" t="inlineStr">
        <is>
          <t>ARROWS 8 Ball</t>
        </is>
      </c>
      <c r="C1765" s="3" t="inlineStr"/>
      <c r="D1765" s="3" t="inlineStr"/>
      <c r="E1765" t="inlineStr"/>
      <c r="F1765" t="inlineStr"/>
      <c r="G1765" t="inlineStr">
        <is>
          <t>repaired</t>
        </is>
      </c>
      <c r="H1765" s="4" t="n">
        <v>60</v>
      </c>
      <c r="I1765" t="inlineStr"/>
      <c r="J1765" t="inlineStr">
        <is>
          <t>74226 Baden-Württemberg - Nordheim</t>
        </is>
      </c>
      <c r="K1765" s="5" t="n">
        <v>45541</v>
      </c>
      <c r="L1765" t="inlineStr">
        <is>
          <t>Sold</t>
        </is>
      </c>
      <c r="M1765" s="6">
        <f>HYPERLINK("https://www.kleinanzeigen.de/s-anzeige/surfsegel-segel-arrows-8-ball-7-2m-windsurf/2855844219-230-8773", "Link")</f>
        <v/>
      </c>
      <c r="N1765" s="6">
        <f>HYPERLINK("C:\Projects\Kleinanzeigen-Scraper\offer_images\2855844219", "Link")</f>
        <v/>
      </c>
      <c r="O1765" t="inlineStr">
        <is>
          <t>Daniel Wolf</t>
        </is>
      </c>
      <c r="P1765" s="6">
        <f>HYPERLINK("https://www.kleinanzeigen.de/s-bestandsliste.html?userId=1568862", "Link")</f>
        <v/>
      </c>
      <c r="Q1765" s="7" t="n">
        <v>45543.54841435186</v>
      </c>
      <c r="R1765" s="3" t="inlineStr">
        <is>
          <t>49.51</t>
        </is>
      </c>
      <c r="S1765" t="inlineStr">
        <is>
          <t>Böblingen</t>
        </is>
      </c>
    </row>
    <row r="1766">
      <c r="A1766" s="2" t="n">
        <v>5.3</v>
      </c>
      <c r="B1766" t="inlineStr">
        <is>
          <t>Gunsails Transwave</t>
        </is>
      </c>
      <c r="C1766" s="3" t="inlineStr"/>
      <c r="D1766" s="3" t="inlineStr"/>
      <c r="E1766" t="inlineStr"/>
      <c r="F1766" t="inlineStr"/>
      <c r="G1766" t="inlineStr">
        <is>
          <t>used</t>
        </is>
      </c>
      <c r="H1766" s="4" t="n">
        <v>150</v>
      </c>
      <c r="I1766" t="inlineStr">
        <is>
          <t>VB</t>
        </is>
      </c>
      <c r="J1766" t="inlineStr">
        <is>
          <t>23730 Kreis Ostholstein - Neustadt in Holstein</t>
        </is>
      </c>
      <c r="K1766" s="5" t="n">
        <v>45543</v>
      </c>
      <c r="L1766" t="inlineStr">
        <is>
          <t>Sold</t>
        </is>
      </c>
      <c r="M1766" s="6">
        <f>HYPERLINK("https://www.kleinanzeigen.de/s-anzeige/windsurf-segel-gunsails-5-3qm/2857150180-230-13579", "Link")</f>
        <v/>
      </c>
      <c r="N1766" s="6">
        <f>HYPERLINK("C:\Projects\Kleinanzeigen-Scraper\offer_images\2857150180", "Link")</f>
        <v/>
      </c>
      <c r="O1766" t="inlineStr">
        <is>
          <t>Behrendt</t>
        </is>
      </c>
      <c r="P1766" s="6">
        <f>HYPERLINK("https://www.kleinanzeigen.de/s-bestandsliste.html?userId=9402516", "Link")</f>
        <v/>
      </c>
      <c r="Q1766" s="7" t="n">
        <v>45543.54824074074</v>
      </c>
      <c r="R1766" s="3" t="inlineStr">
        <is>
          <t>441.08</t>
        </is>
      </c>
      <c r="S1766" t="inlineStr">
        <is>
          <t>Köln</t>
        </is>
      </c>
    </row>
    <row r="1767">
      <c r="A1767" s="2" t="n">
        <v>4</v>
      </c>
      <c r="B1767" t="inlineStr">
        <is>
          <t>Severne Freek</t>
        </is>
      </c>
      <c r="C1767" s="3" t="n">
        <v>378</v>
      </c>
      <c r="D1767" s="3" t="n">
        <v>152</v>
      </c>
      <c r="E1767" t="inlineStr">
        <is>
          <t>Foil</t>
        </is>
      </c>
      <c r="F1767" t="inlineStr">
        <is>
          <t>2021</t>
        </is>
      </c>
      <c r="G1767" t="inlineStr">
        <is>
          <t>used</t>
        </is>
      </c>
      <c r="H1767" s="4" t="n">
        <v>300</v>
      </c>
      <c r="I1767" t="inlineStr"/>
      <c r="J1767" t="inlineStr">
        <is>
          <t>82256 Fürstenfeldbruck</t>
        </is>
      </c>
      <c r="K1767" s="5" t="n">
        <v>45542</v>
      </c>
      <c r="L1767" t="inlineStr">
        <is>
          <t>Sold</t>
        </is>
      </c>
      <c r="M1767" s="6">
        <f>HYPERLINK("https://www.dailydose.de/kleinanzeigen/detail.htm?ai=422171&amp;cf=kk&amp;pg=5&amp;ci=5", "Link")</f>
        <v/>
      </c>
      <c r="N1767" s="6">
        <f>HYPERLINK("C:\Projects\Kleinanzeigen-Scraper\offer_images\422171", "Link")</f>
        <v/>
      </c>
      <c r="O1767" t="inlineStr">
        <is>
          <t>Stefan_85</t>
        </is>
      </c>
      <c r="P1767" s="6">
        <f>HYPERLINK("https://www.dailydose.de/kleinanzeigen/user/12972", "Link")</f>
        <v/>
      </c>
      <c r="Q1767" s="7" t="n">
        <v>45542.78503472222</v>
      </c>
      <c r="R1767" s="3" t="inlineStr">
        <is>
          <t>25.37</t>
        </is>
      </c>
      <c r="S1767" t="inlineStr">
        <is>
          <t>München</t>
        </is>
      </c>
    </row>
    <row r="1768">
      <c r="A1768" s="2" t="n">
        <v>7.8</v>
      </c>
      <c r="B1768" t="inlineStr">
        <is>
          <t>North Warp</t>
        </is>
      </c>
      <c r="C1768" s="3" t="inlineStr"/>
      <c r="D1768" s="3" t="inlineStr"/>
      <c r="E1768" t="inlineStr">
        <is>
          <t>Racing</t>
        </is>
      </c>
      <c r="F1768" t="inlineStr">
        <is>
          <t>2014</t>
        </is>
      </c>
      <c r="G1768" t="inlineStr">
        <is>
          <t>used</t>
        </is>
      </c>
      <c r="H1768" s="4" t="inlineStr">
        <is>
          <t>Festpreis 150</t>
        </is>
      </c>
      <c r="I1768" t="inlineStr"/>
      <c r="J1768" t="inlineStr">
        <is>
          <t>67454 Haßloch</t>
        </is>
      </c>
      <c r="K1768" s="5" t="n">
        <v>45542</v>
      </c>
      <c r="L1768" t="inlineStr">
        <is>
          <t>Sold</t>
        </is>
      </c>
      <c r="M1768" s="6">
        <f>HYPERLINK("https://www.dailydose.de/kleinanzeigen/detail.htm?ai=422153&amp;cf=kk&amp;pg=5&amp;ci=5", "Link")</f>
        <v/>
      </c>
      <c r="N1768" s="6">
        <f>HYPERLINK("C:\Projects\Kleinanzeigen-Scraper\offer_images\422153", "Link")</f>
        <v/>
      </c>
      <c r="O1768" t="inlineStr">
        <is>
          <t>thorsten_134</t>
        </is>
      </c>
      <c r="P1768" s="6">
        <f>HYPERLINK("https://www.dailydose.de/kleinanzeigen/user/23439", "Link")</f>
        <v/>
      </c>
      <c r="Q1768" s="7" t="n">
        <v>45542.78454861111</v>
      </c>
      <c r="R1768" s="3" t="inlineStr">
        <is>
          <t>38.68</t>
        </is>
      </c>
      <c r="S1768" t="inlineStr">
        <is>
          <t>Karlsruhe</t>
        </is>
      </c>
    </row>
    <row r="1769">
      <c r="A1769" s="2" t="n">
        <v>5.6</v>
      </c>
      <c r="B1769" t="inlineStr">
        <is>
          <t>Point-7 AC1</t>
        </is>
      </c>
      <c r="C1769" s="3" t="inlineStr"/>
      <c r="D1769" s="3" t="inlineStr"/>
      <c r="E1769" t="inlineStr">
        <is>
          <t>Slalom/Speed</t>
        </is>
      </c>
      <c r="F1769" t="inlineStr">
        <is>
          <t>2022</t>
        </is>
      </c>
      <c r="G1769" t="inlineStr">
        <is>
          <t>used, repaired</t>
        </is>
      </c>
      <c r="H1769" s="4" t="n">
        <v>400</v>
      </c>
      <c r="I1769" t="inlineStr"/>
      <c r="J1769" t="inlineStr">
        <is>
          <t>47665 Sonsbeck</t>
        </is>
      </c>
      <c r="K1769" s="5" t="n">
        <v>45542</v>
      </c>
      <c r="L1769" t="inlineStr">
        <is>
          <t>Sold</t>
        </is>
      </c>
      <c r="M1769" s="6">
        <f>HYPERLINK("https://www.dailydose.de/kleinanzeigen/detail.htm?ai=422169&amp;cf=kk&amp;pg=5&amp;ci=5", "Link")</f>
        <v/>
      </c>
      <c r="N1769" s="6">
        <f>HYPERLINK("C:\Projects\Kleinanzeigen-Scraper\offer_images\422169", "Link")</f>
        <v/>
      </c>
      <c r="O1769" t="inlineStr">
        <is>
          <t>Surfer 21</t>
        </is>
      </c>
      <c r="P1769" s="6">
        <f>HYPERLINK("https://www.dailydose.de/kleinanzeigen/user/11823", "Link")</f>
        <v/>
      </c>
      <c r="Q1769" s="7" t="n">
        <v>45542.78362268519</v>
      </c>
      <c r="R1769" s="3" t="inlineStr">
        <is>
          <t>86.26</t>
        </is>
      </c>
      <c r="S1769" t="inlineStr">
        <is>
          <t>Köln</t>
        </is>
      </c>
    </row>
    <row r="1770">
      <c r="A1770" s="2" t="n">
        <v>4</v>
      </c>
      <c r="B1770" t="inlineStr">
        <is>
          <t>Gaastra Poison</t>
        </is>
      </c>
      <c r="C1770" s="3" t="n">
        <v>370</v>
      </c>
      <c r="D1770" s="3" t="n">
        <v>150</v>
      </c>
      <c r="E1770" t="inlineStr"/>
      <c r="F1770" t="inlineStr">
        <is>
          <t>2015</t>
        </is>
      </c>
      <c r="G1770" t="inlineStr">
        <is>
          <t>new</t>
        </is>
      </c>
      <c r="H1770" s="4" t="n">
        <v>119</v>
      </c>
      <c r="I1770" t="inlineStr"/>
      <c r="J1770" t="inlineStr">
        <is>
          <t>50996 Köln</t>
        </is>
      </c>
      <c r="K1770" s="5" t="n">
        <v>45541</v>
      </c>
      <c r="L1770" t="inlineStr">
        <is>
          <t>Sold</t>
        </is>
      </c>
      <c r="M1770" s="6">
        <f>HYPERLINK("https://www.dailydose.de/kleinanzeigen/detail.htm?ai=422136&amp;cf=kk&amp;pg=5&amp;ci=5", "Link")</f>
        <v/>
      </c>
      <c r="N1770" s="6">
        <f>HYPERLINK("C:\Projects\Kleinanzeigen-Scraper\offer_images\422136", "Link")</f>
        <v/>
      </c>
      <c r="O1770" t="inlineStr">
        <is>
          <t>roger</t>
        </is>
      </c>
      <c r="P1770" s="6">
        <f>HYPERLINK("https://www.dailydose.de/kleinanzeigen/user/4494", "Link")</f>
        <v/>
      </c>
      <c r="Q1770" s="7" t="n">
        <v>45542.78210648148</v>
      </c>
      <c r="R1770" s="3" t="inlineStr">
        <is>
          <t>6.80</t>
        </is>
      </c>
      <c r="S1770" t="inlineStr">
        <is>
          <t>Köln</t>
        </is>
      </c>
    </row>
    <row r="1771">
      <c r="A1771" s="2" t="n">
        <v>5.4</v>
      </c>
      <c r="B1771" t="inlineStr">
        <is>
          <t>Warp</t>
        </is>
      </c>
      <c r="C1771" s="3" t="inlineStr"/>
      <c r="D1771" s="3" t="inlineStr"/>
      <c r="E1771" t="inlineStr">
        <is>
          <t>Racing</t>
        </is>
      </c>
      <c r="F1771" t="inlineStr">
        <is>
          <t>2007</t>
        </is>
      </c>
      <c r="G1771" t="inlineStr">
        <is>
          <t>used</t>
        </is>
      </c>
      <c r="H1771" s="4" t="n">
        <v>100</v>
      </c>
      <c r="I1771" t="inlineStr"/>
      <c r="J1771" t="inlineStr">
        <is>
          <t>67454 Haßloch</t>
        </is>
      </c>
      <c r="K1771" s="5" t="n">
        <v>45542</v>
      </c>
      <c r="L1771" t="inlineStr">
        <is>
          <t>Sold</t>
        </is>
      </c>
      <c r="M1771" s="6">
        <f>HYPERLINK("https://www.dailydose.de/kleinanzeigen/detail.htm?ai=422154&amp;cf=kk&amp;pg=5&amp;ci=5", "Link")</f>
        <v/>
      </c>
      <c r="N1771" s="6">
        <f>HYPERLINK("C:\Projects\Kleinanzeigen-Scraper\offer_images\422154", "Link")</f>
        <v/>
      </c>
      <c r="O1771" t="inlineStr">
        <is>
          <t>thorsten_134</t>
        </is>
      </c>
      <c r="P1771" s="6">
        <f>HYPERLINK("https://www.dailydose.de/kleinanzeigen/user/23439", "Link")</f>
        <v/>
      </c>
      <c r="Q1771" s="7" t="n">
        <v>45542.78145833333</v>
      </c>
      <c r="R1771" s="3" t="inlineStr">
        <is>
          <t>38.68</t>
        </is>
      </c>
      <c r="S1771" t="inlineStr">
        <is>
          <t>Karlsruhe</t>
        </is>
      </c>
    </row>
    <row r="1772">
      <c r="A1772" s="2" t="n">
        <v>6.7</v>
      </c>
      <c r="B1772" t="inlineStr">
        <is>
          <t>GunSails Rapid</t>
        </is>
      </c>
      <c r="C1772" s="3" t="n">
        <v>459</v>
      </c>
      <c r="D1772" s="3" t="n">
        <v>198</v>
      </c>
      <c r="E1772" t="inlineStr">
        <is>
          <t>Freerace</t>
        </is>
      </c>
      <c r="F1772" t="inlineStr"/>
      <c r="G1772" t="inlineStr">
        <is>
          <t>used</t>
        </is>
      </c>
      <c r="H1772" s="4" t="n">
        <v>150</v>
      </c>
      <c r="I1772" t="inlineStr">
        <is>
          <t>VB</t>
        </is>
      </c>
      <c r="J1772" t="inlineStr">
        <is>
          <t>24159 Kiel - Pries-Friedrichsort</t>
        </is>
      </c>
      <c r="K1772" s="5" t="n">
        <v>45542</v>
      </c>
      <c r="L1772" t="inlineStr">
        <is>
          <t>Sold</t>
        </is>
      </c>
      <c r="M1772" s="6">
        <f>HYPERLINK("https://www.kleinanzeigen.de/s-anzeige/gunsails-rapid-6-7m2-freerace-no-cam-windsurf-segel/2856502732-230-695", "Link")</f>
        <v/>
      </c>
      <c r="N1772" s="6">
        <f>HYPERLINK("C:\Projects\Kleinanzeigen-Scraper\offer_images\2856502732", "Link")</f>
        <v/>
      </c>
      <c r="O1772" t="inlineStr">
        <is>
          <t>Lennard Stegmann</t>
        </is>
      </c>
      <c r="P1772" s="6">
        <f>HYPERLINK("https://www.kleinanzeigen.de/s-bestandsliste.html?userId=37439214", "Link")</f>
        <v/>
      </c>
      <c r="Q1772" s="7" t="n">
        <v>45542.78068287037</v>
      </c>
      <c r="R1772" s="3" t="inlineStr">
        <is>
          <t>440.84</t>
        </is>
      </c>
      <c r="S1772" t="inlineStr">
        <is>
          <t>Köln</t>
        </is>
      </c>
    </row>
    <row r="1773">
      <c r="A1773" s="2" t="n">
        <v>5.2</v>
      </c>
      <c r="B1773" t="inlineStr">
        <is>
          <t>Sailloft Quad</t>
        </is>
      </c>
      <c r="C1773" s="3" t="inlineStr"/>
      <c r="D1773" s="3" t="inlineStr"/>
      <c r="E1773" t="inlineStr"/>
      <c r="F1773" t="inlineStr"/>
      <c r="G1773" t="inlineStr">
        <is>
          <t>used</t>
        </is>
      </c>
      <c r="H1773" s="4" t="n">
        <v>95</v>
      </c>
      <c r="I1773" t="inlineStr">
        <is>
          <t>VB</t>
        </is>
      </c>
      <c r="J1773" t="inlineStr">
        <is>
          <t>30916 Niedersachsen - Isernhagen</t>
        </is>
      </c>
      <c r="K1773" s="5" t="n">
        <v>45541</v>
      </c>
      <c r="L1773" t="inlineStr"/>
      <c r="M1773" s="6">
        <f>HYPERLINK("https://www.kleinanzeigen.de/s-anzeige/sailloft-quad-5-2-windsurfen/2855714179-230-2895", "Link")</f>
        <v/>
      </c>
      <c r="N1773" s="6">
        <f>HYPERLINK("C:\Projects\Kleinanzeigen-Scraper\offer_images\2855714179", "Link")</f>
        <v/>
      </c>
      <c r="O1773" t="inlineStr">
        <is>
          <t>Jan-Ole Hennig</t>
        </is>
      </c>
      <c r="P1773" s="6">
        <f>HYPERLINK("https://www.kleinanzeigen.de/s-bestandsliste.html?userId=66964874", "Link")</f>
        <v/>
      </c>
      <c r="Q1773" s="7" t="n">
        <v>45542.780625</v>
      </c>
      <c r="R1773" s="3" t="inlineStr">
        <is>
          <t>261.21</t>
        </is>
      </c>
      <c r="S1773" t="inlineStr">
        <is>
          <t>Köln</t>
        </is>
      </c>
    </row>
    <row r="1774">
      <c r="A1774" s="2" t="n">
        <v>4.5</v>
      </c>
      <c r="B1774" t="inlineStr">
        <is>
          <t>Neilpryde The Fly</t>
        </is>
      </c>
      <c r="C1774" s="3" t="inlineStr"/>
      <c r="D1774" s="3" t="inlineStr"/>
      <c r="E1774" t="inlineStr"/>
      <c r="F1774" t="inlineStr"/>
      <c r="G1774" t="inlineStr">
        <is>
          <t>used</t>
        </is>
      </c>
      <c r="H1774" s="4" t="n">
        <v>90</v>
      </c>
      <c r="I1774" t="inlineStr">
        <is>
          <t>VB</t>
        </is>
      </c>
      <c r="J1774" t="inlineStr">
        <is>
          <t>30916 Niedersachsen - Isernhagen</t>
        </is>
      </c>
      <c r="K1774" s="5" t="n">
        <v>45541</v>
      </c>
      <c r="L1774" t="inlineStr"/>
      <c r="M1774" s="6">
        <f>HYPERLINK("https://www.kleinanzeigen.de/s-anzeige/neilpryde-the-fly-4-5-windsurfen/2855712459-230-2895", "Link")</f>
        <v/>
      </c>
      <c r="N1774" s="6">
        <f>HYPERLINK("C:\Projects\Kleinanzeigen-Scraper\offer_images\2855712459", "Link")</f>
        <v/>
      </c>
      <c r="O1774" t="inlineStr">
        <is>
          <t>Jan-Ole Hennig</t>
        </is>
      </c>
      <c r="P1774" s="6">
        <f>HYPERLINK("https://www.kleinanzeigen.de/s-bestandsliste.html?userId=66964874", "Link")</f>
        <v/>
      </c>
      <c r="Q1774" s="7" t="n">
        <v>45542.78045138889</v>
      </c>
      <c r="R1774" s="3" t="inlineStr">
        <is>
          <t>261.21</t>
        </is>
      </c>
      <c r="S1774" t="inlineStr">
        <is>
          <t>Köln</t>
        </is>
      </c>
    </row>
    <row r="1775">
      <c r="A1775" s="2" t="n">
        <v>7.5</v>
      </c>
      <c r="B1775" t="inlineStr">
        <is>
          <t>Gaastra</t>
        </is>
      </c>
      <c r="C1775" s="3" t="inlineStr"/>
      <c r="D1775" s="3" t="inlineStr"/>
      <c r="E1775" t="inlineStr"/>
      <c r="F1775" t="inlineStr"/>
      <c r="G1775" t="inlineStr">
        <is>
          <t>new</t>
        </is>
      </c>
      <c r="H1775" s="4" t="n">
        <v>100</v>
      </c>
      <c r="I1775" t="inlineStr">
        <is>
          <t>VB</t>
        </is>
      </c>
      <c r="J1775" t="inlineStr">
        <is>
          <t>09355 Sachsen - Gersdorf</t>
        </is>
      </c>
      <c r="K1775" s="5" t="n">
        <v>45542</v>
      </c>
      <c r="L1775" t="inlineStr">
        <is>
          <t>Sold</t>
        </is>
      </c>
      <c r="M1775" s="6">
        <f>HYPERLINK("https://www.kleinanzeigen.de/s-anzeige/segel-windsurfen-7-5qm-top-zustand/2856732942-211-3952", "Link")</f>
        <v/>
      </c>
      <c r="N1775" s="6">
        <f>HYPERLINK("C:\Projects\Kleinanzeigen-Scraper\offer_images\2856732942", "Link")</f>
        <v/>
      </c>
      <c r="O1775" t="inlineStr">
        <is>
          <t>Nils</t>
        </is>
      </c>
      <c r="P1775" s="6">
        <f>HYPERLINK("https://www.kleinanzeigen.de/s-bestandsliste.html?userId=64489433", "Link")</f>
        <v/>
      </c>
      <c r="Q1775" s="7" t="n">
        <v>45542.78043981481</v>
      </c>
      <c r="R1775" s="3" t="inlineStr">
        <is>
          <t>302.93</t>
        </is>
      </c>
      <c r="S1775" t="inlineStr">
        <is>
          <t>München</t>
        </is>
      </c>
    </row>
    <row r="1776">
      <c r="A1776" s="2" t="n">
        <v>7.7</v>
      </c>
      <c r="B1776" t="inlineStr">
        <is>
          <t>GA Gaastra Matrix</t>
        </is>
      </c>
      <c r="C1776" s="3" t="n">
        <v>483</v>
      </c>
      <c r="D1776" s="3" t="n">
        <v>209</v>
      </c>
      <c r="E1776" t="inlineStr">
        <is>
          <t>Freeride</t>
        </is>
      </c>
      <c r="F1776" t="inlineStr">
        <is>
          <t>2022</t>
        </is>
      </c>
      <c r="G1776" t="inlineStr">
        <is>
          <t>new</t>
        </is>
      </c>
      <c r="H1776" s="4" t="n">
        <v>290</v>
      </c>
      <c r="I1776" t="inlineStr">
        <is>
          <t>VB</t>
        </is>
      </c>
      <c r="J1776" t="inlineStr">
        <is>
          <t>24975 Schleswig-Holstein - Maasbüll</t>
        </is>
      </c>
      <c r="K1776" s="5" t="n">
        <v>45542</v>
      </c>
      <c r="L1776" t="inlineStr"/>
      <c r="M1776" s="6">
        <f>HYPERLINK("https://www.kleinanzeigen.de/s-anzeige/ga-gaastra-matrix-7-7-v-2022-windsurfen-segel/2856550081-230-725", "Link")</f>
        <v/>
      </c>
      <c r="N1776" s="6">
        <f>HYPERLINK("C:\Projects\Kleinanzeigen-Scraper\offer_images\2856550081", "Link")</f>
        <v/>
      </c>
      <c r="O1776" t="inlineStr">
        <is>
          <t>Mo</t>
        </is>
      </c>
      <c r="P1776" s="6">
        <f>HYPERLINK("https://www.kleinanzeigen.de/s-bestandsliste.html?userId=9081421", "Link")</f>
        <v/>
      </c>
      <c r="Q1776" s="7" t="n">
        <v>45542.78028935185</v>
      </c>
      <c r="R1776" s="3" t="inlineStr">
        <is>
          <t>458.46</t>
        </is>
      </c>
      <c r="S1776" t="inlineStr">
        <is>
          <t>Köln</t>
        </is>
      </c>
    </row>
    <row r="1777">
      <c r="A1777" s="2" t="n">
        <v>9.6</v>
      </c>
      <c r="B1777" t="inlineStr">
        <is>
          <t>Gun Sails Cannonball</t>
        </is>
      </c>
      <c r="C1777" s="3" t="n">
        <v>490</v>
      </c>
      <c r="D1777" s="3" t="n">
        <v>242</v>
      </c>
      <c r="E1777" t="inlineStr">
        <is>
          <t>Freeride</t>
        </is>
      </c>
      <c r="F1777" t="inlineStr"/>
      <c r="G1777" t="inlineStr">
        <is>
          <t>used</t>
        </is>
      </c>
      <c r="H1777" s="4" t="n">
        <v>35</v>
      </c>
      <c r="I1777" t="inlineStr">
        <is>
          <t>VB</t>
        </is>
      </c>
      <c r="J1777" t="inlineStr">
        <is>
          <t>47239 Duisburg - Rumeln-Kaldenhausen</t>
        </is>
      </c>
      <c r="K1777" s="5" t="n">
        <v>45542</v>
      </c>
      <c r="L1777" t="inlineStr">
        <is>
          <t>Sold</t>
        </is>
      </c>
      <c r="M1777" s="6">
        <f>HYPERLINK("https://www.kleinanzeigen.de/s-anzeige/gun-sails-cannonball-free-race-segel-freeride-9-6-windsurfen/2856501815-230-2137", "Link")</f>
        <v/>
      </c>
      <c r="N1777" s="6">
        <f>HYPERLINK("C:\Projects\Kleinanzeigen-Scraper\offer_images\2856501815", "Link")</f>
        <v/>
      </c>
      <c r="O1777" t="inlineStr">
        <is>
          <t>PX</t>
        </is>
      </c>
      <c r="P1777" s="6">
        <f>HYPERLINK("https://www.kleinanzeigen.de/s-bestandsliste.html?userId=1864376", "Link")</f>
        <v/>
      </c>
      <c r="Q1777" s="7" t="n">
        <v>45542.78012731481</v>
      </c>
      <c r="R1777" s="3" t="inlineStr">
        <is>
          <t>54.92</t>
        </is>
      </c>
      <c r="S1777" t="inlineStr">
        <is>
          <t>Köln</t>
        </is>
      </c>
    </row>
    <row r="1778">
      <c r="A1778" s="2" t="n">
        <v>5.8</v>
      </c>
      <c r="B1778" t="inlineStr">
        <is>
          <t>North Sails NATURAL</t>
        </is>
      </c>
      <c r="C1778" s="3" t="n">
        <v>433</v>
      </c>
      <c r="D1778" s="3" t="n">
        <v>195</v>
      </c>
      <c r="E1778" t="inlineStr">
        <is>
          <t>Freeride</t>
        </is>
      </c>
      <c r="F1778" t="inlineStr"/>
      <c r="G1778" t="inlineStr">
        <is>
          <t>used</t>
        </is>
      </c>
      <c r="H1778" s="4" t="n">
        <v>195</v>
      </c>
      <c r="I1778" t="inlineStr">
        <is>
          <t>VB</t>
        </is>
      </c>
      <c r="J1778" t="inlineStr">
        <is>
          <t>55299 Rheinland-Pfalz - Nackenheim</t>
        </is>
      </c>
      <c r="K1778" s="5" t="n">
        <v>45535</v>
      </c>
      <c r="L1778" t="inlineStr">
        <is>
          <t>Sold</t>
        </is>
      </c>
      <c r="M1778" s="6">
        <f>HYPERLINK("https://www.kleinanzeigen.de/s-anzeige/windsurfen-segel-north-sails-natural-5-8-qm/2850641088-230-4443", "Link")</f>
        <v/>
      </c>
      <c r="N1778" s="6">
        <f>HYPERLINK("C:\Projects\Kleinanzeigen-Scraper\offer_images\2850641088", "Link")</f>
        <v/>
      </c>
      <c r="O1778" t="inlineStr">
        <is>
          <t>Alex</t>
        </is>
      </c>
      <c r="P1778" s="6">
        <f>HYPERLINK("https://www.kleinanzeigen.de/s-bestandsliste.html?userId=21158356", "Link")</f>
        <v/>
      </c>
      <c r="Q1778" s="7" t="n">
        <v>45542.78008101852</v>
      </c>
      <c r="R1778" s="3" t="inlineStr">
        <is>
          <t>100.46</t>
        </is>
      </c>
      <c r="S1778" t="inlineStr">
        <is>
          <t>Karlsruhe</t>
        </is>
      </c>
    </row>
    <row r="1779">
      <c r="A1779" s="2" t="n">
        <v>8.6</v>
      </c>
      <c r="B1779" t="inlineStr">
        <is>
          <t>Sailloft Ultimate</t>
        </is>
      </c>
      <c r="C1779" s="3" t="n">
        <v>490</v>
      </c>
      <c r="D1779" s="3" t="n">
        <v>232</v>
      </c>
      <c r="E1779" t="inlineStr">
        <is>
          <t>Slalom</t>
        </is>
      </c>
      <c r="F1779" t="inlineStr">
        <is>
          <t>2018</t>
        </is>
      </c>
      <c r="G1779" t="inlineStr">
        <is>
          <t>used</t>
        </is>
      </c>
      <c r="H1779" s="4" t="n">
        <v>225</v>
      </c>
      <c r="I1779" t="inlineStr"/>
      <c r="J1779" t="inlineStr">
        <is>
          <t>22769 Altona - Hamburg Bahrenfeld</t>
        </is>
      </c>
      <c r="K1779" s="5" t="n">
        <v>45542</v>
      </c>
      <c r="L1779" t="inlineStr"/>
      <c r="M1779" s="6">
        <f>HYPERLINK("https://www.kleinanzeigen.de/s-anzeige/sailloft-ultimate-8-6-m-slalom-segel-windsurf-race-formula/2856801438-230-26485", "Link")</f>
        <v/>
      </c>
      <c r="N1779" s="6">
        <f>HYPERLINK("C:\Projects\Kleinanzeigen-Scraper\offer_images\2856801438", "Link")</f>
        <v/>
      </c>
      <c r="O1779" t="inlineStr">
        <is>
          <t>nordlicht</t>
        </is>
      </c>
      <c r="P1779" s="6">
        <f>HYPERLINK("https://www.kleinanzeigen.de/s-bestandsliste.html?userId=86235875", "Link")</f>
        <v/>
      </c>
      <c r="Q1779" s="7" t="n">
        <v>45542.78002314815</v>
      </c>
      <c r="R1779" s="3" t="inlineStr">
        <is>
          <t>356.14</t>
        </is>
      </c>
      <c r="S1779" t="inlineStr">
        <is>
          <t>Köln</t>
        </is>
      </c>
    </row>
    <row r="1780">
      <c r="A1780" s="2" t="n">
        <v>6.7</v>
      </c>
      <c r="B1780" t="inlineStr">
        <is>
          <t>Gaastra Plasma</t>
        </is>
      </c>
      <c r="C1780" s="3" t="inlineStr"/>
      <c r="D1780" s="3" t="inlineStr"/>
      <c r="E1780" t="inlineStr"/>
      <c r="F1780" t="inlineStr"/>
      <c r="G1780" t="inlineStr">
        <is>
          <t>new</t>
        </is>
      </c>
      <c r="H1780" s="4" t="n">
        <v>80</v>
      </c>
      <c r="I1780" t="inlineStr">
        <is>
          <t>VB</t>
        </is>
      </c>
      <c r="J1780" t="inlineStr">
        <is>
          <t>09355 Sachsen - Gersdorf</t>
        </is>
      </c>
      <c r="K1780" s="5" t="n">
        <v>45542</v>
      </c>
      <c r="L1780" t="inlineStr">
        <is>
          <t>Sold</t>
        </is>
      </c>
      <c r="M1780" s="6">
        <f>HYPERLINK("https://www.kleinanzeigen.de/s-anzeige/segel-windsurfen-6-7qm-top-zustand/2856726863-230-3952", "Link")</f>
        <v/>
      </c>
      <c r="N1780" s="6">
        <f>HYPERLINK("C:\Projects\Kleinanzeigen-Scraper\offer_images\2856726863", "Link")</f>
        <v/>
      </c>
      <c r="O1780" t="inlineStr">
        <is>
          <t>Nils</t>
        </is>
      </c>
      <c r="P1780" s="6">
        <f>HYPERLINK("https://www.kleinanzeigen.de/s-bestandsliste.html?userId=64489433", "Link")</f>
        <v/>
      </c>
      <c r="Q1780" s="7" t="n">
        <v>45542.77988425926</v>
      </c>
      <c r="R1780" s="3" t="inlineStr">
        <is>
          <t>302.93</t>
        </is>
      </c>
      <c r="S1780" t="inlineStr">
        <is>
          <t>München</t>
        </is>
      </c>
    </row>
    <row r="1781">
      <c r="A1781" s="2" t="n">
        <v>5.4</v>
      </c>
      <c r="B1781" t="inlineStr">
        <is>
          <t>NeilPryde NP Atlas Pro Fuse</t>
        </is>
      </c>
      <c r="C1781" s="3" t="inlineStr"/>
      <c r="D1781" s="3" t="inlineStr"/>
      <c r="E1781" t="inlineStr">
        <is>
          <t>Power Wave</t>
        </is>
      </c>
      <c r="F1781" t="inlineStr">
        <is>
          <t>2024</t>
        </is>
      </c>
      <c r="G1781" t="inlineStr">
        <is>
          <t>new</t>
        </is>
      </c>
      <c r="H1781" s="4" t="n">
        <v>1.219</v>
      </c>
      <c r="I1781" t="inlineStr"/>
      <c r="J1781" t="inlineStr">
        <is>
          <t>82319 Bayern - Starnberg</t>
        </is>
      </c>
      <c r="K1781" s="5" t="n">
        <v>45542</v>
      </c>
      <c r="L1781" t="inlineStr"/>
      <c r="M1781" s="6">
        <f>HYPERLINK("https://www.kleinanzeigen.de/s-anzeige/neilpryde-np-atlas-pro-fuse-5-4qm-2024-windsurf-segel-neu/2703371770-230-5525", "Link")</f>
        <v/>
      </c>
      <c r="N1781" s="6">
        <f>HYPERLINK("C:\Projects\Kleinanzeigen-Scraper\offer_images\2703371770", "Link")</f>
        <v/>
      </c>
      <c r="O1781" t="inlineStr">
        <is>
          <t>No user name</t>
        </is>
      </c>
      <c r="P1781" s="6">
        <f>HYPERLINK("https://www.kleinanzeigen.deNo user link", "Link")</f>
        <v/>
      </c>
      <c r="Q1781" s="7" t="n">
        <v>45542.77924768518</v>
      </c>
      <c r="R1781" s="3" t="inlineStr">
        <is>
          <t>23.17</t>
        </is>
      </c>
      <c r="S1781" t="inlineStr">
        <is>
          <t>München</t>
        </is>
      </c>
    </row>
    <row r="1782">
      <c r="A1782" s="2" t="n">
        <v>6.6</v>
      </c>
      <c r="B1782" t="inlineStr">
        <is>
          <t>Neilpryde RS Racing Evo XII</t>
        </is>
      </c>
      <c r="C1782" s="3" t="n">
        <v>430</v>
      </c>
      <c r="D1782" s="3" t="n">
        <v>189</v>
      </c>
      <c r="E1782" t="inlineStr"/>
      <c r="F1782" t="inlineStr"/>
      <c r="G1782" t="inlineStr">
        <is>
          <t>new</t>
        </is>
      </c>
      <c r="H1782" s="4" t="n">
        <v>350</v>
      </c>
      <c r="I1782" t="inlineStr"/>
      <c r="J1782" t="inlineStr">
        <is>
          <t>33758 Schloß Holte</t>
        </is>
      </c>
      <c r="K1782" s="5" t="n">
        <v>45540</v>
      </c>
      <c r="L1782" t="inlineStr">
        <is>
          <t>Sold</t>
        </is>
      </c>
      <c r="M1782" s="6">
        <f>HYPERLINK("https://www.dailydose.de/kleinanzeigen/detail.htm?ai=422078&amp;cf=kk&amp;pg=5&amp;ci=5", "Link")</f>
        <v/>
      </c>
      <c r="N1782" s="6">
        <f>HYPERLINK("C:\Projects\Kleinanzeigen-Scraper\offer_images\422078", "Link")</f>
        <v/>
      </c>
      <c r="O1782" t="inlineStr">
        <is>
          <t>table__top</t>
        </is>
      </c>
      <c r="P1782" s="6">
        <f>HYPERLINK("https://www.dailydose.de/kleinanzeigen/user/808", "Link")</f>
        <v/>
      </c>
      <c r="Q1782" s="7" t="n">
        <v>45541.57111111111</v>
      </c>
      <c r="R1782" s="3" t="inlineStr">
        <is>
          <t>158.29</t>
        </is>
      </c>
      <c r="S1782" t="inlineStr">
        <is>
          <t>Köln</t>
        </is>
      </c>
    </row>
    <row r="1783">
      <c r="A1783" s="2" t="n">
        <v>6.2</v>
      </c>
      <c r="B1783" t="inlineStr">
        <is>
          <t>RRD X-Wing</t>
        </is>
      </c>
      <c r="C1783" s="3" t="n">
        <v>400</v>
      </c>
      <c r="D1783" s="3" t="inlineStr"/>
      <c r="E1783" t="inlineStr"/>
      <c r="F1783" t="inlineStr">
        <is>
          <t>2023</t>
        </is>
      </c>
      <c r="G1783" t="inlineStr">
        <is>
          <t>used</t>
        </is>
      </c>
      <c r="H1783" s="4" t="n">
        <v>380</v>
      </c>
      <c r="I1783" t="inlineStr"/>
      <c r="J1783" t="inlineStr">
        <is>
          <t>58540 Nordrhein-Westfalen - Meinerzhagen</t>
        </is>
      </c>
      <c r="K1783" s="5" t="n">
        <v>45540</v>
      </c>
      <c r="L1783" t="inlineStr">
        <is>
          <t>Sold</t>
        </is>
      </c>
      <c r="M1783" s="6">
        <f>HYPERLINK("https://www.dailydose.de/kleinanzeigen/detail.htm?ai=422092&amp;cf=kk&amp;pg=5&amp;ci=5", "Link")</f>
        <v/>
      </c>
      <c r="N1783" s="6">
        <f>HYPERLINK("C:\Projects\Kleinanzeigen-Scraper\offer_images\422092", "Link")</f>
        <v/>
      </c>
      <c r="O1783" t="inlineStr">
        <is>
          <t>tivitac</t>
        </is>
      </c>
      <c r="P1783" s="6">
        <f>HYPERLINK("https://www.dailydose.de/kleinanzeigen/user/1938", "Link")</f>
        <v/>
      </c>
      <c r="Q1783" s="7" t="n">
        <v>45541.57072916667</v>
      </c>
      <c r="R1783" s="3" t="inlineStr">
        <is>
          <t>56.25</t>
        </is>
      </c>
      <c r="S1783" t="inlineStr">
        <is>
          <t>Köln</t>
        </is>
      </c>
    </row>
    <row r="1784">
      <c r="A1784" s="2" t="n">
        <v>3.15</v>
      </c>
      <c r="B1784" t="inlineStr">
        <is>
          <t>Goya Banzai</t>
        </is>
      </c>
      <c r="C1784" s="3" t="inlineStr"/>
      <c r="D1784" s="3" t="inlineStr"/>
      <c r="E1784" t="inlineStr"/>
      <c r="F1784" t="inlineStr">
        <is>
          <t>2022</t>
        </is>
      </c>
      <c r="G1784" t="inlineStr">
        <is>
          <t>repaired</t>
        </is>
      </c>
      <c r="H1784" s="4" t="n">
        <v>200</v>
      </c>
      <c r="I1784" t="inlineStr"/>
      <c r="J1784" t="inlineStr">
        <is>
          <t>Kiel Klitmøller  Thisted</t>
        </is>
      </c>
      <c r="K1784" s="5" t="n">
        <v>45540</v>
      </c>
      <c r="L1784" t="inlineStr">
        <is>
          <t>Sold</t>
        </is>
      </c>
      <c r="M1784" s="6">
        <f>HYPERLINK("https://www.dailydose.de/kleinanzeigen/detail.htm?ai=422090&amp;cf=kk&amp;pg=5&amp;ci=5", "Link")</f>
        <v/>
      </c>
      <c r="N1784" s="6">
        <f>HYPERLINK("C:\Projects\Kleinanzeigen-Scraper\offer_images\422090", "Link")</f>
        <v/>
      </c>
      <c r="O1784" t="inlineStr">
        <is>
          <t>Jesper_128</t>
        </is>
      </c>
      <c r="P1784" s="6">
        <f>HYPERLINK("https://www.dailydose.de/kleinanzeigen/user/12878", "Link")</f>
        <v/>
      </c>
      <c r="Q1784" s="7" t="n">
        <v>45541.57043981482</v>
      </c>
      <c r="R1784" s="3" t="inlineStr">
        <is>
          <t>679.30</t>
        </is>
      </c>
      <c r="S1784" t="inlineStr">
        <is>
          <t>Köln</t>
        </is>
      </c>
    </row>
    <row r="1785">
      <c r="A1785" s="2" t="n">
        <v>7.4</v>
      </c>
      <c r="B1785" t="inlineStr">
        <is>
          <t>Neilpryde RS Racing Evo XIII</t>
        </is>
      </c>
      <c r="C1785" s="3" t="n">
        <v>460</v>
      </c>
      <c r="D1785" s="3" t="inlineStr">
        <is>
          <t>201-208</t>
        </is>
      </c>
      <c r="E1785" t="inlineStr"/>
      <c r="F1785" t="inlineStr"/>
      <c r="G1785" t="inlineStr">
        <is>
          <t>new</t>
        </is>
      </c>
      <c r="H1785" s="4" t="n">
        <v>450</v>
      </c>
      <c r="I1785" t="inlineStr"/>
      <c r="J1785" t="inlineStr">
        <is>
          <t>33758 Schloß Holte</t>
        </is>
      </c>
      <c r="K1785" s="5" t="n">
        <v>45540</v>
      </c>
      <c r="L1785" t="inlineStr">
        <is>
          <t>Sold</t>
        </is>
      </c>
      <c r="M1785" s="6">
        <f>HYPERLINK("https://www.dailydose.de/kleinanzeigen/detail.htm?ai=422079&amp;cf=kk&amp;pg=5&amp;ci=5", "Link")</f>
        <v/>
      </c>
      <c r="N1785" s="6">
        <f>HYPERLINK("C:\Projects\Kleinanzeigen-Scraper\offer_images\422079", "Link")</f>
        <v/>
      </c>
      <c r="O1785" t="inlineStr">
        <is>
          <t>table__top</t>
        </is>
      </c>
      <c r="P1785" s="6">
        <f>HYPERLINK("https://www.dailydose.de/kleinanzeigen/user/808", "Link")</f>
        <v/>
      </c>
      <c r="Q1785" s="7" t="n">
        <v>45541.57037037037</v>
      </c>
      <c r="R1785" s="3" t="inlineStr">
        <is>
          <t>158.29</t>
        </is>
      </c>
      <c r="S1785" t="inlineStr">
        <is>
          <t>Köln</t>
        </is>
      </c>
    </row>
    <row r="1786">
      <c r="A1786" s="2" t="n">
        <v>7.9</v>
      </c>
      <c r="B1786" t="inlineStr">
        <is>
          <t>GUN Rapid</t>
        </is>
      </c>
      <c r="C1786" s="3" t="n">
        <v>460</v>
      </c>
      <c r="D1786" s="3" t="n">
        <v>214</v>
      </c>
      <c r="E1786" t="inlineStr">
        <is>
          <t>Freerace</t>
        </is>
      </c>
      <c r="F1786" t="inlineStr"/>
      <c r="G1786" t="inlineStr">
        <is>
          <t>used</t>
        </is>
      </c>
      <c r="H1786" s="4" t="n">
        <v>150</v>
      </c>
      <c r="I1786" t="inlineStr"/>
      <c r="J1786" t="inlineStr">
        <is>
          <t>12526 Berlin</t>
        </is>
      </c>
      <c r="K1786" s="5" t="n">
        <v>45540</v>
      </c>
      <c r="L1786" t="inlineStr">
        <is>
          <t>Sold</t>
        </is>
      </c>
      <c r="M1786" s="6">
        <f>HYPERLINK("https://www.dailydose.de/kleinanzeigen/detail.htm?ai=422081&amp;cf=kk&amp;pg=1&amp;ci=5", "Link")</f>
        <v/>
      </c>
      <c r="N1786" s="6">
        <f>HYPERLINK("C:\Projects\Kleinanzeigen-Scraper\offer_images\422081", "Link")</f>
        <v/>
      </c>
      <c r="O1786" t="inlineStr">
        <is>
          <t>Rasmus 1</t>
        </is>
      </c>
      <c r="P1786" s="6">
        <f>HYPERLINK("https://www.dailydose.de/kleinanzeigen/user/17567", "Link")</f>
        <v/>
      </c>
      <c r="Q1786" s="7" t="n">
        <v>45541.57024305555</v>
      </c>
      <c r="R1786" s="3" t="inlineStr">
        <is>
          <t>484.42</t>
        </is>
      </c>
      <c r="S1786" t="inlineStr">
        <is>
          <t>Köln</t>
        </is>
      </c>
    </row>
    <row r="1787">
      <c r="A1787" s="2" t="n">
        <v>8.199999999999999</v>
      </c>
      <c r="B1787" t="inlineStr">
        <is>
          <t>Neilpryde RS Racing Evo XIII</t>
        </is>
      </c>
      <c r="C1787" s="3" t="n">
        <v>490</v>
      </c>
      <c r="D1787" s="3" t="inlineStr">
        <is>
          <t>207-214</t>
        </is>
      </c>
      <c r="E1787" t="inlineStr"/>
      <c r="F1787" t="inlineStr"/>
      <c r="G1787" t="inlineStr">
        <is>
          <t>new</t>
        </is>
      </c>
      <c r="H1787" s="4" t="n">
        <v>490</v>
      </c>
      <c r="I1787" t="inlineStr"/>
      <c r="J1787" t="inlineStr">
        <is>
          <t>33758 Schloß Holte</t>
        </is>
      </c>
      <c r="K1787" s="5" t="n">
        <v>45540</v>
      </c>
      <c r="L1787" t="inlineStr">
        <is>
          <t>Sold</t>
        </is>
      </c>
      <c r="M1787" s="6">
        <f>HYPERLINK("https://www.dailydose.de/kleinanzeigen/detail.htm?ai=422080&amp;cf=kk&amp;pg=3&amp;ci=5", "Link")</f>
        <v/>
      </c>
      <c r="N1787" s="6">
        <f>HYPERLINK("C:\Projects\Kleinanzeigen-Scraper\offer_images\422080", "Link")</f>
        <v/>
      </c>
      <c r="O1787" t="inlineStr">
        <is>
          <t>table__top</t>
        </is>
      </c>
      <c r="P1787" s="6">
        <f>HYPERLINK("https://www.dailydose.de/kleinanzeigen/user/808", "Link")</f>
        <v/>
      </c>
      <c r="Q1787" s="7" t="n">
        <v>45541.56979166667</v>
      </c>
      <c r="R1787" s="3" t="inlineStr">
        <is>
          <t>158.29</t>
        </is>
      </c>
      <c r="S1787" t="inlineStr">
        <is>
          <t>Köln</t>
        </is>
      </c>
    </row>
    <row r="1788">
      <c r="A1788" s="2" t="n">
        <v>4.2</v>
      </c>
      <c r="B1788" t="inlineStr">
        <is>
          <t>GOYA BANZAI X</t>
        </is>
      </c>
      <c r="C1788" s="3" t="n">
        <v>370</v>
      </c>
      <c r="D1788" s="3" t="n">
        <v>149</v>
      </c>
      <c r="E1788" t="inlineStr">
        <is>
          <t>Freestyle</t>
        </is>
      </c>
      <c r="F1788" t="inlineStr">
        <is>
          <t>2021/22</t>
        </is>
      </c>
      <c r="G1788" t="inlineStr">
        <is>
          <t>new</t>
        </is>
      </c>
      <c r="H1788" s="4" t="n">
        <v>325</v>
      </c>
      <c r="I1788" t="inlineStr"/>
      <c r="J1788" t="inlineStr">
        <is>
          <t>67245</t>
        </is>
      </c>
      <c r="K1788" s="5" t="n">
        <v>45541</v>
      </c>
      <c r="L1788" t="inlineStr">
        <is>
          <t>Sold</t>
        </is>
      </c>
      <c r="M1788" s="6">
        <f>HYPERLINK("https://www.dailydose.de/kleinanzeigen/detail.htm?ai=422117&amp;cf=kk&amp;pg=5&amp;ci=5", "Link")</f>
        <v/>
      </c>
      <c r="N1788" s="6">
        <f>HYPERLINK("C:\Projects\Kleinanzeigen-Scraper\offer_images\422117", "Link")</f>
        <v/>
      </c>
      <c r="O1788" t="inlineStr">
        <is>
          <t>Frank_74</t>
        </is>
      </c>
      <c r="P1788" s="6">
        <f>HYPERLINK("https://www.dailydose.de/kleinanzeigen/user/6289", "Link")</f>
        <v/>
      </c>
      <c r="Q1788" s="7" t="n">
        <v>45541.5697337963</v>
      </c>
      <c r="R1788" s="3" t="inlineStr">
        <is>
          <t>56.18</t>
        </is>
      </c>
      <c r="S1788" t="inlineStr">
        <is>
          <t>Karlsruhe</t>
        </is>
      </c>
    </row>
    <row r="1789">
      <c r="A1789" s="2" t="n">
        <v>5.8</v>
      </c>
      <c r="B1789" t="inlineStr">
        <is>
          <t>North Natural</t>
        </is>
      </c>
      <c r="C1789" s="3" t="inlineStr"/>
      <c r="D1789" s="3" t="inlineStr"/>
      <c r="E1789" t="inlineStr"/>
      <c r="F1789" t="inlineStr"/>
      <c r="G1789" t="inlineStr">
        <is>
          <t>new</t>
        </is>
      </c>
      <c r="H1789" s="4" t="n">
        <v>130</v>
      </c>
      <c r="I1789" t="inlineStr"/>
      <c r="J1789" t="inlineStr">
        <is>
          <t>12526 Berlin</t>
        </is>
      </c>
      <c r="K1789" s="5" t="n">
        <v>45540</v>
      </c>
      <c r="L1789" t="inlineStr">
        <is>
          <t>Sold</t>
        </is>
      </c>
      <c r="M1789" s="6">
        <f>HYPERLINK("https://www.dailydose.de/kleinanzeigen/detail.htm?ai=422083&amp;cf=kk&amp;pg=5&amp;ci=5", "Link")</f>
        <v/>
      </c>
      <c r="N1789" s="6">
        <f>HYPERLINK("C:\Projects\Kleinanzeigen-Scraper\offer_images\422083", "Link")</f>
        <v/>
      </c>
      <c r="O1789" t="inlineStr">
        <is>
          <t>Rasmus 1</t>
        </is>
      </c>
      <c r="P1789" s="6">
        <f>HYPERLINK("https://www.dailydose.de/kleinanzeigen/user/17567", "Link")</f>
        <v/>
      </c>
      <c r="Q1789" s="7" t="n">
        <v>45541.5694212963</v>
      </c>
      <c r="R1789" s="3" t="inlineStr">
        <is>
          <t>484.42</t>
        </is>
      </c>
      <c r="S1789" t="inlineStr">
        <is>
          <t>Köln</t>
        </is>
      </c>
    </row>
    <row r="1790">
      <c r="A1790" s="2" t="n">
        <v>3.7</v>
      </c>
      <c r="B1790" t="inlineStr">
        <is>
          <t>GOYA BANZAI X</t>
        </is>
      </c>
      <c r="C1790" s="3" t="inlineStr"/>
      <c r="D1790" s="3" t="inlineStr"/>
      <c r="E1790" t="inlineStr">
        <is>
          <t>Freestyle</t>
        </is>
      </c>
      <c r="F1790" t="inlineStr">
        <is>
          <t>2023</t>
        </is>
      </c>
      <c r="G1790" t="inlineStr">
        <is>
          <t>used</t>
        </is>
      </c>
      <c r="H1790" s="4" t="n">
        <v>420</v>
      </c>
      <c r="I1790" t="inlineStr"/>
      <c r="J1790" t="inlineStr">
        <is>
          <t>67245</t>
        </is>
      </c>
      <c r="K1790" s="5" t="n">
        <v>45541</v>
      </c>
      <c r="L1790" t="inlineStr">
        <is>
          <t>Sold</t>
        </is>
      </c>
      <c r="M1790" s="6">
        <f>HYPERLINK("https://www.dailydose.de/kleinanzeigen/detail.htm?ai=422118&amp;cf=kk&amp;pg=5&amp;ci=5", "Link")</f>
        <v/>
      </c>
      <c r="N1790" s="6">
        <f>HYPERLINK("C:\Projects\Kleinanzeigen-Scraper\offer_images\422118", "Link")</f>
        <v/>
      </c>
      <c r="O1790" t="inlineStr">
        <is>
          <t>Frank_74</t>
        </is>
      </c>
      <c r="P1790" s="6">
        <f>HYPERLINK("https://www.dailydose.de/kleinanzeigen/user/6289", "Link")</f>
        <v/>
      </c>
      <c r="Q1790" s="7" t="n">
        <v>45541.56855324074</v>
      </c>
      <c r="R1790" s="3" t="inlineStr">
        <is>
          <t>56.18</t>
        </is>
      </c>
      <c r="S1790" t="inlineStr">
        <is>
          <t>Karlsruhe</t>
        </is>
      </c>
    </row>
    <row r="1791">
      <c r="A1791" s="2" t="n">
        <v>4.7</v>
      </c>
      <c r="B1791" t="inlineStr">
        <is>
          <t>GOYA BANZAI X</t>
        </is>
      </c>
      <c r="C1791" s="3" t="n">
        <v>370</v>
      </c>
      <c r="D1791" s="3" t="inlineStr">
        <is>
          <t>155-158</t>
        </is>
      </c>
      <c r="E1791" t="inlineStr">
        <is>
          <t>Freestyle</t>
        </is>
      </c>
      <c r="F1791" t="inlineStr">
        <is>
          <t>2023</t>
        </is>
      </c>
      <c r="G1791" t="inlineStr">
        <is>
          <t>used</t>
        </is>
      </c>
      <c r="H1791" s="4" t="n">
        <v>420</v>
      </c>
      <c r="I1791" t="inlineStr"/>
      <c r="J1791" t="inlineStr">
        <is>
          <t>67245</t>
        </is>
      </c>
      <c r="K1791" s="5" t="n">
        <v>45541</v>
      </c>
      <c r="L1791" t="inlineStr">
        <is>
          <t>Sold</t>
        </is>
      </c>
      <c r="M1791" s="6">
        <f>HYPERLINK("https://www.dailydose.de/kleinanzeigen/detail.htm?ai=422120&amp;cf=kk&amp;pg=5&amp;ci=5", "Link")</f>
        <v/>
      </c>
      <c r="N1791" s="6">
        <f>HYPERLINK("C:\Projects\Kleinanzeigen-Scraper\offer_images\422120", "Link")</f>
        <v/>
      </c>
      <c r="O1791" t="inlineStr">
        <is>
          <t>Frank_74</t>
        </is>
      </c>
      <c r="P1791" s="6">
        <f>HYPERLINK("https://www.dailydose.de/kleinanzeigen/user/6289", "Link")</f>
        <v/>
      </c>
      <c r="Q1791" s="7" t="n">
        <v>45541.56765046297</v>
      </c>
      <c r="R1791" s="3" t="inlineStr">
        <is>
          <t>56.18</t>
        </is>
      </c>
      <c r="S1791" t="inlineStr">
        <is>
          <t>Karlsruhe</t>
        </is>
      </c>
    </row>
    <row r="1792">
      <c r="A1792" s="2" t="n">
        <v>4.2</v>
      </c>
      <c r="B1792" t="inlineStr">
        <is>
          <t>GOYA BANZAI X</t>
        </is>
      </c>
      <c r="C1792" s="3" t="inlineStr"/>
      <c r="D1792" s="3" t="inlineStr"/>
      <c r="E1792" t="inlineStr">
        <is>
          <t>Freestyle</t>
        </is>
      </c>
      <c r="F1792" t="inlineStr">
        <is>
          <t>2023</t>
        </is>
      </c>
      <c r="G1792" t="inlineStr">
        <is>
          <t>used</t>
        </is>
      </c>
      <c r="H1792" s="4" t="n">
        <v>420</v>
      </c>
      <c r="I1792" t="inlineStr"/>
      <c r="J1792" t="inlineStr">
        <is>
          <t>67245</t>
        </is>
      </c>
      <c r="K1792" s="5" t="n">
        <v>45541</v>
      </c>
      <c r="L1792" t="inlineStr">
        <is>
          <t>Sold</t>
        </is>
      </c>
      <c r="M1792" s="6">
        <f>HYPERLINK("https://www.dailydose.de/kleinanzeigen/detail.htm?ai=422119&amp;cf=kk&amp;pg=5&amp;ci=5", "Link")</f>
        <v/>
      </c>
      <c r="N1792" s="6">
        <f>HYPERLINK("C:\Projects\Kleinanzeigen-Scraper\offer_images\422119", "Link")</f>
        <v/>
      </c>
      <c r="O1792" t="inlineStr">
        <is>
          <t>Frank_74</t>
        </is>
      </c>
      <c r="P1792" s="6">
        <f>HYPERLINK("https://www.dailydose.de/kleinanzeigen/user/6289", "Link")</f>
        <v/>
      </c>
      <c r="Q1792" s="7" t="n">
        <v>45541.56747685185</v>
      </c>
      <c r="R1792" s="3" t="inlineStr">
        <is>
          <t>56.18</t>
        </is>
      </c>
      <c r="S1792" t="inlineStr">
        <is>
          <t>Karlsruhe</t>
        </is>
      </c>
    </row>
    <row r="1793">
      <c r="A1793" s="2" t="n">
        <v>8.6</v>
      </c>
      <c r="B1793" t="inlineStr">
        <is>
          <t>RAM-F14</t>
        </is>
      </c>
      <c r="C1793" s="3" t="inlineStr"/>
      <c r="D1793" s="3" t="inlineStr"/>
      <c r="E1793" t="inlineStr"/>
      <c r="F1793" t="inlineStr"/>
      <c r="G1793" t="inlineStr">
        <is>
          <t>used</t>
        </is>
      </c>
      <c r="H1793" s="4" t="n">
        <v>99</v>
      </c>
      <c r="I1793" t="inlineStr">
        <is>
          <t>VB</t>
        </is>
      </c>
      <c r="J1793" t="inlineStr">
        <is>
          <t>83471 Bayern - Berchtesgaden</t>
        </is>
      </c>
      <c r="K1793" s="5" t="n">
        <v>45540</v>
      </c>
      <c r="L1793" t="inlineStr">
        <is>
          <t>Sold</t>
        </is>
      </c>
      <c r="M1793" s="6">
        <f>HYPERLINK("https://www.kleinanzeigen.de/s-anzeige/windsurf-segel-ram-f14-8-6/2855035619-230-9604", "Link")</f>
        <v/>
      </c>
      <c r="N1793" s="6">
        <f>HYPERLINK("C:\Projects\Kleinanzeigen-Scraper\offer_images\2855035619", "Link")</f>
        <v/>
      </c>
      <c r="O1793" t="inlineStr">
        <is>
          <t>Wolfgang</t>
        </is>
      </c>
      <c r="P1793" s="6">
        <f>HYPERLINK("https://www.kleinanzeigen.de/s-bestandsliste.html?userId=31463370", "Link")</f>
        <v/>
      </c>
      <c r="Q1793" s="7" t="n">
        <v>45541.56690972222</v>
      </c>
      <c r="R1793" s="3" t="inlineStr">
        <is>
          <t>123.65</t>
        </is>
      </c>
      <c r="S1793" t="inlineStr">
        <is>
          <t>München</t>
        </is>
      </c>
    </row>
    <row r="1794">
      <c r="A1794" s="2" t="n">
        <v>6.2</v>
      </c>
      <c r="B1794" t="inlineStr">
        <is>
          <t>North Sails</t>
        </is>
      </c>
      <c r="C1794" s="3" t="inlineStr"/>
      <c r="D1794" s="3" t="inlineStr"/>
      <c r="E1794" t="inlineStr"/>
      <c r="F1794" t="inlineStr"/>
      <c r="G1794" t="inlineStr"/>
      <c r="H1794" s="4" t="n">
        <v>100</v>
      </c>
      <c r="I1794" t="inlineStr">
        <is>
          <t>VB</t>
        </is>
      </c>
      <c r="J1794" t="inlineStr">
        <is>
          <t>74423 Baden-Württemberg - Obersontheim</t>
        </is>
      </c>
      <c r="K1794" s="5" t="n">
        <v>45540</v>
      </c>
      <c r="L1794" t="inlineStr">
        <is>
          <t>Sold</t>
        </is>
      </c>
      <c r="M1794" s="6">
        <f>HYPERLINK("https://www.kleinanzeigen.de/s-anzeige/windsurf-rigg-north-sails-6-2-natural/2855165164-230-9154", "Link")</f>
        <v/>
      </c>
      <c r="N1794" s="6">
        <f>HYPERLINK("C:\Projects\Kleinanzeigen-Scraper\offer_images\2855165164", "Link")</f>
        <v/>
      </c>
      <c r="O1794" t="inlineStr">
        <is>
          <t>Marcel</t>
        </is>
      </c>
      <c r="P1794" s="6">
        <f>HYPERLINK("https://www.kleinanzeigen.de/s-bestandsliste.html?userId=22775485", "Link")</f>
        <v/>
      </c>
      <c r="Q1794" s="7" t="n">
        <v>45541.56680555556</v>
      </c>
      <c r="R1794" s="3" t="inlineStr">
        <is>
          <t>77.18</t>
        </is>
      </c>
      <c r="S1794" t="inlineStr">
        <is>
          <t>Böblingen</t>
        </is>
      </c>
    </row>
    <row r="1795">
      <c r="A1795" s="2" t="n">
        <v>6.6</v>
      </c>
      <c r="B1795" t="inlineStr">
        <is>
          <t>North Natural</t>
        </is>
      </c>
      <c r="C1795" s="3" t="inlineStr"/>
      <c r="D1795" s="3" t="inlineStr"/>
      <c r="E1795" t="inlineStr">
        <is>
          <t>Freeride</t>
        </is>
      </c>
      <c r="F1795" t="inlineStr"/>
      <c r="G1795" t="inlineStr">
        <is>
          <t>new</t>
        </is>
      </c>
      <c r="H1795" s="4" t="n">
        <v>165</v>
      </c>
      <c r="I1795" t="inlineStr">
        <is>
          <t>VB</t>
        </is>
      </c>
      <c r="J1795" t="inlineStr">
        <is>
          <t>82549 Königsdorf</t>
        </is>
      </c>
      <c r="K1795" s="5" t="n">
        <v>45539</v>
      </c>
      <c r="L1795" t="inlineStr">
        <is>
          <t>Sold</t>
        </is>
      </c>
      <c r="M1795" s="6">
        <f>HYPERLINK("https://www.dailydose.de/kleinanzeigen/detail.htm?ai=422051&amp;cf=kk&amp;pg=3&amp;ci=5", "Link")</f>
        <v/>
      </c>
      <c r="N1795" s="6">
        <f>HYPERLINK("C:\Projects\Kleinanzeigen-Scraper\offer_images\422051", "Link")</f>
        <v/>
      </c>
      <c r="O1795" t="inlineStr">
        <is>
          <t>Tom_64</t>
        </is>
      </c>
      <c r="P1795" s="6">
        <f>HYPERLINK("https://www.dailydose.de/kleinanzeigen/user/23955", "Link")</f>
        <v/>
      </c>
      <c r="Q1795" s="7" t="n">
        <v>45540.56596064815</v>
      </c>
      <c r="R1795" s="3" t="inlineStr">
        <is>
          <t>36.23</t>
        </is>
      </c>
      <c r="S1795" t="inlineStr">
        <is>
          <t>München</t>
        </is>
      </c>
    </row>
    <row r="1796">
      <c r="A1796" s="2" t="n">
        <v>4.3</v>
      </c>
      <c r="B1796" t="inlineStr">
        <is>
          <t>Hot Sails Maui Firelight</t>
        </is>
      </c>
      <c r="C1796" s="3" t="n">
        <v>370</v>
      </c>
      <c r="D1796" s="3" t="n">
        <v>155</v>
      </c>
      <c r="E1796" t="inlineStr"/>
      <c r="F1796" t="inlineStr">
        <is>
          <t>2014</t>
        </is>
      </c>
      <c r="G1796" t="inlineStr">
        <is>
          <t>used</t>
        </is>
      </c>
      <c r="H1796" s="4" t="n">
        <v>90</v>
      </c>
      <c r="I1796" t="inlineStr">
        <is>
          <t>VB</t>
        </is>
      </c>
      <c r="J1796" t="inlineStr">
        <is>
          <t>24105 Kiel</t>
        </is>
      </c>
      <c r="K1796" s="5" t="n">
        <v>45539</v>
      </c>
      <c r="L1796" t="inlineStr">
        <is>
          <t>Sold</t>
        </is>
      </c>
      <c r="M1796" s="6">
        <f>HYPERLINK("https://www.dailydose.de/kleinanzeigen/detail.htm?ai=422037&amp;cf=kk&amp;pg=5&amp;ci=5", "Link")</f>
        <v/>
      </c>
      <c r="N1796" s="6">
        <f>HYPERLINK("C:\Projects\Kleinanzeigen-Scraper\offer_images\422037", "Link")</f>
        <v/>
      </c>
      <c r="O1796" t="inlineStr">
        <is>
          <t>Christoph_S</t>
        </is>
      </c>
      <c r="P1796" s="6">
        <f>HYPERLINK("https://www.dailydose.de/kleinanzeigen/user/2617", "Link")</f>
        <v/>
      </c>
      <c r="Q1796" s="7" t="n">
        <v>45540.56560185185</v>
      </c>
      <c r="R1796" s="3" t="inlineStr">
        <is>
          <t>435.05</t>
        </is>
      </c>
      <c r="S1796" t="inlineStr">
        <is>
          <t>Köln</t>
        </is>
      </c>
    </row>
    <row r="1797">
      <c r="A1797" s="2" t="n">
        <v>5.4</v>
      </c>
      <c r="B1797" t="inlineStr">
        <is>
          <t>Naish Boxer</t>
        </is>
      </c>
      <c r="C1797" s="3" t="n">
        <v>400</v>
      </c>
      <c r="D1797" s="3" t="inlineStr"/>
      <c r="E1797" t="inlineStr"/>
      <c r="F1797" t="inlineStr"/>
      <c r="G1797" t="inlineStr">
        <is>
          <t>used</t>
        </is>
      </c>
      <c r="H1797" s="4" t="n">
        <v>155</v>
      </c>
      <c r="I1797" t="inlineStr">
        <is>
          <t>VB</t>
        </is>
      </c>
      <c r="J1797" t="inlineStr">
        <is>
          <t>82549 Königsdorf</t>
        </is>
      </c>
      <c r="K1797" s="5" t="n">
        <v>45539</v>
      </c>
      <c r="L1797" t="inlineStr">
        <is>
          <t>Sold</t>
        </is>
      </c>
      <c r="M1797" s="6">
        <f>HYPERLINK("https://www.dailydose.de/kleinanzeigen/detail.htm?ai=422052&amp;cf=kk&amp;pg=5&amp;ci=5", "Link")</f>
        <v/>
      </c>
      <c r="N1797" s="6">
        <f>HYPERLINK("C:\Projects\Kleinanzeigen-Scraper\offer_images\422052", "Link")</f>
        <v/>
      </c>
      <c r="O1797" t="inlineStr">
        <is>
          <t>Tom_64</t>
        </is>
      </c>
      <c r="P1797" s="6">
        <f>HYPERLINK("https://www.dailydose.de/kleinanzeigen/user/23955", "Link")</f>
        <v/>
      </c>
      <c r="Q1797" s="7" t="n">
        <v>45540.56488425926</v>
      </c>
      <c r="R1797" s="3" t="inlineStr">
        <is>
          <t>36.23</t>
        </is>
      </c>
      <c r="S1797" t="inlineStr">
        <is>
          <t>München</t>
        </is>
      </c>
    </row>
    <row r="1798">
      <c r="A1798" s="2" t="n">
        <v>4.9</v>
      </c>
      <c r="B1798" t="inlineStr">
        <is>
          <t>S2 Maui Dragon</t>
        </is>
      </c>
      <c r="C1798" s="3" t="inlineStr"/>
      <c r="D1798" s="3" t="inlineStr"/>
      <c r="E1798" t="inlineStr"/>
      <c r="F1798" t="inlineStr">
        <is>
          <t>2022</t>
        </is>
      </c>
      <c r="G1798" t="inlineStr">
        <is>
          <t>repaired</t>
        </is>
      </c>
      <c r="H1798" s="4" t="n">
        <v>240</v>
      </c>
      <c r="I1798" t="inlineStr"/>
      <c r="J1798" t="inlineStr">
        <is>
          <t>24159</t>
        </is>
      </c>
      <c r="K1798" s="5" t="n">
        <v>45539</v>
      </c>
      <c r="L1798" t="inlineStr">
        <is>
          <t>Sold</t>
        </is>
      </c>
      <c r="M1798" s="6">
        <f>HYPERLINK("https://www.dailydose.de/kleinanzeigen/detail.htm?ai=422033&amp;cf=kk&amp;pg=5&amp;ci=5", "Link")</f>
        <v/>
      </c>
      <c r="N1798" s="6">
        <f>HYPERLINK("C:\Projects\Kleinanzeigen-Scraper\offer_images\422033", "Link")</f>
        <v/>
      </c>
      <c r="O1798" t="inlineStr">
        <is>
          <t>Klaus</t>
        </is>
      </c>
      <c r="P1798" s="6">
        <f>HYPERLINK("https://www.dailydose.de/kleinanzeigen/user/1845", "Link")</f>
        <v/>
      </c>
      <c r="Q1798" s="7" t="n">
        <v>45540.56484953704</v>
      </c>
      <c r="R1798" s="3" t="inlineStr">
        <is>
          <t>440.84</t>
        </is>
      </c>
      <c r="S1798" t="inlineStr">
        <is>
          <t>Köln</t>
        </is>
      </c>
    </row>
    <row r="1799">
      <c r="A1799" s="2" t="n">
        <v>8.5</v>
      </c>
      <c r="B1799" t="inlineStr">
        <is>
          <t>Gaastra Matrix</t>
        </is>
      </c>
      <c r="C1799" s="3" t="n">
        <v>5.12</v>
      </c>
      <c r="D1799" s="3" t="n">
        <v>2.34</v>
      </c>
      <c r="E1799" t="inlineStr"/>
      <c r="F1799" t="inlineStr"/>
      <c r="G1799" t="inlineStr">
        <is>
          <t>repaired</t>
        </is>
      </c>
      <c r="H1799" s="4" t="n">
        <v>49</v>
      </c>
      <c r="I1799" t="inlineStr">
        <is>
          <t>VB</t>
        </is>
      </c>
      <c r="J1799" t="inlineStr">
        <is>
          <t>51381 Nordrhein-Westfalen - Leverkusen</t>
        </is>
      </c>
      <c r="K1799" s="5" t="n">
        <v>45536</v>
      </c>
      <c r="L1799" t="inlineStr">
        <is>
          <t>Sold</t>
        </is>
      </c>
      <c r="M1799" s="6">
        <f>HYPERLINK("https://www.kleinanzeigen.de/s-anzeige/windsurf-segel-gaastra-matrix-8-5-qm-herbst-schnaeppchen/2851323839-230-1990", "Link")</f>
        <v/>
      </c>
      <c r="N1799" s="6">
        <f>HYPERLINK("C:\Projects\Kleinanzeigen-Scraper\offer_images\2851323839", "Link")</f>
        <v/>
      </c>
      <c r="O1799" t="inlineStr">
        <is>
          <t>Hag</t>
        </is>
      </c>
      <c r="P1799" s="6">
        <f>HYPERLINK("https://www.kleinanzeigen.de/s-bestandsliste.html?userId=20372972", "Link")</f>
        <v/>
      </c>
      <c r="Q1799" s="7" t="n">
        <v>45540.56459490741</v>
      </c>
      <c r="R1799" s="3" t="inlineStr">
        <is>
          <t>16.55</t>
        </is>
      </c>
      <c r="S1799" t="inlineStr">
        <is>
          <t>Köln</t>
        </is>
      </c>
    </row>
    <row r="1800">
      <c r="A1800" s="2" t="n">
        <v>5.4</v>
      </c>
      <c r="B1800" t="inlineStr">
        <is>
          <t>Neilpryde Excess</t>
        </is>
      </c>
      <c r="C1800" s="3" t="inlineStr"/>
      <c r="D1800" s="3" t="inlineStr"/>
      <c r="E1800" t="inlineStr"/>
      <c r="F1800" t="inlineStr"/>
      <c r="G1800" t="inlineStr">
        <is>
          <t>used</t>
        </is>
      </c>
      <c r="H1800" s="4" t="n">
        <v>50</v>
      </c>
      <c r="I1800" t="inlineStr"/>
      <c r="J1800" t="inlineStr">
        <is>
          <t>09117 Chemnitz - Rabenstein</t>
        </is>
      </c>
      <c r="K1800" s="5" t="n">
        <v>45539</v>
      </c>
      <c r="L1800" t="inlineStr">
        <is>
          <t>Sold</t>
        </is>
      </c>
      <c r="M1800" s="6">
        <f>HYPERLINK("https://www.kleinanzeigen.de/s-anzeige/neilpryde-excess-5-4-segel-windsurfen-neil-pryde/2854300230-230-26066", "Link")</f>
        <v/>
      </c>
      <c r="N1800" s="6">
        <f>HYPERLINK("C:\Projects\Kleinanzeigen-Scraper\offer_images\2854300230", "Link")</f>
        <v/>
      </c>
      <c r="O1800" t="inlineStr">
        <is>
          <t>Frank Dittmar</t>
        </is>
      </c>
      <c r="P1800" s="6">
        <f>HYPERLINK("https://www.kleinanzeigen.de/s-bestandsliste.html?userId=9853269", "Link")</f>
        <v/>
      </c>
      <c r="Q1800" s="7" t="n">
        <v>45540.56453703704</v>
      </c>
      <c r="R1800" s="3" t="inlineStr">
        <is>
          <t>312.37</t>
        </is>
      </c>
      <c r="S1800" t="inlineStr">
        <is>
          <t>München</t>
        </is>
      </c>
    </row>
    <row r="1801">
      <c r="A1801" s="2" t="n">
        <v>8.699999999999999</v>
      </c>
      <c r="B1801" t="inlineStr">
        <is>
          <t>Duotone Warp Foil</t>
        </is>
      </c>
      <c r="C1801" s="3" t="n">
        <v>520</v>
      </c>
      <c r="D1801" s="3" t="inlineStr"/>
      <c r="E1801" t="inlineStr"/>
      <c r="F1801" t="inlineStr">
        <is>
          <t>2023</t>
        </is>
      </c>
      <c r="G1801" t="inlineStr">
        <is>
          <t>used</t>
        </is>
      </c>
      <c r="H1801" s="4" t="n">
        <v>420</v>
      </c>
      <c r="I1801" t="inlineStr">
        <is>
          <t>VB</t>
        </is>
      </c>
      <c r="J1801" t="inlineStr">
        <is>
          <t>83727 Bayern - Schliersee</t>
        </is>
      </c>
      <c r="K1801" s="5" t="n">
        <v>45538</v>
      </c>
      <c r="L1801" t="inlineStr">
        <is>
          <t>Sold</t>
        </is>
      </c>
      <c r="M1801" s="6">
        <f>HYPERLINK("https://www.kleinanzeigen.de/s-anzeige/doutone-warp-foil-8-7-2023-windsurf-segel/2853605412-230-5897", "Link")</f>
        <v/>
      </c>
      <c r="N1801" s="6">
        <f>HYPERLINK("C:\Projects\Kleinanzeigen-Scraper\offer_images\2853605412", "Link")</f>
        <v/>
      </c>
      <c r="O1801" t="inlineStr">
        <is>
          <t>Schwab Maximilian</t>
        </is>
      </c>
      <c r="P1801" s="6">
        <f>HYPERLINK("https://www.kleinanzeigen.de/s-bestandsliste.html?userId=74211718", "Link")</f>
        <v/>
      </c>
      <c r="Q1801" s="7" t="n">
        <v>45540.56449074074</v>
      </c>
      <c r="R1801" s="3" t="inlineStr">
        <is>
          <t>54.23</t>
        </is>
      </c>
      <c r="S1801" t="inlineStr">
        <is>
          <t>München</t>
        </is>
      </c>
    </row>
    <row r="1802">
      <c r="A1802" s="2" t="n">
        <v>5</v>
      </c>
      <c r="B1802" t="inlineStr">
        <is>
          <t>Northsails Duke</t>
        </is>
      </c>
      <c r="C1802" s="3" t="inlineStr"/>
      <c r="D1802" s="3" t="inlineStr"/>
      <c r="E1802" t="inlineStr"/>
      <c r="F1802" t="inlineStr"/>
      <c r="G1802" t="inlineStr">
        <is>
          <t>used</t>
        </is>
      </c>
      <c r="H1802" s="4" t="n">
        <v>80</v>
      </c>
      <c r="I1802" t="inlineStr">
        <is>
          <t>VB</t>
        </is>
      </c>
      <c r="J1802" t="inlineStr">
        <is>
          <t>88410 Baden-Württemberg - Bad Wurzach</t>
        </is>
      </c>
      <c r="K1802" s="5" t="n">
        <v>45540</v>
      </c>
      <c r="L1802" t="inlineStr">
        <is>
          <t>Sold</t>
        </is>
      </c>
      <c r="M1802" s="6">
        <f>HYPERLINK("https://www.kleinanzeigen.de/s-anzeige/windsurf-segel-northwind-duke-5-0/2854844665-211-8740", "Link")</f>
        <v/>
      </c>
      <c r="N1802" s="6">
        <f>HYPERLINK("C:\Projects\Kleinanzeigen-Scraper\offer_images\2854844665", "Link")</f>
        <v/>
      </c>
      <c r="O1802" t="inlineStr">
        <is>
          <t>Hardy Jany</t>
        </is>
      </c>
      <c r="P1802" s="6">
        <f>HYPERLINK("https://www.kleinanzeigen.de/s-bestandsliste.html?userId=19460906", "Link")</f>
        <v/>
      </c>
      <c r="Q1802" s="7" t="n">
        <v>45540.56403935186</v>
      </c>
      <c r="R1802" s="3" t="inlineStr">
        <is>
          <t>108.27</t>
        </is>
      </c>
      <c r="S1802" t="inlineStr">
        <is>
          <t>Böblingen</t>
        </is>
      </c>
    </row>
    <row r="1803">
      <c r="A1803" s="2" t="n">
        <v>6.2</v>
      </c>
      <c r="B1803" t="inlineStr">
        <is>
          <t>Neilpryde Search</t>
        </is>
      </c>
      <c r="C1803" s="3" t="inlineStr"/>
      <c r="D1803" s="3" t="inlineStr"/>
      <c r="E1803" t="inlineStr"/>
      <c r="F1803" t="inlineStr"/>
      <c r="G1803" t="inlineStr">
        <is>
          <t>used</t>
        </is>
      </c>
      <c r="H1803" s="4" t="n">
        <v>45</v>
      </c>
      <c r="I1803" t="inlineStr"/>
      <c r="J1803" t="inlineStr">
        <is>
          <t>09117 Chemnitz - Rabenstein</t>
        </is>
      </c>
      <c r="K1803" s="5" t="n">
        <v>45539</v>
      </c>
      <c r="L1803" t="inlineStr">
        <is>
          <t>Sold</t>
        </is>
      </c>
      <c r="M1803" s="6">
        <f>HYPERLINK("https://www.kleinanzeigen.de/s-anzeige/neilpryde-segel-search-6-2-windsurfen-neil-pryde/2854335957-230-26066", "Link")</f>
        <v/>
      </c>
      <c r="N1803" s="6">
        <f>HYPERLINK("C:\Projects\Kleinanzeigen-Scraper\offer_images\2854335957", "Link")</f>
        <v/>
      </c>
      <c r="O1803" t="inlineStr">
        <is>
          <t>Frank Dittmar</t>
        </is>
      </c>
      <c r="P1803" s="6">
        <f>HYPERLINK("https://www.kleinanzeigen.de/s-bestandsliste.html?userId=9853269", "Link")</f>
        <v/>
      </c>
      <c r="Q1803" s="7" t="n">
        <v>45540.56387731482</v>
      </c>
      <c r="R1803" s="3" t="inlineStr">
        <is>
          <t>312.37</t>
        </is>
      </c>
      <c r="S1803" t="inlineStr">
        <is>
          <t>München</t>
        </is>
      </c>
    </row>
    <row r="1804">
      <c r="A1804" s="2" t="n">
        <v>6.1</v>
      </c>
      <c r="B1804" t="inlineStr">
        <is>
          <t>Neilpryde Fusion</t>
        </is>
      </c>
      <c r="C1804" s="3" t="inlineStr"/>
      <c r="D1804" s="3" t="inlineStr"/>
      <c r="E1804" t="inlineStr"/>
      <c r="F1804" t="inlineStr"/>
      <c r="G1804" t="inlineStr">
        <is>
          <t>used</t>
        </is>
      </c>
      <c r="H1804" s="4" t="n">
        <v>85</v>
      </c>
      <c r="I1804" t="inlineStr"/>
      <c r="J1804" t="inlineStr">
        <is>
          <t>09117 Chemnitz - Rabenstein</t>
        </is>
      </c>
      <c r="K1804" s="5" t="n">
        <v>45539</v>
      </c>
      <c r="L1804" t="inlineStr">
        <is>
          <t>Sold</t>
        </is>
      </c>
      <c r="M1804" s="6">
        <f>HYPERLINK("https://www.kleinanzeigen.de/s-anzeige/neilpryde-fusion-6-1-segel-windsurfen-neil-pryde/2854292604-230-26066", "Link")</f>
        <v/>
      </c>
      <c r="N1804" s="6">
        <f>HYPERLINK("C:\Projects\Kleinanzeigen-Scraper\offer_images\2854292604", "Link")</f>
        <v/>
      </c>
      <c r="O1804" t="inlineStr">
        <is>
          <t>Frank Dittmar</t>
        </is>
      </c>
      <c r="P1804" s="6">
        <f>HYPERLINK("https://www.kleinanzeigen.de/s-bestandsliste.html?userId=9853269", "Link")</f>
        <v/>
      </c>
      <c r="Q1804" s="7" t="n">
        <v>45540.56381944445</v>
      </c>
      <c r="R1804" s="3" t="inlineStr">
        <is>
          <t>312.37</t>
        </is>
      </c>
      <c r="S1804" t="inlineStr">
        <is>
          <t>München</t>
        </is>
      </c>
    </row>
    <row r="1805">
      <c r="A1805" s="2" t="n">
        <v>5.8</v>
      </c>
      <c r="B1805" t="inlineStr">
        <is>
          <t>Goya Mark 2 Pro</t>
        </is>
      </c>
      <c r="C1805" s="3" t="n">
        <v>400</v>
      </c>
      <c r="D1805" s="3" t="n">
        <v>185</v>
      </c>
      <c r="E1805" t="inlineStr">
        <is>
          <t>Slalom</t>
        </is>
      </c>
      <c r="F1805" t="inlineStr"/>
      <c r="G1805" t="inlineStr">
        <is>
          <t>used</t>
        </is>
      </c>
      <c r="H1805" s="4" t="n">
        <v>330</v>
      </c>
      <c r="I1805" t="inlineStr">
        <is>
          <t>VB</t>
        </is>
      </c>
      <c r="J1805" t="inlineStr">
        <is>
          <t>24159 Kiel - Pries-Friedrichsort</t>
        </is>
      </c>
      <c r="K1805" s="5" t="n">
        <v>45540</v>
      </c>
      <c r="L1805" t="inlineStr"/>
      <c r="M1805" s="6">
        <f>HYPERLINK("https://www.kleinanzeigen.de/s-anzeige/goya-mark-2-pro-5-8m2-windsurf-slalom-segel-2-cam/2854723641-230-695", "Link")</f>
        <v/>
      </c>
      <c r="N1805" s="6">
        <f>HYPERLINK("C:\Projects\Kleinanzeigen-Scraper\offer_images\2854723641", "Link")</f>
        <v/>
      </c>
      <c r="O1805" t="inlineStr">
        <is>
          <t>Lennard Stegmann</t>
        </is>
      </c>
      <c r="P1805" s="6">
        <f>HYPERLINK("https://www.kleinanzeigen.de/s-bestandsliste.html?userId=37439214", "Link")</f>
        <v/>
      </c>
      <c r="Q1805" s="7" t="n">
        <v>45540.56381944445</v>
      </c>
      <c r="R1805" s="3" t="inlineStr">
        <is>
          <t>440.84</t>
        </is>
      </c>
      <c r="S1805" t="inlineStr">
        <is>
          <t>Köln</t>
        </is>
      </c>
    </row>
    <row r="1806">
      <c r="A1806" s="2" t="n">
        <v>5.8</v>
      </c>
      <c r="B1806" t="inlineStr">
        <is>
          <t>Neilpryde Alpha</t>
        </is>
      </c>
      <c r="C1806" s="3" t="n">
        <v>430</v>
      </c>
      <c r="D1806" s="3" t="inlineStr"/>
      <c r="E1806" t="inlineStr"/>
      <c r="F1806" t="inlineStr"/>
      <c r="G1806" t="inlineStr">
        <is>
          <t>used</t>
        </is>
      </c>
      <c r="H1806" s="4" t="n">
        <v>40</v>
      </c>
      <c r="I1806" t="inlineStr"/>
      <c r="J1806" t="inlineStr">
        <is>
          <t>09117 Chemnitz - Rabenstein</t>
        </is>
      </c>
      <c r="K1806" s="5" t="n">
        <v>45539</v>
      </c>
      <c r="L1806" t="inlineStr">
        <is>
          <t>Sold</t>
        </is>
      </c>
      <c r="M1806" s="6">
        <f>HYPERLINK("https://www.kleinanzeigen.de/s-anzeige/neilpryde-alpha-5-8-segel-windsurfen-neil-pryde/2854287589-230-26066", "Link")</f>
        <v/>
      </c>
      <c r="N1806" s="6">
        <f>HYPERLINK("C:\Projects\Kleinanzeigen-Scraper\offer_images\2854287589", "Link")</f>
        <v/>
      </c>
      <c r="O1806" t="inlineStr">
        <is>
          <t>Frank Dittmar</t>
        </is>
      </c>
      <c r="P1806" s="6">
        <f>HYPERLINK("https://www.kleinanzeigen.de/s-bestandsliste.html?userId=9853269", "Link")</f>
        <v/>
      </c>
      <c r="Q1806" s="7" t="n">
        <v>45540.56380787037</v>
      </c>
      <c r="R1806" s="3" t="inlineStr">
        <is>
          <t>312.37</t>
        </is>
      </c>
      <c r="S1806" t="inlineStr">
        <is>
          <t>München</t>
        </is>
      </c>
    </row>
    <row r="1807">
      <c r="A1807" s="2" t="n">
        <v>7.8</v>
      </c>
      <c r="B1807" t="inlineStr">
        <is>
          <t>North Daytona</t>
        </is>
      </c>
      <c r="C1807" s="3" t="n">
        <v>490</v>
      </c>
      <c r="D1807" s="3" t="inlineStr">
        <is>
          <t>213-215</t>
        </is>
      </c>
      <c r="E1807" t="inlineStr">
        <is>
          <t>Freerace</t>
        </is>
      </c>
      <c r="F1807" t="inlineStr"/>
      <c r="G1807" t="inlineStr">
        <is>
          <t>used</t>
        </is>
      </c>
      <c r="H1807" s="4" t="n">
        <v>135</v>
      </c>
      <c r="I1807" t="inlineStr"/>
      <c r="J1807" t="inlineStr">
        <is>
          <t>60439 Frankfurt am Main - Niederursel</t>
        </is>
      </c>
      <c r="K1807" s="5" t="n">
        <v>45530</v>
      </c>
      <c r="L1807" t="inlineStr">
        <is>
          <t>Sold</t>
        </is>
      </c>
      <c r="M1807" s="6">
        <f>HYPERLINK("https://www.kleinanzeigen.de/s-anzeige/windsurf-segel-north-daytona-7-8qm-windsurfing-sail-only/2846651902-230-9589", "Link")</f>
        <v/>
      </c>
      <c r="N1807" s="6">
        <f>HYPERLINK("C:\Projects\Kleinanzeigen-Scraper\offer_images\2846651902", "Link")</f>
        <v/>
      </c>
      <c r="O1807" t="inlineStr">
        <is>
          <t>Thomas</t>
        </is>
      </c>
      <c r="P1807" s="6">
        <f>HYPERLINK("https://www.kleinanzeigen.de/s-bestandsliste.html?userId=33207554", "Link")</f>
        <v/>
      </c>
      <c r="Q1807" s="7" t="n">
        <v>45540.56358796296</v>
      </c>
      <c r="R1807" s="3" t="inlineStr">
        <is>
          <t>129.01</t>
        </is>
      </c>
      <c r="S1807" t="inlineStr">
        <is>
          <t>Karlsruhe</t>
        </is>
      </c>
    </row>
    <row r="1808">
      <c r="A1808" s="2" t="n">
        <v>5.2</v>
      </c>
      <c r="B1808" t="inlineStr">
        <is>
          <t>Severne Freek</t>
        </is>
      </c>
      <c r="C1808" s="3" t="inlineStr"/>
      <c r="D1808" s="3" t="inlineStr"/>
      <c r="E1808" t="inlineStr"/>
      <c r="F1808" t="inlineStr">
        <is>
          <t>2022</t>
        </is>
      </c>
      <c r="G1808" t="inlineStr">
        <is>
          <t>used</t>
        </is>
      </c>
      <c r="H1808" s="4" t="n">
        <v>315</v>
      </c>
      <c r="I1808" t="inlineStr"/>
      <c r="J1808" t="inlineStr">
        <is>
          <t>69198 Schriesheim</t>
        </is>
      </c>
      <c r="K1808" s="5" t="n">
        <v>45539</v>
      </c>
      <c r="L1808" t="inlineStr">
        <is>
          <t>Sold</t>
        </is>
      </c>
      <c r="M1808" s="6">
        <f>HYPERLINK("https://www.dailydose.de/kleinanzeigen/detail.htm?ai=422012&amp;cf=kk&amp;pg=5&amp;ci=5", "Link")</f>
        <v/>
      </c>
      <c r="N1808" s="6">
        <f>HYPERLINK("C:\Projects\Kleinanzeigen-Scraper\offer_images\422012", "Link")</f>
        <v/>
      </c>
      <c r="O1808" t="inlineStr">
        <is>
          <t>Sven_81</t>
        </is>
      </c>
      <c r="P1808" s="6">
        <f>HYPERLINK("https://www.dailydose.de/kleinanzeigen/user/25642", "Link")</f>
        <v/>
      </c>
      <c r="Q1808" s="7" t="n">
        <v>45539.58924768519</v>
      </c>
      <c r="R1808" s="3" t="inlineStr">
        <is>
          <t>57.18</t>
        </is>
      </c>
      <c r="S1808" t="inlineStr">
        <is>
          <t>Karlsruhe</t>
        </is>
      </c>
    </row>
    <row r="1809">
      <c r="A1809" s="2" t="n">
        <v>7.8</v>
      </c>
      <c r="B1809" t="inlineStr">
        <is>
          <t>Point-7 ACK</t>
        </is>
      </c>
      <c r="C1809" s="3" t="inlineStr"/>
      <c r="D1809" s="3" t="inlineStr"/>
      <c r="E1809" t="inlineStr"/>
      <c r="F1809" t="inlineStr">
        <is>
          <t>2020</t>
        </is>
      </c>
      <c r="G1809" t="inlineStr">
        <is>
          <t>used</t>
        </is>
      </c>
      <c r="H1809" s="4" t="n">
        <v>170</v>
      </c>
      <c r="I1809" t="inlineStr"/>
      <c r="J1809" t="inlineStr">
        <is>
          <t>47665 Sonsbeck</t>
        </is>
      </c>
      <c r="K1809" s="5" t="n">
        <v>45539</v>
      </c>
      <c r="L1809" t="inlineStr">
        <is>
          <t>Sold</t>
        </is>
      </c>
      <c r="M1809" s="6">
        <f>HYPERLINK("https://www.dailydose.de/kleinanzeigen/detail.htm?ai=422020&amp;cf=kk&amp;pg=5&amp;ci=5", "Link")</f>
        <v/>
      </c>
      <c r="N1809" s="6">
        <f>HYPERLINK("C:\Projects\Kleinanzeigen-Scraper\offer_images\422020", "Link")</f>
        <v/>
      </c>
      <c r="O1809" t="inlineStr">
        <is>
          <t>Surfer 21</t>
        </is>
      </c>
      <c r="P1809" s="6">
        <f>HYPERLINK("https://www.dailydose.de/kleinanzeigen/user/11823", "Link")</f>
        <v/>
      </c>
      <c r="Q1809" s="7" t="n">
        <v>45539.58831018519</v>
      </c>
      <c r="R1809" s="3" t="inlineStr">
        <is>
          <t>86.26</t>
        </is>
      </c>
      <c r="S1809" t="inlineStr">
        <is>
          <t>Köln</t>
        </is>
      </c>
    </row>
    <row r="1810">
      <c r="A1810" s="2" t="n">
        <v>5.3</v>
      </c>
      <c r="B1810" t="inlineStr">
        <is>
          <t>Naish Force</t>
        </is>
      </c>
      <c r="C1810" s="3" t="n">
        <v>400</v>
      </c>
      <c r="D1810" s="3" t="inlineStr"/>
      <c r="E1810" t="inlineStr"/>
      <c r="F1810" t="inlineStr">
        <is>
          <t>2017</t>
        </is>
      </c>
      <c r="G1810" t="inlineStr">
        <is>
          <t>repaired</t>
        </is>
      </c>
      <c r="H1810" s="4" t="n">
        <v>90</v>
      </c>
      <c r="I1810" t="inlineStr"/>
      <c r="J1810" t="inlineStr">
        <is>
          <t>50996 Köln</t>
        </is>
      </c>
      <c r="K1810" s="5" t="n">
        <v>45538</v>
      </c>
      <c r="L1810" t="inlineStr">
        <is>
          <t>Sold</t>
        </is>
      </c>
      <c r="M1810" s="6">
        <f>HYPERLINK("https://www.dailydose.de/kleinanzeigen/detail.htm?ai=422006&amp;cf=kk&amp;pg=1&amp;ci=5", "Link")</f>
        <v/>
      </c>
      <c r="N1810" s="6">
        <f>HYPERLINK("C:\Projects\Kleinanzeigen-Scraper\offer_images\422006", "Link")</f>
        <v/>
      </c>
      <c r="O1810" t="inlineStr">
        <is>
          <t>roger</t>
        </is>
      </c>
      <c r="P1810" s="6">
        <f>HYPERLINK("https://www.dailydose.de/kleinanzeigen/user/4494", "Link")</f>
        <v/>
      </c>
      <c r="Q1810" s="7" t="n">
        <v>45539.58734953704</v>
      </c>
      <c r="R1810" s="3" t="inlineStr">
        <is>
          <t>6.80</t>
        </is>
      </c>
      <c r="S1810" t="inlineStr">
        <is>
          <t>Köln</t>
        </is>
      </c>
    </row>
    <row r="1811">
      <c r="A1811" s="2" t="n">
        <v>4</v>
      </c>
      <c r="B1811" t="inlineStr">
        <is>
          <t>Gaastra Poison</t>
        </is>
      </c>
      <c r="C1811" s="3" t="n">
        <v>370</v>
      </c>
      <c r="D1811" s="3" t="inlineStr"/>
      <c r="E1811" t="inlineStr"/>
      <c r="F1811" t="inlineStr">
        <is>
          <t>2015</t>
        </is>
      </c>
      <c r="G1811" t="inlineStr">
        <is>
          <t>new</t>
        </is>
      </c>
      <c r="H1811" s="4" t="n">
        <v>99</v>
      </c>
      <c r="I1811" t="inlineStr"/>
      <c r="J1811" t="inlineStr">
        <is>
          <t>50996 Köln</t>
        </is>
      </c>
      <c r="K1811" s="5" t="n">
        <v>45538</v>
      </c>
      <c r="L1811" t="inlineStr">
        <is>
          <t>Sold</t>
        </is>
      </c>
      <c r="M1811" s="6">
        <f>HYPERLINK("https://www.dailydose.de/kleinanzeigen/detail.htm?ai=422007&amp;cf=kk&amp;pg=1&amp;ci=5", "Link")</f>
        <v/>
      </c>
      <c r="N1811" s="6">
        <f>HYPERLINK("C:\Projects\Kleinanzeigen-Scraper\offer_images\422007", "Link")</f>
        <v/>
      </c>
      <c r="O1811" t="inlineStr">
        <is>
          <t>roger</t>
        </is>
      </c>
      <c r="P1811" s="6">
        <f>HYPERLINK("https://www.dailydose.de/kleinanzeigen/user/4494", "Link")</f>
        <v/>
      </c>
      <c r="Q1811" s="7" t="n">
        <v>45539.58664351852</v>
      </c>
      <c r="R1811" s="3" t="inlineStr">
        <is>
          <t>6.80</t>
        </is>
      </c>
      <c r="S1811" t="inlineStr">
        <is>
          <t>Köln</t>
        </is>
      </c>
    </row>
    <row r="1812">
      <c r="A1812" s="2" t="n">
        <v>5</v>
      </c>
      <c r="B1812" t="inlineStr">
        <is>
          <t>North Sails Ego</t>
        </is>
      </c>
      <c r="C1812" s="3" t="n">
        <v>4</v>
      </c>
      <c r="D1812" s="3" t="inlineStr">
        <is>
          <t>165-166</t>
        </is>
      </c>
      <c r="E1812" t="inlineStr"/>
      <c r="F1812" t="inlineStr"/>
      <c r="G1812" t="inlineStr">
        <is>
          <t>used</t>
        </is>
      </c>
      <c r="H1812" s="4" t="n">
        <v>60</v>
      </c>
      <c r="I1812" t="inlineStr"/>
      <c r="J1812" t="inlineStr">
        <is>
          <t>69198 Schriesheim</t>
        </is>
      </c>
      <c r="K1812" s="5" t="n">
        <v>45539</v>
      </c>
      <c r="L1812" t="inlineStr">
        <is>
          <t>Sold</t>
        </is>
      </c>
      <c r="M1812" s="6">
        <f>HYPERLINK("https://www.dailydose.de/kleinanzeigen/detail.htm?ai=422017&amp;cf=kk&amp;pg=5&amp;ci=5", "Link")</f>
        <v/>
      </c>
      <c r="N1812" s="6">
        <f>HYPERLINK("C:\Projects\Kleinanzeigen-Scraper\offer_images\422017", "Link")</f>
        <v/>
      </c>
      <c r="O1812" t="inlineStr">
        <is>
          <t>Sven_81</t>
        </is>
      </c>
      <c r="P1812" s="6">
        <f>HYPERLINK("https://www.dailydose.de/kleinanzeigen/user/25642", "Link")</f>
        <v/>
      </c>
      <c r="Q1812" s="7" t="n">
        <v>45539.58643518519</v>
      </c>
      <c r="R1812" s="3" t="inlineStr">
        <is>
          <t>57.18</t>
        </is>
      </c>
      <c r="S1812" t="inlineStr">
        <is>
          <t>Karlsruhe</t>
        </is>
      </c>
    </row>
    <row r="1813">
      <c r="A1813" s="2" t="n">
        <v>4</v>
      </c>
      <c r="B1813" t="inlineStr">
        <is>
          <t>Hot Sails Maui KS3 Spyder</t>
        </is>
      </c>
      <c r="C1813" s="3" t="n">
        <v>364</v>
      </c>
      <c r="D1813" s="3" t="n">
        <v>154</v>
      </c>
      <c r="E1813" t="inlineStr">
        <is>
          <t>Wave</t>
        </is>
      </c>
      <c r="F1813" t="inlineStr"/>
      <c r="G1813" t="inlineStr">
        <is>
          <t>used</t>
        </is>
      </c>
      <c r="H1813" s="4" t="n">
        <v>150</v>
      </c>
      <c r="I1813" t="inlineStr">
        <is>
          <t>VB</t>
        </is>
      </c>
      <c r="J1813" t="inlineStr">
        <is>
          <t>93128 Bayern - Regenstauf</t>
        </is>
      </c>
      <c r="K1813" s="5" t="n">
        <v>45539</v>
      </c>
      <c r="L1813" t="inlineStr">
        <is>
          <t>Sold</t>
        </is>
      </c>
      <c r="M1813" s="6">
        <f>HYPERLINK("https://www.kleinanzeigen.de/s-anzeige/hsm-hot-sails-maui-ks3-spyder-4-0-wave-windsurf/2854005731-230-5781", "Link")</f>
        <v/>
      </c>
      <c r="N1813" s="6">
        <f>HYPERLINK("C:\Projects\Kleinanzeigen-Scraper\offer_images\2854005731", "Link")</f>
        <v/>
      </c>
      <c r="O1813" t="inlineStr">
        <is>
          <t>Dan</t>
        </is>
      </c>
      <c r="P1813" s="6">
        <f>HYPERLINK("https://www.kleinanzeigen.de/s-bestandsliste.html?userId=21958890", "Link")</f>
        <v/>
      </c>
      <c r="Q1813" s="7" t="n">
        <v>45539.58574074074</v>
      </c>
      <c r="R1813" s="3" t="inlineStr">
        <is>
          <t>120.91</t>
        </is>
      </c>
      <c r="S1813" t="inlineStr">
        <is>
          <t>München</t>
        </is>
      </c>
    </row>
    <row r="1814">
      <c r="A1814" s="2" t="n">
        <v>6.5</v>
      </c>
      <c r="B1814" t="inlineStr">
        <is>
          <t>Infinity TX</t>
        </is>
      </c>
      <c r="C1814" s="3" t="n">
        <v>4.2</v>
      </c>
      <c r="D1814" s="3" t="n">
        <v>1.95</v>
      </c>
      <c r="E1814" t="inlineStr"/>
      <c r="F1814" t="inlineStr"/>
      <c r="G1814" t="inlineStr">
        <is>
          <t>used</t>
        </is>
      </c>
      <c r="H1814" s="4" t="n">
        <v>30</v>
      </c>
      <c r="I1814" t="inlineStr"/>
      <c r="J1814" t="inlineStr">
        <is>
          <t>33154 Nordrhein-Westfalen - Salzkotten</t>
        </is>
      </c>
      <c r="K1814" s="5" t="n">
        <v>45537</v>
      </c>
      <c r="L1814" t="inlineStr">
        <is>
          <t>Sold</t>
        </is>
      </c>
      <c r="M1814" s="6">
        <f>HYPERLINK("https://www.kleinanzeigen.de/s-anzeige/windsurf-segel-infinity-tx-6-5/2852804159-230-1362", "Link")</f>
        <v/>
      </c>
      <c r="N1814" s="6">
        <f>HYPERLINK("C:\Projects\Kleinanzeigen-Scraper\offer_images\2852804159", "Link")</f>
        <v/>
      </c>
      <c r="O1814" t="inlineStr">
        <is>
          <t>V. Falkenr</t>
        </is>
      </c>
      <c r="P1814" s="6">
        <f>HYPERLINK("https://www.kleinanzeigen.de/s-bestandsliste.html?userId=18770157", "Link")</f>
        <v/>
      </c>
      <c r="Q1814" s="7" t="n">
        <v>45539.58572916667</v>
      </c>
      <c r="R1814" s="3" t="inlineStr">
        <is>
          <t>140.54</t>
        </is>
      </c>
      <c r="S1814" t="inlineStr">
        <is>
          <t>Köln</t>
        </is>
      </c>
    </row>
    <row r="1815">
      <c r="A1815" s="2" t="n">
        <v>4.2</v>
      </c>
      <c r="B1815" t="inlineStr">
        <is>
          <t>Neilpryde Combat Pro</t>
        </is>
      </c>
      <c r="C1815" s="3" t="n">
        <v>370</v>
      </c>
      <c r="D1815" s="3" t="n">
        <v>155</v>
      </c>
      <c r="E1815" t="inlineStr"/>
      <c r="F1815" t="inlineStr">
        <is>
          <t>2022</t>
        </is>
      </c>
      <c r="G1815" t="inlineStr">
        <is>
          <t>used</t>
        </is>
      </c>
      <c r="H1815" s="4" t="n">
        <v>325</v>
      </c>
      <c r="I1815" t="inlineStr">
        <is>
          <t>VB</t>
        </is>
      </c>
      <c r="J1815" t="inlineStr">
        <is>
          <t>24105 Schleswig-Holstein - Kiel</t>
        </is>
      </c>
      <c r="K1815" s="5" t="n">
        <v>45539</v>
      </c>
      <c r="L1815" t="inlineStr">
        <is>
          <t>Sold</t>
        </is>
      </c>
      <c r="M1815" s="6">
        <f>HYPERLINK("https://www.kleinanzeigen.de/s-anzeige/neilpryde-combat-pro-4-2-wave-segel-windsurf/2853975962-230-708", "Link")</f>
        <v/>
      </c>
      <c r="N1815" s="6">
        <f>HYPERLINK("C:\Projects\Kleinanzeigen-Scraper\offer_images\2853975962", "Link")</f>
        <v/>
      </c>
      <c r="O1815" t="inlineStr">
        <is>
          <t>Leo Richter</t>
        </is>
      </c>
      <c r="P1815" s="6">
        <f>HYPERLINK("https://www.kleinanzeigen.de/s-bestandsliste.html?userId=56454387", "Link")</f>
        <v/>
      </c>
      <c r="Q1815" s="7" t="n">
        <v>45539.58568287037</v>
      </c>
      <c r="R1815" s="3" t="inlineStr">
        <is>
          <t>435.05</t>
        </is>
      </c>
      <c r="S1815" t="inlineStr">
        <is>
          <t>Köln</t>
        </is>
      </c>
    </row>
    <row r="1816">
      <c r="A1816" s="2" t="n">
        <v>3.3</v>
      </c>
      <c r="B1816" t="inlineStr">
        <is>
          <t>Neilpryde Combat Pro</t>
        </is>
      </c>
      <c r="C1816" s="3" t="inlineStr"/>
      <c r="D1816" s="3" t="inlineStr"/>
      <c r="E1816" t="inlineStr"/>
      <c r="F1816" t="inlineStr">
        <is>
          <t>2022</t>
        </is>
      </c>
      <c r="G1816" t="inlineStr">
        <is>
          <t>used</t>
        </is>
      </c>
      <c r="H1816" s="4" t="n">
        <v>300</v>
      </c>
      <c r="I1816" t="inlineStr">
        <is>
          <t>VB</t>
        </is>
      </c>
      <c r="J1816" t="inlineStr">
        <is>
          <t>24105 Schleswig-Holstein - Kiel</t>
        </is>
      </c>
      <c r="K1816" s="5" t="n">
        <v>45539</v>
      </c>
      <c r="L1816" t="inlineStr">
        <is>
          <t>Sold</t>
        </is>
      </c>
      <c r="M1816" s="6">
        <f>HYPERLINK("https://www.kleinanzeigen.de/s-anzeige/neilpryde-combat-pro-3-3-wave-segel-windsurf/2853982673-230-708", "Link")</f>
        <v/>
      </c>
      <c r="N1816" s="6">
        <f>HYPERLINK("C:\Projects\Kleinanzeigen-Scraper\offer_images\2853982673", "Link")</f>
        <v/>
      </c>
      <c r="O1816" t="inlineStr">
        <is>
          <t>Leo Richter</t>
        </is>
      </c>
      <c r="P1816" s="6">
        <f>HYPERLINK("https://www.kleinanzeigen.de/s-bestandsliste.html?userId=56454387", "Link")</f>
        <v/>
      </c>
      <c r="Q1816" s="7" t="n">
        <v>45539.58564814815</v>
      </c>
      <c r="R1816" s="3" t="inlineStr">
        <is>
          <t>435.05</t>
        </is>
      </c>
      <c r="S1816" t="inlineStr">
        <is>
          <t>Köln</t>
        </is>
      </c>
    </row>
    <row r="1817">
      <c r="A1817" s="2" t="n">
        <v>6.2</v>
      </c>
      <c r="B1817" t="inlineStr">
        <is>
          <t>NeilPryde H2</t>
        </is>
      </c>
      <c r="C1817" s="3" t="inlineStr">
        <is>
          <t>400 or 430</t>
        </is>
      </c>
      <c r="D1817" s="3" t="inlineStr"/>
      <c r="E1817" t="inlineStr"/>
      <c r="F1817" t="inlineStr"/>
      <c r="G1817" t="inlineStr">
        <is>
          <t>used</t>
        </is>
      </c>
      <c r="H1817" s="4" t="n">
        <v>80</v>
      </c>
      <c r="I1817" t="inlineStr"/>
      <c r="J1817" t="inlineStr">
        <is>
          <t>68649 Hessen - Groß-Rohrheim</t>
        </is>
      </c>
      <c r="K1817" s="5" t="n">
        <v>45537</v>
      </c>
      <c r="L1817" t="inlineStr">
        <is>
          <t>Sold</t>
        </is>
      </c>
      <c r="M1817" s="6">
        <f>HYPERLINK("https://www.kleinanzeigen.de/s-anzeige/neilpryde-h2-6-2-m2-windsurf-segel-freerace-freeride/2852760233-230-4758", "Link")</f>
        <v/>
      </c>
      <c r="N1817" s="6">
        <f>HYPERLINK("C:\Projects\Kleinanzeigen-Scraper\offer_images\2852760233", "Link")</f>
        <v/>
      </c>
      <c r="O1817" t="inlineStr">
        <is>
          <t>O. Serfling</t>
        </is>
      </c>
      <c r="P1817" s="6">
        <f>HYPERLINK("https://www.kleinanzeigen.de/s-bestandsliste.html?userId=37325871", "Link")</f>
        <v/>
      </c>
      <c r="Q1817" s="7" t="n">
        <v>45539.58553240741</v>
      </c>
      <c r="R1817" s="3" t="inlineStr">
        <is>
          <t>78.85</t>
        </is>
      </c>
      <c r="S1817" t="inlineStr">
        <is>
          <t>Karlsruhe</t>
        </is>
      </c>
    </row>
    <row r="1818">
      <c r="A1818" s="2" t="n">
        <v>7</v>
      </c>
      <c r="B1818" t="inlineStr">
        <is>
          <t>Gunsails GSR</t>
        </is>
      </c>
      <c r="C1818" s="3" t="n">
        <v>430</v>
      </c>
      <c r="D1818" s="3" t="inlineStr"/>
      <c r="E1818" t="inlineStr"/>
      <c r="F1818" t="inlineStr"/>
      <c r="G1818" t="inlineStr">
        <is>
          <t>new</t>
        </is>
      </c>
      <c r="H1818" s="4" t="n">
        <v>400</v>
      </c>
      <c r="I1818" t="inlineStr"/>
      <c r="J1818" t="inlineStr">
        <is>
          <t>21493 Herzogtum Lauenburg - Schwarzenbek</t>
        </is>
      </c>
      <c r="K1818" s="5" t="n">
        <v>45539</v>
      </c>
      <c r="L1818" t="inlineStr">
        <is>
          <t>Sold</t>
        </is>
      </c>
      <c r="M1818" s="6">
        <f>HYPERLINK("https://www.kleinanzeigen.de/s-anzeige/gunsails-gsr-7-0er-slalom-segel-windsurfen-kein-duotone/2853809969-230-746", "Link")</f>
        <v/>
      </c>
      <c r="N1818" s="6">
        <f>HYPERLINK("C:\Projects\Kleinanzeigen-Scraper\offer_images\2853809969", "Link")</f>
        <v/>
      </c>
      <c r="O1818" t="inlineStr">
        <is>
          <t>Sebastian</t>
        </is>
      </c>
      <c r="P1818" s="6">
        <f>HYPERLINK("https://www.kleinanzeigen.de/s-bestandsliste.html?userId=141573193", "Link")</f>
        <v/>
      </c>
      <c r="Q1818" s="7" t="n">
        <v>45539.58552083333</v>
      </c>
      <c r="R1818" s="3" t="inlineStr">
        <is>
          <t>378.85</t>
        </is>
      </c>
      <c r="S1818" t="inlineStr">
        <is>
          <t>Köln</t>
        </is>
      </c>
    </row>
    <row r="1819">
      <c r="A1819" s="2" t="n">
        <v>2.9</v>
      </c>
      <c r="B1819" t="inlineStr">
        <is>
          <t>Neilpryde Combat Pro</t>
        </is>
      </c>
      <c r="C1819" s="3" t="inlineStr"/>
      <c r="D1819" s="3" t="inlineStr"/>
      <c r="E1819" t="inlineStr"/>
      <c r="F1819" t="inlineStr">
        <is>
          <t>2022</t>
        </is>
      </c>
      <c r="G1819" t="inlineStr">
        <is>
          <t>used</t>
        </is>
      </c>
      <c r="H1819" s="4" t="n">
        <v>300</v>
      </c>
      <c r="I1819" t="inlineStr"/>
      <c r="J1819" t="inlineStr">
        <is>
          <t>24105 Schleswig-Holstein - Kiel</t>
        </is>
      </c>
      <c r="K1819" s="5" t="n">
        <v>45539</v>
      </c>
      <c r="L1819" t="inlineStr">
        <is>
          <t>Sold</t>
        </is>
      </c>
      <c r="M1819" s="6">
        <f>HYPERLINK("https://www.kleinanzeigen.de/s-anzeige/neilpryde-combat-pro-2-9-wave-segel-windsurf/2853986889-230-708", "Link")</f>
        <v/>
      </c>
      <c r="N1819" s="6">
        <f>HYPERLINK("C:\Projects\Kleinanzeigen-Scraper\offer_images\2853986889", "Link")</f>
        <v/>
      </c>
      <c r="O1819" t="inlineStr">
        <is>
          <t>Leo Richter</t>
        </is>
      </c>
      <c r="P1819" s="6">
        <f>HYPERLINK("https://www.kleinanzeigen.de/s-bestandsliste.html?userId=56454387", "Link")</f>
        <v/>
      </c>
      <c r="Q1819" s="7" t="n">
        <v>45539.58548611111</v>
      </c>
      <c r="R1819" s="3" t="inlineStr">
        <is>
          <t>435.05</t>
        </is>
      </c>
      <c r="S1819" t="inlineStr">
        <is>
          <t>Köln</t>
        </is>
      </c>
    </row>
    <row r="1820">
      <c r="A1820" s="2" t="n">
        <v>6.5</v>
      </c>
      <c r="B1820" t="inlineStr">
        <is>
          <t>NP Neilpryde RS:Racing Evo</t>
        </is>
      </c>
      <c r="C1820" s="3" t="inlineStr"/>
      <c r="D1820" s="3" t="inlineStr"/>
      <c r="E1820" t="inlineStr">
        <is>
          <t>Slalom</t>
        </is>
      </c>
      <c r="F1820" t="inlineStr">
        <is>
          <t>2022</t>
        </is>
      </c>
      <c r="G1820" t="inlineStr">
        <is>
          <t>used</t>
        </is>
      </c>
      <c r="H1820" s="4" t="n">
        <v>550</v>
      </c>
      <c r="I1820" t="inlineStr">
        <is>
          <t>VB</t>
        </is>
      </c>
      <c r="J1820" t="inlineStr">
        <is>
          <t>24105 Schleswig-Holstein - Kiel</t>
        </is>
      </c>
      <c r="K1820" s="5" t="n">
        <v>45539</v>
      </c>
      <c r="L1820" t="inlineStr"/>
      <c r="M1820" s="6">
        <f>HYPERLINK("https://www.kleinanzeigen.de/s-anzeige/np-neilpryde-rs-racing-evo-14-6-5-windsurf-slalom-segel/2853995790-230-708", "Link")</f>
        <v/>
      </c>
      <c r="N1820" s="6">
        <f>HYPERLINK("C:\Projects\Kleinanzeigen-Scraper\offer_images\2853995790", "Link")</f>
        <v/>
      </c>
      <c r="O1820" t="inlineStr">
        <is>
          <t>Leo Richter</t>
        </is>
      </c>
      <c r="P1820" s="6">
        <f>HYPERLINK("https://www.kleinanzeigen.de/s-bestandsliste.html?userId=56454387", "Link")</f>
        <v/>
      </c>
      <c r="Q1820" s="7" t="n">
        <v>45539.58465277778</v>
      </c>
      <c r="R1820" s="3" t="inlineStr">
        <is>
          <t>435.05</t>
        </is>
      </c>
      <c r="S1820" t="inlineStr">
        <is>
          <t>Köln</t>
        </is>
      </c>
    </row>
    <row r="1821">
      <c r="A1821" s="2" t="n">
        <v>9.300000000000001</v>
      </c>
      <c r="B1821" t="inlineStr">
        <is>
          <t>Point 7 AC1</t>
        </is>
      </c>
      <c r="C1821" s="3" t="n">
        <v>520</v>
      </c>
      <c r="D1821" s="3" t="inlineStr">
        <is>
          <t>200-260</t>
        </is>
      </c>
      <c r="E1821" t="inlineStr"/>
      <c r="F1821" t="inlineStr"/>
      <c r="G1821" t="inlineStr">
        <is>
          <t>used</t>
        </is>
      </c>
      <c r="H1821" s="4" t="n">
        <v>199</v>
      </c>
      <c r="I1821" t="inlineStr">
        <is>
          <t>VB</t>
        </is>
      </c>
      <c r="J1821" t="inlineStr">
        <is>
          <t>80639 Neuhausen-Nymphenburg - Neuhausen</t>
        </is>
      </c>
      <c r="K1821" s="5" t="n">
        <v>45538</v>
      </c>
      <c r="L1821" t="inlineStr">
        <is>
          <t>Sold</t>
        </is>
      </c>
      <c r="M1821" s="6">
        <f>HYPERLINK("https://www.kleinanzeigen.de/s-anzeige/point-7-ac1-9-3-slalom-windsurf-segel-auch-als-komplett-set/2853706403-230-6420", "Link")</f>
        <v/>
      </c>
      <c r="N1821" s="6">
        <f>HYPERLINK("C:\Projects\Kleinanzeigen-Scraper\offer_images\2853706403", "Link")</f>
        <v/>
      </c>
      <c r="O1821" t="inlineStr">
        <is>
          <t>Torsten Schade</t>
        </is>
      </c>
      <c r="P1821" s="6">
        <f>HYPERLINK("https://www.kleinanzeigen.de/s-bestandsliste.html?userId=9084595", "Link")</f>
        <v/>
      </c>
      <c r="Q1821" s="7" t="n">
        <v>45539.58459490741</v>
      </c>
      <c r="R1821" s="3" t="inlineStr">
        <is>
          <t>4.83</t>
        </is>
      </c>
      <c r="S1821" t="inlineStr">
        <is>
          <t>München</t>
        </is>
      </c>
    </row>
    <row r="1822">
      <c r="A1822" s="2" t="n">
        <v>4.8</v>
      </c>
      <c r="B1822" t="inlineStr">
        <is>
          <t>Gun</t>
        </is>
      </c>
      <c r="C1822" s="3" t="n">
        <v>414</v>
      </c>
      <c r="D1822" s="3" t="n">
        <v>158</v>
      </c>
      <c r="E1822" t="inlineStr"/>
      <c r="F1822" t="inlineStr"/>
      <c r="G1822" t="inlineStr">
        <is>
          <t>used</t>
        </is>
      </c>
      <c r="H1822" s="4" t="n">
        <v>88</v>
      </c>
      <c r="I1822" t="inlineStr">
        <is>
          <t>VB</t>
        </is>
      </c>
      <c r="J1822" t="inlineStr">
        <is>
          <t>17491 Mecklenburg-Vorpommern - Greifswald</t>
        </is>
      </c>
      <c r="K1822" s="5" t="n">
        <v>45539</v>
      </c>
      <c r="L1822" t="inlineStr">
        <is>
          <t>Sold</t>
        </is>
      </c>
      <c r="M1822" s="6">
        <f>HYPERLINK("https://www.kleinanzeigen.de/s-anzeige/surfen-segel-windsurf/2853863890-230-247", "Link")</f>
        <v/>
      </c>
      <c r="N1822" s="6">
        <f>HYPERLINK("C:\Projects\Kleinanzeigen-Scraper\offer_images\2853863890", "Link")</f>
        <v/>
      </c>
      <c r="O1822" t="inlineStr">
        <is>
          <t>FK</t>
        </is>
      </c>
      <c r="P1822" s="6">
        <f>HYPERLINK("https://www.kleinanzeigen.de/s-bestandsliste.html?userId=23144988", "Link")</f>
        <v/>
      </c>
      <c r="Q1822" s="7" t="n">
        <v>45539.58421296296</v>
      </c>
      <c r="R1822" s="3" t="inlineStr">
        <is>
          <t>559.49</t>
        </is>
      </c>
      <c r="S1822" t="inlineStr">
        <is>
          <t>Köln</t>
        </is>
      </c>
    </row>
    <row r="1823">
      <c r="A1823" s="2" t="n">
        <v>4.8</v>
      </c>
      <c r="B1823" t="inlineStr">
        <is>
          <t>MauiSails Loco</t>
        </is>
      </c>
      <c r="C1823" s="3" t="n">
        <v>400</v>
      </c>
      <c r="D1823" s="3" t="inlineStr"/>
      <c r="E1823" t="inlineStr"/>
      <c r="F1823" t="inlineStr">
        <is>
          <t>2013</t>
        </is>
      </c>
      <c r="G1823" t="inlineStr">
        <is>
          <t>used</t>
        </is>
      </c>
      <c r="H1823" s="4" t="n">
        <v>80</v>
      </c>
      <c r="I1823" t="inlineStr"/>
      <c r="J1823" t="inlineStr">
        <is>
          <t>22299 Hamburg</t>
        </is>
      </c>
      <c r="K1823" s="5" t="n">
        <v>45537</v>
      </c>
      <c r="L1823" t="inlineStr">
        <is>
          <t>Sold</t>
        </is>
      </c>
      <c r="M1823" s="6">
        <f>HYPERLINK("https://www.dailydose.de/kleinanzeigen/detail.htm?ai=421951&amp;cf=kk&amp;pg=4&amp;ci=5", "Link")</f>
        <v/>
      </c>
      <c r="N1823" s="6">
        <f>HYPERLINK("C:\Projects\Kleinanzeigen-Scraper\offer_images\421951", "Link")</f>
        <v/>
      </c>
      <c r="O1823" t="inlineStr">
        <is>
          <t>Jona_28</t>
        </is>
      </c>
      <c r="P1823" s="6">
        <f>HYPERLINK("https://www.dailydose.de/kleinanzeigen/user/12162", "Link")</f>
        <v/>
      </c>
      <c r="Q1823" s="7" t="n">
        <v>45538.57074074074</v>
      </c>
      <c r="R1823" s="3" t="inlineStr">
        <is>
          <t>360.73</t>
        </is>
      </c>
      <c r="S1823" t="inlineStr">
        <is>
          <t>Köln</t>
        </is>
      </c>
    </row>
    <row r="1824">
      <c r="A1824" s="2" t="n">
        <v>4.6</v>
      </c>
      <c r="B1824" t="inlineStr">
        <is>
          <t>Sailloft Quad</t>
        </is>
      </c>
      <c r="C1824" s="3" t="inlineStr"/>
      <c r="D1824" s="3" t="inlineStr"/>
      <c r="E1824" t="inlineStr"/>
      <c r="F1824" t="inlineStr"/>
      <c r="G1824" t="inlineStr">
        <is>
          <t>used</t>
        </is>
      </c>
      <c r="H1824" s="4" t="n">
        <v>190</v>
      </c>
      <c r="I1824" t="inlineStr"/>
      <c r="J1824" t="inlineStr">
        <is>
          <t>24222 Schwentinental</t>
        </is>
      </c>
      <c r="K1824" s="5" t="n">
        <v>45538</v>
      </c>
      <c r="L1824" t="inlineStr">
        <is>
          <t>Sold</t>
        </is>
      </c>
      <c r="M1824" s="6">
        <f>HYPERLINK("https://www.dailydose.de/kleinanzeigen/detail.htm?ai=421974&amp;cf=kk&amp;pg=3&amp;ci=5", "Link")</f>
        <v/>
      </c>
      <c r="N1824" s="6">
        <f>HYPERLINK("C:\Projects\Kleinanzeigen-Scraper\offer_images\421974", "Link")</f>
        <v/>
      </c>
      <c r="O1824" t="inlineStr">
        <is>
          <t>Henning_52</t>
        </is>
      </c>
      <c r="P1824" s="6">
        <f>HYPERLINK("https://www.dailydose.de/kleinanzeigen/user/13665", "Link")</f>
        <v/>
      </c>
      <c r="Q1824" s="7" t="n">
        <v>45538.5705787037</v>
      </c>
      <c r="R1824" s="3" t="inlineStr">
        <is>
          <t>433.89</t>
        </is>
      </c>
      <c r="S1824" t="inlineStr">
        <is>
          <t>Köln</t>
        </is>
      </c>
    </row>
    <row r="1825">
      <c r="A1825" s="2" t="n">
        <v>6.3</v>
      </c>
      <c r="B1825" t="inlineStr">
        <is>
          <t>Goya Fringe</t>
        </is>
      </c>
      <c r="C1825" s="3" t="n">
        <v>430</v>
      </c>
      <c r="D1825" s="3" t="inlineStr"/>
      <c r="E1825" t="inlineStr"/>
      <c r="F1825" t="inlineStr"/>
      <c r="G1825" t="inlineStr">
        <is>
          <t>used</t>
        </is>
      </c>
      <c r="H1825" s="4" t="n">
        <v>290</v>
      </c>
      <c r="I1825" t="inlineStr">
        <is>
          <t>VB</t>
        </is>
      </c>
      <c r="J1825" t="inlineStr">
        <is>
          <t>82467 Garmisch-Partenkirchen</t>
        </is>
      </c>
      <c r="K1825" s="5" t="n">
        <v>45537</v>
      </c>
      <c r="L1825" t="inlineStr">
        <is>
          <t>Sold</t>
        </is>
      </c>
      <c r="M1825" s="6">
        <f>HYPERLINK("https://www.dailydose.de/kleinanzeigen/detail.htm?ai=421958&amp;cf=kk&amp;pg=4&amp;ci=5", "Link")</f>
        <v/>
      </c>
      <c r="N1825" s="6">
        <f>HYPERLINK("C:\Projects\Kleinanzeigen-Scraper\offer_images\421958", "Link")</f>
        <v/>
      </c>
      <c r="O1825" t="inlineStr">
        <is>
          <t>Rainer_92</t>
        </is>
      </c>
      <c r="P1825" s="6">
        <f>HYPERLINK("https://www.dailydose.de/kleinanzeigen/user/19591", "Link")</f>
        <v/>
      </c>
      <c r="Q1825" s="7" t="n">
        <v>45538.5703125</v>
      </c>
      <c r="R1825" s="3" t="inlineStr">
        <is>
          <t>80.76</t>
        </is>
      </c>
      <c r="S1825" t="inlineStr">
        <is>
          <t>München</t>
        </is>
      </c>
    </row>
    <row r="1826">
      <c r="A1826" s="2" t="n">
        <v>6.5</v>
      </c>
      <c r="B1826" t="inlineStr">
        <is>
          <t>Neil Pryde Fusion HD</t>
        </is>
      </c>
      <c r="C1826" s="3" t="n">
        <v>459</v>
      </c>
      <c r="D1826" s="3" t="n">
        <v>199</v>
      </c>
      <c r="E1826" t="inlineStr"/>
      <c r="F1826" t="inlineStr"/>
      <c r="G1826" t="inlineStr">
        <is>
          <t>new</t>
        </is>
      </c>
      <c r="H1826" s="4" t="n">
        <v>269</v>
      </c>
      <c r="I1826" t="inlineStr">
        <is>
          <t>VB</t>
        </is>
      </c>
      <c r="J1826" t="inlineStr">
        <is>
          <t>97072 Würzburg</t>
        </is>
      </c>
      <c r="K1826" s="5" t="n">
        <v>45537</v>
      </c>
      <c r="L1826" t="inlineStr">
        <is>
          <t>Sold</t>
        </is>
      </c>
      <c r="M1826" s="6">
        <f>HYPERLINK("https://www.dailydose.de/kleinanzeigen/detail.htm?ai=421947&amp;cf=kk&amp;pg=2&amp;ci=5", "Link")</f>
        <v/>
      </c>
      <c r="N1826" s="6">
        <f>HYPERLINK("C:\Projects\Kleinanzeigen-Scraper\offer_images\421947", "Link")</f>
        <v/>
      </c>
      <c r="O1826" t="inlineStr">
        <is>
          <t>Heiner_36</t>
        </is>
      </c>
      <c r="P1826" s="6">
        <f>HYPERLINK("https://www.dailydose.de/kleinanzeigen/user/10167", "Link")</f>
        <v/>
      </c>
      <c r="Q1826" s="7" t="n">
        <v>45538.56969907408</v>
      </c>
      <c r="R1826" s="3" t="inlineStr">
        <is>
          <t>141.22</t>
        </is>
      </c>
      <c r="S1826" t="inlineStr">
        <is>
          <t>Karlsruhe</t>
        </is>
      </c>
    </row>
    <row r="1827">
      <c r="A1827" s="2" t="n">
        <v>4.4</v>
      </c>
      <c r="B1827" t="inlineStr">
        <is>
          <t>MauiSails Loco</t>
        </is>
      </c>
      <c r="C1827" s="3" t="inlineStr"/>
      <c r="D1827" s="3" t="inlineStr"/>
      <c r="E1827" t="inlineStr"/>
      <c r="F1827" t="inlineStr">
        <is>
          <t>2013</t>
        </is>
      </c>
      <c r="G1827" t="inlineStr">
        <is>
          <t>used</t>
        </is>
      </c>
      <c r="H1827" s="4" t="n">
        <v>80</v>
      </c>
      <c r="I1827" t="inlineStr"/>
      <c r="J1827" t="inlineStr">
        <is>
          <t>22299 Hamburg</t>
        </is>
      </c>
      <c r="K1827" s="5" t="n">
        <v>45537</v>
      </c>
      <c r="L1827" t="inlineStr">
        <is>
          <t>Sold</t>
        </is>
      </c>
      <c r="M1827" s="6">
        <f>HYPERLINK("https://www.dailydose.de/kleinanzeigen/detail.htm?ai=421953&amp;cf=kk&amp;pg=4&amp;ci=5", "Link")</f>
        <v/>
      </c>
      <c r="N1827" s="6">
        <f>HYPERLINK("C:\Projects\Kleinanzeigen-Scraper\offer_images\421953", "Link")</f>
        <v/>
      </c>
      <c r="O1827" t="inlineStr">
        <is>
          <t>Jona_28</t>
        </is>
      </c>
      <c r="P1827" s="6">
        <f>HYPERLINK("https://www.dailydose.de/kleinanzeigen/user/12162", "Link")</f>
        <v/>
      </c>
      <c r="Q1827" s="7" t="n">
        <v>45538.56902777778</v>
      </c>
      <c r="R1827" s="3" t="inlineStr">
        <is>
          <t>360.73</t>
        </is>
      </c>
      <c r="S1827" t="inlineStr">
        <is>
          <t>Köln</t>
        </is>
      </c>
    </row>
    <row r="1828">
      <c r="A1828" s="2" t="n">
        <v>5.6</v>
      </c>
      <c r="B1828" t="inlineStr">
        <is>
          <t>Severne S1</t>
        </is>
      </c>
      <c r="C1828" s="3" t="inlineStr"/>
      <c r="D1828" s="3" t="inlineStr"/>
      <c r="E1828" t="inlineStr"/>
      <c r="F1828" t="inlineStr"/>
      <c r="G1828" t="inlineStr">
        <is>
          <t>used</t>
        </is>
      </c>
      <c r="H1828" s="4" t="n">
        <v>370</v>
      </c>
      <c r="I1828" t="inlineStr">
        <is>
          <t>VB</t>
        </is>
      </c>
      <c r="J1828" t="inlineStr">
        <is>
          <t>82467 Garmisch-Partenkirchen</t>
        </is>
      </c>
      <c r="K1828" s="5" t="n">
        <v>45537</v>
      </c>
      <c r="L1828" t="inlineStr">
        <is>
          <t>Sold</t>
        </is>
      </c>
      <c r="M1828" s="6">
        <f>HYPERLINK("https://www.dailydose.de/kleinanzeigen/detail.htm?ai=421957&amp;cf=kk&amp;pg=4&amp;ci=5", "Link")</f>
        <v/>
      </c>
      <c r="N1828" s="6">
        <f>HYPERLINK("C:\Projects\Kleinanzeigen-Scraper\offer_images\421957", "Link")</f>
        <v/>
      </c>
      <c r="O1828" t="inlineStr">
        <is>
          <t>Rainer_92</t>
        </is>
      </c>
      <c r="P1828" s="6">
        <f>HYPERLINK("https://www.dailydose.de/kleinanzeigen/user/19591", "Link")</f>
        <v/>
      </c>
      <c r="Q1828" s="7" t="n">
        <v>45538.56857638889</v>
      </c>
      <c r="R1828" s="3" t="inlineStr">
        <is>
          <t>80.76</t>
        </is>
      </c>
      <c r="S1828" t="inlineStr">
        <is>
          <t>München</t>
        </is>
      </c>
    </row>
    <row r="1829">
      <c r="A1829" s="2" t="n">
        <v>5.2</v>
      </c>
      <c r="B1829" t="inlineStr">
        <is>
          <t>MauiSails Loco</t>
        </is>
      </c>
      <c r="C1829" s="3" t="n">
        <v>400</v>
      </c>
      <c r="D1829" s="3" t="inlineStr"/>
      <c r="E1829" t="inlineStr"/>
      <c r="F1829" t="inlineStr">
        <is>
          <t>2013</t>
        </is>
      </c>
      <c r="G1829" t="inlineStr">
        <is>
          <t>used</t>
        </is>
      </c>
      <c r="H1829" s="4" t="n">
        <v>80</v>
      </c>
      <c r="I1829" t="inlineStr"/>
      <c r="J1829" t="inlineStr">
        <is>
          <t>22299 Hamburg</t>
        </is>
      </c>
      <c r="K1829" s="5" t="n">
        <v>45537</v>
      </c>
      <c r="L1829" t="inlineStr">
        <is>
          <t>Sold</t>
        </is>
      </c>
      <c r="M1829" s="6">
        <f>HYPERLINK("https://www.dailydose.de/kleinanzeigen/detail.htm?ai=421952&amp;cf=kk&amp;pg=4&amp;ci=5", "Link")</f>
        <v/>
      </c>
      <c r="N1829" s="6">
        <f>HYPERLINK("C:\Projects\Kleinanzeigen-Scraper\offer_images\421952", "Link")</f>
        <v/>
      </c>
      <c r="O1829" t="inlineStr">
        <is>
          <t>Jona_28</t>
        </is>
      </c>
      <c r="P1829" s="6">
        <f>HYPERLINK("https://www.dailydose.de/kleinanzeigen/user/12162", "Link")</f>
        <v/>
      </c>
      <c r="Q1829" s="7" t="n">
        <v>45538.56854166667</v>
      </c>
      <c r="R1829" s="3" t="inlineStr">
        <is>
          <t>360.73</t>
        </is>
      </c>
      <c r="S1829" t="inlineStr">
        <is>
          <t>Köln</t>
        </is>
      </c>
    </row>
    <row r="1830">
      <c r="A1830" s="2" t="n">
        <v>4</v>
      </c>
      <c r="B1830" t="inlineStr">
        <is>
          <t>MauiSails Legend</t>
        </is>
      </c>
      <c r="C1830" s="3" t="inlineStr"/>
      <c r="D1830" s="3" t="inlineStr"/>
      <c r="E1830" t="inlineStr"/>
      <c r="F1830" t="inlineStr">
        <is>
          <t>2010</t>
        </is>
      </c>
      <c r="G1830" t="inlineStr">
        <is>
          <t>used</t>
        </is>
      </c>
      <c r="H1830" s="4" t="n">
        <v>80</v>
      </c>
      <c r="I1830" t="inlineStr"/>
      <c r="J1830" t="inlineStr">
        <is>
          <t>22299 Hamburg</t>
        </is>
      </c>
      <c r="K1830" s="5" t="n">
        <v>45537</v>
      </c>
      <c r="L1830" t="inlineStr">
        <is>
          <t>Sold</t>
        </is>
      </c>
      <c r="M1830" s="6">
        <f>HYPERLINK("https://www.dailydose.de/kleinanzeigen/detail.htm?ai=421954&amp;cf=kk&amp;pg=4&amp;ci=5", "Link")</f>
        <v/>
      </c>
      <c r="N1830" s="6">
        <f>HYPERLINK("C:\Projects\Kleinanzeigen-Scraper\offer_images\421954", "Link")</f>
        <v/>
      </c>
      <c r="O1830" t="inlineStr">
        <is>
          <t>Jona_28</t>
        </is>
      </c>
      <c r="P1830" s="6">
        <f>HYPERLINK("https://www.dailydose.de/kleinanzeigen/user/12162", "Link")</f>
        <v/>
      </c>
      <c r="Q1830" s="7" t="n">
        <v>45538.56811342593</v>
      </c>
      <c r="R1830" s="3" t="inlineStr">
        <is>
          <t>360.73</t>
        </is>
      </c>
      <c r="S1830" t="inlineStr">
        <is>
          <t>Köln</t>
        </is>
      </c>
    </row>
    <row r="1831">
      <c r="A1831" s="2" t="n">
        <v>4.4</v>
      </c>
      <c r="B1831" t="inlineStr">
        <is>
          <t>Sailloft air</t>
        </is>
      </c>
      <c r="C1831" s="3" t="inlineStr"/>
      <c r="D1831" s="3" t="inlineStr"/>
      <c r="E1831" t="inlineStr"/>
      <c r="F1831" t="inlineStr">
        <is>
          <t>2021</t>
        </is>
      </c>
      <c r="G1831" t="inlineStr">
        <is>
          <t>used</t>
        </is>
      </c>
      <c r="H1831" s="4" t="n">
        <v>220</v>
      </c>
      <c r="I1831" t="inlineStr"/>
      <c r="J1831" t="inlineStr">
        <is>
          <t>Köln</t>
        </is>
      </c>
      <c r="K1831" s="5" t="n">
        <v>45537</v>
      </c>
      <c r="L1831" t="inlineStr">
        <is>
          <t>Sold</t>
        </is>
      </c>
      <c r="M1831" s="6">
        <f>HYPERLINK("https://www.dailydose.de/kleinanzeigen/detail.htm?ai=421968&amp;cf=kk&amp;pg=4&amp;ci=5", "Link")</f>
        <v/>
      </c>
      <c r="N1831" s="6">
        <f>HYPERLINK("C:\Projects\Kleinanzeigen-Scraper\offer_images\421968", "Link")</f>
        <v/>
      </c>
      <c r="O1831" t="inlineStr">
        <is>
          <t>H_michi09</t>
        </is>
      </c>
      <c r="P1831" s="6">
        <f>HYPERLINK("https://www.dailydose.de/kleinanzeigen/user/25756", "Link")</f>
        <v/>
      </c>
      <c r="Q1831" s="7" t="n">
        <v>45538.56760416667</v>
      </c>
      <c r="R1831" s="3" t="inlineStr">
        <is>
          <t>0.43</t>
        </is>
      </c>
      <c r="S1831" t="inlineStr">
        <is>
          <t>Köln</t>
        </is>
      </c>
    </row>
    <row r="1832">
      <c r="A1832" s="2" t="n">
        <v>6.4</v>
      </c>
      <c r="B1832" t="inlineStr">
        <is>
          <t>Neilpryde</t>
        </is>
      </c>
      <c r="C1832" s="3" t="n">
        <v>490</v>
      </c>
      <c r="D1832" s="3" t="n">
        <v>195</v>
      </c>
      <c r="E1832" t="inlineStr"/>
      <c r="F1832" t="inlineStr"/>
      <c r="G1832" t="inlineStr">
        <is>
          <t>used</t>
        </is>
      </c>
      <c r="H1832" s="4" t="n">
        <v>120</v>
      </c>
      <c r="I1832" t="inlineStr"/>
      <c r="J1832" t="inlineStr">
        <is>
          <t>22767 Hamburg - Altona</t>
        </is>
      </c>
      <c r="K1832" s="5" t="n">
        <v>45538</v>
      </c>
      <c r="L1832" t="inlineStr">
        <is>
          <t>Sold</t>
        </is>
      </c>
      <c r="M1832" s="6">
        <f>HYPERLINK("https://www.kleinanzeigen.de/s-anzeige/neilpryde-segel-6-4qm-windsurfen/2853219484-230-9506", "Link")</f>
        <v/>
      </c>
      <c r="N1832" s="6">
        <f>HYPERLINK("C:\Projects\Kleinanzeigen-Scraper\offer_images\2853219484", "Link")</f>
        <v/>
      </c>
      <c r="O1832" t="inlineStr">
        <is>
          <t>Munski</t>
        </is>
      </c>
      <c r="P1832" s="6">
        <f>HYPERLINK("https://www.kleinanzeigen.de/s-bestandsliste.html?userId=135641831", "Link")</f>
        <v/>
      </c>
      <c r="Q1832" s="7" t="n">
        <v>45538.56726851852</v>
      </c>
      <c r="R1832" s="3" t="inlineStr">
        <is>
          <t>354.40</t>
        </is>
      </c>
      <c r="S1832" t="inlineStr">
        <is>
          <t>Köln</t>
        </is>
      </c>
    </row>
    <row r="1833">
      <c r="A1833" s="2" t="n">
        <v>6.7</v>
      </c>
      <c r="B1833" t="inlineStr">
        <is>
          <t>Gaastra Matrix</t>
        </is>
      </c>
      <c r="C1833" s="3" t="n">
        <v>430</v>
      </c>
      <c r="D1833" s="3" t="n">
        <v>205</v>
      </c>
      <c r="E1833" t="inlineStr">
        <is>
          <t>Freeride</t>
        </is>
      </c>
      <c r="F1833" t="inlineStr">
        <is>
          <t>2019</t>
        </is>
      </c>
      <c r="G1833" t="inlineStr">
        <is>
          <t>used</t>
        </is>
      </c>
      <c r="H1833" s="4" t="n">
        <v>300</v>
      </c>
      <c r="I1833" t="inlineStr">
        <is>
          <t>VB</t>
        </is>
      </c>
      <c r="J1833" t="inlineStr">
        <is>
          <t>52399 Nordrhein-Westfalen - Merzenich</t>
        </is>
      </c>
      <c r="K1833" s="5" t="n">
        <v>45538</v>
      </c>
      <c r="L1833" t="inlineStr">
        <is>
          <t>Sold</t>
        </is>
      </c>
      <c r="M1833" s="6">
        <f>HYPERLINK("https://www.kleinanzeigen.de/s-anzeige/gaastra-windsurf-segel-6-7/2853195178-230-1766", "Link")</f>
        <v/>
      </c>
      <c r="N1833" s="6">
        <f>HYPERLINK("C:\Projects\Kleinanzeigen-Scraper\offer_images\2853195178", "Link")</f>
        <v/>
      </c>
      <c r="O1833" t="inlineStr">
        <is>
          <t>Mike</t>
        </is>
      </c>
      <c r="P1833" s="6">
        <f>HYPERLINK("https://www.kleinanzeigen.de/s-bestandsliste.html?userId=13676787", "Link")</f>
        <v/>
      </c>
      <c r="Q1833" s="7" t="n">
        <v>45538.56721064815</v>
      </c>
      <c r="R1833" s="3" t="inlineStr">
        <is>
          <t>32.32</t>
        </is>
      </c>
      <c r="S1833" t="inlineStr">
        <is>
          <t>Köln</t>
        </is>
      </c>
    </row>
    <row r="1834">
      <c r="A1834" s="2" t="n">
        <v>4.6</v>
      </c>
      <c r="B1834" t="inlineStr">
        <is>
          <t>Sailloft Quad</t>
        </is>
      </c>
      <c r="C1834" s="3" t="inlineStr"/>
      <c r="D1834" s="3" t="inlineStr"/>
      <c r="E1834" t="inlineStr"/>
      <c r="F1834" t="inlineStr"/>
      <c r="G1834" t="inlineStr">
        <is>
          <t>used</t>
        </is>
      </c>
      <c r="H1834" s="4" t="n">
        <v>189</v>
      </c>
      <c r="I1834" t="inlineStr"/>
      <c r="J1834" t="inlineStr">
        <is>
          <t>24222 Schwentinental - Klausdorf</t>
        </is>
      </c>
      <c r="K1834" s="5" t="n">
        <v>45538</v>
      </c>
      <c r="L1834" t="inlineStr">
        <is>
          <t>Sold</t>
        </is>
      </c>
      <c r="M1834" s="6">
        <f>HYPERLINK("https://www.kleinanzeigen.de/s-anzeige/wavesegel-windsurf-sailloft-quad-4-6/2853028334-230-23158", "Link")</f>
        <v/>
      </c>
      <c r="N1834" s="6">
        <f>HYPERLINK("C:\Projects\Kleinanzeigen-Scraper\offer_images\2853028334", "Link")</f>
        <v/>
      </c>
      <c r="O1834" t="inlineStr">
        <is>
          <t>Henning</t>
        </is>
      </c>
      <c r="P1834" s="6">
        <f>HYPERLINK("https://www.kleinanzeigen.de/s-bestandsliste.html?userId=6947740", "Link")</f>
        <v/>
      </c>
      <c r="Q1834" s="7" t="n">
        <v>45538.5671412037</v>
      </c>
      <c r="R1834" s="3" t="inlineStr">
        <is>
          <t>433.89</t>
        </is>
      </c>
      <c r="S1834" t="inlineStr">
        <is>
          <t>Köln</t>
        </is>
      </c>
    </row>
    <row r="1835">
      <c r="A1835" s="2" t="n">
        <v>7.8</v>
      </c>
      <c r="B1835" t="inlineStr">
        <is>
          <t>XO Sails Silver</t>
        </is>
      </c>
      <c r="C1835" s="3" t="n">
        <v>430</v>
      </c>
      <c r="D1835" s="3" t="n">
        <v>215</v>
      </c>
      <c r="E1835" t="inlineStr"/>
      <c r="F1835" t="inlineStr"/>
      <c r="G1835" t="inlineStr">
        <is>
          <t>used</t>
        </is>
      </c>
      <c r="H1835" s="4" t="n">
        <v>199</v>
      </c>
      <c r="I1835" t="inlineStr"/>
      <c r="J1835" t="inlineStr">
        <is>
          <t>99448 Thüringen - Kranichfeld</t>
        </is>
      </c>
      <c r="K1835" s="5" t="n">
        <v>45538</v>
      </c>
      <c r="L1835" t="inlineStr">
        <is>
          <t>Sold</t>
        </is>
      </c>
      <c r="M1835" s="6">
        <f>HYPERLINK("https://www.kleinanzeigen.de/s-anzeige/windsurf-segel-7-8-2-camber/2853135235-230-20898", "Link")</f>
        <v/>
      </c>
      <c r="N1835" s="6">
        <f>HYPERLINK("C:\Projects\Kleinanzeigen-Scraper\offer_images\2853135235", "Link")</f>
        <v/>
      </c>
      <c r="O1835" t="inlineStr">
        <is>
          <t>Tim</t>
        </is>
      </c>
      <c r="P1835" s="6">
        <f>HYPERLINK("https://www.kleinanzeigen.de/s-bestandsliste.html?userId=23017205", "Link")</f>
        <v/>
      </c>
      <c r="Q1835" s="7" t="n">
        <v>45538.5670949074</v>
      </c>
      <c r="R1835" s="3" t="inlineStr">
        <is>
          <t>285.68</t>
        </is>
      </c>
      <c r="S1835" t="inlineStr">
        <is>
          <t>Karlsruhe</t>
        </is>
      </c>
    </row>
    <row r="1836">
      <c r="A1836" s="2" t="n">
        <v>7.7</v>
      </c>
      <c r="B1836" t="inlineStr">
        <is>
          <t>Neilpryde Hellcat</t>
        </is>
      </c>
      <c r="C1836" s="3" t="inlineStr"/>
      <c r="D1836" s="3" t="inlineStr"/>
      <c r="E1836" t="inlineStr"/>
      <c r="F1836" t="inlineStr"/>
      <c r="G1836" t="inlineStr">
        <is>
          <t>used</t>
        </is>
      </c>
      <c r="H1836" s="4" t="n">
        <v>125</v>
      </c>
      <c r="I1836" t="inlineStr"/>
      <c r="J1836" t="inlineStr">
        <is>
          <t>82194 Bayern - Gröbenzell</t>
        </is>
      </c>
      <c r="K1836" s="5" t="n">
        <v>45533</v>
      </c>
      <c r="L1836" t="inlineStr">
        <is>
          <t>Sold</t>
        </is>
      </c>
      <c r="M1836" s="6">
        <f>HYPERLINK("https://www.kleinanzeigen.de/s-anzeige/segel-neilpryde-hellcat-7-7-m2-windsurfen-windsurfsegel/2849176249-230-6350", "Link")</f>
        <v/>
      </c>
      <c r="N1836" s="6">
        <f>HYPERLINK("C:\Projects\Kleinanzeigen-Scraper\offer_images\2849176249", "Link")</f>
        <v/>
      </c>
      <c r="O1836" t="inlineStr">
        <is>
          <t>Maggie</t>
        </is>
      </c>
      <c r="P1836" s="6">
        <f>HYPERLINK("https://www.kleinanzeigen.de/s-bestandsliste.html?userId=27957834", "Link")</f>
        <v/>
      </c>
      <c r="Q1836" s="7" t="n">
        <v>45538.56693287037</v>
      </c>
      <c r="R1836" s="3" t="inlineStr">
        <is>
          <t>15.82</t>
        </is>
      </c>
      <c r="S1836" t="inlineStr">
        <is>
          <t>München</t>
        </is>
      </c>
    </row>
    <row r="1837">
      <c r="A1837" s="2" t="n">
        <v>4.8</v>
      </c>
      <c r="B1837" t="inlineStr">
        <is>
          <t>Sailloft Air</t>
        </is>
      </c>
      <c r="C1837" s="3" t="inlineStr"/>
      <c r="D1837" s="3" t="inlineStr"/>
      <c r="E1837" t="inlineStr">
        <is>
          <t>Freestyle</t>
        </is>
      </c>
      <c r="F1837" t="inlineStr"/>
      <c r="G1837" t="inlineStr">
        <is>
          <t>used</t>
        </is>
      </c>
      <c r="H1837" s="4" t="n">
        <v>260</v>
      </c>
      <c r="I1837" t="inlineStr">
        <is>
          <t>VB</t>
        </is>
      </c>
      <c r="J1837" t="inlineStr">
        <is>
          <t>14532 Brandenburg - Kleinmachnow</t>
        </is>
      </c>
      <c r="K1837" s="5" t="n">
        <v>45537</v>
      </c>
      <c r="L1837" t="inlineStr">
        <is>
          <t>Sold</t>
        </is>
      </c>
      <c r="M1837" s="6">
        <f>HYPERLINK("https://www.kleinanzeigen.de/s-anzeige/sailloft-air-4-8-windsurf-segel-freestyle/2852717835-230-7775", "Link")</f>
        <v/>
      </c>
      <c r="N1837" s="6">
        <f>HYPERLINK("C:\Projects\Kleinanzeigen-Scraper\offer_images\2852717835", "Link")</f>
        <v/>
      </c>
      <c r="O1837" t="inlineStr">
        <is>
          <t>Johannes</t>
        </is>
      </c>
      <c r="P1837" s="6">
        <f>HYPERLINK("https://www.kleinanzeigen.de/s-bestandsliste.html?userId=52270428", "Link")</f>
        <v/>
      </c>
      <c r="Q1837" s="7" t="n">
        <v>45538.56655092593</v>
      </c>
      <c r="R1837" s="3" t="inlineStr">
        <is>
          <t>458.23</t>
        </is>
      </c>
      <c r="S1837" t="inlineStr">
        <is>
          <t>Köln</t>
        </is>
      </c>
    </row>
    <row r="1838">
      <c r="A1838" s="2" t="n">
        <v>4.9</v>
      </c>
      <c r="B1838" t="inlineStr">
        <is>
          <t>PACIFIC FREE V</t>
        </is>
      </c>
      <c r="C1838" s="3" t="n">
        <v>430</v>
      </c>
      <c r="D1838" s="3" t="n">
        <v>170</v>
      </c>
      <c r="E1838" t="inlineStr"/>
      <c r="F1838" t="inlineStr"/>
      <c r="G1838" t="inlineStr">
        <is>
          <t>used</t>
        </is>
      </c>
      <c r="H1838" s="4" t="n">
        <v>90</v>
      </c>
      <c r="I1838" t="inlineStr">
        <is>
          <t>VB</t>
        </is>
      </c>
      <c r="J1838" t="inlineStr">
        <is>
          <t>01326 Dresden - Loschwitz</t>
        </is>
      </c>
      <c r="K1838" s="5" t="n">
        <v>45536</v>
      </c>
      <c r="L1838" t="inlineStr">
        <is>
          <t>Sold</t>
        </is>
      </c>
      <c r="M1838" s="6">
        <f>HYPERLINK("https://www.kleinanzeigen.de/s-anzeige/windsurf-segel-pacific-free-v-4-9/2852176526-230-3830", "Link")</f>
        <v/>
      </c>
      <c r="N1838" s="6">
        <f>HYPERLINK("C:\Projects\Kleinanzeigen-Scraper\offer_images\2852176526", "Link")</f>
        <v/>
      </c>
      <c r="O1838" t="inlineStr">
        <is>
          <t>Peter</t>
        </is>
      </c>
      <c r="P1838" s="6">
        <f>HYPERLINK("https://www.kleinanzeigen.de/s-bestandsliste.html?userId=24095757", "Link")</f>
        <v/>
      </c>
      <c r="Q1838" s="7" t="n">
        <v>45537.57865740741</v>
      </c>
      <c r="R1838" s="3" t="inlineStr">
        <is>
          <t>362.41</t>
        </is>
      </c>
      <c r="S1838" t="inlineStr">
        <is>
          <t>München</t>
        </is>
      </c>
    </row>
    <row r="1839">
      <c r="A1839" s="2" t="n">
        <v>7.7</v>
      </c>
      <c r="B1839" t="inlineStr">
        <is>
          <t>GAASTRA COSMIC</t>
        </is>
      </c>
      <c r="C1839" s="3" t="n">
        <v>4.17</v>
      </c>
      <c r="D1839" s="3" t="n">
        <v>2.35</v>
      </c>
      <c r="E1839" t="inlineStr">
        <is>
          <t>Camber</t>
        </is>
      </c>
      <c r="F1839" t="inlineStr"/>
      <c r="G1839" t="inlineStr">
        <is>
          <t>repaired</t>
        </is>
      </c>
      <c r="H1839" s="4" t="n">
        <v>160</v>
      </c>
      <c r="I1839" t="inlineStr">
        <is>
          <t>VB</t>
        </is>
      </c>
      <c r="J1839" t="inlineStr">
        <is>
          <t>01326 Dresden - Loschwitz</t>
        </is>
      </c>
      <c r="K1839" s="5" t="n">
        <v>45536</v>
      </c>
      <c r="L1839" t="inlineStr">
        <is>
          <t>Sold</t>
        </is>
      </c>
      <c r="M1839" s="6">
        <f>HYPERLINK("https://www.kleinanzeigen.de/s-anzeige/gaastra-cosmic-7-7-windsurf-segel-camber-segel/2852173623-230-3830", "Link")</f>
        <v/>
      </c>
      <c r="N1839" s="6">
        <f>HYPERLINK("C:\Projects\Kleinanzeigen-Scraper\offer_images\2852173623", "Link")</f>
        <v/>
      </c>
      <c r="O1839" t="inlineStr">
        <is>
          <t>Peter</t>
        </is>
      </c>
      <c r="P1839" s="6">
        <f>HYPERLINK("https://www.kleinanzeigen.de/s-bestandsliste.html?userId=24095757", "Link")</f>
        <v/>
      </c>
      <c r="Q1839" s="7" t="n">
        <v>45537.57862268519</v>
      </c>
      <c r="R1839" s="3" t="inlineStr">
        <is>
          <t>362.41</t>
        </is>
      </c>
      <c r="S1839" t="inlineStr">
        <is>
          <t>München</t>
        </is>
      </c>
    </row>
    <row r="1840">
      <c r="A1840" s="2" t="n">
        <v>6</v>
      </c>
      <c r="B1840" t="inlineStr">
        <is>
          <t>Northsails Spectro</t>
        </is>
      </c>
      <c r="C1840" s="3" t="n">
        <v>4.77</v>
      </c>
      <c r="D1840" s="3" t="n">
        <v>1.82</v>
      </c>
      <c r="E1840" t="inlineStr"/>
      <c r="F1840" t="inlineStr"/>
      <c r="G1840" t="inlineStr">
        <is>
          <t>used</t>
        </is>
      </c>
      <c r="H1840" s="4" t="n">
        <v>65</v>
      </c>
      <c r="I1840" t="inlineStr">
        <is>
          <t>VB</t>
        </is>
      </c>
      <c r="J1840" t="inlineStr">
        <is>
          <t>01326 Dresden - Loschwitz</t>
        </is>
      </c>
      <c r="K1840" s="5" t="n">
        <v>45536</v>
      </c>
      <c r="L1840" t="inlineStr">
        <is>
          <t>Sold</t>
        </is>
      </c>
      <c r="M1840" s="6">
        <f>HYPERLINK("https://www.kleinanzeigen.de/s-anzeige/windsurf-segel-northsails-spectro-6-0/2852175116-230-3830", "Link")</f>
        <v/>
      </c>
      <c r="N1840" s="6">
        <f>HYPERLINK("C:\Projects\Kleinanzeigen-Scraper\offer_images\2852175116", "Link")</f>
        <v/>
      </c>
      <c r="O1840" t="inlineStr">
        <is>
          <t>Peter</t>
        </is>
      </c>
      <c r="P1840" s="6">
        <f>HYPERLINK("https://www.kleinanzeigen.de/s-bestandsliste.html?userId=24095757", "Link")</f>
        <v/>
      </c>
      <c r="Q1840" s="7" t="n">
        <v>45537.57857638889</v>
      </c>
      <c r="R1840" s="3" t="inlineStr">
        <is>
          <t>362.41</t>
        </is>
      </c>
      <c r="S1840" t="inlineStr">
        <is>
          <t>München</t>
        </is>
      </c>
    </row>
    <row r="1841">
      <c r="A1841" s="2" t="n">
        <v>5.8</v>
      </c>
      <c r="B1841" t="inlineStr">
        <is>
          <t>Point 7 Square</t>
        </is>
      </c>
      <c r="C1841" s="3" t="inlineStr"/>
      <c r="D1841" s="3" t="inlineStr"/>
      <c r="E1841" t="inlineStr"/>
      <c r="F1841" t="inlineStr"/>
      <c r="G1841" t="inlineStr">
        <is>
          <t>used</t>
        </is>
      </c>
      <c r="H1841" s="4" t="n">
        <v>120</v>
      </c>
      <c r="I1841" t="inlineStr">
        <is>
          <t>VB</t>
        </is>
      </c>
      <c r="J1841" t="inlineStr">
        <is>
          <t>38302 Niedersachsen - Wolfenbüttel</t>
        </is>
      </c>
      <c r="K1841" s="5" t="n">
        <v>45537</v>
      </c>
      <c r="L1841" t="inlineStr"/>
      <c r="M1841" s="6">
        <f>HYPERLINK("https://www.kleinanzeigen.de/s-anzeige/point-7-square-windsurf-segel-5-8/2852451902-230-3059", "Link")</f>
        <v/>
      </c>
      <c r="N1841" s="6">
        <f>HYPERLINK("C:\Projects\Kleinanzeigen-Scraper\offer_images\2852451902", "Link")</f>
        <v/>
      </c>
      <c r="O1841" t="inlineStr">
        <is>
          <t>Christian</t>
        </is>
      </c>
      <c r="P1841" s="6">
        <f>HYPERLINK("https://www.kleinanzeigen.de/s-bestandsliste.html?userId=88773035", "Link")</f>
        <v/>
      </c>
      <c r="Q1841" s="7" t="n">
        <v>45537.57857638889</v>
      </c>
      <c r="R1841" s="3" t="inlineStr">
        <is>
          <t>284.98</t>
        </is>
      </c>
      <c r="S1841" t="inlineStr">
        <is>
          <t>Köln</t>
        </is>
      </c>
    </row>
    <row r="1842">
      <c r="A1842" s="2" t="n">
        <v>6.2</v>
      </c>
      <c r="B1842" t="inlineStr">
        <is>
          <t>Naish Force</t>
        </is>
      </c>
      <c r="C1842" s="3" t="n">
        <v>430</v>
      </c>
      <c r="D1842" s="3" t="n">
        <v>182</v>
      </c>
      <c r="E1842" t="inlineStr"/>
      <c r="F1842" t="inlineStr">
        <is>
          <t>2014</t>
        </is>
      </c>
      <c r="G1842" t="inlineStr">
        <is>
          <t>used</t>
        </is>
      </c>
      <c r="H1842" s="4" t="n">
        <v>140</v>
      </c>
      <c r="I1842" t="inlineStr"/>
      <c r="J1842" t="inlineStr">
        <is>
          <t>18069 Rostock - Reutershagen</t>
        </is>
      </c>
      <c r="K1842" s="5" t="n">
        <v>45537</v>
      </c>
      <c r="L1842" t="inlineStr">
        <is>
          <t>Sold</t>
        </is>
      </c>
      <c r="M1842" s="6">
        <f>HYPERLINK("https://www.kleinanzeigen.de/s-anzeige/naish-force-6-2-segel-windsurfen-surfen-wave/2852458540-230-159", "Link")</f>
        <v/>
      </c>
      <c r="N1842" s="6">
        <f>HYPERLINK("C:\Projects\Kleinanzeigen-Scraper\offer_images\2852458540", "Link")</f>
        <v/>
      </c>
      <c r="O1842" t="inlineStr">
        <is>
          <t>Thomas</t>
        </is>
      </c>
      <c r="P1842" s="6">
        <f>HYPERLINK("https://www.kleinanzeigen.de/s-bestandsliste.html?userId=33327", "Link")</f>
        <v/>
      </c>
      <c r="Q1842" s="7" t="n">
        <v>45537.57849537037</v>
      </c>
      <c r="R1842" s="3" t="inlineStr">
        <is>
          <t>493.58</t>
        </is>
      </c>
      <c r="S1842" t="inlineStr">
        <is>
          <t>Köln</t>
        </is>
      </c>
    </row>
    <row r="1843">
      <c r="A1843" s="2" t="n">
        <v>7</v>
      </c>
      <c r="B1843" t="inlineStr">
        <is>
          <t>Point 7 ACX</t>
        </is>
      </c>
      <c r="C1843" s="3" t="n">
        <v>460</v>
      </c>
      <c r="D1843" s="3" t="n">
        <v>128</v>
      </c>
      <c r="E1843" t="inlineStr">
        <is>
          <t>Freeride</t>
        </is>
      </c>
      <c r="F1843" t="inlineStr">
        <is>
          <t>2018</t>
        </is>
      </c>
      <c r="G1843" t="inlineStr">
        <is>
          <t>repaired</t>
        </is>
      </c>
      <c r="H1843" s="4" t="n">
        <v>200</v>
      </c>
      <c r="I1843" t="inlineStr">
        <is>
          <t>VB</t>
        </is>
      </c>
      <c r="J1843" t="inlineStr">
        <is>
          <t>81371 München - Sendling</t>
        </is>
      </c>
      <c r="K1843" s="5" t="n">
        <v>45537</v>
      </c>
      <c r="L1843" t="inlineStr"/>
      <c r="M1843" s="6">
        <f>HYPERLINK("https://www.kleinanzeigen.de/s-anzeige/point-7-acx-7-0-windsurf-freeride-segel-no-cam/2852367935-230-6416", "Link")</f>
        <v/>
      </c>
      <c r="N1843" s="6">
        <f>HYPERLINK("C:\Projects\Kleinanzeigen-Scraper\offer_images\2852367935", "Link")</f>
        <v/>
      </c>
      <c r="O1843" t="inlineStr">
        <is>
          <t>dominik</t>
        </is>
      </c>
      <c r="P1843" s="6">
        <f>HYPERLINK("https://www.kleinanzeigen.de/s-bestandsliste.html?userId=30358238", "Link")</f>
        <v/>
      </c>
      <c r="Q1843" s="7" t="n">
        <v>45537.57802083333</v>
      </c>
      <c r="R1843" s="3" t="inlineStr">
        <is>
          <t>2.76</t>
        </is>
      </c>
      <c r="S1843" t="inlineStr">
        <is>
          <t>München</t>
        </is>
      </c>
    </row>
    <row r="1844">
      <c r="A1844" s="2" t="n">
        <v>6.6</v>
      </c>
      <c r="B1844" t="inlineStr">
        <is>
          <t>Goya Mark 2</t>
        </is>
      </c>
      <c r="C1844" s="3" t="inlineStr"/>
      <c r="D1844" s="3" t="inlineStr"/>
      <c r="E1844" t="inlineStr"/>
      <c r="F1844" t="inlineStr">
        <is>
          <t>2021</t>
        </is>
      </c>
      <c r="G1844" t="inlineStr">
        <is>
          <t>like new</t>
        </is>
      </c>
      <c r="H1844" s="4" t="n">
        <v>360</v>
      </c>
      <c r="I1844" t="inlineStr"/>
      <c r="J1844" t="inlineStr">
        <is>
          <t>23769 Kreis Ostholstein - Fehmarn</t>
        </is>
      </c>
      <c r="K1844" s="5" t="n">
        <v>45530</v>
      </c>
      <c r="L1844" t="inlineStr"/>
      <c r="M1844" s="6">
        <f>HYPERLINK("https://www.kleinanzeigen.de/s-anzeige/windsurf-segel/2846972065-230-19951", "Link")</f>
        <v/>
      </c>
      <c r="N1844" s="6">
        <f>HYPERLINK("C:\Projects\Kleinanzeigen-Scraper\offer_images\2846972065", "Link")</f>
        <v/>
      </c>
      <c r="O1844" t="inlineStr">
        <is>
          <t>Matan</t>
        </is>
      </c>
      <c r="P1844" s="6">
        <f>HYPERLINK("https://www.kleinanzeigen.de/s-bestandsliste.html?userId=50032921", "Link")</f>
        <v/>
      </c>
      <c r="Q1844" s="7" t="n">
        <v>45536.97877314815</v>
      </c>
      <c r="R1844" s="3" t="inlineStr">
        <is>
          <t>483.01</t>
        </is>
      </c>
      <c r="S1844" t="inlineStr">
        <is>
          <t>Köln</t>
        </is>
      </c>
    </row>
    <row r="1845">
      <c r="A1845" s="2" t="n">
        <v>4.2</v>
      </c>
      <c r="B1845" t="inlineStr">
        <is>
          <t>Neilpryde Combat</t>
        </is>
      </c>
      <c r="C1845" s="3" t="n">
        <v>370</v>
      </c>
      <c r="D1845" s="3" t="n">
        <v>153</v>
      </c>
      <c r="E1845" t="inlineStr"/>
      <c r="F1845" t="inlineStr">
        <is>
          <t>2022</t>
        </is>
      </c>
      <c r="G1845" t="inlineStr">
        <is>
          <t>used</t>
        </is>
      </c>
      <c r="H1845" s="4" t="n">
        <v>120</v>
      </c>
      <c r="I1845" t="inlineStr">
        <is>
          <t>VB</t>
        </is>
      </c>
      <c r="J1845" t="inlineStr">
        <is>
          <t>50859 Lindenthal - Köln Lövenich</t>
        </is>
      </c>
      <c r="K1845" s="5" t="n">
        <v>45529</v>
      </c>
      <c r="L1845" t="inlineStr"/>
      <c r="M1845" s="6">
        <f>HYPERLINK("https://www.kleinanzeigen.de/s-anzeige/neilpryde-combat-4-2-segeln-windsurfen/2845449137-230-18670", "Link")</f>
        <v/>
      </c>
      <c r="N1845" s="6">
        <f>HYPERLINK("C:\Projects\Kleinanzeigen-Scraper\offer_images\2845449137", "Link")</f>
        <v/>
      </c>
      <c r="O1845" t="inlineStr">
        <is>
          <t>Jose Rodriguez</t>
        </is>
      </c>
      <c r="P1845" s="6">
        <f>HYPERLINK("https://www.kleinanzeigen.de/s-bestandsliste.html?userId=23282581", "Link")</f>
        <v/>
      </c>
      <c r="Q1845" s="7" t="n">
        <v>45536.97862268519</v>
      </c>
      <c r="R1845" s="3" t="inlineStr">
        <is>
          <t>8.43</t>
        </is>
      </c>
      <c r="S1845" t="inlineStr">
        <is>
          <t>Köln</t>
        </is>
      </c>
    </row>
    <row r="1846">
      <c r="A1846" s="2" t="n">
        <v>1</v>
      </c>
      <c r="B1846" t="inlineStr">
        <is>
          <t>STX MiniKid</t>
        </is>
      </c>
      <c r="C1846" s="3" t="inlineStr"/>
      <c r="D1846" s="3" t="inlineStr"/>
      <c r="E1846" t="inlineStr"/>
      <c r="F1846" t="inlineStr">
        <is>
          <t>2022</t>
        </is>
      </c>
      <c r="G1846" t="inlineStr">
        <is>
          <t>new</t>
        </is>
      </c>
      <c r="H1846" s="4" t="n">
        <v>259</v>
      </c>
      <c r="I1846" t="inlineStr"/>
      <c r="J1846" t="inlineStr">
        <is>
          <t>82319 Bayern - Starnberg</t>
        </is>
      </c>
      <c r="K1846" s="5" t="n">
        <v>45562</v>
      </c>
      <c r="L1846" t="inlineStr"/>
      <c r="M1846" s="6">
        <f>HYPERLINK("https://www.kleinanzeigen.de/s-anzeige/stx-rig-minikid-1-qm-2022-windsurf-segel-neu-2qm-2-5qm/2128904290-230-5525", "Link")</f>
        <v/>
      </c>
      <c r="N1846" s="6">
        <f>HYPERLINK("C:\Projects\Kleinanzeigen-Scraper\offer_images\2128904290", "Link")</f>
        <v/>
      </c>
      <c r="O1846" t="inlineStr">
        <is>
          <t>No user name</t>
        </is>
      </c>
      <c r="P1846" s="6">
        <f>HYPERLINK("https://www.kleinanzeigen.deNo user link", "Link")</f>
        <v/>
      </c>
      <c r="Q1846" s="7" t="n">
        <v>45536.97840277778</v>
      </c>
      <c r="R1846" s="3" t="inlineStr">
        <is>
          <t>23.17</t>
        </is>
      </c>
      <c r="S1846" t="inlineStr">
        <is>
          <t>München</t>
        </is>
      </c>
    </row>
    <row r="1847">
      <c r="A1847" s="2" t="n">
        <v>6.3</v>
      </c>
      <c r="B1847" t="inlineStr">
        <is>
          <t>Gun Sails Groove</t>
        </is>
      </c>
      <c r="C1847" s="3" t="n">
        <v>462</v>
      </c>
      <c r="D1847" s="3" t="n">
        <v>187</v>
      </c>
      <c r="E1847" t="inlineStr">
        <is>
          <t>Freeride</t>
        </is>
      </c>
      <c r="F1847" t="inlineStr"/>
      <c r="G1847" t="inlineStr">
        <is>
          <t>used</t>
        </is>
      </c>
      <c r="H1847" s="4" t="n">
        <v>60</v>
      </c>
      <c r="I1847" t="inlineStr"/>
      <c r="J1847" t="inlineStr">
        <is>
          <t>10557 Mitte - Tiergarten</t>
        </is>
      </c>
      <c r="K1847" s="5" t="n">
        <v>45536</v>
      </c>
      <c r="L1847" t="inlineStr">
        <is>
          <t>Sold</t>
        </is>
      </c>
      <c r="M1847" s="6">
        <f>HYPERLINK("https://www.kleinanzeigen.de/s-anzeige/segel-gun-sails-groove-6-3-qm-windsurfen/2852172250-230-3502", "Link")</f>
        <v/>
      </c>
      <c r="N1847" s="6">
        <f>HYPERLINK("C:\Projects\Kleinanzeigen-Scraper\offer_images\2852172250", "Link")</f>
        <v/>
      </c>
      <c r="O1847" t="inlineStr">
        <is>
          <t>Fabian Becher</t>
        </is>
      </c>
      <c r="P1847" s="6">
        <f>HYPERLINK("https://www.kleinanzeigen.de/s-bestandsliste.html?userId=14821328", "Link")</f>
        <v/>
      </c>
      <c r="Q1847" s="7" t="n">
        <v>45536.97837962963</v>
      </c>
      <c r="R1847" s="3" t="inlineStr">
        <is>
          <t>475.20</t>
        </is>
      </c>
      <c r="S1847" t="inlineStr">
        <is>
          <t>Köln</t>
        </is>
      </c>
    </row>
    <row r="1848">
      <c r="A1848" s="2" t="n">
        <v>2.9</v>
      </c>
      <c r="B1848" t="inlineStr">
        <is>
          <t>Gunsails Speed Slalom</t>
        </is>
      </c>
      <c r="C1848" s="3" t="n">
        <v>3.52</v>
      </c>
      <c r="D1848" s="3" t="n">
        <v>1.38</v>
      </c>
      <c r="E1848" t="inlineStr"/>
      <c r="F1848" t="inlineStr"/>
      <c r="G1848" t="inlineStr">
        <is>
          <t>used</t>
        </is>
      </c>
      <c r="H1848" s="4" t="n">
        <v>35</v>
      </c>
      <c r="I1848" t="inlineStr"/>
      <c r="J1848" t="inlineStr">
        <is>
          <t>89173 Baden-Württemberg - Lonsee</t>
        </is>
      </c>
      <c r="K1848" s="5" t="n">
        <v>45529</v>
      </c>
      <c r="L1848" t="inlineStr">
        <is>
          <t>Sold</t>
        </is>
      </c>
      <c r="M1848" s="6">
        <f>HYPERLINK("https://www.kleinanzeigen.de/s-anzeige/windsurf-segel-gunsails-speed-slalom-2-9-qm-gut-erhalten/2846505290-230-8934", "Link")</f>
        <v/>
      </c>
      <c r="N1848" s="6">
        <f>HYPERLINK("C:\Projects\Kleinanzeigen-Scraper\offer_images\2846505290", "Link")</f>
        <v/>
      </c>
      <c r="O1848" t="inlineStr">
        <is>
          <t>Koros</t>
        </is>
      </c>
      <c r="P1848" s="6">
        <f>HYPERLINK("https://www.kleinanzeigen.de/s-bestandsliste.html?userId=26018194", "Link")</f>
        <v/>
      </c>
      <c r="Q1848" s="7" t="n">
        <v>45536.97834490741</v>
      </c>
      <c r="R1848" s="3" t="inlineStr">
        <is>
          <t>71.12</t>
        </is>
      </c>
      <c r="S1848" t="inlineStr">
        <is>
          <t>Böblingen</t>
        </is>
      </c>
    </row>
    <row r="1849">
      <c r="A1849" s="2" t="n">
        <v>3.5</v>
      </c>
      <c r="B1849" t="inlineStr">
        <is>
          <t>Simmer Wave</t>
        </is>
      </c>
      <c r="C1849" s="3" t="inlineStr"/>
      <c r="D1849" s="3" t="inlineStr"/>
      <c r="E1849" t="inlineStr">
        <is>
          <t>Wave</t>
        </is>
      </c>
      <c r="F1849" t="inlineStr"/>
      <c r="G1849" t="inlineStr">
        <is>
          <t>used</t>
        </is>
      </c>
      <c r="H1849" s="4" t="n">
        <v>109</v>
      </c>
      <c r="I1849" t="inlineStr"/>
      <c r="J1849" t="inlineStr">
        <is>
          <t>90762 Bayern - Fürth</t>
        </is>
      </c>
      <c r="K1849" s="5" t="n">
        <v>45530</v>
      </c>
      <c r="L1849" t="inlineStr">
        <is>
          <t>Sold</t>
        </is>
      </c>
      <c r="M1849" s="6">
        <f>HYPERLINK("https://www.kleinanzeigen.de/s-anzeige/simmer-wave-segel-windsurfen-3-5m-/2846867037-230-6807", "Link")</f>
        <v/>
      </c>
      <c r="N1849" s="6">
        <f>HYPERLINK("C:\Projects\Kleinanzeigen-Scraper\offer_images\2846867037", "Link")</f>
        <v/>
      </c>
      <c r="O1849" t="inlineStr">
        <is>
          <t>Erwin Wahlen</t>
        </is>
      </c>
      <c r="P1849" s="6">
        <f>HYPERLINK("https://www.kleinanzeigen.de/s-bestandsliste.html?userId=26392836", "Link")</f>
        <v/>
      </c>
      <c r="Q1849" s="7" t="n">
        <v>45536.96865740741</v>
      </c>
      <c r="R1849" s="3" t="inlineStr">
        <is>
          <t>154.52</t>
        </is>
      </c>
      <c r="S1849" t="inlineStr">
        <is>
          <t>München</t>
        </is>
      </c>
    </row>
    <row r="1850">
      <c r="A1850" s="2" t="n">
        <v>6.7</v>
      </c>
      <c r="B1850" t="inlineStr">
        <is>
          <t>Duotone Super Session</t>
        </is>
      </c>
      <c r="C1850" s="3" t="n">
        <v>491</v>
      </c>
      <c r="D1850" s="3" t="n">
        <v>191</v>
      </c>
      <c r="E1850" t="inlineStr"/>
      <c r="F1850" t="inlineStr"/>
      <c r="G1850" t="inlineStr">
        <is>
          <t>used</t>
        </is>
      </c>
      <c r="H1850" s="4" t="n">
        <v>299</v>
      </c>
      <c r="I1850" t="inlineStr"/>
      <c r="J1850" t="inlineStr">
        <is>
          <t>16515 Brandenburg - Oranienburg</t>
        </is>
      </c>
      <c r="K1850" s="5" t="n">
        <v>45532</v>
      </c>
      <c r="L1850" t="inlineStr">
        <is>
          <t>Sold</t>
        </is>
      </c>
      <c r="M1850" s="6">
        <f>HYPERLINK("https://www.kleinanzeigen.de/s-anzeige/duotone-super-session-6-7-segel-windsurfen-windsurfsegel/2848201453-230-7814", "Link")</f>
        <v/>
      </c>
      <c r="N1850" s="6">
        <f>HYPERLINK("C:\Projects\Kleinanzeigen-Scraper\offer_images\2848201453", "Link")</f>
        <v/>
      </c>
      <c r="O1850" t="inlineStr">
        <is>
          <t>DW</t>
        </is>
      </c>
      <c r="P1850" s="6">
        <f>HYPERLINK("https://www.kleinanzeigen.de/s-bestandsliste.html?userId=7064273", "Link")</f>
        <v/>
      </c>
      <c r="Q1850" s="7" t="n">
        <v>45536.96857638889</v>
      </c>
      <c r="R1850" s="3" t="inlineStr">
        <is>
          <t>483.59</t>
        </is>
      </c>
      <c r="S1850" t="inlineStr">
        <is>
          <t>Köln</t>
        </is>
      </c>
    </row>
    <row r="1851">
      <c r="A1851" s="2" t="n">
        <v>6.2</v>
      </c>
      <c r="B1851" t="inlineStr">
        <is>
          <t>Fanatic Lite Wing</t>
        </is>
      </c>
      <c r="C1851" s="3" t="n">
        <v>470</v>
      </c>
      <c r="D1851" s="3" t="n">
        <v>205</v>
      </c>
      <c r="E1851" t="inlineStr"/>
      <c r="F1851" t="inlineStr"/>
      <c r="G1851" t="inlineStr"/>
      <c r="H1851" s="4" t="n">
        <v>5</v>
      </c>
      <c r="I1851" t="inlineStr">
        <is>
          <t>VB</t>
        </is>
      </c>
      <c r="J1851" t="inlineStr">
        <is>
          <t>18055 Rostock - Stadtmitte</t>
        </is>
      </c>
      <c r="K1851" s="5" t="n">
        <v>45528</v>
      </c>
      <c r="L1851" t="inlineStr">
        <is>
          <t>Sold</t>
        </is>
      </c>
      <c r="M1851" s="6">
        <f>HYPERLINK("https://www.kleinanzeigen.de/s-anzeige/segel-windsurfen-fanatic-lite-wing-6-2-qm/2845367646-230-157", "Link")</f>
        <v/>
      </c>
      <c r="N1851" s="6">
        <f>HYPERLINK("C:\Projects\Kleinanzeigen-Scraper\offer_images\2845367646", "Link")</f>
        <v/>
      </c>
      <c r="O1851" t="inlineStr">
        <is>
          <t>Claus</t>
        </is>
      </c>
      <c r="P1851" s="6">
        <f>HYPERLINK("https://www.kleinanzeigen.de/s-bestandsliste.html?userId=6841017", "Link")</f>
        <v/>
      </c>
      <c r="Q1851" s="7" t="n">
        <v>45536.96853009259</v>
      </c>
      <c r="R1851" s="3" t="inlineStr">
        <is>
          <t>496.50</t>
        </is>
      </c>
      <c r="S1851" t="inlineStr">
        <is>
          <t>Köln</t>
        </is>
      </c>
    </row>
    <row r="1852">
      <c r="A1852" s="2" t="n">
        <v>4.7</v>
      </c>
      <c r="B1852" t="inlineStr">
        <is>
          <t>Simmer Style Blacktip</t>
        </is>
      </c>
      <c r="C1852" s="3" t="n">
        <v>370</v>
      </c>
      <c r="D1852" s="3" t="n">
        <v>165</v>
      </c>
      <c r="E1852" t="inlineStr">
        <is>
          <t>Wave</t>
        </is>
      </c>
      <c r="F1852" t="inlineStr"/>
      <c r="G1852" t="inlineStr">
        <is>
          <t>used</t>
        </is>
      </c>
      <c r="H1852" s="4" t="n">
        <v>220</v>
      </c>
      <c r="I1852" t="inlineStr"/>
      <c r="J1852" t="inlineStr">
        <is>
          <t>31515 Niedersachsen - Wunstorf</t>
        </is>
      </c>
      <c r="K1852" s="5" t="n">
        <v>45536</v>
      </c>
      <c r="L1852" t="inlineStr"/>
      <c r="M1852" s="6">
        <f>HYPERLINK("https://www.kleinanzeigen.de/s-anzeige/simmer-style-blacktip-windsurf-segel-4-7-m-wave-four-batten/2852153628-230-2930", "Link")</f>
        <v/>
      </c>
      <c r="N1852" s="6">
        <f>HYPERLINK("C:\Projects\Kleinanzeigen-Scraper\offer_images\2852153628", "Link")</f>
        <v/>
      </c>
      <c r="O1852" t="inlineStr">
        <is>
          <t>Björn</t>
        </is>
      </c>
      <c r="P1852" s="6">
        <f>HYPERLINK("https://www.kleinanzeigen.de/s-bestandsliste.html?userId=47648804", "Link")</f>
        <v/>
      </c>
      <c r="Q1852" s="7" t="n">
        <v>45536.96846064815</v>
      </c>
      <c r="R1852" s="3" t="inlineStr">
        <is>
          <t>236.47</t>
        </is>
      </c>
      <c r="S1852" t="inlineStr">
        <is>
          <t>Köln</t>
        </is>
      </c>
    </row>
    <row r="1853">
      <c r="A1853" s="2" t="n">
        <v>3</v>
      </c>
      <c r="B1853" t="inlineStr">
        <is>
          <t>Simmer Wave</t>
        </is>
      </c>
      <c r="C1853" s="3" t="inlineStr"/>
      <c r="D1853" s="3" t="inlineStr"/>
      <c r="E1853" t="inlineStr">
        <is>
          <t>Wave</t>
        </is>
      </c>
      <c r="F1853" t="inlineStr"/>
      <c r="G1853" t="inlineStr">
        <is>
          <t>used</t>
        </is>
      </c>
      <c r="H1853" s="4" t="n">
        <v>109</v>
      </c>
      <c r="I1853" t="inlineStr"/>
      <c r="J1853" t="inlineStr">
        <is>
          <t>90762 Bayern - Fürth</t>
        </is>
      </c>
      <c r="K1853" s="5" t="n">
        <v>45530</v>
      </c>
      <c r="L1853" t="inlineStr">
        <is>
          <t>Sold</t>
        </is>
      </c>
      <c r="M1853" s="6">
        <f>HYPERLINK("https://www.kleinanzeigen.de/s-anzeige/simmer-wave-segel-windsurfen-3-0m-/2846860228-230-6807", "Link")</f>
        <v/>
      </c>
      <c r="N1853" s="6">
        <f>HYPERLINK("C:\Projects\Kleinanzeigen-Scraper\offer_images\2846860228", "Link")</f>
        <v/>
      </c>
      <c r="O1853" t="inlineStr">
        <is>
          <t>Erwin Wahlen</t>
        </is>
      </c>
      <c r="P1853" s="6">
        <f>HYPERLINK("https://www.kleinanzeigen.de/s-bestandsliste.html?userId=26392836", "Link")</f>
        <v/>
      </c>
      <c r="Q1853" s="7" t="n">
        <v>45536.96842592592</v>
      </c>
      <c r="R1853" s="3" t="inlineStr">
        <is>
          <t>154.52</t>
        </is>
      </c>
      <c r="S1853" t="inlineStr">
        <is>
          <t>München</t>
        </is>
      </c>
    </row>
    <row r="1854">
      <c r="A1854" s="2" t="n">
        <v>5.9</v>
      </c>
      <c r="B1854" t="inlineStr">
        <is>
          <t>Simmer Style Blacktip</t>
        </is>
      </c>
      <c r="C1854" s="3" t="inlineStr"/>
      <c r="D1854" s="3" t="inlineStr"/>
      <c r="E1854" t="inlineStr">
        <is>
          <t>Wave</t>
        </is>
      </c>
      <c r="F1854" t="inlineStr"/>
      <c r="G1854" t="inlineStr">
        <is>
          <t>used</t>
        </is>
      </c>
      <c r="H1854" s="4" t="n">
        <v>260</v>
      </c>
      <c r="I1854" t="inlineStr"/>
      <c r="J1854" t="inlineStr">
        <is>
          <t>31515 Niedersachsen - Wunstorf</t>
        </is>
      </c>
      <c r="K1854" s="5" t="n">
        <v>45536</v>
      </c>
      <c r="L1854" t="inlineStr"/>
      <c r="M1854" s="6">
        <f>HYPERLINK("https://www.kleinanzeigen.de/s-anzeige/simmer-style-blacktip-windsurf-segel-5-9-m-wave-four-batten/2852155758-230-2930", "Link")</f>
        <v/>
      </c>
      <c r="N1854" s="6">
        <f>HYPERLINK("C:\Projects\Kleinanzeigen-Scraper\offer_images\2852155758", "Link")</f>
        <v/>
      </c>
      <c r="O1854" t="inlineStr">
        <is>
          <t>Björn</t>
        </is>
      </c>
      <c r="P1854" s="6">
        <f>HYPERLINK("https://www.kleinanzeigen.de/s-bestandsliste.html?userId=47648804", "Link")</f>
        <v/>
      </c>
      <c r="Q1854" s="7" t="n">
        <v>45536.96834490741</v>
      </c>
      <c r="R1854" s="3" t="inlineStr">
        <is>
          <t>236.47</t>
        </is>
      </c>
      <c r="S1854" t="inlineStr">
        <is>
          <t>Köln</t>
        </is>
      </c>
    </row>
    <row r="1855">
      <c r="A1855" s="2" t="n">
        <v>3.7</v>
      </c>
      <c r="B1855" t="inlineStr">
        <is>
          <t>Simmer Style Blacktip</t>
        </is>
      </c>
      <c r="C1855" s="3" t="inlineStr"/>
      <c r="D1855" s="3" t="inlineStr"/>
      <c r="E1855" t="inlineStr">
        <is>
          <t>Wave</t>
        </is>
      </c>
      <c r="F1855" t="inlineStr"/>
      <c r="G1855" t="inlineStr">
        <is>
          <t>used</t>
        </is>
      </c>
      <c r="H1855" s="4" t="n">
        <v>260</v>
      </c>
      <c r="I1855" t="inlineStr"/>
      <c r="J1855" t="inlineStr">
        <is>
          <t>31515 Niedersachsen - Wunstorf</t>
        </is>
      </c>
      <c r="K1855" s="5" t="n">
        <v>45536</v>
      </c>
      <c r="L1855" t="inlineStr"/>
      <c r="M1855" s="6">
        <f>HYPERLINK("https://www.kleinanzeigen.de/s-anzeige/simmer-style-blacktip-windsurf-segel-3-7-m-wave-four-batten/2852148978-230-2930", "Link")</f>
        <v/>
      </c>
      <c r="N1855" s="6">
        <f>HYPERLINK("C:\Projects\Kleinanzeigen-Scraper\offer_images\2852148978", "Link")</f>
        <v/>
      </c>
      <c r="O1855" t="inlineStr">
        <is>
          <t>Björn</t>
        </is>
      </c>
      <c r="P1855" s="6">
        <f>HYPERLINK("https://www.kleinanzeigen.de/s-bestandsliste.html?userId=47648804", "Link")</f>
        <v/>
      </c>
      <c r="Q1855" s="7" t="n">
        <v>45536.96825231481</v>
      </c>
      <c r="R1855" s="3" t="inlineStr">
        <is>
          <t>236.47</t>
        </is>
      </c>
      <c r="S1855" t="inlineStr">
        <is>
          <t>Köln</t>
        </is>
      </c>
    </row>
    <row r="1856">
      <c r="A1856" s="2" t="n">
        <v>4</v>
      </c>
      <c r="B1856" t="inlineStr">
        <is>
          <t>Neil Pryde RAF SLALOM</t>
        </is>
      </c>
      <c r="C1856" s="3" t="n">
        <v>460</v>
      </c>
      <c r="D1856" s="3" t="n">
        <v>140</v>
      </c>
      <c r="E1856" t="inlineStr"/>
      <c r="F1856" t="inlineStr"/>
      <c r="G1856" t="inlineStr">
        <is>
          <t>used</t>
        </is>
      </c>
      <c r="H1856" s="4" t="n">
        <v>28</v>
      </c>
      <c r="I1856" t="inlineStr">
        <is>
          <t>VB</t>
        </is>
      </c>
      <c r="J1856" t="inlineStr">
        <is>
          <t>60439 Frankfurt am Main - Niederursel</t>
        </is>
      </c>
      <c r="K1856" s="5" t="n">
        <v>45530</v>
      </c>
      <c r="L1856" t="inlineStr">
        <is>
          <t>Sold</t>
        </is>
      </c>
      <c r="M1856" s="6">
        <f>HYPERLINK("https://www.kleinanzeigen.de/s-anzeige/windsurf-segel-neil-pryde-raf-slalom-4qm-windsurfing-sail/2846786141-230-9589", "Link")</f>
        <v/>
      </c>
      <c r="N1856" s="6">
        <f>HYPERLINK("C:\Projects\Kleinanzeigen-Scraper\offer_images\2846786141", "Link")</f>
        <v/>
      </c>
      <c r="O1856" t="inlineStr">
        <is>
          <t>Thomas</t>
        </is>
      </c>
      <c r="P1856" s="6">
        <f>HYPERLINK("https://www.kleinanzeigen.de/s-bestandsliste.html?userId=33207554", "Link")</f>
        <v/>
      </c>
      <c r="Q1856" s="7" t="n">
        <v>45536.96820601852</v>
      </c>
      <c r="R1856" s="3" t="inlineStr">
        <is>
          <t>129.01</t>
        </is>
      </c>
      <c r="S1856" t="inlineStr">
        <is>
          <t>Karlsruhe</t>
        </is>
      </c>
    </row>
    <row r="1857">
      <c r="A1857" s="2" t="n">
        <v>4.2</v>
      </c>
      <c r="B1857" t="inlineStr">
        <is>
          <t>Simmer Style Blacktip</t>
        </is>
      </c>
      <c r="C1857" s="3" t="n">
        <v>370</v>
      </c>
      <c r="D1857" s="3" t="n">
        <v>154</v>
      </c>
      <c r="E1857" t="inlineStr">
        <is>
          <t>Wave</t>
        </is>
      </c>
      <c r="F1857" t="inlineStr"/>
      <c r="G1857" t="inlineStr">
        <is>
          <t>used</t>
        </is>
      </c>
      <c r="H1857" s="4" t="n">
        <v>260</v>
      </c>
      <c r="I1857" t="inlineStr"/>
      <c r="J1857" t="inlineStr">
        <is>
          <t>31515 Niedersachsen - Wunstorf</t>
        </is>
      </c>
      <c r="K1857" s="5" t="n">
        <v>45536</v>
      </c>
      <c r="L1857" t="inlineStr"/>
      <c r="M1857" s="6">
        <f>HYPERLINK("https://www.kleinanzeigen.de/s-anzeige/simmer-style-blacktip-windsurf-segel-4-2-m-wave-four-batten/2852144006-230-2930", "Link")</f>
        <v/>
      </c>
      <c r="N1857" s="6">
        <f>HYPERLINK("C:\Projects\Kleinanzeigen-Scraper\offer_images\2852144006", "Link")</f>
        <v/>
      </c>
      <c r="O1857" t="inlineStr">
        <is>
          <t>Björn</t>
        </is>
      </c>
      <c r="P1857" s="6">
        <f>HYPERLINK("https://www.kleinanzeigen.de/s-bestandsliste.html?userId=47648804", "Link")</f>
        <v/>
      </c>
      <c r="Q1857" s="7" t="n">
        <v>45536.96814814815</v>
      </c>
      <c r="R1857" s="3" t="inlineStr">
        <is>
          <t>236.47</t>
        </is>
      </c>
      <c r="S1857" t="inlineStr">
        <is>
          <t>Köln</t>
        </is>
      </c>
    </row>
    <row r="1858">
      <c r="A1858" s="2" t="n">
        <v>4</v>
      </c>
      <c r="B1858" t="inlineStr">
        <is>
          <t>Simmer Wave</t>
        </is>
      </c>
      <c r="C1858" s="3" t="inlineStr"/>
      <c r="D1858" s="3" t="inlineStr"/>
      <c r="E1858" t="inlineStr">
        <is>
          <t>Wave</t>
        </is>
      </c>
      <c r="F1858" t="inlineStr"/>
      <c r="G1858" t="inlineStr">
        <is>
          <t>used</t>
        </is>
      </c>
      <c r="H1858" s="4" t="n">
        <v>109</v>
      </c>
      <c r="I1858" t="inlineStr"/>
      <c r="J1858" t="inlineStr">
        <is>
          <t>90762 Bayern - Fürth</t>
        </is>
      </c>
      <c r="K1858" s="5" t="n">
        <v>45530</v>
      </c>
      <c r="L1858" t="inlineStr">
        <is>
          <t>Sold</t>
        </is>
      </c>
      <c r="M1858" s="6">
        <f>HYPERLINK("https://www.kleinanzeigen.de/s-anzeige/simmer-wave-segel-windsurfen-4-0m-/2846873467-230-6807", "Link")</f>
        <v/>
      </c>
      <c r="N1858" s="6">
        <f>HYPERLINK("C:\Projects\Kleinanzeigen-Scraper\offer_images\2846873467", "Link")</f>
        <v/>
      </c>
      <c r="O1858" t="inlineStr">
        <is>
          <t>Erwin Wahlen</t>
        </is>
      </c>
      <c r="P1858" s="6">
        <f>HYPERLINK("https://www.kleinanzeigen.de/s-bestandsliste.html?userId=26392836", "Link")</f>
        <v/>
      </c>
      <c r="Q1858" s="7" t="n">
        <v>45536.96805555555</v>
      </c>
      <c r="R1858" s="3" t="inlineStr">
        <is>
          <t>154.52</t>
        </is>
      </c>
      <c r="S1858" t="inlineStr">
        <is>
          <t>München</t>
        </is>
      </c>
    </row>
    <row r="1859">
      <c r="A1859" s="2" t="n">
        <v>4.5</v>
      </c>
      <c r="B1859" t="inlineStr">
        <is>
          <t>Simmer Wave</t>
        </is>
      </c>
      <c r="C1859" s="3" t="inlineStr"/>
      <c r="D1859" s="3" t="inlineStr"/>
      <c r="E1859" t="inlineStr">
        <is>
          <t>Wave</t>
        </is>
      </c>
      <c r="F1859" t="inlineStr"/>
      <c r="G1859" t="inlineStr">
        <is>
          <t>used</t>
        </is>
      </c>
      <c r="H1859" s="4" t="n">
        <v>109</v>
      </c>
      <c r="I1859" t="inlineStr"/>
      <c r="J1859" t="inlineStr">
        <is>
          <t>90762 Bayern - Fürth</t>
        </is>
      </c>
      <c r="K1859" s="5" t="n">
        <v>45530</v>
      </c>
      <c r="L1859" t="inlineStr">
        <is>
          <t>Sold</t>
        </is>
      </c>
      <c r="M1859" s="6">
        <f>HYPERLINK("https://www.kleinanzeigen.de/s-anzeige/simmer-wave-segel-windsurfen-4-5m-/2846878685-230-6807", "Link")</f>
        <v/>
      </c>
      <c r="N1859" s="6">
        <f>HYPERLINK("C:\Projects\Kleinanzeigen-Scraper\offer_images\2846878685", "Link")</f>
        <v/>
      </c>
      <c r="O1859" t="inlineStr">
        <is>
          <t>Erwin Wahlen</t>
        </is>
      </c>
      <c r="P1859" s="6">
        <f>HYPERLINK("https://www.kleinanzeigen.de/s-bestandsliste.html?userId=26392836", "Link")</f>
        <v/>
      </c>
      <c r="Q1859" s="7" t="n">
        <v>45536.96803240741</v>
      </c>
      <c r="R1859" s="3" t="inlineStr">
        <is>
          <t>154.52</t>
        </is>
      </c>
      <c r="S1859" t="inlineStr">
        <is>
          <t>München</t>
        </is>
      </c>
    </row>
    <row r="1860">
      <c r="A1860" s="2" t="n">
        <v>5.3</v>
      </c>
      <c r="B1860" t="inlineStr">
        <is>
          <t>Simmer Style Blacktip</t>
        </is>
      </c>
      <c r="C1860" s="3" t="n">
        <v>420</v>
      </c>
      <c r="D1860" s="3" t="n">
        <v>171</v>
      </c>
      <c r="E1860" t="inlineStr">
        <is>
          <t>Wave</t>
        </is>
      </c>
      <c r="F1860" t="inlineStr"/>
      <c r="G1860" t="inlineStr">
        <is>
          <t>used</t>
        </is>
      </c>
      <c r="H1860" s="4" t="n">
        <v>260</v>
      </c>
      <c r="I1860" t="inlineStr"/>
      <c r="J1860" t="inlineStr">
        <is>
          <t>31515 Niedersachsen - Wunstorf</t>
        </is>
      </c>
      <c r="K1860" s="5" t="n">
        <v>45536</v>
      </c>
      <c r="L1860" t="inlineStr"/>
      <c r="M1860" s="6">
        <f>HYPERLINK("https://www.kleinanzeigen.de/s-anzeige/simmer-style-blacktip-windsurf-segel-5-3-m-wave-four-batten/2852150910-230-2930", "Link")</f>
        <v/>
      </c>
      <c r="N1860" s="6">
        <f>HYPERLINK("C:\Projects\Kleinanzeigen-Scraper\offer_images\2852150910", "Link")</f>
        <v/>
      </c>
      <c r="O1860" t="inlineStr">
        <is>
          <t>Björn</t>
        </is>
      </c>
      <c r="P1860" s="6">
        <f>HYPERLINK("https://www.kleinanzeigen.de/s-bestandsliste.html?userId=47648804", "Link")</f>
        <v/>
      </c>
      <c r="Q1860" s="7" t="n">
        <v>45536.96802083333</v>
      </c>
      <c r="R1860" s="3" t="inlineStr">
        <is>
          <t>236.47</t>
        </is>
      </c>
      <c r="S1860" t="inlineStr">
        <is>
          <t>Köln</t>
        </is>
      </c>
    </row>
    <row r="1861">
      <c r="A1861" s="2" t="n">
        <v>4.5</v>
      </c>
      <c r="B1861" t="inlineStr">
        <is>
          <t>North Sails ART WAVE PRO</t>
        </is>
      </c>
      <c r="C1861" s="3" t="n">
        <v>430</v>
      </c>
      <c r="D1861" s="3" t="n">
        <v>154</v>
      </c>
      <c r="E1861" t="inlineStr"/>
      <c r="F1861" t="inlineStr"/>
      <c r="G1861" t="inlineStr">
        <is>
          <t>used</t>
        </is>
      </c>
      <c r="H1861" s="4" t="n">
        <v>50</v>
      </c>
      <c r="I1861" t="inlineStr">
        <is>
          <t>VB</t>
        </is>
      </c>
      <c r="J1861" t="inlineStr">
        <is>
          <t>63500 Hessen - Seligenstadt</t>
        </is>
      </c>
      <c r="K1861" s="5" t="n">
        <v>45528</v>
      </c>
      <c r="L1861" t="inlineStr">
        <is>
          <t>Sold</t>
        </is>
      </c>
      <c r="M1861" s="6">
        <f>HYPERLINK("https://www.kleinanzeigen.de/s-anzeige/north-sails-windsurf-segel-art-wave-pro-4-5/2845378094-230-4823", "Link")</f>
        <v/>
      </c>
      <c r="N1861" s="6">
        <f>HYPERLINK("C:\Projects\Kleinanzeigen-Scraper\offer_images\2845378094", "Link")</f>
        <v/>
      </c>
      <c r="O1861" t="inlineStr">
        <is>
          <t>F. Heller</t>
        </is>
      </c>
      <c r="P1861" s="6">
        <f>HYPERLINK("https://www.kleinanzeigen.de/s-bestandsliste.html?userId=10658753", "Link")</f>
        <v/>
      </c>
      <c r="Q1861" s="7" t="n">
        <v>45536.96799768518</v>
      </c>
      <c r="R1861" s="3" t="inlineStr">
        <is>
          <t>121.05</t>
        </is>
      </c>
      <c r="S1861" t="inlineStr">
        <is>
          <t>Karlsruhe</t>
        </is>
      </c>
    </row>
    <row r="1862">
      <c r="A1862" s="2" t="n">
        <v>5.6</v>
      </c>
      <c r="B1862" t="inlineStr">
        <is>
          <t>North Sails INFINITY</t>
        </is>
      </c>
      <c r="C1862" s="3" t="n">
        <v>4.55</v>
      </c>
      <c r="D1862" s="3" t="n">
        <v>1.8</v>
      </c>
      <c r="E1862" t="inlineStr"/>
      <c r="F1862" t="inlineStr"/>
      <c r="G1862" t="inlineStr">
        <is>
          <t>used</t>
        </is>
      </c>
      <c r="H1862" s="4" t="n">
        <v>50</v>
      </c>
      <c r="I1862" t="inlineStr">
        <is>
          <t>VB</t>
        </is>
      </c>
      <c r="J1862" t="inlineStr">
        <is>
          <t>63500 Hessen - Seligenstadt</t>
        </is>
      </c>
      <c r="K1862" s="5" t="n">
        <v>45528</v>
      </c>
      <c r="L1862" t="inlineStr">
        <is>
          <t>Sold</t>
        </is>
      </c>
      <c r="M1862" s="6">
        <f>HYPERLINK("https://www.kleinanzeigen.de/s-anzeige/windsurf-segel-north-sails-infinity-5-6-david-ezzy-design/2845392017-230-4823", "Link")</f>
        <v/>
      </c>
      <c r="N1862" s="6">
        <f>HYPERLINK("C:\Projects\Kleinanzeigen-Scraper\offer_images\2845392017", "Link")</f>
        <v/>
      </c>
      <c r="O1862" t="inlineStr">
        <is>
          <t>F. Heller</t>
        </is>
      </c>
      <c r="P1862" s="6">
        <f>HYPERLINK("https://www.kleinanzeigen.de/s-bestandsliste.html?userId=10658753", "Link")</f>
        <v/>
      </c>
      <c r="Q1862" s="7" t="n">
        <v>45536.96793981481</v>
      </c>
      <c r="R1862" s="3" t="inlineStr">
        <is>
          <t>121.05</t>
        </is>
      </c>
      <c r="S1862" t="inlineStr">
        <is>
          <t>Karlsruhe</t>
        </is>
      </c>
    </row>
    <row r="1863">
      <c r="A1863" s="2" t="n">
        <v>6.4</v>
      </c>
      <c r="B1863" t="inlineStr">
        <is>
          <t>5-Oceans Freewave</t>
        </is>
      </c>
      <c r="C1863" s="3" t="n">
        <v>460</v>
      </c>
      <c r="D1863" s="3" t="inlineStr">
        <is>
          <t>186-190</t>
        </is>
      </c>
      <c r="E1863" t="inlineStr">
        <is>
          <t>Wave, Freewave</t>
        </is>
      </c>
      <c r="F1863" t="inlineStr"/>
      <c r="G1863" t="inlineStr">
        <is>
          <t>new</t>
        </is>
      </c>
      <c r="H1863" s="4" t="n">
        <v>599</v>
      </c>
      <c r="I1863" t="inlineStr"/>
      <c r="J1863" t="inlineStr">
        <is>
          <t>28205 Bremen</t>
        </is>
      </c>
      <c r="K1863" s="5" t="n">
        <v>45532</v>
      </c>
      <c r="L1863" t="inlineStr">
        <is>
          <t>Sold</t>
        </is>
      </c>
      <c r="M1863" s="6">
        <f>HYPERLINK("https://www.dailydose.de/kleinanzeigen/detail.htm?ai=421632&amp;cf=kk&amp;pg=4&amp;ci=5", "Link")</f>
        <v/>
      </c>
      <c r="N1863" s="6">
        <f>HYPERLINK("C:\Projects\Kleinanzeigen-Scraper\offer_images\421632", "Link")</f>
        <v/>
      </c>
      <c r="O1863" t="inlineStr">
        <is>
          <t>tim-bremen</t>
        </is>
      </c>
      <c r="P1863" s="6">
        <f>HYPERLINK("https://www.dailydose.de/kleinanzeigen/user/23540", "Link")</f>
        <v/>
      </c>
      <c r="Q1863" s="7" t="n">
        <v>45536.91452546296</v>
      </c>
      <c r="R1863" s="3" t="inlineStr">
        <is>
          <t>269.99</t>
        </is>
      </c>
      <c r="S1863" t="inlineStr">
        <is>
          <t>Köln</t>
        </is>
      </c>
    </row>
    <row r="1864">
      <c r="A1864" s="2" t="n">
        <v>4.4</v>
      </c>
      <c r="B1864" t="inlineStr">
        <is>
          <t>Sailloft Air</t>
        </is>
      </c>
      <c r="C1864" s="3" t="inlineStr"/>
      <c r="D1864" s="3" t="inlineStr"/>
      <c r="E1864" t="inlineStr"/>
      <c r="F1864" t="inlineStr">
        <is>
          <t>2022</t>
        </is>
      </c>
      <c r="G1864" t="inlineStr">
        <is>
          <t>repaired</t>
        </is>
      </c>
      <c r="H1864" s="4" t="n">
        <v>230</v>
      </c>
      <c r="I1864" t="inlineStr"/>
      <c r="J1864" t="inlineStr">
        <is>
          <t>21109 Hamburg, Kiel, NRW</t>
        </is>
      </c>
      <c r="K1864" s="5" t="n">
        <v>45533</v>
      </c>
      <c r="L1864" t="inlineStr">
        <is>
          <t>Sold</t>
        </is>
      </c>
      <c r="M1864" s="6">
        <f>HYPERLINK("https://www.dailydose.de/kleinanzeigen/detail.htm?ai=421733&amp;cf=kk&amp;pg=5&amp;ci=5", "Link")</f>
        <v/>
      </c>
      <c r="N1864" s="6">
        <f>HYPERLINK("C:\Projects\Kleinanzeigen-Scraper\offer_images\421733", "Link")</f>
        <v/>
      </c>
      <c r="O1864" t="inlineStr">
        <is>
          <t>Chules</t>
        </is>
      </c>
      <c r="P1864" s="6">
        <f>HYPERLINK("https://www.dailydose.de/kleinanzeigen/user/12782", "Link")</f>
        <v/>
      </c>
      <c r="Q1864" s="7" t="n">
        <v>45536.91452546296</v>
      </c>
      <c r="R1864" s="3" t="inlineStr">
        <is>
          <t>353.16</t>
        </is>
      </c>
      <c r="S1864" t="inlineStr">
        <is>
          <t>Köln</t>
        </is>
      </c>
    </row>
    <row r="1865">
      <c r="A1865" s="2" t="n">
        <v>4.9</v>
      </c>
      <c r="B1865" t="inlineStr">
        <is>
          <t>Neil Pryde RS Racing Evo</t>
        </is>
      </c>
      <c r="C1865" s="3" t="inlineStr"/>
      <c r="D1865" s="3" t="inlineStr"/>
      <c r="E1865" t="inlineStr"/>
      <c r="F1865" t="inlineStr">
        <is>
          <t>2024</t>
        </is>
      </c>
      <c r="G1865" t="inlineStr">
        <is>
          <t>new</t>
        </is>
      </c>
      <c r="H1865" s="4" t="n">
        <v>740</v>
      </c>
      <c r="I1865" t="inlineStr"/>
      <c r="J1865" t="inlineStr">
        <is>
          <t>88250 Weingarten</t>
        </is>
      </c>
      <c r="K1865" s="5" t="n">
        <v>45533</v>
      </c>
      <c r="L1865" t="inlineStr">
        <is>
          <t>Sold</t>
        </is>
      </c>
      <c r="M1865" s="6">
        <f>HYPERLINK("https://www.dailydose.de/kleinanzeigen/detail.htm?ai=421744&amp;cf=kk&amp;pg=5&amp;ci=5", "Link")</f>
        <v/>
      </c>
      <c r="N1865" s="6">
        <f>HYPERLINK("C:\Projects\Kleinanzeigen-Scraper\offer_images\421744", "Link")</f>
        <v/>
      </c>
      <c r="O1865" t="inlineStr">
        <is>
          <t>Markus_111</t>
        </is>
      </c>
      <c r="P1865" s="6">
        <f>HYPERLINK("https://www.dailydose.de/kleinanzeigen/user/25219", "Link")</f>
        <v/>
      </c>
      <c r="Q1865" s="7" t="n">
        <v>45536.91445601852</v>
      </c>
      <c r="R1865" s="3" t="inlineStr">
        <is>
          <t>97.39</t>
        </is>
      </c>
      <c r="S1865" t="inlineStr">
        <is>
          <t>Bonndorf</t>
        </is>
      </c>
    </row>
    <row r="1866">
      <c r="A1866" s="2" t="n">
        <v>4.4</v>
      </c>
      <c r="B1866" t="inlineStr">
        <is>
          <t>Sailloft Air</t>
        </is>
      </c>
      <c r="C1866" s="3" t="inlineStr"/>
      <c r="D1866" s="3" t="inlineStr"/>
      <c r="E1866" t="inlineStr"/>
      <c r="F1866" t="inlineStr"/>
      <c r="G1866" t="inlineStr">
        <is>
          <t>used</t>
        </is>
      </c>
      <c r="H1866" s="4" t="n">
        <v>199</v>
      </c>
      <c r="I1866" t="inlineStr"/>
      <c r="J1866" t="inlineStr">
        <is>
          <t>23769 oder 28357 Fehmarn oder Bremen</t>
        </is>
      </c>
      <c r="K1866" s="5" t="n">
        <v>45534</v>
      </c>
      <c r="L1866" t="inlineStr">
        <is>
          <t>Sold</t>
        </is>
      </c>
      <c r="M1866" s="6">
        <f>HYPERLINK("https://www.dailydose.de/kleinanzeigen/detail.htm?ai=421800&amp;cf=kk&amp;pg=5&amp;ci=5", "Link")</f>
        <v/>
      </c>
      <c r="N1866" s="6">
        <f>HYPERLINK("C:\Projects\Kleinanzeigen-Scraper\offer_images\421800", "Link")</f>
        <v/>
      </c>
      <c r="O1866" t="inlineStr">
        <is>
          <t>Gold</t>
        </is>
      </c>
      <c r="P1866" s="6">
        <f>HYPERLINK("https://www.dailydose.de/kleinanzeigen/user/10200", "Link")</f>
        <v/>
      </c>
      <c r="Q1866" s="7" t="n">
        <v>45536.91438657408</v>
      </c>
      <c r="R1866" s="3" t="inlineStr">
        <is>
          <t>483.01</t>
        </is>
      </c>
      <c r="S1866" t="inlineStr">
        <is>
          <t>Köln</t>
        </is>
      </c>
    </row>
    <row r="1867">
      <c r="A1867" s="2" t="n">
        <v>4.5</v>
      </c>
      <c r="B1867" t="inlineStr">
        <is>
          <t>Gaastra POISON</t>
        </is>
      </c>
      <c r="C1867" s="3" t="n">
        <v>402</v>
      </c>
      <c r="D1867" s="3" t="n">
        <v>161</v>
      </c>
      <c r="E1867" t="inlineStr"/>
      <c r="F1867" t="inlineStr"/>
      <c r="G1867" t="inlineStr">
        <is>
          <t>used, very good condition</t>
        </is>
      </c>
      <c r="H1867" s="4" t="n">
        <v>160</v>
      </c>
      <c r="I1867" t="inlineStr">
        <is>
          <t>VB</t>
        </is>
      </c>
      <c r="J1867" t="inlineStr">
        <is>
          <t>23909 Ratzeburg</t>
        </is>
      </c>
      <c r="K1867" s="5" t="n">
        <v>45534</v>
      </c>
      <c r="L1867" t="inlineStr">
        <is>
          <t>Sold</t>
        </is>
      </c>
      <c r="M1867" s="6">
        <f>HYPERLINK("https://www.dailydose.de/kleinanzeigen/detail.htm?ai=421806&amp;cf=kk&amp;pg=4&amp;ci=5", "Link")</f>
        <v/>
      </c>
      <c r="N1867" s="6">
        <f>HYPERLINK("C:\Projects\Kleinanzeigen-Scraper\offer_images\421806", "Link")</f>
        <v/>
      </c>
      <c r="O1867" t="inlineStr">
        <is>
          <t>Insider</t>
        </is>
      </c>
      <c r="P1867" s="6">
        <f>HYPERLINK("https://www.dailydose.de/kleinanzeigen/user/20603", "Link")</f>
        <v/>
      </c>
      <c r="Q1867" s="7" t="n">
        <v>45536.91438657408</v>
      </c>
      <c r="R1867" s="3" t="inlineStr">
        <is>
          <t>401.75</t>
        </is>
      </c>
      <c r="S1867" t="inlineStr">
        <is>
          <t>Köln</t>
        </is>
      </c>
    </row>
    <row r="1868">
      <c r="A1868" s="2" t="n">
        <v>7.1</v>
      </c>
      <c r="B1868" t="inlineStr">
        <is>
          <t>Gun Sails GSR</t>
        </is>
      </c>
      <c r="C1868" s="3" t="inlineStr"/>
      <c r="D1868" s="3" t="inlineStr"/>
      <c r="E1868" t="inlineStr"/>
      <c r="F1868" t="inlineStr">
        <is>
          <t>2014</t>
        </is>
      </c>
      <c r="G1868" t="inlineStr">
        <is>
          <t>used</t>
        </is>
      </c>
      <c r="H1868" s="4" t="n">
        <v>180</v>
      </c>
      <c r="I1868" t="inlineStr"/>
      <c r="J1868" t="inlineStr">
        <is>
          <t>38527 Meine</t>
        </is>
      </c>
      <c r="K1868" s="5" t="n">
        <v>45530</v>
      </c>
      <c r="L1868" t="inlineStr">
        <is>
          <t>Sold</t>
        </is>
      </c>
      <c r="M1868" s="6">
        <f>HYPERLINK("https://www.dailydose.de/kleinanzeigen/detail.htm?ai=421493&amp;cf=kk&amp;pg=5&amp;ci=5", "Link")</f>
        <v/>
      </c>
      <c r="N1868" s="6">
        <f>HYPERLINK("C:\Projects\Kleinanzeigen-Scraper\offer_images\421493", "Link")</f>
        <v/>
      </c>
      <c r="O1868" t="inlineStr">
        <is>
          <t>Christian_64</t>
        </is>
      </c>
      <c r="P1868" s="6">
        <f>HYPERLINK("https://www.dailydose.de/kleinanzeigen/user/5852", "Link")</f>
        <v/>
      </c>
      <c r="Q1868" s="7" t="n">
        <v>45536.91438657408</v>
      </c>
      <c r="R1868" s="3" t="inlineStr">
        <is>
          <t>296.33</t>
        </is>
      </c>
      <c r="S1868" t="inlineStr">
        <is>
          <t>Köln</t>
        </is>
      </c>
    </row>
    <row r="1869">
      <c r="A1869" s="2" t="n">
        <v>9</v>
      </c>
      <c r="B1869" t="inlineStr">
        <is>
          <t>Neil Pryde RS-Racing Evo XIII</t>
        </is>
      </c>
      <c r="C1869" s="3" t="n">
        <v>520</v>
      </c>
      <c r="D1869" s="3" t="inlineStr">
        <is>
          <t>215-222</t>
        </is>
      </c>
      <c r="E1869" t="inlineStr"/>
      <c r="F1869" t="inlineStr">
        <is>
          <t>2022</t>
        </is>
      </c>
      <c r="G1869" t="inlineStr">
        <is>
          <t>used</t>
        </is>
      </c>
      <c r="H1869" s="4" t="n">
        <v>550</v>
      </c>
      <c r="I1869" t="inlineStr"/>
      <c r="J1869" t="inlineStr">
        <is>
          <t>86647 Buttenwiesen</t>
        </is>
      </c>
      <c r="K1869" s="5" t="n">
        <v>45531</v>
      </c>
      <c r="L1869" t="inlineStr">
        <is>
          <t>Sold</t>
        </is>
      </c>
      <c r="M1869" s="6">
        <f>HYPERLINK("https://www.dailydose.de/kleinanzeigen/detail.htm?ai=421615&amp;cf=kk&amp;pg=5&amp;ci=5", "Link")</f>
        <v/>
      </c>
      <c r="N1869" s="6">
        <f>HYPERLINK("C:\Projects\Kleinanzeigen-Scraper\offer_images\421615", "Link")</f>
        <v/>
      </c>
      <c r="O1869" t="inlineStr">
        <is>
          <t>Berni_157</t>
        </is>
      </c>
      <c r="P1869" s="6">
        <f>HYPERLINK("https://www.dailydose.de/kleinanzeigen/user/20813", "Link")</f>
        <v/>
      </c>
      <c r="Q1869" s="7" t="n">
        <v>45536.91438657408</v>
      </c>
      <c r="R1869" s="3" t="inlineStr">
        <is>
          <t>81.65</t>
        </is>
      </c>
      <c r="S1869" t="inlineStr">
        <is>
          <t>München</t>
        </is>
      </c>
    </row>
    <row r="1870">
      <c r="A1870" s="2" t="n">
        <v>6.5</v>
      </c>
      <c r="B1870" t="inlineStr">
        <is>
          <t>Neil Pryde EVOXV15</t>
        </is>
      </c>
      <c r="C1870" s="3" t="inlineStr"/>
      <c r="D1870" s="3" t="inlineStr"/>
      <c r="E1870" t="inlineStr"/>
      <c r="F1870" t="inlineStr">
        <is>
          <t>2024</t>
        </is>
      </c>
      <c r="G1870" t="inlineStr">
        <is>
          <t>new</t>
        </is>
      </c>
      <c r="H1870" s="4" t="n">
        <v>690</v>
      </c>
      <c r="I1870" t="inlineStr"/>
      <c r="J1870" t="inlineStr">
        <is>
          <t>82211 Herrsching a. Ammersee</t>
        </is>
      </c>
      <c r="K1870" s="5" t="n">
        <v>45529</v>
      </c>
      <c r="L1870" t="inlineStr">
        <is>
          <t>Sold</t>
        </is>
      </c>
      <c r="M1870" s="6">
        <f>HYPERLINK("https://www.dailydose.de/kleinanzeigen/detail.htm?ai=421431&amp;cf=kk&amp;pg=5&amp;ci=5", "Link")</f>
        <v/>
      </c>
      <c r="N1870" s="6">
        <f>HYPERLINK("C:\Projects\Kleinanzeigen-Scraper\offer_images\421431", "Link")</f>
        <v/>
      </c>
      <c r="O1870" t="inlineStr">
        <is>
          <t>Andy Laufer_62</t>
        </is>
      </c>
      <c r="P1870" s="6">
        <f>HYPERLINK("https://www.dailydose.de/kleinanzeigen/user/3717", "Link")</f>
        <v/>
      </c>
      <c r="Q1870" s="7" t="n">
        <v>45536.91436342592</v>
      </c>
      <c r="R1870" s="3" t="inlineStr">
        <is>
          <t>32.73</t>
        </is>
      </c>
      <c r="S1870" t="inlineStr">
        <is>
          <t>München</t>
        </is>
      </c>
    </row>
    <row r="1871">
      <c r="A1871" s="2" t="n">
        <v>3.7</v>
      </c>
      <c r="B1871" t="inlineStr">
        <is>
          <t>Point Seven Sado</t>
        </is>
      </c>
      <c r="C1871" s="3" t="inlineStr"/>
      <c r="D1871" s="3" t="inlineStr"/>
      <c r="E1871" t="inlineStr"/>
      <c r="F1871" t="inlineStr"/>
      <c r="G1871" t="inlineStr">
        <is>
          <t>used</t>
        </is>
      </c>
      <c r="H1871" s="4" t="n">
        <v>150</v>
      </c>
      <c r="I1871" t="inlineStr"/>
      <c r="J1871" t="inlineStr">
        <is>
          <t>93309 Kelheim</t>
        </is>
      </c>
      <c r="K1871" s="5" t="n">
        <v>45536</v>
      </c>
      <c r="L1871" t="inlineStr">
        <is>
          <t>Sold</t>
        </is>
      </c>
      <c r="M1871" s="6">
        <f>HYPERLINK("https://www.dailydose.de/kleinanzeigen/detail.htm?ai=421919&amp;cf=kk&amp;pg=5&amp;ci=5", "Link")</f>
        <v/>
      </c>
      <c r="N1871" s="6">
        <f>HYPERLINK("C:\Projects\Kleinanzeigen-Scraper\offer_images\421919", "Link")</f>
        <v/>
      </c>
      <c r="O1871" t="inlineStr">
        <is>
          <t>Rosl81</t>
        </is>
      </c>
      <c r="P1871" s="6">
        <f>HYPERLINK("https://www.dailydose.de/kleinanzeigen/user/16719", "Link")</f>
        <v/>
      </c>
      <c r="Q1871" s="7" t="n">
        <v>45536.91422453704</v>
      </c>
      <c r="R1871" s="3" t="inlineStr">
        <is>
          <t>88.18</t>
        </is>
      </c>
      <c r="S1871" t="inlineStr">
        <is>
          <t>München</t>
        </is>
      </c>
    </row>
    <row r="1872">
      <c r="A1872" s="2" t="n">
        <v>5.8</v>
      </c>
      <c r="B1872" t="inlineStr">
        <is>
          <t>Duotone WARP</t>
        </is>
      </c>
      <c r="C1872" s="3" t="inlineStr"/>
      <c r="D1872" s="3" t="inlineStr"/>
      <c r="E1872" t="inlineStr"/>
      <c r="F1872" t="inlineStr">
        <is>
          <t>2022</t>
        </is>
      </c>
      <c r="G1872" t="inlineStr"/>
      <c r="H1872" s="4" t="n">
        <v>330</v>
      </c>
      <c r="I1872" t="inlineStr"/>
      <c r="J1872" t="inlineStr">
        <is>
          <t>87616 Marktoberdorf</t>
        </is>
      </c>
      <c r="K1872" s="5" t="n">
        <v>45531</v>
      </c>
      <c r="L1872" t="inlineStr">
        <is>
          <t>Sold</t>
        </is>
      </c>
      <c r="M1872" s="6">
        <f>HYPERLINK("https://www.dailydose.de/kleinanzeigen/detail.htm?ai=421569&amp;cf=kk&amp;pg=5&amp;ci=5", "Link")</f>
        <v/>
      </c>
      <c r="N1872" s="6">
        <f>HYPERLINK("C:\Projects\Kleinanzeigen-Scraper\offer_images\421569", "Link")</f>
        <v/>
      </c>
      <c r="O1872" t="inlineStr">
        <is>
          <t>Achim_189</t>
        </is>
      </c>
      <c r="P1872" s="6">
        <f>HYPERLINK("https://www.dailydose.de/kleinanzeigen/user/19262", "Link")</f>
        <v/>
      </c>
      <c r="Q1872" s="7" t="n">
        <v>45536.91418981482</v>
      </c>
      <c r="R1872" s="3" t="inlineStr">
        <is>
          <t>83.30</t>
        </is>
      </c>
      <c r="S1872" t="inlineStr">
        <is>
          <t>München</t>
        </is>
      </c>
    </row>
    <row r="1873">
      <c r="A1873" s="2" t="n">
        <v>6.2</v>
      </c>
      <c r="B1873" t="inlineStr">
        <is>
          <t>North Sails WARP</t>
        </is>
      </c>
      <c r="C1873" s="3" t="n">
        <v>425</v>
      </c>
      <c r="D1873" s="3" t="inlineStr">
        <is>
          <t>199-219</t>
        </is>
      </c>
      <c r="E1873" t="inlineStr"/>
      <c r="F1873" t="inlineStr">
        <is>
          <t>2018</t>
        </is>
      </c>
      <c r="G1873" t="inlineStr"/>
      <c r="H1873" s="4" t="n">
        <v>320</v>
      </c>
      <c r="I1873" t="inlineStr"/>
      <c r="J1873" t="inlineStr">
        <is>
          <t>87616 Marktoberdorf</t>
        </is>
      </c>
      <c r="K1873" s="5" t="n">
        <v>45531</v>
      </c>
      <c r="L1873" t="inlineStr">
        <is>
          <t>Sold</t>
        </is>
      </c>
      <c r="M1873" s="6">
        <f>HYPERLINK("https://www.dailydose.de/kleinanzeigen/detail.htm?ai=421570&amp;cf=kk&amp;pg=5&amp;ci=5", "Link")</f>
        <v/>
      </c>
      <c r="N1873" s="6">
        <f>HYPERLINK("C:\Projects\Kleinanzeigen-Scraper\offer_images\421570", "Link")</f>
        <v/>
      </c>
      <c r="O1873" t="inlineStr">
        <is>
          <t>Achim_189</t>
        </is>
      </c>
      <c r="P1873" s="6">
        <f>HYPERLINK("https://www.dailydose.de/kleinanzeigen/user/19262", "Link")</f>
        <v/>
      </c>
      <c r="Q1873" s="7" t="n">
        <v>45536.91418981482</v>
      </c>
      <c r="R1873" s="3" t="inlineStr">
        <is>
          <t>83.30</t>
        </is>
      </c>
      <c r="S1873" t="inlineStr">
        <is>
          <t>München</t>
        </is>
      </c>
    </row>
    <row r="1874">
      <c r="A1874" s="2" t="n">
        <v>7.3</v>
      </c>
      <c r="B1874" t="inlineStr">
        <is>
          <t>LoftSails Oxygen</t>
        </is>
      </c>
      <c r="C1874" s="3" t="n">
        <v>4.72</v>
      </c>
      <c r="D1874" s="3" t="n">
        <v>214</v>
      </c>
      <c r="E1874" t="inlineStr"/>
      <c r="F1874" t="inlineStr">
        <is>
          <t>2019</t>
        </is>
      </c>
      <c r="G1874" t="inlineStr">
        <is>
          <t>used</t>
        </is>
      </c>
      <c r="H1874" s="4" t="n">
        <v>280</v>
      </c>
      <c r="I1874" t="inlineStr"/>
      <c r="J1874" t="inlineStr">
        <is>
          <t>83404 Ainring</t>
        </is>
      </c>
      <c r="K1874" s="5" t="n">
        <v>45530</v>
      </c>
      <c r="L1874" t="inlineStr">
        <is>
          <t>Sold</t>
        </is>
      </c>
      <c r="M1874" s="6">
        <f>HYPERLINK("https://www.dailydose.de/kleinanzeigen/detail.htm?ai=421476&amp;cf=kk&amp;pg=5&amp;ci=5", "Link")</f>
        <v/>
      </c>
      <c r="N1874" s="6">
        <f>HYPERLINK("C:\Projects\Kleinanzeigen-Scraper\offer_images\421476", "Link")</f>
        <v/>
      </c>
      <c r="O1874" t="inlineStr">
        <is>
          <t>Klaus_37</t>
        </is>
      </c>
      <c r="P1874" s="6">
        <f>HYPERLINK("https://www.dailydose.de/kleinanzeigen/user/4023", "Link")</f>
        <v/>
      </c>
      <c r="Q1874" s="7" t="n">
        <v>45536.91409722222</v>
      </c>
      <c r="R1874" s="3" t="inlineStr">
        <is>
          <t>107.52</t>
        </is>
      </c>
      <c r="S1874" t="inlineStr">
        <is>
          <t>München</t>
        </is>
      </c>
    </row>
    <row r="1875">
      <c r="A1875" s="2" t="n">
        <v>8.199999999999999</v>
      </c>
      <c r="B1875" t="inlineStr">
        <is>
          <t>NP H2 Racing</t>
        </is>
      </c>
      <c r="C1875" s="3" t="n">
        <v>460</v>
      </c>
      <c r="D1875" s="3" t="inlineStr"/>
      <c r="E1875" t="inlineStr"/>
      <c r="F1875" t="inlineStr"/>
      <c r="G1875" t="inlineStr">
        <is>
          <t>used</t>
        </is>
      </c>
      <c r="H1875" s="4" t="n">
        <v>249</v>
      </c>
      <c r="I1875" t="inlineStr"/>
      <c r="J1875" t="inlineStr">
        <is>
          <t>23769 Fehmarn</t>
        </is>
      </c>
      <c r="K1875" s="5" t="n">
        <v>45536</v>
      </c>
      <c r="L1875" t="inlineStr">
        <is>
          <t>Sold</t>
        </is>
      </c>
      <c r="M1875" s="6">
        <f>HYPERLINK("https://www.dailydose.de/kleinanzeigen/detail.htm?ai=421872&amp;cf=kk&amp;pg=5&amp;ci=5", "Link")</f>
        <v/>
      </c>
      <c r="N1875" s="6">
        <f>HYPERLINK("C:\Projects\Kleinanzeigen-Scraper\offer_images\421872", "Link")</f>
        <v/>
      </c>
      <c r="O1875" t="inlineStr">
        <is>
          <t>KatjaTornow</t>
        </is>
      </c>
      <c r="P1875" s="6">
        <f>HYPERLINK("https://www.dailydose.de/kleinanzeigen/user/26340", "Link")</f>
        <v/>
      </c>
      <c r="Q1875" s="7" t="n">
        <v>45536.9140625</v>
      </c>
      <c r="R1875" s="3" t="inlineStr">
        <is>
          <t>483.01</t>
        </is>
      </c>
      <c r="S1875" t="inlineStr">
        <is>
          <t>Köln</t>
        </is>
      </c>
    </row>
    <row r="1876">
      <c r="A1876" s="2" t="n">
        <v>7.8</v>
      </c>
      <c r="B1876" t="inlineStr">
        <is>
          <t>Severne Mach 5</t>
        </is>
      </c>
      <c r="C1876" s="3" t="n">
        <v>460</v>
      </c>
      <c r="D1876" s="3" t="n">
        <v>210</v>
      </c>
      <c r="E1876" t="inlineStr">
        <is>
          <t>Race</t>
        </is>
      </c>
      <c r="F1876" t="inlineStr"/>
      <c r="G1876" t="inlineStr">
        <is>
          <t>used</t>
        </is>
      </c>
      <c r="H1876" s="4" t="n">
        <v>425</v>
      </c>
      <c r="I1876" t="inlineStr"/>
      <c r="J1876" t="inlineStr">
        <is>
          <t>01458 Ottendorf-Okrilla</t>
        </is>
      </c>
      <c r="K1876" s="5" t="n">
        <v>45528</v>
      </c>
      <c r="L1876" t="inlineStr">
        <is>
          <t>Sold</t>
        </is>
      </c>
      <c r="M1876" s="6">
        <f>HYPERLINK("https://www.dailydose.de/kleinanzeigen/detail.htm?ai=421361&amp;cf=kk&amp;pg=5&amp;ci=5", "Link")</f>
        <v/>
      </c>
      <c r="N1876" s="6">
        <f>HYPERLINK("C:\Projects\Kleinanzeigen-Scraper\offer_images\421361", "Link")</f>
        <v/>
      </c>
      <c r="O1876" t="inlineStr">
        <is>
          <t>SAX101</t>
        </is>
      </c>
      <c r="P1876" s="6">
        <f>HYPERLINK("https://www.dailydose.de/kleinanzeigen/user/11256", "Link")</f>
        <v/>
      </c>
      <c r="Q1876" s="7" t="n">
        <v>45536.91402777778</v>
      </c>
      <c r="R1876" s="3" t="inlineStr">
        <is>
          <t>374.73</t>
        </is>
      </c>
      <c r="S1876" t="inlineStr">
        <is>
          <t>München</t>
        </is>
      </c>
    </row>
    <row r="1877">
      <c r="A1877" s="2" t="n">
        <v>4</v>
      </c>
      <c r="B1877" t="inlineStr">
        <is>
          <t>RRD Wave Vogue BLKRBN</t>
        </is>
      </c>
      <c r="C1877" s="3" t="n">
        <v>340</v>
      </c>
      <c r="D1877" s="3" t="inlineStr">
        <is>
          <t>152-156</t>
        </is>
      </c>
      <c r="E1877" t="inlineStr"/>
      <c r="F1877" t="inlineStr">
        <is>
          <t>2024</t>
        </is>
      </c>
      <c r="G1877" t="inlineStr">
        <is>
          <t>used</t>
        </is>
      </c>
      <c r="H1877" s="4" t="n">
        <v>450</v>
      </c>
      <c r="I1877" t="inlineStr">
        <is>
          <t>VB</t>
        </is>
      </c>
      <c r="J1877" t="inlineStr">
        <is>
          <t>22043 Hamburg</t>
        </is>
      </c>
      <c r="K1877" s="5" t="n">
        <v>45531</v>
      </c>
      <c r="L1877" t="inlineStr">
        <is>
          <t>Sold</t>
        </is>
      </c>
      <c r="M1877" s="6">
        <f>HYPERLINK("https://www.dailydose.de/kleinanzeigen/detail.htm?ai=421614&amp;cf=kk&amp;pg=5&amp;ci=5", "Link")</f>
        <v/>
      </c>
      <c r="N1877" s="6">
        <f>HYPERLINK("C:\Projects\Kleinanzeigen-Scraper\offer_images\421614", "Link")</f>
        <v/>
      </c>
      <c r="O1877" t="inlineStr">
        <is>
          <t>brettspiele</t>
        </is>
      </c>
      <c r="P1877" s="6">
        <f>HYPERLINK("https://www.dailydose.de/kleinanzeigen/user/17962", "Link")</f>
        <v/>
      </c>
      <c r="Q1877" s="7" t="n">
        <v>45536.91402777778</v>
      </c>
      <c r="R1877" s="3" t="inlineStr">
        <is>
          <t>362.40</t>
        </is>
      </c>
      <c r="S1877" t="inlineStr">
        <is>
          <t>Köln</t>
        </is>
      </c>
    </row>
    <row r="1878">
      <c r="A1878" s="2" t="n">
        <v>4</v>
      </c>
      <c r="B1878" t="inlineStr">
        <is>
          <t>Duotone Super Hero</t>
        </is>
      </c>
      <c r="C1878" s="3" t="inlineStr"/>
      <c r="D1878" s="3" t="inlineStr"/>
      <c r="E1878" t="inlineStr"/>
      <c r="F1878" t="inlineStr">
        <is>
          <t>2021</t>
        </is>
      </c>
      <c r="G1878" t="inlineStr">
        <is>
          <t>new</t>
        </is>
      </c>
      <c r="H1878" s="4" t="n">
        <v>290</v>
      </c>
      <c r="I1878" t="inlineStr">
        <is>
          <t>VB</t>
        </is>
      </c>
      <c r="J1878" t="inlineStr">
        <is>
          <t>18586 Rügen</t>
        </is>
      </c>
      <c r="K1878" s="5" t="n">
        <v>45535</v>
      </c>
      <c r="L1878" t="inlineStr">
        <is>
          <t>Sold</t>
        </is>
      </c>
      <c r="M1878" s="6">
        <f>HYPERLINK("https://www.dailydose.de/kleinanzeigen/detail.htm?ai=421833&amp;cf=kk&amp;pg=5&amp;ci=5", "Link")</f>
        <v/>
      </c>
      <c r="N1878" s="6">
        <f>HYPERLINK("C:\Projects\Kleinanzeigen-Scraper\offer_images\421833", "Link")</f>
        <v/>
      </c>
      <c r="O1878" t="inlineStr">
        <is>
          <t>Joe_Monty</t>
        </is>
      </c>
      <c r="P1878" s="6">
        <f>HYPERLINK("https://www.dailydose.de/kleinanzeigen/user/15677", "Link")</f>
        <v/>
      </c>
      <c r="Q1878" s="7" t="n">
        <v>45536.91400462963</v>
      </c>
      <c r="R1878" s="3" t="inlineStr">
        <is>
          <t>591.22</t>
        </is>
      </c>
      <c r="S1878" t="inlineStr">
        <is>
          <t>Köln</t>
        </is>
      </c>
    </row>
    <row r="1879">
      <c r="A1879" s="2" t="n">
        <v>5.4</v>
      </c>
      <c r="B1879" t="inlineStr">
        <is>
          <t>Duotone Duke</t>
        </is>
      </c>
      <c r="C1879" s="3" t="n">
        <v>430</v>
      </c>
      <c r="D1879" s="3" t="n">
        <v>170</v>
      </c>
      <c r="E1879" t="inlineStr"/>
      <c r="F1879" t="inlineStr">
        <is>
          <t>2024</t>
        </is>
      </c>
      <c r="G1879" t="inlineStr">
        <is>
          <t>new</t>
        </is>
      </c>
      <c r="H1879" s="4" t="n">
        <v>595</v>
      </c>
      <c r="I1879" t="inlineStr"/>
      <c r="J1879" t="inlineStr">
        <is>
          <t>26548 Ney, HB, HH, H</t>
        </is>
      </c>
      <c r="K1879" s="5" t="n">
        <v>45533</v>
      </c>
      <c r="L1879" t="inlineStr">
        <is>
          <t>Sold</t>
        </is>
      </c>
      <c r="M1879" s="6">
        <f>HYPERLINK("https://www.dailydose.de/kleinanzeigen/detail.htm?ai=421705&amp;cf=kk&amp;pg=5&amp;ci=5", "Link")</f>
        <v/>
      </c>
      <c r="N1879" s="6">
        <f>HYPERLINK("C:\Projects\Kleinanzeigen-Scraper\offer_images\421705", "Link")</f>
        <v/>
      </c>
      <c r="O1879" t="inlineStr">
        <is>
          <t>Flessi_161</t>
        </is>
      </c>
      <c r="P1879" s="6">
        <f>HYPERLINK("https://www.dailydose.de/kleinanzeigen/user/10920", "Link")</f>
        <v/>
      </c>
      <c r="Q1879" s="7" t="n">
        <v>45536.91396990741</v>
      </c>
      <c r="R1879" s="3" t="inlineStr">
        <is>
          <t>309.72</t>
        </is>
      </c>
      <c r="S1879" t="inlineStr">
        <is>
          <t>Köln</t>
        </is>
      </c>
    </row>
    <row r="1880">
      <c r="A1880" s="2" t="n">
        <v>4.4</v>
      </c>
      <c r="B1880" t="inlineStr">
        <is>
          <t>Neil Pryde CORE</t>
        </is>
      </c>
      <c r="C1880" s="3" t="inlineStr"/>
      <c r="D1880" s="3" t="inlineStr"/>
      <c r="E1880" t="inlineStr">
        <is>
          <t>Freestyle Wave</t>
        </is>
      </c>
      <c r="F1880" t="inlineStr"/>
      <c r="G1880" t="inlineStr"/>
      <c r="H1880" s="4" t="n">
        <v>66</v>
      </c>
      <c r="I1880" t="inlineStr">
        <is>
          <t>VB</t>
        </is>
      </c>
      <c r="J1880" t="inlineStr">
        <is>
          <t>23769 Fehmarn</t>
        </is>
      </c>
      <c r="K1880" s="5" t="n">
        <v>45528</v>
      </c>
      <c r="L1880" t="inlineStr">
        <is>
          <t>Sold</t>
        </is>
      </c>
      <c r="M1880" s="6">
        <f>HYPERLINK("https://www.dailydose.de/kleinanzeigen/detail.htm?ai=421333&amp;cf=kk&amp;pg=5&amp;ci=5", "Link")</f>
        <v/>
      </c>
      <c r="N1880" s="6">
        <f>HYPERLINK("C:\Projects\Kleinanzeigen-Scraper\offer_images\421333", "Link")</f>
        <v/>
      </c>
      <c r="O1880" t="inlineStr">
        <is>
          <t>Insider</t>
        </is>
      </c>
      <c r="P1880" s="6">
        <f>HYPERLINK("https://www.dailydose.de/kleinanzeigen/user/20603", "Link")</f>
        <v/>
      </c>
      <c r="Q1880" s="7" t="n">
        <v>45536.91396990741</v>
      </c>
      <c r="R1880" s="3" t="inlineStr">
        <is>
          <t>483.01</t>
        </is>
      </c>
      <c r="S1880" t="inlineStr">
        <is>
          <t>Köln</t>
        </is>
      </c>
    </row>
    <row r="1881">
      <c r="A1881" s="2" t="n">
        <v>5</v>
      </c>
      <c r="B1881" t="inlineStr">
        <is>
          <t>North Natural</t>
        </is>
      </c>
      <c r="C1881" s="3" t="inlineStr">
        <is>
          <t>Luff 468</t>
        </is>
      </c>
      <c r="D1881" s="3" t="n">
        <v>186</v>
      </c>
      <c r="E1881" t="inlineStr"/>
      <c r="F1881" t="inlineStr"/>
      <c r="G1881" t="inlineStr">
        <is>
          <t>used</t>
        </is>
      </c>
      <c r="H1881" s="4" t="n">
        <v>155</v>
      </c>
      <c r="I1881" t="inlineStr">
        <is>
          <t>VB</t>
        </is>
      </c>
      <c r="J1881" t="inlineStr">
        <is>
          <t>24975 Hürup</t>
        </is>
      </c>
      <c r="K1881" s="5" t="n">
        <v>45528</v>
      </c>
      <c r="L1881" t="inlineStr">
        <is>
          <t>Sold</t>
        </is>
      </c>
      <c r="M1881" s="6">
        <f>HYPERLINK("https://www.dailydose.de/kleinanzeigen/detail.htm?ai=421351&amp;cf=kk&amp;pg=5&amp;ci=5", "Link")</f>
        <v/>
      </c>
      <c r="N1881" s="6">
        <f>HYPERLINK("C:\Projects\Kleinanzeigen-Scraper\offer_images\421351", "Link")</f>
        <v/>
      </c>
      <c r="O1881" t="inlineStr">
        <is>
          <t>Cesare_266</t>
        </is>
      </c>
      <c r="P1881" s="6">
        <f>HYPERLINK("https://www.dailydose.de/kleinanzeigen/user/22800", "Link")</f>
        <v/>
      </c>
      <c r="Q1881" s="7" t="n">
        <v>45536.91390046296</v>
      </c>
      <c r="R1881" s="3" t="inlineStr">
        <is>
          <t>458.46</t>
        </is>
      </c>
      <c r="S1881" t="inlineStr">
        <is>
          <t>Köln</t>
        </is>
      </c>
    </row>
    <row r="1882">
      <c r="A1882" s="2" t="n">
        <v>3.7</v>
      </c>
      <c r="B1882" t="inlineStr">
        <is>
          <t>North Ice</t>
        </is>
      </c>
      <c r="C1882" s="3" t="n">
        <v>3.65</v>
      </c>
      <c r="D1882" s="3" t="n">
        <v>1.49</v>
      </c>
      <c r="E1882" t="inlineStr"/>
      <c r="F1882" t="inlineStr"/>
      <c r="G1882" t="inlineStr">
        <is>
          <t>used</t>
        </is>
      </c>
      <c r="H1882" s="4" t="n">
        <v>60</v>
      </c>
      <c r="I1882" t="inlineStr"/>
      <c r="J1882" t="inlineStr">
        <is>
          <t>28215 Bremen</t>
        </is>
      </c>
      <c r="K1882" s="5" t="n">
        <v>45535</v>
      </c>
      <c r="L1882" t="inlineStr">
        <is>
          <t>Sold</t>
        </is>
      </c>
      <c r="M1882" s="6">
        <f>HYPERLINK("https://www.dailydose.de/kleinanzeigen/detail.htm?ai=421859&amp;cf=kk&amp;pg=4&amp;ci=5", "Link")</f>
        <v/>
      </c>
      <c r="N1882" s="6">
        <f>HYPERLINK("C:\Projects\Kleinanzeigen-Scraper\offer_images\421859", "Link")</f>
        <v/>
      </c>
      <c r="O1882" t="inlineStr">
        <is>
          <t>maoch</t>
        </is>
      </c>
      <c r="P1882" s="6">
        <f>HYPERLINK("https://www.dailydose.de/kleinanzeigen/user/11575", "Link")</f>
        <v/>
      </c>
      <c r="Q1882" s="7" t="n">
        <v>45536.91390046296</v>
      </c>
      <c r="R1882" s="3" t="inlineStr">
        <is>
          <t>271.71</t>
        </is>
      </c>
      <c r="S1882" t="inlineStr">
        <is>
          <t>Köln</t>
        </is>
      </c>
    </row>
    <row r="1883">
      <c r="A1883" s="2" t="n">
        <v>6.7</v>
      </c>
      <c r="B1883" t="inlineStr">
        <is>
          <t>Neil Pryde Saber</t>
        </is>
      </c>
      <c r="C1883" s="3" t="inlineStr"/>
      <c r="D1883" s="3" t="inlineStr"/>
      <c r="E1883" t="inlineStr"/>
      <c r="F1883" t="inlineStr"/>
      <c r="G1883" t="inlineStr">
        <is>
          <t>used</t>
        </is>
      </c>
      <c r="H1883" s="4" t="inlineStr">
        <is>
          <t>FP: 50</t>
        </is>
      </c>
      <c r="I1883" t="inlineStr"/>
      <c r="J1883" t="inlineStr">
        <is>
          <t>80804 München</t>
        </is>
      </c>
      <c r="K1883" s="5" t="n">
        <v>45530</v>
      </c>
      <c r="L1883" t="inlineStr">
        <is>
          <t>Sold</t>
        </is>
      </c>
      <c r="M1883" s="6">
        <f>HYPERLINK("https://www.dailydose.de/kleinanzeigen/detail.htm?ai=421502&amp;cf=kk&amp;pg=5&amp;ci=5", "Link")</f>
        <v/>
      </c>
      <c r="N1883" s="6">
        <f>HYPERLINK("C:\Projects\Kleinanzeigen-Scraper\offer_images\421502", "Link")</f>
        <v/>
      </c>
      <c r="O1883" t="inlineStr">
        <is>
          <t>Walter Eberhart</t>
        </is>
      </c>
      <c r="P1883" s="6">
        <f>HYPERLINK("https://www.dailydose.de/kleinanzeigen/user/22550", "Link")</f>
        <v/>
      </c>
      <c r="Q1883" s="7" t="n">
        <v>45536.91386574074</v>
      </c>
      <c r="R1883" s="3" t="inlineStr">
        <is>
          <t>3.78</t>
        </is>
      </c>
      <c r="S1883" t="inlineStr">
        <is>
          <t>München</t>
        </is>
      </c>
    </row>
    <row r="1884">
      <c r="A1884" s="2" t="n">
        <v>4.5</v>
      </c>
      <c r="B1884" t="inlineStr">
        <is>
          <t>Goya Banzai Pro 11 World Cup Wave</t>
        </is>
      </c>
      <c r="C1884" s="3" t="inlineStr"/>
      <c r="D1884" s="3" t="inlineStr"/>
      <c r="E1884" t="inlineStr"/>
      <c r="F1884" t="inlineStr">
        <is>
          <t>2025</t>
        </is>
      </c>
      <c r="G1884" t="inlineStr">
        <is>
          <t>like new</t>
        </is>
      </c>
      <c r="H1884" s="4" t="n">
        <v>595</v>
      </c>
      <c r="I1884" t="inlineStr"/>
      <c r="J1884" t="inlineStr">
        <is>
          <t>49078 Osnabrück</t>
        </is>
      </c>
      <c r="K1884" s="5" t="n">
        <v>45534</v>
      </c>
      <c r="L1884" t="inlineStr">
        <is>
          <t>Sold</t>
        </is>
      </c>
      <c r="M1884" s="6">
        <f>HYPERLINK("https://www.dailydose.de/kleinanzeigen/detail.htm?ai=421757&amp;cf=kk&amp;pg=5&amp;ci=5", "Link")</f>
        <v/>
      </c>
      <c r="N1884" s="6">
        <f>HYPERLINK("C:\Projects\Kleinanzeigen-Scraper\offer_images\421757", "Link")</f>
        <v/>
      </c>
      <c r="O1884" t="inlineStr">
        <is>
          <t>lh_85</t>
        </is>
      </c>
      <c r="P1884" s="6">
        <f>HYPERLINK("https://www.dailydose.de/kleinanzeigen/user/14043", "Link")</f>
        <v/>
      </c>
      <c r="Q1884" s="7" t="n">
        <v>45536.91383101852</v>
      </c>
      <c r="R1884" s="3" t="inlineStr">
        <is>
          <t>163.24</t>
        </is>
      </c>
      <c r="S1884" t="inlineStr">
        <is>
          <t>Köln</t>
        </is>
      </c>
    </row>
    <row r="1885">
      <c r="A1885" s="2" t="n">
        <v>8.6</v>
      </c>
      <c r="B1885" t="inlineStr">
        <is>
          <t>Gun Sails GSR</t>
        </is>
      </c>
      <c r="C1885" s="3" t="inlineStr"/>
      <c r="D1885" s="3" t="inlineStr"/>
      <c r="E1885" t="inlineStr"/>
      <c r="F1885" t="inlineStr">
        <is>
          <t>2018</t>
        </is>
      </c>
      <c r="G1885" t="inlineStr">
        <is>
          <t>used</t>
        </is>
      </c>
      <c r="H1885" s="4" t="n">
        <v>250</v>
      </c>
      <c r="I1885" t="inlineStr"/>
      <c r="J1885" t="inlineStr">
        <is>
          <t>38527 Meine</t>
        </is>
      </c>
      <c r="K1885" s="5" t="n">
        <v>45530</v>
      </c>
      <c r="L1885" t="inlineStr">
        <is>
          <t>Sold</t>
        </is>
      </c>
      <c r="M1885" s="6">
        <f>HYPERLINK("https://www.dailydose.de/kleinanzeigen/detail.htm?ai=421490&amp;cf=kk&amp;pg=5&amp;ci=5", "Link")</f>
        <v/>
      </c>
      <c r="N1885" s="6">
        <f>HYPERLINK("C:\Projects\Kleinanzeigen-Scraper\offer_images\421490", "Link")</f>
        <v/>
      </c>
      <c r="O1885" t="inlineStr">
        <is>
          <t>Christian_64</t>
        </is>
      </c>
      <c r="P1885" s="6">
        <f>HYPERLINK("https://www.dailydose.de/kleinanzeigen/user/5852", "Link")</f>
        <v/>
      </c>
      <c r="Q1885" s="7" t="n">
        <v>45536.9137962963</v>
      </c>
      <c r="R1885" s="3" t="inlineStr">
        <is>
          <t>296.33</t>
        </is>
      </c>
      <c r="S1885" t="inlineStr">
        <is>
          <t>Köln</t>
        </is>
      </c>
    </row>
    <row r="1886">
      <c r="A1886" s="2" t="n">
        <v>3.6</v>
      </c>
      <c r="B1886" t="inlineStr">
        <is>
          <t>Severne S1</t>
        </is>
      </c>
      <c r="C1886" s="3" t="inlineStr"/>
      <c r="D1886" s="3" t="inlineStr"/>
      <c r="E1886" t="inlineStr"/>
      <c r="F1886" t="inlineStr">
        <is>
          <t>2022</t>
        </is>
      </c>
      <c r="G1886" t="inlineStr">
        <is>
          <t>used</t>
        </is>
      </c>
      <c r="H1886" s="4" t="n">
        <v>320</v>
      </c>
      <c r="I1886" t="inlineStr"/>
      <c r="J1886" t="inlineStr">
        <is>
          <t>93309 Kelheim</t>
        </is>
      </c>
      <c r="K1886" s="5" t="n">
        <v>45536</v>
      </c>
      <c r="L1886" t="inlineStr">
        <is>
          <t>Sold</t>
        </is>
      </c>
      <c r="M1886" s="6">
        <f>HYPERLINK("https://www.dailydose.de/kleinanzeigen/detail.htm?ai=421916&amp;cf=kk&amp;pg=3&amp;ci=5", "Link")</f>
        <v/>
      </c>
      <c r="N1886" s="6">
        <f>HYPERLINK("C:\Projects\Kleinanzeigen-Scraper\offer_images\421916", "Link")</f>
        <v/>
      </c>
      <c r="O1886" t="inlineStr">
        <is>
          <t>Rosl81</t>
        </is>
      </c>
      <c r="P1886" s="6">
        <f>HYPERLINK("https://www.dailydose.de/kleinanzeigen/user/16719", "Link")</f>
        <v/>
      </c>
      <c r="Q1886" s="7" t="n">
        <v>45536.91376157408</v>
      </c>
      <c r="R1886" s="3" t="inlineStr">
        <is>
          <t>88.18</t>
        </is>
      </c>
      <c r="S1886" t="inlineStr">
        <is>
          <t>München</t>
        </is>
      </c>
    </row>
    <row r="1887">
      <c r="A1887" s="2" t="n">
        <v>6.7</v>
      </c>
      <c r="B1887" t="inlineStr">
        <is>
          <t>Neilpryde Speedster</t>
        </is>
      </c>
      <c r="C1887" s="3" t="inlineStr"/>
      <c r="D1887" s="3" t="inlineStr"/>
      <c r="E1887" t="inlineStr"/>
      <c r="F1887" t="inlineStr">
        <is>
          <t>2021</t>
        </is>
      </c>
      <c r="G1887" t="inlineStr">
        <is>
          <t>repaired</t>
        </is>
      </c>
      <c r="H1887" s="4" t="n">
        <v>190</v>
      </c>
      <c r="I1887" t="inlineStr"/>
      <c r="J1887" t="inlineStr">
        <is>
          <t>Versand, Hamburg, Leipzig</t>
        </is>
      </c>
      <c r="K1887" s="5" t="n">
        <v>45532</v>
      </c>
      <c r="L1887" t="inlineStr">
        <is>
          <t>Sold</t>
        </is>
      </c>
      <c r="M1887" s="6">
        <f>HYPERLINK("https://www.dailydose.de/kleinanzeigen/detail.htm?ai=421636&amp;cf=kk&amp;pg=5&amp;ci=5", "Link")</f>
        <v/>
      </c>
      <c r="N1887" s="6">
        <f>HYPERLINK("C:\Projects\Kleinanzeigen-Scraper\offer_images\421636", "Link")</f>
        <v/>
      </c>
      <c r="O1887" t="inlineStr">
        <is>
          <t>Seewasser</t>
        </is>
      </c>
      <c r="P1887" s="6">
        <f>HYPERLINK("https://www.dailydose.de/kleinanzeigen/user/2170", "Link")</f>
        <v/>
      </c>
      <c r="Q1887" s="7" t="n">
        <v>45536.91373842592</v>
      </c>
      <c r="R1887" s="3" t="inlineStr">
        <is>
          <t>286.76</t>
        </is>
      </c>
      <c r="S1887" t="inlineStr">
        <is>
          <t>Köln</t>
        </is>
      </c>
    </row>
    <row r="1888">
      <c r="A1888" s="2" t="n">
        <v>6.2</v>
      </c>
      <c r="B1888" t="inlineStr">
        <is>
          <t>Gun Sails RAPID</t>
        </is>
      </c>
      <c r="C1888" s="3" t="n">
        <v>438</v>
      </c>
      <c r="D1888" s="3" t="n">
        <v>192</v>
      </c>
      <c r="E1888" t="inlineStr">
        <is>
          <t>Freeride</t>
        </is>
      </c>
      <c r="F1888" t="inlineStr"/>
      <c r="G1888" t="inlineStr">
        <is>
          <t>used, good condition</t>
        </is>
      </c>
      <c r="H1888" s="4" t="n">
        <v>130</v>
      </c>
      <c r="I1888" t="inlineStr">
        <is>
          <t>VB</t>
        </is>
      </c>
      <c r="J1888" t="inlineStr">
        <is>
          <t>23909 Ratzeburg</t>
        </is>
      </c>
      <c r="K1888" s="5" t="n">
        <v>45534</v>
      </c>
      <c r="L1888" t="inlineStr">
        <is>
          <t>Sold</t>
        </is>
      </c>
      <c r="M1888" s="6">
        <f>HYPERLINK("https://www.dailydose.de/kleinanzeigen/detail.htm?ai=421804&amp;cf=kk&amp;pg=2&amp;ci=5", "Link")</f>
        <v/>
      </c>
      <c r="N1888" s="6">
        <f>HYPERLINK("C:\Projects\Kleinanzeigen-Scraper\offer_images\421804", "Link")</f>
        <v/>
      </c>
      <c r="O1888" t="inlineStr">
        <is>
          <t>Insider</t>
        </is>
      </c>
      <c r="P1888" s="6">
        <f>HYPERLINK("https://www.dailydose.de/kleinanzeigen/user/20603", "Link")</f>
        <v/>
      </c>
      <c r="Q1888" s="7" t="n">
        <v>45536.91361111111</v>
      </c>
      <c r="R1888" s="3" t="inlineStr">
        <is>
          <t>401.75</t>
        </is>
      </c>
      <c r="S1888" t="inlineStr">
        <is>
          <t>Köln</t>
        </is>
      </c>
    </row>
    <row r="1889">
      <c r="A1889" s="2" t="n">
        <v>7.8</v>
      </c>
      <c r="B1889" t="inlineStr">
        <is>
          <t>GA Sails Phantom</t>
        </is>
      </c>
      <c r="C1889" s="3" t="n">
        <v>460</v>
      </c>
      <c r="D1889" s="3" t="n">
        <v>213</v>
      </c>
      <c r="E1889" t="inlineStr">
        <is>
          <t>Freerace</t>
        </is>
      </c>
      <c r="F1889" t="inlineStr">
        <is>
          <t>2021</t>
        </is>
      </c>
      <c r="G1889" t="inlineStr">
        <is>
          <t>used</t>
        </is>
      </c>
      <c r="H1889" s="4" t="n">
        <v>333</v>
      </c>
      <c r="I1889" t="inlineStr"/>
      <c r="J1889" t="inlineStr">
        <is>
          <t>13507 Berlin</t>
        </is>
      </c>
      <c r="K1889" s="5" t="n">
        <v>45536</v>
      </c>
      <c r="L1889" t="inlineStr">
        <is>
          <t>Sold</t>
        </is>
      </c>
      <c r="M1889" s="6">
        <f>HYPERLINK("https://www.dailydose.de/kleinanzeigen/detail.htm?ai=421931&amp;cf=kk&amp;pg=5&amp;ci=5", "Link")</f>
        <v/>
      </c>
      <c r="N1889" s="6">
        <f>HYPERLINK("C:\Projects\Kleinanzeigen-Scraper\offer_images\421931", "Link")</f>
        <v/>
      </c>
      <c r="O1889" t="inlineStr">
        <is>
          <t>Sven</t>
        </is>
      </c>
      <c r="P1889" s="6">
        <f>HYPERLINK("https://www.dailydose.de/kleinanzeigen/user/505", "Link")</f>
        <v/>
      </c>
      <c r="Q1889" s="7" t="n">
        <v>45536.91361111111</v>
      </c>
      <c r="R1889" s="3" t="inlineStr">
        <is>
          <t>471.11</t>
        </is>
      </c>
      <c r="S1889" t="inlineStr">
        <is>
          <t>Köln</t>
        </is>
      </c>
    </row>
    <row r="1890">
      <c r="A1890" s="2" t="n">
        <v>4.7</v>
      </c>
      <c r="B1890" t="inlineStr">
        <is>
          <t>Challenger Sails K-Onda</t>
        </is>
      </c>
      <c r="C1890" s="3" t="n">
        <v>400</v>
      </c>
      <c r="D1890" s="3" t="n">
        <v>164</v>
      </c>
      <c r="E1890" t="inlineStr">
        <is>
          <t>Wave</t>
        </is>
      </c>
      <c r="F1890" t="inlineStr"/>
      <c r="G1890" t="inlineStr">
        <is>
          <t>used</t>
        </is>
      </c>
      <c r="H1890" s="4" t="n">
        <v>45</v>
      </c>
      <c r="I1890" t="inlineStr"/>
      <c r="J1890" t="inlineStr">
        <is>
          <t>24109 Kiel</t>
        </is>
      </c>
      <c r="K1890" s="5" t="n">
        <v>45535</v>
      </c>
      <c r="L1890" t="inlineStr">
        <is>
          <t>Sold</t>
        </is>
      </c>
      <c r="M1890" s="6">
        <f>HYPERLINK("https://www.dailydose.de/kleinanzeigen/detail.htm?ai=421843&amp;cf=kk&amp;pg=5&amp;ci=5", "Link")</f>
        <v/>
      </c>
      <c r="N1890" s="6">
        <f>HYPERLINK("C:\Projects\Kleinanzeigen-Scraper\offer_images\421843", "Link")</f>
        <v/>
      </c>
      <c r="O1890" t="inlineStr">
        <is>
          <t>Simon_84</t>
        </is>
      </c>
      <c r="P1890" s="6">
        <f>HYPERLINK("https://www.dailydose.de/kleinanzeigen/user/21444", "Link")</f>
        <v/>
      </c>
      <c r="Q1890" s="7" t="n">
        <v>45536.91354166667</v>
      </c>
      <c r="R1890" s="3" t="inlineStr">
        <is>
          <t>429.71</t>
        </is>
      </c>
      <c r="S1890" t="inlineStr">
        <is>
          <t>Köln</t>
        </is>
      </c>
    </row>
    <row r="1891">
      <c r="A1891" s="2" t="n">
        <v>4.2</v>
      </c>
      <c r="B1891" t="inlineStr">
        <is>
          <t>Goya Banzai</t>
        </is>
      </c>
      <c r="C1891" s="3" t="inlineStr"/>
      <c r="D1891" s="3" t="inlineStr"/>
      <c r="E1891" t="inlineStr"/>
      <c r="F1891" t="inlineStr">
        <is>
          <t>2021</t>
        </is>
      </c>
      <c r="G1891" t="inlineStr">
        <is>
          <t>used</t>
        </is>
      </c>
      <c r="H1891" s="4" t="n">
        <v>250</v>
      </c>
      <c r="I1891" t="inlineStr">
        <is>
          <t>VB</t>
        </is>
      </c>
      <c r="J1891" t="inlineStr">
        <is>
          <t>41199 Mönchengladbach</t>
        </is>
      </c>
      <c r="K1891" s="5" t="n">
        <v>45530</v>
      </c>
      <c r="L1891" t="inlineStr">
        <is>
          <t>Sold</t>
        </is>
      </c>
      <c r="M1891" s="6">
        <f>HYPERLINK("https://www.dailydose.de/kleinanzeigen/detail.htm?ai=421446&amp;cf=kk&amp;pg=5&amp;ci=5", "Link")</f>
        <v/>
      </c>
      <c r="N1891" s="6">
        <f>HYPERLINK("C:\Projects\Kleinanzeigen-Scraper\offer_images\421446", "Link")</f>
        <v/>
      </c>
      <c r="O1891" t="inlineStr">
        <is>
          <t>R.Josef</t>
        </is>
      </c>
      <c r="P1891" s="6">
        <f>HYPERLINK("https://www.dailydose.de/kleinanzeigen/user/19938", "Link")</f>
        <v/>
      </c>
      <c r="Q1891" s="7" t="n">
        <v>45536.91350694445</v>
      </c>
      <c r="R1891" s="3" t="inlineStr">
        <is>
          <t>41.63</t>
        </is>
      </c>
      <c r="S1891" t="inlineStr">
        <is>
          <t>Köln</t>
        </is>
      </c>
    </row>
    <row r="1892">
      <c r="A1892" s="2" t="n">
        <v>8</v>
      </c>
      <c r="B1892" t="inlineStr">
        <is>
          <t>Phantom IRIS X</t>
        </is>
      </c>
      <c r="C1892" s="3" t="n">
        <v>490</v>
      </c>
      <c r="D1892" s="3" t="inlineStr"/>
      <c r="E1892" t="inlineStr">
        <is>
          <t>Freerace</t>
        </is>
      </c>
      <c r="F1892" t="inlineStr">
        <is>
          <t>2022</t>
        </is>
      </c>
      <c r="G1892" t="inlineStr">
        <is>
          <t>used</t>
        </is>
      </c>
      <c r="H1892" s="4" t="n">
        <v>499</v>
      </c>
      <c r="I1892" t="inlineStr"/>
      <c r="J1892" t="inlineStr">
        <is>
          <t>47137 Duisburg</t>
        </is>
      </c>
      <c r="K1892" s="5" t="n">
        <v>45531</v>
      </c>
      <c r="L1892" t="inlineStr">
        <is>
          <t>Sold</t>
        </is>
      </c>
      <c r="M1892" s="6">
        <f>HYPERLINK("https://www.dailydose.de/kleinanzeigen/detail.htm?ai=421529&amp;cf=kk&amp;pg=5&amp;ci=5", "Link")</f>
        <v/>
      </c>
      <c r="N1892" s="6">
        <f>HYPERLINK("C:\Projects\Kleinanzeigen-Scraper\offer_images\421529", "Link")</f>
        <v/>
      </c>
      <c r="O1892" t="inlineStr">
        <is>
          <t>PeFe</t>
        </is>
      </c>
      <c r="P1892" s="6">
        <f>HYPERLINK("https://www.dailydose.de/kleinanzeigen/user/18970", "Link")</f>
        <v/>
      </c>
      <c r="Q1892" s="7" t="n">
        <v>45536.91337962963</v>
      </c>
      <c r="R1892" s="3" t="inlineStr">
        <is>
          <t>60.51</t>
        </is>
      </c>
      <c r="S1892" t="inlineStr">
        <is>
          <t>Köln</t>
        </is>
      </c>
    </row>
    <row r="1893">
      <c r="A1893" s="2" t="n">
        <v>8.199999999999999</v>
      </c>
      <c r="B1893" t="inlineStr">
        <is>
          <t>Neilpryde V8</t>
        </is>
      </c>
      <c r="C1893" s="3" t="inlineStr"/>
      <c r="D1893" s="3" t="inlineStr"/>
      <c r="E1893" t="inlineStr">
        <is>
          <t>Freerace</t>
        </is>
      </c>
      <c r="F1893" t="inlineStr">
        <is>
          <t>2022</t>
        </is>
      </c>
      <c r="G1893" t="inlineStr">
        <is>
          <t>used</t>
        </is>
      </c>
      <c r="H1893" s="4" t="n">
        <v>440</v>
      </c>
      <c r="I1893" t="inlineStr">
        <is>
          <t>VB</t>
        </is>
      </c>
      <c r="J1893" t="inlineStr">
        <is>
          <t>24966</t>
        </is>
      </c>
      <c r="K1893" s="5" t="n">
        <v>45530</v>
      </c>
      <c r="L1893" t="inlineStr">
        <is>
          <t>Sold</t>
        </is>
      </c>
      <c r="M1893" s="6">
        <f>HYPERLINK("https://www.dailydose.de/kleinanzeigen/detail.htm?ai=421462&amp;cf=kk&amp;pg=5&amp;ci=5", "Link")</f>
        <v/>
      </c>
      <c r="N1893" s="6">
        <f>HYPERLINK("C:\Projects\Kleinanzeigen-Scraper\offer_images\421462", "Link")</f>
        <v/>
      </c>
      <c r="O1893" t="inlineStr">
        <is>
          <t>jstapel</t>
        </is>
      </c>
      <c r="P1893" s="6">
        <f>HYPERLINK("https://www.dailydose.de/kleinanzeigen/user/12794", "Link")</f>
        <v/>
      </c>
      <c r="Q1893" s="7" t="n">
        <v>45536.91335648148</v>
      </c>
      <c r="R1893" s="3" t="inlineStr">
        <is>
          <t>459.16</t>
        </is>
      </c>
      <c r="S1893" t="inlineStr">
        <is>
          <t>Köln</t>
        </is>
      </c>
    </row>
    <row r="1894">
      <c r="A1894" s="2" t="n">
        <v>4.2</v>
      </c>
      <c r="B1894" t="inlineStr">
        <is>
          <t>Neilpryde Combat</t>
        </is>
      </c>
      <c r="C1894" s="3" t="inlineStr"/>
      <c r="D1894" s="3" t="inlineStr"/>
      <c r="E1894" t="inlineStr"/>
      <c r="F1894" t="inlineStr">
        <is>
          <t>2016</t>
        </is>
      </c>
      <c r="G1894" t="inlineStr">
        <is>
          <t>used</t>
        </is>
      </c>
      <c r="H1894" s="4" t="n">
        <v>160</v>
      </c>
      <c r="I1894" t="inlineStr"/>
      <c r="J1894" t="inlineStr">
        <is>
          <t>24118 Kiel</t>
        </is>
      </c>
      <c r="K1894" s="5" t="n">
        <v>45534</v>
      </c>
      <c r="L1894" t="inlineStr">
        <is>
          <t>Sold</t>
        </is>
      </c>
      <c r="M1894" s="6">
        <f>HYPERLINK("https://www.dailydose.de/kleinanzeigen/detail.htm?ai=421798&amp;cf=kk&amp;pg=5&amp;ci=5", "Link")</f>
        <v/>
      </c>
      <c r="N1894" s="6">
        <f>HYPERLINK("C:\Projects\Kleinanzeigen-Scraper\offer_images\421798", "Link")</f>
        <v/>
      </c>
      <c r="O1894" t="inlineStr">
        <is>
          <t>Tim_152</t>
        </is>
      </c>
      <c r="P1894" s="6">
        <f>HYPERLINK("https://www.dailydose.de/kleinanzeigen/user/9637", "Link")</f>
        <v/>
      </c>
      <c r="Q1894" s="7" t="n">
        <v>45536.91332175926</v>
      </c>
      <c r="R1894" s="3" t="inlineStr">
        <is>
          <t>434.29</t>
        </is>
      </c>
      <c r="S1894" t="inlineStr">
        <is>
          <t>Köln</t>
        </is>
      </c>
    </row>
    <row r="1895">
      <c r="A1895" s="2" t="n">
        <v>5.3</v>
      </c>
      <c r="B1895" t="inlineStr">
        <is>
          <t>Goya BANZAI X</t>
        </is>
      </c>
      <c r="C1895" s="3" t="inlineStr"/>
      <c r="D1895" s="3" t="inlineStr"/>
      <c r="E1895" t="inlineStr"/>
      <c r="F1895" t="inlineStr"/>
      <c r="G1895" t="inlineStr">
        <is>
          <t>used</t>
        </is>
      </c>
      <c r="H1895" s="4" t="inlineStr"/>
      <c r="I1895" t="inlineStr">
        <is>
          <t>VB</t>
        </is>
      </c>
      <c r="J1895" t="inlineStr">
        <is>
          <t>18057 Rostock</t>
        </is>
      </c>
      <c r="K1895" s="5" t="n">
        <v>45530</v>
      </c>
      <c r="L1895" t="inlineStr">
        <is>
          <t>Sold</t>
        </is>
      </c>
      <c r="M1895" s="6">
        <f>HYPERLINK("https://www.dailydose.de/kleinanzeigen/detail.htm?ai=421459&amp;cf=kk&amp;pg=5&amp;ci=5", "Link")</f>
        <v/>
      </c>
      <c r="N1895" s="6">
        <f>HYPERLINK("C:\Projects\Kleinanzeigen-Scraper\offer_images\421459", "Link")</f>
        <v/>
      </c>
      <c r="O1895" t="inlineStr">
        <is>
          <t>Marko333</t>
        </is>
      </c>
      <c r="P1895" s="6">
        <f>HYPERLINK("https://www.dailydose.de/kleinanzeigen/user/26327", "Link")</f>
        <v/>
      </c>
      <c r="Q1895" s="7" t="n">
        <v>45536.91332175926</v>
      </c>
      <c r="R1895" s="3" t="inlineStr">
        <is>
          <t>494.07</t>
        </is>
      </c>
      <c r="S1895" t="inlineStr">
        <is>
          <t>Köln</t>
        </is>
      </c>
    </row>
    <row r="1896">
      <c r="A1896" s="2" t="n">
        <v>4.7</v>
      </c>
      <c r="B1896" t="inlineStr">
        <is>
          <t>Goya Banzaii</t>
        </is>
      </c>
      <c r="C1896" s="3" t="inlineStr"/>
      <c r="D1896" s="3" t="inlineStr"/>
      <c r="E1896" t="inlineStr"/>
      <c r="F1896" t="inlineStr">
        <is>
          <t>2023</t>
        </is>
      </c>
      <c r="G1896" t="inlineStr">
        <is>
          <t>used</t>
        </is>
      </c>
      <c r="H1896" s="4" t="n">
        <v>410</v>
      </c>
      <c r="I1896" t="inlineStr"/>
      <c r="J1896" t="inlineStr">
        <is>
          <t>37154 Northeim</t>
        </is>
      </c>
      <c r="K1896" s="5" t="n">
        <v>45534</v>
      </c>
      <c r="L1896" t="inlineStr">
        <is>
          <t>Sold</t>
        </is>
      </c>
      <c r="M1896" s="6">
        <f>HYPERLINK("https://www.dailydose.de/kleinanzeigen/detail.htm?ai=421784&amp;cf=kk&amp;pg=5&amp;ci=5", "Link")</f>
        <v/>
      </c>
      <c r="N1896" s="6">
        <f>HYPERLINK("C:\Projects\Kleinanzeigen-Scraper\offer_images\421784", "Link")</f>
        <v/>
      </c>
      <c r="O1896" t="inlineStr">
        <is>
          <t>Timo_45</t>
        </is>
      </c>
      <c r="P1896" s="6">
        <f>HYPERLINK("https://www.dailydose.de/kleinanzeigen/user/23662", "Link")</f>
        <v/>
      </c>
      <c r="Q1896" s="7" t="n">
        <v>45536.91328703704</v>
      </c>
      <c r="R1896" s="3" t="inlineStr">
        <is>
          <t>227.92</t>
        </is>
      </c>
      <c r="S1896" t="inlineStr">
        <is>
          <t>Köln</t>
        </is>
      </c>
    </row>
    <row r="1897">
      <c r="A1897" s="2" t="n">
        <v>6.9</v>
      </c>
      <c r="B1897" t="inlineStr">
        <is>
          <t>North Duke</t>
        </is>
      </c>
      <c r="C1897" s="3" t="n">
        <v>4.67</v>
      </c>
      <c r="D1897" s="3" t="n">
        <v>200</v>
      </c>
      <c r="E1897" t="inlineStr"/>
      <c r="F1897" t="inlineStr"/>
      <c r="G1897" t="inlineStr"/>
      <c r="H1897" s="4" t="n">
        <v>105</v>
      </c>
      <c r="I1897" t="inlineStr"/>
      <c r="J1897" t="inlineStr">
        <is>
          <t>28215 Bremen</t>
        </is>
      </c>
      <c r="K1897" s="5" t="n">
        <v>45535</v>
      </c>
      <c r="L1897" t="inlineStr">
        <is>
          <t>Sold</t>
        </is>
      </c>
      <c r="M1897" s="6">
        <f>HYPERLINK("https://www.dailydose.de/kleinanzeigen/detail.htm?ai=421860&amp;cf=kk&amp;pg=4&amp;ci=5", "Link")</f>
        <v/>
      </c>
      <c r="N1897" s="6">
        <f>HYPERLINK("C:\Projects\Kleinanzeigen-Scraper\offer_images\421860", "Link")</f>
        <v/>
      </c>
      <c r="O1897" t="inlineStr">
        <is>
          <t>maoch</t>
        </is>
      </c>
      <c r="P1897" s="6">
        <f>HYPERLINK("https://www.dailydose.de/kleinanzeigen/user/11575", "Link")</f>
        <v/>
      </c>
      <c r="Q1897" s="7" t="n">
        <v>45536.91319444445</v>
      </c>
      <c r="R1897" s="3" t="inlineStr">
        <is>
          <t>271.71</t>
        </is>
      </c>
      <c r="S1897" t="inlineStr">
        <is>
          <t>Köln</t>
        </is>
      </c>
    </row>
    <row r="1898">
      <c r="A1898" s="2" t="n">
        <v>7.8</v>
      </c>
      <c r="B1898" t="inlineStr">
        <is>
          <t>Gunsails GS-R</t>
        </is>
      </c>
      <c r="C1898" s="3" t="inlineStr"/>
      <c r="D1898" s="3" t="inlineStr"/>
      <c r="E1898" t="inlineStr"/>
      <c r="F1898" t="inlineStr">
        <is>
          <t>2022</t>
        </is>
      </c>
      <c r="G1898" t="inlineStr">
        <is>
          <t>used</t>
        </is>
      </c>
      <c r="H1898" s="4" t="n">
        <v>420</v>
      </c>
      <c r="I1898" t="inlineStr">
        <is>
          <t>VB</t>
        </is>
      </c>
      <c r="J1898" t="inlineStr">
        <is>
          <t>33602 Bielefeld</t>
        </is>
      </c>
      <c r="K1898" s="5" t="n">
        <v>45536</v>
      </c>
      <c r="L1898" t="inlineStr">
        <is>
          <t>Sold</t>
        </is>
      </c>
      <c r="M1898" s="6">
        <f>HYPERLINK("https://www.dailydose.de/kleinanzeigen/detail.htm?ai=421871&amp;cf=kk&amp;pg=5&amp;ci=5", "Link")</f>
        <v/>
      </c>
      <c r="N1898" s="6">
        <f>HYPERLINK("C:\Projects\Kleinanzeigen-Scraper\offer_images\421871", "Link")</f>
        <v/>
      </c>
      <c r="O1898" t="inlineStr">
        <is>
          <t>Ben Kirstein</t>
        </is>
      </c>
      <c r="P1898" s="6">
        <f>HYPERLINK("https://www.dailydose.de/kleinanzeigen/user/4597", "Link")</f>
        <v/>
      </c>
      <c r="Q1898" s="7" t="n">
        <v>45536.91315972222</v>
      </c>
      <c r="R1898" s="3" t="inlineStr">
        <is>
          <t>162.81</t>
        </is>
      </c>
      <c r="S1898" t="inlineStr">
        <is>
          <t>Köln</t>
        </is>
      </c>
    </row>
    <row r="1899">
      <c r="A1899" s="2" t="n">
        <v>4</v>
      </c>
      <c r="B1899" t="inlineStr">
        <is>
          <t>Severne Freek</t>
        </is>
      </c>
      <c r="C1899" s="3" t="n">
        <v>378</v>
      </c>
      <c r="D1899" s="3" t="n">
        <v>152</v>
      </c>
      <c r="E1899" t="inlineStr">
        <is>
          <t>Foil</t>
        </is>
      </c>
      <c r="F1899" t="inlineStr">
        <is>
          <t>2021</t>
        </is>
      </c>
      <c r="G1899" t="inlineStr">
        <is>
          <t>used</t>
        </is>
      </c>
      <c r="H1899" s="4" t="n">
        <v>300</v>
      </c>
      <c r="I1899" t="inlineStr"/>
      <c r="J1899" t="inlineStr">
        <is>
          <t>82256 Fürstenfeldbruck</t>
        </is>
      </c>
      <c r="K1899" s="5" t="n">
        <v>45535</v>
      </c>
      <c r="L1899" t="inlineStr">
        <is>
          <t>Sold</t>
        </is>
      </c>
      <c r="M1899" s="6">
        <f>HYPERLINK("https://www.dailydose.de/kleinanzeigen/detail.htm?ai=421864&amp;cf=kk&amp;pg=3&amp;ci=5", "Link")</f>
        <v/>
      </c>
      <c r="N1899" s="6">
        <f>HYPERLINK("C:\Projects\Kleinanzeigen-Scraper\offer_images\421864", "Link")</f>
        <v/>
      </c>
      <c r="O1899" t="inlineStr">
        <is>
          <t>Stefan_85</t>
        </is>
      </c>
      <c r="P1899" s="6">
        <f>HYPERLINK("https://www.dailydose.de/kleinanzeigen/user/12972", "Link")</f>
        <v/>
      </c>
      <c r="Q1899" s="7" t="n">
        <v>45536.91313657408</v>
      </c>
      <c r="R1899" s="3" t="inlineStr">
        <is>
          <t>25.37</t>
        </is>
      </c>
      <c r="S1899" t="inlineStr">
        <is>
          <t>München</t>
        </is>
      </c>
    </row>
    <row r="1900">
      <c r="A1900" s="2" t="n">
        <v>4.8</v>
      </c>
      <c r="B1900" t="inlineStr">
        <is>
          <t>Gunsails BEAT</t>
        </is>
      </c>
      <c r="C1900" s="3" t="n">
        <v>397</v>
      </c>
      <c r="D1900" s="3" t="n">
        <v>158</v>
      </c>
      <c r="E1900" t="inlineStr"/>
      <c r="F1900" t="inlineStr">
        <is>
          <t>2015</t>
        </is>
      </c>
      <c r="G1900" t="inlineStr">
        <is>
          <t>used</t>
        </is>
      </c>
      <c r="H1900" s="4" t="n">
        <v>180</v>
      </c>
      <c r="I1900" t="inlineStr">
        <is>
          <t>VB</t>
        </is>
      </c>
      <c r="J1900" t="inlineStr">
        <is>
          <t>78467 konstanz</t>
        </is>
      </c>
      <c r="K1900" s="5" t="n">
        <v>45536</v>
      </c>
      <c r="L1900" t="inlineStr">
        <is>
          <t>Sold</t>
        </is>
      </c>
      <c r="M1900" s="6">
        <f>HYPERLINK("https://www.dailydose.de/kleinanzeigen/detail.htm?ai=421930&amp;cf=kk&amp;pg=5&amp;ci=5", "Link")</f>
        <v/>
      </c>
      <c r="N1900" s="6">
        <f>HYPERLINK("C:\Projects\Kleinanzeigen-Scraper\offer_images\421930", "Link")</f>
        <v/>
      </c>
      <c r="O1900" t="inlineStr">
        <is>
          <t>rideon</t>
        </is>
      </c>
      <c r="P1900" s="6">
        <f>HYPERLINK("https://www.dailydose.de/kleinanzeigen/user/5252", "Link")</f>
        <v/>
      </c>
      <c r="Q1900" s="7" t="n">
        <v>45536.91310185185</v>
      </c>
      <c r="R1900" s="3" t="inlineStr">
        <is>
          <t>62.51</t>
        </is>
      </c>
      <c r="S1900" t="inlineStr">
        <is>
          <t>Bonndorf</t>
        </is>
      </c>
    </row>
    <row r="1901">
      <c r="A1901" s="2" t="n">
        <v>4.7</v>
      </c>
      <c r="B1901" t="inlineStr">
        <is>
          <t>Goya Banzai X Pro</t>
        </is>
      </c>
      <c r="C1901" s="3" t="inlineStr"/>
      <c r="D1901" s="3" t="inlineStr"/>
      <c r="E1901" t="inlineStr"/>
      <c r="F1901" t="inlineStr"/>
      <c r="G1901" t="inlineStr">
        <is>
          <t>repaired</t>
        </is>
      </c>
      <c r="H1901" s="4" t="n">
        <v>340</v>
      </c>
      <c r="I1901" t="inlineStr"/>
      <c r="J1901" t="inlineStr">
        <is>
          <t>22763 Hamburg</t>
        </is>
      </c>
      <c r="K1901" s="5" t="n">
        <v>45530</v>
      </c>
      <c r="L1901" t="inlineStr">
        <is>
          <t>Sold</t>
        </is>
      </c>
      <c r="M1901" s="6">
        <f>HYPERLINK("https://www.dailydose.de/kleinanzeigen/detail.htm?ai=421481&amp;cf=kk&amp;pg=5&amp;ci=5", "Link")</f>
        <v/>
      </c>
      <c r="N1901" s="6">
        <f>HYPERLINK("C:\Projects\Kleinanzeigen-Scraper\offer_images\421481", "Link")</f>
        <v/>
      </c>
      <c r="O1901" t="inlineStr">
        <is>
          <t>Wavegirl</t>
        </is>
      </c>
      <c r="P1901" s="6">
        <f>HYPERLINK("https://www.dailydose.de/kleinanzeigen/user/26012", "Link")</f>
        <v/>
      </c>
      <c r="Q1901" s="7" t="n">
        <v>45536.91298611111</v>
      </c>
      <c r="R1901" s="3" t="inlineStr">
        <is>
          <t>354.04</t>
        </is>
      </c>
      <c r="S1901" t="inlineStr">
        <is>
          <t>Köln</t>
        </is>
      </c>
    </row>
    <row r="1902">
      <c r="A1902" s="2" t="n">
        <v>6.9</v>
      </c>
      <c r="B1902" t="inlineStr">
        <is>
          <t>Duotone Warp</t>
        </is>
      </c>
      <c r="C1902" s="3" t="n">
        <v>460</v>
      </c>
      <c r="D1902" s="3" t="inlineStr"/>
      <c r="E1902" t="inlineStr">
        <is>
          <t>Slalom</t>
        </is>
      </c>
      <c r="F1902" t="inlineStr">
        <is>
          <t>2022</t>
        </is>
      </c>
      <c r="G1902" t="inlineStr">
        <is>
          <t>used</t>
        </is>
      </c>
      <c r="H1902" s="4" t="n">
        <v>1390</v>
      </c>
      <c r="I1902" t="inlineStr"/>
      <c r="J1902" t="inlineStr">
        <is>
          <t>13467 Berlin</t>
        </is>
      </c>
      <c r="K1902" s="5" t="n">
        <v>45530</v>
      </c>
      <c r="L1902" t="inlineStr">
        <is>
          <t>Sold</t>
        </is>
      </c>
      <c r="M1902" s="6">
        <f>HYPERLINK("https://www.dailydose.de/kleinanzeigen/detail.htm?ai=421470&amp;cf=kk&amp;pg=5&amp;ci=5", "Link")</f>
        <v/>
      </c>
      <c r="N1902" s="6">
        <f>HYPERLINK("C:\Projects\Kleinanzeigen-Scraper\offer_images\421470", "Link")</f>
        <v/>
      </c>
      <c r="O1902" t="inlineStr">
        <is>
          <t>Dirk S.</t>
        </is>
      </c>
      <c r="P1902" s="6">
        <f>HYPERLINK("https://www.dailydose.de/kleinanzeigen/user/7036", "Link")</f>
        <v/>
      </c>
      <c r="Q1902" s="7" t="n">
        <v>45536.91296296296</v>
      </c>
      <c r="R1902" s="3" t="inlineStr">
        <is>
          <t>474.84</t>
        </is>
      </c>
      <c r="S1902" t="inlineStr">
        <is>
          <t>Köln</t>
        </is>
      </c>
    </row>
    <row r="1903">
      <c r="A1903" s="2" t="n">
        <v>5.5</v>
      </c>
      <c r="B1903" t="inlineStr">
        <is>
          <t>Goya Banzai Pro 11 World Cup Wave</t>
        </is>
      </c>
      <c r="C1903" s="3" t="inlineStr"/>
      <c r="D1903" s="3" t="inlineStr"/>
      <c r="E1903" t="inlineStr">
        <is>
          <t>Wave</t>
        </is>
      </c>
      <c r="F1903" t="inlineStr">
        <is>
          <t>2025</t>
        </is>
      </c>
      <c r="G1903" t="inlineStr">
        <is>
          <t>new</t>
        </is>
      </c>
      <c r="H1903" s="4" t="n">
        <v>650</v>
      </c>
      <c r="I1903" t="inlineStr"/>
      <c r="J1903" t="inlineStr">
        <is>
          <t>49078 Osnabrück</t>
        </is>
      </c>
      <c r="K1903" s="5" t="n">
        <v>45534</v>
      </c>
      <c r="L1903" t="inlineStr">
        <is>
          <t>Sold</t>
        </is>
      </c>
      <c r="M1903" s="6">
        <f>HYPERLINK("https://www.dailydose.de/kleinanzeigen/detail.htm?ai=421760&amp;cf=kk&amp;pg=5&amp;ci=5", "Link")</f>
        <v/>
      </c>
      <c r="N1903" s="6">
        <f>HYPERLINK("C:\Projects\Kleinanzeigen-Scraper\offer_images\421760", "Link")</f>
        <v/>
      </c>
      <c r="O1903" t="inlineStr">
        <is>
          <t>lh_85</t>
        </is>
      </c>
      <c r="P1903" s="6">
        <f>HYPERLINK("https://www.dailydose.de/kleinanzeigen/user/14043", "Link")</f>
        <v/>
      </c>
      <c r="Q1903" s="7" t="n">
        <v>45536.91295138889</v>
      </c>
      <c r="R1903" s="3" t="inlineStr">
        <is>
          <t>163.24</t>
        </is>
      </c>
      <c r="S1903" t="inlineStr">
        <is>
          <t>Köln</t>
        </is>
      </c>
    </row>
    <row r="1904">
      <c r="A1904" s="2" t="n">
        <v>4.7</v>
      </c>
      <c r="B1904" t="inlineStr">
        <is>
          <t>Severne Blade pro</t>
        </is>
      </c>
      <c r="C1904" s="3" t="n">
        <v>400</v>
      </c>
      <c r="D1904" s="3" t="n">
        <v>160</v>
      </c>
      <c r="E1904" t="inlineStr"/>
      <c r="F1904" t="inlineStr">
        <is>
          <t>2021</t>
        </is>
      </c>
      <c r="G1904" t="inlineStr">
        <is>
          <t>used</t>
        </is>
      </c>
      <c r="H1904" s="4" t="n">
        <v>470</v>
      </c>
      <c r="I1904" t="inlineStr"/>
      <c r="J1904" t="inlineStr">
        <is>
          <t>93309</t>
        </is>
      </c>
      <c r="K1904" s="5" t="n">
        <v>45536</v>
      </c>
      <c r="L1904" t="inlineStr">
        <is>
          <t>Sold</t>
        </is>
      </c>
      <c r="M1904" s="6">
        <f>HYPERLINK("https://www.dailydose.de/kleinanzeigen/detail.htm?ai=421913&amp;cf=kk&amp;pg=5&amp;ci=5", "Link")</f>
        <v/>
      </c>
      <c r="N1904" s="6">
        <f>HYPERLINK("C:\Projects\Kleinanzeigen-Scraper\offer_images\421913", "Link")</f>
        <v/>
      </c>
      <c r="O1904" t="inlineStr">
        <is>
          <t>Rosl81</t>
        </is>
      </c>
      <c r="P1904" s="6">
        <f>HYPERLINK("https://www.dailydose.de/kleinanzeigen/user/16719", "Link")</f>
        <v/>
      </c>
      <c r="Q1904" s="7" t="n">
        <v>45536.91292824074</v>
      </c>
      <c r="R1904" s="3" t="inlineStr">
        <is>
          <t>88.18</t>
        </is>
      </c>
      <c r="S1904" t="inlineStr">
        <is>
          <t>München</t>
        </is>
      </c>
    </row>
    <row r="1905">
      <c r="A1905" s="2" t="n">
        <v>4.2</v>
      </c>
      <c r="B1905" t="inlineStr">
        <is>
          <t>Goya Guru</t>
        </is>
      </c>
      <c r="C1905" s="3" t="n">
        <v>370</v>
      </c>
      <c r="D1905" s="3" t="n">
        <v>155</v>
      </c>
      <c r="E1905" t="inlineStr">
        <is>
          <t>Wave</t>
        </is>
      </c>
      <c r="F1905" t="inlineStr"/>
      <c r="G1905" t="inlineStr">
        <is>
          <t>used</t>
        </is>
      </c>
      <c r="H1905" s="4" t="n">
        <v>75</v>
      </c>
      <c r="I1905" t="inlineStr"/>
      <c r="J1905" t="inlineStr">
        <is>
          <t>28215 Bremen</t>
        </is>
      </c>
      <c r="K1905" s="5" t="n">
        <v>45535</v>
      </c>
      <c r="L1905" t="inlineStr">
        <is>
          <t>Sold</t>
        </is>
      </c>
      <c r="M1905" s="6">
        <f>HYPERLINK("https://www.dailydose.de/kleinanzeigen/detail.htm?ai=421857&amp;cf=kk&amp;pg=4&amp;ci=5", "Link")</f>
        <v/>
      </c>
      <c r="N1905" s="6">
        <f>HYPERLINK("C:\Projects\Kleinanzeigen-Scraper\offer_images\421857", "Link")</f>
        <v/>
      </c>
      <c r="O1905" t="inlineStr">
        <is>
          <t>maoch</t>
        </is>
      </c>
      <c r="P1905" s="6">
        <f>HYPERLINK("https://www.dailydose.de/kleinanzeigen/user/11575", "Link")</f>
        <v/>
      </c>
      <c r="Q1905" s="7" t="n">
        <v>45536.91282407408</v>
      </c>
      <c r="R1905" s="3" t="inlineStr">
        <is>
          <t>271.71</t>
        </is>
      </c>
      <c r="S1905" t="inlineStr">
        <is>
          <t>Köln</t>
        </is>
      </c>
    </row>
    <row r="1906">
      <c r="A1906" s="2" t="n">
        <v>3.7</v>
      </c>
      <c r="B1906" t="inlineStr">
        <is>
          <t>NorthSails Ego</t>
        </is>
      </c>
      <c r="C1906" s="3" t="n">
        <v>4</v>
      </c>
      <c r="D1906" s="3" t="n">
        <v>164</v>
      </c>
      <c r="E1906" t="inlineStr"/>
      <c r="F1906" t="inlineStr"/>
      <c r="G1906" t="inlineStr">
        <is>
          <t>used</t>
        </is>
      </c>
      <c r="H1906" s="4" t="n">
        <v>40</v>
      </c>
      <c r="I1906" t="inlineStr"/>
      <c r="J1906" t="inlineStr">
        <is>
          <t>DK 6960 Hvide Sande</t>
        </is>
      </c>
      <c r="K1906" s="5" t="n">
        <v>45536</v>
      </c>
      <c r="L1906" t="inlineStr">
        <is>
          <t>Sold</t>
        </is>
      </c>
      <c r="M1906" s="6">
        <f>HYPERLINK("https://www.dailydose.de/kleinanzeigen/detail.htm?ai=421877&amp;cf=kk&amp;pg=5&amp;ci=5", "Link")</f>
        <v/>
      </c>
      <c r="N1906" s="6">
        <f>HYPERLINK("C:\Projects\Kleinanzeigen-Scraper\offer_images\421877", "Link")</f>
        <v/>
      </c>
      <c r="O1906" t="inlineStr">
        <is>
          <t>Thomas Grzybowski</t>
        </is>
      </c>
      <c r="P1906" s="6">
        <f>HYPERLINK("https://www.dailydose.de/kleinanzeigen/user/22435", "Link")</f>
        <v/>
      </c>
      <c r="Q1906" s="7" t="n">
        <v>45536.91280092593</v>
      </c>
      <c r="R1906" s="3" t="inlineStr">
        <is>
          <t>568.76</t>
        </is>
      </c>
      <c r="S1906" t="inlineStr">
        <is>
          <t>Köln</t>
        </is>
      </c>
    </row>
    <row r="1907">
      <c r="A1907" s="2" t="n">
        <v>5</v>
      </c>
      <c r="B1907" t="inlineStr">
        <is>
          <t>Gun Sails Top Wave</t>
        </is>
      </c>
      <c r="C1907" s="3" t="inlineStr"/>
      <c r="D1907" s="3" t="inlineStr"/>
      <c r="E1907" t="inlineStr">
        <is>
          <t>Wave</t>
        </is>
      </c>
      <c r="F1907" t="inlineStr"/>
      <c r="G1907" t="inlineStr">
        <is>
          <t>used</t>
        </is>
      </c>
      <c r="H1907" s="4" t="n">
        <v>90</v>
      </c>
      <c r="I1907" t="inlineStr">
        <is>
          <t>VB</t>
        </is>
      </c>
      <c r="J1907" t="inlineStr">
        <is>
          <t>21502 Geesthacht</t>
        </is>
      </c>
      <c r="K1907" s="5" t="n">
        <v>45532</v>
      </c>
      <c r="L1907" t="inlineStr">
        <is>
          <t>Sold</t>
        </is>
      </c>
      <c r="M1907" s="6">
        <f>HYPERLINK("https://www.dailydose.de/kleinanzeigen/detail.htm?ai=421652&amp;cf=kk&amp;pg=5&amp;ci=5", "Link")</f>
        <v/>
      </c>
      <c r="N1907" s="6">
        <f>HYPERLINK("C:\Projects\Kleinanzeigen-Scraper\offer_images\421652", "Link")</f>
        <v/>
      </c>
      <c r="O1907" t="inlineStr">
        <is>
          <t>oavp</t>
        </is>
      </c>
      <c r="P1907" s="6">
        <f>HYPERLINK("https://www.dailydose.de/kleinanzeigen/user/26332", "Link")</f>
        <v/>
      </c>
      <c r="Q1907" s="7" t="n">
        <v>45536.91278935185</v>
      </c>
      <c r="R1907" s="3" t="inlineStr">
        <is>
          <t>364.52</t>
        </is>
      </c>
      <c r="S1907" t="inlineStr">
        <is>
          <t>Köln</t>
        </is>
      </c>
    </row>
    <row r="1908">
      <c r="A1908" s="2" t="n">
        <v>6.5</v>
      </c>
      <c r="B1908" t="inlineStr">
        <is>
          <t>Neil Pryde FUSION HD</t>
        </is>
      </c>
      <c r="C1908" s="3" t="n">
        <v>459</v>
      </c>
      <c r="D1908" s="3" t="n">
        <v>199</v>
      </c>
      <c r="E1908" t="inlineStr"/>
      <c r="F1908" t="inlineStr"/>
      <c r="G1908" t="inlineStr">
        <is>
          <t>new</t>
        </is>
      </c>
      <c r="H1908" s="4" t="n">
        <v>289</v>
      </c>
      <c r="I1908" t="inlineStr">
        <is>
          <t>VB</t>
        </is>
      </c>
      <c r="J1908" t="inlineStr">
        <is>
          <t>97072 Würzburg</t>
        </is>
      </c>
      <c r="K1908" s="5" t="n">
        <v>45534</v>
      </c>
      <c r="L1908" t="inlineStr">
        <is>
          <t>Sold</t>
        </is>
      </c>
      <c r="M1908" s="6">
        <f>HYPERLINK("https://www.dailydose.de/kleinanzeigen/detail.htm?ai=421796&amp;cf=kk&amp;pg=2&amp;ci=5", "Link")</f>
        <v/>
      </c>
      <c r="N1908" s="6">
        <f>HYPERLINK("C:\Projects\Kleinanzeigen-Scraper\offer_images\421796", "Link")</f>
        <v/>
      </c>
      <c r="O1908" t="inlineStr">
        <is>
          <t>Heiner_36</t>
        </is>
      </c>
      <c r="P1908" s="6">
        <f>HYPERLINK("https://www.dailydose.de/kleinanzeigen/user/10167", "Link")</f>
        <v/>
      </c>
      <c r="Q1908" s="7" t="n">
        <v>45536.91273148148</v>
      </c>
      <c r="R1908" s="3" t="inlineStr">
        <is>
          <t>141.22</t>
        </is>
      </c>
      <c r="S1908" t="inlineStr">
        <is>
          <t>Karlsruhe</t>
        </is>
      </c>
    </row>
    <row r="1909">
      <c r="A1909" s="2" t="n">
        <v>5</v>
      </c>
      <c r="B1909" t="inlineStr">
        <is>
          <t>Duotone Super Hero SLS</t>
        </is>
      </c>
      <c r="C1909" s="3" t="n">
        <v>400</v>
      </c>
      <c r="D1909" s="3" t="inlineStr">
        <is>
          <t>180-240</t>
        </is>
      </c>
      <c r="E1909" t="inlineStr"/>
      <c r="F1909" t="inlineStr">
        <is>
          <t>2024</t>
        </is>
      </c>
      <c r="G1909" t="inlineStr">
        <is>
          <t>new</t>
        </is>
      </c>
      <c r="H1909" s="4" t="n">
        <v>649</v>
      </c>
      <c r="I1909" t="inlineStr"/>
      <c r="J1909" t="inlineStr">
        <is>
          <t>26548 Ney, HB, HH, H</t>
        </is>
      </c>
      <c r="K1909" s="5" t="n">
        <v>45533</v>
      </c>
      <c r="L1909" t="inlineStr">
        <is>
          <t>Sold</t>
        </is>
      </c>
      <c r="M1909" s="6">
        <f>HYPERLINK("https://www.dailydose.de/kleinanzeigen/detail.htm?ai=421706&amp;cf=kk&amp;pg=5&amp;ci=5", "Link")</f>
        <v/>
      </c>
      <c r="N1909" s="6">
        <f>HYPERLINK("C:\Projects\Kleinanzeigen-Scraper\offer_images\421706", "Link")</f>
        <v/>
      </c>
      <c r="O1909" t="inlineStr">
        <is>
          <t>Flessi_161</t>
        </is>
      </c>
      <c r="P1909" s="6">
        <f>HYPERLINK("https://www.dailydose.de/kleinanzeigen/user/10920", "Link")</f>
        <v/>
      </c>
      <c r="Q1909" s="7" t="n">
        <v>45536.91266203704</v>
      </c>
      <c r="R1909" s="3" t="inlineStr">
        <is>
          <t>309.72</t>
        </is>
      </c>
      <c r="S1909" t="inlineStr">
        <is>
          <t>Köln</t>
        </is>
      </c>
    </row>
    <row r="1910">
      <c r="A1910" s="2" t="n">
        <v>5.7</v>
      </c>
      <c r="B1910" t="inlineStr">
        <is>
          <t>Severne Blade pro</t>
        </is>
      </c>
      <c r="C1910" s="3" t="inlineStr"/>
      <c r="D1910" s="3" t="inlineStr"/>
      <c r="E1910" t="inlineStr"/>
      <c r="F1910" t="inlineStr"/>
      <c r="G1910" t="inlineStr">
        <is>
          <t>used</t>
        </is>
      </c>
      <c r="H1910" s="4" t="n">
        <v>200</v>
      </c>
      <c r="I1910" t="inlineStr"/>
      <c r="J1910" t="inlineStr">
        <is>
          <t>93309 Kelheim</t>
        </is>
      </c>
      <c r="K1910" s="5" t="n">
        <v>45536</v>
      </c>
      <c r="L1910" t="inlineStr">
        <is>
          <t>Sold</t>
        </is>
      </c>
      <c r="M1910" s="6">
        <f>HYPERLINK("https://www.dailydose.de/kleinanzeigen/detail.htm?ai=421924&amp;cf=kk&amp;pg=5&amp;ci=5", "Link")</f>
        <v/>
      </c>
      <c r="N1910" s="6">
        <f>HYPERLINK("C:\Projects\Kleinanzeigen-Scraper\offer_images\421924", "Link")</f>
        <v/>
      </c>
      <c r="O1910" t="inlineStr">
        <is>
          <t>Rosl81</t>
        </is>
      </c>
      <c r="P1910" s="6">
        <f>HYPERLINK("https://www.dailydose.de/kleinanzeigen/user/16719", "Link")</f>
        <v/>
      </c>
      <c r="Q1910" s="7" t="n">
        <v>45536.91266203704</v>
      </c>
      <c r="R1910" s="3" t="inlineStr">
        <is>
          <t>88.18</t>
        </is>
      </c>
      <c r="S1910" t="inlineStr">
        <is>
          <t>München</t>
        </is>
      </c>
    </row>
    <row r="1911">
      <c r="A1911" s="2" t="n">
        <v>5.2</v>
      </c>
      <c r="B1911" t="inlineStr">
        <is>
          <t>Hot Sails Maui - Spider Look Five</t>
        </is>
      </c>
      <c r="C1911" s="3" t="n">
        <v>448</v>
      </c>
      <c r="D1911" s="3" t="n">
        <v>178</v>
      </c>
      <c r="E1911" t="inlineStr"/>
      <c r="F1911" t="inlineStr"/>
      <c r="G1911" t="inlineStr">
        <is>
          <t>used</t>
        </is>
      </c>
      <c r="H1911" s="4" t="n">
        <v>75</v>
      </c>
      <c r="I1911" t="inlineStr"/>
      <c r="J1911" t="inlineStr">
        <is>
          <t>93309 Kelheim</t>
        </is>
      </c>
      <c r="K1911" s="5" t="n">
        <v>45536</v>
      </c>
      <c r="L1911" t="inlineStr">
        <is>
          <t>Sold</t>
        </is>
      </c>
      <c r="M1911" s="6">
        <f>HYPERLINK("https://www.dailydose.de/kleinanzeigen/detail.htm?ai=421923&amp;cf=kk&amp;pg=5&amp;ci=5", "Link")</f>
        <v/>
      </c>
      <c r="N1911" s="6">
        <f>HYPERLINK("C:\Projects\Kleinanzeigen-Scraper\offer_images\421923", "Link")</f>
        <v/>
      </c>
      <c r="O1911" t="inlineStr">
        <is>
          <t>Rosl81</t>
        </is>
      </c>
      <c r="P1911" s="6">
        <f>HYPERLINK("https://www.dailydose.de/kleinanzeigen/user/16719", "Link")</f>
        <v/>
      </c>
      <c r="Q1911" s="7" t="n">
        <v>45536.91266203704</v>
      </c>
      <c r="R1911" s="3" t="inlineStr">
        <is>
          <t>88.18</t>
        </is>
      </c>
      <c r="S1911" t="inlineStr">
        <is>
          <t>München</t>
        </is>
      </c>
    </row>
    <row r="1912">
      <c r="A1912" s="2" t="n">
        <v>4.9</v>
      </c>
      <c r="B1912" t="inlineStr">
        <is>
          <t>North Sails e_Type</t>
        </is>
      </c>
      <c r="C1912" s="3" t="inlineStr">
        <is>
          <t>400-430</t>
        </is>
      </c>
      <c r="D1912" s="3" t="inlineStr"/>
      <c r="E1912" t="inlineStr"/>
      <c r="F1912" t="inlineStr"/>
      <c r="G1912" t="inlineStr"/>
      <c r="H1912" s="4" t="n">
        <v>70</v>
      </c>
      <c r="I1912" t="inlineStr"/>
      <c r="J1912" t="inlineStr">
        <is>
          <t>87616 Marktoberdorf</t>
        </is>
      </c>
      <c r="K1912" s="5" t="n">
        <v>45531</v>
      </c>
      <c r="L1912" t="inlineStr">
        <is>
          <t>Sold</t>
        </is>
      </c>
      <c r="M1912" s="6">
        <f>HYPERLINK("https://www.dailydose.de/kleinanzeigen/detail.htm?ai=421574&amp;cf=kk&amp;pg=4&amp;ci=5", "Link")</f>
        <v/>
      </c>
      <c r="N1912" s="6">
        <f>HYPERLINK("C:\Projects\Kleinanzeigen-Scraper\offer_images\421574", "Link")</f>
        <v/>
      </c>
      <c r="O1912" t="inlineStr">
        <is>
          <t>Achim_189</t>
        </is>
      </c>
      <c r="P1912" s="6">
        <f>HYPERLINK("https://www.dailydose.de/kleinanzeigen/user/19262", "Link")</f>
        <v/>
      </c>
      <c r="Q1912" s="7" t="n">
        <v>45536.91263888889</v>
      </c>
      <c r="R1912" s="3" t="inlineStr">
        <is>
          <t>83.30</t>
        </is>
      </c>
      <c r="S1912" t="inlineStr">
        <is>
          <t>München</t>
        </is>
      </c>
    </row>
    <row r="1913">
      <c r="A1913" s="2" t="n">
        <v>6.2</v>
      </c>
      <c r="B1913" t="inlineStr">
        <is>
          <t>Duotone Duke</t>
        </is>
      </c>
      <c r="C1913" s="3" t="inlineStr"/>
      <c r="D1913" s="3" t="inlineStr"/>
      <c r="E1913" t="inlineStr"/>
      <c r="F1913" t="inlineStr">
        <is>
          <t>2024</t>
        </is>
      </c>
      <c r="G1913" t="inlineStr">
        <is>
          <t>new</t>
        </is>
      </c>
      <c r="H1913" s="4" t="n">
        <v>570</v>
      </c>
      <c r="I1913" t="inlineStr"/>
      <c r="J1913" t="inlineStr">
        <is>
          <t>26548 Ney, HB, HH, H</t>
        </is>
      </c>
      <c r="K1913" s="5" t="n">
        <v>45533</v>
      </c>
      <c r="L1913" t="inlineStr">
        <is>
          <t>Sold</t>
        </is>
      </c>
      <c r="M1913" s="6">
        <f>HYPERLINK("https://www.dailydose.de/kleinanzeigen/detail.htm?ai=421704&amp;cf=kk&amp;pg=5&amp;ci=5", "Link")</f>
        <v/>
      </c>
      <c r="N1913" s="6">
        <f>HYPERLINK("C:\Projects\Kleinanzeigen-Scraper\offer_images\421704", "Link")</f>
        <v/>
      </c>
      <c r="O1913" t="inlineStr">
        <is>
          <t>Flessi_161</t>
        </is>
      </c>
      <c r="P1913" s="6">
        <f>HYPERLINK("https://www.dailydose.de/kleinanzeigen/user/10920", "Link")</f>
        <v/>
      </c>
      <c r="Q1913" s="7" t="n">
        <v>45536.91263888889</v>
      </c>
      <c r="R1913" s="3" t="inlineStr">
        <is>
          <t>309.72</t>
        </is>
      </c>
      <c r="S1913" t="inlineStr">
        <is>
          <t>Köln</t>
        </is>
      </c>
    </row>
    <row r="1914">
      <c r="A1914" s="2" t="n">
        <v>3.6</v>
      </c>
      <c r="B1914" t="inlineStr">
        <is>
          <t>Sailloft Quad</t>
        </is>
      </c>
      <c r="C1914" s="3" t="inlineStr"/>
      <c r="D1914" s="3" t="inlineStr"/>
      <c r="E1914" t="inlineStr"/>
      <c r="F1914" t="inlineStr">
        <is>
          <t>2023</t>
        </is>
      </c>
      <c r="G1914" t="inlineStr">
        <is>
          <t>used</t>
        </is>
      </c>
      <c r="H1914" s="4" t="n">
        <v>300</v>
      </c>
      <c r="I1914" t="inlineStr">
        <is>
          <t>VB</t>
        </is>
      </c>
      <c r="J1914" t="inlineStr">
        <is>
          <t>20255 Hamburg</t>
        </is>
      </c>
      <c r="K1914" s="5" t="n">
        <v>45530</v>
      </c>
      <c r="L1914" t="inlineStr">
        <is>
          <t>Sold</t>
        </is>
      </c>
      <c r="M1914" s="6">
        <f>HYPERLINK("https://www.dailydose.de/kleinanzeigen/detail.htm?ai=421445&amp;cf=kk&amp;pg=5&amp;ci=5", "Link")</f>
        <v/>
      </c>
      <c r="N1914" s="6">
        <f>HYPERLINK("C:\Projects\Kleinanzeigen-Scraper\offer_images\421445", "Link")</f>
        <v/>
      </c>
      <c r="O1914" t="inlineStr">
        <is>
          <t>Claudius_54</t>
        </is>
      </c>
      <c r="P1914" s="6">
        <f>HYPERLINK("https://www.dailydose.de/kleinanzeigen/user/6456", "Link")</f>
        <v/>
      </c>
      <c r="Q1914" s="7" t="n">
        <v>45536.91260416667</v>
      </c>
      <c r="R1914" s="3" t="inlineStr">
        <is>
          <t>357.52</t>
        </is>
      </c>
      <c r="S1914" t="inlineStr">
        <is>
          <t>Köln</t>
        </is>
      </c>
    </row>
    <row r="1915">
      <c r="A1915" s="2" t="n">
        <v>6.7</v>
      </c>
      <c r="B1915" t="inlineStr">
        <is>
          <t>Gun Sails RAPID</t>
        </is>
      </c>
      <c r="C1915" s="3" t="n">
        <v>458</v>
      </c>
      <c r="D1915" s="3" t="n">
        <v>200</v>
      </c>
      <c r="E1915" t="inlineStr">
        <is>
          <t>Freeride</t>
        </is>
      </c>
      <c r="F1915" t="inlineStr"/>
      <c r="G1915" t="inlineStr">
        <is>
          <t>used, repaired</t>
        </is>
      </c>
      <c r="H1915" s="4" t="n">
        <v>130</v>
      </c>
      <c r="I1915" t="inlineStr">
        <is>
          <t>VB</t>
        </is>
      </c>
      <c r="J1915" t="inlineStr">
        <is>
          <t>23909 Ratzeburg</t>
        </is>
      </c>
      <c r="K1915" s="5" t="n">
        <v>45534</v>
      </c>
      <c r="L1915" t="inlineStr">
        <is>
          <t>Sold</t>
        </is>
      </c>
      <c r="M1915" s="6">
        <f>HYPERLINK("https://www.dailydose.de/kleinanzeigen/detail.htm?ai=421805&amp;cf=kk&amp;pg=2&amp;ci=5", "Link")</f>
        <v/>
      </c>
      <c r="N1915" s="6">
        <f>HYPERLINK("C:\Projects\Kleinanzeigen-Scraper\offer_images\421805", "Link")</f>
        <v/>
      </c>
      <c r="O1915" t="inlineStr">
        <is>
          <t>Insider</t>
        </is>
      </c>
      <c r="P1915" s="6">
        <f>HYPERLINK("https://www.dailydose.de/kleinanzeigen/user/20603", "Link")</f>
        <v/>
      </c>
      <c r="Q1915" s="7" t="n">
        <v>45536.91260416667</v>
      </c>
      <c r="R1915" s="3" t="inlineStr">
        <is>
          <t>401.75</t>
        </is>
      </c>
      <c r="S1915" t="inlineStr">
        <is>
          <t>Köln</t>
        </is>
      </c>
    </row>
    <row r="1916">
      <c r="A1916" s="2" t="n">
        <v>4.5</v>
      </c>
      <c r="B1916" t="inlineStr">
        <is>
          <t>North Sails Natural</t>
        </is>
      </c>
      <c r="C1916" s="3" t="n">
        <v>4.25</v>
      </c>
      <c r="D1916" s="3" t="n">
        <v>1.46</v>
      </c>
      <c r="E1916" t="inlineStr"/>
      <c r="F1916" t="inlineStr">
        <is>
          <t>2008</t>
        </is>
      </c>
      <c r="G1916" t="inlineStr">
        <is>
          <t>used</t>
        </is>
      </c>
      <c r="H1916" s="4" t="n">
        <v>120</v>
      </c>
      <c r="I1916" t="inlineStr">
        <is>
          <t>VB</t>
        </is>
      </c>
      <c r="J1916" t="inlineStr">
        <is>
          <t>47259 Duisburg</t>
        </is>
      </c>
      <c r="K1916" s="5" t="n">
        <v>45529</v>
      </c>
      <c r="L1916" t="inlineStr">
        <is>
          <t>Sold</t>
        </is>
      </c>
      <c r="M1916" s="6">
        <f>HYPERLINK("https://www.dailydose.de/kleinanzeigen/detail.htm?ai=421394&amp;cf=kk&amp;pg=5&amp;ci=5", "Link")</f>
        <v/>
      </c>
      <c r="N1916" s="6">
        <f>HYPERLINK("C:\Projects\Kleinanzeigen-Scraper\offer_images\421394", "Link")</f>
        <v/>
      </c>
      <c r="O1916" t="inlineStr">
        <is>
          <t>Christoph Laux</t>
        </is>
      </c>
      <c r="P1916" s="6">
        <f>HYPERLINK("https://www.dailydose.de/kleinanzeigen/user/6012", "Link")</f>
        <v/>
      </c>
      <c r="Q1916" s="7" t="n">
        <v>45536.91256944444</v>
      </c>
      <c r="R1916" s="3" t="inlineStr">
        <is>
          <t>49.13</t>
        </is>
      </c>
      <c r="S1916" t="inlineStr">
        <is>
          <t>Köln</t>
        </is>
      </c>
    </row>
    <row r="1917">
      <c r="A1917" s="2" t="n">
        <v>6.9</v>
      </c>
      <c r="B1917" t="inlineStr">
        <is>
          <t>Goya Nexus</t>
        </is>
      </c>
      <c r="C1917" s="3" t="inlineStr"/>
      <c r="D1917" s="3" t="inlineStr"/>
      <c r="E1917" t="inlineStr"/>
      <c r="F1917" t="inlineStr">
        <is>
          <t>2020</t>
        </is>
      </c>
      <c r="G1917" t="inlineStr">
        <is>
          <t>used</t>
        </is>
      </c>
      <c r="H1917" s="4" t="n">
        <v>330</v>
      </c>
      <c r="I1917" t="inlineStr"/>
      <c r="J1917" t="inlineStr">
        <is>
          <t>50321 Brühl</t>
        </is>
      </c>
      <c r="K1917" s="5" t="n">
        <v>45528</v>
      </c>
      <c r="L1917" t="inlineStr">
        <is>
          <t>Sold</t>
        </is>
      </c>
      <c r="M1917" s="6">
        <f>HYPERLINK("https://www.dailydose.de/kleinanzeigen/detail.htm?ai=421374&amp;cf=kk&amp;pg=5&amp;ci=5", "Link")</f>
        <v/>
      </c>
      <c r="N1917" s="6">
        <f>HYPERLINK("C:\Projects\Kleinanzeigen-Scraper\offer_images\421374", "Link")</f>
        <v/>
      </c>
      <c r="O1917" t="inlineStr">
        <is>
          <t>Charlie</t>
        </is>
      </c>
      <c r="P1917" s="6">
        <f>HYPERLINK("https://www.dailydose.de/kleinanzeigen/user/22420", "Link")</f>
        <v/>
      </c>
      <c r="Q1917" s="7" t="n">
        <v>45536.91253472222</v>
      </c>
      <c r="R1917" s="3" t="inlineStr">
        <is>
          <t>14.26</t>
        </is>
      </c>
      <c r="S1917" t="inlineStr">
        <is>
          <t>Köln</t>
        </is>
      </c>
    </row>
    <row r="1918">
      <c r="A1918" s="2" t="n">
        <v>5.3</v>
      </c>
      <c r="B1918" t="inlineStr">
        <is>
          <t>Vandal Riot</t>
        </is>
      </c>
      <c r="C1918" s="3" t="n">
        <v>400</v>
      </c>
      <c r="D1918" s="3" t="n">
        <v>175</v>
      </c>
      <c r="E1918" t="inlineStr"/>
      <c r="F1918" t="inlineStr"/>
      <c r="G1918" t="inlineStr">
        <is>
          <t>used</t>
        </is>
      </c>
      <c r="H1918" s="4" t="n">
        <v>90</v>
      </c>
      <c r="I1918" t="inlineStr"/>
      <c r="J1918" t="inlineStr">
        <is>
          <t>53844 Troisdorf</t>
        </is>
      </c>
      <c r="K1918" s="5" t="n">
        <v>45528</v>
      </c>
      <c r="L1918" t="inlineStr">
        <is>
          <t>Sold</t>
        </is>
      </c>
      <c r="M1918" s="6">
        <f>HYPERLINK("https://www.dailydose.de/kleinanzeigen/detail.htm?ai=421350&amp;cf=kk&amp;pg=5&amp;ci=5", "Link")</f>
        <v/>
      </c>
      <c r="N1918" s="6">
        <f>HYPERLINK("C:\Projects\Kleinanzeigen-Scraper\offer_images\421350", "Link")</f>
        <v/>
      </c>
      <c r="O1918" t="inlineStr">
        <is>
          <t>GK</t>
        </is>
      </c>
      <c r="P1918" s="6">
        <f>HYPERLINK("https://www.dailydose.de/kleinanzeigen/user/13476", "Link")</f>
        <v/>
      </c>
      <c r="Q1918" s="7" t="n">
        <v>45536.91251157408</v>
      </c>
      <c r="R1918" s="3" t="inlineStr">
        <is>
          <t>19.95</t>
        </is>
      </c>
      <c r="S1918" t="inlineStr">
        <is>
          <t>Köln</t>
        </is>
      </c>
    </row>
    <row r="1919">
      <c r="A1919" s="2" t="n">
        <v>5.3</v>
      </c>
      <c r="B1919" t="inlineStr">
        <is>
          <t>Severne Blade pro</t>
        </is>
      </c>
      <c r="C1919" s="3" t="inlineStr"/>
      <c r="D1919" s="3" t="inlineStr"/>
      <c r="E1919" t="inlineStr"/>
      <c r="F1919" t="inlineStr">
        <is>
          <t>2021</t>
        </is>
      </c>
      <c r="G1919" t="inlineStr">
        <is>
          <t>used</t>
        </is>
      </c>
      <c r="H1919" s="4" t="n">
        <v>480</v>
      </c>
      <c r="I1919" t="inlineStr"/>
      <c r="J1919" t="inlineStr">
        <is>
          <t>93309 Kelheim</t>
        </is>
      </c>
      <c r="K1919" s="5" t="n">
        <v>45536</v>
      </c>
      <c r="L1919" t="inlineStr">
        <is>
          <t>Sold</t>
        </is>
      </c>
      <c r="M1919" s="6">
        <f>HYPERLINK("https://www.dailydose.de/kleinanzeigen/detail.htm?ai=421914&amp;cf=kk&amp;pg=5&amp;ci=5", "Link")</f>
        <v/>
      </c>
      <c r="N1919" s="6">
        <f>HYPERLINK("C:\Projects\Kleinanzeigen-Scraper\offer_images\421914", "Link")</f>
        <v/>
      </c>
      <c r="O1919" t="inlineStr">
        <is>
          <t>Rosl81</t>
        </is>
      </c>
      <c r="P1919" s="6">
        <f>HYPERLINK("https://www.dailydose.de/kleinanzeigen/user/16719", "Link")</f>
        <v/>
      </c>
      <c r="Q1919" s="7" t="n">
        <v>45536.91244212963</v>
      </c>
      <c r="R1919" s="3" t="inlineStr">
        <is>
          <t>88.18</t>
        </is>
      </c>
      <c r="S1919" t="inlineStr">
        <is>
          <t>München</t>
        </is>
      </c>
    </row>
    <row r="1920">
      <c r="A1920" s="2" t="n">
        <v>4.5</v>
      </c>
      <c r="B1920" t="inlineStr">
        <is>
          <t>DUOTONE SUPER HERO M.PLUS</t>
        </is>
      </c>
      <c r="C1920" s="3" t="n">
        <v>370</v>
      </c>
      <c r="D1920" s="3" t="inlineStr">
        <is>
          <t>159-195</t>
        </is>
      </c>
      <c r="E1920" t="inlineStr"/>
      <c r="F1920" t="inlineStr">
        <is>
          <t>2022</t>
        </is>
      </c>
      <c r="G1920" t="inlineStr">
        <is>
          <t>new</t>
        </is>
      </c>
      <c r="H1920" s="4" t="n">
        <v>350</v>
      </c>
      <c r="I1920" t="inlineStr"/>
      <c r="J1920" t="inlineStr">
        <is>
          <t>35096 Weimar</t>
        </is>
      </c>
      <c r="K1920" s="5" t="n">
        <v>45536</v>
      </c>
      <c r="L1920" t="inlineStr">
        <is>
          <t>Sold</t>
        </is>
      </c>
      <c r="M1920" s="6">
        <f>HYPERLINK("https://www.dailydose.de/kleinanzeigen/detail.htm?ai=421906&amp;cf=kk&amp;pg=5&amp;ci=5", "Link")</f>
        <v/>
      </c>
      <c r="N1920" s="6">
        <f>HYPERLINK("C:\Projects\Kleinanzeigen-Scraper\offer_images\421906", "Link")</f>
        <v/>
      </c>
      <c r="O1920" t="inlineStr">
        <is>
          <t>Harald Dorndorf</t>
        </is>
      </c>
      <c r="P1920" s="6">
        <f>HYPERLINK("https://www.dailydose.de/kleinanzeigen/user/11063", "Link")</f>
        <v/>
      </c>
      <c r="Q1920" s="7" t="n">
        <v>45536.91244212963</v>
      </c>
      <c r="R1920" s="3" t="inlineStr">
        <is>
          <t>124.91</t>
        </is>
      </c>
      <c r="S1920" t="inlineStr">
        <is>
          <t>Köln</t>
        </is>
      </c>
    </row>
    <row r="1921">
      <c r="A1921" s="2" t="n">
        <v>6.5</v>
      </c>
      <c r="B1921" t="inlineStr">
        <is>
          <t>Severne NCX</t>
        </is>
      </c>
      <c r="C1921" s="3" t="n">
        <v>430</v>
      </c>
      <c r="D1921" s="3" t="n">
        <v>182</v>
      </c>
      <c r="E1921" t="inlineStr">
        <is>
          <t>Freerace</t>
        </is>
      </c>
      <c r="F1921" t="inlineStr"/>
      <c r="G1921" t="inlineStr">
        <is>
          <t>used</t>
        </is>
      </c>
      <c r="H1921" s="4" t="n">
        <v>320</v>
      </c>
      <c r="I1921" t="inlineStr"/>
      <c r="J1921" t="inlineStr">
        <is>
          <t>86807 Buchloe</t>
        </is>
      </c>
      <c r="K1921" s="5" t="n">
        <v>45531</v>
      </c>
      <c r="L1921" t="inlineStr">
        <is>
          <t>Sold</t>
        </is>
      </c>
      <c r="M1921" s="6">
        <f>HYPERLINK("https://www.dailydose.de/kleinanzeigen/detail.htm?ai=421594&amp;cf=kk&amp;pg=4&amp;ci=5", "Link")</f>
        <v/>
      </c>
      <c r="N1921" s="6">
        <f>HYPERLINK("C:\Projects\Kleinanzeigen-Scraper\offer_images\421594", "Link")</f>
        <v/>
      </c>
      <c r="O1921" t="inlineStr">
        <is>
          <t>surficus_84</t>
        </is>
      </c>
      <c r="P1921" s="6">
        <f>HYPERLINK("https://www.dailydose.de/kleinanzeigen/user/22532", "Link")</f>
        <v/>
      </c>
      <c r="Q1921" s="7" t="n">
        <v>45536.91241898148</v>
      </c>
      <c r="R1921" s="3" t="inlineStr">
        <is>
          <t>63.47</t>
        </is>
      </c>
      <c r="S1921" t="inlineStr">
        <is>
          <t>München</t>
        </is>
      </c>
    </row>
    <row r="1922">
      <c r="A1922" s="2" t="n">
        <v>5.7</v>
      </c>
      <c r="B1922" t="inlineStr">
        <is>
          <t>GUN SAIL Rapid S7</t>
        </is>
      </c>
      <c r="C1922" s="3" t="inlineStr"/>
      <c r="D1922" s="3" t="inlineStr"/>
      <c r="E1922" t="inlineStr"/>
      <c r="F1922" t="inlineStr"/>
      <c r="G1922" t="inlineStr"/>
      <c r="H1922" s="4" t="n">
        <v>125</v>
      </c>
      <c r="I1922" t="inlineStr"/>
      <c r="J1922" t="inlineStr">
        <is>
          <t>23847 Bliestorf</t>
        </is>
      </c>
      <c r="K1922" s="5" t="n">
        <v>45529</v>
      </c>
      <c r="L1922" t="inlineStr">
        <is>
          <t>Sold</t>
        </is>
      </c>
      <c r="M1922" s="6">
        <f>HYPERLINK("https://www.dailydose.de/kleinanzeigen/detail.htm?ai=421402&amp;cf=kk&amp;pg=5&amp;ci=5", "Link")</f>
        <v/>
      </c>
      <c r="N1922" s="6">
        <f>HYPERLINK("C:\Projects\Kleinanzeigen-Scraper\offer_images\421402", "Link")</f>
        <v/>
      </c>
      <c r="O1922" t="inlineStr">
        <is>
          <t>Ingo Jaacks</t>
        </is>
      </c>
      <c r="P1922" s="6">
        <f>HYPERLINK("https://www.dailydose.de/kleinanzeigen/user/11228", "Link")</f>
        <v/>
      </c>
      <c r="Q1922" s="7" t="n">
        <v>45536.91231481481</v>
      </c>
      <c r="R1922" s="3" t="inlineStr">
        <is>
          <t>393.54</t>
        </is>
      </c>
      <c r="S1922" t="inlineStr">
        <is>
          <t>Köln</t>
        </is>
      </c>
    </row>
    <row r="1923">
      <c r="A1923" s="2" t="n">
        <v>5.3</v>
      </c>
      <c r="B1923" t="inlineStr">
        <is>
          <t>Neil Pryde RS Racing Evo 15</t>
        </is>
      </c>
      <c r="C1923" s="3" t="inlineStr"/>
      <c r="D1923" s="3" t="inlineStr"/>
      <c r="E1923" t="inlineStr">
        <is>
          <t>Racing</t>
        </is>
      </c>
      <c r="F1923" t="inlineStr">
        <is>
          <t>2024</t>
        </is>
      </c>
      <c r="G1923" t="inlineStr"/>
      <c r="H1923" s="4" t="n">
        <v>750</v>
      </c>
      <c r="I1923" t="inlineStr"/>
      <c r="J1923" t="inlineStr">
        <is>
          <t>88250 Weingarten</t>
        </is>
      </c>
      <c r="K1923" s="5" t="n">
        <v>45533</v>
      </c>
      <c r="L1923" t="inlineStr">
        <is>
          <t>Sold</t>
        </is>
      </c>
      <c r="M1923" s="6">
        <f>HYPERLINK("https://www.dailydose.de/kleinanzeigen/detail.htm?ai=421743&amp;cf=kk&amp;pg=4&amp;ci=5", "Link")</f>
        <v/>
      </c>
      <c r="N1923" s="6">
        <f>HYPERLINK("C:\Projects\Kleinanzeigen-Scraper\offer_images\421743", "Link")</f>
        <v/>
      </c>
      <c r="O1923" t="inlineStr">
        <is>
          <t>Markus_111</t>
        </is>
      </c>
      <c r="P1923" s="6">
        <f>HYPERLINK("https://www.dailydose.de/kleinanzeigen/user/25219", "Link")</f>
        <v/>
      </c>
      <c r="Q1923" s="7" t="n">
        <v>45536.91228009259</v>
      </c>
      <c r="R1923" s="3" t="inlineStr">
        <is>
          <t>97.39</t>
        </is>
      </c>
      <c r="S1923" t="inlineStr">
        <is>
          <t>Bonndorf</t>
        </is>
      </c>
    </row>
    <row r="1924">
      <c r="A1924" s="2" t="n">
        <v>5.6</v>
      </c>
      <c r="B1924" t="inlineStr">
        <is>
          <t>Neil Pryde RS Racing Evo 15</t>
        </is>
      </c>
      <c r="C1924" s="3" t="inlineStr"/>
      <c r="D1924" s="3" t="inlineStr"/>
      <c r="E1924" t="inlineStr"/>
      <c r="F1924" t="inlineStr">
        <is>
          <t>2024</t>
        </is>
      </c>
      <c r="G1924" t="inlineStr"/>
      <c r="H1924" s="4" t="n">
        <v>760</v>
      </c>
      <c r="I1924" t="inlineStr"/>
      <c r="J1924" t="inlineStr">
        <is>
          <t>88250 Weingarten</t>
        </is>
      </c>
      <c r="K1924" s="5" t="n">
        <v>45533</v>
      </c>
      <c r="L1924" t="inlineStr">
        <is>
          <t>Sold</t>
        </is>
      </c>
      <c r="M1924" s="6">
        <f>HYPERLINK("https://www.dailydose.de/kleinanzeigen/detail.htm?ai=421742&amp;cf=kk&amp;pg=3&amp;ci=5", "Link")</f>
        <v/>
      </c>
      <c r="N1924" s="6">
        <f>HYPERLINK("C:\Projects\Kleinanzeigen-Scraper\offer_images\421742", "Link")</f>
        <v/>
      </c>
      <c r="O1924" t="inlineStr">
        <is>
          <t>Markus_111</t>
        </is>
      </c>
      <c r="P1924" s="6">
        <f>HYPERLINK("https://www.dailydose.de/kleinanzeigen/user/25219", "Link")</f>
        <v/>
      </c>
      <c r="Q1924" s="7" t="n">
        <v>45536.91222222222</v>
      </c>
      <c r="R1924" s="3" t="inlineStr">
        <is>
          <t>97.39</t>
        </is>
      </c>
      <c r="S1924" t="inlineStr">
        <is>
          <t>Bonndorf</t>
        </is>
      </c>
    </row>
    <row r="1925">
      <c r="A1925" s="2" t="n">
        <v>4.7</v>
      </c>
      <c r="B1925" t="inlineStr">
        <is>
          <t>Simmer</t>
        </is>
      </c>
      <c r="C1925" s="3" t="n">
        <v>370</v>
      </c>
      <c r="D1925" s="3" t="inlineStr"/>
      <c r="E1925" t="inlineStr"/>
      <c r="F1925" t="inlineStr"/>
      <c r="G1925" t="inlineStr">
        <is>
          <t>new</t>
        </is>
      </c>
      <c r="H1925" s="4" t="n">
        <v>400</v>
      </c>
      <c r="I1925" t="inlineStr"/>
      <c r="J1925" t="inlineStr">
        <is>
          <t>33619 Bielefeld</t>
        </is>
      </c>
      <c r="K1925" s="5" t="n">
        <v>45533</v>
      </c>
      <c r="L1925" t="inlineStr">
        <is>
          <t>Sold</t>
        </is>
      </c>
      <c r="M1925" s="6">
        <f>HYPERLINK("https://www.dailydose.de/kleinanzeigen/detail.htm?ai=421712&amp;cf=kk&amp;pg=5&amp;ci=5", "Link")</f>
        <v/>
      </c>
      <c r="N1925" s="6">
        <f>HYPERLINK("C:\Projects\Kleinanzeigen-Scraper\offer_images\421712", "Link")</f>
        <v/>
      </c>
      <c r="O1925" t="inlineStr">
        <is>
          <t>Moritz Overk</t>
        </is>
      </c>
      <c r="P1925" s="6">
        <f>HYPERLINK("https://www.dailydose.de/kleinanzeigen/user/17157", "Link")</f>
        <v/>
      </c>
      <c r="Q1925" s="7" t="n">
        <v>45536.91222222222</v>
      </c>
      <c r="R1925" s="3" t="inlineStr">
        <is>
          <t>161.64</t>
        </is>
      </c>
      <c r="S1925" t="inlineStr">
        <is>
          <t>Köln</t>
        </is>
      </c>
    </row>
    <row r="1926">
      <c r="A1926" s="2" t="n">
        <v>5</v>
      </c>
      <c r="B1926" t="inlineStr">
        <is>
          <t>Duotone WARP</t>
        </is>
      </c>
      <c r="C1926" s="3" t="n">
        <v>392</v>
      </c>
      <c r="D1926" s="3" t="n">
        <v>175</v>
      </c>
      <c r="E1926" t="inlineStr"/>
      <c r="F1926" t="inlineStr">
        <is>
          <t>2020</t>
        </is>
      </c>
      <c r="G1926" t="inlineStr"/>
      <c r="H1926" s="4" t="n">
        <v>290</v>
      </c>
      <c r="I1926" t="inlineStr"/>
      <c r="J1926" t="inlineStr">
        <is>
          <t>87616 Marktoberdorf</t>
        </is>
      </c>
      <c r="K1926" s="5" t="n">
        <v>45531</v>
      </c>
      <c r="L1926" t="inlineStr">
        <is>
          <t>Sold</t>
        </is>
      </c>
      <c r="M1926" s="6">
        <f>HYPERLINK("https://www.dailydose.de/kleinanzeigen/detail.htm?ai=421564&amp;cf=kk&amp;pg=5&amp;ci=5", "Link")</f>
        <v/>
      </c>
      <c r="N1926" s="6">
        <f>HYPERLINK("C:\Projects\Kleinanzeigen-Scraper\offer_images\421564", "Link")</f>
        <v/>
      </c>
      <c r="O1926" t="inlineStr">
        <is>
          <t>Achim_189</t>
        </is>
      </c>
      <c r="P1926" s="6">
        <f>HYPERLINK("https://www.dailydose.de/kleinanzeigen/user/19262", "Link")</f>
        <v/>
      </c>
      <c r="Q1926" s="7" t="n">
        <v>45536.91215277778</v>
      </c>
      <c r="R1926" s="3" t="inlineStr">
        <is>
          <t>83.30</t>
        </is>
      </c>
      <c r="S1926" t="inlineStr">
        <is>
          <t>München</t>
        </is>
      </c>
    </row>
    <row r="1927">
      <c r="A1927" s="2" t="n">
        <v>7</v>
      </c>
      <c r="B1927" t="inlineStr">
        <is>
          <t>5-Oceans Windspeed</t>
        </is>
      </c>
      <c r="C1927" s="3" t="inlineStr"/>
      <c r="D1927" s="3" t="inlineStr">
        <is>
          <t>194-198</t>
        </is>
      </c>
      <c r="E1927" t="inlineStr">
        <is>
          <t>Freerace, Freeride</t>
        </is>
      </c>
      <c r="F1927" t="inlineStr"/>
      <c r="G1927" t="inlineStr">
        <is>
          <t>used</t>
        </is>
      </c>
      <c r="H1927" s="4" t="n">
        <v>699</v>
      </c>
      <c r="I1927" t="inlineStr"/>
      <c r="J1927" t="inlineStr">
        <is>
          <t>28205 Bremen</t>
        </is>
      </c>
      <c r="K1927" s="5" t="n">
        <v>45532</v>
      </c>
      <c r="L1927" t="inlineStr">
        <is>
          <t>Sold</t>
        </is>
      </c>
      <c r="M1927" s="6">
        <f>HYPERLINK("https://www.dailydose.de/kleinanzeigen/detail.htm?ai=421633&amp;cf=kk&amp;pg=5&amp;ci=5", "Link")</f>
        <v/>
      </c>
      <c r="N1927" s="6">
        <f>HYPERLINK("C:\Projects\Kleinanzeigen-Scraper\offer_images\421633", "Link")</f>
        <v/>
      </c>
      <c r="O1927" t="inlineStr">
        <is>
          <t>tim-bremen</t>
        </is>
      </c>
      <c r="P1927" s="6">
        <f>HYPERLINK("https://www.dailydose.de/kleinanzeigen/user/23540", "Link")</f>
        <v/>
      </c>
      <c r="Q1927" s="7" t="n">
        <v>45536.91211805555</v>
      </c>
      <c r="R1927" s="3" t="inlineStr">
        <is>
          <t>269.99</t>
        </is>
      </c>
      <c r="S1927" t="inlineStr">
        <is>
          <t>Köln</t>
        </is>
      </c>
    </row>
    <row r="1928">
      <c r="A1928" s="2" t="n">
        <v>4</v>
      </c>
      <c r="B1928" t="inlineStr">
        <is>
          <t>Naish Boxer</t>
        </is>
      </c>
      <c r="C1928" s="3" t="inlineStr"/>
      <c r="D1928" s="3" t="inlineStr"/>
      <c r="E1928" t="inlineStr"/>
      <c r="F1928" t="inlineStr"/>
      <c r="G1928" t="inlineStr">
        <is>
          <t>used</t>
        </is>
      </c>
      <c r="H1928" s="4" t="n">
        <v>90</v>
      </c>
      <c r="I1928" t="inlineStr">
        <is>
          <t>VB</t>
        </is>
      </c>
      <c r="J1928" t="inlineStr">
        <is>
          <t>21502 Geesthacht</t>
        </is>
      </c>
      <c r="K1928" s="5" t="n">
        <v>45532</v>
      </c>
      <c r="L1928" t="inlineStr">
        <is>
          <t>Sold</t>
        </is>
      </c>
      <c r="M1928" s="6">
        <f>HYPERLINK("https://www.dailydose.de/kleinanzeigen/detail.htm?ai=421648&amp;cf=kk&amp;pg=5&amp;ci=5", "Link")</f>
        <v/>
      </c>
      <c r="N1928" s="6">
        <f>HYPERLINK("C:\Projects\Kleinanzeigen-Scraper\offer_images\421648", "Link")</f>
        <v/>
      </c>
      <c r="O1928" t="inlineStr">
        <is>
          <t>oavp</t>
        </is>
      </c>
      <c r="P1928" s="6">
        <f>HYPERLINK("https://www.dailydose.de/kleinanzeigen/user/26332", "Link")</f>
        <v/>
      </c>
      <c r="Q1928" s="7" t="n">
        <v>45536.91202546296</v>
      </c>
      <c r="R1928" s="3" t="inlineStr">
        <is>
          <t>364.52</t>
        </is>
      </c>
      <c r="S1928" t="inlineStr">
        <is>
          <t>Köln</t>
        </is>
      </c>
    </row>
    <row r="1929">
      <c r="A1929" s="2" t="n">
        <v>7</v>
      </c>
      <c r="B1929" t="inlineStr">
        <is>
          <t>Patrik Race+</t>
        </is>
      </c>
      <c r="C1929" s="3" t="inlineStr">
        <is>
          <t>430-440</t>
        </is>
      </c>
      <c r="D1929" s="3" t="inlineStr"/>
      <c r="E1929" t="inlineStr">
        <is>
          <t>Race/Slalom</t>
        </is>
      </c>
      <c r="F1929" t="inlineStr">
        <is>
          <t>2022</t>
        </is>
      </c>
      <c r="G1929" t="inlineStr">
        <is>
          <t>used</t>
        </is>
      </c>
      <c r="H1929" s="4" t="n">
        <v>345</v>
      </c>
      <c r="I1929" t="inlineStr">
        <is>
          <t>VB</t>
        </is>
      </c>
      <c r="J1929" t="inlineStr">
        <is>
          <t>25436</t>
        </is>
      </c>
      <c r="K1929" s="5" t="n">
        <v>45528</v>
      </c>
      <c r="L1929" t="inlineStr">
        <is>
          <t>Sold</t>
        </is>
      </c>
      <c r="M1929" s="6">
        <f>HYPERLINK("https://www.dailydose.de/kleinanzeigen/detail.htm?ai=421379&amp;cf=kk&amp;pg=5&amp;ci=5", "Link")</f>
        <v/>
      </c>
      <c r="N1929" s="6">
        <f>HYPERLINK("C:\Projects\Kleinanzeigen-Scraper\offer_images\421379", "Link")</f>
        <v/>
      </c>
      <c r="O1929" t="inlineStr">
        <is>
          <t>Joachim_G402</t>
        </is>
      </c>
      <c r="P1929" s="6">
        <f>HYPERLINK("https://www.dailydose.de/kleinanzeigen/user/25991", "Link")</f>
        <v/>
      </c>
      <c r="Q1929" s="7" t="n">
        <v>45536.91194444444</v>
      </c>
      <c r="R1929" s="3" t="inlineStr">
        <is>
          <t>356.69</t>
        </is>
      </c>
      <c r="S1929" t="inlineStr">
        <is>
          <t>Köln</t>
        </is>
      </c>
    </row>
    <row r="1930">
      <c r="A1930" s="2" t="n">
        <v>6.9</v>
      </c>
      <c r="B1930" t="inlineStr">
        <is>
          <t>Gun Sails TEMPO</t>
        </is>
      </c>
      <c r="C1930" s="3" t="n">
        <v>467</v>
      </c>
      <c r="D1930" s="3" t="n">
        <v>209</v>
      </c>
      <c r="E1930" t="inlineStr">
        <is>
          <t>Freeride</t>
        </is>
      </c>
      <c r="F1930" t="inlineStr"/>
      <c r="G1930" t="inlineStr">
        <is>
          <t>used, good condition</t>
        </is>
      </c>
      <c r="H1930" s="4" t="n">
        <v>99</v>
      </c>
      <c r="I1930" t="inlineStr">
        <is>
          <t>VB</t>
        </is>
      </c>
      <c r="J1930" t="inlineStr">
        <is>
          <t>23769 Fehmarn</t>
        </is>
      </c>
      <c r="K1930" s="5" t="n">
        <v>45528</v>
      </c>
      <c r="L1930" t="inlineStr">
        <is>
          <t>Sold</t>
        </is>
      </c>
      <c r="M1930" s="6">
        <f>HYPERLINK("https://www.dailydose.de/kleinanzeigen/detail.htm?ai=421332&amp;cf=kk&amp;pg=5&amp;ci=5", "Link")</f>
        <v/>
      </c>
      <c r="N1930" s="6">
        <f>HYPERLINK("C:\Projects\Kleinanzeigen-Scraper\offer_images\421332", "Link")</f>
        <v/>
      </c>
      <c r="O1930" t="inlineStr">
        <is>
          <t>Insider</t>
        </is>
      </c>
      <c r="P1930" s="6">
        <f>HYPERLINK("https://www.dailydose.de/kleinanzeigen/user/20603", "Link")</f>
        <v/>
      </c>
      <c r="Q1930" s="7" t="n">
        <v>45536.91190972222</v>
      </c>
      <c r="R1930" s="3" t="inlineStr">
        <is>
          <t>483.01</t>
        </is>
      </c>
      <c r="S1930" t="inlineStr">
        <is>
          <t>Köln</t>
        </is>
      </c>
    </row>
    <row r="1931">
      <c r="A1931" s="2" t="n">
        <v>4.7</v>
      </c>
      <c r="B1931" t="inlineStr">
        <is>
          <t>Gaastra Manic HD</t>
        </is>
      </c>
      <c r="C1931" s="3" t="n">
        <v>400</v>
      </c>
      <c r="D1931" s="3" t="n">
        <v>164</v>
      </c>
      <c r="E1931" t="inlineStr"/>
      <c r="F1931" t="inlineStr"/>
      <c r="G1931" t="inlineStr">
        <is>
          <t>used</t>
        </is>
      </c>
      <c r="H1931" s="4" t="n">
        <v>50</v>
      </c>
      <c r="I1931" t="inlineStr"/>
      <c r="J1931" t="inlineStr">
        <is>
          <t>DK 6960 Hvide Sande</t>
        </is>
      </c>
      <c r="K1931" s="5" t="n">
        <v>45536</v>
      </c>
      <c r="L1931" t="inlineStr">
        <is>
          <t>Sold</t>
        </is>
      </c>
      <c r="M1931" s="6">
        <f>HYPERLINK("https://www.dailydose.de/kleinanzeigen/detail.htm?ai=421875&amp;cf=kk&amp;pg=5&amp;ci=5", "Link")</f>
        <v/>
      </c>
      <c r="N1931" s="6">
        <f>HYPERLINK("C:\Projects\Kleinanzeigen-Scraper\offer_images\421875", "Link")</f>
        <v/>
      </c>
      <c r="O1931" t="inlineStr">
        <is>
          <t>Thomas Grzybowski</t>
        </is>
      </c>
      <c r="P1931" s="6">
        <f>HYPERLINK("https://www.dailydose.de/kleinanzeigen/user/22435", "Link")</f>
        <v/>
      </c>
      <c r="Q1931" s="7" t="n">
        <v>45536.91188657407</v>
      </c>
      <c r="R1931" s="3" t="inlineStr">
        <is>
          <t>568.76</t>
        </is>
      </c>
      <c r="S1931" t="inlineStr">
        <is>
          <t>Köln</t>
        </is>
      </c>
    </row>
    <row r="1932">
      <c r="A1932" s="2" t="n">
        <v>9.199999999999999</v>
      </c>
      <c r="B1932" t="inlineStr">
        <is>
          <t>Gun Sails GS-R</t>
        </is>
      </c>
      <c r="C1932" s="3" t="inlineStr"/>
      <c r="D1932" s="3" t="inlineStr"/>
      <c r="E1932" t="inlineStr"/>
      <c r="F1932" t="inlineStr">
        <is>
          <t>2018</t>
        </is>
      </c>
      <c r="G1932" t="inlineStr">
        <is>
          <t>used</t>
        </is>
      </c>
      <c r="H1932" s="4" t="inlineStr">
        <is>
          <t>schlag was vor</t>
        </is>
      </c>
      <c r="I1932" t="inlineStr"/>
      <c r="J1932" t="inlineStr">
        <is>
          <t>51069 Köln</t>
        </is>
      </c>
      <c r="K1932" s="5" t="n">
        <v>45534</v>
      </c>
      <c r="L1932" t="inlineStr">
        <is>
          <t>Sold</t>
        </is>
      </c>
      <c r="M1932" s="6">
        <f>HYPERLINK("https://www.dailydose.de/kleinanzeigen/detail.htm?ai=421811&amp;cf=kk&amp;pg=5&amp;ci=5", "Link")</f>
        <v/>
      </c>
      <c r="N1932" s="6">
        <f>HYPERLINK("C:\Projects\Kleinanzeigen-Scraper\offer_images\421811", "Link")</f>
        <v/>
      </c>
      <c r="O1932" t="inlineStr">
        <is>
          <t>riverracer</t>
        </is>
      </c>
      <c r="P1932" s="6">
        <f>HYPERLINK("https://www.dailydose.de/kleinanzeigen/user/15726", "Link")</f>
        <v/>
      </c>
      <c r="Q1932" s="7" t="n">
        <v>45536.91188657407</v>
      </c>
      <c r="R1932" s="3" t="inlineStr">
        <is>
          <t>9.37</t>
        </is>
      </c>
      <c r="S1932" t="inlineStr">
        <is>
          <t>Köln</t>
        </is>
      </c>
    </row>
    <row r="1933">
      <c r="A1933" s="2" t="n">
        <v>7.1</v>
      </c>
      <c r="B1933" t="inlineStr">
        <is>
          <t>Gunsails Vector</t>
        </is>
      </c>
      <c r="C1933" s="3" t="inlineStr"/>
      <c r="D1933" s="3" t="inlineStr"/>
      <c r="E1933" t="inlineStr"/>
      <c r="F1933" t="inlineStr">
        <is>
          <t>2022</t>
        </is>
      </c>
      <c r="G1933" t="inlineStr">
        <is>
          <t>new</t>
        </is>
      </c>
      <c r="H1933" s="4" t="n">
        <v>390</v>
      </c>
      <c r="I1933" t="inlineStr"/>
      <c r="J1933" t="inlineStr">
        <is>
          <t>28209 Bremen</t>
        </is>
      </c>
      <c r="K1933" s="5" t="n">
        <v>45536</v>
      </c>
      <c r="L1933" t="inlineStr">
        <is>
          <t>Sold</t>
        </is>
      </c>
      <c r="M1933" s="6">
        <f>HYPERLINK("https://www.dailydose.de/kleinanzeigen/detail.htm?ai=421926&amp;cf=kk&amp;pg=5&amp;ci=5", "Link")</f>
        <v/>
      </c>
      <c r="N1933" s="6">
        <f>HYPERLINK("C:\Projects\Kleinanzeigen-Scraper\offer_images\421926", "Link")</f>
        <v/>
      </c>
      <c r="O1933" t="inlineStr">
        <is>
          <t>Franz_198</t>
        </is>
      </c>
      <c r="P1933" s="6">
        <f>HYPERLINK("https://www.dailydose.de/kleinanzeigen/user/18375", "Link")</f>
        <v/>
      </c>
      <c r="Q1933" s="7" t="n">
        <v>45536.91185185185</v>
      </c>
      <c r="R1933" s="3" t="inlineStr">
        <is>
          <t>271.25</t>
        </is>
      </c>
      <c r="S1933" t="inlineStr">
        <is>
          <t>Köln</t>
        </is>
      </c>
    </row>
    <row r="1934">
      <c r="A1934" s="2" t="n">
        <v>5.3</v>
      </c>
      <c r="B1934" t="inlineStr">
        <is>
          <t>Duotone Super Hero</t>
        </is>
      </c>
      <c r="C1934" s="3" t="inlineStr"/>
      <c r="D1934" s="3" t="inlineStr"/>
      <c r="E1934" t="inlineStr"/>
      <c r="F1934" t="inlineStr">
        <is>
          <t>2024</t>
        </is>
      </c>
      <c r="G1934" t="inlineStr">
        <is>
          <t>new</t>
        </is>
      </c>
      <c r="H1934" s="4" t="n">
        <v>460</v>
      </c>
      <c r="I1934" t="inlineStr"/>
      <c r="J1934" t="inlineStr">
        <is>
          <t>26548 Ney, HB, HH, H</t>
        </is>
      </c>
      <c r="K1934" s="5" t="n">
        <v>45533</v>
      </c>
      <c r="L1934" t="inlineStr">
        <is>
          <t>Sold</t>
        </is>
      </c>
      <c r="M1934" s="6">
        <f>HYPERLINK("https://www.dailydose.de/kleinanzeigen/detail.htm?ai=421703&amp;cf=kk&amp;pg=5&amp;ci=5", "Link")</f>
        <v/>
      </c>
      <c r="N1934" s="6">
        <f>HYPERLINK("C:\Projects\Kleinanzeigen-Scraper\offer_images\421703", "Link")</f>
        <v/>
      </c>
      <c r="O1934" t="inlineStr">
        <is>
          <t>Flessi_161</t>
        </is>
      </c>
      <c r="P1934" s="6">
        <f>HYPERLINK("https://www.dailydose.de/kleinanzeigen/user/10920", "Link")</f>
        <v/>
      </c>
      <c r="Q1934" s="7" t="n">
        <v>45536.91185185185</v>
      </c>
      <c r="R1934" s="3" t="inlineStr">
        <is>
          <t>309.72</t>
        </is>
      </c>
      <c r="S1934" t="inlineStr">
        <is>
          <t>Köln</t>
        </is>
      </c>
    </row>
    <row r="1935">
      <c r="A1935" s="2" t="n">
        <v>6.3</v>
      </c>
      <c r="B1935" t="inlineStr">
        <is>
          <t>GUN Sails GS-R</t>
        </is>
      </c>
      <c r="C1935" s="3" t="inlineStr"/>
      <c r="D1935" s="3" t="inlineStr"/>
      <c r="E1935" t="inlineStr"/>
      <c r="F1935" t="inlineStr"/>
      <c r="G1935" t="inlineStr">
        <is>
          <t>repaired</t>
        </is>
      </c>
      <c r="H1935" s="4" t="inlineStr">
        <is>
          <t>schlag was vor</t>
        </is>
      </c>
      <c r="I1935" t="inlineStr"/>
      <c r="J1935" t="inlineStr">
        <is>
          <t>51069 Köln</t>
        </is>
      </c>
      <c r="K1935" s="5" t="n">
        <v>45534</v>
      </c>
      <c r="L1935" t="inlineStr">
        <is>
          <t>Sold</t>
        </is>
      </c>
      <c r="M1935" s="6">
        <f>HYPERLINK("https://www.dailydose.de/kleinanzeigen/detail.htm?ai=421821&amp;cf=kk&amp;pg=5&amp;ci=5", "Link")</f>
        <v/>
      </c>
      <c r="N1935" s="6">
        <f>HYPERLINK("C:\Projects\Kleinanzeigen-Scraper\offer_images\421821", "Link")</f>
        <v/>
      </c>
      <c r="O1935" t="inlineStr">
        <is>
          <t>riverracer</t>
        </is>
      </c>
      <c r="P1935" s="6">
        <f>HYPERLINK("https://www.dailydose.de/kleinanzeigen/user/15726", "Link")</f>
        <v/>
      </c>
      <c r="Q1935" s="7" t="n">
        <v>45536.91182870371</v>
      </c>
      <c r="R1935" s="3" t="inlineStr">
        <is>
          <t>9.37</t>
        </is>
      </c>
      <c r="S1935" t="inlineStr">
        <is>
          <t>Köln</t>
        </is>
      </c>
    </row>
    <row r="1936">
      <c r="A1936" s="2" t="n">
        <v>5.8</v>
      </c>
      <c r="B1936" t="inlineStr">
        <is>
          <t>Point 7 ACX</t>
        </is>
      </c>
      <c r="C1936" s="3" t="n">
        <v>434</v>
      </c>
      <c r="D1936" s="3" t="n">
        <v>173</v>
      </c>
      <c r="E1936" t="inlineStr">
        <is>
          <t>Freerace</t>
        </is>
      </c>
      <c r="F1936" t="inlineStr"/>
      <c r="G1936" t="inlineStr">
        <is>
          <t>used</t>
        </is>
      </c>
      <c r="H1936" s="4" t="n">
        <v>220</v>
      </c>
      <c r="I1936" t="inlineStr"/>
      <c r="J1936" t="inlineStr">
        <is>
          <t>86807 Buchloe</t>
        </is>
      </c>
      <c r="K1936" s="5" t="n">
        <v>45532</v>
      </c>
      <c r="L1936" t="inlineStr">
        <is>
          <t>Sold</t>
        </is>
      </c>
      <c r="M1936" s="6">
        <f>HYPERLINK("https://www.dailydose.de/kleinanzeigen/detail.htm?ai=421670&amp;cf=kk&amp;pg=5&amp;ci=5", "Link")</f>
        <v/>
      </c>
      <c r="N1936" s="6">
        <f>HYPERLINK("C:\Projects\Kleinanzeigen-Scraper\offer_images\421670", "Link")</f>
        <v/>
      </c>
      <c r="O1936" t="inlineStr">
        <is>
          <t>surficus_84</t>
        </is>
      </c>
      <c r="P1936" s="6">
        <f>HYPERLINK("https://www.dailydose.de/kleinanzeigen/user/22532", "Link")</f>
        <v/>
      </c>
      <c r="Q1936" s="7" t="n">
        <v>45536.91182870371</v>
      </c>
      <c r="R1936" s="3" t="inlineStr">
        <is>
          <t>63.47</t>
        </is>
      </c>
      <c r="S1936" t="inlineStr">
        <is>
          <t>München</t>
        </is>
      </c>
    </row>
    <row r="1937">
      <c r="A1937" s="2" t="n">
        <v>7.1</v>
      </c>
      <c r="B1937" t="inlineStr">
        <is>
          <t>Naish Rally</t>
        </is>
      </c>
      <c r="C1937" s="3" t="inlineStr"/>
      <c r="D1937" s="3" t="inlineStr"/>
      <c r="E1937" t="inlineStr"/>
      <c r="F1937" t="inlineStr"/>
      <c r="G1937" t="inlineStr">
        <is>
          <t>good</t>
        </is>
      </c>
      <c r="H1937" s="4" t="n">
        <v>180</v>
      </c>
      <c r="I1937" t="inlineStr"/>
      <c r="J1937" t="inlineStr">
        <is>
          <t>93309 Kelheim</t>
        </is>
      </c>
      <c r="K1937" s="5" t="n">
        <v>45536</v>
      </c>
      <c r="L1937" t="inlineStr">
        <is>
          <t>Sold</t>
        </is>
      </c>
      <c r="M1937" s="6">
        <f>HYPERLINK("https://www.dailydose.de/kleinanzeigen/detail.htm?ai=421917&amp;cf=kk&amp;pg=5&amp;ci=5", "Link")</f>
        <v/>
      </c>
      <c r="N1937" s="6">
        <f>HYPERLINK("C:\Projects\Kleinanzeigen-Scraper\offer_images\421917", "Link")</f>
        <v/>
      </c>
      <c r="O1937" t="inlineStr">
        <is>
          <t>Rosl81</t>
        </is>
      </c>
      <c r="P1937" s="6">
        <f>HYPERLINK("https://www.dailydose.de/kleinanzeigen/user/16719", "Link")</f>
        <v/>
      </c>
      <c r="Q1937" s="7" t="n">
        <v>45536.91181712963</v>
      </c>
      <c r="R1937" s="3" t="inlineStr">
        <is>
          <t>88.18</t>
        </is>
      </c>
      <c r="S1937" t="inlineStr">
        <is>
          <t>München</t>
        </is>
      </c>
    </row>
    <row r="1938">
      <c r="A1938" s="2" t="n">
        <v>6.6</v>
      </c>
      <c r="B1938" t="inlineStr">
        <is>
          <t>Gunsail Torro</t>
        </is>
      </c>
      <c r="C1938" s="3" t="n">
        <v>455</v>
      </c>
      <c r="D1938" s="3" t="n">
        <v>192</v>
      </c>
      <c r="E1938" t="inlineStr">
        <is>
          <t>Freeride</t>
        </is>
      </c>
      <c r="F1938" t="inlineStr">
        <is>
          <t>2019</t>
        </is>
      </c>
      <c r="G1938" t="inlineStr">
        <is>
          <t>used</t>
        </is>
      </c>
      <c r="H1938" s="4" t="n">
        <v>110</v>
      </c>
      <c r="I1938" t="inlineStr"/>
      <c r="J1938" t="inlineStr">
        <is>
          <t>23775 Großenbrode</t>
        </is>
      </c>
      <c r="K1938" s="5" t="n">
        <v>45535</v>
      </c>
      <c r="L1938" t="inlineStr">
        <is>
          <t>Sold</t>
        </is>
      </c>
      <c r="M1938" s="6">
        <f>HYPERLINK("https://www.dailydose.de/kleinanzeigen/detail.htm?ai=421838&amp;cf=kk&amp;pg=2&amp;ci=5", "Link")</f>
        <v/>
      </c>
      <c r="N1938" s="6">
        <f>HYPERLINK("C:\Projects\Kleinanzeigen-Scraper\offer_images\421838", "Link")</f>
        <v/>
      </c>
      <c r="O1938" t="inlineStr">
        <is>
          <t>Holger_156</t>
        </is>
      </c>
      <c r="P1938" s="6">
        <f>HYPERLINK("https://www.dailydose.de/kleinanzeigen/user/10571", "Link")</f>
        <v/>
      </c>
      <c r="Q1938" s="7" t="n">
        <v>45536.91175925926</v>
      </c>
      <c r="R1938" s="3" t="inlineStr">
        <is>
          <t>471.97</t>
        </is>
      </c>
      <c r="S1938" t="inlineStr">
        <is>
          <t>Köln</t>
        </is>
      </c>
    </row>
    <row r="1939">
      <c r="A1939" s="2" t="n">
        <v>4</v>
      </c>
      <c r="B1939" t="inlineStr">
        <is>
          <t>Sailloft Quad</t>
        </is>
      </c>
      <c r="C1939" s="3" t="n">
        <v>368</v>
      </c>
      <c r="D1939" s="3" t="n">
        <v>153</v>
      </c>
      <c r="E1939" t="inlineStr"/>
      <c r="F1939" t="inlineStr">
        <is>
          <t>2023</t>
        </is>
      </c>
      <c r="G1939" t="inlineStr">
        <is>
          <t>used</t>
        </is>
      </c>
      <c r="H1939" s="4" t="n">
        <v>280</v>
      </c>
      <c r="I1939" t="inlineStr"/>
      <c r="J1939" t="inlineStr">
        <is>
          <t>24239 Achterwehr/Kiel</t>
        </is>
      </c>
      <c r="K1939" s="5" t="n">
        <v>45533</v>
      </c>
      <c r="L1939" t="inlineStr">
        <is>
          <t>Sold</t>
        </is>
      </c>
      <c r="M1939" s="6">
        <f>HYPERLINK("https://www.dailydose.de/kleinanzeigen/detail.htm?ai=421676&amp;cf=kk&amp;pg=4&amp;ci=5", "Link")</f>
        <v/>
      </c>
      <c r="N1939" s="6">
        <f>HYPERLINK("C:\Projects\Kleinanzeigen-Scraper\offer_images\421676", "Link")</f>
        <v/>
      </c>
      <c r="O1939" t="inlineStr">
        <is>
          <t>Jojo44</t>
        </is>
      </c>
      <c r="P1939" s="6">
        <f>HYPERLINK("https://www.dailydose.de/kleinanzeigen/user/2580", "Link")</f>
        <v/>
      </c>
      <c r="Q1939" s="7" t="n">
        <v>45536.91164351852</v>
      </c>
      <c r="R1939" s="3" t="inlineStr">
        <is>
          <t>425.93</t>
        </is>
      </c>
      <c r="S1939" t="inlineStr">
        <is>
          <t>Köln</t>
        </is>
      </c>
    </row>
    <row r="1940">
      <c r="A1940" s="2" t="n">
        <v>5.2</v>
      </c>
      <c r="B1940" t="inlineStr">
        <is>
          <t>Sailloft Quad</t>
        </is>
      </c>
      <c r="C1940" s="3" t="inlineStr"/>
      <c r="D1940" s="3" t="inlineStr"/>
      <c r="E1940" t="inlineStr"/>
      <c r="F1940" t="inlineStr"/>
      <c r="G1940" t="inlineStr">
        <is>
          <t>repaired</t>
        </is>
      </c>
      <c r="H1940" s="4" t="n">
        <v>75</v>
      </c>
      <c r="I1940" t="inlineStr"/>
      <c r="J1940" t="inlineStr">
        <is>
          <t>21629 Nähe HH oder am Spot</t>
        </is>
      </c>
      <c r="K1940" s="5" t="n">
        <v>45531</v>
      </c>
      <c r="L1940" t="inlineStr">
        <is>
          <t>Sold</t>
        </is>
      </c>
      <c r="M1940" s="6">
        <f>HYPERLINK("https://www.dailydose.de/kleinanzeigen/detail.htm?ai=421610&amp;cf=kk&amp;pg=5&amp;ci=5", "Link")</f>
        <v/>
      </c>
      <c r="N1940" s="6">
        <f>HYPERLINK("C:\Projects\Kleinanzeigen-Scraper\offer_images\421610", "Link")</f>
        <v/>
      </c>
      <c r="O1940" t="inlineStr">
        <is>
          <t>Jens_114</t>
        </is>
      </c>
      <c r="P1940" s="6">
        <f>HYPERLINK("https://www.dailydose.de/kleinanzeigen/user/25126", "Link")</f>
        <v/>
      </c>
      <c r="Q1940" s="7" t="n">
        <v>45536.91158564815</v>
      </c>
      <c r="R1940" s="3" t="inlineStr">
        <is>
          <t>339.04</t>
        </is>
      </c>
      <c r="S1940" t="inlineStr">
        <is>
          <t>Köln</t>
        </is>
      </c>
    </row>
    <row r="1941">
      <c r="A1941" s="2" t="n">
        <v>6.7</v>
      </c>
      <c r="B1941" t="inlineStr">
        <is>
          <t>GA Sails Gaastra Matrix</t>
        </is>
      </c>
      <c r="C1941" s="3" t="n">
        <v>430</v>
      </c>
      <c r="D1941" s="3" t="n">
        <v>193</v>
      </c>
      <c r="E1941" t="inlineStr"/>
      <c r="F1941" t="inlineStr">
        <is>
          <t>2022</t>
        </is>
      </c>
      <c r="G1941" t="inlineStr">
        <is>
          <t>new</t>
        </is>
      </c>
      <c r="H1941" s="4" t="n">
        <v>390</v>
      </c>
      <c r="I1941" t="inlineStr"/>
      <c r="J1941" t="inlineStr">
        <is>
          <t>14469 Potsdam</t>
        </is>
      </c>
      <c r="K1941" s="5" t="n">
        <v>45530</v>
      </c>
      <c r="L1941" t="inlineStr">
        <is>
          <t>Sold</t>
        </is>
      </c>
      <c r="M1941" s="6">
        <f>HYPERLINK("https://www.dailydose.de/kleinanzeigen/detail.htm?ai=421452&amp;cf=kk&amp;pg=5&amp;ci=5", "Link")</f>
        <v/>
      </c>
      <c r="N1941" s="6">
        <f>HYPERLINK("C:\Projects\Kleinanzeigen-Scraper\offer_images\421452", "Link")</f>
        <v/>
      </c>
      <c r="O1941" t="inlineStr">
        <is>
          <t>Heini83</t>
        </is>
      </c>
      <c r="P1941" s="6">
        <f>HYPERLINK("https://www.dailydose.de/kleinanzeigen/user/26314", "Link")</f>
        <v/>
      </c>
      <c r="Q1941" s="7" t="n">
        <v>45536.91151620371</v>
      </c>
      <c r="R1941" s="3" t="inlineStr">
        <is>
          <t>450.30</t>
        </is>
      </c>
      <c r="S1941" t="inlineStr">
        <is>
          <t>Köln</t>
        </is>
      </c>
    </row>
    <row r="1942">
      <c r="A1942" s="2" t="n">
        <v>4.7</v>
      </c>
      <c r="B1942" t="inlineStr">
        <is>
          <t>Severne Blade Pro</t>
        </is>
      </c>
      <c r="C1942" s="3" t="n">
        <v>400</v>
      </c>
      <c r="D1942" s="3" t="inlineStr"/>
      <c r="E1942" t="inlineStr"/>
      <c r="F1942" t="inlineStr">
        <is>
          <t>2022</t>
        </is>
      </c>
      <c r="G1942" t="inlineStr">
        <is>
          <t>new</t>
        </is>
      </c>
      <c r="H1942" s="4" t="n">
        <v>750</v>
      </c>
      <c r="I1942" t="inlineStr"/>
      <c r="J1942" t="inlineStr">
        <is>
          <t>78315 Radolfzell</t>
        </is>
      </c>
      <c r="K1942" s="5" t="n">
        <v>45531</v>
      </c>
      <c r="L1942" t="inlineStr">
        <is>
          <t>Sold</t>
        </is>
      </c>
      <c r="M1942" s="6">
        <f>HYPERLINK("https://www.dailydose.de/kleinanzeigen/detail.htm?ai=421526&amp;cf=kk&amp;pg=5&amp;ci=5", "Link")</f>
        <v/>
      </c>
      <c r="N1942" s="6">
        <f>HYPERLINK("C:\Projects\Kleinanzeigen-Scraper\offer_images\421526", "Link")</f>
        <v/>
      </c>
      <c r="O1942" t="inlineStr">
        <is>
          <t>Lorch G</t>
        </is>
      </c>
      <c r="P1942" s="6">
        <f>HYPERLINK("https://www.dailydose.de/kleinanzeigen/user/10943", "Link")</f>
        <v/>
      </c>
      <c r="Q1942" s="7" t="n">
        <v>45536.91148148148</v>
      </c>
      <c r="R1942" s="3" t="inlineStr">
        <is>
          <t>48.46</t>
        </is>
      </c>
      <c r="S1942" t="inlineStr">
        <is>
          <t>Bonndorf</t>
        </is>
      </c>
    </row>
    <row r="1943">
      <c r="A1943" s="2" t="n">
        <v>7.5</v>
      </c>
      <c r="B1943" t="inlineStr">
        <is>
          <t>Gaastra MATRIX</t>
        </is>
      </c>
      <c r="C1943" s="3" t="n">
        <v>483</v>
      </c>
      <c r="D1943" s="3" t="n">
        <v>214</v>
      </c>
      <c r="E1943" t="inlineStr">
        <is>
          <t>Freeride</t>
        </is>
      </c>
      <c r="F1943" t="inlineStr"/>
      <c r="G1943" t="inlineStr">
        <is>
          <t>used, very good condition</t>
        </is>
      </c>
      <c r="H1943" s="4" t="n">
        <v>175</v>
      </c>
      <c r="I1943" t="inlineStr">
        <is>
          <t>VB</t>
        </is>
      </c>
      <c r="J1943" t="inlineStr">
        <is>
          <t>23909 Ratzeburg</t>
        </is>
      </c>
      <c r="K1943" s="5" t="n">
        <v>45534</v>
      </c>
      <c r="L1943" t="inlineStr">
        <is>
          <t>Sold</t>
        </is>
      </c>
      <c r="M1943" s="6">
        <f>HYPERLINK("https://www.dailydose.de/kleinanzeigen/detail.htm?ai=421810&amp;cf=kk&amp;pg=5&amp;ci=5", "Link")</f>
        <v/>
      </c>
      <c r="N1943" s="6">
        <f>HYPERLINK("C:\Projects\Kleinanzeigen-Scraper\offer_images\421810", "Link")</f>
        <v/>
      </c>
      <c r="O1943" t="inlineStr">
        <is>
          <t>Insider</t>
        </is>
      </c>
      <c r="P1943" s="6">
        <f>HYPERLINK("https://www.dailydose.de/kleinanzeigen/user/20603", "Link")</f>
        <v/>
      </c>
      <c r="Q1943" s="7" t="n">
        <v>45536.91148148148</v>
      </c>
      <c r="R1943" s="3" t="inlineStr">
        <is>
          <t>401.75</t>
        </is>
      </c>
      <c r="S1943" t="inlineStr">
        <is>
          <t>Köln</t>
        </is>
      </c>
    </row>
    <row r="1944">
      <c r="A1944" s="2" t="n">
        <v>5.7</v>
      </c>
      <c r="B1944" t="inlineStr">
        <is>
          <t>Severne Blade pro</t>
        </is>
      </c>
      <c r="C1944" s="3" t="inlineStr"/>
      <c r="D1944" s="3" t="inlineStr"/>
      <c r="E1944" t="inlineStr"/>
      <c r="F1944" t="inlineStr">
        <is>
          <t>2021</t>
        </is>
      </c>
      <c r="G1944" t="inlineStr">
        <is>
          <t>used</t>
        </is>
      </c>
      <c r="H1944" s="4" t="n">
        <v>480</v>
      </c>
      <c r="I1944" t="inlineStr"/>
      <c r="J1944" t="inlineStr">
        <is>
          <t>93309 Kelheim</t>
        </is>
      </c>
      <c r="K1944" s="5" t="n">
        <v>45536</v>
      </c>
      <c r="L1944" t="inlineStr">
        <is>
          <t>Sold</t>
        </is>
      </c>
      <c r="M1944" s="6">
        <f>HYPERLINK("https://www.dailydose.de/kleinanzeigen/detail.htm?ai=421915&amp;cf=kk&amp;pg=5&amp;ci=5", "Link")</f>
        <v/>
      </c>
      <c r="N1944" s="6">
        <f>HYPERLINK("C:\Projects\Kleinanzeigen-Scraper\offer_images\421915", "Link")</f>
        <v/>
      </c>
      <c r="O1944" t="inlineStr">
        <is>
          <t>Rosl81</t>
        </is>
      </c>
      <c r="P1944" s="6">
        <f>HYPERLINK("https://www.dailydose.de/kleinanzeigen/user/16719", "Link")</f>
        <v/>
      </c>
      <c r="Q1944" s="7" t="n">
        <v>45536.91144675926</v>
      </c>
      <c r="R1944" s="3" t="inlineStr">
        <is>
          <t>88.18</t>
        </is>
      </c>
      <c r="S1944" t="inlineStr">
        <is>
          <t>München</t>
        </is>
      </c>
    </row>
    <row r="1945">
      <c r="A1945" s="2" t="n">
        <v>4.2</v>
      </c>
      <c r="B1945" t="inlineStr">
        <is>
          <t>North Sails Dr X</t>
        </is>
      </c>
      <c r="C1945" s="3" t="inlineStr">
        <is>
          <t>370-400</t>
        </is>
      </c>
      <c r="D1945" s="3" t="inlineStr">
        <is>
          <t>156-159</t>
        </is>
      </c>
      <c r="E1945" t="inlineStr"/>
      <c r="F1945" t="inlineStr"/>
      <c r="G1945" t="inlineStr">
        <is>
          <t>used</t>
        </is>
      </c>
      <c r="H1945" s="4" t="n">
        <v>35</v>
      </c>
      <c r="I1945" t="inlineStr">
        <is>
          <t>VB</t>
        </is>
      </c>
      <c r="J1945" t="inlineStr">
        <is>
          <t>24109 Kiel</t>
        </is>
      </c>
      <c r="K1945" s="5" t="n">
        <v>45535</v>
      </c>
      <c r="L1945" t="inlineStr">
        <is>
          <t>Sold</t>
        </is>
      </c>
      <c r="M1945" s="6">
        <f>HYPERLINK("https://www.dailydose.de/kleinanzeigen/detail.htm?ai=421846&amp;cf=kk&amp;pg=3&amp;ci=5", "Link")</f>
        <v/>
      </c>
      <c r="N1945" s="6">
        <f>HYPERLINK("C:\Projects\Kleinanzeigen-Scraper\offer_images\421846", "Link")</f>
        <v/>
      </c>
      <c r="O1945" t="inlineStr">
        <is>
          <t>Simon_84</t>
        </is>
      </c>
      <c r="P1945" s="6">
        <f>HYPERLINK("https://www.dailydose.de/kleinanzeigen/user/21444", "Link")</f>
        <v/>
      </c>
      <c r="Q1945" s="7" t="n">
        <v>45536.91144675926</v>
      </c>
      <c r="R1945" s="3" t="inlineStr">
        <is>
          <t>429.71</t>
        </is>
      </c>
      <c r="S1945" t="inlineStr">
        <is>
          <t>Köln</t>
        </is>
      </c>
    </row>
    <row r="1946">
      <c r="A1946" s="2" t="n">
        <v>7.4</v>
      </c>
      <c r="B1946" t="inlineStr">
        <is>
          <t>Neil Pryde EVO XV 15</t>
        </is>
      </c>
      <c r="C1946" s="3" t="inlineStr"/>
      <c r="D1946" s="3" t="inlineStr"/>
      <c r="E1946" t="inlineStr"/>
      <c r="F1946" t="inlineStr"/>
      <c r="G1946" t="inlineStr">
        <is>
          <t>used</t>
        </is>
      </c>
      <c r="H1946" s="4" t="n">
        <v>680</v>
      </c>
      <c r="I1946" t="inlineStr"/>
      <c r="J1946" t="inlineStr">
        <is>
          <t>82211 Herrsching a. Ammersee</t>
        </is>
      </c>
      <c r="K1946" s="5" t="n">
        <v>45529</v>
      </c>
      <c r="L1946" t="inlineStr">
        <is>
          <t>Sold</t>
        </is>
      </c>
      <c r="M1946" s="6">
        <f>HYPERLINK("https://www.dailydose.de/kleinanzeigen/detail.htm?ai=421430&amp;cf=kk&amp;pg=5&amp;ci=5", "Link")</f>
        <v/>
      </c>
      <c r="N1946" s="6">
        <f>HYPERLINK("C:\Projects\Kleinanzeigen-Scraper\offer_images\421430", "Link")</f>
        <v/>
      </c>
      <c r="O1946" t="inlineStr">
        <is>
          <t>Andy Laufer_62</t>
        </is>
      </c>
      <c r="P1946" s="6">
        <f>HYPERLINK("https://www.dailydose.de/kleinanzeigen/user/3717", "Link")</f>
        <v/>
      </c>
      <c r="Q1946" s="7" t="n">
        <v>45536.91142361111</v>
      </c>
      <c r="R1946" s="3" t="inlineStr">
        <is>
          <t>32.73</t>
        </is>
      </c>
      <c r="S1946" t="inlineStr">
        <is>
          <t>München</t>
        </is>
      </c>
    </row>
    <row r="1947">
      <c r="A1947" s="2" t="n">
        <v>7</v>
      </c>
      <c r="B1947" t="inlineStr">
        <is>
          <t>Duotone WARP</t>
        </is>
      </c>
      <c r="C1947" s="3" t="n">
        <v>430</v>
      </c>
      <c r="D1947" s="3" t="inlineStr">
        <is>
          <t>190-230</t>
        </is>
      </c>
      <c r="E1947" t="inlineStr"/>
      <c r="F1947" t="inlineStr">
        <is>
          <t>2019</t>
        </is>
      </c>
      <c r="G1947" t="inlineStr"/>
      <c r="H1947" s="4" t="n">
        <v>340</v>
      </c>
      <c r="I1947" t="inlineStr"/>
      <c r="J1947" t="inlineStr">
        <is>
          <t>87616 Marktoberdorf</t>
        </is>
      </c>
      <c r="K1947" s="5" t="n">
        <v>45531</v>
      </c>
      <c r="L1947" t="inlineStr">
        <is>
          <t>Sold</t>
        </is>
      </c>
      <c r="M1947" s="6">
        <f>HYPERLINK("https://www.dailydose.de/kleinanzeigen/detail.htm?ai=421565&amp;cf=kk&amp;pg=5&amp;ci=5", "Link")</f>
        <v/>
      </c>
      <c r="N1947" s="6">
        <f>HYPERLINK("C:\Projects\Kleinanzeigen-Scraper\offer_images\421565", "Link")</f>
        <v/>
      </c>
      <c r="O1947" t="inlineStr">
        <is>
          <t>Achim_189</t>
        </is>
      </c>
      <c r="P1947" s="6">
        <f>HYPERLINK("https://www.dailydose.de/kleinanzeigen/user/19262", "Link")</f>
        <v/>
      </c>
      <c r="Q1947" s="7" t="n">
        <v>45536.91142361111</v>
      </c>
      <c r="R1947" s="3" t="inlineStr">
        <is>
          <t>83.30</t>
        </is>
      </c>
      <c r="S1947" t="inlineStr">
        <is>
          <t>München</t>
        </is>
      </c>
    </row>
    <row r="1948">
      <c r="A1948" s="2" t="n">
        <v>8.4</v>
      </c>
      <c r="B1948" t="inlineStr">
        <is>
          <t>Patrik Race+</t>
        </is>
      </c>
      <c r="C1948" s="3" t="n">
        <v>490</v>
      </c>
      <c r="D1948" s="3" t="inlineStr"/>
      <c r="E1948" t="inlineStr">
        <is>
          <t>Race/Slalom</t>
        </is>
      </c>
      <c r="F1948" t="inlineStr">
        <is>
          <t>2022</t>
        </is>
      </c>
      <c r="G1948" t="inlineStr">
        <is>
          <t>used</t>
        </is>
      </c>
      <c r="H1948" s="4" t="n">
        <v>375</v>
      </c>
      <c r="I1948" t="inlineStr">
        <is>
          <t>VB</t>
        </is>
      </c>
      <c r="J1948" t="inlineStr">
        <is>
          <t>25436</t>
        </is>
      </c>
      <c r="K1948" s="5" t="n">
        <v>45528</v>
      </c>
      <c r="L1948" t="inlineStr">
        <is>
          <t>Sold</t>
        </is>
      </c>
      <c r="M1948" s="6">
        <f>HYPERLINK("https://www.dailydose.de/kleinanzeigen/detail.htm?ai=421378&amp;cf=kk&amp;pg=5&amp;ci=5", "Link")</f>
        <v/>
      </c>
      <c r="N1948" s="6">
        <f>HYPERLINK("C:\Projects\Kleinanzeigen-Scraper\offer_images\421378", "Link")</f>
        <v/>
      </c>
      <c r="O1948" t="inlineStr">
        <is>
          <t>Joachim_G402</t>
        </is>
      </c>
      <c r="P1948" s="6">
        <f>HYPERLINK("https://www.dailydose.de/kleinanzeigen/user/25991", "Link")</f>
        <v/>
      </c>
      <c r="Q1948" s="7" t="n">
        <v>45536.91142361111</v>
      </c>
      <c r="R1948" s="3" t="inlineStr">
        <is>
          <t>356.69</t>
        </is>
      </c>
      <c r="S1948" t="inlineStr">
        <is>
          <t>Köln</t>
        </is>
      </c>
    </row>
    <row r="1949">
      <c r="A1949" s="2" t="n">
        <v>6.8</v>
      </c>
      <c r="B1949" t="inlineStr">
        <is>
          <t>Duotone WARP</t>
        </is>
      </c>
      <c r="C1949" s="3" t="n">
        <v>430</v>
      </c>
      <c r="D1949" s="3" t="inlineStr"/>
      <c r="E1949" t="inlineStr"/>
      <c r="F1949" t="inlineStr">
        <is>
          <t>2022</t>
        </is>
      </c>
      <c r="G1949" t="inlineStr"/>
      <c r="H1949" s="4" t="n">
        <v>350</v>
      </c>
      <c r="I1949" t="inlineStr"/>
      <c r="J1949" t="inlineStr">
        <is>
          <t>87616 Marktoberdorf</t>
        </is>
      </c>
      <c r="K1949" s="5" t="n">
        <v>45531</v>
      </c>
      <c r="L1949" t="inlineStr">
        <is>
          <t>Sold</t>
        </is>
      </c>
      <c r="M1949" s="6">
        <f>HYPERLINK("https://www.dailydose.de/kleinanzeigen/detail.htm?ai=421571&amp;cf=kk&amp;pg=5&amp;ci=5", "Link")</f>
        <v/>
      </c>
      <c r="N1949" s="6">
        <f>HYPERLINK("C:\Projects\Kleinanzeigen-Scraper\offer_images\421571", "Link")</f>
        <v/>
      </c>
      <c r="O1949" t="inlineStr">
        <is>
          <t>Achim_189</t>
        </is>
      </c>
      <c r="P1949" s="6">
        <f>HYPERLINK("https://www.dailydose.de/kleinanzeigen/user/19262", "Link")</f>
        <v/>
      </c>
      <c r="Q1949" s="7" t="n">
        <v>45536.91138888889</v>
      </c>
      <c r="R1949" s="3" t="inlineStr">
        <is>
          <t>83.30</t>
        </is>
      </c>
      <c r="S1949" t="inlineStr">
        <is>
          <t>München</t>
        </is>
      </c>
    </row>
    <row r="1950">
      <c r="A1950" s="2" t="n">
        <v>5.4</v>
      </c>
      <c r="B1950" t="inlineStr">
        <is>
          <t>NeilPryde Atlas</t>
        </is>
      </c>
      <c r="C1950" s="3" t="n">
        <v>400</v>
      </c>
      <c r="D1950" s="3" t="n">
        <v>125</v>
      </c>
      <c r="E1950" t="inlineStr"/>
      <c r="F1950" t="inlineStr"/>
      <c r="G1950" t="inlineStr"/>
      <c r="H1950" s="4" t="n">
        <v>50</v>
      </c>
      <c r="I1950" t="inlineStr"/>
      <c r="J1950" t="inlineStr">
        <is>
          <t>24306 Plön</t>
        </is>
      </c>
      <c r="K1950" s="5" t="n">
        <v>45531</v>
      </c>
      <c r="L1950" t="inlineStr">
        <is>
          <t>Sold</t>
        </is>
      </c>
      <c r="M1950" s="6">
        <f>HYPERLINK("https://www.dailydose.de/kleinanzeigen/detail.htm?ai=421587&amp;cf=kk&amp;pg=5&amp;ci=5", "Link")</f>
        <v/>
      </c>
      <c r="N1950" s="6">
        <f>HYPERLINK("C:\Projects\Kleinanzeigen-Scraper\offer_images\421587", "Link")</f>
        <v/>
      </c>
      <c r="O1950" t="inlineStr">
        <is>
          <t>doktorsebi</t>
        </is>
      </c>
      <c r="P1950" s="6">
        <f>HYPERLINK("https://www.dailydose.de/kleinanzeigen/user/190", "Link")</f>
        <v/>
      </c>
      <c r="Q1950" s="7" t="n">
        <v>45536.91138888889</v>
      </c>
      <c r="R1950" s="3" t="inlineStr">
        <is>
          <t>429.16</t>
        </is>
      </c>
      <c r="S1950" t="inlineStr">
        <is>
          <t>Köln</t>
        </is>
      </c>
    </row>
    <row r="1951">
      <c r="A1951" s="2" t="n">
        <v>7</v>
      </c>
      <c r="B1951" t="inlineStr">
        <is>
          <t>SEVERNE NCX</t>
        </is>
      </c>
      <c r="C1951" s="3" t="inlineStr"/>
      <c r="D1951" s="3" t="inlineStr"/>
      <c r="E1951" t="inlineStr"/>
      <c r="F1951" t="inlineStr">
        <is>
          <t>2023</t>
        </is>
      </c>
      <c r="G1951" t="inlineStr">
        <is>
          <t>used</t>
        </is>
      </c>
      <c r="H1951" s="4" t="n">
        <v>490</v>
      </c>
      <c r="I1951" t="inlineStr"/>
      <c r="J1951" t="inlineStr">
        <is>
          <t>52134 Herzogenrath</t>
        </is>
      </c>
      <c r="K1951" s="5" t="n">
        <v>45532</v>
      </c>
      <c r="L1951" t="inlineStr">
        <is>
          <t>Sold</t>
        </is>
      </c>
      <c r="M1951" s="6">
        <f>HYPERLINK("https://www.dailydose.de/kleinanzeigen/detail.htm?ai=421657&amp;cf=kk&amp;pg=5&amp;ci=5", "Link")</f>
        <v/>
      </c>
      <c r="N1951" s="6">
        <f>HYPERLINK("C:\Projects\Kleinanzeigen-Scraper\offer_images\421657", "Link")</f>
        <v/>
      </c>
      <c r="O1951" t="inlineStr">
        <is>
          <t>Absproge</t>
        </is>
      </c>
      <c r="P1951" s="6">
        <f>HYPERLINK("https://www.dailydose.de/kleinanzeigen/user/26019", "Link")</f>
        <v/>
      </c>
      <c r="Q1951" s="7" t="n">
        <v>45536.91136574074</v>
      </c>
      <c r="R1951" s="3" t="inlineStr">
        <is>
          <t>59.57</t>
        </is>
      </c>
      <c r="S1951" t="inlineStr">
        <is>
          <t>Köln</t>
        </is>
      </c>
    </row>
    <row r="1952">
      <c r="A1952" s="2" t="n">
        <v>5.2</v>
      </c>
      <c r="B1952" t="inlineStr">
        <is>
          <t>Gaastra GA Sails Pure</t>
        </is>
      </c>
      <c r="C1952" s="3" t="inlineStr"/>
      <c r="D1952" s="3" t="inlineStr"/>
      <c r="E1952" t="inlineStr"/>
      <c r="F1952" t="inlineStr">
        <is>
          <t>2019</t>
        </is>
      </c>
      <c r="G1952" t="inlineStr">
        <is>
          <t>used</t>
        </is>
      </c>
      <c r="H1952" s="4" t="n">
        <v>30</v>
      </c>
      <c r="I1952" t="inlineStr">
        <is>
          <t>VB</t>
        </is>
      </c>
      <c r="J1952" t="inlineStr">
        <is>
          <t>44789 Bochum</t>
        </is>
      </c>
      <c r="K1952" s="5" t="n">
        <v>45534</v>
      </c>
      <c r="L1952" t="inlineStr">
        <is>
          <t>Sold</t>
        </is>
      </c>
      <c r="M1952" s="6">
        <f>HYPERLINK("https://www.dailydose.de/kleinanzeigen/detail.htm?ai=421824&amp;cf=kk&amp;pg=5&amp;ci=5", "Link")</f>
        <v/>
      </c>
      <c r="N1952" s="6">
        <f>HYPERLINK("C:\Projects\Kleinanzeigen-Scraper\offer_images\421824", "Link")</f>
        <v/>
      </c>
      <c r="O1952" t="inlineStr">
        <is>
          <t>Alexander_13</t>
        </is>
      </c>
      <c r="P1952" s="6">
        <f>HYPERLINK("https://www.dailydose.de/kleinanzeigen/user/2893", "Link")</f>
        <v/>
      </c>
      <c r="Q1952" s="7" t="n">
        <v>45536.91133101852</v>
      </c>
      <c r="R1952" s="3" t="inlineStr">
        <is>
          <t>61.88</t>
        </is>
      </c>
      <c r="S1952" t="inlineStr">
        <is>
          <t>Köln</t>
        </is>
      </c>
    </row>
    <row r="1953">
      <c r="A1953" s="2" t="n">
        <v>4.7</v>
      </c>
      <c r="B1953" t="inlineStr">
        <is>
          <t>North Sails Curve</t>
        </is>
      </c>
      <c r="C1953" s="3" t="n">
        <v>430</v>
      </c>
      <c r="D1953" s="3" t="inlineStr"/>
      <c r="E1953" t="inlineStr"/>
      <c r="F1953" t="inlineStr"/>
      <c r="G1953" t="inlineStr">
        <is>
          <t>used</t>
        </is>
      </c>
      <c r="H1953" s="4" t="n">
        <v>30</v>
      </c>
      <c r="I1953" t="inlineStr"/>
      <c r="J1953" t="inlineStr">
        <is>
          <t>87616 Marktoberdorf</t>
        </is>
      </c>
      <c r="K1953" s="5" t="n">
        <v>45531</v>
      </c>
      <c r="L1953" t="inlineStr">
        <is>
          <t>Sold</t>
        </is>
      </c>
      <c r="M1953" s="6">
        <f>HYPERLINK("https://www.dailydose.de/kleinanzeigen/detail.htm?ai=421573&amp;cf=kk&amp;pg=5&amp;ci=5", "Link")</f>
        <v/>
      </c>
      <c r="N1953" s="6">
        <f>HYPERLINK("C:\Projects\Kleinanzeigen-Scraper\offer_images\421573", "Link")</f>
        <v/>
      </c>
      <c r="O1953" t="inlineStr">
        <is>
          <t>Achim_189</t>
        </is>
      </c>
      <c r="P1953" s="6">
        <f>HYPERLINK("https://www.dailydose.de/kleinanzeigen/user/19262", "Link")</f>
        <v/>
      </c>
      <c r="Q1953" s="7" t="n">
        <v>45536.91131944444</v>
      </c>
      <c r="R1953" s="3" t="inlineStr">
        <is>
          <t>83.30</t>
        </is>
      </c>
      <c r="S1953" t="inlineStr">
        <is>
          <t>München</t>
        </is>
      </c>
    </row>
    <row r="1954">
      <c r="A1954" s="2" t="n">
        <v>2.2</v>
      </c>
      <c r="B1954" t="inlineStr">
        <is>
          <t>Neil Pryde Dragonfly</t>
        </is>
      </c>
      <c r="C1954" s="3" t="inlineStr"/>
      <c r="D1954" s="3" t="inlineStr"/>
      <c r="E1954" t="inlineStr"/>
      <c r="F1954" t="inlineStr"/>
      <c r="G1954" t="inlineStr">
        <is>
          <t>new</t>
        </is>
      </c>
      <c r="H1954" s="4" t="n">
        <v>190</v>
      </c>
      <c r="I1954" t="inlineStr"/>
      <c r="J1954" t="inlineStr">
        <is>
          <t>82211 Herrsching a. Ammersee</t>
        </is>
      </c>
      <c r="K1954" s="5" t="n">
        <v>45536</v>
      </c>
      <c r="L1954" t="inlineStr">
        <is>
          <t>Sold</t>
        </is>
      </c>
      <c r="M1954" s="6">
        <f>HYPERLINK("https://www.dailydose.de/kleinanzeigen/detail.htm?ai=421900&amp;cf=kk&amp;pg=5&amp;ci=5", "Link")</f>
        <v/>
      </c>
      <c r="N1954" s="6">
        <f>HYPERLINK("C:\Projects\Kleinanzeigen-Scraper\offer_images\421900", "Link")</f>
        <v/>
      </c>
      <c r="O1954" t="inlineStr">
        <is>
          <t>Andy Laufer_62</t>
        </is>
      </c>
      <c r="P1954" s="6">
        <f>HYPERLINK("https://www.dailydose.de/kleinanzeigen/user/3717", "Link")</f>
        <v/>
      </c>
      <c r="Q1954" s="7" t="n">
        <v>45536.9112962963</v>
      </c>
      <c r="R1954" s="3" t="inlineStr">
        <is>
          <t>32.73</t>
        </is>
      </c>
      <c r="S1954" t="inlineStr">
        <is>
          <t>München</t>
        </is>
      </c>
    </row>
    <row r="1955">
      <c r="A1955" s="2" t="n">
        <v>3.7</v>
      </c>
      <c r="B1955" t="inlineStr">
        <is>
          <t>S2 Maui Alchemy</t>
        </is>
      </c>
      <c r="C1955" s="3" t="n">
        <v>370</v>
      </c>
      <c r="D1955" s="3" t="n">
        <v>142</v>
      </c>
      <c r="E1955" t="inlineStr"/>
      <c r="F1955" t="inlineStr">
        <is>
          <t>2020</t>
        </is>
      </c>
      <c r="G1955" t="inlineStr">
        <is>
          <t>used</t>
        </is>
      </c>
      <c r="H1955" s="4" t="n">
        <v>200</v>
      </c>
      <c r="I1955" t="inlineStr"/>
      <c r="J1955" t="inlineStr">
        <is>
          <t>24960 Glücksburg</t>
        </is>
      </c>
      <c r="K1955" s="5" t="n">
        <v>45528</v>
      </c>
      <c r="L1955" t="inlineStr">
        <is>
          <t>Sold</t>
        </is>
      </c>
      <c r="M1955" s="6">
        <f>HYPERLINK("https://www.dailydose.de/kleinanzeigen/detail.htm?ai=421344&amp;cf=kk&amp;pg=5&amp;ci=5", "Link")</f>
        <v/>
      </c>
      <c r="N1955" s="6">
        <f>HYPERLINK("C:\Projects\Kleinanzeigen-Scraper\offer_images\421344", "Link")</f>
        <v/>
      </c>
      <c r="O1955" t="inlineStr">
        <is>
          <t>Jan_71</t>
        </is>
      </c>
      <c r="P1955" s="6">
        <f>HYPERLINK("https://www.dailydose.de/kleinanzeigen/user/4325", "Link")</f>
        <v/>
      </c>
      <c r="Q1955" s="7" t="n">
        <v>45536.91126157407</v>
      </c>
      <c r="R1955" s="3" t="inlineStr">
        <is>
          <t>467.53</t>
        </is>
      </c>
      <c r="S1955" t="inlineStr">
        <is>
          <t>Köln</t>
        </is>
      </c>
    </row>
    <row r="1956">
      <c r="A1956" s="2" t="n">
        <v>5.4</v>
      </c>
      <c r="B1956" t="inlineStr">
        <is>
          <t>Neil Pryde Wizard</t>
        </is>
      </c>
      <c r="C1956" s="3" t="inlineStr"/>
      <c r="D1956" s="3" t="inlineStr"/>
      <c r="E1956" t="inlineStr"/>
      <c r="F1956" t="inlineStr"/>
      <c r="G1956" t="inlineStr">
        <is>
          <t>used</t>
        </is>
      </c>
      <c r="H1956" s="4" t="n">
        <v>220</v>
      </c>
      <c r="I1956" t="inlineStr"/>
      <c r="J1956" t="inlineStr">
        <is>
          <t>93309 Kelheim</t>
        </is>
      </c>
      <c r="K1956" s="5" t="n">
        <v>45536</v>
      </c>
      <c r="L1956" t="inlineStr">
        <is>
          <t>Sold</t>
        </is>
      </c>
      <c r="M1956" s="6">
        <f>HYPERLINK("https://www.dailydose.de/kleinanzeigen/detail.htm?ai=421918&amp;cf=kk&amp;pg=5&amp;ci=5", "Link")</f>
        <v/>
      </c>
      <c r="N1956" s="6">
        <f>HYPERLINK("C:\Projects\Kleinanzeigen-Scraper\offer_images\421918", "Link")</f>
        <v/>
      </c>
      <c r="O1956" t="inlineStr">
        <is>
          <t>Rosl81</t>
        </is>
      </c>
      <c r="P1956" s="6">
        <f>HYPERLINK("https://www.dailydose.de/kleinanzeigen/user/16719", "Link")</f>
        <v/>
      </c>
      <c r="Q1956" s="7" t="n">
        <v>45536.91126157407</v>
      </c>
      <c r="R1956" s="3" t="inlineStr">
        <is>
          <t>88.18</t>
        </is>
      </c>
      <c r="S1956" t="inlineStr">
        <is>
          <t>München</t>
        </is>
      </c>
    </row>
    <row r="1957">
      <c r="A1957" s="2" t="n">
        <v>4</v>
      </c>
      <c r="B1957" t="inlineStr">
        <is>
          <t>Sailloft</t>
        </is>
      </c>
      <c r="C1957" s="3" t="inlineStr"/>
      <c r="D1957" s="3" t="inlineStr"/>
      <c r="E1957" t="inlineStr">
        <is>
          <t>Freestyle</t>
        </is>
      </c>
      <c r="F1957" t="inlineStr">
        <is>
          <t>2024</t>
        </is>
      </c>
      <c r="G1957" t="inlineStr">
        <is>
          <t>new</t>
        </is>
      </c>
      <c r="H1957" s="4" t="n">
        <v>450</v>
      </c>
      <c r="I1957" t="inlineStr"/>
      <c r="J1957" t="inlineStr">
        <is>
          <t>21109 Hamburg, Kiel, NRW</t>
        </is>
      </c>
      <c r="K1957" s="5" t="n">
        <v>45533</v>
      </c>
      <c r="L1957" t="inlineStr">
        <is>
          <t>Sold</t>
        </is>
      </c>
      <c r="M1957" s="6">
        <f>HYPERLINK("https://www.dailydose.de/kleinanzeigen/detail.htm?ai=421734&amp;cf=kk&amp;pg=5&amp;ci=5", "Link")</f>
        <v/>
      </c>
      <c r="N1957" s="6">
        <f>HYPERLINK("C:\Projects\Kleinanzeigen-Scraper\offer_images\421734", "Link")</f>
        <v/>
      </c>
      <c r="O1957" t="inlineStr">
        <is>
          <t>Chules</t>
        </is>
      </c>
      <c r="P1957" s="6">
        <f>HYPERLINK("https://www.dailydose.de/kleinanzeigen/user/12782", "Link")</f>
        <v/>
      </c>
      <c r="Q1957" s="7" t="n">
        <v>45536.91122685185</v>
      </c>
      <c r="R1957" s="3" t="inlineStr">
        <is>
          <t>353.16</t>
        </is>
      </c>
      <c r="S1957" t="inlineStr">
        <is>
          <t>Köln</t>
        </is>
      </c>
    </row>
    <row r="1958">
      <c r="A1958" s="2" t="n">
        <v>5</v>
      </c>
      <c r="B1958" t="inlineStr">
        <is>
          <t>Goya Eclipse</t>
        </is>
      </c>
      <c r="C1958" s="3" t="n">
        <v>417</v>
      </c>
      <c r="D1958" s="3" t="n">
        <v>200</v>
      </c>
      <c r="E1958" t="inlineStr"/>
      <c r="F1958" t="inlineStr"/>
      <c r="G1958" t="inlineStr">
        <is>
          <t>used</t>
        </is>
      </c>
      <c r="H1958" s="4" t="n">
        <v>90</v>
      </c>
      <c r="I1958" t="inlineStr"/>
      <c r="J1958" t="inlineStr">
        <is>
          <t>28215 Bremen</t>
        </is>
      </c>
      <c r="K1958" s="5" t="n">
        <v>45535</v>
      </c>
      <c r="L1958" t="inlineStr">
        <is>
          <t>Sold</t>
        </is>
      </c>
      <c r="M1958" s="6">
        <f>HYPERLINK("https://www.dailydose.de/kleinanzeigen/detail.htm?ai=421858&amp;cf=kk&amp;pg=4&amp;ci=5", "Link")</f>
        <v/>
      </c>
      <c r="N1958" s="6">
        <f>HYPERLINK("C:\Projects\Kleinanzeigen-Scraper\offer_images\421858", "Link")</f>
        <v/>
      </c>
      <c r="O1958" t="inlineStr">
        <is>
          <t>maoch</t>
        </is>
      </c>
      <c r="P1958" s="6">
        <f>HYPERLINK("https://www.dailydose.de/kleinanzeigen/user/11575", "Link")</f>
        <v/>
      </c>
      <c r="Q1958" s="7" t="n">
        <v>45536.91122685185</v>
      </c>
      <c r="R1958" s="3" t="inlineStr">
        <is>
          <t>271.71</t>
        </is>
      </c>
      <c r="S1958" t="inlineStr">
        <is>
          <t>Köln</t>
        </is>
      </c>
    </row>
    <row r="1959">
      <c r="A1959" s="2" t="n">
        <v>6</v>
      </c>
      <c r="B1959" t="inlineStr">
        <is>
          <t>Ezzy Lion</t>
        </is>
      </c>
      <c r="C1959" s="3" t="n">
        <v>430</v>
      </c>
      <c r="D1959" s="3" t="inlineStr">
        <is>
          <t>183-193</t>
        </is>
      </c>
      <c r="E1959" t="inlineStr"/>
      <c r="F1959" t="inlineStr"/>
      <c r="G1959" t="inlineStr">
        <is>
          <t>used</t>
        </is>
      </c>
      <c r="H1959" s="4" t="n">
        <v>350749</v>
      </c>
      <c r="I1959" t="inlineStr"/>
      <c r="J1959" t="inlineStr">
        <is>
          <t>45772 Nordrhein-Westfalen - Marl</t>
        </is>
      </c>
      <c r="K1959" s="5" t="n">
        <v>45531</v>
      </c>
      <c r="L1959" t="inlineStr">
        <is>
          <t>Sold</t>
        </is>
      </c>
      <c r="M1959" s="6">
        <f>HYPERLINK("https://www.dailydose.de/kleinanzeigen/detail.htm?ai=421613&amp;cf=kk&amp;pg=5&amp;ci=5", "Link")</f>
        <v/>
      </c>
      <c r="N1959" s="6">
        <f>HYPERLINK("C:\Projects\Kleinanzeigen-Scraper\offer_images\421613", "Link")</f>
        <v/>
      </c>
      <c r="O1959" t="inlineStr">
        <is>
          <t>margarethe_22</t>
        </is>
      </c>
      <c r="P1959" s="6">
        <f>HYPERLINK("https://www.dailydose.de/kleinanzeigen/user/15510", "Link")</f>
        <v/>
      </c>
      <c r="Q1959" s="7" t="n">
        <v>45536.9112037037</v>
      </c>
      <c r="R1959" s="3" t="inlineStr">
        <is>
          <t>84.29</t>
        </is>
      </c>
      <c r="S1959" t="inlineStr">
        <is>
          <t>Köln</t>
        </is>
      </c>
    </row>
    <row r="1960">
      <c r="A1960" s="2" t="n">
        <v>4.4</v>
      </c>
      <c r="B1960" t="inlineStr">
        <is>
          <t>Naish Boxer</t>
        </is>
      </c>
      <c r="C1960" s="3" t="inlineStr"/>
      <c r="D1960" s="3" t="inlineStr"/>
      <c r="E1960" t="inlineStr"/>
      <c r="F1960" t="inlineStr"/>
      <c r="G1960" t="inlineStr">
        <is>
          <t>used</t>
        </is>
      </c>
      <c r="H1960" s="4" t="n">
        <v>90</v>
      </c>
      <c r="I1960" t="inlineStr">
        <is>
          <t>VB</t>
        </is>
      </c>
      <c r="J1960" t="inlineStr">
        <is>
          <t>21502 Geesthacht</t>
        </is>
      </c>
      <c r="K1960" s="5" t="n">
        <v>45532</v>
      </c>
      <c r="L1960" t="inlineStr">
        <is>
          <t>Sold</t>
        </is>
      </c>
      <c r="M1960" s="6">
        <f>HYPERLINK("https://www.dailydose.de/kleinanzeigen/detail.htm?ai=421650&amp;cf=kk&amp;pg=5&amp;ci=5", "Link")</f>
        <v/>
      </c>
      <c r="N1960" s="6">
        <f>HYPERLINK("C:\Projects\Kleinanzeigen-Scraper\offer_images\421650", "Link")</f>
        <v/>
      </c>
      <c r="O1960" t="inlineStr">
        <is>
          <t>oavp</t>
        </is>
      </c>
      <c r="P1960" s="6">
        <f>HYPERLINK("https://www.dailydose.de/kleinanzeigen/user/26332", "Link")</f>
        <v/>
      </c>
      <c r="Q1960" s="7" t="n">
        <v>45536.91116898148</v>
      </c>
      <c r="R1960" s="3" t="inlineStr">
        <is>
          <t>364.52</t>
        </is>
      </c>
      <c r="S1960" t="inlineStr">
        <is>
          <t>Köln</t>
        </is>
      </c>
    </row>
    <row r="1961">
      <c r="A1961" s="2" t="n">
        <v>8.6</v>
      </c>
      <c r="B1961" t="inlineStr">
        <is>
          <t>Gun Sails Vector</t>
        </is>
      </c>
      <c r="C1961" s="3" t="n">
        <v>502</v>
      </c>
      <c r="D1961" s="3" t="n">
        <v>224</v>
      </c>
      <c r="E1961" t="inlineStr"/>
      <c r="F1961" t="inlineStr"/>
      <c r="G1961" t="inlineStr">
        <is>
          <t>used</t>
        </is>
      </c>
      <c r="H1961" s="4" t="n">
        <v>60</v>
      </c>
      <c r="I1961" t="inlineStr"/>
      <c r="J1961" t="inlineStr">
        <is>
          <t>21423 Winsen (Luhe)</t>
        </is>
      </c>
      <c r="K1961" s="5" t="n">
        <v>45536</v>
      </c>
      <c r="L1961" t="inlineStr">
        <is>
          <t>Sold</t>
        </is>
      </c>
      <c r="M1961" s="6">
        <f>HYPERLINK("https://www.dailydose.de/kleinanzeigen/detail.htm?ai=421895&amp;cf=kk&amp;pg=5&amp;ci=5", "Link")</f>
        <v/>
      </c>
      <c r="N1961" s="6">
        <f>HYPERLINK("C:\Projects\Kleinanzeigen-Scraper\offer_images\421895", "Link")</f>
        <v/>
      </c>
      <c r="O1961" t="inlineStr">
        <is>
          <t>Torsten_281</t>
        </is>
      </c>
      <c r="P1961" s="6">
        <f>HYPERLINK("https://www.dailydose.de/kleinanzeigen/user/24189", "Link")</f>
        <v/>
      </c>
      <c r="Q1961" s="7" t="n">
        <v>45536.91116898148</v>
      </c>
      <c r="R1961" s="3" t="inlineStr">
        <is>
          <t>349.14</t>
        </is>
      </c>
      <c r="S1961" t="inlineStr">
        <is>
          <t>Köln</t>
        </is>
      </c>
    </row>
    <row r="1962">
      <c r="A1962" s="2" t="n">
        <v>7.8</v>
      </c>
      <c r="B1962" t="inlineStr">
        <is>
          <t>DUOTONE E-Pace</t>
        </is>
      </c>
      <c r="C1962" s="3" t="n">
        <v>472</v>
      </c>
      <c r="D1962" s="3" t="n">
        <v>212</v>
      </c>
      <c r="E1962" t="inlineStr">
        <is>
          <t>Slalom</t>
        </is>
      </c>
      <c r="F1962" t="inlineStr">
        <is>
          <t>2022-2023</t>
        </is>
      </c>
      <c r="G1962" t="inlineStr">
        <is>
          <t>used</t>
        </is>
      </c>
      <c r="H1962" s="4" t="n">
        <v>500</v>
      </c>
      <c r="I1962" t="inlineStr"/>
      <c r="J1962" t="inlineStr">
        <is>
          <t>83404 Ainring</t>
        </is>
      </c>
      <c r="K1962" s="5" t="n">
        <v>45530</v>
      </c>
      <c r="L1962" t="inlineStr">
        <is>
          <t>Sold</t>
        </is>
      </c>
      <c r="M1962" s="6">
        <f>HYPERLINK("https://www.dailydose.de/kleinanzeigen/detail.htm?ai=421472&amp;cf=kk&amp;pg=5&amp;ci=5", "Link")</f>
        <v/>
      </c>
      <c r="N1962" s="6">
        <f>HYPERLINK("C:\Projects\Kleinanzeigen-Scraper\offer_images\421472", "Link")</f>
        <v/>
      </c>
      <c r="O1962" t="inlineStr">
        <is>
          <t>Klaus_37</t>
        </is>
      </c>
      <c r="P1962" s="6">
        <f>HYPERLINK("https://www.dailydose.de/kleinanzeigen/user/4023", "Link")</f>
        <v/>
      </c>
      <c r="Q1962" s="7" t="n">
        <v>45536.91116898148</v>
      </c>
      <c r="R1962" s="3" t="inlineStr">
        <is>
          <t>107.52</t>
        </is>
      </c>
      <c r="S1962" t="inlineStr">
        <is>
          <t>München</t>
        </is>
      </c>
    </row>
    <row r="1963">
      <c r="A1963" s="2" t="n">
        <v>6</v>
      </c>
      <c r="B1963" t="inlineStr">
        <is>
          <t>Duotone Super Session</t>
        </is>
      </c>
      <c r="C1963" s="3" t="n">
        <v>455</v>
      </c>
      <c r="D1963" s="3" t="n">
        <v>179</v>
      </c>
      <c r="E1963" t="inlineStr"/>
      <c r="F1963" t="inlineStr"/>
      <c r="G1963" t="inlineStr">
        <is>
          <t>used</t>
        </is>
      </c>
      <c r="H1963" s="4" t="n">
        <v>290</v>
      </c>
      <c r="I1963" t="inlineStr"/>
      <c r="J1963" t="inlineStr">
        <is>
          <t>24119 Kiel Kronshagen</t>
        </is>
      </c>
      <c r="K1963" s="5" t="n">
        <v>45528</v>
      </c>
      <c r="L1963" t="inlineStr">
        <is>
          <t>Sold</t>
        </is>
      </c>
      <c r="M1963" s="6">
        <f>HYPERLINK("https://www.dailydose.de/kleinanzeigen/detail.htm?ai=421369&amp;cf=kk&amp;pg=5&amp;ci=5", "Link")</f>
        <v/>
      </c>
      <c r="N1963" s="6">
        <f>HYPERLINK("C:\Projects\Kleinanzeigen-Scraper\offer_images\421369", "Link")</f>
        <v/>
      </c>
      <c r="O1963" t="inlineStr">
        <is>
          <t>Jan Heinrich</t>
        </is>
      </c>
      <c r="P1963" s="6">
        <f>HYPERLINK("https://www.dailydose.de/kleinanzeigen/user/12576", "Link")</f>
        <v/>
      </c>
      <c r="Q1963" s="7" t="n">
        <v>45536.91109953704</v>
      </c>
      <c r="R1963" s="3" t="inlineStr">
        <is>
          <t>432.46</t>
        </is>
      </c>
      <c r="S1963" t="inlineStr">
        <is>
          <t>Köln</t>
        </is>
      </c>
    </row>
    <row r="1964">
      <c r="A1964" s="2" t="n">
        <v>5.6</v>
      </c>
      <c r="B1964" t="inlineStr">
        <is>
          <t>GA Sails IQ-ME</t>
        </is>
      </c>
      <c r="C1964" s="3" t="inlineStr">
        <is>
          <t>400-430</t>
        </is>
      </c>
      <c r="D1964" s="3" t="inlineStr"/>
      <c r="E1964" t="inlineStr">
        <is>
          <t>New School Wave</t>
        </is>
      </c>
      <c r="F1964" t="inlineStr">
        <is>
          <t>2023/2024</t>
        </is>
      </c>
      <c r="G1964" t="inlineStr">
        <is>
          <t>new</t>
        </is>
      </c>
      <c r="H1964" s="4" t="n">
        <v>599</v>
      </c>
      <c r="I1964" t="inlineStr"/>
      <c r="J1964" t="inlineStr">
        <is>
          <t>22045 Hamburg</t>
        </is>
      </c>
      <c r="K1964" s="5" t="n">
        <v>45529</v>
      </c>
      <c r="L1964" t="inlineStr">
        <is>
          <t>Sold</t>
        </is>
      </c>
      <c r="M1964" s="6">
        <f>HYPERLINK("https://www.dailydose.de/kleinanzeigen/detail.htm?ai=421419&amp;cf=kk&amp;pg=5&amp;ci=5", "Link")</f>
        <v/>
      </c>
      <c r="N1964" s="6">
        <f>HYPERLINK("C:\Projects\Kleinanzeigen-Scraper\offer_images\421419", "Link")</f>
        <v/>
      </c>
      <c r="O1964" t="inlineStr">
        <is>
          <t>tf</t>
        </is>
      </c>
      <c r="P1964" s="6">
        <f>HYPERLINK("https://www.dailydose.de/kleinanzeigen/user/6179", "Link")</f>
        <v/>
      </c>
      <c r="Q1964" s="7" t="n">
        <v>45536.91109953704</v>
      </c>
      <c r="R1964" s="3" t="inlineStr">
        <is>
          <t>364.91</t>
        </is>
      </c>
      <c r="S1964" t="inlineStr">
        <is>
          <t>Köln</t>
        </is>
      </c>
    </row>
    <row r="1965">
      <c r="A1965" s="2" t="n">
        <v>7.4</v>
      </c>
      <c r="B1965" t="inlineStr">
        <is>
          <t>Neil Pryde RS Racing Evo 15</t>
        </is>
      </c>
      <c r="C1965" s="3" t="inlineStr"/>
      <c r="D1965" s="3" t="inlineStr"/>
      <c r="E1965" t="inlineStr">
        <is>
          <t>Racing</t>
        </is>
      </c>
      <c r="F1965" t="inlineStr">
        <is>
          <t>2024</t>
        </is>
      </c>
      <c r="G1965" t="inlineStr"/>
      <c r="H1965" s="4" t="n">
        <v>800</v>
      </c>
      <c r="I1965" t="inlineStr"/>
      <c r="J1965" t="inlineStr">
        <is>
          <t>88250 Weingarten</t>
        </is>
      </c>
      <c r="K1965" s="5" t="n">
        <v>45533</v>
      </c>
      <c r="L1965" t="inlineStr">
        <is>
          <t>Sold</t>
        </is>
      </c>
      <c r="M1965" s="6">
        <f>HYPERLINK("https://www.dailydose.de/kleinanzeigen/detail.htm?ai=421740&amp;cf=kk&amp;pg=4&amp;ci=5", "Link")</f>
        <v/>
      </c>
      <c r="N1965" s="6">
        <f>HYPERLINK("C:\Projects\Kleinanzeigen-Scraper\offer_images\421740", "Link")</f>
        <v/>
      </c>
      <c r="O1965" t="inlineStr">
        <is>
          <t>Markus_111</t>
        </is>
      </c>
      <c r="P1965" s="6">
        <f>HYPERLINK("https://www.dailydose.de/kleinanzeigen/user/25219", "Link")</f>
        <v/>
      </c>
      <c r="Q1965" s="7" t="n">
        <v>45536.91106481481</v>
      </c>
      <c r="R1965" s="3" t="inlineStr">
        <is>
          <t>97.39</t>
        </is>
      </c>
      <c r="S1965" t="inlineStr">
        <is>
          <t>Bonndorf</t>
        </is>
      </c>
    </row>
    <row r="1966">
      <c r="A1966" s="2" t="n">
        <v>5</v>
      </c>
      <c r="B1966" t="inlineStr">
        <is>
          <t>Gaastra POISON</t>
        </is>
      </c>
      <c r="C1966" s="3" t="n">
        <v>418</v>
      </c>
      <c r="D1966" s="3" t="n">
        <v>170</v>
      </c>
      <c r="E1966" t="inlineStr"/>
      <c r="F1966" t="inlineStr"/>
      <c r="G1966" t="inlineStr">
        <is>
          <t>used</t>
        </is>
      </c>
      <c r="H1966" s="4" t="n">
        <v>160</v>
      </c>
      <c r="I1966" t="inlineStr">
        <is>
          <t>VB</t>
        </is>
      </c>
      <c r="J1966" t="inlineStr">
        <is>
          <t>23909 Ratzeburg</t>
        </is>
      </c>
      <c r="K1966" s="5" t="n">
        <v>45534</v>
      </c>
      <c r="L1966" t="inlineStr">
        <is>
          <t>Sold</t>
        </is>
      </c>
      <c r="M1966" s="6">
        <f>HYPERLINK("https://www.dailydose.de/kleinanzeigen/detail.htm?ai=421807&amp;cf=kk&amp;pg=4&amp;ci=5", "Link")</f>
        <v/>
      </c>
      <c r="N1966" s="6">
        <f>HYPERLINK("C:\Projects\Kleinanzeigen-Scraper\offer_images\421807", "Link")</f>
        <v/>
      </c>
      <c r="O1966" t="inlineStr">
        <is>
          <t>Insider</t>
        </is>
      </c>
      <c r="P1966" s="6">
        <f>HYPERLINK("https://www.dailydose.de/kleinanzeigen/user/20603", "Link")</f>
        <v/>
      </c>
      <c r="Q1966" s="7" t="n">
        <v>45536.91104166667</v>
      </c>
      <c r="R1966" s="3" t="inlineStr">
        <is>
          <t>401.75</t>
        </is>
      </c>
      <c r="S1966" t="inlineStr">
        <is>
          <t>Köln</t>
        </is>
      </c>
    </row>
    <row r="1967">
      <c r="A1967" s="2" t="n">
        <v>6.5</v>
      </c>
      <c r="B1967" t="inlineStr">
        <is>
          <t>Neilpryde Fusion</t>
        </is>
      </c>
      <c r="C1967" s="3" t="inlineStr"/>
      <c r="D1967" s="3" t="inlineStr"/>
      <c r="E1967" t="inlineStr"/>
      <c r="F1967" t="inlineStr">
        <is>
          <t>2016</t>
        </is>
      </c>
      <c r="G1967" t="inlineStr">
        <is>
          <t>used</t>
        </is>
      </c>
      <c r="H1967" s="4" t="n">
        <v>240</v>
      </c>
      <c r="I1967" t="inlineStr"/>
      <c r="J1967" t="inlineStr">
        <is>
          <t>24118 Kiel</t>
        </is>
      </c>
      <c r="K1967" s="5" t="n">
        <v>45534</v>
      </c>
      <c r="L1967" t="inlineStr">
        <is>
          <t>Sold</t>
        </is>
      </c>
      <c r="M1967" s="6">
        <f>HYPERLINK("https://www.dailydose.de/kleinanzeigen/detail.htm?ai=421797&amp;cf=kk&amp;pg=5&amp;ci=5", "Link")</f>
        <v/>
      </c>
      <c r="N1967" s="6">
        <f>HYPERLINK("C:\Projects\Kleinanzeigen-Scraper\offer_images\421797", "Link")</f>
        <v/>
      </c>
      <c r="O1967" t="inlineStr">
        <is>
          <t>Tim_152</t>
        </is>
      </c>
      <c r="P1967" s="6">
        <f>HYPERLINK("https://www.dailydose.de/kleinanzeigen/user/9637", "Link")</f>
        <v/>
      </c>
      <c r="Q1967" s="7" t="n">
        <v>45536.91097222222</v>
      </c>
      <c r="R1967" s="3" t="inlineStr">
        <is>
          <t>434.29</t>
        </is>
      </c>
      <c r="S1967" t="inlineStr">
        <is>
          <t>Köln</t>
        </is>
      </c>
    </row>
    <row r="1968">
      <c r="A1968" s="2" t="n">
        <v>4.8</v>
      </c>
      <c r="B1968" t="inlineStr">
        <is>
          <t>Severne S-1</t>
        </is>
      </c>
      <c r="C1968" s="3" t="inlineStr"/>
      <c r="D1968" s="3" t="inlineStr"/>
      <c r="E1968" t="inlineStr"/>
      <c r="F1968" t="inlineStr"/>
      <c r="G1968" t="inlineStr">
        <is>
          <t>used</t>
        </is>
      </c>
      <c r="H1968" s="4" t="n">
        <v>350</v>
      </c>
      <c r="I1968" t="inlineStr"/>
      <c r="J1968" t="inlineStr">
        <is>
          <t>21643 Beckdorf</t>
        </is>
      </c>
      <c r="K1968" s="5" t="n">
        <v>45529</v>
      </c>
      <c r="L1968" t="inlineStr">
        <is>
          <t>Sold</t>
        </is>
      </c>
      <c r="M1968" s="6">
        <f>HYPERLINK("https://www.dailydose.de/kleinanzeigen/detail.htm?ai=421438&amp;cf=kk&amp;pg=5&amp;ci=5", "Link")</f>
        <v/>
      </c>
      <c r="N1968" s="6">
        <f>HYPERLINK("C:\Projects\Kleinanzeigen-Scraper\offer_images\421438", "Link")</f>
        <v/>
      </c>
      <c r="O1968" t="inlineStr">
        <is>
          <t>LucaMueller</t>
        </is>
      </c>
      <c r="P1968" s="6">
        <f>HYPERLINK("https://www.dailydose.de/kleinanzeigen/user/26323", "Link")</f>
        <v/>
      </c>
      <c r="Q1968" s="7" t="n">
        <v>45536.9109375</v>
      </c>
      <c r="R1968" s="3" t="inlineStr">
        <is>
          <t>329.53</t>
        </is>
      </c>
      <c r="S1968" t="inlineStr">
        <is>
          <t>Köln</t>
        </is>
      </c>
    </row>
    <row r="1969">
      <c r="A1969" s="2" t="n">
        <v>7.8</v>
      </c>
      <c r="B1969" t="inlineStr">
        <is>
          <t>Neilpryde Rs Flight Evo</t>
        </is>
      </c>
      <c r="C1969" s="3" t="inlineStr"/>
      <c r="D1969" s="3" t="inlineStr"/>
      <c r="E1969" t="inlineStr"/>
      <c r="F1969" t="inlineStr"/>
      <c r="G1969" t="inlineStr">
        <is>
          <t>repaired</t>
        </is>
      </c>
      <c r="H1969" s="4" t="n">
        <v>399</v>
      </c>
      <c r="I1969" t="inlineStr"/>
      <c r="J1969" t="inlineStr">
        <is>
          <t>6068 Mils Tirol</t>
        </is>
      </c>
      <c r="K1969" s="5" t="n">
        <v>45532</v>
      </c>
      <c r="L1969" t="inlineStr">
        <is>
          <t>Sold</t>
        </is>
      </c>
      <c r="M1969" s="6">
        <f>HYPERLINK("https://www.dailydose.de/kleinanzeigen/detail.htm?ai=421656&amp;cf=kk&amp;pg=5&amp;ci=5", "Link")</f>
        <v/>
      </c>
      <c r="N1969" s="6">
        <f>HYPERLINK("C:\Projects\Kleinanzeigen-Scraper\offer_images\421656", "Link")</f>
        <v/>
      </c>
      <c r="O1969" t="inlineStr">
        <is>
          <t>wolfi_161</t>
        </is>
      </c>
      <c r="P1969" s="6">
        <f>HYPERLINK("https://www.dailydose.de/kleinanzeigen/user/25331", "Link")</f>
        <v/>
      </c>
      <c r="Q1969" s="7" t="n">
        <v>45536.91091435185</v>
      </c>
      <c r="R1969" s="3" t="inlineStr">
        <is>
          <t>94.42</t>
        </is>
      </c>
      <c r="S1969" t="inlineStr">
        <is>
          <t>München</t>
        </is>
      </c>
    </row>
    <row r="1970">
      <c r="A1970" s="2" t="n">
        <v>5.4</v>
      </c>
      <c r="B1970" t="inlineStr">
        <is>
          <t>Goya Bounce</t>
        </is>
      </c>
      <c r="C1970" s="3" t="n">
        <v>400</v>
      </c>
      <c r="D1970" s="3" t="n">
        <v>173</v>
      </c>
      <c r="E1970" t="inlineStr">
        <is>
          <t>Freestyle</t>
        </is>
      </c>
      <c r="F1970" t="inlineStr"/>
      <c r="G1970" t="inlineStr">
        <is>
          <t>used</t>
        </is>
      </c>
      <c r="H1970" s="4" t="n">
        <v>225</v>
      </c>
      <c r="I1970" t="inlineStr"/>
      <c r="J1970" t="inlineStr">
        <is>
          <t>10407 Berlin</t>
        </is>
      </c>
      <c r="K1970" s="5" t="n">
        <v>45532</v>
      </c>
      <c r="L1970" t="inlineStr">
        <is>
          <t>Sold</t>
        </is>
      </c>
      <c r="M1970" s="6">
        <f>HYPERLINK("https://www.dailydose.de/kleinanzeigen/detail.htm?ai=421628&amp;cf=kk&amp;pg=5&amp;ci=5", "Link")</f>
        <v/>
      </c>
      <c r="N1970" s="6">
        <f>HYPERLINK("C:\Projects\Kleinanzeigen-Scraper\offer_images\421628", "Link")</f>
        <v/>
      </c>
      <c r="O1970" t="inlineStr">
        <is>
          <t>Andreas_75</t>
        </is>
      </c>
      <c r="P1970" s="6">
        <f>HYPERLINK("https://www.dailydose.de/kleinanzeigen/user/3910", "Link")</f>
        <v/>
      </c>
      <c r="Q1970" s="7" t="n">
        <v>45536.91090277778</v>
      </c>
      <c r="R1970" s="3" t="inlineStr">
        <is>
          <t>481.41</t>
        </is>
      </c>
      <c r="S1970" t="inlineStr">
        <is>
          <t>Köln</t>
        </is>
      </c>
    </row>
    <row r="1971">
      <c r="A1971" s="2" t="n">
        <v>8.199999999999999</v>
      </c>
      <c r="B1971" t="inlineStr">
        <is>
          <t>Neil Pryde RS Racing Evo 15</t>
        </is>
      </c>
      <c r="C1971" s="3" t="inlineStr"/>
      <c r="D1971" s="3" t="inlineStr"/>
      <c r="E1971" t="inlineStr"/>
      <c r="F1971" t="inlineStr">
        <is>
          <t>2024</t>
        </is>
      </c>
      <c r="G1971" t="inlineStr"/>
      <c r="H1971" s="4" t="n">
        <v>820</v>
      </c>
      <c r="I1971" t="inlineStr"/>
      <c r="J1971" t="inlineStr">
        <is>
          <t>88250 Weingarten</t>
        </is>
      </c>
      <c r="K1971" s="5" t="n">
        <v>45533</v>
      </c>
      <c r="L1971" t="inlineStr">
        <is>
          <t>Sold</t>
        </is>
      </c>
      <c r="M1971" s="6">
        <f>HYPERLINK("https://www.dailydose.de/kleinanzeigen/detail.htm?ai=421739&amp;cf=kk&amp;pg=4&amp;ci=5", "Link")</f>
        <v/>
      </c>
      <c r="N1971" s="6">
        <f>HYPERLINK("C:\Projects\Kleinanzeigen-Scraper\offer_images\421739", "Link")</f>
        <v/>
      </c>
      <c r="O1971" t="inlineStr">
        <is>
          <t>Markus_111</t>
        </is>
      </c>
      <c r="P1971" s="6">
        <f>HYPERLINK("https://www.dailydose.de/kleinanzeigen/user/25219", "Link")</f>
        <v/>
      </c>
      <c r="Q1971" s="7" t="n">
        <v>45536.9108449074</v>
      </c>
      <c r="R1971" s="3" t="inlineStr">
        <is>
          <t>97.39</t>
        </is>
      </c>
      <c r="S1971" t="inlineStr">
        <is>
          <t>Bonndorf</t>
        </is>
      </c>
    </row>
    <row r="1972">
      <c r="A1972" s="2" t="n">
        <v>7.5</v>
      </c>
      <c r="B1972" t="inlineStr">
        <is>
          <t>Severne NCX</t>
        </is>
      </c>
      <c r="C1972" s="3" t="n">
        <v>460</v>
      </c>
      <c r="D1972" s="3" t="n">
        <v>198</v>
      </c>
      <c r="E1972" t="inlineStr">
        <is>
          <t>Freerace</t>
        </is>
      </c>
      <c r="F1972" t="inlineStr"/>
      <c r="G1972" t="inlineStr">
        <is>
          <t>used</t>
        </is>
      </c>
      <c r="H1972" s="4" t="n">
        <v>380</v>
      </c>
      <c r="I1972" t="inlineStr"/>
      <c r="J1972" t="inlineStr">
        <is>
          <t>86807 Buchloe</t>
        </is>
      </c>
      <c r="K1972" s="5" t="n">
        <v>45531</v>
      </c>
      <c r="L1972" t="inlineStr">
        <is>
          <t>Sold</t>
        </is>
      </c>
      <c r="M1972" s="6">
        <f>HYPERLINK("https://www.dailydose.de/kleinanzeigen/detail.htm?ai=421593&amp;cf=kk&amp;pg=5&amp;ci=5", "Link")</f>
        <v/>
      </c>
      <c r="N1972" s="6">
        <f>HYPERLINK("C:\Projects\Kleinanzeigen-Scraper\offer_images\421593", "Link")</f>
        <v/>
      </c>
      <c r="O1972" t="inlineStr">
        <is>
          <t>surficus_84</t>
        </is>
      </c>
      <c r="P1972" s="6">
        <f>HYPERLINK("https://www.dailydose.de/kleinanzeigen/user/22532", "Link")</f>
        <v/>
      </c>
      <c r="Q1972" s="7" t="n">
        <v>45536.9108449074</v>
      </c>
      <c r="R1972" s="3" t="inlineStr">
        <is>
          <t>63.47</t>
        </is>
      </c>
      <c r="S1972" t="inlineStr">
        <is>
          <t>München</t>
        </is>
      </c>
    </row>
    <row r="1973">
      <c r="A1973" s="2" t="n">
        <v>5</v>
      </c>
      <c r="B1973" t="inlineStr">
        <is>
          <t>Duotone WARP</t>
        </is>
      </c>
      <c r="C1973" s="3" t="n">
        <v>380</v>
      </c>
      <c r="D1973" s="3" t="inlineStr"/>
      <c r="E1973" t="inlineStr"/>
      <c r="F1973" t="inlineStr">
        <is>
          <t>2022</t>
        </is>
      </c>
      <c r="G1973" t="inlineStr"/>
      <c r="H1973" s="4" t="n">
        <v>310</v>
      </c>
      <c r="I1973" t="inlineStr"/>
      <c r="J1973" t="inlineStr">
        <is>
          <t>87616 Marktoberdorf</t>
        </is>
      </c>
      <c r="K1973" s="5" t="n">
        <v>45531</v>
      </c>
      <c r="L1973" t="inlineStr">
        <is>
          <t>Sold</t>
        </is>
      </c>
      <c r="M1973" s="6">
        <f>HYPERLINK("https://www.dailydose.de/kleinanzeigen/detail.htm?ai=421567&amp;cf=kk&amp;pg=5&amp;ci=5", "Link")</f>
        <v/>
      </c>
      <c r="N1973" s="6">
        <f>HYPERLINK("C:\Projects\Kleinanzeigen-Scraper\offer_images\421567", "Link")</f>
        <v/>
      </c>
      <c r="O1973" t="inlineStr">
        <is>
          <t>Achim_189</t>
        </is>
      </c>
      <c r="P1973" s="6">
        <f>HYPERLINK("https://www.dailydose.de/kleinanzeigen/user/19262", "Link")</f>
        <v/>
      </c>
      <c r="Q1973" s="7" t="n">
        <v>45536.91081018518</v>
      </c>
      <c r="R1973" s="3" t="inlineStr">
        <is>
          <t>83.30</t>
        </is>
      </c>
      <c r="S1973" t="inlineStr">
        <is>
          <t>München</t>
        </is>
      </c>
    </row>
    <row r="1974">
      <c r="A1974" s="2" t="n">
        <v>6.5</v>
      </c>
      <c r="B1974" t="inlineStr">
        <is>
          <t>Neil Pryde RS Racing Evo 15</t>
        </is>
      </c>
      <c r="C1974" s="3" t="inlineStr"/>
      <c r="D1974" s="3" t="inlineStr"/>
      <c r="E1974" t="inlineStr"/>
      <c r="F1974" t="inlineStr">
        <is>
          <t>2024</t>
        </is>
      </c>
      <c r="G1974" t="inlineStr"/>
      <c r="H1974" s="4" t="n">
        <v>780</v>
      </c>
      <c r="I1974" t="inlineStr"/>
      <c r="J1974" t="inlineStr">
        <is>
          <t>88250 Weingarten</t>
        </is>
      </c>
      <c r="K1974" s="5" t="n">
        <v>45533</v>
      </c>
      <c r="L1974" t="inlineStr">
        <is>
          <t>Sold</t>
        </is>
      </c>
      <c r="M1974" s="6">
        <f>HYPERLINK("https://www.dailydose.de/kleinanzeigen/detail.htm?ai=421741&amp;cf=kk&amp;pg=3&amp;ci=5", "Link")</f>
        <v/>
      </c>
      <c r="N1974" s="6">
        <f>HYPERLINK("C:\Projects\Kleinanzeigen-Scraper\offer_images\421741", "Link")</f>
        <v/>
      </c>
      <c r="O1974" t="inlineStr">
        <is>
          <t>Markus_111</t>
        </is>
      </c>
      <c r="P1974" s="6">
        <f>HYPERLINK("https://www.dailydose.de/kleinanzeigen/user/25219", "Link")</f>
        <v/>
      </c>
      <c r="Q1974" s="7" t="n">
        <v>45536.91077546297</v>
      </c>
      <c r="R1974" s="3" t="inlineStr">
        <is>
          <t>97.39</t>
        </is>
      </c>
      <c r="S1974" t="inlineStr">
        <is>
          <t>Bonndorf</t>
        </is>
      </c>
    </row>
    <row r="1975">
      <c r="A1975" s="2" t="n">
        <v>5.4</v>
      </c>
      <c r="B1975" t="inlineStr">
        <is>
          <t>North Sails WARP</t>
        </is>
      </c>
      <c r="C1975" s="3" t="inlineStr"/>
      <c r="D1975" s="3" t="inlineStr">
        <is>
          <t>183-205</t>
        </is>
      </c>
      <c r="E1975" t="inlineStr"/>
      <c r="F1975" t="inlineStr">
        <is>
          <t>2018</t>
        </is>
      </c>
      <c r="G1975" t="inlineStr"/>
      <c r="H1975" s="4" t="n">
        <v>290</v>
      </c>
      <c r="I1975" t="inlineStr"/>
      <c r="J1975" t="inlineStr">
        <is>
          <t>87616 Marktoberdorf</t>
        </is>
      </c>
      <c r="K1975" s="5" t="n">
        <v>45531</v>
      </c>
      <c r="L1975" t="inlineStr">
        <is>
          <t>Sold</t>
        </is>
      </c>
      <c r="M1975" s="6">
        <f>HYPERLINK("https://www.dailydose.de/kleinanzeigen/detail.htm?ai=421568&amp;cf=kk&amp;pg=5&amp;ci=5", "Link")</f>
        <v/>
      </c>
      <c r="N1975" s="6">
        <f>HYPERLINK("C:\Projects\Kleinanzeigen-Scraper\offer_images\421568", "Link")</f>
        <v/>
      </c>
      <c r="O1975" t="inlineStr">
        <is>
          <t>Achim_189</t>
        </is>
      </c>
      <c r="P1975" s="6">
        <f>HYPERLINK("https://www.dailydose.de/kleinanzeigen/user/19262", "Link")</f>
        <v/>
      </c>
      <c r="Q1975" s="7" t="n">
        <v>45536.91077546297</v>
      </c>
      <c r="R1975" s="3" t="inlineStr">
        <is>
          <t>83.30</t>
        </is>
      </c>
      <c r="S1975" t="inlineStr">
        <is>
          <t>München</t>
        </is>
      </c>
    </row>
    <row r="1976">
      <c r="A1976" s="2" t="n">
        <v>4.2</v>
      </c>
      <c r="B1976" t="inlineStr">
        <is>
          <t>Neilpryde Combat Pro</t>
        </is>
      </c>
      <c r="C1976" s="3" t="n">
        <v>370</v>
      </c>
      <c r="D1976" s="3" t="n">
        <v>157</v>
      </c>
      <c r="E1976" t="inlineStr"/>
      <c r="F1976" t="inlineStr">
        <is>
          <t>2020</t>
        </is>
      </c>
      <c r="G1976" t="inlineStr">
        <is>
          <t>used</t>
        </is>
      </c>
      <c r="H1976" s="4" t="n">
        <v>220</v>
      </c>
      <c r="I1976" t="inlineStr">
        <is>
          <t>VB</t>
        </is>
      </c>
      <c r="J1976" t="inlineStr">
        <is>
          <t>26133 Oldenburg</t>
        </is>
      </c>
      <c r="K1976" s="5" t="n">
        <v>45535</v>
      </c>
      <c r="L1976" t="inlineStr">
        <is>
          <t>Sold</t>
        </is>
      </c>
      <c r="M1976" s="6">
        <f>HYPERLINK("https://www.dailydose.de/kleinanzeigen/detail.htm?ai=421828&amp;cf=kk&amp;pg=4&amp;ci=5", "Link")</f>
        <v/>
      </c>
      <c r="N1976" s="6">
        <f>HYPERLINK("C:\Projects\Kleinanzeigen-Scraper\offer_images\421828", "Link")</f>
        <v/>
      </c>
      <c r="O1976" t="inlineStr">
        <is>
          <t>msbg-surf</t>
        </is>
      </c>
      <c r="P1976" s="6">
        <f>HYPERLINK("https://www.dailydose.de/kleinanzeigen/user/734", "Link")</f>
        <v/>
      </c>
      <c r="Q1976" s="7" t="n">
        <v>45536.91075231481</v>
      </c>
      <c r="R1976" s="3" t="inlineStr">
        <is>
          <t>255.61</t>
        </is>
      </c>
      <c r="S1976" t="inlineStr">
        <is>
          <t>Köln</t>
        </is>
      </c>
    </row>
    <row r="1977">
      <c r="A1977" s="2" t="n">
        <v>5.9</v>
      </c>
      <c r="B1977" t="inlineStr">
        <is>
          <t>North Duke</t>
        </is>
      </c>
      <c r="C1977" s="3" t="inlineStr"/>
      <c r="D1977" s="3" t="n">
        <v>180</v>
      </c>
      <c r="E1977" t="inlineStr"/>
      <c r="F1977" t="inlineStr"/>
      <c r="G1977" t="inlineStr">
        <is>
          <t>used</t>
        </is>
      </c>
      <c r="H1977" s="4" t="n">
        <v>80</v>
      </c>
      <c r="I1977" t="inlineStr"/>
      <c r="J1977" t="inlineStr">
        <is>
          <t>28215 Bremen</t>
        </is>
      </c>
      <c r="K1977" s="5" t="n">
        <v>45535</v>
      </c>
      <c r="L1977" t="inlineStr">
        <is>
          <t>Sold</t>
        </is>
      </c>
      <c r="M1977" s="6">
        <f>HYPERLINK("https://www.dailydose.de/kleinanzeigen/detail.htm?ai=421861&amp;cf=kk&amp;pg=5&amp;ci=5", "Link")</f>
        <v/>
      </c>
      <c r="N1977" s="6">
        <f>HYPERLINK("C:\Projects\Kleinanzeigen-Scraper\offer_images\421861", "Link")</f>
        <v/>
      </c>
      <c r="O1977" t="inlineStr">
        <is>
          <t>maoch</t>
        </is>
      </c>
      <c r="P1977" s="6">
        <f>HYPERLINK("https://www.dailydose.de/kleinanzeigen/user/11575", "Link")</f>
        <v/>
      </c>
      <c r="Q1977" s="7" t="n">
        <v>45536.91071759259</v>
      </c>
      <c r="R1977" s="3" t="inlineStr">
        <is>
          <t>271.71</t>
        </is>
      </c>
      <c r="S1977" t="inlineStr">
        <is>
          <t>Köln</t>
        </is>
      </c>
    </row>
    <row r="1978">
      <c r="A1978" s="2" t="n">
        <v>3.7</v>
      </c>
      <c r="B1978" t="inlineStr">
        <is>
          <t>Gun Sails Wave MC</t>
        </is>
      </c>
      <c r="C1978" s="3" t="inlineStr"/>
      <c r="D1978" s="3" t="inlineStr"/>
      <c r="E1978" t="inlineStr">
        <is>
          <t>Wave</t>
        </is>
      </c>
      <c r="F1978" t="inlineStr"/>
      <c r="G1978" t="inlineStr">
        <is>
          <t>used</t>
        </is>
      </c>
      <c r="H1978" s="4" t="n">
        <v>100</v>
      </c>
      <c r="I1978" t="inlineStr">
        <is>
          <t>VB</t>
        </is>
      </c>
      <c r="J1978" t="inlineStr">
        <is>
          <t>21502 Geesthacht</t>
        </is>
      </c>
      <c r="K1978" s="5" t="n">
        <v>45532</v>
      </c>
      <c r="L1978" t="inlineStr">
        <is>
          <t>Sold</t>
        </is>
      </c>
      <c r="M1978" s="6">
        <f>HYPERLINK("https://www.dailydose.de/kleinanzeigen/detail.htm?ai=421651&amp;cf=kk&amp;pg=5&amp;ci=5", "Link")</f>
        <v/>
      </c>
      <c r="N1978" s="6">
        <f>HYPERLINK("C:\Projects\Kleinanzeigen-Scraper\offer_images\421651", "Link")</f>
        <v/>
      </c>
      <c r="O1978" t="inlineStr">
        <is>
          <t>oavp</t>
        </is>
      </c>
      <c r="P1978" s="6">
        <f>HYPERLINK("https://www.dailydose.de/kleinanzeigen/user/26332", "Link")</f>
        <v/>
      </c>
      <c r="Q1978" s="7" t="n">
        <v>45536.91068287037</v>
      </c>
      <c r="R1978" s="3" t="inlineStr">
        <is>
          <t>364.52</t>
        </is>
      </c>
      <c r="S1978" t="inlineStr">
        <is>
          <t>Köln</t>
        </is>
      </c>
    </row>
    <row r="1979">
      <c r="A1979" s="2" t="n">
        <v>5</v>
      </c>
      <c r="B1979" t="inlineStr">
        <is>
          <t>Gaastra Pilot</t>
        </is>
      </c>
      <c r="C1979" s="3" t="n">
        <v>430</v>
      </c>
      <c r="D1979" s="3" t="n">
        <v>180</v>
      </c>
      <c r="E1979" t="inlineStr"/>
      <c r="F1979" t="inlineStr"/>
      <c r="G1979" t="inlineStr">
        <is>
          <t>repaired</t>
        </is>
      </c>
      <c r="H1979" s="4" t="n">
        <v>30</v>
      </c>
      <c r="I1979" t="inlineStr"/>
      <c r="J1979" t="inlineStr">
        <is>
          <t>DK 6960 Hvide Sande</t>
        </is>
      </c>
      <c r="K1979" s="5" t="n">
        <v>45536</v>
      </c>
      <c r="L1979" t="inlineStr">
        <is>
          <t>Sold</t>
        </is>
      </c>
      <c r="M1979" s="6">
        <f>HYPERLINK("https://www.dailydose.de/kleinanzeigen/detail.htm?ai=421878&amp;cf=kk&amp;pg=5&amp;ci=5", "Link")</f>
        <v/>
      </c>
      <c r="N1979" s="6">
        <f>HYPERLINK("C:\Projects\Kleinanzeigen-Scraper\offer_images\421878", "Link")</f>
        <v/>
      </c>
      <c r="O1979" t="inlineStr">
        <is>
          <t>Thomas Grzybowski</t>
        </is>
      </c>
      <c r="P1979" s="6">
        <f>HYPERLINK("https://www.dailydose.de/kleinanzeigen/user/22435", "Link")</f>
        <v/>
      </c>
      <c r="Q1979" s="7" t="n">
        <v>45536.91068287037</v>
      </c>
      <c r="R1979" s="3" t="inlineStr">
        <is>
          <t>568.76</t>
        </is>
      </c>
      <c r="S1979" t="inlineStr">
        <is>
          <t>Köln</t>
        </is>
      </c>
    </row>
    <row r="1980">
      <c r="A1980" s="2" t="n">
        <v>5.3</v>
      </c>
      <c r="B1980" t="inlineStr">
        <is>
          <t>Gun Sails TORRO</t>
        </is>
      </c>
      <c r="C1980" s="3" t="n">
        <v>429</v>
      </c>
      <c r="D1980" s="3" t="n">
        <v>173</v>
      </c>
      <c r="E1980" t="inlineStr">
        <is>
          <t>Freemove</t>
        </is>
      </c>
      <c r="F1980" t="inlineStr"/>
      <c r="G1980" t="inlineStr">
        <is>
          <t>used, good condition</t>
        </is>
      </c>
      <c r="H1980" s="4" t="n">
        <v>130</v>
      </c>
      <c r="I1980" t="inlineStr">
        <is>
          <t>VB</t>
        </is>
      </c>
      <c r="J1980" t="inlineStr">
        <is>
          <t>23909 Ratzeburg</t>
        </is>
      </c>
      <c r="K1980" s="5" t="n">
        <v>45534</v>
      </c>
      <c r="L1980" t="inlineStr">
        <is>
          <t>Sold</t>
        </is>
      </c>
      <c r="M1980" s="6">
        <f>HYPERLINK("https://www.dailydose.de/kleinanzeigen/detail.htm?ai=421803&amp;cf=kk&amp;pg=5&amp;ci=5", "Link")</f>
        <v/>
      </c>
      <c r="N1980" s="6">
        <f>HYPERLINK("C:\Projects\Kleinanzeigen-Scraper\offer_images\421803", "Link")</f>
        <v/>
      </c>
      <c r="O1980" t="inlineStr">
        <is>
          <t>Insider</t>
        </is>
      </c>
      <c r="P1980" s="6">
        <f>HYPERLINK("https://www.dailydose.de/kleinanzeigen/user/20603", "Link")</f>
        <v/>
      </c>
      <c r="Q1980" s="7" t="n">
        <v>45536.91064814815</v>
      </c>
      <c r="R1980" s="3" t="inlineStr">
        <is>
          <t>401.75</t>
        </is>
      </c>
      <c r="S1980" t="inlineStr">
        <is>
          <t>Köln</t>
        </is>
      </c>
    </row>
    <row r="1981">
      <c r="A1981" s="2" t="n">
        <v>6.2</v>
      </c>
      <c r="B1981" t="inlineStr">
        <is>
          <t>Gaastra Poison</t>
        </is>
      </c>
      <c r="C1981" s="3" t="inlineStr"/>
      <c r="D1981" s="3" t="inlineStr"/>
      <c r="E1981" t="inlineStr">
        <is>
          <t>Wave</t>
        </is>
      </c>
      <c r="F1981" t="inlineStr"/>
      <c r="G1981" t="inlineStr">
        <is>
          <t>used</t>
        </is>
      </c>
      <c r="H1981" s="4" t="inlineStr">
        <is>
          <t>235. 00</t>
        </is>
      </c>
      <c r="I1981" t="inlineStr"/>
      <c r="J1981" t="inlineStr">
        <is>
          <t>91619 b. Nürnberg</t>
        </is>
      </c>
      <c r="K1981" s="5" t="n">
        <v>45530</v>
      </c>
      <c r="L1981" t="inlineStr">
        <is>
          <t>Sold</t>
        </is>
      </c>
      <c r="M1981" s="6">
        <f>HYPERLINK("https://www.dailydose.de/kleinanzeigen/detail.htm?ai=421510&amp;cf=kk&amp;pg=5&amp;ci=5", "Link")</f>
        <v/>
      </c>
      <c r="N1981" s="6">
        <f>HYPERLINK("C:\Projects\Kleinanzeigen-Scraper\offer_images\421510", "Link")</f>
        <v/>
      </c>
      <c r="O1981" t="inlineStr">
        <is>
          <t>Ralf_31</t>
        </is>
      </c>
      <c r="P1981" s="6">
        <f>HYPERLINK("https://www.dailydose.de/kleinanzeigen/user/13888", "Link")</f>
        <v/>
      </c>
      <c r="Q1981" s="7" t="n">
        <v>45536.910625</v>
      </c>
      <c r="R1981" s="3" t="inlineStr">
        <is>
          <t>138.44</t>
        </is>
      </c>
      <c r="S1981" t="inlineStr">
        <is>
          <t>Böblingen</t>
        </is>
      </c>
    </row>
    <row r="1982">
      <c r="A1982" s="2" t="n">
        <v>6</v>
      </c>
      <c r="B1982" t="inlineStr">
        <is>
          <t>Northsails Prisma</t>
        </is>
      </c>
      <c r="C1982" s="3" t="n">
        <v>470</v>
      </c>
      <c r="D1982" s="3" t="n">
        <v>200</v>
      </c>
      <c r="E1982" t="inlineStr"/>
      <c r="F1982" t="inlineStr"/>
      <c r="G1982" t="inlineStr">
        <is>
          <t>used</t>
        </is>
      </c>
      <c r="H1982" s="4" t="n">
        <v>95</v>
      </c>
      <c r="I1982" t="inlineStr">
        <is>
          <t>VB</t>
        </is>
      </c>
      <c r="J1982" t="inlineStr">
        <is>
          <t>45699 Nordrhein-Westfalen - Herten</t>
        </is>
      </c>
      <c r="K1982" s="5" t="n">
        <v>45529</v>
      </c>
      <c r="L1982" t="inlineStr">
        <is>
          <t>Sold</t>
        </is>
      </c>
      <c r="M1982" s="6">
        <f>HYPERLINK("https://www.kleinanzeigen.de/s-anzeige/windsurf-segel-northsails-prisma-6-0/2845929284-230-1832", "Link")</f>
        <v/>
      </c>
      <c r="N1982" s="6">
        <f>HYPERLINK("C:\Projects\Kleinanzeigen-Scraper\offer_images\2845929284", "Link")</f>
        <v/>
      </c>
      <c r="O1982" t="inlineStr">
        <is>
          <t>V.P.</t>
        </is>
      </c>
      <c r="P1982" s="6">
        <f>HYPERLINK("https://www.kleinanzeigen.de/s-bestandsliste.html?userId=10829434", "Link")</f>
        <v/>
      </c>
      <c r="Q1982" s="7" t="n">
        <v>45536.91052083333</v>
      </c>
      <c r="R1982" s="3" t="inlineStr">
        <is>
          <t>73.42</t>
        </is>
      </c>
      <c r="S1982" t="inlineStr">
        <is>
          <t>Köln</t>
        </is>
      </c>
    </row>
    <row r="1983">
      <c r="A1983" s="2" t="n">
        <v>5</v>
      </c>
      <c r="B1983" t="inlineStr">
        <is>
          <t>NAISH</t>
        </is>
      </c>
      <c r="C1983" s="3" t="n">
        <v>438</v>
      </c>
      <c r="D1983" s="3" t="n">
        <v>166</v>
      </c>
      <c r="E1983" t="inlineStr"/>
      <c r="F1983" t="inlineStr"/>
      <c r="G1983" t="inlineStr">
        <is>
          <t>used</t>
        </is>
      </c>
      <c r="H1983" s="4" t="n">
        <v>50</v>
      </c>
      <c r="I1983" t="inlineStr"/>
      <c r="J1983" t="inlineStr">
        <is>
          <t>33428 Nordrhein-Westfalen - Harsewinkel</t>
        </is>
      </c>
      <c r="K1983" s="5" t="n">
        <v>45535</v>
      </c>
      <c r="L1983" t="inlineStr">
        <is>
          <t>Sold</t>
        </is>
      </c>
      <c r="M1983" s="6">
        <f>HYPERLINK("https://www.kleinanzeigen.de/s-anzeige/naish-windsurf-sail-rigg-segel-surfen-5-0qm/2850721048-230-16286", "Link")</f>
        <v/>
      </c>
      <c r="N1983" s="6">
        <f>HYPERLINK("C:\Projects\Kleinanzeigen-Scraper\offer_images\2850721048", "Link")</f>
        <v/>
      </c>
      <c r="O1983" t="inlineStr">
        <is>
          <t>Privat</t>
        </is>
      </c>
      <c r="P1983" s="6">
        <f>HYPERLINK("https://www.kleinanzeigen.de/s-bestandsliste.html?userId=1285129", "Link")</f>
        <v/>
      </c>
      <c r="Q1983" s="7" t="n">
        <v>45536.91050925926</v>
      </c>
      <c r="R1983" s="3" t="inlineStr">
        <is>
          <t>142.54</t>
        </is>
      </c>
      <c r="S1983" t="inlineStr">
        <is>
          <t>Köln</t>
        </is>
      </c>
    </row>
    <row r="1984">
      <c r="A1984" s="2" t="n">
        <v>7.8</v>
      </c>
      <c r="B1984" t="inlineStr">
        <is>
          <t>Severne Mach 5</t>
        </is>
      </c>
      <c r="C1984" s="3" t="n">
        <v>460</v>
      </c>
      <c r="D1984" s="3" t="n">
        <v>210</v>
      </c>
      <c r="E1984" t="inlineStr">
        <is>
          <t>Race</t>
        </is>
      </c>
      <c r="F1984" t="inlineStr"/>
      <c r="G1984" t="inlineStr">
        <is>
          <t>used</t>
        </is>
      </c>
      <c r="H1984" s="4" t="n">
        <v>399</v>
      </c>
      <c r="I1984" t="inlineStr"/>
      <c r="J1984" t="inlineStr">
        <is>
          <t>01458 Sachsen - Ottendorf-Okrilla</t>
        </is>
      </c>
      <c r="K1984" s="5" t="n">
        <v>45528</v>
      </c>
      <c r="L1984" t="inlineStr"/>
      <c r="M1984" s="6">
        <f>HYPERLINK("https://www.kleinanzeigen.de/s-anzeige/severne-mach-5-7-8-m-race-windsurf-segel/2844806303-230-4131", "Link")</f>
        <v/>
      </c>
      <c r="N1984" s="6">
        <f>HYPERLINK("C:\Projects\Kleinanzeigen-Scraper\offer_images\2844806303", "Link")</f>
        <v/>
      </c>
      <c r="O1984" t="inlineStr">
        <is>
          <t>Ingolf Lenz</t>
        </is>
      </c>
      <c r="P1984" s="6">
        <f>HYPERLINK("https://www.kleinanzeigen.de/s-bestandsliste.html?userId=15453126", "Link")</f>
        <v/>
      </c>
      <c r="Q1984" s="7" t="n">
        <v>45536.91050925926</v>
      </c>
      <c r="R1984" s="3" t="inlineStr">
        <is>
          <t>374.73</t>
        </is>
      </c>
      <c r="S1984" t="inlineStr">
        <is>
          <t>München</t>
        </is>
      </c>
    </row>
    <row r="1985">
      <c r="A1985" s="2" t="inlineStr"/>
      <c r="B1985" t="inlineStr">
        <is>
          <t>Neil Pryde</t>
        </is>
      </c>
      <c r="C1985" s="3" t="inlineStr"/>
      <c r="D1985" s="3" t="inlineStr"/>
      <c r="E1985" t="inlineStr"/>
      <c r="F1985" t="inlineStr"/>
      <c r="G1985" t="inlineStr">
        <is>
          <t>new</t>
        </is>
      </c>
      <c r="H1985" s="4" t="n">
        <v>50</v>
      </c>
      <c r="I1985" t="inlineStr"/>
      <c r="J1985" t="inlineStr">
        <is>
          <t>87651 Bayern - Bidingen</t>
        </is>
      </c>
      <c r="K1985" s="5" t="n">
        <v>45529</v>
      </c>
      <c r="L1985" t="inlineStr">
        <is>
          <t>Sold</t>
        </is>
      </c>
      <c r="M1985" s="6">
        <f>HYPERLINK("https://www.kleinanzeigen.de/s-anzeige/segel-neuwertig-fuer-windsurfen-marke-neil-pryde-/2846115749-230-7263", "Link")</f>
        <v/>
      </c>
      <c r="N1985" s="6">
        <f>HYPERLINK("C:\Projects\Kleinanzeigen-Scraper\offer_images\2846115749", "Link")</f>
        <v/>
      </c>
      <c r="O1985" t="inlineStr">
        <is>
          <t>Andreas Brockmann</t>
        </is>
      </c>
      <c r="P1985" s="6">
        <f>HYPERLINK("https://www.kleinanzeigen.de/s-bestandsliste.html?userId=12327712", "Link")</f>
        <v/>
      </c>
      <c r="Q1985" s="7" t="n">
        <v>45536.91048611111</v>
      </c>
      <c r="R1985" s="3" t="inlineStr">
        <is>
          <t>72.73</t>
        </is>
      </c>
      <c r="S1985" t="inlineStr">
        <is>
          <t>München</t>
        </is>
      </c>
    </row>
    <row r="1986">
      <c r="A1986" s="2" t="n">
        <v>7</v>
      </c>
      <c r="B1986" t="inlineStr">
        <is>
          <t>Neilpryde V6</t>
        </is>
      </c>
      <c r="C1986" s="3" t="n">
        <v>490</v>
      </c>
      <c r="D1986" s="3" t="inlineStr"/>
      <c r="E1986" t="inlineStr">
        <is>
          <t>Slalom</t>
        </is>
      </c>
      <c r="F1986" t="inlineStr"/>
      <c r="G1986" t="inlineStr">
        <is>
          <t>new</t>
        </is>
      </c>
      <c r="H1986" s="4" t="n">
        <v>120</v>
      </c>
      <c r="I1986" t="inlineStr">
        <is>
          <t>VB</t>
        </is>
      </c>
      <c r="J1986" t="inlineStr">
        <is>
          <t>13597 Berlin - Spandau</t>
        </is>
      </c>
      <c r="K1986" s="5" t="n">
        <v>45534</v>
      </c>
      <c r="L1986" t="inlineStr">
        <is>
          <t>Sold</t>
        </is>
      </c>
      <c r="M1986" s="6">
        <f>HYPERLINK("https://www.kleinanzeigen.de/s-anzeige/windsurf-segel-neilpryde-v6-slalom-7-0/2849741279-230-3431", "Link")</f>
        <v/>
      </c>
      <c r="N1986" s="6">
        <f>HYPERLINK("C:\Projects\Kleinanzeigen-Scraper\offer_images\2849741279", "Link")</f>
        <v/>
      </c>
      <c r="O1986" t="inlineStr">
        <is>
          <t>Tobias</t>
        </is>
      </c>
      <c r="P1986" s="6">
        <f>HYPERLINK("https://www.kleinanzeigen.de/s-bestandsliste.html?userId=33453558", "Link")</f>
        <v/>
      </c>
      <c r="Q1986" s="7" t="n">
        <v>45536.91048611111</v>
      </c>
      <c r="R1986" s="3" t="inlineStr">
        <is>
          <t>465.78</t>
        </is>
      </c>
      <c r="S1986" t="inlineStr">
        <is>
          <t>Köln</t>
        </is>
      </c>
    </row>
    <row r="1987">
      <c r="A1987" s="2" t="n">
        <v>6.5</v>
      </c>
      <c r="B1987" t="inlineStr">
        <is>
          <t>Neilpryde V8</t>
        </is>
      </c>
      <c r="C1987" s="3" t="inlineStr"/>
      <c r="D1987" s="3" t="inlineStr"/>
      <c r="E1987" t="inlineStr">
        <is>
          <t>Freerace</t>
        </is>
      </c>
      <c r="F1987" t="inlineStr"/>
      <c r="G1987" t="inlineStr">
        <is>
          <t>used</t>
        </is>
      </c>
      <c r="H1987" s="4" t="n">
        <v>88</v>
      </c>
      <c r="I1987" t="inlineStr"/>
      <c r="J1987" t="inlineStr">
        <is>
          <t>50858 Köln - Junkersdorf</t>
        </is>
      </c>
      <c r="K1987" s="5" t="n">
        <v>45531</v>
      </c>
      <c r="L1987" t="inlineStr">
        <is>
          <t>Sold</t>
        </is>
      </c>
      <c r="M1987" s="6">
        <f>HYPERLINK("https://www.kleinanzeigen.de/s-anzeige/verkauft-neilpryde-v8-6-5-segel-freerace-windsurfen-surfsegel/2847682240-230-17139", "Link")</f>
        <v/>
      </c>
      <c r="N1987" s="6">
        <f>HYPERLINK("C:\Projects\Kleinanzeigen-Scraper\offer_images\2847682240", "Link")</f>
        <v/>
      </c>
      <c r="O1987" t="inlineStr">
        <is>
          <t>Ingo Riemann</t>
        </is>
      </c>
      <c r="P1987" s="6">
        <f>HYPERLINK("https://www.kleinanzeigen.de/s-bestandsliste.html?userId=54165116", "Link")</f>
        <v/>
      </c>
      <c r="Q1987" s="7" t="n">
        <v>45536.91048611111</v>
      </c>
      <c r="R1987" s="3" t="inlineStr">
        <is>
          <t>7.26</t>
        </is>
      </c>
      <c r="S1987" t="inlineStr">
        <is>
          <t>Köln</t>
        </is>
      </c>
    </row>
    <row r="1988">
      <c r="A1988" s="2" t="n">
        <v>4.8</v>
      </c>
      <c r="B1988" t="inlineStr">
        <is>
          <t>Sailloft Air</t>
        </is>
      </c>
      <c r="C1988" s="3" t="n">
        <v>416</v>
      </c>
      <c r="D1988" s="3" t="inlineStr"/>
      <c r="E1988" t="inlineStr">
        <is>
          <t>Freestyle</t>
        </is>
      </c>
      <c r="F1988" t="inlineStr">
        <is>
          <t>2023</t>
        </is>
      </c>
      <c r="G1988" t="inlineStr">
        <is>
          <t>used</t>
        </is>
      </c>
      <c r="H1988" s="4" t="n">
        <v>269</v>
      </c>
      <c r="I1988" t="inlineStr"/>
      <c r="J1988" t="inlineStr">
        <is>
          <t>22769 Altona - Hamburg Bahrenfeld</t>
        </is>
      </c>
      <c r="K1988" s="5" t="n">
        <v>45530</v>
      </c>
      <c r="L1988" t="inlineStr">
        <is>
          <t>Sold</t>
        </is>
      </c>
      <c r="M1988" s="6">
        <f>HYPERLINK("https://www.kleinanzeigen.de/s-anzeige/sailloft-air-4-8-m-modell-2023-segel-windsurf-freestyle/2847298968-230-26485", "Link")</f>
        <v/>
      </c>
      <c r="N1988" s="6">
        <f>HYPERLINK("C:\Projects\Kleinanzeigen-Scraper\offer_images\2847298968", "Link")</f>
        <v/>
      </c>
      <c r="O1988" t="inlineStr">
        <is>
          <t>nordlicht</t>
        </is>
      </c>
      <c r="P1988" s="6">
        <f>HYPERLINK("https://www.kleinanzeigen.de/s-bestandsliste.html?userId=86235875", "Link")</f>
        <v/>
      </c>
      <c r="Q1988" s="7" t="n">
        <v>45536.91046296297</v>
      </c>
      <c r="R1988" s="3" t="inlineStr">
        <is>
          <t>356.14</t>
        </is>
      </c>
      <c r="S1988" t="inlineStr">
        <is>
          <t>Köln</t>
        </is>
      </c>
    </row>
    <row r="1989">
      <c r="A1989" s="2" t="n">
        <v>4.4</v>
      </c>
      <c r="B1989" t="inlineStr">
        <is>
          <t>aquata</t>
        </is>
      </c>
      <c r="C1989" s="3" t="n">
        <v>4.5</v>
      </c>
      <c r="D1989" s="3" t="n">
        <v>150</v>
      </c>
      <c r="E1989" t="inlineStr"/>
      <c r="F1989" t="inlineStr"/>
      <c r="G1989" t="inlineStr">
        <is>
          <t>used</t>
        </is>
      </c>
      <c r="H1989" s="4" t="n">
        <v>125</v>
      </c>
      <c r="I1989" t="inlineStr">
        <is>
          <t>VB</t>
        </is>
      </c>
      <c r="J1989" t="inlineStr">
        <is>
          <t>45699 Nordrhein-Westfalen - Herten</t>
        </is>
      </c>
      <c r="K1989" s="5" t="n">
        <v>45529</v>
      </c>
      <c r="L1989" t="inlineStr">
        <is>
          <t>Sold</t>
        </is>
      </c>
      <c r="M1989" s="6">
        <f>HYPERLINK("https://www.kleinanzeigen.de/s-anzeige/windsurf-segel-aquata-4-4/2845906625-230-1832", "Link")</f>
        <v/>
      </c>
      <c r="N1989" s="6">
        <f>HYPERLINK("C:\Projects\Kleinanzeigen-Scraper\offer_images\2845906625", "Link")</f>
        <v/>
      </c>
      <c r="O1989" t="inlineStr">
        <is>
          <t>V.P.</t>
        </is>
      </c>
      <c r="P1989" s="6">
        <f>HYPERLINK("https://www.kleinanzeigen.de/s-bestandsliste.html?userId=10829434", "Link")</f>
        <v/>
      </c>
      <c r="Q1989" s="7" t="n">
        <v>45536.91046296297</v>
      </c>
      <c r="R1989" s="3" t="inlineStr">
        <is>
          <t>73.42</t>
        </is>
      </c>
      <c r="S1989" t="inlineStr">
        <is>
          <t>Köln</t>
        </is>
      </c>
    </row>
    <row r="1990">
      <c r="A1990" s="2" t="n">
        <v>5.8</v>
      </c>
      <c r="B1990" t="inlineStr">
        <is>
          <t>North Sails Volcano</t>
        </is>
      </c>
      <c r="C1990" s="3" t="n">
        <v>4.5</v>
      </c>
      <c r="D1990" s="3" t="n">
        <v>1.83</v>
      </c>
      <c r="E1990" t="inlineStr"/>
      <c r="F1990" t="inlineStr"/>
      <c r="G1990" t="inlineStr">
        <is>
          <t>used, repaired</t>
        </is>
      </c>
      <c r="H1990" s="4" t="n">
        <v>39</v>
      </c>
      <c r="I1990" t="inlineStr"/>
      <c r="J1990" t="inlineStr">
        <is>
          <t>82229 Bayern - Seefeld</t>
        </is>
      </c>
      <c r="K1990" s="5" t="n">
        <v>45535</v>
      </c>
      <c r="L1990" t="inlineStr">
        <is>
          <t>Sold</t>
        </is>
      </c>
      <c r="M1990" s="6">
        <f>HYPERLINK("https://www.kleinanzeigen.de/s-anzeige/north-sails-volcano-freestyle-windsurf-segel-5-8qm/2850407916-230-5519", "Link")</f>
        <v/>
      </c>
      <c r="N1990" s="6">
        <f>HYPERLINK("C:\Projects\Kleinanzeigen-Scraper\offer_images\2850407916", "Link")</f>
        <v/>
      </c>
      <c r="O1990" t="inlineStr">
        <is>
          <t>Tobias</t>
        </is>
      </c>
      <c r="P1990" s="6">
        <f>HYPERLINK("https://www.kleinanzeigen.de/s-bestandsliste.html?userId=26072985", "Link")</f>
        <v/>
      </c>
      <c r="Q1990" s="7" t="n">
        <v>45536.91043981481</v>
      </c>
      <c r="R1990" s="3" t="inlineStr">
        <is>
          <t>27.49</t>
        </is>
      </c>
      <c r="S1990" t="inlineStr">
        <is>
          <t>München</t>
        </is>
      </c>
    </row>
    <row r="1991">
      <c r="A1991" s="2" t="n">
        <v>9</v>
      </c>
      <c r="B1991" t="inlineStr">
        <is>
          <t>Neilpryde V8</t>
        </is>
      </c>
      <c r="C1991" s="3" t="n">
        <v>490</v>
      </c>
      <c r="D1991" s="3" t="n">
        <v>358</v>
      </c>
      <c r="E1991" t="inlineStr"/>
      <c r="F1991" t="inlineStr"/>
      <c r="G1991" t="inlineStr"/>
      <c r="H1991" s="4" t="n">
        <v>60</v>
      </c>
      <c r="I1991" t="inlineStr"/>
      <c r="J1991" t="inlineStr">
        <is>
          <t>13055 Berlin - Hohenschönhausen</t>
        </is>
      </c>
      <c r="K1991" s="5" t="n">
        <v>45534</v>
      </c>
      <c r="L1991" t="inlineStr">
        <is>
          <t>Sold</t>
        </is>
      </c>
      <c r="M1991" s="6">
        <f>HYPERLINK("https://www.kleinanzeigen.de/s-anzeige/neilpryde-segel-windsurf-v8/2849872277-230-3358", "Link")</f>
        <v/>
      </c>
      <c r="N1991" s="6">
        <f>HYPERLINK("C:\Projects\Kleinanzeigen-Scraper\offer_images\2849872277", "Link")</f>
        <v/>
      </c>
      <c r="O1991" t="inlineStr">
        <is>
          <t>anchovis</t>
        </is>
      </c>
      <c r="P1991" s="6">
        <f>HYPERLINK("https://www.kleinanzeigen.de/s-bestandsliste.html?userId=21748234", "Link")</f>
        <v/>
      </c>
      <c r="Q1991" s="7" t="n">
        <v>45536.91043981481</v>
      </c>
      <c r="R1991" s="3" t="inlineStr">
        <is>
          <t>484.27</t>
        </is>
      </c>
      <c r="S1991" t="inlineStr">
        <is>
          <t>Köln</t>
        </is>
      </c>
    </row>
    <row r="1992">
      <c r="A1992" s="2" t="n">
        <v>4.8</v>
      </c>
      <c r="B1992" t="inlineStr">
        <is>
          <t>NeilPryde Wizard Pro</t>
        </is>
      </c>
      <c r="C1992" s="3" t="n">
        <v>430</v>
      </c>
      <c r="D1992" s="3" t="n">
        <v>162</v>
      </c>
      <c r="E1992" t="inlineStr">
        <is>
          <t>Freestyle</t>
        </is>
      </c>
      <c r="F1992" t="inlineStr">
        <is>
          <t>2023</t>
        </is>
      </c>
      <c r="G1992" t="inlineStr">
        <is>
          <t>new</t>
        </is>
      </c>
      <c r="H1992" s="4" t="n">
        <v>484</v>
      </c>
      <c r="I1992" t="inlineStr">
        <is>
          <t>VB</t>
        </is>
      </c>
      <c r="J1992" t="inlineStr">
        <is>
          <t>82319 Bayern - Starnberg</t>
        </is>
      </c>
      <c r="K1992" s="5" t="n">
        <v>45557</v>
      </c>
      <c r="L1992" t="inlineStr"/>
      <c r="M1992" s="6">
        <f>HYPERLINK("https://www.kleinanzeigen.de/s-anzeige/neilpryde-wizard-pro-4-8qm-2023-neu-neu-windsurf-segel/2481459270-230-5525", "Link")</f>
        <v/>
      </c>
      <c r="N1992" s="6">
        <f>HYPERLINK("C:\Projects\Kleinanzeigen-Scraper\offer_images\2481459270", "Link")</f>
        <v/>
      </c>
      <c r="O1992" t="inlineStr">
        <is>
          <t>No user name</t>
        </is>
      </c>
      <c r="P1992" s="6">
        <f>HYPERLINK("https://www.kleinanzeigen.deNo user link", "Link")</f>
        <v/>
      </c>
      <c r="Q1992" s="7" t="n">
        <v>45536.91041666667</v>
      </c>
      <c r="R1992" s="3" t="inlineStr">
        <is>
          <t>23.17</t>
        </is>
      </c>
      <c r="S1992" t="inlineStr">
        <is>
          <t>München</t>
        </is>
      </c>
    </row>
    <row r="1993">
      <c r="A1993" s="2" t="n">
        <v>3.7</v>
      </c>
      <c r="B1993" t="inlineStr">
        <is>
          <t>Gunsails Hammer</t>
        </is>
      </c>
      <c r="C1993" s="3" t="n">
        <v>367</v>
      </c>
      <c r="D1993" s="3" t="n">
        <v>149</v>
      </c>
      <c r="E1993" t="inlineStr"/>
      <c r="F1993" t="inlineStr"/>
      <c r="G1993" t="inlineStr">
        <is>
          <t>used</t>
        </is>
      </c>
      <c r="H1993" s="4" t="n">
        <v>40</v>
      </c>
      <c r="I1993" t="inlineStr">
        <is>
          <t>VB</t>
        </is>
      </c>
      <c r="J1993" t="inlineStr">
        <is>
          <t>13503 Berlin - Reinickendorf</t>
        </is>
      </c>
      <c r="K1993" s="5" t="n">
        <v>45535</v>
      </c>
      <c r="L1993" t="inlineStr">
        <is>
          <t>Sold</t>
        </is>
      </c>
      <c r="M1993" s="6">
        <f>HYPERLINK("https://www.kleinanzeigen.de/s-anzeige/windsurf-segel-gunsails-3-7/2850542245-230-3451", "Link")</f>
        <v/>
      </c>
      <c r="N1993" s="6">
        <f>HYPERLINK("C:\Projects\Kleinanzeigen-Scraper\offer_images\2850542245", "Link")</f>
        <v/>
      </c>
      <c r="O1993" t="inlineStr">
        <is>
          <t>Martina Krautwedel</t>
        </is>
      </c>
      <c r="P1993" s="6">
        <f>HYPERLINK("https://www.kleinanzeigen.de/s-bestandsliste.html?userId=13110069", "Link")</f>
        <v/>
      </c>
      <c r="Q1993" s="7" t="n">
        <v>45536.91041666667</v>
      </c>
      <c r="R1993" s="3" t="inlineStr">
        <is>
          <t>470.67</t>
        </is>
      </c>
      <c r="S1993" t="inlineStr">
        <is>
          <t>Köln</t>
        </is>
      </c>
    </row>
    <row r="1994">
      <c r="A1994" s="2" t="n">
        <v>5</v>
      </c>
      <c r="B1994" t="inlineStr">
        <is>
          <t>NORTH Sails Hero</t>
        </is>
      </c>
      <c r="C1994" s="3" t="inlineStr"/>
      <c r="D1994" s="3" t="inlineStr"/>
      <c r="E1994" t="inlineStr"/>
      <c r="F1994" t="inlineStr"/>
      <c r="G1994" t="inlineStr">
        <is>
          <t>used</t>
        </is>
      </c>
      <c r="H1994" s="4" t="n">
        <v>90</v>
      </c>
      <c r="I1994" t="inlineStr"/>
      <c r="J1994" t="inlineStr">
        <is>
          <t>78532 Baden-Württemberg - Tuttlingen</t>
        </is>
      </c>
      <c r="K1994" s="5" t="n">
        <v>45532</v>
      </c>
      <c r="L1994" t="inlineStr">
        <is>
          <t>Sold</t>
        </is>
      </c>
      <c r="M1994" s="6">
        <f>HYPERLINK("https://www.kleinanzeigen.de/s-anzeige/north-sails-hero-windsurf-segel-5-0-qm/2848852110-230-8511", "Link")</f>
        <v/>
      </c>
      <c r="N1994" s="6">
        <f>HYPERLINK("C:\Projects\Kleinanzeigen-Scraper\offer_images\2848852110", "Link")</f>
        <v/>
      </c>
      <c r="O1994" t="inlineStr">
        <is>
          <t>Anton</t>
        </is>
      </c>
      <c r="P1994" s="6">
        <f>HYPERLINK("https://www.kleinanzeigen.de/s-bestandsliste.html?userId=33192786", "Link")</f>
        <v/>
      </c>
      <c r="Q1994" s="7" t="n">
        <v>45536.91041666667</v>
      </c>
      <c r="R1994" s="3" t="inlineStr">
        <is>
          <t>39.32</t>
        </is>
      </c>
      <c r="S1994" t="inlineStr">
        <is>
          <t>Bonndorf</t>
        </is>
      </c>
    </row>
    <row r="1995">
      <c r="A1995" s="2" t="n">
        <v>5.2</v>
      </c>
      <c r="B1995" t="inlineStr">
        <is>
          <t>GA Pure</t>
        </is>
      </c>
      <c r="C1995" s="3" t="inlineStr"/>
      <c r="D1995" s="3" t="inlineStr"/>
      <c r="E1995" t="inlineStr">
        <is>
          <t>Freestyle</t>
        </is>
      </c>
      <c r="F1995" t="inlineStr">
        <is>
          <t>2024</t>
        </is>
      </c>
      <c r="G1995" t="inlineStr">
        <is>
          <t>new</t>
        </is>
      </c>
      <c r="H1995" s="4" t="n">
        <v>350</v>
      </c>
      <c r="I1995" t="inlineStr">
        <is>
          <t>VB</t>
        </is>
      </c>
      <c r="J1995" t="inlineStr">
        <is>
          <t>24114 Schleswig-Holstein - Kiel</t>
        </is>
      </c>
      <c r="K1995" s="5" t="n">
        <v>45530</v>
      </c>
      <c r="L1995" t="inlineStr">
        <is>
          <t>Sold</t>
        </is>
      </c>
      <c r="M1995" s="6">
        <f>HYPERLINK("https://www.kleinanzeigen.de/s-anzeige/ga-pure-5-2-2024-freestyle-windsurf-segel/2846774556-230-697", "Link")</f>
        <v/>
      </c>
      <c r="N1995" s="6">
        <f>HYPERLINK("C:\Projects\Kleinanzeigen-Scraper\offer_images\2846774556", "Link")</f>
        <v/>
      </c>
      <c r="O1995" t="inlineStr">
        <is>
          <t>Sebastian</t>
        </is>
      </c>
      <c r="P1995" s="6">
        <f>HYPERLINK("https://www.kleinanzeigen.de/s-bestandsliste.html?userId=77174487", "Link")</f>
        <v/>
      </c>
      <c r="Q1995" s="7" t="n">
        <v>45536.9104050926</v>
      </c>
      <c r="R1995" s="3" t="inlineStr">
        <is>
          <t>431.59</t>
        </is>
      </c>
      <c r="S1995" t="inlineStr">
        <is>
          <t>Köln</t>
        </is>
      </c>
    </row>
    <row r="1996">
      <c r="A1996" s="2" t="n">
        <v>8.199999999999999</v>
      </c>
      <c r="B1996" t="inlineStr">
        <is>
          <t>Avanti Poweride</t>
        </is>
      </c>
      <c r="C1996" s="3" t="n">
        <v>4.23</v>
      </c>
      <c r="D1996" s="3" t="n">
        <v>2.3</v>
      </c>
      <c r="E1996" t="inlineStr">
        <is>
          <t>Freeride</t>
        </is>
      </c>
      <c r="F1996" t="inlineStr"/>
      <c r="G1996" t="inlineStr">
        <is>
          <t>used</t>
        </is>
      </c>
      <c r="H1996" s="4" t="n">
        <v>210</v>
      </c>
      <c r="I1996" t="inlineStr">
        <is>
          <t>VB</t>
        </is>
      </c>
      <c r="J1996" t="inlineStr">
        <is>
          <t>81371 München - Sendling</t>
        </is>
      </c>
      <c r="K1996" s="5" t="n">
        <v>45526</v>
      </c>
      <c r="L1996" t="inlineStr">
        <is>
          <t>Sold</t>
        </is>
      </c>
      <c r="M1996" s="6">
        <f>HYPERLINK("https://www.kleinanzeigen.de/s-anzeige/avanti-poweride-8-2-freeride-windsurf-segel/2843828789-230-6416", "Link")</f>
        <v/>
      </c>
      <c r="N1996" s="6">
        <f>HYPERLINK("C:\Projects\Kleinanzeigen-Scraper\offer_images\2843828789", "Link")</f>
        <v/>
      </c>
      <c r="O1996" t="inlineStr">
        <is>
          <t>dominik</t>
        </is>
      </c>
      <c r="P1996" s="6">
        <f>HYPERLINK("https://www.kleinanzeigen.de/s-bestandsliste.html?userId=30358238", "Link")</f>
        <v/>
      </c>
      <c r="Q1996" s="7" t="n">
        <v>45536.9104050926</v>
      </c>
      <c r="R1996" s="3" t="inlineStr">
        <is>
          <t>2.76</t>
        </is>
      </c>
      <c r="S1996" t="inlineStr">
        <is>
          <t>München</t>
        </is>
      </c>
    </row>
    <row r="1997">
      <c r="A1997" s="2" t="n">
        <v>4</v>
      </c>
      <c r="B1997" t="inlineStr">
        <is>
          <t>Sailloft Air</t>
        </is>
      </c>
      <c r="C1997" s="3" t="inlineStr"/>
      <c r="D1997" s="3" t="inlineStr"/>
      <c r="E1997" t="inlineStr">
        <is>
          <t>Freestyle</t>
        </is>
      </c>
      <c r="F1997" t="inlineStr">
        <is>
          <t>2023</t>
        </is>
      </c>
      <c r="G1997" t="inlineStr">
        <is>
          <t>new</t>
        </is>
      </c>
      <c r="H1997" s="4" t="n">
        <v>485</v>
      </c>
      <c r="I1997" t="inlineStr"/>
      <c r="J1997" t="inlineStr">
        <is>
          <t>21109 Hamburg-Mitte - Hamburg Wilhelmsburg</t>
        </is>
      </c>
      <c r="K1997" s="5" t="n">
        <v>45528</v>
      </c>
      <c r="L1997" t="inlineStr">
        <is>
          <t>Sold</t>
        </is>
      </c>
      <c r="M1997" s="6">
        <f>HYPERLINK("https://www.kleinanzeigen.de/s-anzeige/sailloft-air-segel-4-0-windsurf-freestyle/2845303435-230-9442", "Link")</f>
        <v/>
      </c>
      <c r="N1997" s="6">
        <f>HYPERLINK("C:\Projects\Kleinanzeigen-Scraper\offer_images\2845303435", "Link")</f>
        <v/>
      </c>
      <c r="O1997" t="inlineStr">
        <is>
          <t>Julian</t>
        </is>
      </c>
      <c r="P1997" s="6">
        <f>HYPERLINK("https://www.kleinanzeigen.de/s-bestandsliste.html?userId=20845543", "Link")</f>
        <v/>
      </c>
      <c r="Q1997" s="7" t="n">
        <v>45536.91039351852</v>
      </c>
      <c r="R1997" s="3" t="inlineStr">
        <is>
          <t>353.16</t>
        </is>
      </c>
      <c r="S1997" t="inlineStr">
        <is>
          <t>Köln</t>
        </is>
      </c>
    </row>
    <row r="1998">
      <c r="A1998" s="2" t="n">
        <v>6</v>
      </c>
      <c r="B1998" t="inlineStr">
        <is>
          <t>Gaastra HiFly X-Ride</t>
        </is>
      </c>
      <c r="C1998" s="3" t="n">
        <v>460</v>
      </c>
      <c r="D1998" s="3" t="n">
        <v>198</v>
      </c>
      <c r="E1998" t="inlineStr"/>
      <c r="F1998" t="inlineStr"/>
      <c r="G1998" t="inlineStr">
        <is>
          <t>used</t>
        </is>
      </c>
      <c r="H1998" s="4" t="n">
        <v>20</v>
      </c>
      <c r="I1998" t="inlineStr"/>
      <c r="J1998" t="inlineStr">
        <is>
          <t>17034 Mecklenburg-Vorpommern - Neubrandenburg</t>
        </is>
      </c>
      <c r="K1998" s="5" t="n">
        <v>45531</v>
      </c>
      <c r="L1998" t="inlineStr">
        <is>
          <t>Sold</t>
        </is>
      </c>
      <c r="M1998" s="6">
        <f>HYPERLINK("https://www.kleinanzeigen.de/s-anzeige/windsurfen-segel-6-0/2847355518-230-254", "Link")</f>
        <v/>
      </c>
      <c r="N1998" s="6">
        <f>HYPERLINK("C:\Projects\Kleinanzeigen-Scraper\offer_images\2847355518", "Link")</f>
        <v/>
      </c>
      <c r="O1998" t="inlineStr">
        <is>
          <t>Willi</t>
        </is>
      </c>
      <c r="P1998" s="6">
        <f>HYPERLINK("https://www.kleinanzeigen.de/s-bestandsliste.html?userId=27736637", "Link")</f>
        <v/>
      </c>
      <c r="Q1998" s="7" t="n">
        <v>45536.91038194444</v>
      </c>
      <c r="R1998" s="3" t="inlineStr">
        <is>
          <t>520.75</t>
        </is>
      </c>
      <c r="S1998" t="inlineStr">
        <is>
          <t>Köln</t>
        </is>
      </c>
    </row>
    <row r="1999">
      <c r="A1999" s="2" t="n">
        <v>6.1</v>
      </c>
      <c r="B1999" t="inlineStr">
        <is>
          <t>Neilpryde Expression</t>
        </is>
      </c>
      <c r="C1999" s="3" t="inlineStr"/>
      <c r="D1999" s="3" t="inlineStr"/>
      <c r="E1999" t="inlineStr">
        <is>
          <t>Freestyle</t>
        </is>
      </c>
      <c r="F1999" t="inlineStr"/>
      <c r="G1999" t="inlineStr">
        <is>
          <t>used</t>
        </is>
      </c>
      <c r="H1999" s="4" t="n">
        <v>39</v>
      </c>
      <c r="I1999" t="inlineStr"/>
      <c r="J1999" t="inlineStr">
        <is>
          <t>65929 West - Höchst</t>
        </is>
      </c>
      <c r="K1999" s="5" t="n">
        <v>45535</v>
      </c>
      <c r="L1999" t="inlineStr">
        <is>
          <t>Sold</t>
        </is>
      </c>
      <c r="M1999" s="6">
        <f>HYPERLINK("https://www.kleinanzeigen.de/s-anzeige/neilpryde-expression-6-1-freestyle-windsurf-segel/2850474561-230-4314", "Link")</f>
        <v/>
      </c>
      <c r="N1999" s="6">
        <f>HYPERLINK("C:\Projects\Kleinanzeigen-Scraper\offer_images\2850474561", "Link")</f>
        <v/>
      </c>
      <c r="O1999" t="inlineStr">
        <is>
          <t>Andreas</t>
        </is>
      </c>
      <c r="P1999" s="6">
        <f>HYPERLINK("https://www.kleinanzeigen.de/s-bestandsliste.html?userId=123596668", "Link")</f>
        <v/>
      </c>
      <c r="Q1999" s="7" t="n">
        <v>45536.91038194444</v>
      </c>
      <c r="R1999" s="3" t="inlineStr">
        <is>
          <t>122.16</t>
        </is>
      </c>
      <c r="S1999" t="inlineStr">
        <is>
          <t>Karlsruhe</t>
        </is>
      </c>
    </row>
    <row r="2000">
      <c r="A2000" s="2" t="n">
        <v>5.2</v>
      </c>
      <c r="B2000" t="inlineStr">
        <is>
          <t>North Sails</t>
        </is>
      </c>
      <c r="C2000" s="3" t="n">
        <v>4.99</v>
      </c>
      <c r="D2000" s="3" t="n">
        <v>1.72</v>
      </c>
      <c r="E2000" t="inlineStr"/>
      <c r="F2000" t="inlineStr"/>
      <c r="G2000" t="inlineStr">
        <is>
          <t>used</t>
        </is>
      </c>
      <c r="H2000" s="4" t="n">
        <v>90</v>
      </c>
      <c r="I2000" t="inlineStr"/>
      <c r="J2000" t="inlineStr">
        <is>
          <t>13055 Berlin - Hohenschönhausen</t>
        </is>
      </c>
      <c r="K2000" s="5" t="n">
        <v>45534</v>
      </c>
      <c r="L2000" t="inlineStr">
        <is>
          <t>Sold</t>
        </is>
      </c>
      <c r="M2000" s="6">
        <f>HYPERLINK("https://www.kleinanzeigen.de/s-anzeige/windsurf-segel-5-2-north-sails/2849857713-230-3358", "Link")</f>
        <v/>
      </c>
      <c r="N2000" s="6">
        <f>HYPERLINK("C:\Projects\Kleinanzeigen-Scraper\offer_images\2849857713", "Link")</f>
        <v/>
      </c>
      <c r="O2000" t="inlineStr">
        <is>
          <t>anchovis</t>
        </is>
      </c>
      <c r="P2000" s="6">
        <f>HYPERLINK("https://www.kleinanzeigen.de/s-bestandsliste.html?userId=21748234", "Link")</f>
        <v/>
      </c>
      <c r="Q2000" s="7" t="n">
        <v>45536.91034722222</v>
      </c>
      <c r="R2000" s="3" t="inlineStr">
        <is>
          <t>484.27</t>
        </is>
      </c>
      <c r="S2000" t="inlineStr">
        <is>
          <t>Köln</t>
        </is>
      </c>
    </row>
    <row r="2001">
      <c r="A2001" s="2" t="n">
        <v>6.1</v>
      </c>
      <c r="B2001" t="inlineStr">
        <is>
          <t>Neilpryde Wizard</t>
        </is>
      </c>
      <c r="C2001" s="3" t="inlineStr"/>
      <c r="D2001" s="3" t="inlineStr"/>
      <c r="E2001" t="inlineStr"/>
      <c r="F2001" t="inlineStr"/>
      <c r="G2001" t="inlineStr">
        <is>
          <t>used, repaired</t>
        </is>
      </c>
      <c r="H2001" s="4" t="n">
        <v>75</v>
      </c>
      <c r="I2001" t="inlineStr">
        <is>
          <t>VB</t>
        </is>
      </c>
      <c r="J2001" t="inlineStr">
        <is>
          <t>87616 Bayern - Marktoberdorf</t>
        </is>
      </c>
      <c r="K2001" s="5" t="n">
        <v>45532</v>
      </c>
      <c r="L2001" t="inlineStr"/>
      <c r="M2001" s="6">
        <f>HYPERLINK("https://www.kleinanzeigen.de/s-anzeige/neilpryde-wizard-6-1-qm-windsurf-segel/2848840506-230-6561", "Link")</f>
        <v/>
      </c>
      <c r="N2001" s="6">
        <f>HYPERLINK("C:\Projects\Kleinanzeigen-Scraper\offer_images\2848840506", "Link")</f>
        <v/>
      </c>
      <c r="O2001" t="inlineStr">
        <is>
          <t>Felix Körner</t>
        </is>
      </c>
      <c r="P2001" s="6">
        <f>HYPERLINK("https://www.kleinanzeigen.de/s-bestandsliste.html?userId=59126806", "Link")</f>
        <v/>
      </c>
      <c r="Q2001" s="7" t="n">
        <v>45536.91033564815</v>
      </c>
      <c r="R2001" s="3" t="inlineStr">
        <is>
          <t>83.30</t>
        </is>
      </c>
      <c r="S2001" t="inlineStr">
        <is>
          <t>München</t>
        </is>
      </c>
    </row>
    <row r="2002">
      <c r="A2002" s="2" t="n">
        <v>5.3</v>
      </c>
      <c r="B2002" t="inlineStr">
        <is>
          <t>North Dr. X</t>
        </is>
      </c>
      <c r="C2002" s="3" t="inlineStr"/>
      <c r="D2002" s="3" t="inlineStr"/>
      <c r="E2002" t="inlineStr"/>
      <c r="F2002" t="inlineStr"/>
      <c r="G2002" t="inlineStr"/>
      <c r="H2002" s="4" t="n">
        <v>20</v>
      </c>
      <c r="I2002" t="inlineStr"/>
      <c r="J2002" t="inlineStr">
        <is>
          <t>22043 Wandsbek - Hamburg Jenfeld</t>
        </is>
      </c>
      <c r="K2002" s="5" t="n">
        <v>45527</v>
      </c>
      <c r="L2002" t="inlineStr">
        <is>
          <t>Sold</t>
        </is>
      </c>
      <c r="M2002" s="6">
        <f>HYPERLINK("https://www.kleinanzeigen.de/s-anzeige/north-dr-x-5-3-segel-windsurf-surfsegel/2844500125-230-9465", "Link")</f>
        <v/>
      </c>
      <c r="N2002" s="6">
        <f>HYPERLINK("C:\Projects\Kleinanzeigen-Scraper\offer_images\2844500125", "Link")</f>
        <v/>
      </c>
      <c r="O2002" t="inlineStr">
        <is>
          <t>Chris</t>
        </is>
      </c>
      <c r="P2002" s="6">
        <f>HYPERLINK("https://www.kleinanzeigen.de/s-bestandsliste.html?userId=629302", "Link")</f>
        <v/>
      </c>
      <c r="Q2002" s="7" t="n">
        <v>45536.91033564815</v>
      </c>
      <c r="R2002" s="3" t="inlineStr">
        <is>
          <t>362.40</t>
        </is>
      </c>
      <c r="S2002" t="inlineStr">
        <is>
          <t>Köln</t>
        </is>
      </c>
    </row>
    <row r="2003">
      <c r="A2003" s="2" t="n">
        <v>6</v>
      </c>
      <c r="B2003" t="inlineStr">
        <is>
          <t>Sailloft Cross</t>
        </is>
      </c>
      <c r="C2003" s="3" t="n">
        <v>450</v>
      </c>
      <c r="D2003" s="3" t="n">
        <v>186</v>
      </c>
      <c r="E2003" t="inlineStr"/>
      <c r="F2003" t="inlineStr">
        <is>
          <t>2023</t>
        </is>
      </c>
      <c r="G2003" t="inlineStr">
        <is>
          <t>new</t>
        </is>
      </c>
      <c r="H2003" s="4" t="n">
        <v>500</v>
      </c>
      <c r="I2003" t="inlineStr"/>
      <c r="J2003" t="inlineStr">
        <is>
          <t>13129 Pankow - Weissensee</t>
        </is>
      </c>
      <c r="K2003" s="5" t="n">
        <v>45535</v>
      </c>
      <c r="L2003" t="inlineStr">
        <is>
          <t>Sold</t>
        </is>
      </c>
      <c r="M2003" s="6">
        <f>HYPERLINK("https://www.kleinanzeigen.de/s-anzeige/-sailloft-cross-6-0-m-2-neuwertig-berlin-top-windsurfen-segel/2850413114-230-3475", "Link")</f>
        <v/>
      </c>
      <c r="N2003" s="6">
        <f>HYPERLINK("C:\Projects\Kleinanzeigen-Scraper\offer_images\2850413114", "Link")</f>
        <v/>
      </c>
      <c r="O2003" t="inlineStr">
        <is>
          <t>Daniel Düsentrieb</t>
        </is>
      </c>
      <c r="P2003" s="6">
        <f>HYPERLINK("https://www.kleinanzeigen.de/s-bestandsliste.html?userId=5840406", "Link")</f>
        <v/>
      </c>
      <c r="Q2003" s="7" t="n">
        <v>45536.91033564815</v>
      </c>
      <c r="R2003" s="3" t="inlineStr">
        <is>
          <t>483.73</t>
        </is>
      </c>
      <c r="S2003" t="inlineStr">
        <is>
          <t>Köln</t>
        </is>
      </c>
    </row>
    <row r="2004">
      <c r="A2004" s="2" t="n">
        <v>8</v>
      </c>
      <c r="B2004" t="inlineStr">
        <is>
          <t>Gun Sails X-Race</t>
        </is>
      </c>
      <c r="C2004" s="3" t="n">
        <v>500</v>
      </c>
      <c r="D2004" s="3" t="n">
        <v>222</v>
      </c>
      <c r="E2004" t="inlineStr">
        <is>
          <t>Racing</t>
        </is>
      </c>
      <c r="F2004" t="inlineStr"/>
      <c r="G2004" t="inlineStr">
        <is>
          <t>used</t>
        </is>
      </c>
      <c r="H2004" s="4" t="n">
        <v>80</v>
      </c>
      <c r="I2004" t="inlineStr"/>
      <c r="J2004" t="inlineStr">
        <is>
          <t>26129 Niedersachsen - Oldenburg</t>
        </is>
      </c>
      <c r="K2004" s="5" t="n">
        <v>45533</v>
      </c>
      <c r="L2004" t="inlineStr">
        <is>
          <t>Sold</t>
        </is>
      </c>
      <c r="M2004" s="6">
        <f>HYPERLINK("https://www.kleinanzeigen.de/s-anzeige/gunsails-x-race-8-0qm-racesegel-surfsegel-windsurf-gun-sails/2849140852-230-3113", "Link")</f>
        <v/>
      </c>
      <c r="N2004" s="6">
        <f>HYPERLINK("C:\Projects\Kleinanzeigen-Scraper\offer_images\2849140852", "Link")</f>
        <v/>
      </c>
      <c r="O2004" t="inlineStr">
        <is>
          <t>Stefan</t>
        </is>
      </c>
      <c r="P2004" s="6">
        <f>HYPERLINK("https://www.kleinanzeigen.de/s-bestandsliste.html?userId=4116163", "Link")</f>
        <v/>
      </c>
      <c r="Q2004" s="7" t="n">
        <v>45536.91032407407</v>
      </c>
      <c r="R2004" s="3" t="inlineStr">
        <is>
          <t>259.47</t>
        </is>
      </c>
      <c r="S2004" t="inlineStr">
        <is>
          <t>Köln</t>
        </is>
      </c>
    </row>
    <row r="2005">
      <c r="A2005" s="2" t="n">
        <v>6.4</v>
      </c>
      <c r="B2005" t="inlineStr">
        <is>
          <t>North Duke</t>
        </is>
      </c>
      <c r="C2005" s="3" t="n">
        <v>455</v>
      </c>
      <c r="D2005" s="3" t="n">
        <v>193</v>
      </c>
      <c r="E2005" t="inlineStr"/>
      <c r="F2005" t="inlineStr"/>
      <c r="G2005" t="inlineStr">
        <is>
          <t>repaired</t>
        </is>
      </c>
      <c r="H2005" s="4" t="n">
        <v>50</v>
      </c>
      <c r="I2005" t="inlineStr">
        <is>
          <t>VB</t>
        </is>
      </c>
      <c r="J2005" t="inlineStr">
        <is>
          <t>13503 Berlin - Reinickendorf</t>
        </is>
      </c>
      <c r="K2005" s="5" t="n">
        <v>45535</v>
      </c>
      <c r="L2005" t="inlineStr">
        <is>
          <t>Sold</t>
        </is>
      </c>
      <c r="M2005" s="6">
        <f>HYPERLINK("https://www.kleinanzeigen.de/s-anzeige/windsurf-segel-north-sails-6-4/2850538354-230-3451", "Link")</f>
        <v/>
      </c>
      <c r="N2005" s="6">
        <f>HYPERLINK("C:\Projects\Kleinanzeigen-Scraper\offer_images\2850538354", "Link")</f>
        <v/>
      </c>
      <c r="O2005" t="inlineStr">
        <is>
          <t>Martina Krautwedel</t>
        </is>
      </c>
      <c r="P2005" s="6">
        <f>HYPERLINK("https://www.kleinanzeigen.de/s-bestandsliste.html?userId=13110069", "Link")</f>
        <v/>
      </c>
      <c r="Q2005" s="7" t="n">
        <v>45536.9103125</v>
      </c>
      <c r="R2005" s="3" t="inlineStr">
        <is>
          <t>470.67</t>
        </is>
      </c>
      <c r="S2005" t="inlineStr">
        <is>
          <t>Köln</t>
        </is>
      </c>
    </row>
    <row r="2006">
      <c r="A2006" s="2" t="n">
        <v>7.3</v>
      </c>
      <c r="B2006" t="inlineStr">
        <is>
          <t>North Sails Transam</t>
        </is>
      </c>
      <c r="C2006" s="3" t="n">
        <v>4.88</v>
      </c>
      <c r="D2006" s="3" t="n">
        <v>4.4</v>
      </c>
      <c r="E2006" t="inlineStr"/>
      <c r="F2006" t="inlineStr">
        <is>
          <t>2019</t>
        </is>
      </c>
      <c r="G2006" t="inlineStr">
        <is>
          <t>used</t>
        </is>
      </c>
      <c r="H2006" s="4" t="n">
        <v>50</v>
      </c>
      <c r="I2006" t="inlineStr">
        <is>
          <t>VB</t>
        </is>
      </c>
      <c r="J2006" t="inlineStr">
        <is>
          <t>34399 Wesertal - Gieselwerder</t>
        </is>
      </c>
      <c r="K2006" s="5" t="n">
        <v>45532</v>
      </c>
      <c r="L2006" t="inlineStr">
        <is>
          <t>Sold</t>
        </is>
      </c>
      <c r="M2006" s="6">
        <f>HYPERLINK("https://www.kleinanzeigen.de/s-anzeige/north-sails-segel-transam-7-3-windsurfen/2848160859-230-2785", "Link")</f>
        <v/>
      </c>
      <c r="N2006" s="6">
        <f>HYPERLINK("C:\Projects\Kleinanzeigen-Scraper\offer_images\2848160859", "Link")</f>
        <v/>
      </c>
      <c r="O2006" t="inlineStr">
        <is>
          <t>Felix Rehbein</t>
        </is>
      </c>
      <c r="P2006" s="6">
        <f>HYPERLINK("https://www.kleinanzeigen.de/s-bestandsliste.html?userId=73499565", "Link")</f>
        <v/>
      </c>
      <c r="Q2006" s="7" t="n">
        <v>45536.9103125</v>
      </c>
      <c r="R2006" s="3" t="inlineStr">
        <is>
          <t>198.50</t>
        </is>
      </c>
      <c r="S2006" t="inlineStr">
        <is>
          <t>Köln</t>
        </is>
      </c>
    </row>
    <row r="2007">
      <c r="A2007" s="2" t="n">
        <v>8.699999999999999</v>
      </c>
      <c r="B2007" t="inlineStr">
        <is>
          <t>Gaastra Phantom AIR</t>
        </is>
      </c>
      <c r="C2007" s="3" t="n">
        <v>518</v>
      </c>
      <c r="D2007" s="3" t="n">
        <v>225</v>
      </c>
      <c r="E2007" t="inlineStr">
        <is>
          <t>Freerace</t>
        </is>
      </c>
      <c r="F2007" t="inlineStr">
        <is>
          <t>2022</t>
        </is>
      </c>
      <c r="G2007" t="inlineStr">
        <is>
          <t>used</t>
        </is>
      </c>
      <c r="H2007" s="4" t="n">
        <v>299</v>
      </c>
      <c r="I2007" t="inlineStr"/>
      <c r="J2007" t="inlineStr">
        <is>
          <t>13507 Berlin - Reinickendorf</t>
        </is>
      </c>
      <c r="K2007" s="5" t="n">
        <v>45536</v>
      </c>
      <c r="L2007" t="inlineStr">
        <is>
          <t>Sold</t>
        </is>
      </c>
      <c r="M2007" s="6">
        <f>HYPERLINK("https://www.kleinanzeigen.de/s-anzeige/windsurf-segel-gaastra-phantom-air-8-7-2022-1x-gefahren/2852125974-230-3453", "Link")</f>
        <v/>
      </c>
      <c r="N2007" s="6">
        <f>HYPERLINK("C:\Projects\Kleinanzeigen-Scraper\offer_images\2852125974", "Link")</f>
        <v/>
      </c>
      <c r="O2007" t="inlineStr">
        <is>
          <t>Sven</t>
        </is>
      </c>
      <c r="P2007" s="6">
        <f>HYPERLINK("https://www.kleinanzeigen.de/s-bestandsliste.html?userId=42629907", "Link")</f>
        <v/>
      </c>
      <c r="Q2007" s="7" t="n">
        <v>45536.91028935185</v>
      </c>
      <c r="R2007" s="3" t="inlineStr">
        <is>
          <t>471.11</t>
        </is>
      </c>
      <c r="S2007" t="inlineStr">
        <is>
          <t>Köln</t>
        </is>
      </c>
    </row>
    <row r="2008">
      <c r="A2008" s="2" t="n">
        <v>6.8</v>
      </c>
      <c r="B2008" t="inlineStr">
        <is>
          <t>Duotone Warp</t>
        </is>
      </c>
      <c r="C2008" s="3" t="n">
        <v>4.83</v>
      </c>
      <c r="D2008" s="3" t="inlineStr"/>
      <c r="E2008" t="inlineStr"/>
      <c r="F2008" t="inlineStr">
        <is>
          <t>2023</t>
        </is>
      </c>
      <c r="G2008" t="inlineStr">
        <is>
          <t>repaired</t>
        </is>
      </c>
      <c r="H2008" s="4" t="n">
        <v>250</v>
      </c>
      <c r="I2008" t="inlineStr"/>
      <c r="J2008" t="inlineStr">
        <is>
          <t>21493 Herzogtum Lauenburg - Schwarzenbek</t>
        </is>
      </c>
      <c r="K2008" s="5" t="n">
        <v>45531</v>
      </c>
      <c r="L2008" t="inlineStr">
        <is>
          <t>Sold</t>
        </is>
      </c>
      <c r="M2008" s="6">
        <f>HYPERLINK("https://www.kleinanzeigen.de/s-anzeige/duotone-warp-6-8-slalom-segel-2023er-windsurfen-/2847558861-230-746", "Link")</f>
        <v/>
      </c>
      <c r="N2008" s="6">
        <f>HYPERLINK("C:\Projects\Kleinanzeigen-Scraper\offer_images\2847558861", "Link")</f>
        <v/>
      </c>
      <c r="O2008" t="inlineStr">
        <is>
          <t>Sebastian</t>
        </is>
      </c>
      <c r="P2008" s="6">
        <f>HYPERLINK("https://www.kleinanzeigen.de/s-bestandsliste.html?userId=141573193", "Link")</f>
        <v/>
      </c>
      <c r="Q2008" s="7" t="n">
        <v>45536.91028935185</v>
      </c>
      <c r="R2008" s="3" t="inlineStr">
        <is>
          <t>378.85</t>
        </is>
      </c>
      <c r="S2008" t="inlineStr">
        <is>
          <t>Köln</t>
        </is>
      </c>
    </row>
    <row r="2009">
      <c r="A2009" s="2" t="n">
        <v>7.8</v>
      </c>
      <c r="B2009" t="inlineStr">
        <is>
          <t>Gun Sails Vector</t>
        </is>
      </c>
      <c r="C2009" s="3" t="inlineStr"/>
      <c r="D2009" s="3" t="inlineStr"/>
      <c r="E2009" t="inlineStr"/>
      <c r="F2009" t="inlineStr"/>
      <c r="G2009" t="inlineStr">
        <is>
          <t>repaired</t>
        </is>
      </c>
      <c r="H2009" s="4" t="n">
        <v>50</v>
      </c>
      <c r="I2009" t="inlineStr"/>
      <c r="J2009" t="inlineStr">
        <is>
          <t>50858 Köln - Junkersdorf</t>
        </is>
      </c>
      <c r="K2009" s="5" t="n">
        <v>45528</v>
      </c>
      <c r="L2009" t="inlineStr">
        <is>
          <t>Sold</t>
        </is>
      </c>
      <c r="M2009" s="6">
        <f>HYPERLINK("https://www.kleinanzeigen.de/s-anzeige/gun-sails-vector-7-8-surfsegel-slalom-segel-racesegel-windsurfen/2845112378-230-17139", "Link")</f>
        <v/>
      </c>
      <c r="N2009" s="6">
        <f>HYPERLINK("C:\Projects\Kleinanzeigen-Scraper\offer_images\2845112378", "Link")</f>
        <v/>
      </c>
      <c r="O2009" t="inlineStr">
        <is>
          <t>Ingo Riemann</t>
        </is>
      </c>
      <c r="P2009" s="6">
        <f>HYPERLINK("https://www.kleinanzeigen.de/s-bestandsliste.html?userId=54165116", "Link")</f>
        <v/>
      </c>
      <c r="Q2009" s="7" t="n">
        <v>45536.9102662037</v>
      </c>
      <c r="R2009" s="3" t="inlineStr">
        <is>
          <t>7.26</t>
        </is>
      </c>
      <c r="S2009" t="inlineStr">
        <is>
          <t>Köln</t>
        </is>
      </c>
    </row>
    <row r="2010">
      <c r="A2010" s="2" t="n">
        <v>5</v>
      </c>
      <c r="B2010" t="inlineStr">
        <is>
          <t>ELVSTRÖM</t>
        </is>
      </c>
      <c r="C2010" s="3" t="n">
        <v>440</v>
      </c>
      <c r="D2010" s="3" t="n">
        <v>250</v>
      </c>
      <c r="E2010" t="inlineStr"/>
      <c r="F2010" t="inlineStr">
        <is>
          <t>1980s</t>
        </is>
      </c>
      <c r="G2010" t="inlineStr">
        <is>
          <t>new</t>
        </is>
      </c>
      <c r="H2010" s="4" t="n">
        <v>149</v>
      </c>
      <c r="I2010" t="inlineStr"/>
      <c r="J2010" t="inlineStr">
        <is>
          <t>37124 Niedersachsen - Rosdorf</t>
        </is>
      </c>
      <c r="K2010" s="5" t="n">
        <v>45561</v>
      </c>
      <c r="L2010" t="inlineStr"/>
      <c r="M2010" s="6">
        <f>HYPERLINK("https://www.kleinanzeigen.de/s-anzeige/vintage-windsurf-segel-neu-5qm-elvstroem-vl-4-40m-gb-2-50m-1367-/1734588704-211-3133", "Link")</f>
        <v/>
      </c>
      <c r="N2010" s="6">
        <f>HYPERLINK("C:\Projects\Kleinanzeigen-Scraper\offer_images\1734588704", "Link")</f>
        <v/>
      </c>
      <c r="O2010" t="inlineStr">
        <is>
          <t>No user name</t>
        </is>
      </c>
      <c r="P2010" s="6">
        <f>HYPERLINK("https://www.kleinanzeigen.deNo user link", "Link")</f>
        <v/>
      </c>
      <c r="Q2010" s="7" t="n">
        <v>45536.9102662037</v>
      </c>
      <c r="R2010" s="3" t="inlineStr">
        <is>
          <t>214.72</t>
        </is>
      </c>
      <c r="S2010" t="inlineStr">
        <is>
          <t>Köln</t>
        </is>
      </c>
    </row>
    <row r="2011">
      <c r="A2011" s="2" t="n">
        <v>6.9</v>
      </c>
      <c r="B2011" t="inlineStr">
        <is>
          <t>Simmer Zero</t>
        </is>
      </c>
      <c r="C2011" s="3" t="n">
        <v>472</v>
      </c>
      <c r="D2011" s="3" t="n">
        <v>197</v>
      </c>
      <c r="E2011" t="inlineStr">
        <is>
          <t>Freeride</t>
        </is>
      </c>
      <c r="F2011" t="inlineStr"/>
      <c r="G2011" t="inlineStr">
        <is>
          <t>used</t>
        </is>
      </c>
      <c r="H2011" s="4" t="n">
        <v>60</v>
      </c>
      <c r="I2011" t="inlineStr"/>
      <c r="J2011" t="inlineStr">
        <is>
          <t>10557 Mitte - Tiergarten</t>
        </is>
      </c>
      <c r="K2011" s="5" t="n">
        <v>45535</v>
      </c>
      <c r="L2011" t="inlineStr"/>
      <c r="M2011" s="6">
        <f>HYPERLINK("https://www.kleinanzeigen.de/s-anzeige/segel-simmer-zero-5-6-9-qm-windsurfen/2851022047-230-3502", "Link")</f>
        <v/>
      </c>
      <c r="N2011" s="6">
        <f>HYPERLINK("C:\Projects\Kleinanzeigen-Scraper\offer_images\2851022047", "Link")</f>
        <v/>
      </c>
      <c r="O2011" t="inlineStr">
        <is>
          <t>Fabian Becher</t>
        </is>
      </c>
      <c r="P2011" s="6">
        <f>HYPERLINK("https://www.kleinanzeigen.de/s-bestandsliste.html?userId=14821328", "Link")</f>
        <v/>
      </c>
      <c r="Q2011" s="7" t="n">
        <v>45536.91024305556</v>
      </c>
      <c r="R2011" s="3" t="inlineStr">
        <is>
          <t>475.20</t>
        </is>
      </c>
      <c r="S2011" t="inlineStr">
        <is>
          <t>Köln</t>
        </is>
      </c>
    </row>
    <row r="2012">
      <c r="A2012" s="2" t="n">
        <v>7.8</v>
      </c>
      <c r="B2012" t="inlineStr">
        <is>
          <t>North Sails E Type</t>
        </is>
      </c>
      <c r="C2012" s="3" t="n">
        <v>478</v>
      </c>
      <c r="D2012" s="3" t="n">
        <v>209</v>
      </c>
      <c r="E2012" t="inlineStr"/>
      <c r="F2012" t="inlineStr"/>
      <c r="G2012" t="inlineStr">
        <is>
          <t>used</t>
        </is>
      </c>
      <c r="H2012" s="4" t="n">
        <v>250</v>
      </c>
      <c r="I2012" t="inlineStr"/>
      <c r="J2012" t="inlineStr">
        <is>
          <t>16515 Brandenburg - Oranienburg</t>
        </is>
      </c>
      <c r="K2012" s="5" t="n">
        <v>45532</v>
      </c>
      <c r="L2012" t="inlineStr">
        <is>
          <t>Sold</t>
        </is>
      </c>
      <c r="M2012" s="6">
        <f>HYPERLINK("https://www.kleinanzeigen.de/s-anzeige/north-sails-e-type-7-8-segel-windsurfen-duotone-windsurfsegel/2848196148-230-7814", "Link")</f>
        <v/>
      </c>
      <c r="N2012" s="6">
        <f>HYPERLINK("C:\Projects\Kleinanzeigen-Scraper\offer_images\2848196148", "Link")</f>
        <v/>
      </c>
      <c r="O2012" t="inlineStr">
        <is>
          <t>DW</t>
        </is>
      </c>
      <c r="P2012" s="6">
        <f>HYPERLINK("https://www.kleinanzeigen.de/s-bestandsliste.html?userId=7064273", "Link")</f>
        <v/>
      </c>
      <c r="Q2012" s="7" t="n">
        <v>45536.91024305556</v>
      </c>
      <c r="R2012" s="3" t="inlineStr">
        <is>
          <t>483.59</t>
        </is>
      </c>
      <c r="S2012" t="inlineStr">
        <is>
          <t>Köln</t>
        </is>
      </c>
    </row>
    <row r="2013">
      <c r="A2013" s="2" t="n">
        <v>7.3</v>
      </c>
      <c r="B2013" t="inlineStr">
        <is>
          <t>Duetone North Sails E Type</t>
        </is>
      </c>
      <c r="C2013" s="3" t="inlineStr"/>
      <c r="D2013" s="3" t="inlineStr"/>
      <c r="E2013" t="inlineStr"/>
      <c r="F2013" t="inlineStr"/>
      <c r="G2013" t="inlineStr">
        <is>
          <t>repaired</t>
        </is>
      </c>
      <c r="H2013" s="4" t="n">
        <v>98</v>
      </c>
      <c r="I2013" t="inlineStr">
        <is>
          <t>VB</t>
        </is>
      </c>
      <c r="J2013" t="inlineStr">
        <is>
          <t>14482 Brandenburg - Potsdam</t>
        </is>
      </c>
      <c r="K2013" s="5" t="n">
        <v>45532</v>
      </c>
      <c r="L2013" t="inlineStr">
        <is>
          <t>Sold</t>
        </is>
      </c>
      <c r="M2013" s="6">
        <f>HYPERLINK("https://www.kleinanzeigen.de/s-anzeige/windsurf-segel-duetone-north-sails-e-type-7-3/2791769939-230-7964", "Link")</f>
        <v/>
      </c>
      <c r="N2013" s="6">
        <f>HYPERLINK("C:\Projects\Kleinanzeigen-Scraper\offer_images\2791769939", "Link")</f>
        <v/>
      </c>
      <c r="O2013" t="inlineStr">
        <is>
          <t>Nico Martin</t>
        </is>
      </c>
      <c r="P2013" s="6">
        <f>HYPERLINK("https://www.kleinanzeigen.de/s-bestandsliste.html?userId=21239788", "Link")</f>
        <v/>
      </c>
      <c r="Q2013" s="7" t="n">
        <v>45536.91024305556</v>
      </c>
      <c r="R2013" s="3" t="inlineStr">
        <is>
          <t>453.50</t>
        </is>
      </c>
      <c r="S2013" t="inlineStr">
        <is>
          <t>Köln</t>
        </is>
      </c>
    </row>
    <row r="2014">
      <c r="A2014" s="2" t="n">
        <v>5.3</v>
      </c>
      <c r="B2014" t="inlineStr">
        <is>
          <t>Gunsails Transwave</t>
        </is>
      </c>
      <c r="C2014" s="3" t="n">
        <v>4.35</v>
      </c>
      <c r="D2014" s="3" t="n">
        <v>1.78</v>
      </c>
      <c r="E2014" t="inlineStr"/>
      <c r="F2014" t="inlineStr"/>
      <c r="G2014" t="inlineStr">
        <is>
          <t>repaired</t>
        </is>
      </c>
      <c r="H2014" s="4" t="n">
        <v>20</v>
      </c>
      <c r="I2014" t="inlineStr"/>
      <c r="J2014" t="inlineStr">
        <is>
          <t>34121 Hessen - Kassel</t>
        </is>
      </c>
      <c r="K2014" s="5" t="n">
        <v>45536</v>
      </c>
      <c r="L2014" t="inlineStr">
        <is>
          <t>Sold</t>
        </is>
      </c>
      <c r="M2014" s="6">
        <f>HYPERLINK("https://www.kleinanzeigen.de/s-anzeige/gunsails-transwave-5-3-windsurf-segel/2851370183-230-4924", "Link")</f>
        <v/>
      </c>
      <c r="N2014" s="6">
        <f>HYPERLINK("C:\Projects\Kleinanzeigen-Scraper\offer_images\2851370183", "Link")</f>
        <v/>
      </c>
      <c r="O2014" t="inlineStr">
        <is>
          <t>Johannes Rützel</t>
        </is>
      </c>
      <c r="P2014" s="6">
        <f>HYPERLINK("https://www.kleinanzeigen.de/s-bestandsliste.html?userId=73982335", "Link")</f>
        <v/>
      </c>
      <c r="Q2014" s="7" t="n">
        <v>45536.91023148148</v>
      </c>
      <c r="R2014" s="3" t="inlineStr">
        <is>
          <t>180.90</t>
        </is>
      </c>
      <c r="S2014" t="inlineStr">
        <is>
          <t>Köln</t>
        </is>
      </c>
    </row>
    <row r="2015">
      <c r="A2015" s="2" t="n">
        <v>5.6</v>
      </c>
      <c r="B2015" t="inlineStr">
        <is>
          <t>Neil Pryde Aquata</t>
        </is>
      </c>
      <c r="C2015" s="3" t="n">
        <v>500</v>
      </c>
      <c r="D2015" s="3" t="n">
        <v>180</v>
      </c>
      <c r="E2015" t="inlineStr"/>
      <c r="F2015" t="inlineStr"/>
      <c r="G2015" t="inlineStr">
        <is>
          <t>used</t>
        </is>
      </c>
      <c r="H2015" s="4" t="n">
        <v>119</v>
      </c>
      <c r="I2015" t="inlineStr">
        <is>
          <t>VB</t>
        </is>
      </c>
      <c r="J2015" t="inlineStr">
        <is>
          <t>37124 Niedersachsen - Rosdorf</t>
        </is>
      </c>
      <c r="K2015" s="5" t="n">
        <v>45561</v>
      </c>
      <c r="L2015" t="inlineStr"/>
      <c r="M2015" s="6">
        <f>HYPERLINK("https://www.kleinanzeigen.de/s-anzeige/windsurf-segel-neil-pyde-aquata-5-6-qm-note-2-1494-/1795983517-230-3133", "Link")</f>
        <v/>
      </c>
      <c r="N2015" s="6">
        <f>HYPERLINK("C:\Projects\Kleinanzeigen-Scraper\offer_images\1795983517", "Link")</f>
        <v/>
      </c>
      <c r="O2015" t="inlineStr">
        <is>
          <t>No user name</t>
        </is>
      </c>
      <c r="P2015" s="6">
        <f>HYPERLINK("https://www.kleinanzeigen.deNo user link", "Link")</f>
        <v/>
      </c>
      <c r="Q2015" s="7" t="n">
        <v>45536.91019675926</v>
      </c>
      <c r="R2015" s="3" t="inlineStr">
        <is>
          <t>214.72</t>
        </is>
      </c>
      <c r="S2015" t="inlineStr">
        <is>
          <t>Köln</t>
        </is>
      </c>
    </row>
    <row r="2016">
      <c r="A2016" s="2" t="n">
        <v>7.8</v>
      </c>
      <c r="B2016" t="inlineStr">
        <is>
          <t>North S-Type</t>
        </is>
      </c>
      <c r="C2016" s="3" t="n">
        <v>490</v>
      </c>
      <c r="D2016" s="3" t="n">
        <v>460</v>
      </c>
      <c r="E2016" t="inlineStr"/>
      <c r="F2016" t="inlineStr">
        <is>
          <t>2012</t>
        </is>
      </c>
      <c r="G2016" t="inlineStr">
        <is>
          <t>used</t>
        </is>
      </c>
      <c r="H2016" s="4" t="n">
        <v>69</v>
      </c>
      <c r="I2016" t="inlineStr">
        <is>
          <t>VB</t>
        </is>
      </c>
      <c r="J2016" t="inlineStr">
        <is>
          <t>84034 Bayern - Landshut</t>
        </is>
      </c>
      <c r="K2016" s="5" t="n">
        <v>45534</v>
      </c>
      <c r="L2016" t="inlineStr">
        <is>
          <t>Sold</t>
        </is>
      </c>
      <c r="M2016" s="6">
        <f>HYPERLINK("https://www.kleinanzeigen.de/s-anzeige/windsurfsegel-north-s-type-7-8-windsurfen-segel-nothsails-north/2849726438-230-6396", "Link")</f>
        <v/>
      </c>
      <c r="N2016" s="6">
        <f>HYPERLINK("C:\Projects\Kleinanzeigen-Scraper\offer_images\2849726438", "Link")</f>
        <v/>
      </c>
      <c r="O2016" t="inlineStr">
        <is>
          <t>Veihelmann</t>
        </is>
      </c>
      <c r="P2016" s="6">
        <f>HYPERLINK("https://www.kleinanzeigen.de/s-bestandsliste.html?userId=8862546", "Link")</f>
        <v/>
      </c>
      <c r="Q2016" s="7" t="n">
        <v>45536.91019675926</v>
      </c>
      <c r="R2016" s="3" t="inlineStr">
        <is>
          <t>58.35</t>
        </is>
      </c>
      <c r="S2016" t="inlineStr">
        <is>
          <t>München</t>
        </is>
      </c>
    </row>
    <row r="2017">
      <c r="A2017" s="2" t="n">
        <v>5.7</v>
      </c>
      <c r="B2017" t="inlineStr">
        <is>
          <t>North Super Star</t>
        </is>
      </c>
      <c r="C2017" s="3" t="inlineStr"/>
      <c r="D2017" s="3" t="inlineStr"/>
      <c r="E2017" t="inlineStr"/>
      <c r="F2017" t="inlineStr"/>
      <c r="G2017" t="inlineStr">
        <is>
          <t>repaired</t>
        </is>
      </c>
      <c r="H2017" s="4" t="n">
        <v>50</v>
      </c>
      <c r="I2017" t="inlineStr">
        <is>
          <t>VB</t>
        </is>
      </c>
      <c r="J2017" t="inlineStr">
        <is>
          <t>44534 Nordrhein-Westfalen - Lünen</t>
        </is>
      </c>
      <c r="K2017" s="5" t="n">
        <v>45535</v>
      </c>
      <c r="L2017" t="inlineStr">
        <is>
          <t>Sold</t>
        </is>
      </c>
      <c r="M2017" s="6">
        <f>HYPERLINK("https://www.kleinanzeigen.de/s-anzeige/north-windsurf-segel/2850761081-230-1754", "Link")</f>
        <v/>
      </c>
      <c r="N2017" s="6">
        <f>HYPERLINK("C:\Projects\Kleinanzeigen-Scraper\offer_images\2850761081", "Link")</f>
        <v/>
      </c>
      <c r="O2017" t="inlineStr">
        <is>
          <t>T.Z</t>
        </is>
      </c>
      <c r="P2017" s="6">
        <f>HYPERLINK("https://www.kleinanzeigen.de/s-bestandsliste.html?userId=4015512", "Link")</f>
        <v/>
      </c>
      <c r="Q2017" s="7" t="n">
        <v>45536.91018518519</v>
      </c>
      <c r="R2017" s="3" t="inlineStr">
        <is>
          <t>85.74</t>
        </is>
      </c>
      <c r="S2017" t="inlineStr">
        <is>
          <t>Köln</t>
        </is>
      </c>
    </row>
    <row r="2018">
      <c r="A2018" s="2" t="n">
        <v>4.5</v>
      </c>
      <c r="B2018" t="inlineStr">
        <is>
          <t>F2</t>
        </is>
      </c>
      <c r="C2018" s="3" t="n">
        <v>4.52</v>
      </c>
      <c r="D2018" s="3" t="n">
        <v>1.47</v>
      </c>
      <c r="E2018" t="inlineStr">
        <is>
          <t>Wave</t>
        </is>
      </c>
      <c r="F2018" t="inlineStr"/>
      <c r="G2018" t="inlineStr">
        <is>
          <t>used, repaired</t>
        </is>
      </c>
      <c r="H2018" s="4" t="inlineStr">
        <is>
          <t>Zu verschenken</t>
        </is>
      </c>
      <c r="I2018" t="inlineStr"/>
      <c r="J2018" t="inlineStr">
        <is>
          <t>46419 Nordrhein-Westfalen - Isselburg</t>
        </is>
      </c>
      <c r="K2018" s="5" t="n">
        <v>45525</v>
      </c>
      <c r="L2018" t="inlineStr">
        <is>
          <t>Sold</t>
        </is>
      </c>
      <c r="M2018" s="6">
        <f>HYPERLINK("https://www.kleinanzeigen.de/s-anzeige/windsurf-segel-wavesegel-f2-4-5qm/2843021554-230-1848", "Link")</f>
        <v/>
      </c>
      <c r="N2018" s="6">
        <f>HYPERLINK("C:\Projects\Kleinanzeigen-Scraper\offer_images\2843021554", "Link")</f>
        <v/>
      </c>
      <c r="O2018" t="inlineStr">
        <is>
          <t>Menoolie</t>
        </is>
      </c>
      <c r="P2018" s="6">
        <f>HYPERLINK("https://www.kleinanzeigen.de/s-bestandsliste.html?userId=6864224", "Link")</f>
        <v/>
      </c>
      <c r="Q2018" s="7" t="n">
        <v>45536.91018518519</v>
      </c>
      <c r="R2018" s="3" t="inlineStr">
        <is>
          <t>105.11</t>
        </is>
      </c>
      <c r="S2018" t="inlineStr">
        <is>
          <t>Köln</t>
        </is>
      </c>
    </row>
    <row r="2019">
      <c r="A2019" s="2" t="n">
        <v>5.7</v>
      </c>
      <c r="B2019" t="inlineStr">
        <is>
          <t>North Sails Zeta</t>
        </is>
      </c>
      <c r="C2019" s="3" t="n">
        <v>4.55</v>
      </c>
      <c r="D2019" s="3" t="n">
        <v>180</v>
      </c>
      <c r="E2019" t="inlineStr"/>
      <c r="F2019" t="inlineStr"/>
      <c r="G2019" t="inlineStr">
        <is>
          <t>used</t>
        </is>
      </c>
      <c r="H2019" s="4" t="n">
        <v>65</v>
      </c>
      <c r="I2019" t="inlineStr">
        <is>
          <t>VB</t>
        </is>
      </c>
      <c r="J2019" t="inlineStr">
        <is>
          <t>45699 Nordrhein-Westfalen - Herten</t>
        </is>
      </c>
      <c r="K2019" s="5" t="n">
        <v>45529</v>
      </c>
      <c r="L2019" t="inlineStr">
        <is>
          <t>Sold</t>
        </is>
      </c>
      <c r="M2019" s="6">
        <f>HYPERLINK("https://www.kleinanzeigen.de/s-anzeige/windsurf-segel-north-sails-zeta-5-7/2846029597-230-1832", "Link")</f>
        <v/>
      </c>
      <c r="N2019" s="6">
        <f>HYPERLINK("C:\Projects\Kleinanzeigen-Scraper\offer_images\2846029597", "Link")</f>
        <v/>
      </c>
      <c r="O2019" t="inlineStr">
        <is>
          <t>V.P.</t>
        </is>
      </c>
      <c r="P2019" s="6">
        <f>HYPERLINK("https://www.kleinanzeigen.de/s-bestandsliste.html?userId=10829434", "Link")</f>
        <v/>
      </c>
      <c r="Q2019" s="7" t="n">
        <v>45536.91016203703</v>
      </c>
      <c r="R2019" s="3" t="inlineStr">
        <is>
          <t>73.42</t>
        </is>
      </c>
      <c r="S2019" t="inlineStr">
        <is>
          <t>Köln</t>
        </is>
      </c>
    </row>
    <row r="2020">
      <c r="A2020" s="2" t="n">
        <v>7.5</v>
      </c>
      <c r="B2020" t="inlineStr">
        <is>
          <t>Gaastra Swift</t>
        </is>
      </c>
      <c r="C2020" s="3" t="n">
        <v>460</v>
      </c>
      <c r="D2020" s="3" t="n">
        <v>220</v>
      </c>
      <c r="E2020" t="inlineStr">
        <is>
          <t>Cam</t>
        </is>
      </c>
      <c r="F2020" t="inlineStr"/>
      <c r="G2020" t="inlineStr">
        <is>
          <t>used</t>
        </is>
      </c>
      <c r="H2020" s="4" t="n">
        <v>139</v>
      </c>
      <c r="I2020" t="inlineStr">
        <is>
          <t>VB</t>
        </is>
      </c>
      <c r="J2020" t="inlineStr">
        <is>
          <t>04229 Leipzig - Schleußig</t>
        </is>
      </c>
      <c r="K2020" s="5" t="n">
        <v>45531</v>
      </c>
      <c r="L2020" t="inlineStr"/>
      <c r="M2020" s="6">
        <f>HYPERLINK("https://www.kleinanzeigen.de/s-anzeige/gaastra-swift-7-5-windsurf-segel-cam-camber/2847405307-230-30155", "Link")</f>
        <v/>
      </c>
      <c r="N2020" s="6">
        <f>HYPERLINK("C:\Projects\Kleinanzeigen-Scraper\offer_images\2847405307", "Link")</f>
        <v/>
      </c>
      <c r="O2020" t="inlineStr">
        <is>
          <t>Martin</t>
        </is>
      </c>
      <c r="P2020" s="6">
        <f>HYPERLINK("https://www.kleinanzeigen.de/s-bestandsliste.html?userId=8472979", "Link")</f>
        <v/>
      </c>
      <c r="Q2020" s="7" t="n">
        <v>45536.91016203703</v>
      </c>
      <c r="R2020" s="3" t="inlineStr">
        <is>
          <t>358.53</t>
        </is>
      </c>
      <c r="S2020" t="inlineStr">
        <is>
          <t>München</t>
        </is>
      </c>
    </row>
    <row r="2021">
      <c r="A2021" s="2" t="n">
        <v>7</v>
      </c>
      <c r="B2021" t="inlineStr">
        <is>
          <t>North Sails Warp</t>
        </is>
      </c>
      <c r="C2021" s="3" t="inlineStr"/>
      <c r="D2021" s="3" t="inlineStr"/>
      <c r="E2021" t="inlineStr"/>
      <c r="F2021" t="inlineStr"/>
      <c r="G2021" t="inlineStr">
        <is>
          <t>used, repaired</t>
        </is>
      </c>
      <c r="H2021" s="4" t="n">
        <v>90</v>
      </c>
      <c r="I2021" t="inlineStr"/>
      <c r="J2021" t="inlineStr">
        <is>
          <t>78532 Baden-Württemberg - Tuttlingen</t>
        </is>
      </c>
      <c r="K2021" s="5" t="n">
        <v>45525</v>
      </c>
      <c r="L2021" t="inlineStr">
        <is>
          <t>Sold</t>
        </is>
      </c>
      <c r="M2021" s="6">
        <f>HYPERLINK("https://www.kleinanzeigen.de/s-anzeige/north-sails-warp-windsurf-segel-in-7-0-qm/2842932936-230-8511", "Link")</f>
        <v/>
      </c>
      <c r="N2021" s="6">
        <f>HYPERLINK("C:\Projects\Kleinanzeigen-Scraper\offer_images\2842932936", "Link")</f>
        <v/>
      </c>
      <c r="O2021" t="inlineStr">
        <is>
          <t>Anton</t>
        </is>
      </c>
      <c r="P2021" s="6">
        <f>HYPERLINK("https://www.kleinanzeigen.de/s-bestandsliste.html?userId=33192786", "Link")</f>
        <v/>
      </c>
      <c r="Q2021" s="7" t="n">
        <v>45536.91013888889</v>
      </c>
      <c r="R2021" s="3" t="inlineStr">
        <is>
          <t>39.32</t>
        </is>
      </c>
      <c r="S2021" t="inlineStr">
        <is>
          <t>Bonndorf</t>
        </is>
      </c>
    </row>
    <row r="2022">
      <c r="A2022" s="2" t="n">
        <v>4</v>
      </c>
      <c r="B2022" t="inlineStr">
        <is>
          <t>NORTH Superstar</t>
        </is>
      </c>
      <c r="C2022" s="3" t="n">
        <v>3.79</v>
      </c>
      <c r="D2022" s="3" t="n">
        <v>1.53</v>
      </c>
      <c r="E2022" t="inlineStr"/>
      <c r="F2022" t="inlineStr">
        <is>
          <t>2003</t>
        </is>
      </c>
      <c r="G2022" t="inlineStr">
        <is>
          <t>used</t>
        </is>
      </c>
      <c r="H2022" s="4" t="n">
        <v>95</v>
      </c>
      <c r="I2022" t="inlineStr"/>
      <c r="J2022" t="inlineStr">
        <is>
          <t>65779 Hessen - Kelkheim</t>
        </is>
      </c>
      <c r="K2022" s="5" t="n">
        <v>45528</v>
      </c>
      <c r="L2022" t="inlineStr">
        <is>
          <t>Sold</t>
        </is>
      </c>
      <c r="M2022" s="6">
        <f>HYPERLINK("https://www.kleinanzeigen.de/s-anzeige/north-superstar-4-0-segel-windsurfen/2845242117-230-4813", "Link")</f>
        <v/>
      </c>
      <c r="N2022" s="6">
        <f>HYPERLINK("C:\Projects\Kleinanzeigen-Scraper\offer_images\2845242117", "Link")</f>
        <v/>
      </c>
      <c r="O2022" t="inlineStr">
        <is>
          <t>Jens Rasche</t>
        </is>
      </c>
      <c r="P2022" s="6">
        <f>HYPERLINK("https://www.kleinanzeigen.de/s-bestandsliste.html?userId=25448088", "Link")</f>
        <v/>
      </c>
      <c r="Q2022" s="7" t="n">
        <v>45536.91013888889</v>
      </c>
      <c r="R2022" s="3" t="inlineStr">
        <is>
          <t>127.81</t>
        </is>
      </c>
      <c r="S2022" t="inlineStr">
        <is>
          <t>Karlsruhe</t>
        </is>
      </c>
    </row>
    <row r="2023">
      <c r="A2023" s="2" t="n">
        <v>5.5</v>
      </c>
      <c r="B2023" t="inlineStr">
        <is>
          <t>NeilPryde Fusion HD</t>
        </is>
      </c>
      <c r="C2023" s="3" t="inlineStr"/>
      <c r="D2023" s="3" t="inlineStr"/>
      <c r="E2023" t="inlineStr">
        <is>
          <t>Freeride</t>
        </is>
      </c>
      <c r="F2023" t="inlineStr">
        <is>
          <t>2023</t>
        </is>
      </c>
      <c r="G2023" t="inlineStr">
        <is>
          <t>new</t>
        </is>
      </c>
      <c r="H2023" s="4" t="n">
        <v>529</v>
      </c>
      <c r="I2023" t="inlineStr">
        <is>
          <t>VB</t>
        </is>
      </c>
      <c r="J2023" t="inlineStr">
        <is>
          <t>82319 Bayern - Starnberg</t>
        </is>
      </c>
      <c r="K2023" s="5" t="n">
        <v>45557</v>
      </c>
      <c r="L2023" t="inlineStr"/>
      <c r="M2023" s="6">
        <f>HYPERLINK("https://www.kleinanzeigen.de/s-anzeige/neilpryde-fusion-hd-5-5qm-2023-neu-neu-windsurf-segel/2481456569-230-5525", "Link")</f>
        <v/>
      </c>
      <c r="N2023" s="6">
        <f>HYPERLINK("C:\Projects\Kleinanzeigen-Scraper\offer_images\2481456569", "Link")</f>
        <v/>
      </c>
      <c r="O2023" t="inlineStr">
        <is>
          <t>No user name</t>
        </is>
      </c>
      <c r="P2023" s="6">
        <f>HYPERLINK("https://www.kleinanzeigen.deNo user link", "Link")</f>
        <v/>
      </c>
      <c r="Q2023" s="7" t="n">
        <v>45536.91011574074</v>
      </c>
      <c r="R2023" s="3" t="inlineStr">
        <is>
          <t>23.17</t>
        </is>
      </c>
      <c r="S2023" t="inlineStr">
        <is>
          <t>München</t>
        </is>
      </c>
    </row>
    <row r="2024">
      <c r="A2024" s="2" t="n">
        <v>4.6</v>
      </c>
      <c r="B2024" t="inlineStr">
        <is>
          <t>Neilpride Garda</t>
        </is>
      </c>
      <c r="C2024" s="3" t="n">
        <v>4.6</v>
      </c>
      <c r="D2024" s="3" t="n">
        <v>165</v>
      </c>
      <c r="E2024" t="inlineStr"/>
      <c r="F2024" t="inlineStr"/>
      <c r="G2024" t="inlineStr">
        <is>
          <t>used</t>
        </is>
      </c>
      <c r="H2024" s="4" t="n">
        <v>65</v>
      </c>
      <c r="I2024" t="inlineStr">
        <is>
          <t>VB</t>
        </is>
      </c>
      <c r="J2024" t="inlineStr">
        <is>
          <t>45699 Nordrhein-Westfalen - Herten</t>
        </is>
      </c>
      <c r="K2024" s="5" t="n">
        <v>45529</v>
      </c>
      <c r="L2024" t="inlineStr">
        <is>
          <t>Sold</t>
        </is>
      </c>
      <c r="M2024" s="6">
        <f>HYPERLINK("https://www.kleinanzeigen.de/s-anzeige/windsurf-segel-neilpride-4-6/2846057501-230-1832", "Link")</f>
        <v/>
      </c>
      <c r="N2024" s="6">
        <f>HYPERLINK("C:\Projects\Kleinanzeigen-Scraper\offer_images\2846057501", "Link")</f>
        <v/>
      </c>
      <c r="O2024" t="inlineStr">
        <is>
          <t>V.P.</t>
        </is>
      </c>
      <c r="P2024" s="6">
        <f>HYPERLINK("https://www.kleinanzeigen.de/s-bestandsliste.html?userId=10829434", "Link")</f>
        <v/>
      </c>
      <c r="Q2024" s="7" t="n">
        <v>45536.91011574074</v>
      </c>
      <c r="R2024" s="3" t="inlineStr">
        <is>
          <t>73.42</t>
        </is>
      </c>
      <c r="S2024" t="inlineStr">
        <is>
          <t>Köln</t>
        </is>
      </c>
    </row>
    <row r="2025">
      <c r="A2025" s="2" t="inlineStr"/>
      <c r="B2025" t="inlineStr">
        <is>
          <t>Jessing</t>
        </is>
      </c>
      <c r="C2025" s="3" t="inlineStr"/>
      <c r="D2025" s="3" t="inlineStr"/>
      <c r="E2025" t="inlineStr"/>
      <c r="F2025" t="inlineStr"/>
      <c r="G2025" t="inlineStr">
        <is>
          <t>used</t>
        </is>
      </c>
      <c r="H2025" s="4" t="n">
        <v>25</v>
      </c>
      <c r="I2025" t="inlineStr">
        <is>
          <t>VB</t>
        </is>
      </c>
      <c r="J2025" t="inlineStr">
        <is>
          <t>86845 Bayern - Großaitingen</t>
        </is>
      </c>
      <c r="K2025" s="5" t="n">
        <v>45534</v>
      </c>
      <c r="L2025" t="inlineStr">
        <is>
          <t>Sold</t>
        </is>
      </c>
      <c r="M2025" s="6">
        <f>HYPERLINK("https://www.kleinanzeigen.de/s-anzeige/segel-windsurfen/2849762458-230-7122", "Link")</f>
        <v/>
      </c>
      <c r="N2025" s="6">
        <f>HYPERLINK("C:\Projects\Kleinanzeigen-Scraper\offer_images\2849762458", "Link")</f>
        <v/>
      </c>
      <c r="O2025" t="inlineStr">
        <is>
          <t>K. Burkart</t>
        </is>
      </c>
      <c r="P2025" s="6">
        <f>HYPERLINK("https://www.kleinanzeigen.de/s-bestandsliste.html?userId=125785729", "Link")</f>
        <v/>
      </c>
      <c r="Q2025" s="7" t="n">
        <v>45536.91011574074</v>
      </c>
      <c r="R2025" s="3" t="inlineStr">
        <is>
          <t>59.31</t>
        </is>
      </c>
      <c r="S2025" t="inlineStr">
        <is>
          <t>München</t>
        </is>
      </c>
    </row>
    <row r="2026">
      <c r="A2026" s="2" t="n">
        <v>5.5</v>
      </c>
      <c r="B2026" t="inlineStr">
        <is>
          <t>Goya Banzai</t>
        </is>
      </c>
      <c r="C2026" s="3" t="inlineStr"/>
      <c r="D2026" s="3" t="inlineStr"/>
      <c r="E2026" t="inlineStr"/>
      <c r="F2026" t="inlineStr"/>
      <c r="G2026" t="inlineStr">
        <is>
          <t>defective</t>
        </is>
      </c>
      <c r="H2026" s="4" t="n">
        <v>75</v>
      </c>
      <c r="I2026" t="inlineStr"/>
      <c r="J2026" t="inlineStr">
        <is>
          <t>81476 München - Thalk.Obersendl.-Forsten-Fürstenr.-Solln</t>
        </is>
      </c>
      <c r="K2026" s="5" t="n">
        <v>45532</v>
      </c>
      <c r="L2026" t="inlineStr">
        <is>
          <t>Sold</t>
        </is>
      </c>
      <c r="M2026" s="6">
        <f>HYPERLINK("https://www.kleinanzeigen.de/s-anzeige/goya-banzai-5-5-qm-windsurf-segel/2848749030-230-6436", "Link")</f>
        <v/>
      </c>
      <c r="N2026" s="6">
        <f>HYPERLINK("C:\Projects\Kleinanzeigen-Scraper\offer_images\2848749030", "Link")</f>
        <v/>
      </c>
      <c r="O2026" t="inlineStr">
        <is>
          <t>Mike</t>
        </is>
      </c>
      <c r="P2026" s="6">
        <f>HYPERLINK("https://www.kleinanzeigen.de/s-bestandsliste.html?userId=27971111", "Link")</f>
        <v/>
      </c>
      <c r="Q2026" s="7" t="n">
        <v>45536.91010416667</v>
      </c>
      <c r="R2026" s="3" t="inlineStr">
        <is>
          <t>8.19</t>
        </is>
      </c>
      <c r="S2026" t="inlineStr">
        <is>
          <t>München</t>
        </is>
      </c>
    </row>
    <row r="2027">
      <c r="A2027" s="2" t="n">
        <v>3.4</v>
      </c>
      <c r="B2027" t="inlineStr">
        <is>
          <t>Neil Pryde</t>
        </is>
      </c>
      <c r="C2027" s="3" t="inlineStr"/>
      <c r="D2027" s="3" t="inlineStr"/>
      <c r="E2027" t="inlineStr"/>
      <c r="F2027" t="inlineStr"/>
      <c r="G2027" t="inlineStr">
        <is>
          <t>used</t>
        </is>
      </c>
      <c r="H2027" s="4" t="n">
        <v>45</v>
      </c>
      <c r="I2027" t="inlineStr">
        <is>
          <t>VB</t>
        </is>
      </c>
      <c r="J2027" t="inlineStr">
        <is>
          <t>86836 Bayern - Obermeitingen</t>
        </is>
      </c>
      <c r="K2027" s="5" t="n">
        <v>45535</v>
      </c>
      <c r="L2027" t="inlineStr">
        <is>
          <t>Sold</t>
        </is>
      </c>
      <c r="M2027" s="6">
        <f>HYPERLINK("https://www.kleinanzeigen.de/s-anzeige/surfsegel-windsurfen-sup-segel-von-neil-pryde-3-4/2850991795-230-21620", "Link")</f>
        <v/>
      </c>
      <c r="N2027" s="6">
        <f>HYPERLINK("C:\Projects\Kleinanzeigen-Scraper\offer_images\2850991795", "Link")</f>
        <v/>
      </c>
      <c r="O2027" t="inlineStr">
        <is>
          <t>S.S.</t>
        </is>
      </c>
      <c r="P2027" s="6">
        <f>HYPERLINK("https://www.kleinanzeigen.de/s-bestandsliste.html?userId=43228008", "Link")</f>
        <v/>
      </c>
      <c r="Q2027" s="7" t="n">
        <v>45536.9100925926</v>
      </c>
      <c r="R2027" s="3" t="inlineStr">
        <is>
          <t>56.88</t>
        </is>
      </c>
      <c r="S2027" t="inlineStr">
        <is>
          <t>München</t>
        </is>
      </c>
    </row>
    <row r="2028">
      <c r="A2028" s="2" t="n">
        <v>3.7</v>
      </c>
      <c r="B2028" t="inlineStr">
        <is>
          <t>Neil Pryde Combat</t>
        </is>
      </c>
      <c r="C2028" s="3" t="n">
        <v>340</v>
      </c>
      <c r="D2028" s="3" t="n">
        <v>147</v>
      </c>
      <c r="E2028" t="inlineStr">
        <is>
          <t>Wave</t>
        </is>
      </c>
      <c r="F2028" t="inlineStr"/>
      <c r="G2028" t="inlineStr">
        <is>
          <t>used, very good condition</t>
        </is>
      </c>
      <c r="H2028" s="4" t="n">
        <v>95</v>
      </c>
      <c r="I2028" t="inlineStr">
        <is>
          <t>VB</t>
        </is>
      </c>
      <c r="J2028" t="inlineStr">
        <is>
          <t>22529 Eimsbüttel - Hamburg Lokstedt</t>
        </is>
      </c>
      <c r="K2028" s="5" t="n">
        <v>45529</v>
      </c>
      <c r="L2028" t="inlineStr">
        <is>
          <t>Sold</t>
        </is>
      </c>
      <c r="M2028" s="6">
        <f>HYPERLINK("https://www.kleinanzeigen.de/s-anzeige/neil-pryde-combat-3-7-wave-allround-windsurf-segel/2845680799-230-9436", "Link")</f>
        <v/>
      </c>
      <c r="N2028" s="6">
        <f>HYPERLINK("C:\Projects\Kleinanzeigen-Scraper\offer_images\2845680799", "Link")</f>
        <v/>
      </c>
      <c r="O2028" t="inlineStr">
        <is>
          <t>Damian</t>
        </is>
      </c>
      <c r="P2028" s="6">
        <f>HYPERLINK("https://www.kleinanzeigen.de/s-bestandsliste.html?userId=7675345", "Link")</f>
        <v/>
      </c>
      <c r="Q2028" s="7" t="n">
        <v>45536.9100925926</v>
      </c>
      <c r="R2028" s="3" t="inlineStr">
        <is>
          <t>358.82</t>
        </is>
      </c>
      <c r="S2028" t="inlineStr">
        <is>
          <t>Köln</t>
        </is>
      </c>
    </row>
    <row r="2029">
      <c r="A2029" s="2" t="n">
        <v>7.4</v>
      </c>
      <c r="B2029" t="inlineStr">
        <is>
          <t>Neilpryde RAF Supersonic</t>
        </is>
      </c>
      <c r="C2029" s="3" t="n">
        <v>460</v>
      </c>
      <c r="D2029" s="3" t="n">
        <v>214</v>
      </c>
      <c r="E2029" t="inlineStr"/>
      <c r="F2029" t="inlineStr"/>
      <c r="G2029" t="inlineStr">
        <is>
          <t>used</t>
        </is>
      </c>
      <c r="H2029" s="4" t="n">
        <v>149</v>
      </c>
      <c r="I2029" t="inlineStr"/>
      <c r="J2029" t="inlineStr">
        <is>
          <t>82229 Bayern - Seefeld</t>
        </is>
      </c>
      <c r="K2029" s="5" t="n">
        <v>45535</v>
      </c>
      <c r="L2029" t="inlineStr">
        <is>
          <t>Sold</t>
        </is>
      </c>
      <c r="M2029" s="6">
        <f>HYPERLINK("https://www.kleinanzeigen.de/s-anzeige/neilpryde-raf-supersonic-7-4qm-freeride-windsurf-segel/2850445921-230-5519", "Link")</f>
        <v/>
      </c>
      <c r="N2029" s="6">
        <f>HYPERLINK("C:\Projects\Kleinanzeigen-Scraper\offer_images\2850445921", "Link")</f>
        <v/>
      </c>
      <c r="O2029" t="inlineStr">
        <is>
          <t>Tobias</t>
        </is>
      </c>
      <c r="P2029" s="6">
        <f>HYPERLINK("https://www.kleinanzeigen.de/s-bestandsliste.html?userId=26072985", "Link")</f>
        <v/>
      </c>
      <c r="Q2029" s="7" t="n">
        <v>45536.9100462963</v>
      </c>
      <c r="R2029" s="3" t="inlineStr">
        <is>
          <t>27.49</t>
        </is>
      </c>
      <c r="S2029" t="inlineStr">
        <is>
          <t>München</t>
        </is>
      </c>
    </row>
    <row r="2030">
      <c r="A2030" s="2" t="n">
        <v>5.9</v>
      </c>
      <c r="B2030" t="inlineStr">
        <is>
          <t>HiFly Gaastra</t>
        </is>
      </c>
      <c r="C2030" s="3" t="n">
        <v>4.7</v>
      </c>
      <c r="D2030" s="3" t="n">
        <v>1.95</v>
      </c>
      <c r="E2030" t="inlineStr">
        <is>
          <t>Slalom</t>
        </is>
      </c>
      <c r="F2030" t="inlineStr"/>
      <c r="G2030" t="inlineStr">
        <is>
          <t>used</t>
        </is>
      </c>
      <c r="H2030" s="4" t="inlineStr">
        <is>
          <t>Zu verschenken</t>
        </is>
      </c>
      <c r="I2030" t="inlineStr"/>
      <c r="J2030" t="inlineStr">
        <is>
          <t>78315 Baden-Württemberg - Radolfzell am Bodensee</t>
        </is>
      </c>
      <c r="K2030" s="5" t="n">
        <v>45528</v>
      </c>
      <c r="L2030" t="inlineStr">
        <is>
          <t>Sold</t>
        </is>
      </c>
      <c r="M2030" s="6">
        <f>HYPERLINK("https://www.kleinanzeigen.de/s-anzeige/windsurf-segel-hifly-gaastra-5-9qm/2845187803-230-8190", "Link")</f>
        <v/>
      </c>
      <c r="N2030" s="6">
        <f>HYPERLINK("C:\Projects\Kleinanzeigen-Scraper\offer_images\2845187803", "Link")</f>
        <v/>
      </c>
      <c r="O2030" t="inlineStr">
        <is>
          <t>T. Schmitt</t>
        </is>
      </c>
      <c r="P2030" s="6">
        <f>HYPERLINK("https://www.kleinanzeigen.de/s-bestandsliste.html?userId=5246788", "Link")</f>
        <v/>
      </c>
      <c r="Q2030" s="7" t="n">
        <v>45536.9100462963</v>
      </c>
      <c r="R2030" s="3" t="inlineStr">
        <is>
          <t>48.46</t>
        </is>
      </c>
      <c r="S2030" t="inlineStr">
        <is>
          <t>Bonndorf</t>
        </is>
      </c>
    </row>
    <row r="2031">
      <c r="A2031" s="2" t="n">
        <v>8.199999999999999</v>
      </c>
      <c r="B2031" t="inlineStr">
        <is>
          <t>Northsails E-type</t>
        </is>
      </c>
      <c r="C2031" s="3" t="n">
        <v>490</v>
      </c>
      <c r="D2031" s="3" t="n">
        <v>215</v>
      </c>
      <c r="E2031" t="inlineStr"/>
      <c r="F2031" t="inlineStr"/>
      <c r="G2031" t="inlineStr">
        <is>
          <t>used</t>
        </is>
      </c>
      <c r="H2031" s="4" t="n">
        <v>200</v>
      </c>
      <c r="I2031" t="inlineStr"/>
      <c r="J2031" t="inlineStr">
        <is>
          <t>85586 Bayern - Poing</t>
        </is>
      </c>
      <c r="K2031" s="5" t="n">
        <v>45536</v>
      </c>
      <c r="L2031" t="inlineStr">
        <is>
          <t>Sold</t>
        </is>
      </c>
      <c r="M2031" s="6">
        <f>HYPERLINK("https://www.kleinanzeigen.de/s-anzeige/windsurf-segel-northsails-e-type-8-2qmj/2851171877-230-5579", "Link")</f>
        <v/>
      </c>
      <c r="N2031" s="6">
        <f>HYPERLINK("C:\Projects\Kleinanzeigen-Scraper\offer_images\2851171877", "Link")</f>
        <v/>
      </c>
      <c r="O2031" t="inlineStr">
        <is>
          <t>Lars</t>
        </is>
      </c>
      <c r="P2031" s="6">
        <f>HYPERLINK("https://www.kleinanzeigen.de/s-bestandsliste.html?userId=84093014", "Link")</f>
        <v/>
      </c>
      <c r="Q2031" s="7" t="n">
        <v>45536.91003472222</v>
      </c>
      <c r="R2031" s="3" t="inlineStr">
        <is>
          <t>17.56</t>
        </is>
      </c>
      <c r="S2031" t="inlineStr">
        <is>
          <t>München</t>
        </is>
      </c>
    </row>
    <row r="2032">
      <c r="A2032" s="2" t="n">
        <v>5.3</v>
      </c>
      <c r="B2032" t="inlineStr">
        <is>
          <t>ART RIP</t>
        </is>
      </c>
      <c r="C2032" s="3" t="inlineStr"/>
      <c r="D2032" s="3" t="inlineStr"/>
      <c r="E2032" t="inlineStr"/>
      <c r="F2032" t="inlineStr"/>
      <c r="G2032" t="inlineStr">
        <is>
          <t>used</t>
        </is>
      </c>
      <c r="H2032" s="4" t="n">
        <v>18</v>
      </c>
      <c r="I2032" t="inlineStr"/>
      <c r="J2032" t="inlineStr">
        <is>
          <t>24118 Kiel - Ravensberg-Brunswik-Düsternbrook</t>
        </is>
      </c>
      <c r="K2032" s="5" t="n">
        <v>45530</v>
      </c>
      <c r="L2032" t="inlineStr">
        <is>
          <t>Sold</t>
        </is>
      </c>
      <c r="M2032" s="6">
        <f>HYPERLINK("https://www.kleinanzeigen.de/s-anzeige/windsurfen-segel-art-rip-5-3m3/2847268478-230-704", "Link")</f>
        <v/>
      </c>
      <c r="N2032" s="6">
        <f>HYPERLINK("C:\Projects\Kleinanzeigen-Scraper\offer_images\2847268478", "Link")</f>
        <v/>
      </c>
      <c r="O2032" t="inlineStr">
        <is>
          <t>Sarah</t>
        </is>
      </c>
      <c r="P2032" s="6">
        <f>HYPERLINK("https://www.kleinanzeigen.de/s-bestandsliste.html?userId=9962094", "Link")</f>
        <v/>
      </c>
      <c r="Q2032" s="7" t="n">
        <v>45536.91003472222</v>
      </c>
      <c r="R2032" s="3" t="inlineStr">
        <is>
          <t>434.29</t>
        </is>
      </c>
      <c r="S2032" t="inlineStr">
        <is>
          <t>Köln</t>
        </is>
      </c>
    </row>
    <row r="2033">
      <c r="A2033" s="2" t="n">
        <v>3.7</v>
      </c>
      <c r="B2033" t="inlineStr">
        <is>
          <t>Neilpryde RAF Wave</t>
        </is>
      </c>
      <c r="C2033" s="3" t="n">
        <v>440</v>
      </c>
      <c r="D2033" s="3" t="n">
        <v>130</v>
      </c>
      <c r="E2033" t="inlineStr">
        <is>
          <t>Wave</t>
        </is>
      </c>
      <c r="F2033" t="inlineStr"/>
      <c r="G2033" t="inlineStr">
        <is>
          <t>used</t>
        </is>
      </c>
      <c r="H2033" s="4" t="n">
        <v>55</v>
      </c>
      <c r="I2033" t="inlineStr">
        <is>
          <t>VB</t>
        </is>
      </c>
      <c r="J2033" t="inlineStr">
        <is>
          <t>45699 Nordrhein-Westfalen - Herten</t>
        </is>
      </c>
      <c r="K2033" s="5" t="n">
        <v>45529</v>
      </c>
      <c r="L2033" t="inlineStr">
        <is>
          <t>Sold</t>
        </is>
      </c>
      <c r="M2033" s="6">
        <f>HYPERLINK("https://www.kleinanzeigen.de/s-anzeige/windsurf-segel-neilpryde-3-7/2846008826-230-1832", "Link")</f>
        <v/>
      </c>
      <c r="N2033" s="6">
        <f>HYPERLINK("C:\Projects\Kleinanzeigen-Scraper\offer_images\2846008826", "Link")</f>
        <v/>
      </c>
      <c r="O2033" t="inlineStr">
        <is>
          <t>V.P.</t>
        </is>
      </c>
      <c r="P2033" s="6">
        <f>HYPERLINK("https://www.kleinanzeigen.de/s-bestandsliste.html?userId=10829434", "Link")</f>
        <v/>
      </c>
      <c r="Q2033" s="7" t="n">
        <v>45536.91001157407</v>
      </c>
      <c r="R2033" s="3" t="inlineStr">
        <is>
          <t>73.42</t>
        </is>
      </c>
      <c r="S2033" t="inlineStr">
        <is>
          <t>Köln</t>
        </is>
      </c>
    </row>
    <row r="2034">
      <c r="A2034" s="2" t="n">
        <v>4.5</v>
      </c>
      <c r="B2034" t="inlineStr">
        <is>
          <t>JP Vision X</t>
        </is>
      </c>
      <c r="C2034" s="3" t="inlineStr"/>
      <c r="D2034" s="3" t="inlineStr"/>
      <c r="E2034" t="inlineStr"/>
      <c r="F2034" t="inlineStr"/>
      <c r="G2034" t="inlineStr">
        <is>
          <t>used</t>
        </is>
      </c>
      <c r="H2034" s="4" t="n">
        <v>225</v>
      </c>
      <c r="I2034" t="inlineStr"/>
      <c r="J2034" t="inlineStr">
        <is>
          <t>96149 Bayern - Breitengüßbach</t>
        </is>
      </c>
      <c r="K2034" s="5" t="n">
        <v>45536</v>
      </c>
      <c r="L2034" t="inlineStr">
        <is>
          <t>Sold</t>
        </is>
      </c>
      <c r="M2034" s="6">
        <f>HYPERLINK("https://www.kleinanzeigen.de/s-anzeige/jp-vision-x-4-5-windsurf-segel-surf-sup/2851927741-230-6906", "Link")</f>
        <v/>
      </c>
      <c r="N2034" s="6">
        <f>HYPERLINK("C:\Projects\Kleinanzeigen-Scraper\offer_images\2851927741", "Link")</f>
        <v/>
      </c>
      <c r="O2034" t="inlineStr">
        <is>
          <t>stefan</t>
        </is>
      </c>
      <c r="P2034" s="6">
        <f>HYPERLINK("https://www.kleinanzeigen.de/s-bestandsliste.html?userId=28091401", "Link")</f>
        <v/>
      </c>
      <c r="Q2034" s="7" t="n">
        <v>45536.91001157407</v>
      </c>
      <c r="R2034" s="3" t="inlineStr">
        <is>
          <t>200.94</t>
        </is>
      </c>
      <c r="S2034" t="inlineStr">
        <is>
          <t>Böblingen</t>
        </is>
      </c>
    </row>
    <row r="2035">
      <c r="A2035" s="2" t="n">
        <v>5.4</v>
      </c>
      <c r="B2035" t="inlineStr">
        <is>
          <t>Duotone Warp Foil</t>
        </is>
      </c>
      <c r="C2035" s="3" t="inlineStr"/>
      <c r="D2035" s="3" t="inlineStr"/>
      <c r="E2035" t="inlineStr">
        <is>
          <t>Freerace</t>
        </is>
      </c>
      <c r="F2035" t="inlineStr">
        <is>
          <t>2024</t>
        </is>
      </c>
      <c r="G2035" t="inlineStr">
        <is>
          <t>new</t>
        </is>
      </c>
      <c r="H2035" s="4" t="n">
        <v>800</v>
      </c>
      <c r="I2035" t="inlineStr">
        <is>
          <t>VB</t>
        </is>
      </c>
      <c r="J2035" t="inlineStr">
        <is>
          <t>87463 Bayern - Dietmannsried</t>
        </is>
      </c>
      <c r="K2035" s="5" t="n">
        <v>45535</v>
      </c>
      <c r="L2035" t="inlineStr">
        <is>
          <t>Sold</t>
        </is>
      </c>
      <c r="M2035" s="6">
        <f>HYPERLINK("https://www.kleinanzeigen.de/s-anzeige/windsurf-duotone-warp-foil-2024-5-4-neu/2851056746-230-7623", "Link")</f>
        <v/>
      </c>
      <c r="N2035" s="6">
        <f>HYPERLINK("C:\Projects\Kleinanzeigen-Scraper\offer_images\2851056746", "Link")</f>
        <v/>
      </c>
      <c r="O2035" t="inlineStr">
        <is>
          <t>Robert Bircheneder</t>
        </is>
      </c>
      <c r="P2035" s="6">
        <f>HYPERLINK("https://www.kleinanzeigen.de/s-bestandsliste.html?userId=43544466", "Link")</f>
        <v/>
      </c>
      <c r="Q2035" s="7" t="n">
        <v>45536.90998842593</v>
      </c>
      <c r="R2035" s="3" t="inlineStr">
        <is>
          <t>102.25</t>
        </is>
      </c>
      <c r="S2035" t="inlineStr">
        <is>
          <t>München</t>
        </is>
      </c>
    </row>
    <row r="2036">
      <c r="A2036" s="2" t="n">
        <v>3.5</v>
      </c>
      <c r="B2036" t="inlineStr">
        <is>
          <t>NeilPryde Dragonfly HD</t>
        </is>
      </c>
      <c r="C2036" s="3" t="n">
        <v>340</v>
      </c>
      <c r="D2036" s="3" t="n">
        <v>150</v>
      </c>
      <c r="E2036" t="inlineStr"/>
      <c r="F2036" t="inlineStr">
        <is>
          <t>2022</t>
        </is>
      </c>
      <c r="G2036" t="inlineStr">
        <is>
          <t>new</t>
        </is>
      </c>
      <c r="H2036" s="4" t="n">
        <v>229</v>
      </c>
      <c r="I2036" t="inlineStr"/>
      <c r="J2036" t="inlineStr">
        <is>
          <t>82319 Bayern - Starnberg</t>
        </is>
      </c>
      <c r="K2036" s="5" t="n">
        <v>45557</v>
      </c>
      <c r="L2036" t="inlineStr">
        <is>
          <t>Sold</t>
        </is>
      </c>
      <c r="M2036" s="6">
        <f>HYPERLINK("https://www.kleinanzeigen.de/s-anzeige/neilpryde-dragonfly-hd-3-5-qm-2022-kinder-windsurf-segel-neu-/2481488360-230-5525", "Link")</f>
        <v/>
      </c>
      <c r="N2036" s="6">
        <f>HYPERLINK("C:\Projects\Kleinanzeigen-Scraper\offer_images\2481488360", "Link")</f>
        <v/>
      </c>
      <c r="O2036" t="inlineStr">
        <is>
          <t>No user name</t>
        </is>
      </c>
      <c r="P2036" s="6">
        <f>HYPERLINK("https://www.kleinanzeigen.deNo user link", "Link")</f>
        <v/>
      </c>
      <c r="Q2036" s="7" t="n">
        <v>45536.90998842593</v>
      </c>
      <c r="R2036" s="3" t="inlineStr">
        <is>
          <t>23.17</t>
        </is>
      </c>
      <c r="S2036" t="inlineStr">
        <is>
          <t>München</t>
        </is>
      </c>
    </row>
    <row r="2037">
      <c r="A2037" s="2" t="n">
        <v>7.8</v>
      </c>
      <c r="B2037" t="inlineStr">
        <is>
          <t>Loftsails Racingblade</t>
        </is>
      </c>
      <c r="C2037" s="3" t="n">
        <v>484</v>
      </c>
      <c r="D2037" s="3" t="n">
        <v>217</v>
      </c>
      <c r="E2037" t="inlineStr"/>
      <c r="F2037" t="inlineStr"/>
      <c r="G2037" t="inlineStr">
        <is>
          <t>used</t>
        </is>
      </c>
      <c r="H2037" s="4" t="n">
        <v>160</v>
      </c>
      <c r="I2037" t="inlineStr">
        <is>
          <t>VB</t>
        </is>
      </c>
      <c r="J2037" t="inlineStr">
        <is>
          <t>01454 Sachsen - Radeberg</t>
        </is>
      </c>
      <c r="K2037" s="5" t="n">
        <v>45527</v>
      </c>
      <c r="L2037" t="inlineStr">
        <is>
          <t>Sold</t>
        </is>
      </c>
      <c r="M2037" s="6">
        <f>HYPERLINK("https://www.kleinanzeigen.de/s-anzeige/windsurf-segel-7-8-qm-loftsails-racingblade/2844137015-230-4132", "Link")</f>
        <v/>
      </c>
      <c r="N2037" s="6">
        <f>HYPERLINK("C:\Projects\Kleinanzeigen-Scraper\offer_images\2844137015", "Link")</f>
        <v/>
      </c>
      <c r="O2037" t="inlineStr">
        <is>
          <t>Eberth</t>
        </is>
      </c>
      <c r="P2037" s="6">
        <f>HYPERLINK("https://www.kleinanzeigen.de/s-bestandsliste.html?userId=1560613", "Link")</f>
        <v/>
      </c>
      <c r="Q2037" s="7" t="n">
        <v>45536.90996527778</v>
      </c>
      <c r="R2037" s="3" t="inlineStr">
        <is>
          <t>373.94</t>
        </is>
      </c>
      <c r="S2037" t="inlineStr">
        <is>
          <t>München</t>
        </is>
      </c>
    </row>
    <row r="2038">
      <c r="A2038" s="2" t="n">
        <v>4.5</v>
      </c>
      <c r="B2038" t="inlineStr">
        <is>
          <t>Naish Session</t>
        </is>
      </c>
      <c r="C2038" s="3" t="n">
        <v>400</v>
      </c>
      <c r="D2038" s="3" t="n">
        <v>154</v>
      </c>
      <c r="E2038" t="inlineStr">
        <is>
          <t>Wave</t>
        </is>
      </c>
      <c r="F2038" t="inlineStr"/>
      <c r="G2038" t="inlineStr">
        <is>
          <t>used</t>
        </is>
      </c>
      <c r="H2038" s="4" t="n">
        <v>20</v>
      </c>
      <c r="I2038" t="inlineStr"/>
      <c r="J2038" t="inlineStr">
        <is>
          <t>81929 München - Bogenhausen</t>
        </is>
      </c>
      <c r="K2038" s="5" t="n">
        <v>45528</v>
      </c>
      <c r="L2038" t="inlineStr">
        <is>
          <t>Sold</t>
        </is>
      </c>
      <c r="M2038" s="6">
        <f>HYPERLINK("https://www.kleinanzeigen.de/s-anzeige/windsurf-windsurfsegel-sail-naish-session-4-5-qm/2844897189-230-6526", "Link")</f>
        <v/>
      </c>
      <c r="N2038" s="6">
        <f>HYPERLINK("C:\Projects\Kleinanzeigen-Scraper\offer_images\2844897189", "Link")</f>
        <v/>
      </c>
      <c r="O2038" t="inlineStr">
        <is>
          <t>Thomas</t>
        </is>
      </c>
      <c r="P2038" s="6">
        <f>HYPERLINK("https://www.kleinanzeigen.de/s-bestandsliste.html?userId=7284801", "Link")</f>
        <v/>
      </c>
      <c r="Q2038" s="7" t="n">
        <v>45536.90993055556</v>
      </c>
      <c r="R2038" s="3" t="inlineStr">
        <is>
          <t>6.89</t>
        </is>
      </c>
      <c r="S2038" t="inlineStr">
        <is>
          <t>München</t>
        </is>
      </c>
    </row>
    <row r="2039">
      <c r="A2039" s="2" t="n">
        <v>3.5</v>
      </c>
      <c r="B2039" t="inlineStr">
        <is>
          <t>Goya Scion X Pro</t>
        </is>
      </c>
      <c r="C2039" s="3" t="n">
        <v>220</v>
      </c>
      <c r="D2039" s="3" t="n">
        <v>220</v>
      </c>
      <c r="E2039" t="inlineStr">
        <is>
          <t>Wave</t>
        </is>
      </c>
      <c r="F2039" t="inlineStr">
        <is>
          <t>2020</t>
        </is>
      </c>
      <c r="G2039" t="inlineStr">
        <is>
          <t>new</t>
        </is>
      </c>
      <c r="H2039" s="4" t="n">
        <v>395</v>
      </c>
      <c r="I2039" t="inlineStr"/>
      <c r="J2039" t="inlineStr">
        <is>
          <t>82319 Bayern - Starnberg</t>
        </is>
      </c>
      <c r="K2039" s="5" t="n">
        <v>45565</v>
      </c>
      <c r="L2039" t="inlineStr"/>
      <c r="M2039" s="6">
        <f>HYPERLINK("https://www.kleinanzeigen.de/s-anzeige/goya-scion-x-pro-3-5-jugend-3-latten-windsurf-segel/2437633552-230-5525", "Link")</f>
        <v/>
      </c>
      <c r="N2039" s="6">
        <f>HYPERLINK("C:\Projects\Kleinanzeigen-Scraper\offer_images\2437633552", "Link")</f>
        <v/>
      </c>
      <c r="O2039" t="inlineStr">
        <is>
          <t>No user name</t>
        </is>
      </c>
      <c r="P2039" s="6">
        <f>HYPERLINK("https://www.kleinanzeigen.deNo user link", "Link")</f>
        <v/>
      </c>
      <c r="Q2039" s="7" t="n">
        <v>45536.90991898148</v>
      </c>
      <c r="R2039" s="3" t="inlineStr">
        <is>
          <t>23.17</t>
        </is>
      </c>
      <c r="S2039" t="inlineStr">
        <is>
          <t>München</t>
        </is>
      </c>
    </row>
    <row r="2040">
      <c r="A2040" s="2" t="n">
        <v>4.5</v>
      </c>
      <c r="B2040" t="inlineStr">
        <is>
          <t>NeilPryde Zone PRO</t>
        </is>
      </c>
      <c r="C2040" s="3" t="n">
        <v>384</v>
      </c>
      <c r="D2040" s="3" t="n">
        <v>159</v>
      </c>
      <c r="E2040" t="inlineStr">
        <is>
          <t>Surf</t>
        </is>
      </c>
      <c r="F2040" t="inlineStr">
        <is>
          <t>2020</t>
        </is>
      </c>
      <c r="G2040" t="inlineStr">
        <is>
          <t>new</t>
        </is>
      </c>
      <c r="H2040" s="4" t="n">
        <v>450</v>
      </c>
      <c r="I2040" t="inlineStr"/>
      <c r="J2040" t="inlineStr">
        <is>
          <t>82319 Bayern - Starnberg</t>
        </is>
      </c>
      <c r="K2040" s="5" t="n">
        <v>45561</v>
      </c>
      <c r="L2040" t="inlineStr"/>
      <c r="M2040" s="6">
        <f>HYPERLINK("https://www.kleinanzeigen.de/s-anzeige/neilpryde-zone-pro-4-5-pure-2020-windsurf-segel-neu-/1734694745-230-5525", "Link")</f>
        <v/>
      </c>
      <c r="N2040" s="6">
        <f>HYPERLINK("C:\Projects\Kleinanzeigen-Scraper\offer_images\1734694745", "Link")</f>
        <v/>
      </c>
      <c r="O2040" t="inlineStr">
        <is>
          <t>No user name</t>
        </is>
      </c>
      <c r="P2040" s="6">
        <f>HYPERLINK("https://www.kleinanzeigen.deNo user link", "Link")</f>
        <v/>
      </c>
      <c r="Q2040" s="7" t="n">
        <v>45536.90991898148</v>
      </c>
      <c r="R2040" s="3" t="inlineStr">
        <is>
          <t>23.17</t>
        </is>
      </c>
      <c r="S2040" t="inlineStr">
        <is>
          <t>München</t>
        </is>
      </c>
    </row>
    <row r="2041">
      <c r="A2041" s="2" t="n">
        <v>5</v>
      </c>
      <c r="B2041" t="inlineStr">
        <is>
          <t>NEILL PRYDE Zone</t>
        </is>
      </c>
      <c r="C2041" s="3" t="n">
        <v>400</v>
      </c>
      <c r="D2041" s="3" t="n">
        <v>165</v>
      </c>
      <c r="E2041" t="inlineStr"/>
      <c r="F2041" t="inlineStr"/>
      <c r="G2041" t="inlineStr">
        <is>
          <t>repaired</t>
        </is>
      </c>
      <c r="H2041" s="4" t="n">
        <v>95</v>
      </c>
      <c r="I2041" t="inlineStr"/>
      <c r="J2041" t="inlineStr">
        <is>
          <t>65779 Hessen - Kelkheim</t>
        </is>
      </c>
      <c r="K2041" s="5" t="n">
        <v>45528</v>
      </c>
      <c r="L2041" t="inlineStr">
        <is>
          <t>Sold</t>
        </is>
      </c>
      <c r="M2041" s="6">
        <f>HYPERLINK("https://www.kleinanzeigen.de/s-anzeige/neill-pryde-zone-5-0-windsurf-segel/2845258230-230-4813", "Link")</f>
        <v/>
      </c>
      <c r="N2041" s="6">
        <f>HYPERLINK("C:\Projects\Kleinanzeigen-Scraper\offer_images\2845258230", "Link")</f>
        <v/>
      </c>
      <c r="O2041" t="inlineStr">
        <is>
          <t>Jens Rasche</t>
        </is>
      </c>
      <c r="P2041" s="6">
        <f>HYPERLINK("https://www.kleinanzeigen.de/s-bestandsliste.html?userId=25448088", "Link")</f>
        <v/>
      </c>
      <c r="Q2041" s="7" t="n">
        <v>45536.90991898148</v>
      </c>
      <c r="R2041" s="3" t="inlineStr">
        <is>
          <t>127.81</t>
        </is>
      </c>
      <c r="S2041" t="inlineStr">
        <is>
          <t>Karlsruhe</t>
        </is>
      </c>
    </row>
    <row r="2042">
      <c r="A2042" s="2" t="n">
        <v>6.2</v>
      </c>
      <c r="B2042" t="inlineStr">
        <is>
          <t>Northsails e-type</t>
        </is>
      </c>
      <c r="C2042" s="3" t="n">
        <v>430</v>
      </c>
      <c r="D2042" s="3" t="n">
        <v>190</v>
      </c>
      <c r="E2042" t="inlineStr"/>
      <c r="F2042" t="inlineStr">
        <is>
          <t>2017</t>
        </is>
      </c>
      <c r="G2042" t="inlineStr">
        <is>
          <t>used</t>
        </is>
      </c>
      <c r="H2042" s="4" t="n">
        <v>200</v>
      </c>
      <c r="I2042" t="inlineStr"/>
      <c r="J2042" t="inlineStr">
        <is>
          <t>85586 Bayern - Poing</t>
        </is>
      </c>
      <c r="K2042" s="5" t="n">
        <v>45536</v>
      </c>
      <c r="L2042" t="inlineStr">
        <is>
          <t>Sold</t>
        </is>
      </c>
      <c r="M2042" s="6">
        <f>HYPERLINK("https://www.kleinanzeigen.de/s-anzeige/windsurf-segel-northsails-e-type-6-2qm/2851169359-230-5579", "Link")</f>
        <v/>
      </c>
      <c r="N2042" s="6">
        <f>HYPERLINK("C:\Projects\Kleinanzeigen-Scraper\offer_images\2851169359", "Link")</f>
        <v/>
      </c>
      <c r="O2042" t="inlineStr">
        <is>
          <t>Lars</t>
        </is>
      </c>
      <c r="P2042" s="6">
        <f>HYPERLINK("https://www.kleinanzeigen.de/s-bestandsliste.html?userId=84093014", "Link")</f>
        <v/>
      </c>
      <c r="Q2042" s="7" t="n">
        <v>45536.90989583333</v>
      </c>
      <c r="R2042" s="3" t="inlineStr">
        <is>
          <t>17.56</t>
        </is>
      </c>
      <c r="S2042" t="inlineStr">
        <is>
          <t>München</t>
        </is>
      </c>
    </row>
    <row r="2043">
      <c r="A2043" s="2" t="n">
        <v>9.6</v>
      </c>
      <c r="B2043" t="inlineStr">
        <is>
          <t>Loftsails Racing Blade</t>
        </is>
      </c>
      <c r="C2043" s="3" t="n">
        <v>520</v>
      </c>
      <c r="D2043" s="3" t="inlineStr"/>
      <c r="E2043" t="inlineStr"/>
      <c r="F2043" t="inlineStr"/>
      <c r="G2043" t="inlineStr">
        <is>
          <t>used</t>
        </is>
      </c>
      <c r="H2043" s="4" t="inlineStr"/>
      <c r="I2043" t="inlineStr">
        <is>
          <t>VB</t>
        </is>
      </c>
      <c r="J2043" t="inlineStr">
        <is>
          <t>36326 Hessen - Antrifttal</t>
        </is>
      </c>
      <c r="K2043" s="5" t="n">
        <v>45527</v>
      </c>
      <c r="L2043" t="inlineStr"/>
      <c r="M2043" s="6">
        <f>HYPERLINK("https://www.kleinanzeigen.de/s-anzeige/loftsails-racing-blade-9-6-windsurf-segel/2843910661-230-19928", "Link")</f>
        <v/>
      </c>
      <c r="N2043" s="6">
        <f>HYPERLINK("C:\Projects\Kleinanzeigen-Scraper\offer_images\2843910661", "Link")</f>
        <v/>
      </c>
      <c r="O2043" t="inlineStr">
        <is>
          <t>Luigi Coppola</t>
        </is>
      </c>
      <c r="P2043" s="6">
        <f>HYPERLINK("https://www.kleinanzeigen.de/s-bestandsliste.html?userId=46070077", "Link")</f>
        <v/>
      </c>
      <c r="Q2043" s="7" t="n">
        <v>45536.90989583333</v>
      </c>
      <c r="R2043" s="3" t="inlineStr">
        <is>
          <t>157.33</t>
        </is>
      </c>
      <c r="S2043" t="inlineStr">
        <is>
          <t>Köln</t>
        </is>
      </c>
    </row>
    <row r="2044">
      <c r="A2044" s="2" t="n">
        <v>5</v>
      </c>
      <c r="B2044" t="inlineStr">
        <is>
          <t>Duotone Super_Star</t>
        </is>
      </c>
      <c r="C2044" s="3" t="n">
        <v>400</v>
      </c>
      <c r="D2044" s="3" t="inlineStr"/>
      <c r="E2044" t="inlineStr"/>
      <c r="F2044" t="inlineStr">
        <is>
          <t>2022</t>
        </is>
      </c>
      <c r="G2044" t="inlineStr">
        <is>
          <t>used</t>
        </is>
      </c>
      <c r="H2044" s="4" t="n">
        <v>969</v>
      </c>
      <c r="I2044" t="inlineStr">
        <is>
          <t>VB</t>
        </is>
      </c>
      <c r="J2044" t="inlineStr">
        <is>
          <t>26125 Niedersachsen - Oldenburg</t>
        </is>
      </c>
      <c r="K2044" s="5" t="n">
        <v>45534</v>
      </c>
      <c r="L2044" t="inlineStr">
        <is>
          <t>Sold</t>
        </is>
      </c>
      <c r="M2044" s="6">
        <f>HYPERLINK("https://www.kleinanzeigen.de/s-anzeige/duotone-windsurf-segel-super-star-2022-5-0-qm/2849954532-230-3111", "Link")</f>
        <v/>
      </c>
      <c r="N2044" s="6">
        <f>HYPERLINK("C:\Projects\Kleinanzeigen-Scraper\offer_images\2849954532", "Link")</f>
        <v/>
      </c>
      <c r="O2044" t="inlineStr">
        <is>
          <t>No user name</t>
        </is>
      </c>
      <c r="P2044" s="6">
        <f>HYPERLINK("https://www.kleinanzeigen.deNo user link", "Link")</f>
        <v/>
      </c>
      <c r="Q2044" s="7" t="n">
        <v>45536.90987268519</v>
      </c>
      <c r="R2044" s="3" t="inlineStr">
        <is>
          <t>264.10</t>
        </is>
      </c>
      <c r="S2044" t="inlineStr">
        <is>
          <t>Köln</t>
        </is>
      </c>
    </row>
    <row r="2045">
      <c r="A2045" s="2" t="n">
        <v>5</v>
      </c>
      <c r="B2045" t="inlineStr">
        <is>
          <t>Aquata</t>
        </is>
      </c>
      <c r="C2045" s="3" t="n">
        <v>465</v>
      </c>
      <c r="D2045" s="3" t="n">
        <v>170</v>
      </c>
      <c r="E2045" t="inlineStr"/>
      <c r="F2045" t="inlineStr"/>
      <c r="G2045" t="inlineStr">
        <is>
          <t>used</t>
        </is>
      </c>
      <c r="H2045" s="4" t="n">
        <v>125</v>
      </c>
      <c r="I2045" t="inlineStr">
        <is>
          <t>VB</t>
        </is>
      </c>
      <c r="J2045" t="inlineStr">
        <is>
          <t>45699 Nordrhein-Westfalen - Herten</t>
        </is>
      </c>
      <c r="K2045" s="5" t="n">
        <v>45529</v>
      </c>
      <c r="L2045" t="inlineStr">
        <is>
          <t>Sold</t>
        </is>
      </c>
      <c r="M2045" s="6">
        <f>HYPERLINK("https://www.kleinanzeigen.de/s-anzeige/aquata-5-0-windsurf-segel/2845893539-230-1832", "Link")</f>
        <v/>
      </c>
      <c r="N2045" s="6">
        <f>HYPERLINK("C:\Projects\Kleinanzeigen-Scraper\offer_images\2845893539", "Link")</f>
        <v/>
      </c>
      <c r="O2045" t="inlineStr">
        <is>
          <t>V.P.</t>
        </is>
      </c>
      <c r="P2045" s="6">
        <f>HYPERLINK("https://www.kleinanzeigen.de/s-bestandsliste.html?userId=10829434", "Link")</f>
        <v/>
      </c>
      <c r="Q2045" s="7" t="n">
        <v>45536.90987268519</v>
      </c>
      <c r="R2045" s="3" t="inlineStr">
        <is>
          <t>73.42</t>
        </is>
      </c>
      <c r="S2045" t="inlineStr">
        <is>
          <t>Köln</t>
        </is>
      </c>
    </row>
    <row r="2046">
      <c r="A2046" s="2" t="n">
        <v>4.6</v>
      </c>
      <c r="B2046" t="inlineStr">
        <is>
          <t>Gun Sails Blow</t>
        </is>
      </c>
      <c r="C2046" s="3" t="inlineStr"/>
      <c r="D2046" s="3" t="inlineStr"/>
      <c r="E2046" t="inlineStr"/>
      <c r="F2046" t="inlineStr"/>
      <c r="G2046" t="inlineStr">
        <is>
          <t>used</t>
        </is>
      </c>
      <c r="H2046" s="4" t="n">
        <v>99</v>
      </c>
      <c r="I2046" t="inlineStr"/>
      <c r="J2046" t="inlineStr">
        <is>
          <t>86947 Bayern - Weil a. Lech</t>
        </is>
      </c>
      <c r="K2046" s="5" t="n">
        <v>45536</v>
      </c>
      <c r="L2046" t="inlineStr">
        <is>
          <t>Sold</t>
        </is>
      </c>
      <c r="M2046" s="6">
        <f>HYPERLINK("https://www.kleinanzeigen.de/s-anzeige/windsurfen-verk-segel-4-6-qm-gunsails/2851639049-230-7079", "Link")</f>
        <v/>
      </c>
      <c r="N2046" s="6">
        <f>HYPERLINK("C:\Projects\Kleinanzeigen-Scraper\offer_images\2851639049", "Link")</f>
        <v/>
      </c>
      <c r="O2046" t="inlineStr">
        <is>
          <t>keinen</t>
        </is>
      </c>
      <c r="P2046" s="6">
        <f>HYPERLINK("https://www.kleinanzeigen.de/s-bestandsliste.html?userId=21481818", "Link")</f>
        <v/>
      </c>
      <c r="Q2046" s="7" t="n">
        <v>45536.90984953703</v>
      </c>
      <c r="R2046" s="3" t="inlineStr">
        <is>
          <t>48.17</t>
        </is>
      </c>
      <c r="S2046" t="inlineStr">
        <is>
          <t>München</t>
        </is>
      </c>
    </row>
    <row r="2047">
      <c r="A2047" s="2" t="n">
        <v>6.9</v>
      </c>
      <c r="B2047" t="inlineStr">
        <is>
          <t>Neil Pryde Expression</t>
        </is>
      </c>
      <c r="C2047" s="3" t="n">
        <v>460</v>
      </c>
      <c r="D2047" s="3" t="n">
        <v>196</v>
      </c>
      <c r="E2047" t="inlineStr"/>
      <c r="F2047" t="inlineStr"/>
      <c r="G2047" t="inlineStr">
        <is>
          <t>repaired</t>
        </is>
      </c>
      <c r="H2047" s="4" t="n">
        <v>30</v>
      </c>
      <c r="I2047" t="inlineStr">
        <is>
          <t>VB</t>
        </is>
      </c>
      <c r="J2047" t="inlineStr">
        <is>
          <t>40882 Nordrhein-Westfalen - Ratingen</t>
        </is>
      </c>
      <c r="K2047" s="5" t="n">
        <v>45526</v>
      </c>
      <c r="L2047" t="inlineStr">
        <is>
          <t>Sold</t>
        </is>
      </c>
      <c r="M2047" s="6">
        <f>HYPERLINK("https://www.kleinanzeigen.de/s-anzeige/neil-pryde-windsurf-segel-6-9-expression/2843220598-230-1780", "Link")</f>
        <v/>
      </c>
      <c r="N2047" s="6">
        <f>HYPERLINK("C:\Projects\Kleinanzeigen-Scraper\offer_images\2843220598", "Link")</f>
        <v/>
      </c>
      <c r="O2047" t="inlineStr">
        <is>
          <t>hötzel</t>
        </is>
      </c>
      <c r="P2047" s="6">
        <f>HYPERLINK("https://www.kleinanzeigen.de/s-bestandsliste.html?userId=17509919", "Link")</f>
        <v/>
      </c>
      <c r="Q2047" s="7" t="n">
        <v>45536.90982638889</v>
      </c>
      <c r="R2047" s="3" t="inlineStr">
        <is>
          <t>40.33</t>
        </is>
      </c>
      <c r="S2047" t="inlineStr">
        <is>
          <t>Köln</t>
        </is>
      </c>
    </row>
    <row r="2048">
      <c r="A2048" s="2" t="n">
        <v>8.199999999999999</v>
      </c>
      <c r="B2048" t="inlineStr">
        <is>
          <t>Neilpryde V8</t>
        </is>
      </c>
      <c r="C2048" s="3" t="inlineStr"/>
      <c r="D2048" s="3" t="inlineStr"/>
      <c r="E2048" t="inlineStr">
        <is>
          <t>Freerace</t>
        </is>
      </c>
      <c r="F2048" t="inlineStr">
        <is>
          <t>2022</t>
        </is>
      </c>
      <c r="G2048" t="inlineStr">
        <is>
          <t>used</t>
        </is>
      </c>
      <c r="H2048" s="4" t="n">
        <v>399</v>
      </c>
      <c r="I2048" t="inlineStr">
        <is>
          <t>VB</t>
        </is>
      </c>
      <c r="J2048" t="inlineStr">
        <is>
          <t>24966 Schleswig-Holstein - Sörup</t>
        </is>
      </c>
      <c r="K2048" s="5" t="n">
        <v>45530</v>
      </c>
      <c r="L2048" t="inlineStr"/>
      <c r="M2048" s="6">
        <f>HYPERLINK("https://www.kleinanzeigen.de/s-anzeige/neilpryde-v8-8-2-2022-freerace-surfsegel-windsurfen-8-2-np/2846770576-230-731", "Link")</f>
        <v/>
      </c>
      <c r="N2048" s="6">
        <f>HYPERLINK("C:\Projects\Kleinanzeigen-Scraper\offer_images\2846770576", "Link")</f>
        <v/>
      </c>
      <c r="O2048" t="inlineStr">
        <is>
          <t>Julian</t>
        </is>
      </c>
      <c r="P2048" s="6">
        <f>HYPERLINK("https://www.kleinanzeigen.de/s-bestandsliste.html?userId=12703429", "Link")</f>
        <v/>
      </c>
      <c r="Q2048" s="7" t="n">
        <v>45536.90981481481</v>
      </c>
      <c r="R2048" s="3" t="inlineStr">
        <is>
          <t>459.16</t>
        </is>
      </c>
      <c r="S2048" t="inlineStr">
        <is>
          <t>Köln</t>
        </is>
      </c>
    </row>
    <row r="2049">
      <c r="A2049" s="2" t="n">
        <v>5.7</v>
      </c>
      <c r="B2049" t="inlineStr">
        <is>
          <t>Gunsails</t>
        </is>
      </c>
      <c r="C2049" s="3" t="n">
        <v>452</v>
      </c>
      <c r="D2049" s="3" t="n">
        <v>183</v>
      </c>
      <c r="E2049" t="inlineStr"/>
      <c r="F2049" t="inlineStr">
        <is>
          <t>2022</t>
        </is>
      </c>
      <c r="G2049" t="inlineStr">
        <is>
          <t>used</t>
        </is>
      </c>
      <c r="H2049" s="4" t="n">
        <v>40</v>
      </c>
      <c r="I2049" t="inlineStr">
        <is>
          <t>VB</t>
        </is>
      </c>
      <c r="J2049" t="inlineStr">
        <is>
          <t>13503 Berlin - Reinickendorf</t>
        </is>
      </c>
      <c r="K2049" s="5" t="n">
        <v>45535</v>
      </c>
      <c r="L2049" t="inlineStr">
        <is>
          <t>Sold</t>
        </is>
      </c>
      <c r="M2049" s="6">
        <f>HYPERLINK("https://www.kleinanzeigen.de/s-anzeige/windsurf-segel-gunsails-5-7/2850533982-230-3451", "Link")</f>
        <v/>
      </c>
      <c r="N2049" s="6">
        <f>HYPERLINK("C:\Projects\Kleinanzeigen-Scraper\offer_images\2850533982", "Link")</f>
        <v/>
      </c>
      <c r="O2049" t="inlineStr">
        <is>
          <t>Martina Krautwedel</t>
        </is>
      </c>
      <c r="P2049" s="6">
        <f>HYPERLINK("https://www.kleinanzeigen.de/s-bestandsliste.html?userId=13110069", "Link")</f>
        <v/>
      </c>
      <c r="Q2049" s="7" t="n">
        <v>45536.90980324074</v>
      </c>
      <c r="R2049" s="3" t="inlineStr">
        <is>
          <t>470.67</t>
        </is>
      </c>
      <c r="S2049" t="inlineStr">
        <is>
          <t>Köln</t>
        </is>
      </c>
    </row>
    <row r="2050">
      <c r="A2050" s="2" t="n">
        <v>7.8</v>
      </c>
      <c r="B2050" t="inlineStr">
        <is>
          <t>NPU Comfort Wing</t>
        </is>
      </c>
      <c r="C2050" s="3" t="n">
        <v>220</v>
      </c>
      <c r="D2050" s="3" t="inlineStr"/>
      <c r="E2050" t="inlineStr"/>
      <c r="F2050" t="inlineStr"/>
      <c r="G2050" t="inlineStr">
        <is>
          <t>used</t>
        </is>
      </c>
      <c r="H2050" s="4" t="n">
        <v>30</v>
      </c>
      <c r="I2050" t="inlineStr">
        <is>
          <t>VB</t>
        </is>
      </c>
      <c r="J2050" t="inlineStr">
        <is>
          <t>86836 Bayern - Obermeitingen</t>
        </is>
      </c>
      <c r="K2050" s="5" t="n">
        <v>45535</v>
      </c>
      <c r="L2050" t="inlineStr">
        <is>
          <t>Sold</t>
        </is>
      </c>
      <c r="M2050" s="6">
        <f>HYPERLINK("https://www.kleinanzeigen.de/s-anzeige/surfsegel-windsurfen-segel-npu-comfort-wing-7-8-qm/2850944379-230-21620", "Link")</f>
        <v/>
      </c>
      <c r="N2050" s="6">
        <f>HYPERLINK("C:\Projects\Kleinanzeigen-Scraper\offer_images\2850944379", "Link")</f>
        <v/>
      </c>
      <c r="O2050" t="inlineStr">
        <is>
          <t>S.S.</t>
        </is>
      </c>
      <c r="P2050" s="6">
        <f>HYPERLINK("https://www.kleinanzeigen.de/s-bestandsliste.html?userId=43228008", "Link")</f>
        <v/>
      </c>
      <c r="Q2050" s="7" t="n">
        <v>45536.90979166667</v>
      </c>
      <c r="R2050" s="3" t="inlineStr">
        <is>
          <t>56.88</t>
        </is>
      </c>
      <c r="S2050" t="inlineStr">
        <is>
          <t>München</t>
        </is>
      </c>
    </row>
    <row r="2051">
      <c r="A2051" s="2" t="n">
        <v>8.699999999999999</v>
      </c>
      <c r="B2051" t="inlineStr">
        <is>
          <t>KASails</t>
        </is>
      </c>
      <c r="C2051" s="3" t="n">
        <v>5.08</v>
      </c>
      <c r="D2051" s="3" t="n">
        <v>229</v>
      </c>
      <c r="E2051" t="inlineStr">
        <is>
          <t>Race/Slalom</t>
        </is>
      </c>
      <c r="F2051" t="inlineStr"/>
      <c r="G2051" t="inlineStr">
        <is>
          <t>used</t>
        </is>
      </c>
      <c r="H2051" s="4" t="n">
        <v>129</v>
      </c>
      <c r="I2051" t="inlineStr">
        <is>
          <t>VB</t>
        </is>
      </c>
      <c r="J2051" t="inlineStr">
        <is>
          <t>59519 Nordrhein-Westfalen - Möhnesee</t>
        </is>
      </c>
      <c r="K2051" s="5" t="n">
        <v>45528</v>
      </c>
      <c r="L2051" t="inlineStr">
        <is>
          <t>Sold</t>
        </is>
      </c>
      <c r="M2051" s="6">
        <f>HYPERLINK("https://www.kleinanzeigen.de/s-anzeige/windsurf-race-slalom-segel-8-7-qm-kasails/2845172750-230-1455", "Link")</f>
        <v/>
      </c>
      <c r="N2051" s="6">
        <f>HYPERLINK("C:\Projects\Kleinanzeigen-Scraper\offer_images\2845172750", "Link")</f>
        <v/>
      </c>
      <c r="O2051" t="inlineStr">
        <is>
          <t>Christian Bach</t>
        </is>
      </c>
      <c r="P2051" s="6">
        <f>HYPERLINK("https://www.kleinanzeigen.de/s-bestandsliste.html?userId=51095053", "Link")</f>
        <v/>
      </c>
      <c r="Q2051" s="7" t="n">
        <v>45536.90979166667</v>
      </c>
      <c r="R2051" s="3" t="inlineStr">
        <is>
          <t>101.02</t>
        </is>
      </c>
      <c r="S2051" t="inlineStr">
        <is>
          <t>Köln</t>
        </is>
      </c>
    </row>
    <row r="2052">
      <c r="A2052" s="2" t="n">
        <v>8.5</v>
      </c>
      <c r="B2052" t="inlineStr">
        <is>
          <t>Ezzy Lion 3</t>
        </is>
      </c>
      <c r="C2052" s="3" t="n">
        <v>490</v>
      </c>
      <c r="D2052" s="3" t="inlineStr">
        <is>
          <t>223-229</t>
        </is>
      </c>
      <c r="E2052" t="inlineStr"/>
      <c r="F2052" t="inlineStr">
        <is>
          <t>2016 or 2017</t>
        </is>
      </c>
      <c r="G2052" t="inlineStr">
        <is>
          <t>repaired</t>
        </is>
      </c>
      <c r="H2052" s="4" t="n">
        <v>250</v>
      </c>
      <c r="I2052" t="inlineStr">
        <is>
          <t>VB</t>
        </is>
      </c>
      <c r="J2052" t="inlineStr">
        <is>
          <t>48145 Münster (Westfalen) - Centrum</t>
        </is>
      </c>
      <c r="K2052" s="5" t="n">
        <v>45542</v>
      </c>
      <c r="L2052" t="inlineStr"/>
      <c r="M2052" s="6">
        <f>HYPERLINK("https://www.kleinanzeigen.de/s-anzeige/8-5-ezzy-lion-3-windsurfsegel/2851763545-230-932", "Link")</f>
        <v/>
      </c>
      <c r="N2052" s="6">
        <f>HYPERLINK("C:\Projects\Kleinanzeigen-Scraper\offer_images\2851763545", "Link")</f>
        <v/>
      </c>
      <c r="O2052" t="inlineStr">
        <is>
          <t>Alessandro De Angelis</t>
        </is>
      </c>
      <c r="P2052" s="6">
        <f>HYPERLINK("https://www.kleinanzeigen.de/s-bestandsliste.html?userId=32387325", "Link")</f>
        <v/>
      </c>
      <c r="Q2052" s="7" t="n">
        <v>45536.90976851852</v>
      </c>
      <c r="R2052" s="3" t="inlineStr">
        <is>
          <t>124.19</t>
        </is>
      </c>
      <c r="S2052" t="inlineStr">
        <is>
          <t>Köln</t>
        </is>
      </c>
    </row>
    <row r="2053">
      <c r="A2053" s="2" t="n">
        <v>3.7</v>
      </c>
      <c r="B2053" t="inlineStr">
        <is>
          <t>Naish Ripper</t>
        </is>
      </c>
      <c r="C2053" s="3" t="n">
        <v>350</v>
      </c>
      <c r="D2053" s="3" t="inlineStr"/>
      <c r="E2053" t="inlineStr"/>
      <c r="F2053" t="inlineStr"/>
      <c r="G2053" t="inlineStr">
        <is>
          <t>used</t>
        </is>
      </c>
      <c r="H2053" s="4" t="n">
        <v>200</v>
      </c>
      <c r="I2053" t="inlineStr">
        <is>
          <t>VB</t>
        </is>
      </c>
      <c r="J2053" t="inlineStr">
        <is>
          <t>81929 München - Bogenhausen</t>
        </is>
      </c>
      <c r="K2053" s="5" t="n">
        <v>45527</v>
      </c>
      <c r="L2053" t="inlineStr">
        <is>
          <t>Sold</t>
        </is>
      </c>
      <c r="M2053" s="6">
        <f>HYPERLINK("https://www.kleinanzeigen.de/s-anzeige/windsurf-segel-3-7-naish-ripper-kinder/2844010759-230-6526", "Link")</f>
        <v/>
      </c>
      <c r="N2053" s="6">
        <f>HYPERLINK("C:\Projects\Kleinanzeigen-Scraper\offer_images\2844010759", "Link")</f>
        <v/>
      </c>
      <c r="O2053" t="inlineStr">
        <is>
          <t>Michael Rathgeber</t>
        </is>
      </c>
      <c r="P2053" s="6">
        <f>HYPERLINK("https://www.kleinanzeigen.de/s-bestandsliste.html?userId=18266806", "Link")</f>
        <v/>
      </c>
      <c r="Q2053" s="7" t="n">
        <v>45536.90976851852</v>
      </c>
      <c r="R2053" s="3" t="inlineStr">
        <is>
          <t>6.89</t>
        </is>
      </c>
      <c r="S2053" t="inlineStr">
        <is>
          <t>München</t>
        </is>
      </c>
    </row>
    <row r="2054">
      <c r="A2054" s="2" t="n">
        <v>4.7</v>
      </c>
      <c r="B2054" t="inlineStr">
        <is>
          <t>NeilPryde Combat Pro</t>
        </is>
      </c>
      <c r="C2054" s="3" t="n">
        <v>370</v>
      </c>
      <c r="D2054" s="3" t="n">
        <v>175</v>
      </c>
      <c r="E2054" t="inlineStr">
        <is>
          <t>Wave</t>
        </is>
      </c>
      <c r="F2054" t="inlineStr">
        <is>
          <t>2023</t>
        </is>
      </c>
      <c r="G2054" t="inlineStr">
        <is>
          <t>new</t>
        </is>
      </c>
      <c r="H2054" s="4" t="n">
        <v>580</v>
      </c>
      <c r="I2054" t="inlineStr"/>
      <c r="J2054" t="inlineStr">
        <is>
          <t>82319 Bayern - Starnberg</t>
        </is>
      </c>
      <c r="K2054" s="5" t="n">
        <v>45557</v>
      </c>
      <c r="L2054" t="inlineStr"/>
      <c r="M2054" s="6">
        <f>HYPERLINK("https://www.kleinanzeigen.de/s-anzeige/neilpryde-combat-pro-orange-blue-4-7qm-2023-neu-windsurf-segel/2481393579-230-5525", "Link")</f>
        <v/>
      </c>
      <c r="N2054" s="6">
        <f>HYPERLINK("C:\Projects\Kleinanzeigen-Scraper\offer_images\2481393579", "Link")</f>
        <v/>
      </c>
      <c r="O2054" t="inlineStr">
        <is>
          <t>No user name</t>
        </is>
      </c>
      <c r="P2054" s="6">
        <f>HYPERLINK("https://www.kleinanzeigen.deNo user link", "Link")</f>
        <v/>
      </c>
      <c r="Q2054" s="7" t="n">
        <v>45536.90974537037</v>
      </c>
      <c r="R2054" s="3" t="inlineStr">
        <is>
          <t>23.17</t>
        </is>
      </c>
      <c r="S2054" t="inlineStr">
        <is>
          <t>München</t>
        </is>
      </c>
    </row>
    <row r="2055">
      <c r="A2055" s="2" t="n">
        <v>5</v>
      </c>
      <c r="B2055" t="inlineStr">
        <is>
          <t>Gaastra Charger</t>
        </is>
      </c>
      <c r="C2055" s="3" t="n">
        <v>4.27</v>
      </c>
      <c r="D2055" s="3" t="n">
        <v>1.73</v>
      </c>
      <c r="E2055" t="inlineStr"/>
      <c r="F2055" t="inlineStr"/>
      <c r="G2055" t="inlineStr">
        <is>
          <t>used</t>
        </is>
      </c>
      <c r="H2055" s="4" t="n">
        <v>100</v>
      </c>
      <c r="I2055" t="inlineStr">
        <is>
          <t>VB</t>
        </is>
      </c>
      <c r="J2055" t="inlineStr">
        <is>
          <t>52078 Aachen - Aachen-Brand</t>
        </is>
      </c>
      <c r="K2055" s="5" t="n">
        <v>45526</v>
      </c>
      <c r="L2055" t="inlineStr">
        <is>
          <t>Sold</t>
        </is>
      </c>
      <c r="M2055" s="6">
        <f>HYPERLINK("https://www.kleinanzeigen.de/s-anzeige/gaastra-charger-5-0-segel-sail-windsurf/2843173116-230-1926", "Link")</f>
        <v/>
      </c>
      <c r="N2055" s="6">
        <f>HYPERLINK("C:\Projects\Kleinanzeigen-Scraper\offer_images\2843173116", "Link")</f>
        <v/>
      </c>
      <c r="O2055" t="inlineStr">
        <is>
          <t>René</t>
        </is>
      </c>
      <c r="P2055" s="6">
        <f>HYPERLINK("https://www.kleinanzeigen.de/s-bestandsliste.html?userId=10274328", "Link")</f>
        <v/>
      </c>
      <c r="Q2055" s="7" t="n">
        <v>45536.90974537037</v>
      </c>
      <c r="R2055" s="3" t="inlineStr">
        <is>
          <t>59.31</t>
        </is>
      </c>
      <c r="S2055" t="inlineStr">
        <is>
          <t>Köln</t>
        </is>
      </c>
    </row>
    <row r="2056">
      <c r="A2056" s="2" t="n">
        <v>4.8</v>
      </c>
      <c r="B2056" t="inlineStr">
        <is>
          <t>Neilpryde Wizard</t>
        </is>
      </c>
      <c r="C2056" s="3" t="n">
        <v>400</v>
      </c>
      <c r="D2056" s="3" t="n">
        <v>156</v>
      </c>
      <c r="E2056" t="inlineStr">
        <is>
          <t>Freestyle</t>
        </is>
      </c>
      <c r="F2056" t="inlineStr"/>
      <c r="G2056" t="inlineStr">
        <is>
          <t>used</t>
        </is>
      </c>
      <c r="H2056" s="4" t="n">
        <v>280</v>
      </c>
      <c r="I2056" t="inlineStr"/>
      <c r="J2056" t="inlineStr">
        <is>
          <t>18435 Mecklenburg-Vorpommern - Stralsund</t>
        </is>
      </c>
      <c r="K2056" s="5" t="n">
        <v>45535</v>
      </c>
      <c r="L2056" t="inlineStr"/>
      <c r="M2056" s="6">
        <f>HYPERLINK("https://www.kleinanzeigen.de/s-anzeige/neilpryde-wizard-4-8-windsurf-freestyle-segel/2851020958-230-134", "Link")</f>
        <v/>
      </c>
      <c r="N2056" s="6">
        <f>HYPERLINK("C:\Projects\Kleinanzeigen-Scraper\offer_images\2851020958", "Link")</f>
        <v/>
      </c>
      <c r="O2056" t="inlineStr">
        <is>
          <t>Tom</t>
        </is>
      </c>
      <c r="P2056" s="6">
        <f>HYPERLINK("https://www.kleinanzeigen.de/s-bestandsliste.html?userId=121691354", "Link")</f>
        <v/>
      </c>
      <c r="Q2056" s="7" t="n">
        <v>45536.90972222222</v>
      </c>
      <c r="R2056" s="3" t="inlineStr">
        <is>
          <t>558.68</t>
        </is>
      </c>
      <c r="S2056" t="inlineStr">
        <is>
          <t>Köln</t>
        </is>
      </c>
    </row>
    <row r="2057">
      <c r="A2057" s="2" t="n">
        <v>4.6</v>
      </c>
      <c r="B2057" t="inlineStr">
        <is>
          <t>The Gun Speed Slalom</t>
        </is>
      </c>
      <c r="C2057" s="3" t="inlineStr">
        <is>
          <t>4.33-4.50</t>
        </is>
      </c>
      <c r="D2057" s="3" t="n">
        <v>1.58</v>
      </c>
      <c r="E2057" t="inlineStr">
        <is>
          <t>Slalom</t>
        </is>
      </c>
      <c r="F2057" t="inlineStr"/>
      <c r="G2057" t="inlineStr">
        <is>
          <t>used</t>
        </is>
      </c>
      <c r="H2057" s="4" t="n">
        <v>30</v>
      </c>
      <c r="I2057" t="inlineStr">
        <is>
          <t>VB</t>
        </is>
      </c>
      <c r="J2057" t="inlineStr">
        <is>
          <t>14974 Brandenburg - Ludwigsfelde</t>
        </is>
      </c>
      <c r="K2057" s="5" t="n">
        <v>45536</v>
      </c>
      <c r="L2057" t="inlineStr">
        <is>
          <t>Sold</t>
        </is>
      </c>
      <c r="M2057" s="6">
        <f>HYPERLINK("https://www.kleinanzeigen.de/s-anzeige/segel-the-gun-speed-slalom-4-6-m-windsurfen/2851269376-230-7793", "Link")</f>
        <v/>
      </c>
      <c r="N2057" s="6">
        <f>HYPERLINK("C:\Projects\Kleinanzeigen-Scraper\offer_images\2851269376", "Link")</f>
        <v/>
      </c>
      <c r="O2057" t="inlineStr">
        <is>
          <t>Stefan Knöfel</t>
        </is>
      </c>
      <c r="P2057" s="6">
        <f>HYPERLINK("https://www.kleinanzeigen.de/s-bestandsliste.html?userId=70780820", "Link")</f>
        <v/>
      </c>
      <c r="Q2057" s="7" t="n">
        <v>45536.90972222222</v>
      </c>
      <c r="R2057" s="3" t="inlineStr">
        <is>
          <t>459.86</t>
        </is>
      </c>
      <c r="S2057" t="inlineStr">
        <is>
          <t>Köln</t>
        </is>
      </c>
    </row>
    <row r="2058">
      <c r="A2058" s="2" t="n">
        <v>8.4</v>
      </c>
      <c r="B2058" t="inlineStr">
        <is>
          <t>Neilpride RS Slalom MK II</t>
        </is>
      </c>
      <c r="C2058" s="3" t="n">
        <v>490</v>
      </c>
      <c r="D2058" s="3" t="n">
        <v>222</v>
      </c>
      <c r="E2058" t="inlineStr">
        <is>
          <t>Slalom</t>
        </is>
      </c>
      <c r="F2058" t="inlineStr">
        <is>
          <t>2008</t>
        </is>
      </c>
      <c r="G2058" t="inlineStr"/>
      <c r="H2058" s="4" t="n">
        <v>99</v>
      </c>
      <c r="I2058" t="inlineStr"/>
      <c r="J2058" t="inlineStr">
        <is>
          <t>22455 Eimsbüttel - Hamburg Niendorf</t>
        </is>
      </c>
      <c r="K2058" s="5" t="n">
        <v>45526</v>
      </c>
      <c r="L2058" t="inlineStr">
        <is>
          <t>Sold</t>
        </is>
      </c>
      <c r="M2058" s="6">
        <f>HYPERLINK("https://www.kleinanzeigen.de/s-anzeige/windsurf-segel-neilpride-rs-slalom-mk-ii-8-4/2843486828-230-9491", "Link")</f>
        <v/>
      </c>
      <c r="N2058" s="6">
        <f>HYPERLINK("C:\Projects\Kleinanzeigen-Scraper\offer_images\2843486828", "Link")</f>
        <v/>
      </c>
      <c r="O2058" t="inlineStr">
        <is>
          <t>Axel R. Bauer</t>
        </is>
      </c>
      <c r="P2058" s="6">
        <f>HYPERLINK("https://www.kleinanzeigen.de/s-bestandsliste.html?userId=81247638", "Link")</f>
        <v/>
      </c>
      <c r="Q2058" s="7" t="n">
        <v>45536.90969907407</v>
      </c>
      <c r="R2058" s="3" t="inlineStr">
        <is>
          <t>363.13</t>
        </is>
      </c>
      <c r="S2058" t="inlineStr">
        <is>
          <t>Köln</t>
        </is>
      </c>
    </row>
    <row r="2059">
      <c r="A2059" s="2" t="n">
        <v>5.4</v>
      </c>
      <c r="B2059" t="inlineStr">
        <is>
          <t>Northsails ID</t>
        </is>
      </c>
      <c r="C2059" s="3" t="n">
        <v>430</v>
      </c>
      <c r="D2059" s="3" t="n">
        <v>179</v>
      </c>
      <c r="E2059" t="inlineStr"/>
      <c r="F2059" t="inlineStr">
        <is>
          <t>2013</t>
        </is>
      </c>
      <c r="G2059" t="inlineStr">
        <is>
          <t>used</t>
        </is>
      </c>
      <c r="H2059" s="4" t="n">
        <v>15</v>
      </c>
      <c r="I2059" t="inlineStr"/>
      <c r="J2059" t="inlineStr">
        <is>
          <t>34121 Hessen - Kassel</t>
        </is>
      </c>
      <c r="K2059" s="5" t="n">
        <v>45536</v>
      </c>
      <c r="L2059" t="inlineStr">
        <is>
          <t>Sold</t>
        </is>
      </c>
      <c r="M2059" s="6">
        <f>HYPERLINK("https://www.kleinanzeigen.de/s-anzeige/northsails-id-5-4-windsurf-segel/2851367392-230-4924", "Link")</f>
        <v/>
      </c>
      <c r="N2059" s="6">
        <f>HYPERLINK("C:\Projects\Kleinanzeigen-Scraper\offer_images\2851367392", "Link")</f>
        <v/>
      </c>
      <c r="O2059" t="inlineStr">
        <is>
          <t>Johannes Rützel</t>
        </is>
      </c>
      <c r="P2059" s="6">
        <f>HYPERLINK("https://www.kleinanzeigen.de/s-bestandsliste.html?userId=73982335", "Link")</f>
        <v/>
      </c>
      <c r="Q2059" s="7" t="n">
        <v>45536.9096875</v>
      </c>
      <c r="R2059" s="3" t="inlineStr">
        <is>
          <t>180.90</t>
        </is>
      </c>
      <c r="S2059" t="inlineStr">
        <is>
          <t>Köln</t>
        </is>
      </c>
    </row>
    <row r="2060">
      <c r="A2060" s="2" t="n">
        <v>7.2</v>
      </c>
      <c r="B2060" t="inlineStr">
        <is>
          <t>Arrows Craze</t>
        </is>
      </c>
      <c r="C2060" s="3" t="n">
        <v>430</v>
      </c>
      <c r="D2060" s="3" t="inlineStr"/>
      <c r="E2060" t="inlineStr"/>
      <c r="F2060" t="inlineStr"/>
      <c r="G2060" t="inlineStr">
        <is>
          <t>repaired</t>
        </is>
      </c>
      <c r="H2060" s="4" t="n">
        <v>50</v>
      </c>
      <c r="I2060" t="inlineStr">
        <is>
          <t>VB</t>
        </is>
      </c>
      <c r="J2060" t="inlineStr">
        <is>
          <t>13597 Berlin - Spandau</t>
        </is>
      </c>
      <c r="K2060" s="5" t="n">
        <v>45534</v>
      </c>
      <c r="L2060" t="inlineStr">
        <is>
          <t>Sold</t>
        </is>
      </c>
      <c r="M2060" s="6">
        <f>HYPERLINK("https://www.kleinanzeigen.de/s-anzeige/windsurf-segel-7-2-arrows-craze-freeride/2850280094-230-3431", "Link")</f>
        <v/>
      </c>
      <c r="N2060" s="6">
        <f>HYPERLINK("C:\Projects\Kleinanzeigen-Scraper\offer_images\2850280094", "Link")</f>
        <v/>
      </c>
      <c r="O2060" t="inlineStr">
        <is>
          <t>Tobias</t>
        </is>
      </c>
      <c r="P2060" s="6">
        <f>HYPERLINK("https://www.kleinanzeigen.de/s-bestandsliste.html?userId=33453558", "Link")</f>
        <v/>
      </c>
      <c r="Q2060" s="7" t="n">
        <v>45536.9096875</v>
      </c>
      <c r="R2060" s="3" t="inlineStr">
        <is>
          <t>465.78</t>
        </is>
      </c>
      <c r="S2060" t="inlineStr">
        <is>
          <t>Köln</t>
        </is>
      </c>
    </row>
    <row r="2061">
      <c r="A2061" s="2" t="inlineStr">
        <is>
          <t>3.3, 3.7, 4.0, 4.5, 4.7</t>
        </is>
      </c>
      <c r="B2061" t="inlineStr">
        <is>
          <t>Neilpryde Combat HD</t>
        </is>
      </c>
      <c r="C2061" s="3" t="inlineStr"/>
      <c r="D2061" s="3" t="inlineStr"/>
      <c r="E2061" t="inlineStr"/>
      <c r="F2061" t="inlineStr"/>
      <c r="G2061" t="inlineStr">
        <is>
          <t>used</t>
        </is>
      </c>
      <c r="H2061" s="4" t="n">
        <v>200</v>
      </c>
      <c r="I2061" t="inlineStr"/>
      <c r="J2061" t="inlineStr">
        <is>
          <t>24114 Schleswig-Holstein - Kiel</t>
        </is>
      </c>
      <c r="K2061" s="5" t="n">
        <v>45525</v>
      </c>
      <c r="L2061" t="inlineStr">
        <is>
          <t>Sold</t>
        </is>
      </c>
      <c r="M2061" s="6">
        <f>HYPERLINK("https://www.kleinanzeigen.de/s-anzeige/neilpryde-combat-hd-3-3-3-7-4-0-4-5-4-7-windsurf-segel/2842950980-230-697", "Link")</f>
        <v/>
      </c>
      <c r="N2061" s="6">
        <f>HYPERLINK("C:\Projects\Kleinanzeigen-Scraper\offer_images\2842950980", "Link")</f>
        <v/>
      </c>
      <c r="O2061" t="inlineStr">
        <is>
          <t>Jan B.</t>
        </is>
      </c>
      <c r="P2061" s="6">
        <f>HYPERLINK("https://www.kleinanzeigen.de/s-bestandsliste.html?userId=62021960", "Link")</f>
        <v/>
      </c>
      <c r="Q2061" s="7" t="n">
        <v>45536.90967592593</v>
      </c>
      <c r="R2061" s="3" t="inlineStr">
        <is>
          <t>431.59</t>
        </is>
      </c>
      <c r="S2061" t="inlineStr">
        <is>
          <t>Köln</t>
        </is>
      </c>
    </row>
    <row r="2062">
      <c r="A2062" s="2" t="n">
        <v>4.9</v>
      </c>
      <c r="B2062" t="inlineStr">
        <is>
          <t>FIVE STAR</t>
        </is>
      </c>
      <c r="C2062" s="3" t="n">
        <v>4.4</v>
      </c>
      <c r="D2062" s="3" t="n">
        <v>155</v>
      </c>
      <c r="E2062" t="inlineStr"/>
      <c r="F2062" t="inlineStr"/>
      <c r="G2062" t="inlineStr">
        <is>
          <t>new</t>
        </is>
      </c>
      <c r="H2062" s="4" t="n">
        <v>135</v>
      </c>
      <c r="I2062" t="inlineStr">
        <is>
          <t>VB</t>
        </is>
      </c>
      <c r="J2062" t="inlineStr">
        <is>
          <t>37124 Niedersachsen - Rosdorf</t>
        </is>
      </c>
      <c r="K2062" s="5" t="n">
        <v>45563</v>
      </c>
      <c r="L2062" t="inlineStr"/>
      <c r="M2062" s="6">
        <f>HYPERLINK("https://www.kleinanzeigen.de/s-anzeige/windsurf-segel-five-star-4-9-qm-neu-1501-/1797389983-230-3133", "Link")</f>
        <v/>
      </c>
      <c r="N2062" s="6">
        <f>HYPERLINK("C:\Projects\Kleinanzeigen-Scraper\offer_images\1797389983", "Link")</f>
        <v/>
      </c>
      <c r="O2062" t="inlineStr">
        <is>
          <t>No user name</t>
        </is>
      </c>
      <c r="P2062" s="6">
        <f>HYPERLINK("https://www.kleinanzeigen.deNo user link", "Link")</f>
        <v/>
      </c>
      <c r="Q2062" s="7" t="n">
        <v>45536.90965277778</v>
      </c>
      <c r="R2062" s="3" t="inlineStr">
        <is>
          <t>214.72</t>
        </is>
      </c>
      <c r="S2062" t="inlineStr">
        <is>
          <t>Köln</t>
        </is>
      </c>
    </row>
    <row r="2063">
      <c r="A2063" s="2" t="n">
        <v>7.1</v>
      </c>
      <c r="B2063" t="inlineStr">
        <is>
          <t>Gunsails GSR</t>
        </is>
      </c>
      <c r="C2063" s="3" t="n">
        <v>459</v>
      </c>
      <c r="D2063" s="3" t="n">
        <v>209</v>
      </c>
      <c r="E2063" t="inlineStr"/>
      <c r="F2063" t="inlineStr"/>
      <c r="G2063" t="inlineStr">
        <is>
          <t>used</t>
        </is>
      </c>
      <c r="H2063" s="4" t="inlineStr"/>
      <c r="I2063" t="inlineStr">
        <is>
          <t>VB</t>
        </is>
      </c>
      <c r="J2063" t="inlineStr">
        <is>
          <t>59469 Nordrhein-Westfalen - Ense</t>
        </is>
      </c>
      <c r="K2063" s="5" t="n">
        <v>45532</v>
      </c>
      <c r="L2063" t="inlineStr"/>
      <c r="M2063" s="6">
        <f>HYPERLINK("https://www.kleinanzeigen.de/s-anzeige/gunsails-gun-sails-gsr-7-1-windsurfen-verkauf-tausch-vector/2848752351-230-1816", "Link")</f>
        <v/>
      </c>
      <c r="N2063" s="6">
        <f>HYPERLINK("C:\Projects\Kleinanzeigen-Scraper\offer_images\2848752351", "Link")</f>
        <v/>
      </c>
      <c r="O2063" t="inlineStr">
        <is>
          <t>Marcell Mierswa</t>
        </is>
      </c>
      <c r="P2063" s="6">
        <f>HYPERLINK("https://www.kleinanzeigen.de/s-bestandsliste.html?userId=24121917", "Link")</f>
        <v/>
      </c>
      <c r="Q2063" s="7" t="n">
        <v>45536.9096412037</v>
      </c>
      <c r="R2063" s="3" t="inlineStr">
        <is>
          <t>94.85</t>
        </is>
      </c>
      <c r="S2063" t="inlineStr">
        <is>
          <t>Köln</t>
        </is>
      </c>
    </row>
    <row r="2064">
      <c r="A2064" s="2" t="n">
        <v>8.199999999999999</v>
      </c>
      <c r="B2064" t="inlineStr">
        <is>
          <t>Neilpryde V8</t>
        </is>
      </c>
      <c r="C2064" s="3" t="inlineStr"/>
      <c r="D2064" s="3" t="inlineStr"/>
      <c r="E2064" t="inlineStr"/>
      <c r="F2064" t="inlineStr">
        <is>
          <t>2021</t>
        </is>
      </c>
      <c r="G2064" t="inlineStr">
        <is>
          <t>repaired</t>
        </is>
      </c>
      <c r="H2064" s="4" t="n">
        <v>250</v>
      </c>
      <c r="I2064" t="inlineStr"/>
      <c r="J2064" t="inlineStr">
        <is>
          <t>83410 Bayern - Laufen</t>
        </is>
      </c>
      <c r="K2064" s="5" t="n">
        <v>45536</v>
      </c>
      <c r="L2064" t="inlineStr"/>
      <c r="M2064" s="6">
        <f>HYPERLINK("https://www.kleinanzeigen.de/s-anzeige/neilpryde-v8-8-2m-windsurf-segel/2851757666-230-6272", "Link")</f>
        <v/>
      </c>
      <c r="N2064" s="6">
        <f>HYPERLINK("C:\Projects\Kleinanzeigen-Scraper\offer_images\2851757666", "Link")</f>
        <v/>
      </c>
      <c r="O2064" t="inlineStr">
        <is>
          <t>Thomas</t>
        </is>
      </c>
      <c r="P2064" s="6">
        <f>HYPERLINK("https://www.kleinanzeigen.de/s-bestandsliste.html?userId=42398991", "Link")</f>
        <v/>
      </c>
      <c r="Q2064" s="7" t="n">
        <v>45536.9096412037</v>
      </c>
      <c r="R2064" s="3" t="inlineStr">
        <is>
          <t>99.90</t>
        </is>
      </c>
      <c r="S2064" t="inlineStr">
        <is>
          <t>München</t>
        </is>
      </c>
    </row>
    <row r="2065">
      <c r="A2065" s="2" t="n">
        <v>5.3</v>
      </c>
      <c r="B2065" t="inlineStr">
        <is>
          <t>North Sails Idol</t>
        </is>
      </c>
      <c r="C2065" s="3" t="inlineStr"/>
      <c r="D2065" s="3" t="inlineStr"/>
      <c r="E2065" t="inlineStr">
        <is>
          <t>Freestyle</t>
        </is>
      </c>
      <c r="F2065" t="inlineStr"/>
      <c r="G2065" t="inlineStr">
        <is>
          <t>repaired</t>
        </is>
      </c>
      <c r="H2065" s="4" t="n">
        <v>60</v>
      </c>
      <c r="I2065" t="inlineStr">
        <is>
          <t>VB</t>
        </is>
      </c>
      <c r="J2065" t="inlineStr">
        <is>
          <t>21614 Niedersachsen - Buxtehude</t>
        </is>
      </c>
      <c r="K2065" s="5" t="n">
        <v>45529</v>
      </c>
      <c r="L2065" t="inlineStr">
        <is>
          <t>Sold</t>
        </is>
      </c>
      <c r="M2065" s="6">
        <f>HYPERLINK("https://www.kleinanzeigen.de/s-anzeige/north-sails-idol-freestyle-segel-windsurf-surfsegel/2846101596-230-3328", "Link")</f>
        <v/>
      </c>
      <c r="N2065" s="6">
        <f>HYPERLINK("C:\Projects\Kleinanzeigen-Scraper\offer_images\2846101596", "Link")</f>
        <v/>
      </c>
      <c r="O2065" t="inlineStr">
        <is>
          <t>Jan Schneider</t>
        </is>
      </c>
      <c r="P2065" s="6">
        <f>HYPERLINK("https://www.kleinanzeigen.de/s-bestandsliste.html?userId=73852217", "Link")</f>
        <v/>
      </c>
      <c r="Q2065" s="7" t="n">
        <v>45536.9096412037</v>
      </c>
      <c r="R2065" s="3" t="inlineStr">
        <is>
          <t>336.75</t>
        </is>
      </c>
      <c r="S2065" t="inlineStr">
        <is>
          <t>Köln</t>
        </is>
      </c>
    </row>
    <row r="2066">
      <c r="A2066" s="2" t="n">
        <v>7</v>
      </c>
      <c r="B2066" t="inlineStr">
        <is>
          <t>Ezzy Hydra</t>
        </is>
      </c>
      <c r="C2066" s="3" t="n">
        <v>430</v>
      </c>
      <c r="D2066" s="3" t="inlineStr">
        <is>
          <t>185-199</t>
        </is>
      </c>
      <c r="E2066" t="inlineStr"/>
      <c r="F2066" t="inlineStr"/>
      <c r="G2066" t="inlineStr">
        <is>
          <t>used</t>
        </is>
      </c>
      <c r="H2066" s="4" t="n">
        <v>484</v>
      </c>
      <c r="I2066" t="inlineStr">
        <is>
          <t>VB</t>
        </is>
      </c>
      <c r="J2066" t="inlineStr">
        <is>
          <t>33184 Nordrhein-Westfalen - Altenbeken</t>
        </is>
      </c>
      <c r="K2066" s="5" t="n">
        <v>45528</v>
      </c>
      <c r="L2066" t="inlineStr">
        <is>
          <t>Sold</t>
        </is>
      </c>
      <c r="M2066" s="6">
        <f>HYPERLINK("https://www.kleinanzeigen.de/s-anzeige/ezzy-hydra-7-0-windfoil-segel-foil-windsurf-segel/2844946496-230-1247", "Link")</f>
        <v/>
      </c>
      <c r="N2066" s="6">
        <f>HYPERLINK("C:\Projects\Kleinanzeigen-Scraper\offer_images\2844946496", "Link")</f>
        <v/>
      </c>
      <c r="O2066" t="inlineStr">
        <is>
          <t>Jörg hanfland</t>
        </is>
      </c>
      <c r="P2066" s="6">
        <f>HYPERLINK("https://www.kleinanzeigen.de/s-bestandsliste.html?userId=3276446", "Link")</f>
        <v/>
      </c>
      <c r="Q2066" s="7" t="n">
        <v>45536.90961805556</v>
      </c>
      <c r="R2066" s="3" t="inlineStr">
        <is>
          <t>164.52</t>
        </is>
      </c>
      <c r="S2066" t="inlineStr">
        <is>
          <t>Köln</t>
        </is>
      </c>
    </row>
    <row r="2067">
      <c r="A2067" s="2" t="n">
        <v>5</v>
      </c>
      <c r="B2067" t="inlineStr">
        <is>
          <t>North ICE</t>
        </is>
      </c>
      <c r="C2067" s="3" t="inlineStr"/>
      <c r="D2067" s="3" t="inlineStr"/>
      <c r="E2067" t="inlineStr"/>
      <c r="F2067" t="inlineStr"/>
      <c r="G2067" t="inlineStr">
        <is>
          <t>used</t>
        </is>
      </c>
      <c r="H2067" s="4" t="n">
        <v>70</v>
      </c>
      <c r="I2067" t="inlineStr">
        <is>
          <t>VB</t>
        </is>
      </c>
      <c r="J2067" t="inlineStr">
        <is>
          <t>44534 Nordrhein-Westfalen - Lünen</t>
        </is>
      </c>
      <c r="K2067" s="5" t="n">
        <v>45535</v>
      </c>
      <c r="L2067" t="inlineStr">
        <is>
          <t>Sold</t>
        </is>
      </c>
      <c r="M2067" s="6">
        <f>HYPERLINK("https://www.kleinanzeigen.de/s-anzeige/north-windsurf-segel/2850717762-230-1754", "Link")</f>
        <v/>
      </c>
      <c r="N2067" s="6">
        <f>HYPERLINK("C:\Projects\Kleinanzeigen-Scraper\offer_images\2850717762", "Link")</f>
        <v/>
      </c>
      <c r="O2067" t="inlineStr">
        <is>
          <t>T.Z</t>
        </is>
      </c>
      <c r="P2067" s="6">
        <f>HYPERLINK("https://www.kleinanzeigen.de/s-bestandsliste.html?userId=4015512", "Link")</f>
        <v/>
      </c>
      <c r="Q2067" s="7" t="n">
        <v>45536.90961805556</v>
      </c>
      <c r="R2067" s="3" t="inlineStr">
        <is>
          <t>85.74</t>
        </is>
      </c>
      <c r="S2067" t="inlineStr">
        <is>
          <t>Köln</t>
        </is>
      </c>
    </row>
    <row r="2068">
      <c r="A2068" s="2" t="n">
        <v>4.8</v>
      </c>
      <c r="B2068" t="inlineStr">
        <is>
          <t>Neilpryde The Fly 2</t>
        </is>
      </c>
      <c r="C2068" s="3" t="inlineStr"/>
      <c r="D2068" s="3" t="inlineStr"/>
      <c r="E2068" t="inlineStr"/>
      <c r="F2068" t="inlineStr"/>
      <c r="G2068" t="inlineStr">
        <is>
          <t>new</t>
        </is>
      </c>
      <c r="H2068" s="4" t="n">
        <v>100</v>
      </c>
      <c r="I2068" t="inlineStr">
        <is>
          <t>VB</t>
        </is>
      </c>
      <c r="J2068" t="inlineStr">
        <is>
          <t>87616 Bayern - Marktoberdorf</t>
        </is>
      </c>
      <c r="K2068" s="5" t="n">
        <v>45532</v>
      </c>
      <c r="L2068" t="inlineStr">
        <is>
          <t>Sold</t>
        </is>
      </c>
      <c r="M2068" s="6">
        <f>HYPERLINK("https://www.kleinanzeigen.de/s-anzeige/neilpryde-the-fly-2-4-8-qm-windsurf-segel/2848842210-230-6561", "Link")</f>
        <v/>
      </c>
      <c r="N2068" s="6">
        <f>HYPERLINK("C:\Projects\Kleinanzeigen-Scraper\offer_images\2848842210", "Link")</f>
        <v/>
      </c>
      <c r="O2068" t="inlineStr">
        <is>
          <t>Felix Körner</t>
        </is>
      </c>
      <c r="P2068" s="6">
        <f>HYPERLINK("https://www.kleinanzeigen.de/s-bestandsliste.html?userId=59126806", "Link")</f>
        <v/>
      </c>
      <c r="Q2068" s="7" t="n">
        <v>45536.90961805556</v>
      </c>
      <c r="R2068" s="3" t="inlineStr">
        <is>
          <t>83.30</t>
        </is>
      </c>
      <c r="S2068" t="inlineStr">
        <is>
          <t>München</t>
        </is>
      </c>
    </row>
    <row r="2069">
      <c r="A2069" s="2" t="n">
        <v>7.2</v>
      </c>
      <c r="B2069" t="inlineStr">
        <is>
          <t>Point 7 ACK</t>
        </is>
      </c>
      <c r="C2069" s="3" t="n">
        <v>468</v>
      </c>
      <c r="D2069" s="3" t="n">
        <v>205</v>
      </c>
      <c r="E2069" t="inlineStr"/>
      <c r="F2069" t="inlineStr"/>
      <c r="G2069" t="inlineStr">
        <is>
          <t>defective</t>
        </is>
      </c>
      <c r="H2069" s="4" t="n">
        <v>50</v>
      </c>
      <c r="I2069" t="inlineStr"/>
      <c r="J2069" t="inlineStr">
        <is>
          <t>18146 Rostock - Hinrichsdorf</t>
        </is>
      </c>
      <c r="K2069" s="5" t="n">
        <v>45526</v>
      </c>
      <c r="L2069" t="inlineStr"/>
      <c r="M2069" s="6">
        <f>HYPERLINK("https://www.kleinanzeigen.de/s-anzeige/point-7-ack-7-2-surfsegel-segel-windsurfen-defekt/2843566970-230-9535", "Link")</f>
        <v/>
      </c>
      <c r="N2069" s="6">
        <f>HYPERLINK("C:\Projects\Kleinanzeigen-Scraper\offer_images\2843566970", "Link")</f>
        <v/>
      </c>
      <c r="O2069" t="inlineStr">
        <is>
          <t>Michael Schade</t>
        </is>
      </c>
      <c r="P2069" s="6">
        <f>HYPERLINK("https://www.kleinanzeigen.de/s-bestandsliste.html?userId=21535402", "Link")</f>
        <v/>
      </c>
      <c r="Q2069" s="7" t="n">
        <v>45536.90959490741</v>
      </c>
      <c r="R2069" s="3" t="inlineStr">
        <is>
          <t>497.86</t>
        </is>
      </c>
      <c r="S2069" t="inlineStr">
        <is>
          <t>Köln</t>
        </is>
      </c>
    </row>
    <row r="2070">
      <c r="A2070" s="2" t="n">
        <v>6.4</v>
      </c>
      <c r="B2070" t="inlineStr">
        <is>
          <t>NORTH Infinity</t>
        </is>
      </c>
      <c r="C2070" s="3" t="n">
        <v>4.95</v>
      </c>
      <c r="D2070" s="3" t="n">
        <v>1.9</v>
      </c>
      <c r="E2070" t="inlineStr"/>
      <c r="F2070" t="inlineStr"/>
      <c r="G2070" t="inlineStr">
        <is>
          <t>used</t>
        </is>
      </c>
      <c r="H2070" s="4" t="n">
        <v>199</v>
      </c>
      <c r="I2070" t="inlineStr">
        <is>
          <t>VB</t>
        </is>
      </c>
      <c r="J2070" t="inlineStr">
        <is>
          <t>37124 Niedersachsen - Rosdorf</t>
        </is>
      </c>
      <c r="K2070" s="5" t="n">
        <v>45557</v>
      </c>
      <c r="L2070" t="inlineStr"/>
      <c r="M2070" s="6">
        <f>HYPERLINK("https://www.kleinanzeigen.de/s-anzeige/windsurf-segel-north-infinity-6-4-qm-neuwertig-1480-/1792403674-230-3133", "Link")</f>
        <v/>
      </c>
      <c r="N2070" s="6">
        <f>HYPERLINK("C:\Projects\Kleinanzeigen-Scraper\offer_images\1792403674", "Link")</f>
        <v/>
      </c>
      <c r="O2070" t="inlineStr">
        <is>
          <t>No user name</t>
        </is>
      </c>
      <c r="P2070" s="6">
        <f>HYPERLINK("https://www.kleinanzeigen.deNo user link", "Link")</f>
        <v/>
      </c>
      <c r="Q2070" s="7" t="n">
        <v>45536.90957175926</v>
      </c>
      <c r="R2070" s="3" t="inlineStr">
        <is>
          <t>214.72</t>
        </is>
      </c>
      <c r="S2070" t="inlineStr">
        <is>
          <t>Köln</t>
        </is>
      </c>
    </row>
    <row r="2071">
      <c r="A2071" s="2" t="n">
        <v>5</v>
      </c>
      <c r="B2071" t="inlineStr">
        <is>
          <t>Neil Pryde Combat</t>
        </is>
      </c>
      <c r="C2071" s="3" t="n">
        <v>400</v>
      </c>
      <c r="D2071" s="3" t="n">
        <v>164</v>
      </c>
      <c r="E2071" t="inlineStr">
        <is>
          <t>Wave</t>
        </is>
      </c>
      <c r="F2071" t="inlineStr">
        <is>
          <t>2024</t>
        </is>
      </c>
      <c r="G2071" t="inlineStr">
        <is>
          <t>used</t>
        </is>
      </c>
      <c r="H2071" s="4" t="n">
        <v>160</v>
      </c>
      <c r="I2071" t="inlineStr">
        <is>
          <t>VB</t>
        </is>
      </c>
      <c r="J2071" t="inlineStr">
        <is>
          <t>13347 Mitte - Wedding</t>
        </is>
      </c>
      <c r="K2071" s="5" t="n">
        <v>45535</v>
      </c>
      <c r="L2071" t="inlineStr">
        <is>
          <t>Sold</t>
        </is>
      </c>
      <c r="M2071" s="6">
        <f>HYPERLINK("https://www.kleinanzeigen.de/s-anzeige/windsurf-segel-neil-pryde-5-0/2850800220-230-3508", "Link")</f>
        <v/>
      </c>
      <c r="N2071" s="6">
        <f>HYPERLINK("C:\Projects\Kleinanzeigen-Scraper\offer_images\2850800220", "Link")</f>
        <v/>
      </c>
      <c r="O2071" t="inlineStr">
        <is>
          <t>Privat</t>
        </is>
      </c>
      <c r="P2071" s="6">
        <f>HYPERLINK("https://www.kleinanzeigen.de/s-bestandsliste.html?userId=14672016", "Link")</f>
        <v/>
      </c>
      <c r="Q2071" s="7" t="n">
        <v>45536.90957175926</v>
      </c>
      <c r="R2071" s="3" t="inlineStr">
        <is>
          <t>476.11</t>
        </is>
      </c>
      <c r="S2071" t="inlineStr">
        <is>
          <t>Köln</t>
        </is>
      </c>
    </row>
    <row r="2072">
      <c r="A2072" s="2" t="n">
        <v>8</v>
      </c>
      <c r="B2072" t="inlineStr">
        <is>
          <t>NEILPRYDE V6</t>
        </is>
      </c>
      <c r="C2072" s="3" t="inlineStr"/>
      <c r="D2072" s="3" t="inlineStr"/>
      <c r="E2072" t="inlineStr">
        <is>
          <t>Surf</t>
        </is>
      </c>
      <c r="F2072" t="inlineStr"/>
      <c r="G2072" t="inlineStr">
        <is>
          <t>used</t>
        </is>
      </c>
      <c r="H2072" s="4" t="n">
        <v>285</v>
      </c>
      <c r="I2072" t="inlineStr">
        <is>
          <t>VB</t>
        </is>
      </c>
      <c r="J2072" t="inlineStr">
        <is>
          <t>14558 Brandenburg - Bergholz Rehbrücke</t>
        </is>
      </c>
      <c r="K2072" s="5" t="n">
        <v>45526</v>
      </c>
      <c r="L2072" t="inlineStr">
        <is>
          <t>Sold</t>
        </is>
      </c>
      <c r="M2072" s="6">
        <f>HYPERLINK("https://www.kleinanzeigen.de/s-anzeige/top-windsurf-surf-8qm-segel-neilpryde-v6-surfsegel/2843646359-230-7791", "Link")</f>
        <v/>
      </c>
      <c r="N2072" s="6">
        <f>HYPERLINK("C:\Projects\Kleinanzeigen-Scraper\offer_images\2843646359", "Link")</f>
        <v/>
      </c>
      <c r="O2072" t="inlineStr">
        <is>
          <t>Sebastian</t>
        </is>
      </c>
      <c r="P2072" s="6">
        <f>HYPERLINK("https://www.kleinanzeigen.de/s-bestandsliste.html?userId=12606146", "Link")</f>
        <v/>
      </c>
      <c r="Q2072" s="7" t="n">
        <v>45536.90957175926</v>
      </c>
      <c r="R2072" s="3" t="inlineStr">
        <is>
          <t>453.79</t>
        </is>
      </c>
      <c r="S2072" t="inlineStr">
        <is>
          <t>Köln</t>
        </is>
      </c>
    </row>
    <row r="2073">
      <c r="A2073" s="2" t="n">
        <v>4.2</v>
      </c>
      <c r="B2073" t="inlineStr">
        <is>
          <t>KA Sails Kamikaze</t>
        </is>
      </c>
      <c r="C2073" s="3" t="inlineStr"/>
      <c r="D2073" s="3" t="inlineStr"/>
      <c r="E2073" t="inlineStr">
        <is>
          <t>Wave</t>
        </is>
      </c>
      <c r="F2073" t="inlineStr"/>
      <c r="G2073" t="inlineStr">
        <is>
          <t>used</t>
        </is>
      </c>
      <c r="H2073" s="4" t="n">
        <v>179</v>
      </c>
      <c r="I2073" t="inlineStr"/>
      <c r="J2073" t="inlineStr">
        <is>
          <t>22769 Altona - Hamburg Bahrenfeld</t>
        </is>
      </c>
      <c r="K2073" s="5" t="n">
        <v>45530</v>
      </c>
      <c r="L2073" t="inlineStr">
        <is>
          <t>Sold</t>
        </is>
      </c>
      <c r="M2073" s="6">
        <f>HYPERLINK("https://www.kleinanzeigen.de/s-anzeige/ka-sails-kamikaze-4-2-m-x-ply-hardcore-wave-segel-windsurf/2847301050-230-26485", "Link")</f>
        <v/>
      </c>
      <c r="N2073" s="6">
        <f>HYPERLINK("C:\Projects\Kleinanzeigen-Scraper\offer_images\2847301050", "Link")</f>
        <v/>
      </c>
      <c r="O2073" t="inlineStr">
        <is>
          <t>nordlicht</t>
        </is>
      </c>
      <c r="P2073" s="6">
        <f>HYPERLINK("https://www.kleinanzeigen.de/s-bestandsliste.html?userId=86235875", "Link")</f>
        <v/>
      </c>
      <c r="Q2073" s="7" t="n">
        <v>45536.90956018519</v>
      </c>
      <c r="R2073" s="3" t="inlineStr">
        <is>
          <t>356.14</t>
        </is>
      </c>
      <c r="S2073" t="inlineStr">
        <is>
          <t>Köln</t>
        </is>
      </c>
    </row>
    <row r="2074">
      <c r="A2074" s="2" t="n">
        <v>11</v>
      </c>
      <c r="B2074" t="inlineStr">
        <is>
          <t>Gaastra Vapor</t>
        </is>
      </c>
      <c r="C2074" s="3" t="inlineStr"/>
      <c r="D2074" s="3" t="inlineStr"/>
      <c r="E2074" t="inlineStr">
        <is>
          <t>Slalom</t>
        </is>
      </c>
      <c r="F2074" t="inlineStr"/>
      <c r="G2074" t="inlineStr">
        <is>
          <t>used</t>
        </is>
      </c>
      <c r="H2074" s="4" t="n">
        <v>199</v>
      </c>
      <c r="I2074" t="inlineStr"/>
      <c r="J2074" t="inlineStr">
        <is>
          <t>22769 Altona - Hamburg Bahrenfeld</t>
        </is>
      </c>
      <c r="K2074" s="5" t="n">
        <v>45531</v>
      </c>
      <c r="L2074" t="inlineStr">
        <is>
          <t>Sold</t>
        </is>
      </c>
      <c r="M2074" s="6">
        <f>HYPERLINK("https://www.kleinanzeigen.de/s-anzeige/gaastra-vapor-11-0-m-segel-ga-sails-windsurf-slalom-formula/2847468971-230-26485", "Link")</f>
        <v/>
      </c>
      <c r="N2074" s="6">
        <f>HYPERLINK("C:\Projects\Kleinanzeigen-Scraper\offer_images\2847468971", "Link")</f>
        <v/>
      </c>
      <c r="O2074" t="inlineStr">
        <is>
          <t>nordlicht</t>
        </is>
      </c>
      <c r="P2074" s="6">
        <f>HYPERLINK("https://www.kleinanzeigen.de/s-bestandsliste.html?userId=86235875", "Link")</f>
        <v/>
      </c>
      <c r="Q2074" s="7" t="n">
        <v>45536.90956018519</v>
      </c>
      <c r="R2074" s="3" t="inlineStr">
        <is>
          <t>356.14</t>
        </is>
      </c>
      <c r="S2074" t="inlineStr">
        <is>
          <t>Köln</t>
        </is>
      </c>
    </row>
    <row r="2075">
      <c r="A2075" s="2" t="n">
        <v>5.8</v>
      </c>
      <c r="B2075" t="inlineStr">
        <is>
          <t>NeilPryde Atlas Pro</t>
        </is>
      </c>
      <c r="C2075" s="3" t="n">
        <v>4.3</v>
      </c>
      <c r="D2075" s="3" t="n">
        <v>1.8</v>
      </c>
      <c r="E2075" t="inlineStr">
        <is>
          <t>Wave</t>
        </is>
      </c>
      <c r="F2075" t="inlineStr">
        <is>
          <t>2023</t>
        </is>
      </c>
      <c r="G2075" t="inlineStr">
        <is>
          <t>new</t>
        </is>
      </c>
      <c r="H2075" s="4" t="n">
        <v>662</v>
      </c>
      <c r="I2075" t="inlineStr"/>
      <c r="J2075" t="inlineStr">
        <is>
          <t>82319 Bayern - Starnberg</t>
        </is>
      </c>
      <c r="K2075" s="5" t="n">
        <v>45556</v>
      </c>
      <c r="L2075" t="inlineStr"/>
      <c r="M2075" s="6">
        <f>HYPERLINK("https://www.kleinanzeigen.de/s-anzeige/neilpryde-atlas-pro-5-8qm-blue-purple-2023-windsurf-segel/2480679874-230-5525", "Link")</f>
        <v/>
      </c>
      <c r="N2075" s="6">
        <f>HYPERLINK("C:\Projects\Kleinanzeigen-Scraper\offer_images\2480679874", "Link")</f>
        <v/>
      </c>
      <c r="O2075" t="inlineStr">
        <is>
          <t>No user name</t>
        </is>
      </c>
      <c r="P2075" s="6">
        <f>HYPERLINK("https://www.kleinanzeigen.deNo user link", "Link")</f>
        <v/>
      </c>
      <c r="Q2075" s="7" t="n">
        <v>45536.90954861111</v>
      </c>
      <c r="R2075" s="3" t="inlineStr">
        <is>
          <t>23.17</t>
        </is>
      </c>
      <c r="S2075" t="inlineStr">
        <is>
          <t>München</t>
        </is>
      </c>
    </row>
    <row r="2076">
      <c r="A2076" s="2" t="n">
        <v>2.5</v>
      </c>
      <c r="B2076" t="inlineStr">
        <is>
          <t>HiFly Kiddy</t>
        </is>
      </c>
      <c r="C2076" s="3" t="n">
        <v>290</v>
      </c>
      <c r="D2076" s="3" t="n">
        <v>140</v>
      </c>
      <c r="E2076" t="inlineStr"/>
      <c r="F2076" t="inlineStr"/>
      <c r="G2076" t="inlineStr">
        <is>
          <t>used</t>
        </is>
      </c>
      <c r="H2076" s="4" t="n">
        <v>55</v>
      </c>
      <c r="I2076" t="inlineStr">
        <is>
          <t>VB</t>
        </is>
      </c>
      <c r="J2076" t="inlineStr">
        <is>
          <t>45699 Nordrhein-Westfalen - Herten</t>
        </is>
      </c>
      <c r="K2076" s="5" t="n">
        <v>45529</v>
      </c>
      <c r="L2076" t="inlineStr">
        <is>
          <t>Sold</t>
        </is>
      </c>
      <c r="M2076" s="6">
        <f>HYPERLINK("https://www.kleinanzeigen.de/s-anzeige/kinder-windsurf-segel-hifly-2-5/2845995104-230-1832", "Link")</f>
        <v/>
      </c>
      <c r="N2076" s="6">
        <f>HYPERLINK("C:\Projects\Kleinanzeigen-Scraper\offer_images\2845995104", "Link")</f>
        <v/>
      </c>
      <c r="O2076" t="inlineStr">
        <is>
          <t>V.P.</t>
        </is>
      </c>
      <c r="P2076" s="6">
        <f>HYPERLINK("https://www.kleinanzeigen.de/s-bestandsliste.html?userId=10829434", "Link")</f>
        <v/>
      </c>
      <c r="Q2076" s="7" t="n">
        <v>45536.90954861111</v>
      </c>
      <c r="R2076" s="3" t="inlineStr">
        <is>
          <t>73.42</t>
        </is>
      </c>
      <c r="S2076" t="inlineStr">
        <is>
          <t>Köln</t>
        </is>
      </c>
    </row>
    <row r="2077">
      <c r="A2077" s="2" t="n">
        <v>7</v>
      </c>
      <c r="B2077" t="inlineStr">
        <is>
          <t>North Sails Tone</t>
        </is>
      </c>
      <c r="C2077" s="3" t="n">
        <v>4.95</v>
      </c>
      <c r="D2077" s="3" t="inlineStr"/>
      <c r="E2077" t="inlineStr"/>
      <c r="F2077" t="inlineStr"/>
      <c r="G2077" t="inlineStr">
        <is>
          <t>used</t>
        </is>
      </c>
      <c r="H2077" s="4" t="n">
        <v>70</v>
      </c>
      <c r="I2077" t="inlineStr">
        <is>
          <t>VB</t>
        </is>
      </c>
      <c r="J2077" t="inlineStr">
        <is>
          <t>01454 Sachsen - Radeberg</t>
        </is>
      </c>
      <c r="K2077" s="5" t="n">
        <v>45527</v>
      </c>
      <c r="L2077" t="inlineStr">
        <is>
          <t>Sold</t>
        </is>
      </c>
      <c r="M2077" s="6">
        <f>HYPERLINK("https://www.kleinanzeigen.de/s-anzeige/windsurf-segel-north-sails-7-qm/2844131346-230-4132", "Link")</f>
        <v/>
      </c>
      <c r="N2077" s="6">
        <f>HYPERLINK("C:\Projects\Kleinanzeigen-Scraper\offer_images\2844131346", "Link")</f>
        <v/>
      </c>
      <c r="O2077" t="inlineStr">
        <is>
          <t>Eberth</t>
        </is>
      </c>
      <c r="P2077" s="6">
        <f>HYPERLINK("https://www.kleinanzeigen.de/s-bestandsliste.html?userId=1560613", "Link")</f>
        <v/>
      </c>
      <c r="Q2077" s="7" t="n">
        <v>45536.90953703703</v>
      </c>
      <c r="R2077" s="3" t="inlineStr">
        <is>
          <t>373.94</t>
        </is>
      </c>
      <c r="S2077" t="inlineStr">
        <is>
          <t>München</t>
        </is>
      </c>
    </row>
    <row r="2078">
      <c r="A2078" s="2" t="n">
        <v>4.2</v>
      </c>
      <c r="B2078" t="inlineStr">
        <is>
          <t>NeilPryde Atlas HD</t>
        </is>
      </c>
      <c r="C2078" s="3" t="n">
        <v>370</v>
      </c>
      <c r="D2078" s="3" t="n">
        <v>155</v>
      </c>
      <c r="E2078" t="inlineStr">
        <is>
          <t>Wave</t>
        </is>
      </c>
      <c r="F2078" t="inlineStr">
        <is>
          <t>2023</t>
        </is>
      </c>
      <c r="G2078" t="inlineStr">
        <is>
          <t>new</t>
        </is>
      </c>
      <c r="H2078" s="4" t="n">
        <v>545</v>
      </c>
      <c r="I2078" t="inlineStr">
        <is>
          <t>VB</t>
        </is>
      </c>
      <c r="J2078" t="inlineStr">
        <is>
          <t>82319 Bayern - Starnberg</t>
        </is>
      </c>
      <c r="K2078" s="5" t="n">
        <v>45556</v>
      </c>
      <c r="L2078" t="inlineStr"/>
      <c r="M2078" s="6">
        <f>HYPERLINK("https://www.kleinanzeigen.de/s-anzeige/neilpryde-atlas-hd-4-2qm-deep-purple-yellow-2023-windsurf-segel/2480677029-230-5525", "Link")</f>
        <v/>
      </c>
      <c r="N2078" s="6">
        <f>HYPERLINK("C:\Projects\Kleinanzeigen-Scraper\offer_images\2480677029", "Link")</f>
        <v/>
      </c>
      <c r="O2078" t="inlineStr">
        <is>
          <t>No user name</t>
        </is>
      </c>
      <c r="P2078" s="6">
        <f>HYPERLINK("https://www.kleinanzeigen.deNo user link", "Link")</f>
        <v/>
      </c>
      <c r="Q2078" s="7" t="n">
        <v>45536.90949074074</v>
      </c>
      <c r="R2078" s="3" t="inlineStr">
        <is>
          <t>23.17</t>
        </is>
      </c>
      <c r="S2078" t="inlineStr">
        <is>
          <t>München</t>
        </is>
      </c>
    </row>
    <row r="2079">
      <c r="A2079" s="2" t="n">
        <v>4.8</v>
      </c>
      <c r="B2079" t="inlineStr">
        <is>
          <t>Gunsails YEAH</t>
        </is>
      </c>
      <c r="C2079" s="3" t="n">
        <v>150</v>
      </c>
      <c r="D2079" s="3" t="n">
        <v>414</v>
      </c>
      <c r="E2079" t="inlineStr">
        <is>
          <t>Freestyle</t>
        </is>
      </c>
      <c r="F2079" t="inlineStr"/>
      <c r="G2079" t="inlineStr">
        <is>
          <t>used</t>
        </is>
      </c>
      <c r="H2079" s="4" t="n">
        <v>159</v>
      </c>
      <c r="I2079" t="inlineStr"/>
      <c r="J2079" t="inlineStr">
        <is>
          <t>78315 Baden-Württemberg - Radolfzell am Bodensee</t>
        </is>
      </c>
      <c r="K2079" s="5" t="n">
        <v>45528</v>
      </c>
      <c r="L2079" t="inlineStr">
        <is>
          <t>Sold</t>
        </is>
      </c>
      <c r="M2079" s="6">
        <f>HYPERLINK("https://www.kleinanzeigen.de/s-anzeige/gunsails-yeah-4-8-freestyle-segel-windsurfen-proto/2845251690-230-8190", "Link")</f>
        <v/>
      </c>
      <c r="N2079" s="6">
        <f>HYPERLINK("C:\Projects\Kleinanzeigen-Scraper\offer_images\2845251690", "Link")</f>
        <v/>
      </c>
      <c r="O2079" t="inlineStr">
        <is>
          <t>Philip</t>
        </is>
      </c>
      <c r="P2079" s="6">
        <f>HYPERLINK("https://www.kleinanzeigen.de/s-bestandsliste.html?userId=2369094", "Link")</f>
        <v/>
      </c>
      <c r="Q2079" s="7" t="n">
        <v>45536.9094675926</v>
      </c>
      <c r="R2079" s="3" t="inlineStr">
        <is>
          <t>48.46</t>
        </is>
      </c>
      <c r="S2079" t="inlineStr">
        <is>
          <t>Bonndorf</t>
        </is>
      </c>
    </row>
    <row r="2080">
      <c r="A2080" s="2" t="n">
        <v>5.7</v>
      </c>
      <c r="B2080" t="inlineStr">
        <is>
          <t>Gunsails Horizon</t>
        </is>
      </c>
      <c r="C2080" s="3" t="inlineStr"/>
      <c r="D2080" s="3" t="inlineStr"/>
      <c r="E2080" t="inlineStr"/>
      <c r="F2080" t="inlineStr">
        <is>
          <t>2021</t>
        </is>
      </c>
      <c r="G2080" t="inlineStr">
        <is>
          <t>new</t>
        </is>
      </c>
      <c r="H2080" s="4" t="n">
        <v>220</v>
      </c>
      <c r="I2080" t="inlineStr">
        <is>
          <t>VB</t>
        </is>
      </c>
      <c r="J2080" t="inlineStr">
        <is>
          <t>75365 Baden-Württemberg - Calw</t>
        </is>
      </c>
      <c r="K2080" s="5" t="n">
        <v>45534</v>
      </c>
      <c r="L2080" t="inlineStr">
        <is>
          <t>Sold</t>
        </is>
      </c>
      <c r="M2080" s="6">
        <f>HYPERLINK("https://www.kleinanzeigen.de/s-anzeige/gunsails-horizon-5-7-neuwertig-windsurf-gun-sails/2850057210-230-8771", "Link")</f>
        <v/>
      </c>
      <c r="N2080" s="6">
        <f>HYPERLINK("C:\Projects\Kleinanzeigen-Scraper\offer_images\2850057210", "Link")</f>
        <v/>
      </c>
      <c r="O2080" t="inlineStr">
        <is>
          <t>Ozel</t>
        </is>
      </c>
      <c r="P2080" s="6">
        <f>HYPERLINK("https://www.kleinanzeigen.de/s-bestandsliste.html?userId=32567166", "Link")</f>
        <v/>
      </c>
      <c r="Q2080" s="7" t="n">
        <v>45535.59252314815</v>
      </c>
      <c r="R2080" s="3" t="inlineStr">
        <is>
          <t>19.71</t>
        </is>
      </c>
      <c r="S2080" t="inlineStr">
        <is>
          <t>Böblingen</t>
        </is>
      </c>
    </row>
    <row r="2081">
      <c r="A2081" s="2" t="n">
        <v>4.2</v>
      </c>
      <c r="B2081" t="inlineStr">
        <is>
          <t>GOYA Banzai X</t>
        </is>
      </c>
      <c r="C2081" s="3" t="n">
        <v>370</v>
      </c>
      <c r="D2081" s="3" t="inlineStr">
        <is>
          <t>152/149</t>
        </is>
      </c>
      <c r="E2081" t="inlineStr">
        <is>
          <t>Freestyle</t>
        </is>
      </c>
      <c r="F2081" t="inlineStr">
        <is>
          <t>2021/22</t>
        </is>
      </c>
      <c r="G2081" t="inlineStr">
        <is>
          <t>new</t>
        </is>
      </c>
      <c r="H2081" s="4" t="n">
        <v>325</v>
      </c>
      <c r="I2081" t="inlineStr"/>
      <c r="J2081" t="inlineStr">
        <is>
          <t>67245</t>
        </is>
      </c>
      <c r="K2081" s="5" t="n">
        <v>45534</v>
      </c>
      <c r="L2081" t="inlineStr">
        <is>
          <t>Sold</t>
        </is>
      </c>
      <c r="M2081" s="6">
        <f>HYPERLINK("https://www.dailydose.de/kleinanzeigen/detail.htm?ai=421775&amp;cf=kk&amp;pg=3&amp;ci=5", "Link")</f>
        <v/>
      </c>
      <c r="N2081" s="6">
        <f>HYPERLINK("C:\Projects\Kleinanzeigen-Scraper\offer_images\421775", "Link")</f>
        <v/>
      </c>
      <c r="O2081" t="inlineStr">
        <is>
          <t>Frank_74</t>
        </is>
      </c>
      <c r="P2081" s="6">
        <f>HYPERLINK("https://www.dailydose.de/kleinanzeigen/user/6289", "Link")</f>
        <v/>
      </c>
      <c r="Q2081" s="7" t="n">
        <v>45534.54548611111</v>
      </c>
      <c r="R2081" s="3" t="inlineStr">
        <is>
          <t>56.18</t>
        </is>
      </c>
      <c r="S2081" t="inlineStr">
        <is>
          <t>Karlsruhe</t>
        </is>
      </c>
    </row>
    <row r="2082">
      <c r="A2082" s="2" t="n">
        <v>4.7</v>
      </c>
      <c r="B2082" t="inlineStr">
        <is>
          <t>Naish Sails BOXER</t>
        </is>
      </c>
      <c r="C2082" s="3" t="n">
        <v>370</v>
      </c>
      <c r="D2082" s="3" t="inlineStr"/>
      <c r="E2082" t="inlineStr"/>
      <c r="F2082" t="inlineStr"/>
      <c r="G2082" t="inlineStr">
        <is>
          <t>new</t>
        </is>
      </c>
      <c r="H2082" s="4" t="n">
        <v>449</v>
      </c>
      <c r="I2082" t="inlineStr"/>
      <c r="J2082" t="inlineStr">
        <is>
          <t>70794 Baden-Württemberg - Filderstadt</t>
        </is>
      </c>
      <c r="K2082" s="5" t="n">
        <v>45533</v>
      </c>
      <c r="L2082" t="inlineStr">
        <is>
          <t>Sold</t>
        </is>
      </c>
      <c r="M2082" s="6">
        <f>HYPERLINK("https://www.kleinanzeigen.de/s-anzeige/naish-sails-boxer-4-7-segel-neu-rigg-windsurfen-inkl-mast-370/2849181030-230-8892", "Link")</f>
        <v/>
      </c>
      <c r="N2082" s="6">
        <f>HYPERLINK("C:\Projects\Kleinanzeigen-Scraper\offer_images\2849181030", "Link")</f>
        <v/>
      </c>
      <c r="O2082" t="inlineStr">
        <is>
          <t>Nicolas Pfeifle</t>
        </is>
      </c>
      <c r="P2082" s="6">
        <f>HYPERLINK("https://www.kleinanzeigen.de/s-bestandsliste.html?userId=26051920", "Link")</f>
        <v/>
      </c>
      <c r="Q2082" s="7" t="n">
        <v>45534.545</v>
      </c>
      <c r="R2082" s="3" t="inlineStr">
        <is>
          <t>17.11</t>
        </is>
      </c>
      <c r="S2082" t="inlineStr">
        <is>
          <t>Böblingen</t>
        </is>
      </c>
    </row>
    <row r="2083">
      <c r="A2083" s="2" t="n">
        <v>6.4</v>
      </c>
      <c r="B2083" t="inlineStr">
        <is>
          <t>Surfslalom TC</t>
        </is>
      </c>
      <c r="C2083" s="3" t="n">
        <v>4.86</v>
      </c>
      <c r="D2083" s="3" t="n">
        <v>1.93</v>
      </c>
      <c r="E2083" t="inlineStr"/>
      <c r="F2083" t="inlineStr"/>
      <c r="G2083" t="inlineStr"/>
      <c r="H2083" s="4" t="inlineStr"/>
      <c r="I2083" t="inlineStr">
        <is>
          <t>VB</t>
        </is>
      </c>
      <c r="J2083" t="inlineStr">
        <is>
          <t>68649 Hessen - Groß-Rohrheim</t>
        </is>
      </c>
      <c r="K2083" s="5" t="n">
        <v>45531</v>
      </c>
      <c r="L2083" t="inlineStr">
        <is>
          <t>Sold</t>
        </is>
      </c>
      <c r="M2083" s="6">
        <f>HYPERLINK("https://www.kleinanzeigen.de/s-anzeige/surfsegel-windsurfen-segel-surfen-surfslalom-tc-6-4/2847877022-230-4758", "Link")</f>
        <v/>
      </c>
      <c r="N2083" s="6">
        <f>HYPERLINK("C:\Projects\Kleinanzeigen-Scraper\offer_images\2847877022", "Link")</f>
        <v/>
      </c>
      <c r="O2083" t="inlineStr">
        <is>
          <t>Daniel</t>
        </is>
      </c>
      <c r="P2083" s="6">
        <f>HYPERLINK("https://www.kleinanzeigen.de/s-bestandsliste.html?userId=15416374", "Link")</f>
        <v/>
      </c>
      <c r="Q2083" s="7" t="n">
        <v>45533.55947916667</v>
      </c>
      <c r="R2083" s="3" t="inlineStr">
        <is>
          <t>78.85</t>
        </is>
      </c>
      <c r="S2083" t="inlineStr">
        <is>
          <t>Karlsruhe</t>
        </is>
      </c>
    </row>
    <row r="2084">
      <c r="A2084" s="2" t="n">
        <v>7.5</v>
      </c>
      <c r="B2084" t="inlineStr">
        <is>
          <t>Neilpryde Street Racer</t>
        </is>
      </c>
      <c r="C2084" s="3" t="inlineStr"/>
      <c r="D2084" s="3" t="inlineStr"/>
      <c r="E2084" t="inlineStr"/>
      <c r="F2084" t="inlineStr"/>
      <c r="G2084" t="inlineStr">
        <is>
          <t>used</t>
        </is>
      </c>
      <c r="H2084" s="4" t="inlineStr"/>
      <c r="I2084" t="inlineStr">
        <is>
          <t>VB</t>
        </is>
      </c>
      <c r="J2084" t="inlineStr">
        <is>
          <t>68649 Hessen - Groß-Rohrheim</t>
        </is>
      </c>
      <c r="K2084" s="5" t="n">
        <v>45531</v>
      </c>
      <c r="L2084" t="inlineStr">
        <is>
          <t>Sold</t>
        </is>
      </c>
      <c r="M2084" s="6">
        <f>HYPERLINK("https://www.kleinanzeigen.de/s-anzeige/surfsegel-windsurfen-segel-surfen-neilpryde-street-racer-7-5/2847872074-230-4758", "Link")</f>
        <v/>
      </c>
      <c r="N2084" s="6">
        <f>HYPERLINK("C:\Projects\Kleinanzeigen-Scraper\offer_images\2847872074", "Link")</f>
        <v/>
      </c>
      <c r="O2084" t="inlineStr">
        <is>
          <t>Daniel</t>
        </is>
      </c>
      <c r="P2084" s="6">
        <f>HYPERLINK("https://www.kleinanzeigen.de/s-bestandsliste.html?userId=15416374", "Link")</f>
        <v/>
      </c>
      <c r="Q2084" s="7" t="n">
        <v>45533.55914351852</v>
      </c>
      <c r="R2084" s="3" t="inlineStr">
        <is>
          <t>78.85</t>
        </is>
      </c>
      <c r="S2084" t="inlineStr">
        <is>
          <t>Karlsruhe</t>
        </is>
      </c>
    </row>
    <row r="2085">
      <c r="A2085" s="2" t="n">
        <v>4.7</v>
      </c>
      <c r="B2085" t="inlineStr">
        <is>
          <t>Simmer OS Wave</t>
        </is>
      </c>
      <c r="C2085" s="3" t="n">
        <v>422</v>
      </c>
      <c r="D2085" s="3" t="n">
        <v>162</v>
      </c>
      <c r="E2085" t="inlineStr">
        <is>
          <t>Wave</t>
        </is>
      </c>
      <c r="F2085" t="inlineStr"/>
      <c r="G2085" t="inlineStr">
        <is>
          <t>used</t>
        </is>
      </c>
      <c r="H2085" s="4" t="inlineStr"/>
      <c r="I2085" t="inlineStr">
        <is>
          <t>VB</t>
        </is>
      </c>
      <c r="J2085" t="inlineStr">
        <is>
          <t>68649 Hessen - Groß-Rohrheim</t>
        </is>
      </c>
      <c r="K2085" s="5" t="n">
        <v>45531</v>
      </c>
      <c r="L2085" t="inlineStr">
        <is>
          <t>Sold</t>
        </is>
      </c>
      <c r="M2085" s="6">
        <f>HYPERLINK("https://www.kleinanzeigen.de/s-anzeige/surfsegel-windsurfen-surfen-segel-simmer-os-wave-4-7/2847875863-230-4758", "Link")</f>
        <v/>
      </c>
      <c r="N2085" s="6">
        <f>HYPERLINK("C:\Projects\Kleinanzeigen-Scraper\offer_images\2847875863", "Link")</f>
        <v/>
      </c>
      <c r="O2085" t="inlineStr">
        <is>
          <t>Daniel</t>
        </is>
      </c>
      <c r="P2085" s="6">
        <f>HYPERLINK("https://www.kleinanzeigen.de/s-bestandsliste.html?userId=15416374", "Link")</f>
        <v/>
      </c>
      <c r="Q2085" s="7" t="n">
        <v>45533.55913194444</v>
      </c>
      <c r="R2085" s="3" t="inlineStr">
        <is>
          <t>78.85</t>
        </is>
      </c>
      <c r="S2085" t="inlineStr">
        <is>
          <t>Karlsruhe</t>
        </is>
      </c>
    </row>
    <row r="2086">
      <c r="A2086" s="2" t="n">
        <v>8.6</v>
      </c>
      <c r="B2086" t="inlineStr">
        <is>
          <t>Neil Pryde RS Slalom MK IV</t>
        </is>
      </c>
      <c r="C2086" s="3" t="n">
        <v>490</v>
      </c>
      <c r="D2086" s="3" t="n">
        <v>220</v>
      </c>
      <c r="E2086" t="inlineStr"/>
      <c r="F2086" t="inlineStr"/>
      <c r="G2086" t="inlineStr">
        <is>
          <t>used</t>
        </is>
      </c>
      <c r="H2086" s="4" t="n">
        <v>100</v>
      </c>
      <c r="I2086" t="inlineStr"/>
      <c r="J2086" t="inlineStr">
        <is>
          <t>70374 Stuttgart - Bad Cannstatt</t>
        </is>
      </c>
      <c r="K2086" s="5" t="n">
        <v>45533</v>
      </c>
      <c r="L2086" t="inlineStr">
        <is>
          <t>Sold</t>
        </is>
      </c>
      <c r="M2086" s="6">
        <f>HYPERLINK("https://www.kleinanzeigen.de/s-anzeige/neil-pryde-rs-slalom-mk-iv-8-6-windsurfen/2848954003-230-9335", "Link")</f>
        <v/>
      </c>
      <c r="N2086" s="6">
        <f>HYPERLINK("C:\Projects\Kleinanzeigen-Scraper\offer_images\2848954003", "Link")</f>
        <v/>
      </c>
      <c r="O2086" t="inlineStr">
        <is>
          <t>Stephan</t>
        </is>
      </c>
      <c r="P2086" s="6">
        <f>HYPERLINK("https://www.kleinanzeigen.de/s-bestandsliste.html?userId=35669520", "Link")</f>
        <v/>
      </c>
      <c r="Q2086" s="7" t="n">
        <v>45533.55909722222</v>
      </c>
      <c r="R2086" s="3" t="inlineStr">
        <is>
          <t>24.40</t>
        </is>
      </c>
      <c r="S2086" t="inlineStr">
        <is>
          <t>Böblingen</t>
        </is>
      </c>
    </row>
    <row r="2087">
      <c r="A2087" s="2" t="n">
        <v>5.8</v>
      </c>
      <c r="B2087" t="inlineStr">
        <is>
          <t>North Curve</t>
        </is>
      </c>
      <c r="C2087" s="3" t="inlineStr"/>
      <c r="D2087" s="3" t="inlineStr"/>
      <c r="E2087" t="inlineStr"/>
      <c r="F2087" t="inlineStr"/>
      <c r="G2087" t="inlineStr">
        <is>
          <t>new</t>
        </is>
      </c>
      <c r="H2087" s="4" t="n">
        <v>75</v>
      </c>
      <c r="I2087" t="inlineStr"/>
      <c r="J2087" t="inlineStr">
        <is>
          <t>72290 Baden-Württemberg - Loßburg</t>
        </is>
      </c>
      <c r="K2087" s="5" t="n">
        <v>45518</v>
      </c>
      <c r="L2087" t="inlineStr">
        <is>
          <t>Sold</t>
        </is>
      </c>
      <c r="M2087" s="6">
        <f>HYPERLINK("https://www.kleinanzeigen.de/s-anzeige/windsurf-segel-north-5-8-qm/2836444810-230-17626", "Link")</f>
        <v/>
      </c>
      <c r="N2087" s="6">
        <f>HYPERLINK("C:\Projects\Kleinanzeigen-Scraper\offer_images\2836444810", "Link")</f>
        <v/>
      </c>
      <c r="O2087" t="inlineStr">
        <is>
          <t>K.-H. Kowatsch</t>
        </is>
      </c>
      <c r="P2087" s="6">
        <f>HYPERLINK("https://www.kleinanzeigen.de/s-bestandsliste.html?userId=7914917", "Link")</f>
        <v/>
      </c>
      <c r="Q2087" s="7" t="n">
        <v>45531.42137731481</v>
      </c>
      <c r="R2087" s="3" t="inlineStr">
        <is>
          <t>48.67</t>
        </is>
      </c>
      <c r="S2087" t="inlineStr">
        <is>
          <t>Böblingen</t>
        </is>
      </c>
    </row>
    <row r="2088">
      <c r="A2088" s="2" t="n">
        <v>6.5</v>
      </c>
      <c r="B2088" t="inlineStr">
        <is>
          <t>Black Line 2000</t>
        </is>
      </c>
      <c r="C2088" s="3" t="inlineStr"/>
      <c r="D2088" s="3" t="n">
        <v>195</v>
      </c>
      <c r="E2088" t="inlineStr"/>
      <c r="F2088" t="inlineStr"/>
      <c r="G2088" t="inlineStr">
        <is>
          <t>used</t>
        </is>
      </c>
      <c r="H2088" s="4" t="n">
        <v>40</v>
      </c>
      <c r="I2088" t="inlineStr"/>
      <c r="J2088" t="inlineStr">
        <is>
          <t>68526 Baden-Württemberg - Ladenburg</t>
        </is>
      </c>
      <c r="K2088" s="5" t="n">
        <v>45525</v>
      </c>
      <c r="L2088" t="inlineStr">
        <is>
          <t>Sold</t>
        </is>
      </c>
      <c r="M2088" s="6">
        <f>HYPERLINK("https://www.kleinanzeigen.de/s-anzeige/windsurf-segel-gebraucht-6-5/2842750010-230-4764", "Link")</f>
        <v/>
      </c>
      <c r="N2088" s="6">
        <f>HYPERLINK("C:\Projects\Kleinanzeigen-Scraper\offer_images\2842750010", "Link")</f>
        <v/>
      </c>
      <c r="O2088" t="inlineStr">
        <is>
          <t>Neumann</t>
        </is>
      </c>
      <c r="P2088" s="6">
        <f>HYPERLINK("https://www.kleinanzeigen.de/s-bestandsliste.html?userId=12280815", "Link")</f>
        <v/>
      </c>
      <c r="Q2088" s="7" t="n">
        <v>45531.40636574074</v>
      </c>
      <c r="R2088" s="3" t="inlineStr">
        <is>
          <t>55.35</t>
        </is>
      </c>
      <c r="S2088" t="inlineStr">
        <is>
          <t>Karlsruhe</t>
        </is>
      </c>
    </row>
    <row r="2089">
      <c r="A2089" s="2" t="n">
        <v>6.5</v>
      </c>
      <c r="B2089" t="inlineStr">
        <is>
          <t>Sailloft Bionic SL</t>
        </is>
      </c>
      <c r="C2089" s="3" t="inlineStr"/>
      <c r="D2089" s="3" t="inlineStr"/>
      <c r="E2089" t="inlineStr"/>
      <c r="F2089" t="inlineStr"/>
      <c r="G2089" t="inlineStr">
        <is>
          <t>used</t>
        </is>
      </c>
      <c r="H2089" s="4" t="n">
        <v>90</v>
      </c>
      <c r="I2089" t="inlineStr"/>
      <c r="J2089" t="inlineStr">
        <is>
          <t>70597 Stuttgart</t>
        </is>
      </c>
      <c r="K2089" s="5" t="n">
        <v>45522</v>
      </c>
      <c r="L2089" t="inlineStr">
        <is>
          <t>Sold</t>
        </is>
      </c>
      <c r="M2089" s="6">
        <f>HYPERLINK("https://www.dailydose.de/kleinanzeigen/detail.htm?ai=421130&amp;cf=kk&amp;pg=4&amp;ci=5", "Link")</f>
        <v/>
      </c>
      <c r="N2089" s="6">
        <f>HYPERLINK("C:\Projects\Kleinanzeigen-Scraper\offer_images\421130", "Link")</f>
        <v/>
      </c>
      <c r="O2089" t="inlineStr">
        <is>
          <t>Thom_W</t>
        </is>
      </c>
      <c r="P2089" s="6">
        <f>HYPERLINK("https://www.dailydose.de/kleinanzeigen/user/26297", "Link")</f>
        <v/>
      </c>
      <c r="Q2089" s="7" t="n">
        <v>45531.38059027777</v>
      </c>
      <c r="R2089" s="3" t="inlineStr">
        <is>
          <t>16.37</t>
        </is>
      </c>
      <c r="S2089" t="inlineStr">
        <is>
          <t>Böblingen</t>
        </is>
      </c>
    </row>
    <row r="2090">
      <c r="A2090" s="2" t="n">
        <v>3.7</v>
      </c>
      <c r="B2090" t="inlineStr">
        <is>
          <t>GOYA BANZAI X</t>
        </is>
      </c>
      <c r="C2090" s="3" t="inlineStr"/>
      <c r="D2090" s="3" t="inlineStr"/>
      <c r="E2090" t="inlineStr"/>
      <c r="F2090" t="inlineStr">
        <is>
          <t>2023</t>
        </is>
      </c>
      <c r="G2090" t="inlineStr">
        <is>
          <t>used</t>
        </is>
      </c>
      <c r="H2090" s="4" t="n">
        <v>420</v>
      </c>
      <c r="I2090" t="inlineStr"/>
      <c r="J2090" t="inlineStr">
        <is>
          <t>67245</t>
        </is>
      </c>
      <c r="K2090" s="5" t="n">
        <v>45530</v>
      </c>
      <c r="L2090" t="inlineStr">
        <is>
          <t>Sold</t>
        </is>
      </c>
      <c r="M2090" s="6">
        <f>HYPERLINK("https://www.dailydose.de/kleinanzeigen/detail.htm?ai=421482&amp;cf=kk&amp;pg=5&amp;ci=5", "Link")</f>
        <v/>
      </c>
      <c r="N2090" s="6">
        <f>HYPERLINK("C:\Projects\Kleinanzeigen-Scraper\offer_images\421482", "Link")</f>
        <v/>
      </c>
      <c r="O2090" t="inlineStr">
        <is>
          <t>Frank_74</t>
        </is>
      </c>
      <c r="P2090" s="6">
        <f>HYPERLINK("https://www.dailydose.de/kleinanzeigen/user/6289", "Link")</f>
        <v/>
      </c>
      <c r="Q2090" s="7" t="n">
        <v>45531.38011574074</v>
      </c>
      <c r="R2090" s="3" t="inlineStr">
        <is>
          <t>56.18</t>
        </is>
      </c>
      <c r="S2090" t="inlineStr">
        <is>
          <t>Karlsruhe</t>
        </is>
      </c>
    </row>
    <row r="2091">
      <c r="A2091" s="2" t="n">
        <v>4.7</v>
      </c>
      <c r="B2091" t="inlineStr">
        <is>
          <t>Goya Banzai</t>
        </is>
      </c>
      <c r="C2091" s="3" t="inlineStr"/>
      <c r="D2091" s="3" t="inlineStr"/>
      <c r="E2091" t="inlineStr"/>
      <c r="F2091" t="inlineStr">
        <is>
          <t>2017</t>
        </is>
      </c>
      <c r="G2091" t="inlineStr">
        <is>
          <t>used</t>
        </is>
      </c>
      <c r="H2091" s="4" t="n">
        <v>160</v>
      </c>
      <c r="I2091" t="inlineStr"/>
      <c r="J2091" t="inlineStr">
        <is>
          <t>Stuttgart</t>
        </is>
      </c>
      <c r="K2091" s="5" t="n">
        <v>45527</v>
      </c>
      <c r="L2091" t="inlineStr">
        <is>
          <t>Sold</t>
        </is>
      </c>
      <c r="M2091" s="6">
        <f>HYPERLINK("https://www.dailydose.de/kleinanzeigen/detail.htm?ai=421324&amp;cf=kk&amp;pg=4&amp;ci=5", "Link")</f>
        <v/>
      </c>
      <c r="N2091" s="6">
        <f>HYPERLINK("C:\Projects\Kleinanzeigen-Scraper\offer_images\421324", "Link")</f>
        <v/>
      </c>
      <c r="O2091" t="inlineStr">
        <is>
          <t>Roman_96</t>
        </is>
      </c>
      <c r="P2091" s="6">
        <f>HYPERLINK("https://www.dailydose.de/kleinanzeigen/user/20905", "Link")</f>
        <v/>
      </c>
      <c r="Q2091" s="7" t="n">
        <v>45531.37989583334</v>
      </c>
      <c r="R2091" s="3" t="inlineStr">
        <is>
          <t>18.71</t>
        </is>
      </c>
      <c r="S2091" t="inlineStr">
        <is>
          <t>Böblingen</t>
        </is>
      </c>
    </row>
    <row r="2092">
      <c r="A2092" s="2" t="n">
        <v>4.8</v>
      </c>
      <c r="B2092" t="inlineStr">
        <is>
          <t>North Sails Duotone Idol LTD</t>
        </is>
      </c>
      <c r="C2092" s="3" t="inlineStr"/>
      <c r="D2092" s="3" t="n">
        <v>136</v>
      </c>
      <c r="E2092" t="inlineStr"/>
      <c r="F2092" t="inlineStr"/>
      <c r="G2092" t="inlineStr">
        <is>
          <t>used</t>
        </is>
      </c>
      <c r="H2092" s="4" t="n">
        <v>90</v>
      </c>
      <c r="I2092" t="inlineStr"/>
      <c r="J2092" t="inlineStr">
        <is>
          <t>Stuttgart</t>
        </is>
      </c>
      <c r="K2092" s="5" t="n">
        <v>45530</v>
      </c>
      <c r="L2092" t="inlineStr">
        <is>
          <t>Sold</t>
        </is>
      </c>
      <c r="M2092" s="6">
        <f>HYPERLINK("https://www.dailydose.de/kleinanzeigen/detail.htm?ai=421450&amp;cf=kk&amp;pg=5&amp;ci=5", "Link")</f>
        <v/>
      </c>
      <c r="N2092" s="6">
        <f>HYPERLINK("C:\Projects\Kleinanzeigen-Scraper\offer_images\421450", "Link")</f>
        <v/>
      </c>
      <c r="O2092" t="inlineStr">
        <is>
          <t>Roman_96</t>
        </is>
      </c>
      <c r="P2092" s="6">
        <f>HYPERLINK("https://www.dailydose.de/kleinanzeigen/user/20905", "Link")</f>
        <v/>
      </c>
      <c r="Q2092" s="7" t="n">
        <v>45531.37946759259</v>
      </c>
      <c r="R2092" s="3" t="inlineStr">
        <is>
          <t>18.71</t>
        </is>
      </c>
      <c r="S2092" t="inlineStr">
        <is>
          <t>Böblingen</t>
        </is>
      </c>
    </row>
    <row r="2093">
      <c r="A2093" s="2" t="n">
        <v>7.4</v>
      </c>
      <c r="B2093" t="inlineStr">
        <is>
          <t>Goya Nexus</t>
        </is>
      </c>
      <c r="C2093" s="3" t="n">
        <v>460</v>
      </c>
      <c r="D2093" s="3" t="inlineStr"/>
      <c r="E2093" t="inlineStr"/>
      <c r="F2093" t="inlineStr">
        <is>
          <t>2019</t>
        </is>
      </c>
      <c r="G2093" t="inlineStr">
        <is>
          <t>used</t>
        </is>
      </c>
      <c r="H2093" s="4" t="n">
        <v>270</v>
      </c>
      <c r="I2093" t="inlineStr"/>
      <c r="J2093" t="inlineStr">
        <is>
          <t>Stuttgart</t>
        </is>
      </c>
      <c r="K2093" s="5" t="n">
        <v>45527</v>
      </c>
      <c r="L2093" t="inlineStr">
        <is>
          <t>Sold</t>
        </is>
      </c>
      <c r="M2093" s="6">
        <f>HYPERLINK("https://www.dailydose.de/kleinanzeigen/detail.htm?ai=421320&amp;cf=kk&amp;pg=4&amp;ci=5", "Link")</f>
        <v/>
      </c>
      <c r="N2093" s="6">
        <f>HYPERLINK("C:\Projects\Kleinanzeigen-Scraper\offer_images\421320", "Link")</f>
        <v/>
      </c>
      <c r="O2093" t="inlineStr">
        <is>
          <t>Roman_96</t>
        </is>
      </c>
      <c r="P2093" s="6">
        <f>HYPERLINK("https://www.dailydose.de/kleinanzeigen/user/20905", "Link")</f>
        <v/>
      </c>
      <c r="Q2093" s="7" t="n">
        <v>45531.37946759259</v>
      </c>
      <c r="R2093" s="3" t="inlineStr">
        <is>
          <t>18.71</t>
        </is>
      </c>
      <c r="S2093" t="inlineStr">
        <is>
          <t>Böblingen</t>
        </is>
      </c>
    </row>
    <row r="2094">
      <c r="A2094" s="2" t="n">
        <v>4.7</v>
      </c>
      <c r="B2094" t="inlineStr">
        <is>
          <t>GOYA BANZAI X</t>
        </is>
      </c>
      <c r="C2094" s="3" t="n">
        <v>400</v>
      </c>
      <c r="D2094" s="3" t="n">
        <v>158</v>
      </c>
      <c r="E2094" t="inlineStr"/>
      <c r="F2094" t="inlineStr">
        <is>
          <t>2023</t>
        </is>
      </c>
      <c r="G2094" t="inlineStr">
        <is>
          <t>used</t>
        </is>
      </c>
      <c r="H2094" s="4" t="n">
        <v>420</v>
      </c>
      <c r="I2094" t="inlineStr"/>
      <c r="J2094" t="inlineStr">
        <is>
          <t>67245</t>
        </is>
      </c>
      <c r="K2094" s="5" t="n">
        <v>45527</v>
      </c>
      <c r="L2094" t="inlineStr">
        <is>
          <t>Sold</t>
        </is>
      </c>
      <c r="M2094" s="6">
        <f>HYPERLINK("https://www.dailydose.de/kleinanzeigen/detail.htm?ai=421293&amp;cf=kk&amp;pg=4&amp;ci=5", "Link")</f>
        <v/>
      </c>
      <c r="N2094" s="6">
        <f>HYPERLINK("C:\Projects\Kleinanzeigen-Scraper\offer_images\421293", "Link")</f>
        <v/>
      </c>
      <c r="O2094" t="inlineStr">
        <is>
          <t>Frank_74</t>
        </is>
      </c>
      <c r="P2094" s="6">
        <f>HYPERLINK("https://www.dailydose.de/kleinanzeigen/user/6289", "Link")</f>
        <v/>
      </c>
      <c r="Q2094" s="7" t="n">
        <v>45531.37935185185</v>
      </c>
      <c r="R2094" s="3" t="inlineStr">
        <is>
          <t>56.18</t>
        </is>
      </c>
      <c r="S2094" t="inlineStr">
        <is>
          <t>Karlsruhe</t>
        </is>
      </c>
    </row>
    <row r="2095">
      <c r="A2095" s="2" t="n">
        <v>4.2</v>
      </c>
      <c r="B2095" t="inlineStr">
        <is>
          <t>GOYA BANZAI X</t>
        </is>
      </c>
      <c r="C2095" s="3" t="inlineStr"/>
      <c r="D2095" s="3" t="inlineStr"/>
      <c r="E2095" t="inlineStr"/>
      <c r="F2095" t="inlineStr">
        <is>
          <t>2023</t>
        </is>
      </c>
      <c r="G2095" t="inlineStr">
        <is>
          <t>used</t>
        </is>
      </c>
      <c r="H2095" s="4" t="n">
        <v>420</v>
      </c>
      <c r="I2095" t="inlineStr"/>
      <c r="J2095" t="inlineStr">
        <is>
          <t>67245</t>
        </is>
      </c>
      <c r="K2095" s="5" t="n">
        <v>45527</v>
      </c>
      <c r="L2095" t="inlineStr">
        <is>
          <t>Sold</t>
        </is>
      </c>
      <c r="M2095" s="6">
        <f>HYPERLINK("https://www.dailydose.de/kleinanzeigen/detail.htm?ai=421292&amp;cf=kk&amp;pg=4&amp;ci=5", "Link")</f>
        <v/>
      </c>
      <c r="N2095" s="6">
        <f>HYPERLINK("C:\Projects\Kleinanzeigen-Scraper\offer_images\421292", "Link")</f>
        <v/>
      </c>
      <c r="O2095" t="inlineStr">
        <is>
          <t>Frank_74</t>
        </is>
      </c>
      <c r="P2095" s="6">
        <f>HYPERLINK("https://www.dailydose.de/kleinanzeigen/user/6289", "Link")</f>
        <v/>
      </c>
      <c r="Q2095" s="7" t="n">
        <v>45531.37931712963</v>
      </c>
      <c r="R2095" s="3" t="inlineStr">
        <is>
          <t>56.18</t>
        </is>
      </c>
      <c r="S2095" t="inlineStr">
        <is>
          <t>Karlsruhe</t>
        </is>
      </c>
    </row>
    <row r="2096">
      <c r="A2096" s="2" t="n">
        <v>5.9</v>
      </c>
      <c r="B2096" t="inlineStr">
        <is>
          <t>North Sails i.d.</t>
        </is>
      </c>
      <c r="C2096" s="3" t="inlineStr"/>
      <c r="D2096" s="3" t="n">
        <v>180</v>
      </c>
      <c r="E2096" t="inlineStr"/>
      <c r="F2096" t="inlineStr"/>
      <c r="G2096" t="inlineStr">
        <is>
          <t>used</t>
        </is>
      </c>
      <c r="H2096" s="4" t="n">
        <v>150</v>
      </c>
      <c r="I2096" t="inlineStr"/>
      <c r="J2096" t="inlineStr">
        <is>
          <t>70794 Baden-Württemberg - Filderstadt</t>
        </is>
      </c>
      <c r="K2096" s="5" t="n">
        <v>45527</v>
      </c>
      <c r="L2096" t="inlineStr">
        <is>
          <t>Sold</t>
        </is>
      </c>
      <c r="M2096" s="6">
        <f>HYPERLINK("https://www.kleinanzeigen.de/s-anzeige/north-sails-i-d-5-9-segel-windsurfing-windsurfen-surfen/2844154354-230-8892", "Link")</f>
        <v/>
      </c>
      <c r="N2096" s="6">
        <f>HYPERLINK("C:\Projects\Kleinanzeigen-Scraper\offer_images\2844154354", "Link")</f>
        <v/>
      </c>
      <c r="O2096" t="inlineStr">
        <is>
          <t>Nicolas Pfeifle</t>
        </is>
      </c>
      <c r="P2096" s="6">
        <f>HYPERLINK("https://www.kleinanzeigen.de/s-bestandsliste.html?userId=26051920", "Link")</f>
        <v/>
      </c>
      <c r="Q2096" s="7" t="n">
        <v>45531.3789699074</v>
      </c>
      <c r="R2096" s="3" t="inlineStr">
        <is>
          <t>17.11</t>
        </is>
      </c>
      <c r="S2096" t="inlineStr">
        <is>
          <t>Böblingen</t>
        </is>
      </c>
    </row>
    <row r="2097">
      <c r="A2097" s="2" t="n">
        <v>7</v>
      </c>
      <c r="B2097" t="inlineStr">
        <is>
          <t>Severne S-2</t>
        </is>
      </c>
      <c r="C2097" s="3" t="inlineStr"/>
      <c r="D2097" s="3" t="inlineStr"/>
      <c r="E2097" t="inlineStr"/>
      <c r="F2097" t="inlineStr"/>
      <c r="G2097" t="inlineStr">
        <is>
          <t>new</t>
        </is>
      </c>
      <c r="H2097" s="4" t="n">
        <v>200</v>
      </c>
      <c r="I2097" t="inlineStr">
        <is>
          <t>VB</t>
        </is>
      </c>
      <c r="J2097" t="inlineStr">
        <is>
          <t>68309 Baden-Württemberg - Mannheim</t>
        </is>
      </c>
      <c r="K2097" s="5" t="n">
        <v>45522</v>
      </c>
      <c r="L2097" t="inlineStr"/>
      <c r="M2097" s="6">
        <f>HYPERLINK("https://www.kleinanzeigen.de/s-anzeige/windsurf-segel-severne-s-2-7qm-noch-nie-benutzt-incl-huelle/2840161827-230-7973", "Link")</f>
        <v/>
      </c>
      <c r="N2097" s="6">
        <f>HYPERLINK("C:\Projects\Kleinanzeigen-Scraper\offer_images\2840161827", "Link")</f>
        <v/>
      </c>
      <c r="O2097" t="inlineStr">
        <is>
          <t>LB</t>
        </is>
      </c>
      <c r="P2097" s="6">
        <f>HYPERLINK("https://www.kleinanzeigen.de/s-bestandsliste.html?userId=43146762", "Link")</f>
        <v/>
      </c>
      <c r="Q2097" s="7" t="n">
        <v>45531.3789699074</v>
      </c>
      <c r="R2097" s="3" t="inlineStr">
        <is>
          <t>57.34</t>
        </is>
      </c>
      <c r="S2097" t="inlineStr">
        <is>
          <t>Karlsruhe</t>
        </is>
      </c>
    </row>
    <row r="2098">
      <c r="A2098" s="2" t="n">
        <v>4</v>
      </c>
      <c r="B2098" t="inlineStr">
        <is>
          <t>ART Attack Wave/Slalom</t>
        </is>
      </c>
      <c r="C2098" s="3" t="n">
        <v>405</v>
      </c>
      <c r="D2098" s="3" t="n">
        <v>155</v>
      </c>
      <c r="E2098" t="inlineStr"/>
      <c r="F2098" t="inlineStr"/>
      <c r="G2098" t="inlineStr">
        <is>
          <t>used</t>
        </is>
      </c>
      <c r="H2098" s="4" t="n">
        <v>70</v>
      </c>
      <c r="I2098" t="inlineStr"/>
      <c r="J2098" t="inlineStr">
        <is>
          <t>74321 Baden-Württemberg - Bietigheim-Bissingen</t>
        </is>
      </c>
      <c r="K2098" s="5" t="n">
        <v>45529</v>
      </c>
      <c r="L2098" t="inlineStr">
        <is>
          <t>Sold</t>
        </is>
      </c>
      <c r="M2098" s="6">
        <f>HYPERLINK("https://www.kleinanzeigen.de/s-anzeige/windsurf-segel-4-0-qm/2845692243-230-8681", "Link")</f>
        <v/>
      </c>
      <c r="N2098" s="6">
        <f>HYPERLINK("C:\Projects\Kleinanzeigen-Scraper\offer_images\2845692243", "Link")</f>
        <v/>
      </c>
      <c r="O2098" t="inlineStr">
        <is>
          <t>Andreas Jung</t>
        </is>
      </c>
      <c r="P2098" s="6">
        <f>HYPERLINK("https://www.kleinanzeigen.de/s-bestandsliste.html?userId=12454431", "Link")</f>
        <v/>
      </c>
      <c r="Q2098" s="7" t="n">
        <v>45531.3788425926</v>
      </c>
      <c r="R2098" s="3" t="inlineStr">
        <is>
          <t>32.66</t>
        </is>
      </c>
      <c r="S2098" t="inlineStr">
        <is>
          <t>Böblingen</t>
        </is>
      </c>
    </row>
    <row r="2099">
      <c r="A2099" s="2" t="n">
        <v>4.5</v>
      </c>
      <c r="B2099" t="inlineStr">
        <is>
          <t>Simmer Style</t>
        </is>
      </c>
      <c r="C2099" s="3" t="n">
        <v>370</v>
      </c>
      <c r="D2099" s="3" t="n">
        <v>159</v>
      </c>
      <c r="E2099" t="inlineStr"/>
      <c r="F2099" t="inlineStr"/>
      <c r="G2099" t="inlineStr">
        <is>
          <t>used</t>
        </is>
      </c>
      <c r="H2099" s="4" t="n">
        <v>70</v>
      </c>
      <c r="I2099" t="inlineStr">
        <is>
          <t>VB</t>
        </is>
      </c>
      <c r="J2099" t="inlineStr">
        <is>
          <t>73230 Baden-Württemberg - Kirchheim unter Teck</t>
        </is>
      </c>
      <c r="K2099" s="5" t="n">
        <v>45529</v>
      </c>
      <c r="L2099" t="inlineStr"/>
      <c r="M2099" s="6">
        <f>HYPERLINK("https://www.kleinanzeigen.de/s-anzeige/windsurf-segel-4-5-qm-spark-von-simmer-style/2846403071-230-8464", "Link")</f>
        <v/>
      </c>
      <c r="N2099" s="6">
        <f>HYPERLINK("C:\Projects\Kleinanzeigen-Scraper\offer_images\2846403071", "Link")</f>
        <v/>
      </c>
      <c r="O2099" t="inlineStr">
        <is>
          <t>Rau</t>
        </is>
      </c>
      <c r="P2099" s="6">
        <f>HYPERLINK("https://www.kleinanzeigen.de/s-bestandsliste.html?userId=50531084", "Link")</f>
        <v/>
      </c>
      <c r="Q2099" s="7" t="n">
        <v>45531.37871527778</v>
      </c>
      <c r="R2099" s="3" t="inlineStr">
        <is>
          <t>35.61</t>
        </is>
      </c>
      <c r="S2099" t="inlineStr">
        <is>
          <t>Böblingen</t>
        </is>
      </c>
    </row>
    <row r="2100">
      <c r="A2100" s="2" t="n">
        <v>6</v>
      </c>
      <c r="B2100" t="inlineStr"/>
      <c r="C2100" s="3" t="n">
        <v>4.72</v>
      </c>
      <c r="D2100" s="3" t="n">
        <v>1.91</v>
      </c>
      <c r="E2100" t="inlineStr"/>
      <c r="F2100" t="inlineStr"/>
      <c r="G2100" t="inlineStr">
        <is>
          <t>used</t>
        </is>
      </c>
      <c r="H2100" s="4" t="n">
        <v>40</v>
      </c>
      <c r="I2100" t="inlineStr"/>
      <c r="J2100" t="inlineStr">
        <is>
          <t>68526 Baden-Württemberg - Ladenburg</t>
        </is>
      </c>
      <c r="K2100" s="5" t="n">
        <v>45525</v>
      </c>
      <c r="L2100" t="inlineStr">
        <is>
          <t>Sold</t>
        </is>
      </c>
      <c r="M2100" s="6">
        <f>HYPERLINK("https://www.kleinanzeigen.de/s-anzeige/windsurf-segel-gebraucht-6-0/2842748637-230-4764", "Link")</f>
        <v/>
      </c>
      <c r="N2100" s="6">
        <f>HYPERLINK("C:\Projects\Kleinanzeigen-Scraper\offer_images\2842748637", "Link")</f>
        <v/>
      </c>
      <c r="O2100" t="inlineStr">
        <is>
          <t>Neumann</t>
        </is>
      </c>
      <c r="P2100" s="6">
        <f>HYPERLINK("https://www.kleinanzeigen.de/s-bestandsliste.html?userId=12280815", "Link")</f>
        <v/>
      </c>
      <c r="Q2100" s="7" t="n">
        <v>45531.37855324074</v>
      </c>
      <c r="R2100" s="3" t="inlineStr">
        <is>
          <t>55.35</t>
        </is>
      </c>
      <c r="S2100" t="inlineStr">
        <is>
          <t>Karlsruhe</t>
        </is>
      </c>
    </row>
    <row r="2101">
      <c r="A2101" s="2" t="n">
        <v>6.5</v>
      </c>
      <c r="B2101" t="inlineStr">
        <is>
          <t>NeilPryde RS Racing EVO 14 XIV</t>
        </is>
      </c>
      <c r="C2101" s="3" t="n">
        <v>430</v>
      </c>
      <c r="D2101" s="3" t="inlineStr"/>
      <c r="E2101" t="inlineStr"/>
      <c r="F2101" t="inlineStr">
        <is>
          <t>2024</t>
        </is>
      </c>
      <c r="G2101" t="inlineStr">
        <is>
          <t>new</t>
        </is>
      </c>
      <c r="H2101" s="4" t="n">
        <v>850</v>
      </c>
      <c r="I2101" t="inlineStr"/>
      <c r="J2101" t="inlineStr">
        <is>
          <t>76275 Baden-Württemberg - Ettlingen</t>
        </is>
      </c>
      <c r="K2101" s="5" t="n">
        <v>45525</v>
      </c>
      <c r="L2101" t="inlineStr"/>
      <c r="M2101" s="6">
        <f>HYPERLINK("https://www.kleinanzeigen.de/s-anzeige/neilpryde-rs-racing-evo-14-xiv-6-5-slalom-windsurf-neil-pryde-24/2842480144-230-8929", "Link")</f>
        <v/>
      </c>
      <c r="N2101" s="6">
        <f>HYPERLINK("C:\Projects\Kleinanzeigen-Scraper\offer_images\2842480144", "Link")</f>
        <v/>
      </c>
      <c r="O2101" t="inlineStr">
        <is>
          <t>Markus</t>
        </is>
      </c>
      <c r="P2101" s="6">
        <f>HYPERLINK("https://www.kleinanzeigen.de/s-bestandsliste.html?userId=15703486", "Link")</f>
        <v/>
      </c>
      <c r="Q2101" s="7" t="n">
        <v>45531.3784837963</v>
      </c>
      <c r="R2101" s="3" t="inlineStr">
        <is>
          <t>8.80</t>
        </is>
      </c>
      <c r="S2101" t="inlineStr">
        <is>
          <t>Karlsruhe</t>
        </is>
      </c>
    </row>
    <row r="2102">
      <c r="A2102" s="2" t="n">
        <v>6.2</v>
      </c>
      <c r="B2102" t="inlineStr">
        <is>
          <t>Neil Pryde Speedster</t>
        </is>
      </c>
      <c r="C2102" s="3" t="n">
        <v>430</v>
      </c>
      <c r="D2102" s="3" t="n">
        <v>193</v>
      </c>
      <c r="E2102" t="inlineStr"/>
      <c r="F2102" t="inlineStr">
        <is>
          <t>2020</t>
        </is>
      </c>
      <c r="G2102" t="inlineStr">
        <is>
          <t>used</t>
        </is>
      </c>
      <c r="H2102" s="4" t="n">
        <v>270</v>
      </c>
      <c r="I2102" t="inlineStr">
        <is>
          <t>VB</t>
        </is>
      </c>
      <c r="J2102" t="inlineStr">
        <is>
          <t>69509 Hessen - Mörlenbach</t>
        </is>
      </c>
      <c r="K2102" s="5" t="n">
        <v>45518</v>
      </c>
      <c r="L2102" t="inlineStr">
        <is>
          <t>Sold</t>
        </is>
      </c>
      <c r="M2102" s="6">
        <f>HYPERLINK("https://www.kleinanzeigen.de/s-anzeige/windsurf-segel-neil-pryde-speedster-6-2qm-2020/2836858818-230-8262", "Link")</f>
        <v/>
      </c>
      <c r="N2102" s="6">
        <f>HYPERLINK("C:\Projects\Kleinanzeigen-Scraper\offer_images\2836858818", "Link")</f>
        <v/>
      </c>
      <c r="O2102" t="inlineStr">
        <is>
          <t>F.H</t>
        </is>
      </c>
      <c r="P2102" s="6">
        <f>HYPERLINK("https://www.kleinanzeigen.de/s-bestandsliste.html?userId=37370143", "Link")</f>
        <v/>
      </c>
      <c r="Q2102" s="7" t="n">
        <v>45522.63929398148</v>
      </c>
      <c r="R2102" s="3" t="inlineStr">
        <is>
          <t>69.61</t>
        </is>
      </c>
      <c r="S2102" t="inlineStr">
        <is>
          <t>Karlsruhe</t>
        </is>
      </c>
    </row>
    <row r="2103">
      <c r="A2103" s="2" t="n">
        <v>8</v>
      </c>
      <c r="B2103" t="inlineStr">
        <is>
          <t>Gaastra Cosmic</t>
        </is>
      </c>
      <c r="C2103" s="3" t="inlineStr"/>
      <c r="D2103" s="3" t="inlineStr"/>
      <c r="E2103" t="inlineStr"/>
      <c r="F2103" t="inlineStr">
        <is>
          <t>2012</t>
        </is>
      </c>
      <c r="G2103" t="inlineStr">
        <is>
          <t>used</t>
        </is>
      </c>
      <c r="H2103" s="4" t="n">
        <v>180</v>
      </c>
      <c r="I2103" t="inlineStr"/>
      <c r="J2103" t="inlineStr">
        <is>
          <t>69518 Hessen - Abtsteinach</t>
        </is>
      </c>
      <c r="K2103" s="5" t="n">
        <v>45521</v>
      </c>
      <c r="L2103" t="inlineStr"/>
      <c r="M2103" s="6">
        <f>HYPERLINK("https://www.kleinanzeigen.de/s-anzeige/gaastra-cosmic-8-0-camber-windsurf-sail-segel/2839002985-230-8265", "Link")</f>
        <v/>
      </c>
      <c r="N2103" s="6">
        <f>HYPERLINK("C:\Projects\Kleinanzeigen-Scraper\offer_images\2839002985", "Link")</f>
        <v/>
      </c>
      <c r="O2103" t="inlineStr">
        <is>
          <t>Florian Falter</t>
        </is>
      </c>
      <c r="P2103" s="6">
        <f>HYPERLINK("https://www.kleinanzeigen.de/s-bestandsliste.html?userId=17213382", "Link")</f>
        <v/>
      </c>
      <c r="Q2103" s="7" t="n">
        <v>45522.63864583334</v>
      </c>
      <c r="R2103" s="3" t="inlineStr">
        <is>
          <t>65.38</t>
        </is>
      </c>
      <c r="S2103" t="inlineStr">
        <is>
          <t>Karlsruhe</t>
        </is>
      </c>
    </row>
    <row r="2104">
      <c r="A2104" s="2" t="n">
        <v>3.4</v>
      </c>
      <c r="B2104" t="inlineStr">
        <is>
          <t>GUNSAILS</t>
        </is>
      </c>
      <c r="C2104" s="3" t="n">
        <v>370</v>
      </c>
      <c r="D2104" s="3" t="inlineStr"/>
      <c r="E2104" t="inlineStr"/>
      <c r="F2104" t="inlineStr"/>
      <c r="G2104" t="inlineStr">
        <is>
          <t>new</t>
        </is>
      </c>
      <c r="H2104" s="4" t="n">
        <v>80</v>
      </c>
      <c r="I2104" t="inlineStr"/>
      <c r="J2104" t="inlineStr">
        <is>
          <t>70771 Baden-Württemberg - Leinfelden-Echterdingen</t>
        </is>
      </c>
      <c r="K2104" s="5" t="n">
        <v>45521</v>
      </c>
      <c r="L2104" t="inlineStr">
        <is>
          <t>Sold</t>
        </is>
      </c>
      <c r="M2104" s="6">
        <f>HYPERLINK("https://www.kleinanzeigen.de/s-anzeige/kinder-segel-gunsails-3-4-m-windsurfen-vario-top-wie-neu/2838840849-230-8453", "Link")</f>
        <v/>
      </c>
      <c r="N2104" s="6">
        <f>HYPERLINK("C:\Projects\Kleinanzeigen-Scraper\offer_images\2838840849", "Link")</f>
        <v/>
      </c>
      <c r="O2104" t="inlineStr">
        <is>
          <t>Volmering</t>
        </is>
      </c>
      <c r="P2104" s="6">
        <f>HYPERLINK("https://www.kleinanzeigen.de/s-bestandsliste.html?userId=2892351", "Link")</f>
        <v/>
      </c>
      <c r="Q2104" s="7" t="n">
        <v>45522.63849537037</v>
      </c>
      <c r="R2104" s="3" t="inlineStr">
        <is>
          <t>12.10</t>
        </is>
      </c>
      <c r="S2104" t="inlineStr">
        <is>
          <t>Böblingen</t>
        </is>
      </c>
    </row>
    <row r="2105">
      <c r="A2105" s="2" t="n">
        <v>5.8</v>
      </c>
      <c r="B2105" t="inlineStr">
        <is>
          <t>Neilpryde</t>
        </is>
      </c>
      <c r="C2105" s="3" t="inlineStr"/>
      <c r="D2105" s="3" t="inlineStr"/>
      <c r="E2105" t="inlineStr"/>
      <c r="F2105" t="inlineStr"/>
      <c r="G2105" t="inlineStr">
        <is>
          <t>repaired</t>
        </is>
      </c>
      <c r="H2105" s="4" t="n">
        <v>80</v>
      </c>
      <c r="I2105" t="inlineStr">
        <is>
          <t>VB</t>
        </is>
      </c>
      <c r="J2105" t="inlineStr">
        <is>
          <t>76135 Baden-Württemberg - Karlsruhe</t>
        </is>
      </c>
      <c r="K2105" s="5" t="n">
        <v>45519</v>
      </c>
      <c r="L2105" t="inlineStr"/>
      <c r="M2105" s="6">
        <f>HYPERLINK("https://www.kleinanzeigen.de/s-anzeige/neilpryde-windsurf-segel-5-8-m-/2837386310-230-9193", "Link")</f>
        <v/>
      </c>
      <c r="N2105" s="6">
        <f>HYPERLINK("C:\Projects\Kleinanzeigen-Scraper\offer_images\2837386310", "Link")</f>
        <v/>
      </c>
      <c r="O2105" t="inlineStr">
        <is>
          <t>Jacob</t>
        </is>
      </c>
      <c r="P2105" s="6">
        <f>HYPERLINK("https://www.kleinanzeigen.de/s-bestandsliste.html?userId=120785771", "Link")</f>
        <v/>
      </c>
      <c r="Q2105" s="7" t="n">
        <v>45522.63832175926</v>
      </c>
      <c r="R2105" s="3" t="inlineStr">
        <is>
          <t>1.79</t>
        </is>
      </c>
      <c r="S2105" t="inlineStr">
        <is>
          <t>Karlsruhe</t>
        </is>
      </c>
    </row>
    <row r="2106">
      <c r="A2106" s="2" t="n">
        <v>7.7</v>
      </c>
      <c r="B2106" t="inlineStr">
        <is>
          <t>Neilpryde H2</t>
        </is>
      </c>
      <c r="C2106" s="3" t="inlineStr"/>
      <c r="D2106" s="3" t="inlineStr"/>
      <c r="E2106" t="inlineStr"/>
      <c r="F2106" t="inlineStr"/>
      <c r="G2106" t="inlineStr">
        <is>
          <t>used, repaired</t>
        </is>
      </c>
      <c r="H2106" s="4" t="n">
        <v>65</v>
      </c>
      <c r="I2106" t="inlineStr"/>
      <c r="J2106" t="inlineStr">
        <is>
          <t>Stuttgart</t>
        </is>
      </c>
      <c r="K2106" s="5" t="n">
        <v>45518</v>
      </c>
      <c r="L2106" t="inlineStr">
        <is>
          <t>Sold</t>
        </is>
      </c>
      <c r="M2106" s="6">
        <f>HYPERLINK("https://www.dailydose.de/kleinanzeigen/detail.htm?ai=420867&amp;cf=kk&amp;pg=2&amp;ci=5", "Link")</f>
        <v/>
      </c>
      <c r="N2106" s="6">
        <f>HYPERLINK("C:\Projects\Kleinanzeigen-Scraper\offer_images\420867", "Link")</f>
        <v/>
      </c>
      <c r="O2106" t="inlineStr">
        <is>
          <t>Roman_96</t>
        </is>
      </c>
      <c r="P2106" s="6">
        <f>HYPERLINK("https://www.dailydose.de/kleinanzeigen/user/20905", "Link")</f>
        <v/>
      </c>
      <c r="Q2106" s="7" t="n">
        <v>45518.57987268519</v>
      </c>
      <c r="R2106" s="3" t="inlineStr">
        <is>
          <t>18.71</t>
        </is>
      </c>
      <c r="S2106" t="inlineStr">
        <is>
          <t>Böblingen</t>
        </is>
      </c>
    </row>
    <row r="2107">
      <c r="A2107" s="2" t="n">
        <v>6.9</v>
      </c>
      <c r="B2107" t="inlineStr">
        <is>
          <t>North</t>
        </is>
      </c>
      <c r="C2107" s="3" t="inlineStr"/>
      <c r="D2107" s="3" t="inlineStr"/>
      <c r="E2107" t="inlineStr"/>
      <c r="F2107" t="inlineStr"/>
      <c r="G2107" t="inlineStr">
        <is>
          <t>used</t>
        </is>
      </c>
      <c r="H2107" s="4" t="n">
        <v>100</v>
      </c>
      <c r="I2107" t="inlineStr"/>
      <c r="J2107" t="inlineStr">
        <is>
          <t>72290 Baden-Württemberg - Loßburg</t>
        </is>
      </c>
      <c r="K2107" s="5" t="n">
        <v>45518</v>
      </c>
      <c r="L2107" t="inlineStr">
        <is>
          <t>Sold</t>
        </is>
      </c>
      <c r="M2107" s="6">
        <f>HYPERLINK("https://www.kleinanzeigen.de/s-anzeige/windsurf-segel-north-6-9-qm/2836451414-230-17626", "Link")</f>
        <v/>
      </c>
      <c r="N2107" s="6">
        <f>HYPERLINK("C:\Projects\Kleinanzeigen-Scraper\offer_images\2836451414", "Link")</f>
        <v/>
      </c>
      <c r="O2107" t="inlineStr">
        <is>
          <t>K.-H. Kowatsch</t>
        </is>
      </c>
      <c r="P2107" s="6">
        <f>HYPERLINK("https://www.kleinanzeigen.de/s-bestandsliste.html?userId=7914917", "Link")</f>
        <v/>
      </c>
      <c r="Q2107" s="7" t="n">
        <v>45518.57828703704</v>
      </c>
      <c r="R2107" s="3" t="inlineStr">
        <is>
          <t>48.67</t>
        </is>
      </c>
      <c r="S2107" t="inlineStr">
        <is>
          <t>Böblingen</t>
        </is>
      </c>
    </row>
    <row r="2108">
      <c r="A2108" s="2" t="n">
        <v>5.6</v>
      </c>
      <c r="B2108" t="inlineStr">
        <is>
          <t>North Sails Infinity</t>
        </is>
      </c>
      <c r="C2108" s="3" t="n">
        <v>4.55</v>
      </c>
      <c r="D2108" s="3" t="n">
        <v>1.8</v>
      </c>
      <c r="E2108" t="inlineStr"/>
      <c r="F2108" t="inlineStr"/>
      <c r="G2108" t="inlineStr">
        <is>
          <t>used</t>
        </is>
      </c>
      <c r="H2108" s="4" t="n">
        <v>90</v>
      </c>
      <c r="I2108" t="inlineStr"/>
      <c r="J2108" t="inlineStr">
        <is>
          <t>71254 Baden-Württemberg - Ditzingen</t>
        </is>
      </c>
      <c r="K2108" s="5" t="n">
        <v>45516</v>
      </c>
      <c r="L2108" t="inlineStr">
        <is>
          <t>Sold</t>
        </is>
      </c>
      <c r="M2108" s="6">
        <f>HYPERLINK("https://www.kleinanzeigen.de/s-anzeige/windsurf-segel-surfsegel-north-sails-infinity-5-6-mit-camber/2835291136-230-8865", "Link")</f>
        <v/>
      </c>
      <c r="N2108" s="6">
        <f>HYPERLINK("C:\Projects\Kleinanzeigen-Scraper\offer_images\2835291136", "Link")</f>
        <v/>
      </c>
      <c r="O2108" t="inlineStr">
        <is>
          <t>Johannes Gaechter</t>
        </is>
      </c>
      <c r="P2108" s="6">
        <f>HYPERLINK("https://www.kleinanzeigen.de/s-bestandsliste.html?userId=2640764", "Link")</f>
        <v/>
      </c>
      <c r="Q2108" s="7" t="n">
        <v>45517.576875</v>
      </c>
      <c r="R2108" s="3" t="inlineStr">
        <is>
          <t>18.57</t>
        </is>
      </c>
      <c r="S2108" t="inlineStr">
        <is>
          <t>Böblingen</t>
        </is>
      </c>
    </row>
    <row r="2109">
      <c r="A2109" s="2" t="n">
        <v>4.5</v>
      </c>
      <c r="B2109" t="inlineStr">
        <is>
          <t>Naish Force Five</t>
        </is>
      </c>
      <c r="C2109" s="3" t="inlineStr"/>
      <c r="D2109" s="3" t="inlineStr"/>
      <c r="E2109" t="inlineStr"/>
      <c r="F2109" t="inlineStr">
        <is>
          <t>2017</t>
        </is>
      </c>
      <c r="G2109" t="inlineStr">
        <is>
          <t>used</t>
        </is>
      </c>
      <c r="H2109" s="4" t="n">
        <v>220</v>
      </c>
      <c r="I2109" t="inlineStr"/>
      <c r="J2109" t="inlineStr">
        <is>
          <t>75328 Schömberg</t>
        </is>
      </c>
      <c r="K2109" s="5" t="n">
        <v>45515</v>
      </c>
      <c r="L2109" t="inlineStr">
        <is>
          <t>Sold</t>
        </is>
      </c>
      <c r="M2109" s="6">
        <f>HYPERLINK("https://www.dailydose.de/kleinanzeigen/detail.htm?ai=420768&amp;cf=kk&amp;pg=3&amp;ci=5", "Link")</f>
        <v/>
      </c>
      <c r="N2109" s="6">
        <f>HYPERLINK("C:\Projects\Kleinanzeigen-Scraper\offer_images\420768", "Link")</f>
        <v/>
      </c>
      <c r="O2109" t="inlineStr">
        <is>
          <t>Flo_50</t>
        </is>
      </c>
      <c r="P2109" s="6">
        <f>HYPERLINK("https://www.dailydose.de/kleinanzeigen/user/7452", "Link")</f>
        <v/>
      </c>
      <c r="Q2109" s="7" t="n">
        <v>45516.48636574074</v>
      </c>
      <c r="R2109" s="3" t="inlineStr">
        <is>
          <t>27.93</t>
        </is>
      </c>
      <c r="S2109" t="inlineStr">
        <is>
          <t>Böblingen</t>
        </is>
      </c>
    </row>
    <row r="2110">
      <c r="A2110" s="2" t="n">
        <v>8.5</v>
      </c>
      <c r="B2110" t="inlineStr">
        <is>
          <t>Neil Pryde V8</t>
        </is>
      </c>
      <c r="C2110" s="3" t="n">
        <v>490</v>
      </c>
      <c r="D2110" s="3" t="n">
        <v>227</v>
      </c>
      <c r="E2110" t="inlineStr"/>
      <c r="F2110" t="inlineStr"/>
      <c r="G2110" t="inlineStr">
        <is>
          <t>used, damaged</t>
        </is>
      </c>
      <c r="H2110" s="4" t="n">
        <v>69</v>
      </c>
      <c r="I2110" t="inlineStr"/>
      <c r="J2110" t="inlineStr">
        <is>
          <t>71394 Baden-Württemberg - Kernen im Remstal</t>
        </is>
      </c>
      <c r="K2110" s="5" t="n">
        <v>45514</v>
      </c>
      <c r="L2110" t="inlineStr">
        <is>
          <t>Sold</t>
        </is>
      </c>
      <c r="M2110" s="6">
        <f>HYPERLINK("https://www.kleinanzeigen.de/s-anzeige/windsurf-segel-neil-pryde-v8-8-5-m-/2833954296-230-8383", "Link")</f>
        <v/>
      </c>
      <c r="N2110" s="6">
        <f>HYPERLINK("C:\Projects\Kleinanzeigen-Scraper\offer_images\2833954296", "Link")</f>
        <v/>
      </c>
      <c r="O2110" t="inlineStr">
        <is>
          <t>Thomas Bezler</t>
        </is>
      </c>
      <c r="P2110" s="6">
        <f>HYPERLINK("https://www.kleinanzeigen.de/s-bestandsliste.html?userId=31103849", "Link")</f>
        <v/>
      </c>
      <c r="Q2110" s="7" t="n">
        <v>45515.66025462963</v>
      </c>
      <c r="R2110" s="3" t="inlineStr">
        <is>
          <t>29.07</t>
        </is>
      </c>
      <c r="S2110" t="inlineStr">
        <is>
          <t>Böblingen</t>
        </is>
      </c>
    </row>
    <row r="2111">
      <c r="A2111" s="2" t="n">
        <v>6.6</v>
      </c>
      <c r="B2111" t="inlineStr">
        <is>
          <t>North Sails E-Type</t>
        </is>
      </c>
      <c r="C2111" s="3" t="n">
        <v>460</v>
      </c>
      <c r="D2111" s="3" t="n">
        <v>199</v>
      </c>
      <c r="E2111" t="inlineStr"/>
      <c r="F2111" t="inlineStr"/>
      <c r="G2111" t="inlineStr">
        <is>
          <t>used</t>
        </is>
      </c>
      <c r="H2111" s="4" t="n">
        <v>90</v>
      </c>
      <c r="I2111" t="inlineStr">
        <is>
          <t>VB</t>
        </is>
      </c>
      <c r="J2111" t="inlineStr">
        <is>
          <t>68794 Baden-Württemberg - Oberhausen-Rheinhausen</t>
        </is>
      </c>
      <c r="K2111" s="5" t="n">
        <v>45514</v>
      </c>
      <c r="L2111" t="inlineStr">
        <is>
          <t>Sold</t>
        </is>
      </c>
      <c r="M2111" s="6">
        <f>HYPERLINK("https://www.kleinanzeigen.de/s-anzeige/north-sails-e-type-6-6-surfsegel-windsurfen/2833264814-230-8338", "Link")</f>
        <v/>
      </c>
      <c r="N2111" s="6">
        <f>HYPERLINK("C:\Projects\Kleinanzeigen-Scraper\offer_images\2833264814", "Link")</f>
        <v/>
      </c>
      <c r="O2111" t="inlineStr">
        <is>
          <t>Metzler</t>
        </is>
      </c>
      <c r="P2111" s="6">
        <f>HYPERLINK("https://www.kleinanzeigen.de/s-bestandsliste.html?userId=73550942", "Link")</f>
        <v/>
      </c>
      <c r="Q2111" s="7" t="n">
        <v>45514.3625462963</v>
      </c>
      <c r="R2111" s="3" t="inlineStr">
        <is>
          <t>30.38</t>
        </is>
      </c>
      <c r="S2111" t="inlineStr">
        <is>
          <t>Karlsruhe</t>
        </is>
      </c>
    </row>
    <row r="2112">
      <c r="A2112" s="2" t="n">
        <v>4.7</v>
      </c>
      <c r="B2112" t="inlineStr">
        <is>
          <t>Simmer OS Wave</t>
        </is>
      </c>
      <c r="C2112" s="3" t="n">
        <v>430</v>
      </c>
      <c r="D2112" s="3" t="n">
        <v>162</v>
      </c>
      <c r="E2112" t="inlineStr"/>
      <c r="F2112" t="inlineStr"/>
      <c r="G2112" t="inlineStr">
        <is>
          <t>used</t>
        </is>
      </c>
      <c r="H2112" s="4" t="inlineStr"/>
      <c r="I2112" t="inlineStr">
        <is>
          <t>VB</t>
        </is>
      </c>
      <c r="J2112" t="inlineStr">
        <is>
          <t>68649 Hessen - Groß-Rohrheim</t>
        </is>
      </c>
      <c r="K2112" s="5" t="n">
        <v>45513</v>
      </c>
      <c r="L2112" t="inlineStr">
        <is>
          <t>Sold</t>
        </is>
      </c>
      <c r="M2112" s="6">
        <f>HYPERLINK("https://www.kleinanzeigen.de/s-anzeige/surfsegel-windsurfen-surfen-segel-simmer-os-wave-4-7/2832758912-230-4758", "Link")</f>
        <v/>
      </c>
      <c r="N2112" s="6">
        <f>HYPERLINK("C:\Projects\Kleinanzeigen-Scraper\offer_images\2832758912", "Link")</f>
        <v/>
      </c>
      <c r="O2112" t="inlineStr">
        <is>
          <t>Daniel</t>
        </is>
      </c>
      <c r="P2112" s="6">
        <f>HYPERLINK("https://www.kleinanzeigen.de/s-bestandsliste.html?userId=15416374", "Link")</f>
        <v/>
      </c>
      <c r="Q2112" s="7" t="n">
        <v>45514.36206018519</v>
      </c>
      <c r="R2112" s="3" t="inlineStr">
        <is>
          <t>78.85</t>
        </is>
      </c>
      <c r="S2112" t="inlineStr">
        <is>
          <t>Karlsruhe</t>
        </is>
      </c>
    </row>
    <row r="2113">
      <c r="A2113" s="2" t="n">
        <v>7.5</v>
      </c>
      <c r="B2113" t="inlineStr">
        <is>
          <t>Neilpryde Street Racer</t>
        </is>
      </c>
      <c r="C2113" s="3" t="inlineStr"/>
      <c r="D2113" s="3" t="inlineStr"/>
      <c r="E2113" t="inlineStr"/>
      <c r="F2113" t="inlineStr"/>
      <c r="G2113" t="inlineStr">
        <is>
          <t>used</t>
        </is>
      </c>
      <c r="H2113" s="4" t="inlineStr"/>
      <c r="I2113" t="inlineStr">
        <is>
          <t>VB</t>
        </is>
      </c>
      <c r="J2113" t="inlineStr">
        <is>
          <t>68649 Hessen - Groß-Rohrheim</t>
        </is>
      </c>
      <c r="K2113" s="5" t="n">
        <v>45513</v>
      </c>
      <c r="L2113" t="inlineStr">
        <is>
          <t>Sold</t>
        </is>
      </c>
      <c r="M2113" s="6">
        <f>HYPERLINK("https://www.kleinanzeigen.de/s-anzeige/surfsegel-windsurfen-segel-surfen-neilpryde-street-racer-7-5/2832765382-230-4758", "Link")</f>
        <v/>
      </c>
      <c r="N2113" s="6">
        <f>HYPERLINK("C:\Projects\Kleinanzeigen-Scraper\offer_images\2832765382", "Link")</f>
        <v/>
      </c>
      <c r="O2113" t="inlineStr">
        <is>
          <t>Daniel</t>
        </is>
      </c>
      <c r="P2113" s="6">
        <f>HYPERLINK("https://www.kleinanzeigen.de/s-bestandsliste.html?userId=15416374", "Link")</f>
        <v/>
      </c>
      <c r="Q2113" s="7" t="n">
        <v>45514.36203703703</v>
      </c>
      <c r="R2113" s="3" t="inlineStr">
        <is>
          <t>78.85</t>
        </is>
      </c>
      <c r="S2113" t="inlineStr">
        <is>
          <t>Karlsruhe</t>
        </is>
      </c>
    </row>
    <row r="2114">
      <c r="A2114" s="2" t="n">
        <v>6.4</v>
      </c>
      <c r="B2114" t="inlineStr">
        <is>
          <t>Surfslalom TC</t>
        </is>
      </c>
      <c r="C2114" s="3" t="n">
        <v>4.86</v>
      </c>
      <c r="D2114" s="3" t="n">
        <v>2.13</v>
      </c>
      <c r="E2114" t="inlineStr"/>
      <c r="F2114" t="inlineStr"/>
      <c r="G2114" t="inlineStr">
        <is>
          <t>used</t>
        </is>
      </c>
      <c r="H2114" s="4" t="inlineStr"/>
      <c r="I2114" t="inlineStr">
        <is>
          <t>VB</t>
        </is>
      </c>
      <c r="J2114" t="inlineStr">
        <is>
          <t>68649 Hessen - Groß-Rohrheim</t>
        </is>
      </c>
      <c r="K2114" s="5" t="n">
        <v>45513</v>
      </c>
      <c r="L2114" t="inlineStr">
        <is>
          <t>Sold</t>
        </is>
      </c>
      <c r="M2114" s="6">
        <f>HYPERLINK("https://www.kleinanzeigen.de/s-anzeige/surfsegel-windsurfen-segel-surfen-surfslalom-tc-6-4/2832761462-230-4758", "Link")</f>
        <v/>
      </c>
      <c r="N2114" s="6">
        <f>HYPERLINK("C:\Projects\Kleinanzeigen-Scraper\offer_images\2832761462", "Link")</f>
        <v/>
      </c>
      <c r="O2114" t="inlineStr">
        <is>
          <t>Daniel</t>
        </is>
      </c>
      <c r="P2114" s="6">
        <f>HYPERLINK("https://www.kleinanzeigen.de/s-bestandsliste.html?userId=15416374", "Link")</f>
        <v/>
      </c>
      <c r="Q2114" s="7" t="n">
        <v>45514.36177083333</v>
      </c>
      <c r="R2114" s="3" t="inlineStr">
        <is>
          <t>78.85</t>
        </is>
      </c>
      <c r="S2114" t="inlineStr">
        <is>
          <t>Karlsruhe</t>
        </is>
      </c>
    </row>
    <row r="2115">
      <c r="A2115" s="2" t="n">
        <v>9.300000000000001</v>
      </c>
      <c r="B2115" t="inlineStr">
        <is>
          <t>Duotone S-Pace</t>
        </is>
      </c>
      <c r="C2115" s="3" t="n">
        <v>490</v>
      </c>
      <c r="D2115" s="3" t="inlineStr"/>
      <c r="E2115" t="inlineStr"/>
      <c r="F2115" t="inlineStr"/>
      <c r="G2115" t="inlineStr">
        <is>
          <t>used</t>
        </is>
      </c>
      <c r="H2115" s="4" t="n">
        <v>550</v>
      </c>
      <c r="I2115" t="inlineStr"/>
      <c r="J2115" t="inlineStr">
        <is>
          <t>71336  Waiblingen</t>
        </is>
      </c>
      <c r="K2115" s="5" t="n">
        <v>45510</v>
      </c>
      <c r="L2115" t="inlineStr">
        <is>
          <t>Sold</t>
        </is>
      </c>
      <c r="M2115" s="6">
        <f>HYPERLINK("https://www.dailydose.de/kleinanzeigen/detail.htm?ai=420539&amp;cf=kk&amp;pg=4&amp;ci=5", "Link")</f>
        <v/>
      </c>
      <c r="N2115" s="6">
        <f>HYPERLINK("C:\Projects\Kleinanzeigen-Scraper\offer_images\420539", "Link")</f>
        <v/>
      </c>
      <c r="O2115" t="inlineStr">
        <is>
          <t>Thomas L.</t>
        </is>
      </c>
      <c r="P2115" s="6">
        <f>HYPERLINK("https://www.dailydose.de/kleinanzeigen/user/14138", "Link")</f>
        <v/>
      </c>
      <c r="Q2115" s="7" t="n">
        <v>45511.56130787037</v>
      </c>
      <c r="R2115" s="3" t="inlineStr">
        <is>
          <t>33.67</t>
        </is>
      </c>
      <c r="S2115" t="inlineStr">
        <is>
          <t>Böblingen</t>
        </is>
      </c>
    </row>
    <row r="2116">
      <c r="A2116" s="2" t="n">
        <v>9.5</v>
      </c>
      <c r="B2116" t="inlineStr">
        <is>
          <t>North R-Type</t>
        </is>
      </c>
      <c r="C2116" s="3" t="inlineStr"/>
      <c r="D2116" s="3" t="inlineStr">
        <is>
          <t>241 - 244</t>
        </is>
      </c>
      <c r="E2116" t="inlineStr"/>
      <c r="F2116" t="inlineStr"/>
      <c r="G2116" t="inlineStr">
        <is>
          <t>used</t>
        </is>
      </c>
      <c r="H2116" s="4" t="n">
        <v>165</v>
      </c>
      <c r="I2116" t="inlineStr"/>
      <c r="J2116" t="inlineStr">
        <is>
          <t>71336  Waiblingen</t>
        </is>
      </c>
      <c r="K2116" s="5" t="n">
        <v>45510</v>
      </c>
      <c r="L2116" t="inlineStr">
        <is>
          <t>Sold</t>
        </is>
      </c>
      <c r="M2116" s="6">
        <f>HYPERLINK("https://www.dailydose.de/kleinanzeigen/detail.htm?ai=420535&amp;cf=kk&amp;pg=4&amp;ci=5", "Link")</f>
        <v/>
      </c>
      <c r="N2116" s="6">
        <f>HYPERLINK("C:\Projects\Kleinanzeigen-Scraper\offer_images\420535", "Link")</f>
        <v/>
      </c>
      <c r="O2116" t="inlineStr">
        <is>
          <t>Thomas L.</t>
        </is>
      </c>
      <c r="P2116" s="6">
        <f>HYPERLINK("https://www.dailydose.de/kleinanzeigen/user/14138", "Link")</f>
        <v/>
      </c>
      <c r="Q2116" s="7" t="n">
        <v>45511.56069444444</v>
      </c>
      <c r="R2116" s="3" t="inlineStr">
        <is>
          <t>33.67</t>
        </is>
      </c>
      <c r="S2116" t="inlineStr">
        <is>
          <t>Böblingen</t>
        </is>
      </c>
    </row>
    <row r="2117">
      <c r="A2117" s="2" t="n">
        <v>5</v>
      </c>
      <c r="B2117" t="inlineStr">
        <is>
          <t>North Sails Instinct</t>
        </is>
      </c>
      <c r="C2117" s="3" t="n">
        <v>4.3</v>
      </c>
      <c r="D2117" s="3" t="n">
        <v>173</v>
      </c>
      <c r="E2117" t="inlineStr"/>
      <c r="F2117" t="inlineStr"/>
      <c r="G2117" t="inlineStr">
        <is>
          <t>used</t>
        </is>
      </c>
      <c r="H2117" s="4" t="n">
        <v>70</v>
      </c>
      <c r="I2117" t="inlineStr"/>
      <c r="J2117" t="inlineStr">
        <is>
          <t>71336   Waiblingen</t>
        </is>
      </c>
      <c r="K2117" s="5" t="n">
        <v>45510</v>
      </c>
      <c r="L2117" t="inlineStr">
        <is>
          <t>Sold</t>
        </is>
      </c>
      <c r="M2117" s="6">
        <f>HYPERLINK("https://www.dailydose.de/kleinanzeigen/detail.htm?ai=420537&amp;cf=kk&amp;pg=4&amp;ci=5", "Link")</f>
        <v/>
      </c>
      <c r="N2117" s="6">
        <f>HYPERLINK("C:\Projects\Kleinanzeigen-Scraper\offer_images\420537", "Link")</f>
        <v/>
      </c>
      <c r="O2117" t="inlineStr">
        <is>
          <t>Thomas L.</t>
        </is>
      </c>
      <c r="P2117" s="6">
        <f>HYPERLINK("https://www.dailydose.de/kleinanzeigen/user/14138", "Link")</f>
        <v/>
      </c>
      <c r="Q2117" s="7" t="n">
        <v>45511.56021990741</v>
      </c>
      <c r="R2117" s="3" t="inlineStr">
        <is>
          <t>33.67</t>
        </is>
      </c>
      <c r="S2117" t="inlineStr">
        <is>
          <t>Böblingen</t>
        </is>
      </c>
    </row>
    <row r="2118">
      <c r="A2118" s="2" t="n">
        <v>3.6</v>
      </c>
      <c r="B2118" t="inlineStr">
        <is>
          <t>Patrik 4 Wave</t>
        </is>
      </c>
      <c r="C2118" s="3" t="n">
        <v>370</v>
      </c>
      <c r="D2118" s="3" t="n">
        <v>144</v>
      </c>
      <c r="E2118" t="inlineStr"/>
      <c r="F2118" t="inlineStr">
        <is>
          <t>2023</t>
        </is>
      </c>
      <c r="G2118" t="inlineStr">
        <is>
          <t>new</t>
        </is>
      </c>
      <c r="H2118" s="4" t="n">
        <v>280</v>
      </c>
      <c r="I2118" t="inlineStr"/>
      <c r="J2118" t="inlineStr">
        <is>
          <t>Stuttgart</t>
        </is>
      </c>
      <c r="K2118" s="5" t="n">
        <v>45509</v>
      </c>
      <c r="L2118" t="inlineStr">
        <is>
          <t>Sold</t>
        </is>
      </c>
      <c r="M2118" s="6">
        <f>HYPERLINK("https://www.dailydose.de/kleinanzeigen/detail.htm?ai=420481&amp;cf=kk&amp;pg=2&amp;ci=5", "Link")</f>
        <v/>
      </c>
      <c r="N2118" s="6">
        <f>HYPERLINK("C:\Projects\Kleinanzeigen-Scraper\offer_images\420481", "Link")</f>
        <v/>
      </c>
      <c r="O2118" t="inlineStr">
        <is>
          <t>Roman_96</t>
        </is>
      </c>
      <c r="P2118" s="6">
        <f>HYPERLINK("https://www.dailydose.de/kleinanzeigen/user/20905", "Link")</f>
        <v/>
      </c>
      <c r="Q2118" s="7" t="n">
        <v>45510.63094907408</v>
      </c>
      <c r="R2118" s="3" t="inlineStr">
        <is>
          <t>18.71</t>
        </is>
      </c>
      <c r="S2118" t="inlineStr">
        <is>
          <t>Böblingen</t>
        </is>
      </c>
    </row>
    <row r="2119">
      <c r="A2119" s="2" t="n">
        <v>4.2</v>
      </c>
      <c r="B2119" t="inlineStr">
        <is>
          <t>GOYA BANZAI X</t>
        </is>
      </c>
      <c r="C2119" s="3" t="n">
        <v>370</v>
      </c>
      <c r="D2119" s="3" t="inlineStr">
        <is>
          <t>152-149</t>
        </is>
      </c>
      <c r="E2119" t="inlineStr"/>
      <c r="F2119" t="inlineStr">
        <is>
          <t>2021/22</t>
        </is>
      </c>
      <c r="G2119" t="inlineStr">
        <is>
          <t>used</t>
        </is>
      </c>
      <c r="H2119" s="4" t="n">
        <v>325</v>
      </c>
      <c r="I2119" t="inlineStr"/>
      <c r="J2119" t="inlineStr">
        <is>
          <t>67245</t>
        </is>
      </c>
      <c r="K2119" s="5" t="n">
        <v>45509</v>
      </c>
      <c r="L2119" t="inlineStr">
        <is>
          <t>Sold</t>
        </is>
      </c>
      <c r="M2119" s="6">
        <f>HYPERLINK("https://www.dailydose.de/kleinanzeigen/detail.htm?ai=420449&amp;cf=kk&amp;pg=3&amp;ci=5", "Link")</f>
        <v/>
      </c>
      <c r="N2119" s="6">
        <f>HYPERLINK("C:\Projects\Kleinanzeigen-Scraper\offer_images\420449", "Link")</f>
        <v/>
      </c>
      <c r="O2119" t="inlineStr">
        <is>
          <t>Frank_74</t>
        </is>
      </c>
      <c r="P2119" s="6">
        <f>HYPERLINK("https://www.dailydose.de/kleinanzeigen/user/6289", "Link")</f>
        <v/>
      </c>
      <c r="Q2119" s="7" t="n">
        <v>45509.55559027778</v>
      </c>
      <c r="R2119" s="3" t="inlineStr">
        <is>
          <t>56.18</t>
        </is>
      </c>
      <c r="S2119" t="inlineStr">
        <is>
          <t>Karlsruhe</t>
        </is>
      </c>
    </row>
    <row r="2120">
      <c r="A2120" s="2" t="n">
        <v>4.4</v>
      </c>
      <c r="B2120" t="inlineStr">
        <is>
          <t>Severne S1</t>
        </is>
      </c>
      <c r="C2120" s="3" t="n">
        <v>370</v>
      </c>
      <c r="D2120" s="3" t="n">
        <v>155</v>
      </c>
      <c r="E2120" t="inlineStr"/>
      <c r="F2120" t="inlineStr"/>
      <c r="G2120" t="inlineStr">
        <is>
          <t>used</t>
        </is>
      </c>
      <c r="H2120" s="4" t="n">
        <v>160</v>
      </c>
      <c r="I2120" t="inlineStr"/>
      <c r="J2120" t="inlineStr">
        <is>
          <t>Stuttgart</t>
        </is>
      </c>
      <c r="K2120" s="5" t="n">
        <v>45505</v>
      </c>
      <c r="L2120" t="inlineStr">
        <is>
          <t>Sold</t>
        </is>
      </c>
      <c r="M2120" s="6">
        <f>HYPERLINK("https://www.dailydose.de/kleinanzeigen/detail.htm?ai=420278&amp;cf=kk&amp;pg=1&amp;ci=5", "Link")</f>
        <v/>
      </c>
      <c r="N2120" s="6">
        <f>HYPERLINK("C:\Projects\Kleinanzeigen-Scraper\offer_images\420278", "Link")</f>
        <v/>
      </c>
      <c r="O2120" t="inlineStr">
        <is>
          <t>Roman_96</t>
        </is>
      </c>
      <c r="P2120" s="6">
        <f>HYPERLINK("https://www.dailydose.de/kleinanzeigen/user/20905", "Link")</f>
        <v/>
      </c>
      <c r="Q2120" s="7" t="n">
        <v>45505.9490162037</v>
      </c>
      <c r="R2120" s="3" t="inlineStr">
        <is>
          <t>18.71</t>
        </is>
      </c>
      <c r="S2120" t="inlineStr">
        <is>
          <t>Böblingen</t>
        </is>
      </c>
    </row>
    <row r="2121">
      <c r="A2121" s="2" t="n">
        <v>3.6</v>
      </c>
      <c r="B2121" t="inlineStr">
        <is>
          <t>Patrik 4 Wave</t>
        </is>
      </c>
      <c r="C2121" s="3" t="n">
        <v>340</v>
      </c>
      <c r="D2121" s="3" t="n">
        <v>144</v>
      </c>
      <c r="E2121" t="inlineStr"/>
      <c r="F2121" t="inlineStr">
        <is>
          <t>2023</t>
        </is>
      </c>
      <c r="G2121" t="inlineStr">
        <is>
          <t>new</t>
        </is>
      </c>
      <c r="H2121" s="4" t="n">
        <v>320</v>
      </c>
      <c r="I2121" t="inlineStr"/>
      <c r="J2121" t="inlineStr">
        <is>
          <t>Stuttgart</t>
        </is>
      </c>
      <c r="K2121" s="5" t="n">
        <v>45490</v>
      </c>
      <c r="L2121" t="inlineStr">
        <is>
          <t>Sold</t>
        </is>
      </c>
      <c r="M2121" s="6">
        <f>HYPERLINK("https://www.dailydose.de/kleinanzeigen/detail.htm?ai=419560&amp;cf=kk&amp;pg=6&amp;ci=5", "Link")</f>
        <v/>
      </c>
      <c r="N2121" s="6">
        <f>HYPERLINK("C:\Projects\Kleinanzeigen-Scraper\offer_images\419560", "Link")</f>
        <v/>
      </c>
      <c r="O2121" t="inlineStr">
        <is>
          <t>Roman_96</t>
        </is>
      </c>
      <c r="P2121" s="6">
        <f>HYPERLINK("https://www.dailydose.de/kleinanzeigen/user/20905", "Link")</f>
        <v/>
      </c>
      <c r="Q2121" s="7" t="n">
        <v>45505.94802083333</v>
      </c>
      <c r="R2121" s="3" t="inlineStr">
        <is>
          <t>18.71</t>
        </is>
      </c>
      <c r="S2121" t="inlineStr">
        <is>
          <t>Böblingen</t>
        </is>
      </c>
    </row>
    <row r="2122">
      <c r="A2122" s="2" t="n">
        <v>9</v>
      </c>
      <c r="B2122" t="inlineStr">
        <is>
          <t>NEIL PRYDE EVO</t>
        </is>
      </c>
      <c r="C2122" s="3" t="inlineStr"/>
      <c r="D2122" s="3" t="inlineStr"/>
      <c r="E2122" t="inlineStr"/>
      <c r="F2122" t="inlineStr"/>
      <c r="G2122" t="inlineStr">
        <is>
          <t>used</t>
        </is>
      </c>
      <c r="H2122" s="4" t="n">
        <v>620</v>
      </c>
      <c r="I2122" t="inlineStr"/>
      <c r="J2122" t="inlineStr">
        <is>
          <t>6142 Mieders</t>
        </is>
      </c>
      <c r="K2122" s="5" t="n">
        <v>45486</v>
      </c>
      <c r="L2122" t="inlineStr">
        <is>
          <t>Sold</t>
        </is>
      </c>
      <c r="M2122" s="6">
        <f>HYPERLINK("https://www.dailydose.de/kleinanzeigen/detail.htm?ai=419284&amp;cf=kk&amp;pg=7&amp;ci=5", "Link")</f>
        <v/>
      </c>
      <c r="N2122" s="6">
        <f>HYPERLINK("C:\Projects\Kleinanzeigen-Scraper\offer_images\419284", "Link")</f>
        <v/>
      </c>
      <c r="O2122" t="inlineStr">
        <is>
          <t>Flo Steger</t>
        </is>
      </c>
      <c r="P2122" s="6">
        <f>HYPERLINK("https://www.dailydose.de/kleinanzeigen/user/8513", "Link")</f>
        <v/>
      </c>
      <c r="Q2122" s="7" t="n">
        <v>45505.94799768519</v>
      </c>
      <c r="R2122" s="3" t="inlineStr">
        <is>
          <t>108.48</t>
        </is>
      </c>
      <c r="S2122" t="inlineStr">
        <is>
          <t>München</t>
        </is>
      </c>
    </row>
    <row r="2123">
      <c r="A2123" s="2" t="n">
        <v>9</v>
      </c>
      <c r="B2123" t="inlineStr">
        <is>
          <t>Sailloft Traction</t>
        </is>
      </c>
      <c r="C2123" s="3" t="inlineStr"/>
      <c r="D2123" s="3" t="inlineStr"/>
      <c r="E2123" t="inlineStr"/>
      <c r="F2123" t="inlineStr"/>
      <c r="G2123" t="inlineStr">
        <is>
          <t>used</t>
        </is>
      </c>
      <c r="H2123" s="4" t="n">
        <v>170</v>
      </c>
      <c r="I2123" t="inlineStr"/>
      <c r="J2123" t="inlineStr">
        <is>
          <t>79114 Freiburg</t>
        </is>
      </c>
      <c r="K2123" s="5" t="n">
        <v>45504</v>
      </c>
      <c r="L2123" t="inlineStr">
        <is>
          <t>Sold</t>
        </is>
      </c>
      <c r="M2123" s="6">
        <f>HYPERLINK("https://www.dailydose.de/kleinanzeigen/detail.htm?ai=420257&amp;cf=kk&amp;pg=4&amp;ci=5", "Link")</f>
        <v/>
      </c>
      <c r="N2123" s="6">
        <f>HYPERLINK("C:\Projects\Kleinanzeigen-Scraper\offer_images\420257", "Link")</f>
        <v/>
      </c>
      <c r="O2123" t="inlineStr">
        <is>
          <t>wenigwind_104</t>
        </is>
      </c>
      <c r="P2123" s="6">
        <f>HYPERLINK("https://www.dailydose.de/kleinanzeigen/user/20460", "Link")</f>
        <v/>
      </c>
      <c r="Q2123" s="7" t="n">
        <v>45505.83971064815</v>
      </c>
      <c r="R2123" s="3" t="inlineStr">
        <is>
          <t>44.06</t>
        </is>
      </c>
      <c r="S2123" t="inlineStr">
        <is>
          <t>Bonndorf</t>
        </is>
      </c>
    </row>
    <row r="2124">
      <c r="A2124" s="2" t="n">
        <v>8.5</v>
      </c>
      <c r="B2124" t="inlineStr">
        <is>
          <t>Loftsails Oxygen HD</t>
        </is>
      </c>
      <c r="C2124" s="3" t="inlineStr"/>
      <c r="D2124" s="3" t="inlineStr"/>
      <c r="E2124" t="inlineStr"/>
      <c r="F2124" t="inlineStr">
        <is>
          <t>2022</t>
        </is>
      </c>
      <c r="G2124" t="inlineStr">
        <is>
          <t>used</t>
        </is>
      </c>
      <c r="H2124" s="4" t="n">
        <v>390</v>
      </c>
      <c r="I2124" t="inlineStr"/>
      <c r="J2124" t="inlineStr">
        <is>
          <t>79114 Freiburg</t>
        </is>
      </c>
      <c r="K2124" s="5" t="n">
        <v>45504</v>
      </c>
      <c r="L2124" t="inlineStr">
        <is>
          <t>Sold</t>
        </is>
      </c>
      <c r="M2124" s="6">
        <f>HYPERLINK("https://www.dailydose.de/kleinanzeigen/detail.htm?ai=420256&amp;cf=kk&amp;pg=4&amp;ci=5", "Link")</f>
        <v/>
      </c>
      <c r="N2124" s="6">
        <f>HYPERLINK("C:\Projects\Kleinanzeigen-Scraper\offer_images\420256", "Link")</f>
        <v/>
      </c>
      <c r="O2124" t="inlineStr">
        <is>
          <t>wenigwind_104</t>
        </is>
      </c>
      <c r="P2124" s="6">
        <f>HYPERLINK("https://www.dailydose.de/kleinanzeigen/user/20460", "Link")</f>
        <v/>
      </c>
      <c r="Q2124" s="7" t="n">
        <v>45505.83971064815</v>
      </c>
      <c r="R2124" s="3" t="inlineStr">
        <is>
          <t>44.06</t>
        </is>
      </c>
      <c r="S2124" t="inlineStr">
        <is>
          <t>Bonndorf</t>
        </is>
      </c>
    </row>
    <row r="2125">
      <c r="A2125" s="2" t="n">
        <v>5.6</v>
      </c>
      <c r="B2125" t="inlineStr">
        <is>
          <t>Severne Foil Freek</t>
        </is>
      </c>
      <c r="C2125" s="3" t="n">
        <v>430</v>
      </c>
      <c r="D2125" s="3" t="n">
        <v>170</v>
      </c>
      <c r="E2125" t="inlineStr"/>
      <c r="F2125" t="inlineStr"/>
      <c r="G2125" t="inlineStr">
        <is>
          <t>used</t>
        </is>
      </c>
      <c r="H2125" s="4" t="n">
        <v>400</v>
      </c>
      <c r="I2125" t="inlineStr"/>
      <c r="J2125" t="inlineStr">
        <is>
          <t>63897 Miltenberg</t>
        </is>
      </c>
      <c r="K2125" s="5" t="n">
        <v>45504</v>
      </c>
      <c r="L2125" t="inlineStr">
        <is>
          <t>Sold</t>
        </is>
      </c>
      <c r="M2125" s="6">
        <f>HYPERLINK("https://www.dailydose.de/kleinanzeigen/detail.htm?ai=420235&amp;cf=kk&amp;pg=4&amp;ci=5", "Link")</f>
        <v/>
      </c>
      <c r="N2125" s="6">
        <f>HYPERLINK("C:\Projects\Kleinanzeigen-Scraper\offer_images\420235", "Link")</f>
        <v/>
      </c>
      <c r="O2125" t="inlineStr">
        <is>
          <t>Rainer_61</t>
        </is>
      </c>
      <c r="P2125" s="6">
        <f>HYPERLINK("https://www.dailydose.de/kleinanzeigen/user/19584", "Link")</f>
        <v/>
      </c>
      <c r="Q2125" s="7" t="n">
        <v>45505.83922453703</v>
      </c>
      <c r="R2125" s="3" t="inlineStr">
        <is>
          <t>99.60</t>
        </is>
      </c>
      <c r="S2125" t="inlineStr">
        <is>
          <t>Karlsruhe</t>
        </is>
      </c>
    </row>
    <row r="2126">
      <c r="A2126" s="2" t="n">
        <v>6</v>
      </c>
      <c r="B2126" t="inlineStr">
        <is>
          <t>Fanatic</t>
        </is>
      </c>
      <c r="C2126" s="3" t="inlineStr"/>
      <c r="D2126" s="3" t="inlineStr"/>
      <c r="E2126" t="inlineStr"/>
      <c r="F2126" t="inlineStr"/>
      <c r="G2126" t="inlineStr">
        <is>
          <t>used</t>
        </is>
      </c>
      <c r="H2126" s="4" t="inlineStr">
        <is>
          <t>Zu verschenken</t>
        </is>
      </c>
      <c r="I2126" t="inlineStr"/>
      <c r="J2126" t="inlineStr">
        <is>
          <t>68753 Baden-Württemberg - Waghäusel</t>
        </is>
      </c>
      <c r="K2126" s="5" t="n">
        <v>45504</v>
      </c>
      <c r="L2126" t="inlineStr">
        <is>
          <t>Sold</t>
        </is>
      </c>
      <c r="M2126" s="6">
        <f>HYPERLINK("https://www.kleinanzeigen.de/s-anzeige/altes-windsurf-segel-6qm/2825938484-230-8337", "Link")</f>
        <v/>
      </c>
      <c r="N2126" s="6">
        <f>HYPERLINK("C:\Projects\Kleinanzeigen-Scraper\offer_images\2825938484", "Link")</f>
        <v/>
      </c>
      <c r="O2126" t="inlineStr">
        <is>
          <t>Rio</t>
        </is>
      </c>
      <c r="P2126" s="6">
        <f>HYPERLINK("https://www.kleinanzeigen.de/s-bestandsliste.html?userId=135446721", "Link")</f>
        <v/>
      </c>
      <c r="Q2126" s="7" t="n">
        <v>45505.83678240741</v>
      </c>
      <c r="R2126" s="3" t="inlineStr">
        <is>
          <t>25.73</t>
        </is>
      </c>
      <c r="S2126" t="inlineStr">
        <is>
          <t>Karlsruhe</t>
        </is>
      </c>
    </row>
    <row r="2127">
      <c r="A2127" s="2" t="n">
        <v>7.5</v>
      </c>
      <c r="B2127" t="inlineStr">
        <is>
          <t>GAASTRA MATRIX</t>
        </is>
      </c>
      <c r="C2127" s="3" t="n">
        <v>480</v>
      </c>
      <c r="D2127" s="3" t="n">
        <v>213</v>
      </c>
      <c r="E2127" t="inlineStr"/>
      <c r="F2127" t="inlineStr"/>
      <c r="G2127" t="inlineStr">
        <is>
          <t>used</t>
        </is>
      </c>
      <c r="H2127" s="4" t="n">
        <v>190</v>
      </c>
      <c r="I2127" t="inlineStr"/>
      <c r="J2127" t="inlineStr">
        <is>
          <t>67373 SPEYER</t>
        </is>
      </c>
      <c r="K2127" s="5" t="n">
        <v>45503</v>
      </c>
      <c r="L2127" t="inlineStr">
        <is>
          <t>Sold</t>
        </is>
      </c>
      <c r="M2127" s="6">
        <f>HYPERLINK("https://www.dailydose.de/kleinanzeigen/detail.htm?ai=420201&amp;cf=kk&amp;pg=4&amp;ci=5", "Link")</f>
        <v/>
      </c>
      <c r="N2127" s="6">
        <f>HYPERLINK("C:\Projects\Kleinanzeigen-Scraper\offer_images\420201", "Link")</f>
        <v/>
      </c>
      <c r="O2127" t="inlineStr">
        <is>
          <t>MARGARETE</t>
        </is>
      </c>
      <c r="P2127" s="6">
        <f>HYPERLINK("https://www.dailydose.de/kleinanzeigen/user/26236", "Link")</f>
        <v/>
      </c>
      <c r="Q2127" s="7" t="n">
        <v>45503.79766203704</v>
      </c>
      <c r="R2127" s="3" t="inlineStr">
        <is>
          <t>34.41</t>
        </is>
      </c>
      <c r="S2127" t="inlineStr">
        <is>
          <t>Karlsruhe</t>
        </is>
      </c>
    </row>
    <row r="2128">
      <c r="A2128" s="2" t="n">
        <v>4.2</v>
      </c>
      <c r="B2128" t="inlineStr">
        <is>
          <t>Duotone Volt HD</t>
        </is>
      </c>
      <c r="C2128" s="3" t="inlineStr"/>
      <c r="D2128" s="3" t="inlineStr"/>
      <c r="E2128" t="inlineStr"/>
      <c r="F2128" t="inlineStr"/>
      <c r="G2128" t="inlineStr">
        <is>
          <t>used</t>
        </is>
      </c>
      <c r="H2128" s="4" t="n">
        <v>190</v>
      </c>
      <c r="I2128" t="inlineStr">
        <is>
          <t>VB</t>
        </is>
      </c>
      <c r="J2128" t="inlineStr">
        <is>
          <t>71067 Baden-Württemberg - Sindelfingen</t>
        </is>
      </c>
      <c r="K2128" s="5" t="n">
        <v>45492</v>
      </c>
      <c r="L2128" t="inlineStr">
        <is>
          <t>Sold</t>
        </is>
      </c>
      <c r="M2128" s="6">
        <f>HYPERLINK("https://www.kleinanzeigen.de/s-anzeige/north-duotone-volt-hd-4-2-in-top-zustand-windsurf-segel/2815854181-230-8992", "Link")</f>
        <v/>
      </c>
      <c r="N2128" s="6">
        <f>HYPERLINK("C:\Projects\Kleinanzeigen-Scraper\offer_images\2815854181", "Link")</f>
        <v/>
      </c>
      <c r="O2128" t="inlineStr">
        <is>
          <t>T.Z.</t>
        </is>
      </c>
      <c r="P2128" s="6">
        <f>HYPERLINK("https://www.kleinanzeigen.de/s-bestandsliste.html?userId=12397391", "Link")</f>
        <v/>
      </c>
      <c r="Q2128" s="7" t="n">
        <v>45503.39980324074</v>
      </c>
      <c r="R2128" s="3" t="inlineStr">
        <is>
          <t>5.96</t>
        </is>
      </c>
      <c r="S2128" t="inlineStr">
        <is>
          <t>Böblingen</t>
        </is>
      </c>
    </row>
    <row r="2129">
      <c r="A2129" s="2" t="n">
        <v>5</v>
      </c>
      <c r="B2129" t="inlineStr">
        <is>
          <t>Challenger K' onda</t>
        </is>
      </c>
      <c r="C2129" s="3" t="inlineStr"/>
      <c r="D2129" s="3" t="inlineStr"/>
      <c r="E2129" t="inlineStr"/>
      <c r="F2129" t="inlineStr">
        <is>
          <t>2019</t>
        </is>
      </c>
      <c r="G2129" t="inlineStr">
        <is>
          <t>repaired</t>
        </is>
      </c>
      <c r="H2129" s="4" t="n">
        <v>150</v>
      </c>
      <c r="I2129" t="inlineStr"/>
      <c r="J2129" t="inlineStr">
        <is>
          <t>76131 Karlsruhe</t>
        </is>
      </c>
      <c r="K2129" s="5" t="n">
        <v>45501</v>
      </c>
      <c r="L2129" t="inlineStr">
        <is>
          <t>Sold</t>
        </is>
      </c>
      <c r="M2129" s="6">
        <f>HYPERLINK("https://www.dailydose.de/kleinanzeigen/detail.htm?ai=420069&amp;cf=kk&amp;pg=4&amp;ci=5", "Link")</f>
        <v/>
      </c>
      <c r="N2129" s="6">
        <f>HYPERLINK("C:\Projects\Kleinanzeigen-Scraper\offer_images\420069", "Link")</f>
        <v/>
      </c>
      <c r="O2129" t="inlineStr">
        <is>
          <t>Wilhelm Allgeier</t>
        </is>
      </c>
      <c r="P2129" s="6">
        <f>HYPERLINK("https://www.dailydose.de/kleinanzeigen/user/5167", "Link")</f>
        <v/>
      </c>
      <c r="Q2129" s="7" t="n">
        <v>45502.78532407407</v>
      </c>
      <c r="R2129" s="3" t="inlineStr">
        <is>
          <t>2.72</t>
        </is>
      </c>
      <c r="S2129" t="inlineStr">
        <is>
          <t>Karlsruhe</t>
        </is>
      </c>
    </row>
    <row r="2130">
      <c r="A2130" s="2" t="n">
        <v>7.5</v>
      </c>
      <c r="B2130" t="inlineStr">
        <is>
          <t>Neilpryde Street Racer</t>
        </is>
      </c>
      <c r="C2130" s="3" t="inlineStr"/>
      <c r="D2130" s="3" t="inlineStr"/>
      <c r="E2130" t="inlineStr"/>
      <c r="F2130" t="inlineStr"/>
      <c r="G2130" t="inlineStr">
        <is>
          <t>used</t>
        </is>
      </c>
      <c r="H2130" s="4" t="inlineStr"/>
      <c r="I2130" t="inlineStr">
        <is>
          <t>VB</t>
        </is>
      </c>
      <c r="J2130" t="inlineStr">
        <is>
          <t>68649 Hessen - Groß-Rohrheim</t>
        </is>
      </c>
      <c r="K2130" s="5" t="n">
        <v>45501</v>
      </c>
      <c r="L2130" t="inlineStr">
        <is>
          <t>Sold</t>
        </is>
      </c>
      <c r="M2130" s="6">
        <f>HYPERLINK("https://www.kleinanzeigen.de/s-anzeige/surfsegel-windsurfen-segel-surfen-neilpryde-street-racer-7-5/2822826155-230-4758", "Link")</f>
        <v/>
      </c>
      <c r="N2130" s="6">
        <f>HYPERLINK("C:\Projects\Kleinanzeigen-Scraper\offer_images\2822826155", "Link")</f>
        <v/>
      </c>
      <c r="O2130" t="inlineStr">
        <is>
          <t>Daniel</t>
        </is>
      </c>
      <c r="P2130" s="6">
        <f>HYPERLINK("https://www.kleinanzeigen.de/s-bestandsliste.html?userId=15416374", "Link")</f>
        <v/>
      </c>
      <c r="Q2130" s="7" t="n">
        <v>45502.78407407407</v>
      </c>
      <c r="R2130" s="3" t="inlineStr">
        <is>
          <t>78.85</t>
        </is>
      </c>
      <c r="S2130" t="inlineStr">
        <is>
          <t>Karlsruhe</t>
        </is>
      </c>
    </row>
    <row r="2131">
      <c r="A2131" s="2" t="n">
        <v>4.7</v>
      </c>
      <c r="B2131" t="inlineStr">
        <is>
          <t>Simmer OS Wave</t>
        </is>
      </c>
      <c r="C2131" s="3" t="n">
        <v>430</v>
      </c>
      <c r="D2131" s="3" t="n">
        <v>162</v>
      </c>
      <c r="E2131" t="inlineStr"/>
      <c r="F2131" t="inlineStr"/>
      <c r="G2131" t="inlineStr">
        <is>
          <t>used</t>
        </is>
      </c>
      <c r="H2131" s="4" t="inlineStr"/>
      <c r="I2131" t="inlineStr">
        <is>
          <t>VB</t>
        </is>
      </c>
      <c r="J2131" t="inlineStr">
        <is>
          <t>68649 Hessen - Groß-Rohrheim</t>
        </is>
      </c>
      <c r="K2131" s="5" t="n">
        <v>45501</v>
      </c>
      <c r="L2131" t="inlineStr">
        <is>
          <t>Sold</t>
        </is>
      </c>
      <c r="M2131" s="6">
        <f>HYPERLINK("https://www.kleinanzeigen.de/s-anzeige/surfsegel-windsurfen-surfen-segel-simmer-os-wave-4-7/2822825954-230-4758", "Link")</f>
        <v/>
      </c>
      <c r="N2131" s="6">
        <f>HYPERLINK("C:\Projects\Kleinanzeigen-Scraper\offer_images\2822825954", "Link")</f>
        <v/>
      </c>
      <c r="O2131" t="inlineStr">
        <is>
          <t>Daniel</t>
        </is>
      </c>
      <c r="P2131" s="6">
        <f>HYPERLINK("https://www.kleinanzeigen.de/s-bestandsliste.html?userId=15416374", "Link")</f>
        <v/>
      </c>
      <c r="Q2131" s="7" t="n">
        <v>45502.78385416666</v>
      </c>
      <c r="R2131" s="3" t="inlineStr">
        <is>
          <t>78.85</t>
        </is>
      </c>
      <c r="S2131" t="inlineStr">
        <is>
          <t>Karlsruhe</t>
        </is>
      </c>
    </row>
    <row r="2132">
      <c r="A2132" s="2" t="n">
        <v>6.4</v>
      </c>
      <c r="B2132" t="inlineStr">
        <is>
          <t>Surfslalom TC</t>
        </is>
      </c>
      <c r="C2132" s="3" t="n">
        <v>4.88</v>
      </c>
      <c r="D2132" s="3" t="n">
        <v>1.93</v>
      </c>
      <c r="E2132" t="inlineStr"/>
      <c r="F2132" t="inlineStr"/>
      <c r="G2132" t="inlineStr">
        <is>
          <t>used</t>
        </is>
      </c>
      <c r="H2132" s="4" t="inlineStr"/>
      <c r="I2132" t="inlineStr">
        <is>
          <t>VB</t>
        </is>
      </c>
      <c r="J2132" t="inlineStr">
        <is>
          <t>68649 Hessen - Groß-Rohrheim</t>
        </is>
      </c>
      <c r="K2132" s="5" t="n">
        <v>45501</v>
      </c>
      <c r="L2132" t="inlineStr">
        <is>
          <t>Sold</t>
        </is>
      </c>
      <c r="M2132" s="6">
        <f>HYPERLINK("https://www.kleinanzeigen.de/s-anzeige/surfsegel-windsurfen-segel-surfen-surfslalom-tc-6-4/2822826397-230-4758", "Link")</f>
        <v/>
      </c>
      <c r="N2132" s="6">
        <f>HYPERLINK("C:\Projects\Kleinanzeigen-Scraper\offer_images\2822826397", "Link")</f>
        <v/>
      </c>
      <c r="O2132" t="inlineStr">
        <is>
          <t>Daniel</t>
        </is>
      </c>
      <c r="P2132" s="6">
        <f>HYPERLINK("https://www.kleinanzeigen.de/s-bestandsliste.html?userId=15416374", "Link")</f>
        <v/>
      </c>
      <c r="Q2132" s="7" t="n">
        <v>45502.78356481482</v>
      </c>
      <c r="R2132" s="3" t="inlineStr">
        <is>
          <t>78.85</t>
        </is>
      </c>
      <c r="S2132" t="inlineStr">
        <is>
          <t>Karlsruhe</t>
        </is>
      </c>
    </row>
    <row r="2133">
      <c r="A2133" s="2" t="n">
        <v>4.7</v>
      </c>
      <c r="B2133" t="inlineStr">
        <is>
          <t>Gaastra Manic</t>
        </is>
      </c>
      <c r="C2133" s="3" t="n">
        <v>370</v>
      </c>
      <c r="D2133" s="3" t="n">
        <v>164</v>
      </c>
      <c r="E2133" t="inlineStr"/>
      <c r="F2133" t="inlineStr">
        <is>
          <t>2019</t>
        </is>
      </c>
      <c r="G2133" t="inlineStr">
        <is>
          <t>repaired</t>
        </is>
      </c>
      <c r="H2133" s="4" t="n">
        <v>170</v>
      </c>
      <c r="I2133" t="inlineStr"/>
      <c r="J2133" t="inlineStr">
        <is>
          <t>71088 Holzgerlingen</t>
        </is>
      </c>
      <c r="K2133" s="5" t="n">
        <v>45486</v>
      </c>
      <c r="L2133" t="inlineStr">
        <is>
          <t>Sold</t>
        </is>
      </c>
      <c r="M2133" s="6">
        <f>HYPERLINK("https://www.dailydose.de/kleinanzeigen/detail.htm?ai=419336&amp;cf=kk&amp;pg=7&amp;ci=5", "Link")</f>
        <v/>
      </c>
      <c r="N2133" s="6">
        <f>HYPERLINK("C:\Projects\Kleinanzeigen-Scraper\offer_images\419336", "Link")</f>
        <v/>
      </c>
      <c r="O2133" t="inlineStr">
        <is>
          <t>Markus Mornhinweg</t>
        </is>
      </c>
      <c r="P2133" s="6">
        <f>HYPERLINK("https://www.dailydose.de/kleinanzeigen/user/953", "Link")</f>
        <v/>
      </c>
      <c r="Q2133" s="7" t="n">
        <v>45501.41653935185</v>
      </c>
      <c r="R2133" s="3" t="inlineStr">
        <is>
          <t>4.76</t>
        </is>
      </c>
      <c r="S2133" t="inlineStr">
        <is>
          <t>Böblingen</t>
        </is>
      </c>
    </row>
    <row r="2134">
      <c r="A2134" s="2" t="n">
        <v>4.2</v>
      </c>
      <c r="B2134" t="inlineStr">
        <is>
          <t>GOYA Banzai X</t>
        </is>
      </c>
      <c r="C2134" s="3" t="n">
        <v>370</v>
      </c>
      <c r="D2134" s="3" t="inlineStr">
        <is>
          <t>152/149</t>
        </is>
      </c>
      <c r="E2134" t="inlineStr"/>
      <c r="F2134" t="inlineStr">
        <is>
          <t>2021/22</t>
        </is>
      </c>
      <c r="G2134" t="inlineStr">
        <is>
          <t>used</t>
        </is>
      </c>
      <c r="H2134" s="4" t="n">
        <v>325</v>
      </c>
      <c r="I2134" t="inlineStr"/>
      <c r="J2134" t="inlineStr">
        <is>
          <t>67245</t>
        </is>
      </c>
      <c r="K2134" s="5" t="n">
        <v>45484</v>
      </c>
      <c r="L2134" t="inlineStr">
        <is>
          <t>Sold</t>
        </is>
      </c>
      <c r="M2134" s="6">
        <f>HYPERLINK("https://www.dailydose.de/kleinanzeigen/detail.htm?ai=419180&amp;cf=kk&amp;pg=8&amp;ci=5", "Link")</f>
        <v/>
      </c>
      <c r="N2134" s="6">
        <f>HYPERLINK("C:\Projects\Kleinanzeigen-Scraper\offer_images\419180", "Link")</f>
        <v/>
      </c>
      <c r="O2134" t="inlineStr">
        <is>
          <t>Frank_74</t>
        </is>
      </c>
      <c r="P2134" s="6">
        <f>HYPERLINK("https://www.dailydose.de/kleinanzeigen/user/6289", "Link")</f>
        <v/>
      </c>
      <c r="Q2134" s="7" t="n">
        <v>45501.41577546296</v>
      </c>
      <c r="R2134" s="3" t="inlineStr">
        <is>
          <t>56.18</t>
        </is>
      </c>
      <c r="S2134" t="inlineStr">
        <is>
          <t>Karlsruhe</t>
        </is>
      </c>
    </row>
    <row r="2135">
      <c r="A2135" s="2" t="n">
        <v>4.5</v>
      </c>
      <c r="B2135" t="inlineStr">
        <is>
          <t>Gaastra Poison</t>
        </is>
      </c>
      <c r="C2135" s="3" t="n">
        <v>400</v>
      </c>
      <c r="D2135" s="3" t="n">
        <v>160</v>
      </c>
      <c r="E2135" t="inlineStr"/>
      <c r="F2135" t="inlineStr">
        <is>
          <t>2009</t>
        </is>
      </c>
      <c r="G2135" t="inlineStr">
        <is>
          <t>used</t>
        </is>
      </c>
      <c r="H2135" s="4" t="n">
        <v>40</v>
      </c>
      <c r="I2135" t="inlineStr"/>
      <c r="J2135" t="inlineStr">
        <is>
          <t>71088 Holzgerlingen</t>
        </is>
      </c>
      <c r="K2135" s="5" t="n">
        <v>45486</v>
      </c>
      <c r="L2135" t="inlineStr">
        <is>
          <t>Sold</t>
        </is>
      </c>
      <c r="M2135" s="6">
        <f>HYPERLINK("https://www.dailydose.de/kleinanzeigen/detail.htm?ai=419326&amp;cf=kk&amp;pg=6&amp;ci=5", "Link")</f>
        <v/>
      </c>
      <c r="N2135" s="6">
        <f>HYPERLINK("C:\Projects\Kleinanzeigen-Scraper\offer_images\419326", "Link")</f>
        <v/>
      </c>
      <c r="O2135" t="inlineStr">
        <is>
          <t>Markus Mornhinweg</t>
        </is>
      </c>
      <c r="P2135" s="6">
        <f>HYPERLINK("https://www.dailydose.de/kleinanzeigen/user/953", "Link")</f>
        <v/>
      </c>
      <c r="Q2135" s="7" t="n">
        <v>45501.41568287037</v>
      </c>
      <c r="R2135" s="3" t="inlineStr">
        <is>
          <t>4.76</t>
        </is>
      </c>
      <c r="S2135" t="inlineStr">
        <is>
          <t>Böblingen</t>
        </is>
      </c>
    </row>
    <row r="2136">
      <c r="A2136" s="2" t="n">
        <v>5.6</v>
      </c>
      <c r="B2136" t="inlineStr">
        <is>
          <t>S2 Maui Dragon</t>
        </is>
      </c>
      <c r="C2136" s="3" t="n">
        <v>400</v>
      </c>
      <c r="D2136" s="3" t="n">
        <v>178</v>
      </c>
      <c r="E2136" t="inlineStr"/>
      <c r="F2136" t="inlineStr">
        <is>
          <t>2022</t>
        </is>
      </c>
      <c r="G2136" t="inlineStr">
        <is>
          <t>used</t>
        </is>
      </c>
      <c r="H2136" s="4" t="n">
        <v>333</v>
      </c>
      <c r="I2136" t="inlineStr">
        <is>
          <t>VB</t>
        </is>
      </c>
      <c r="J2136" t="inlineStr">
        <is>
          <t>64293 Darmstadt</t>
        </is>
      </c>
      <c r="K2136" s="5" t="n">
        <v>45494</v>
      </c>
      <c r="L2136" t="inlineStr">
        <is>
          <t>Sold</t>
        </is>
      </c>
      <c r="M2136" s="6">
        <f>HYPERLINK("https://www.dailydose.de/kleinanzeigen/detail.htm?ai=419764&amp;cf=kk&amp;pg=5&amp;ci=5", "Link")</f>
        <v/>
      </c>
      <c r="N2136" s="6">
        <f>HYPERLINK("C:\Projects\Kleinanzeigen-Scraper\offer_images\419764", "Link")</f>
        <v/>
      </c>
      <c r="O2136" t="inlineStr">
        <is>
          <t>Happy</t>
        </is>
      </c>
      <c r="P2136" s="6">
        <f>HYPERLINK("https://www.dailydose.de/kleinanzeigen/user/18926", "Link")</f>
        <v/>
      </c>
      <c r="Q2136" s="7" t="n">
        <v>45501.41517361111</v>
      </c>
      <c r="R2136" s="3" t="inlineStr">
        <is>
          <t>98.31</t>
        </is>
      </c>
      <c r="S2136" t="inlineStr">
        <is>
          <t>Karlsruhe</t>
        </is>
      </c>
    </row>
    <row r="2137">
      <c r="A2137" s="2" t="n">
        <v>3.6</v>
      </c>
      <c r="B2137" t="inlineStr">
        <is>
          <t>Duotone Idol LTD</t>
        </is>
      </c>
      <c r="C2137" s="3" t="inlineStr"/>
      <c r="D2137" s="3" t="inlineStr"/>
      <c r="E2137" t="inlineStr"/>
      <c r="F2137" t="inlineStr"/>
      <c r="G2137" t="inlineStr">
        <is>
          <t>new</t>
        </is>
      </c>
      <c r="H2137" s="4" t="n">
        <v>350</v>
      </c>
      <c r="I2137" t="inlineStr"/>
      <c r="J2137" t="inlineStr">
        <is>
          <t>72275 Alpirsbach</t>
        </is>
      </c>
      <c r="K2137" s="5" t="n">
        <v>45472</v>
      </c>
      <c r="L2137" t="inlineStr">
        <is>
          <t>Sold</t>
        </is>
      </c>
      <c r="M2137" s="6">
        <f>HYPERLINK("https://www.dailydose.de/kleinanzeigen/detail.htm?ai=418626&amp;cf=kk&amp;pg=9&amp;ci=5", "Link")</f>
        <v/>
      </c>
      <c r="N2137" s="6">
        <f>HYPERLINK("C:\Projects\Kleinanzeigen-Scraper\offer_images\418626", "Link")</f>
        <v/>
      </c>
      <c r="O2137" t="inlineStr">
        <is>
          <t>Foiloli</t>
        </is>
      </c>
      <c r="P2137" s="6">
        <f>HYPERLINK("https://www.dailydose.de/kleinanzeigen/user/26084", "Link")</f>
        <v/>
      </c>
      <c r="Q2137" s="7" t="n">
        <v>45500.97427083334</v>
      </c>
      <c r="R2137" s="3" t="inlineStr">
        <is>
          <t>55.93</t>
        </is>
      </c>
      <c r="S2137" t="inlineStr">
        <is>
          <t>Böblingen</t>
        </is>
      </c>
    </row>
    <row r="2138">
      <c r="A2138" s="2" t="n">
        <v>3.7</v>
      </c>
      <c r="B2138" t="inlineStr">
        <is>
          <t>Hot Sails Maui Superfreak</t>
        </is>
      </c>
      <c r="C2138" s="3" t="inlineStr">
        <is>
          <t>340 or 370</t>
        </is>
      </c>
      <c r="D2138" s="3" t="inlineStr">
        <is>
          <t>144 to 146</t>
        </is>
      </c>
      <c r="E2138" t="inlineStr"/>
      <c r="F2138" t="inlineStr"/>
      <c r="G2138" t="inlineStr">
        <is>
          <t>used</t>
        </is>
      </c>
      <c r="H2138" s="4" t="n">
        <v>220</v>
      </c>
      <c r="I2138" t="inlineStr"/>
      <c r="J2138" t="inlineStr">
        <is>
          <t>75334 Straubenhardt</t>
        </is>
      </c>
      <c r="K2138" s="5" t="n">
        <v>45494</v>
      </c>
      <c r="L2138" t="inlineStr">
        <is>
          <t>Sold</t>
        </is>
      </c>
      <c r="M2138" s="6">
        <f>HYPERLINK("https://www.dailydose.de/kleinanzeigen/detail.htm?ai=419791&amp;cf=kk&amp;pg=5&amp;ci=5", "Link")</f>
        <v/>
      </c>
      <c r="N2138" s="6">
        <f>HYPERLINK("C:\Projects\Kleinanzeigen-Scraper\offer_images\419791", "Link")</f>
        <v/>
      </c>
      <c r="O2138" t="inlineStr">
        <is>
          <t>U.</t>
        </is>
      </c>
      <c r="P2138" s="6">
        <f>HYPERLINK("https://www.dailydose.de/kleinanzeigen/user/24386", "Link")</f>
        <v/>
      </c>
      <c r="Q2138" s="7" t="n">
        <v>45500.97401620371</v>
      </c>
      <c r="R2138" s="3" t="inlineStr">
        <is>
          <t>21.11</t>
        </is>
      </c>
      <c r="S2138" t="inlineStr">
        <is>
          <t>Karlsruhe</t>
        </is>
      </c>
    </row>
    <row r="2139">
      <c r="A2139" s="2" t="n">
        <v>6.1</v>
      </c>
      <c r="B2139" t="inlineStr">
        <is>
          <t>Gaastra</t>
        </is>
      </c>
      <c r="C2139" s="3" t="inlineStr"/>
      <c r="D2139" s="3" t="inlineStr"/>
      <c r="E2139" t="inlineStr"/>
      <c r="F2139" t="inlineStr"/>
      <c r="G2139" t="inlineStr">
        <is>
          <t>used</t>
        </is>
      </c>
      <c r="H2139" s="4" t="n">
        <v>45</v>
      </c>
      <c r="I2139" t="inlineStr"/>
      <c r="J2139" t="inlineStr">
        <is>
          <t>76351 Baden-Württemberg - Linkenheim-Hochstetten</t>
        </is>
      </c>
      <c r="K2139" s="5" t="n">
        <v>45499</v>
      </c>
      <c r="L2139" t="inlineStr"/>
      <c r="M2139" s="6">
        <f>HYPERLINK("https://www.kleinanzeigen.de/s-anzeige/gaastra-6-1-qm-windsurf-segel/2821946875-230-8826", "Link")</f>
        <v/>
      </c>
      <c r="N2139" s="6">
        <f>HYPERLINK("C:\Projects\Kleinanzeigen-Scraper\offer_images\2821946875", "Link")</f>
        <v/>
      </c>
      <c r="O2139" t="inlineStr">
        <is>
          <t>Alex Hansmann</t>
        </is>
      </c>
      <c r="P2139" s="6">
        <f>HYPERLINK("https://www.kleinanzeigen.de/s-bestandsliste.html?userId=28616506", "Link")</f>
        <v/>
      </c>
      <c r="Q2139" s="7" t="n">
        <v>45500.72447916667</v>
      </c>
      <c r="R2139" s="3" t="inlineStr">
        <is>
          <t>13.78</t>
        </is>
      </c>
      <c r="S2139" t="inlineStr">
        <is>
          <t>Karlsruhe</t>
        </is>
      </c>
    </row>
    <row r="2140">
      <c r="A2140" s="2" t="n">
        <v>5.7</v>
      </c>
      <c r="B2140" t="inlineStr">
        <is>
          <t>Gun Sails Rapid</t>
        </is>
      </c>
      <c r="C2140" s="3" t="n">
        <v>430</v>
      </c>
      <c r="D2140" s="3" t="n">
        <v>185</v>
      </c>
      <c r="E2140" t="inlineStr"/>
      <c r="F2140" t="inlineStr"/>
      <c r="G2140" t="inlineStr">
        <is>
          <t>used</t>
        </is>
      </c>
      <c r="H2140" s="4" t="n">
        <v>129</v>
      </c>
      <c r="I2140" t="inlineStr"/>
      <c r="J2140" t="inlineStr">
        <is>
          <t>79102 Baden-Württemberg - Freiburg im Breisgau</t>
        </is>
      </c>
      <c r="K2140" s="5" t="n">
        <v>45452</v>
      </c>
      <c r="L2140" t="inlineStr"/>
      <c r="M2140" s="6">
        <f>HYPERLINK("https://www.kleinanzeigen.de/s-anzeige/gun-sails-rapid-5-7-windsurf-segel-freeride-freerace/2784031110-230-9364", "Link")</f>
        <v/>
      </c>
      <c r="N2140" s="6">
        <f>HYPERLINK("C:\Projects\Kleinanzeigen-Scraper\offer_images\2784031110", "Link")</f>
        <v/>
      </c>
      <c r="O2140" t="inlineStr">
        <is>
          <t>Tobias</t>
        </is>
      </c>
      <c r="P2140" s="6">
        <f>HYPERLINK("https://www.kleinanzeigen.de/s-bestandsliste.html?userId=11261079", "Link")</f>
        <v/>
      </c>
      <c r="Q2140" s="7" t="n">
        <v>45500.72446759259</v>
      </c>
      <c r="R2140" s="3" t="inlineStr">
        <is>
          <t>40.20</t>
        </is>
      </c>
      <c r="S2140" t="inlineStr">
        <is>
          <t>Bonndorf</t>
        </is>
      </c>
    </row>
    <row r="2141">
      <c r="A2141" s="2" t="n">
        <v>5.8</v>
      </c>
      <c r="B2141" t="inlineStr">
        <is>
          <t>Gun Sails RAPTOR</t>
        </is>
      </c>
      <c r="C2141" s="3" t="n">
        <v>445</v>
      </c>
      <c r="D2141" s="3" t="n">
        <v>187</v>
      </c>
      <c r="E2141" t="inlineStr"/>
      <c r="F2141" t="inlineStr"/>
      <c r="G2141" t="inlineStr">
        <is>
          <t>used</t>
        </is>
      </c>
      <c r="H2141" s="4" t="n">
        <v>35</v>
      </c>
      <c r="I2141" t="inlineStr">
        <is>
          <t>VB</t>
        </is>
      </c>
      <c r="J2141" t="inlineStr">
        <is>
          <t>79350 Baden-Württemberg - Sexau</t>
        </is>
      </c>
      <c r="K2141" s="5" t="n">
        <v>45489</v>
      </c>
      <c r="L2141" t="inlineStr">
        <is>
          <t>Sold</t>
        </is>
      </c>
      <c r="M2141" s="6">
        <f>HYPERLINK("https://www.kleinanzeigen.de/s-anzeige/windsurf-surf-segel-gun-sails-raptor-5-8-qm/2813994329-230-8288", "Link")</f>
        <v/>
      </c>
      <c r="N2141" s="6">
        <f>HYPERLINK("C:\Projects\Kleinanzeigen-Scraper\offer_images\2813994329", "Link")</f>
        <v/>
      </c>
      <c r="O2141" t="inlineStr">
        <is>
          <t>Robert</t>
        </is>
      </c>
      <c r="P2141" s="6">
        <f>HYPERLINK("https://www.kleinanzeigen.de/s-bestandsliste.html?userId=18951209", "Link")</f>
        <v/>
      </c>
      <c r="Q2141" s="7" t="n">
        <v>45500.72446759259</v>
      </c>
      <c r="R2141" s="3" t="inlineStr">
        <is>
          <t>45.20</t>
        </is>
      </c>
      <c r="S2141" t="inlineStr">
        <is>
          <t>Bonndorf</t>
        </is>
      </c>
    </row>
    <row r="2142">
      <c r="A2142" s="2" t="n">
        <v>3.4</v>
      </c>
      <c r="B2142" t="inlineStr">
        <is>
          <t>GUNSAILS</t>
        </is>
      </c>
      <c r="C2142" s="3" t="n">
        <v>370</v>
      </c>
      <c r="D2142" s="3" t="inlineStr"/>
      <c r="E2142" t="inlineStr"/>
      <c r="F2142" t="inlineStr"/>
      <c r="G2142" t="inlineStr">
        <is>
          <t>like new</t>
        </is>
      </c>
      <c r="H2142" s="4" t="n">
        <v>90</v>
      </c>
      <c r="I2142" t="inlineStr"/>
      <c r="J2142" t="inlineStr">
        <is>
          <t>70771 Baden-Württemberg - Leinfelden-Echterdingen</t>
        </is>
      </c>
      <c r="K2142" s="5" t="n">
        <v>45467</v>
      </c>
      <c r="L2142" t="inlineStr">
        <is>
          <t>Sold</t>
        </is>
      </c>
      <c r="M2142" s="6">
        <f>HYPERLINK("https://www.kleinanzeigen.de/s-anzeige/kinder-segel-gunsails-3-4-m-windsurfen-vario-top-wie-neu/2795949766-230-8453", "Link")</f>
        <v/>
      </c>
      <c r="N2142" s="6">
        <f>HYPERLINK("C:\Projects\Kleinanzeigen-Scraper\offer_images\2795949766", "Link")</f>
        <v/>
      </c>
      <c r="O2142" t="inlineStr">
        <is>
          <t>Volmering</t>
        </is>
      </c>
      <c r="P2142" s="6">
        <f>HYPERLINK("https://www.kleinanzeigen.de/s-bestandsliste.html?userId=2892351", "Link")</f>
        <v/>
      </c>
      <c r="Q2142" s="7" t="n">
        <v>45500.72445601852</v>
      </c>
      <c r="R2142" s="3" t="inlineStr">
        <is>
          <t>12.10</t>
        </is>
      </c>
      <c r="S2142" t="inlineStr">
        <is>
          <t>Böblingen</t>
        </is>
      </c>
    </row>
    <row r="2143">
      <c r="A2143" s="2" t="n">
        <v>6.2</v>
      </c>
      <c r="B2143" t="inlineStr">
        <is>
          <t>Neilpride</t>
        </is>
      </c>
      <c r="C2143" s="3" t="n">
        <v>470</v>
      </c>
      <c r="D2143" s="3" t="n">
        <v>187</v>
      </c>
      <c r="E2143" t="inlineStr"/>
      <c r="F2143" t="inlineStr"/>
      <c r="G2143" t="inlineStr">
        <is>
          <t>repaired</t>
        </is>
      </c>
      <c r="H2143" s="4" t="n">
        <v>35</v>
      </c>
      <c r="I2143" t="inlineStr">
        <is>
          <t>VB</t>
        </is>
      </c>
      <c r="J2143" t="inlineStr">
        <is>
          <t>71088 Baden-Württemberg - Holzgerlingen</t>
        </is>
      </c>
      <c r="K2143" s="5" t="n">
        <v>45498</v>
      </c>
      <c r="L2143" t="inlineStr">
        <is>
          <t>Sold</t>
        </is>
      </c>
      <c r="M2143" s="6">
        <f>HYPERLINK("https://www.kleinanzeigen.de/s-anzeige/segel-neilpride-6-2qm-windsurfen-foil/2820728625-230-8786", "Link")</f>
        <v/>
      </c>
      <c r="N2143" s="6">
        <f>HYPERLINK("C:\Projects\Kleinanzeigen-Scraper\offer_images\2820728625", "Link")</f>
        <v/>
      </c>
      <c r="O2143" t="inlineStr">
        <is>
          <t>Jürgen Rommel</t>
        </is>
      </c>
      <c r="P2143" s="6">
        <f>HYPERLINK("https://www.kleinanzeigen.de/s-bestandsliste.html?userId=128051520", "Link")</f>
        <v/>
      </c>
      <c r="Q2143" s="7" t="n">
        <v>45500.72444444444</v>
      </c>
      <c r="R2143" s="3" t="inlineStr">
        <is>
          <t>4.76</t>
        </is>
      </c>
      <c r="S2143" t="inlineStr">
        <is>
          <t>Böblingen</t>
        </is>
      </c>
    </row>
    <row r="2144">
      <c r="A2144" s="2" t="n">
        <v>6.2</v>
      </c>
      <c r="B2144" t="inlineStr">
        <is>
          <t>Gun</t>
        </is>
      </c>
      <c r="C2144" s="3" t="n">
        <v>465</v>
      </c>
      <c r="D2144" s="3" t="n">
        <v>185</v>
      </c>
      <c r="E2144" t="inlineStr"/>
      <c r="F2144" t="inlineStr"/>
      <c r="G2144" t="inlineStr">
        <is>
          <t>used</t>
        </is>
      </c>
      <c r="H2144" s="4" t="n">
        <v>59</v>
      </c>
      <c r="I2144" t="inlineStr">
        <is>
          <t>VB</t>
        </is>
      </c>
      <c r="J2144" t="inlineStr">
        <is>
          <t>73102 Baden-Württemberg - Birenbach</t>
        </is>
      </c>
      <c r="K2144" s="5" t="n">
        <v>45087</v>
      </c>
      <c r="L2144" t="inlineStr">
        <is>
          <t>Sold</t>
        </is>
      </c>
      <c r="M2144" s="6">
        <f>HYPERLINK("https://www.kleinanzeigen.de/s-anzeige/windsurfen-segel-gun-groesse-6-2-qm/2465032154-230-9017", "Link")</f>
        <v/>
      </c>
      <c r="N2144" s="6">
        <f>HYPERLINK("C:\Projects\Kleinanzeigen-Scraper\offer_images\2465032154", "Link")</f>
        <v/>
      </c>
      <c r="O2144" t="inlineStr">
        <is>
          <t>Walter, Birenbach</t>
        </is>
      </c>
      <c r="P2144" s="6">
        <f>HYPERLINK("https://www.kleinanzeigen.de/s-bestandsliste.html?userId=17351114", "Link")</f>
        <v/>
      </c>
      <c r="Q2144" s="7" t="n">
        <v>45500.72443287037</v>
      </c>
      <c r="R2144" s="3" t="inlineStr">
        <is>
          <t>50.75</t>
        </is>
      </c>
      <c r="S2144" t="inlineStr">
        <is>
          <t>Böblingen</t>
        </is>
      </c>
    </row>
    <row r="2145">
      <c r="A2145" s="2" t="n">
        <v>7.5</v>
      </c>
      <c r="B2145" t="inlineStr">
        <is>
          <t>Neilpryde Street Racer</t>
        </is>
      </c>
      <c r="C2145" s="3" t="n">
        <v>480</v>
      </c>
      <c r="D2145" s="3" t="n">
        <v>219</v>
      </c>
      <c r="E2145" t="inlineStr"/>
      <c r="F2145" t="inlineStr"/>
      <c r="G2145" t="inlineStr">
        <is>
          <t>used</t>
        </is>
      </c>
      <c r="H2145" s="4" t="inlineStr"/>
      <c r="I2145" t="inlineStr">
        <is>
          <t>VB</t>
        </is>
      </c>
      <c r="J2145" t="inlineStr">
        <is>
          <t>68649 Hessen - Groß-Rohrheim</t>
        </is>
      </c>
      <c r="K2145" s="5" t="n">
        <v>45479</v>
      </c>
      <c r="L2145" t="inlineStr">
        <is>
          <t>Sold</t>
        </is>
      </c>
      <c r="M2145" s="6">
        <f>HYPERLINK("https://www.kleinanzeigen.de/s-anzeige/surfsegel-windsurfen-segel-surfen-neilpryde-street-racer-7-5/2805401505-230-4758", "Link")</f>
        <v/>
      </c>
      <c r="N2145" s="6">
        <f>HYPERLINK("C:\Projects\Kleinanzeigen-Scraper\offer_images\2805401505", "Link")</f>
        <v/>
      </c>
      <c r="O2145" t="inlineStr">
        <is>
          <t>Daniel</t>
        </is>
      </c>
      <c r="P2145" s="6">
        <f>HYPERLINK("https://www.kleinanzeigen.de/s-bestandsliste.html?userId=15416374", "Link")</f>
        <v/>
      </c>
      <c r="Q2145" s="7" t="n">
        <v>45500.724375</v>
      </c>
      <c r="R2145" s="3" t="inlineStr">
        <is>
          <t>78.85</t>
        </is>
      </c>
      <c r="S2145" t="inlineStr">
        <is>
          <t>Karlsruhe</t>
        </is>
      </c>
    </row>
    <row r="2146">
      <c r="A2146" s="2" t="n">
        <v>4.2</v>
      </c>
      <c r="B2146" t="inlineStr">
        <is>
          <t>Sailloft Curve</t>
        </is>
      </c>
      <c r="C2146" s="3" t="inlineStr">
        <is>
          <t>370 or 400</t>
        </is>
      </c>
      <c r="D2146" s="3" t="n">
        <v>154</v>
      </c>
      <c r="E2146" t="inlineStr"/>
      <c r="F2146" t="inlineStr"/>
      <c r="G2146" t="inlineStr">
        <is>
          <t>used</t>
        </is>
      </c>
      <c r="H2146" s="4" t="n">
        <v>105</v>
      </c>
      <c r="I2146" t="inlineStr">
        <is>
          <t>VB</t>
        </is>
      </c>
      <c r="J2146" t="inlineStr">
        <is>
          <t>79104 Baden-Württemberg - Freiburg im Breisgau</t>
        </is>
      </c>
      <c r="K2146" s="5" t="n">
        <v>45336</v>
      </c>
      <c r="L2146" t="inlineStr"/>
      <c r="M2146" s="6">
        <f>HYPERLINK("https://www.kleinanzeigen.de/s-anzeige/sailloft-curve-4-2-wave-segel-windsurf/2679926395-230-9363", "Link")</f>
        <v/>
      </c>
      <c r="N2146" s="6">
        <f>HYPERLINK("C:\Projects\Kleinanzeigen-Scraper\offer_images\2679926395", "Link")</f>
        <v/>
      </c>
      <c r="O2146" t="inlineStr">
        <is>
          <t>Fabian</t>
        </is>
      </c>
      <c r="P2146" s="6">
        <f>HYPERLINK("https://www.kleinanzeigen.de/s-bestandsliste.html?userId=37129475", "Link")</f>
        <v/>
      </c>
      <c r="Q2146" s="7" t="n">
        <v>45500.72435185185</v>
      </c>
      <c r="R2146" s="3" t="inlineStr">
        <is>
          <t>39.35</t>
        </is>
      </c>
      <c r="S2146" t="inlineStr">
        <is>
          <t>Bonndorf</t>
        </is>
      </c>
    </row>
    <row r="2147">
      <c r="A2147" s="2" t="n">
        <v>6.3</v>
      </c>
      <c r="B2147" t="inlineStr">
        <is>
          <t>Mistral</t>
        </is>
      </c>
      <c r="C2147" s="3" t="inlineStr"/>
      <c r="D2147" s="3" t="inlineStr"/>
      <c r="E2147" t="inlineStr"/>
      <c r="F2147" t="inlineStr"/>
      <c r="G2147" t="inlineStr">
        <is>
          <t>used</t>
        </is>
      </c>
      <c r="H2147" s="4" t="n">
        <v>65</v>
      </c>
      <c r="I2147" t="inlineStr">
        <is>
          <t>VB</t>
        </is>
      </c>
      <c r="J2147" t="inlineStr">
        <is>
          <t>97980 Baden-Württemberg - Bad Mergentheim</t>
        </is>
      </c>
      <c r="K2147" s="5" t="n">
        <v>45483</v>
      </c>
      <c r="L2147" t="inlineStr">
        <is>
          <t>Sold</t>
        </is>
      </c>
      <c r="M2147" s="6">
        <f>HYPERLINK("https://www.kleinanzeigen.de/s-anzeige/windsurf-segel-mistral-6-3-m-/2809308830-230-8637", "Link")</f>
        <v/>
      </c>
      <c r="N2147" s="6">
        <f>HYPERLINK("C:\Projects\Kleinanzeigen-Scraper\offer_images\2809308830", "Link")</f>
        <v/>
      </c>
      <c r="O2147" t="inlineStr">
        <is>
          <t>Jonny</t>
        </is>
      </c>
      <c r="P2147" s="6">
        <f>HYPERLINK("https://www.kleinanzeigen.de/s-bestandsliste.html?userId=50651551", "Link")</f>
        <v/>
      </c>
      <c r="Q2147" s="7" t="n">
        <v>45500.72434027777</v>
      </c>
      <c r="R2147" s="3" t="inlineStr">
        <is>
          <t>104.21</t>
        </is>
      </c>
      <c r="S2147" t="inlineStr">
        <is>
          <t>Böblingen</t>
        </is>
      </c>
    </row>
    <row r="2148">
      <c r="A2148" s="2" t="n">
        <v>6.7</v>
      </c>
      <c r="B2148" t="inlineStr">
        <is>
          <t>Gun Sails Rapid</t>
        </is>
      </c>
      <c r="C2148" s="3" t="n">
        <v>460</v>
      </c>
      <c r="D2148" s="3" t="n">
        <v>200</v>
      </c>
      <c r="E2148" t="inlineStr"/>
      <c r="F2148" t="inlineStr"/>
      <c r="G2148" t="inlineStr">
        <is>
          <t>repaired</t>
        </is>
      </c>
      <c r="H2148" s="4" t="n">
        <v>159</v>
      </c>
      <c r="I2148" t="inlineStr"/>
      <c r="J2148" t="inlineStr">
        <is>
          <t>79102 Baden-Württemberg - Freiburg im Breisgau</t>
        </is>
      </c>
      <c r="K2148" s="5" t="n">
        <v>45449</v>
      </c>
      <c r="L2148" t="inlineStr">
        <is>
          <t>Sold</t>
        </is>
      </c>
      <c r="M2148" s="6">
        <f>HYPERLINK("https://www.kleinanzeigen.de/s-anzeige/gun-sails-rapid-6-7-windsurf-segel-freeride-freerace/2781076196-230-9364", "Link")</f>
        <v/>
      </c>
      <c r="N2148" s="6">
        <f>HYPERLINK("C:\Projects\Kleinanzeigen-Scraper\offer_images\2781076196", "Link")</f>
        <v/>
      </c>
      <c r="O2148" t="inlineStr">
        <is>
          <t>Tobias</t>
        </is>
      </c>
      <c r="P2148" s="6">
        <f>HYPERLINK("https://www.kleinanzeigen.de/s-bestandsliste.html?userId=11261079", "Link")</f>
        <v/>
      </c>
      <c r="Q2148" s="7" t="n">
        <v>45500.72432870371</v>
      </c>
      <c r="R2148" s="3" t="inlineStr">
        <is>
          <t>40.20</t>
        </is>
      </c>
      <c r="S2148" t="inlineStr">
        <is>
          <t>Bonndorf</t>
        </is>
      </c>
    </row>
    <row r="2149">
      <c r="A2149" s="2" t="n">
        <v>2.8</v>
      </c>
      <c r="B2149" t="inlineStr">
        <is>
          <t>ART</t>
        </is>
      </c>
      <c r="C2149" s="3" t="n">
        <v>348</v>
      </c>
      <c r="D2149" s="3" t="n">
        <v>135</v>
      </c>
      <c r="E2149" t="inlineStr"/>
      <c r="F2149" t="inlineStr"/>
      <c r="G2149" t="inlineStr">
        <is>
          <t>used</t>
        </is>
      </c>
      <c r="H2149" s="4" t="n">
        <v>30</v>
      </c>
      <c r="I2149" t="inlineStr"/>
      <c r="J2149" t="inlineStr">
        <is>
          <t>67112 Rheinland-Pfalz - Mutterstadt</t>
        </is>
      </c>
      <c r="K2149" s="5" t="n">
        <v>45486</v>
      </c>
      <c r="L2149" t="inlineStr">
        <is>
          <t>Sold</t>
        </is>
      </c>
      <c r="M2149" s="6">
        <f>HYPERLINK("https://www.kleinanzeigen.de/s-anzeige/segel-2-8-qm-fuer-kinder-oder-sturm-windsurf/2811289154-230-4958", "Link")</f>
        <v/>
      </c>
      <c r="N2149" s="6">
        <f>HYPERLINK("C:\Projects\Kleinanzeigen-Scraper\offer_images\2811289154", "Link")</f>
        <v/>
      </c>
      <c r="O2149" t="inlineStr">
        <is>
          <t>Reiner</t>
        </is>
      </c>
      <c r="P2149" s="6">
        <f>HYPERLINK("https://www.kleinanzeigen.de/s-bestandsliste.html?userId=16761299", "Link")</f>
        <v/>
      </c>
      <c r="Q2149" s="7" t="n">
        <v>45500.72432870371</v>
      </c>
      <c r="R2149" s="3" t="inlineStr">
        <is>
          <t>48.41</t>
        </is>
      </c>
      <c r="S2149" t="inlineStr">
        <is>
          <t>Karlsruhe</t>
        </is>
      </c>
    </row>
    <row r="2150">
      <c r="A2150" s="2" t="n">
        <v>5.8</v>
      </c>
      <c r="B2150" t="inlineStr">
        <is>
          <t>North</t>
        </is>
      </c>
      <c r="C2150" s="3" t="n">
        <v>4.5</v>
      </c>
      <c r="D2150" s="3" t="n">
        <v>1.83</v>
      </c>
      <c r="E2150" t="inlineStr"/>
      <c r="F2150" t="inlineStr"/>
      <c r="G2150" t="inlineStr">
        <is>
          <t>used</t>
        </is>
      </c>
      <c r="H2150" s="4" t="n">
        <v>75</v>
      </c>
      <c r="I2150" t="inlineStr"/>
      <c r="J2150" t="inlineStr">
        <is>
          <t>72290 Baden-Württemberg - Loßburg</t>
        </is>
      </c>
      <c r="K2150" s="5" t="n">
        <v>45496</v>
      </c>
      <c r="L2150" t="inlineStr">
        <is>
          <t>Sold</t>
        </is>
      </c>
      <c r="M2150" s="6">
        <f>HYPERLINK("https://www.kleinanzeigen.de/s-anzeige/windsurf-segel-north-5-8-qm/2818961340-230-17626", "Link")</f>
        <v/>
      </c>
      <c r="N2150" s="6">
        <f>HYPERLINK("C:\Projects\Kleinanzeigen-Scraper\offer_images\2818961340", "Link")</f>
        <v/>
      </c>
      <c r="O2150" t="inlineStr">
        <is>
          <t>K.-H. Kowatsch</t>
        </is>
      </c>
      <c r="P2150" s="6">
        <f>HYPERLINK("https://www.kleinanzeigen.de/s-bestandsliste.html?userId=7914917", "Link")</f>
        <v/>
      </c>
      <c r="Q2150" s="7" t="n">
        <v>45500.72430555556</v>
      </c>
      <c r="R2150" s="3" t="inlineStr">
        <is>
          <t>48.67</t>
        </is>
      </c>
      <c r="S2150" t="inlineStr">
        <is>
          <t>Böblingen</t>
        </is>
      </c>
    </row>
    <row r="2151">
      <c r="A2151" s="2" t="n">
        <v>6.8</v>
      </c>
      <c r="B2151" t="inlineStr">
        <is>
          <t>North Sails Volcano</t>
        </is>
      </c>
      <c r="C2151" s="3" t="inlineStr"/>
      <c r="D2151" s="3" t="inlineStr">
        <is>
          <t>191-194</t>
        </is>
      </c>
      <c r="E2151" t="inlineStr"/>
      <c r="F2151" t="inlineStr"/>
      <c r="G2151" t="inlineStr">
        <is>
          <t>used</t>
        </is>
      </c>
      <c r="H2151" s="4" t="n">
        <v>100</v>
      </c>
      <c r="I2151" t="inlineStr">
        <is>
          <t>VB</t>
        </is>
      </c>
      <c r="J2151" t="inlineStr">
        <is>
          <t>72202 Baden-Württemberg - Nagold</t>
        </is>
      </c>
      <c r="K2151" s="5" t="n">
        <v>45431</v>
      </c>
      <c r="L2151" t="inlineStr">
        <is>
          <t>Sold</t>
        </is>
      </c>
      <c r="M2151" s="6">
        <f>HYPERLINK("https://www.kleinanzeigen.de/s-anzeige/north-sails-windsurf-segel-volcano-6-8-freestyle-freemove/2765015389-230-8238", "Link")</f>
        <v/>
      </c>
      <c r="N2151" s="6">
        <f>HYPERLINK("C:\Projects\Kleinanzeigen-Scraper\offer_images\2765015389", "Link")</f>
        <v/>
      </c>
      <c r="O2151" t="inlineStr">
        <is>
          <t>Christian Veizhans</t>
        </is>
      </c>
      <c r="P2151" s="6">
        <f>HYPERLINK("https://www.kleinanzeigen.de/s-bestandsliste.html?userId=21675576", "Link")</f>
        <v/>
      </c>
      <c r="Q2151" s="7" t="n">
        <v>45500.72429398148</v>
      </c>
      <c r="R2151" s="3" t="inlineStr">
        <is>
          <t>24.90</t>
        </is>
      </c>
      <c r="S2151" t="inlineStr">
        <is>
          <t>Böblingen</t>
        </is>
      </c>
    </row>
    <row r="2152">
      <c r="A2152" s="2" t="n">
        <v>7.5</v>
      </c>
      <c r="B2152" t="inlineStr">
        <is>
          <t>Gun Sails Tempo</t>
        </is>
      </c>
      <c r="C2152" s="3" t="n">
        <v>182</v>
      </c>
      <c r="D2152" s="3" t="n">
        <v>220</v>
      </c>
      <c r="E2152" t="inlineStr"/>
      <c r="F2152" t="inlineStr"/>
      <c r="G2152" t="inlineStr">
        <is>
          <t>used</t>
        </is>
      </c>
      <c r="H2152" s="4" t="n">
        <v>45</v>
      </c>
      <c r="I2152" t="inlineStr">
        <is>
          <t>VB</t>
        </is>
      </c>
      <c r="J2152" t="inlineStr">
        <is>
          <t>73326 Baden-Württemberg - Deggingen</t>
        </is>
      </c>
      <c r="K2152" s="5" t="n">
        <v>45436</v>
      </c>
      <c r="L2152" t="inlineStr">
        <is>
          <t>Sold</t>
        </is>
      </c>
      <c r="M2152" s="6">
        <f>HYPERLINK("https://www.kleinanzeigen.de/s-anzeige/surfsegel-windsurfen-segel-surfen-gun-sails-tempo-7-5/2769687634-230-8938", "Link")</f>
        <v/>
      </c>
      <c r="N2152" s="6">
        <f>HYPERLINK("C:\Projects\Kleinanzeigen-Scraper\offer_images\2769687634", "Link")</f>
        <v/>
      </c>
      <c r="O2152" t="inlineStr">
        <is>
          <t>M.F.</t>
        </is>
      </c>
      <c r="P2152" s="6">
        <f>HYPERLINK("https://www.kleinanzeigen.de/s-bestandsliste.html?userId=28294099", "Link")</f>
        <v/>
      </c>
      <c r="Q2152" s="7" t="n">
        <v>45500.72427083334</v>
      </c>
      <c r="R2152" s="3" t="inlineStr">
        <is>
          <t>55.46</t>
        </is>
      </c>
      <c r="S2152" t="inlineStr">
        <is>
          <t>Böblingen</t>
        </is>
      </c>
    </row>
    <row r="2153">
      <c r="A2153" s="2" t="n">
        <v>8.5</v>
      </c>
      <c r="B2153" t="inlineStr">
        <is>
          <t>Gaastra Cosmic</t>
        </is>
      </c>
      <c r="C2153" s="3" t="n">
        <v>490</v>
      </c>
      <c r="D2153" s="3" t="n">
        <v>218</v>
      </c>
      <c r="E2153" t="inlineStr"/>
      <c r="F2153" t="inlineStr">
        <is>
          <t>2015</t>
        </is>
      </c>
      <c r="G2153" t="inlineStr">
        <is>
          <t>used</t>
        </is>
      </c>
      <c r="H2153" s="4" t="n">
        <v>100</v>
      </c>
      <c r="I2153" t="inlineStr"/>
      <c r="J2153" t="inlineStr">
        <is>
          <t>71679 Baden-Württemberg - Asperg</t>
        </is>
      </c>
      <c r="K2153" s="5" t="n">
        <v>45494</v>
      </c>
      <c r="L2153" t="inlineStr">
        <is>
          <t>Sold</t>
        </is>
      </c>
      <c r="M2153" s="6">
        <f>HYPERLINK("https://www.kleinanzeigen.de/s-anzeige/gaastra-windsurf-segel-cosmic-8-5-qm/2817403742-230-8897", "Link")</f>
        <v/>
      </c>
      <c r="N2153" s="6">
        <f>HYPERLINK("C:\Projects\Kleinanzeigen-Scraper\offer_images\2817403742", "Link")</f>
        <v/>
      </c>
      <c r="O2153" t="inlineStr">
        <is>
          <t>Ralf Zander</t>
        </is>
      </c>
      <c r="P2153" s="6">
        <f>HYPERLINK("https://www.kleinanzeigen.de/s-bestandsliste.html?userId=79374440", "Link")</f>
        <v/>
      </c>
      <c r="Q2153" s="7" t="n">
        <v>45500.72425925926</v>
      </c>
      <c r="R2153" s="3" t="inlineStr">
        <is>
          <t>28.27</t>
        </is>
      </c>
      <c r="S2153" t="inlineStr">
        <is>
          <t>Böblingen</t>
        </is>
      </c>
    </row>
    <row r="2154">
      <c r="A2154" s="2" t="n">
        <v>6</v>
      </c>
      <c r="B2154" t="inlineStr">
        <is>
          <t>F2</t>
        </is>
      </c>
      <c r="C2154" s="3" t="n">
        <v>450</v>
      </c>
      <c r="D2154" s="3" t="n">
        <v>230</v>
      </c>
      <c r="E2154" t="inlineStr"/>
      <c r="F2154" t="inlineStr"/>
      <c r="G2154" t="inlineStr">
        <is>
          <t>used</t>
        </is>
      </c>
      <c r="H2154" s="4" t="n">
        <v>50</v>
      </c>
      <c r="I2154" t="inlineStr">
        <is>
          <t>VB</t>
        </is>
      </c>
      <c r="J2154" t="inlineStr">
        <is>
          <t>97980 Baden-Württemberg - Bad Mergentheim</t>
        </is>
      </c>
      <c r="K2154" s="5" t="n">
        <v>45453</v>
      </c>
      <c r="L2154" t="inlineStr">
        <is>
          <t>Sold</t>
        </is>
      </c>
      <c r="M2154" s="6">
        <f>HYPERLINK("https://www.kleinanzeigen.de/s-anzeige/windsurf-segel-f2-gebraucht-6-0-m-/2784337984-241-8637", "Link")</f>
        <v/>
      </c>
      <c r="N2154" s="6">
        <f>HYPERLINK("C:\Projects\Kleinanzeigen-Scraper\offer_images\2784337984", "Link")</f>
        <v/>
      </c>
      <c r="O2154" t="inlineStr">
        <is>
          <t>Jonny</t>
        </is>
      </c>
      <c r="P2154" s="6">
        <f>HYPERLINK("https://www.kleinanzeigen.de/s-bestandsliste.html?userId=50651551", "Link")</f>
        <v/>
      </c>
      <c r="Q2154" s="7" t="n">
        <v>45500.72423611111</v>
      </c>
      <c r="R2154" s="3" t="inlineStr">
        <is>
          <t>104.21</t>
        </is>
      </c>
      <c r="S2154" t="inlineStr">
        <is>
          <t>Böblingen</t>
        </is>
      </c>
    </row>
    <row r="2155">
      <c r="A2155" s="2" t="n">
        <v>9</v>
      </c>
      <c r="B2155" t="inlineStr">
        <is>
          <t>Northsails Warp</t>
        </is>
      </c>
      <c r="C2155" s="3" t="n">
        <v>518</v>
      </c>
      <c r="D2155" s="3" t="n">
        <v>245</v>
      </c>
      <c r="E2155" t="inlineStr"/>
      <c r="F2155" t="inlineStr">
        <is>
          <t>2015</t>
        </is>
      </c>
      <c r="G2155" t="inlineStr">
        <is>
          <t>demaged</t>
        </is>
      </c>
      <c r="H2155" s="4" t="n">
        <v>80</v>
      </c>
      <c r="I2155" t="inlineStr"/>
      <c r="J2155" t="inlineStr">
        <is>
          <t>79111 Baden-Württemberg - Freiburg im Breisgau</t>
        </is>
      </c>
      <c r="K2155" s="5" t="n">
        <v>45419</v>
      </c>
      <c r="L2155" t="inlineStr">
        <is>
          <t>Sold</t>
        </is>
      </c>
      <c r="M2155" s="6">
        <f>HYPERLINK("https://www.kleinanzeigen.de/s-anzeige/northsails-warp-9-0-segel-windsurfen-racesegel-/2755701122-230-9361", "Link")</f>
        <v/>
      </c>
      <c r="N2155" s="6">
        <f>HYPERLINK("C:\Projects\Kleinanzeigen-Scraper\offer_images\2755701122", "Link")</f>
        <v/>
      </c>
      <c r="O2155" t="inlineStr">
        <is>
          <t>78dSigns</t>
        </is>
      </c>
      <c r="P2155" s="6">
        <f>HYPERLINK("https://www.kleinanzeigen.de/s-bestandsliste.html?userId=139091034", "Link")</f>
        <v/>
      </c>
      <c r="Q2155" s="7" t="n">
        <v>45500.72423611111</v>
      </c>
      <c r="R2155" s="3" t="inlineStr">
        <is>
          <t>46.18</t>
        </is>
      </c>
      <c r="S2155" t="inlineStr">
        <is>
          <t>Bonndorf</t>
        </is>
      </c>
    </row>
    <row r="2156">
      <c r="A2156" s="2" t="n">
        <v>5.7</v>
      </c>
      <c r="B2156" t="inlineStr">
        <is>
          <t>Mistral</t>
        </is>
      </c>
      <c r="C2156" s="3" t="inlineStr"/>
      <c r="D2156" s="3" t="inlineStr"/>
      <c r="E2156" t="inlineStr"/>
      <c r="F2156" t="inlineStr"/>
      <c r="G2156" t="inlineStr"/>
      <c r="H2156" s="4" t="n">
        <v>42</v>
      </c>
      <c r="I2156" t="inlineStr"/>
      <c r="J2156" t="inlineStr">
        <is>
          <t>76351 Baden-Württemberg - Linkenheim-Hochstetten</t>
        </is>
      </c>
      <c r="K2156" s="5" t="n">
        <v>45500</v>
      </c>
      <c r="L2156" t="inlineStr">
        <is>
          <t>Sold</t>
        </is>
      </c>
      <c r="M2156" s="6">
        <f>HYPERLINK("https://www.kleinanzeigen.de/s-anzeige/windsurf-segel-mistral-5-7-qm/2822050750-230-8826", "Link")</f>
        <v/>
      </c>
      <c r="N2156" s="6">
        <f>HYPERLINK("C:\Projects\Kleinanzeigen-Scraper\offer_images\2822050750", "Link")</f>
        <v/>
      </c>
      <c r="O2156" t="inlineStr">
        <is>
          <t>Alex Hansmann</t>
        </is>
      </c>
      <c r="P2156" s="6">
        <f>HYPERLINK("https://www.kleinanzeigen.de/s-bestandsliste.html?userId=28616506", "Link")</f>
        <v/>
      </c>
      <c r="Q2156" s="7" t="n">
        <v>45500.72422453704</v>
      </c>
      <c r="R2156" s="3" t="inlineStr">
        <is>
          <t>13.78</t>
        </is>
      </c>
      <c r="S2156" t="inlineStr">
        <is>
          <t>Karlsruhe</t>
        </is>
      </c>
    </row>
    <row r="2157">
      <c r="A2157" s="2" t="n">
        <v>5.9</v>
      </c>
      <c r="B2157" t="inlineStr">
        <is>
          <t>North Sails Volt</t>
        </is>
      </c>
      <c r="C2157" s="3" t="n">
        <v>430</v>
      </c>
      <c r="D2157" s="3" t="n">
        <v>181</v>
      </c>
      <c r="E2157" t="inlineStr"/>
      <c r="F2157" t="inlineStr">
        <is>
          <t>2015</t>
        </is>
      </c>
      <c r="G2157" t="inlineStr">
        <is>
          <t>used</t>
        </is>
      </c>
      <c r="H2157" s="4" t="n">
        <v>295</v>
      </c>
      <c r="I2157" t="inlineStr"/>
      <c r="J2157" t="inlineStr">
        <is>
          <t>75045 Baden-Württemberg - Walzbachtal</t>
        </is>
      </c>
      <c r="K2157" s="5" t="n">
        <v>45366</v>
      </c>
      <c r="L2157" t="inlineStr">
        <is>
          <t>Sold</t>
        </is>
      </c>
      <c r="M2157" s="6">
        <f>HYPERLINK("https://www.kleinanzeigen.de/s-anzeige/north-sails-volt-5-9qm-windsurfen-segel/2707223157-230-8248", "Link")</f>
        <v/>
      </c>
      <c r="N2157" s="6">
        <f>HYPERLINK("C:\Projects\Kleinanzeigen-Scraper\offer_images\2707223157", "Link")</f>
        <v/>
      </c>
      <c r="O2157" t="inlineStr">
        <is>
          <t>Carsten</t>
        </is>
      </c>
      <c r="P2157" s="6">
        <f>HYPERLINK("https://www.kleinanzeigen.de/s-bestandsliste.html?userId=21241938", "Link")</f>
        <v/>
      </c>
      <c r="Q2157" s="7" t="n">
        <v>45500.72422453704</v>
      </c>
      <c r="R2157" s="3" t="inlineStr">
        <is>
          <t>15.32</t>
        </is>
      </c>
      <c r="S2157" t="inlineStr">
        <is>
          <t>Karlsruhe</t>
        </is>
      </c>
    </row>
    <row r="2158">
      <c r="A2158" s="2" t="n">
        <v>6.2</v>
      </c>
      <c r="B2158" t="inlineStr">
        <is>
          <t>Gunsails Rapid</t>
        </is>
      </c>
      <c r="C2158" s="3" t="n">
        <v>437</v>
      </c>
      <c r="D2158" s="3" t="inlineStr">
        <is>
          <t>189 - 196</t>
        </is>
      </c>
      <c r="E2158" t="inlineStr"/>
      <c r="F2158" t="inlineStr">
        <is>
          <t>2022</t>
        </is>
      </c>
      <c r="G2158" t="inlineStr">
        <is>
          <t>used</t>
        </is>
      </c>
      <c r="H2158" s="4" t="n">
        <v>250</v>
      </c>
      <c r="I2158" t="inlineStr"/>
      <c r="J2158" t="inlineStr">
        <is>
          <t>73734 Baden-Württemberg - Esslingen</t>
        </is>
      </c>
      <c r="K2158" s="5" t="n">
        <v>45472</v>
      </c>
      <c r="L2158" t="inlineStr">
        <is>
          <t>Sold</t>
        </is>
      </c>
      <c r="M2158" s="6">
        <f>HYPERLINK("https://www.kleinanzeigen.de/s-anzeige/gunsails-rapid-6-2-m-surfsegel-windsurfsegel-windsurfen/2799802617-230-9070", "Link")</f>
        <v/>
      </c>
      <c r="N2158" s="6">
        <f>HYPERLINK("C:\Projects\Kleinanzeigen-Scraper\offer_images\2799802617", "Link")</f>
        <v/>
      </c>
      <c r="O2158" t="inlineStr">
        <is>
          <t>Bernd</t>
        </is>
      </c>
      <c r="P2158" s="6">
        <f>HYPERLINK("https://www.kleinanzeigen.de/s-bestandsliste.html?userId=14836193", "Link")</f>
        <v/>
      </c>
      <c r="Q2158" s="7" t="n">
        <v>45500.72421296296</v>
      </c>
      <c r="R2158" s="3" t="inlineStr">
        <is>
          <t>24.93</t>
        </is>
      </c>
      <c r="S2158" t="inlineStr">
        <is>
          <t>Böblingen</t>
        </is>
      </c>
    </row>
    <row r="2159">
      <c r="A2159" s="2" t="n">
        <v>8.4</v>
      </c>
      <c r="B2159" t="inlineStr">
        <is>
          <t>Duotone Warp</t>
        </is>
      </c>
      <c r="C2159" s="3" t="n">
        <v>490</v>
      </c>
      <c r="D2159" s="3" t="n">
        <v>231</v>
      </c>
      <c r="E2159" t="inlineStr"/>
      <c r="F2159" t="inlineStr">
        <is>
          <t>2020</t>
        </is>
      </c>
      <c r="G2159" t="inlineStr">
        <is>
          <t>new</t>
        </is>
      </c>
      <c r="H2159" s="4" t="n">
        <v>290</v>
      </c>
      <c r="I2159" t="inlineStr"/>
      <c r="J2159" t="inlineStr">
        <is>
          <t>76187 Baden-Württemberg - Karlsruhe</t>
        </is>
      </c>
      <c r="K2159" s="5" t="n">
        <v>45448</v>
      </c>
      <c r="L2159" t="inlineStr">
        <is>
          <t>Sold</t>
        </is>
      </c>
      <c r="M2159" s="6">
        <f>HYPERLINK("https://www.kleinanzeigen.de/s-anzeige/neu-duotone-warp-2020-8-4qm-segel-windsurf/2780814205-230-9188", "Link")</f>
        <v/>
      </c>
      <c r="N2159" s="6">
        <f>HYPERLINK("C:\Projects\Kleinanzeigen-Scraper\offer_images\2780814205", "Link")</f>
        <v/>
      </c>
      <c r="O2159" t="inlineStr">
        <is>
          <t>Timo Waldenberger</t>
        </is>
      </c>
      <c r="P2159" s="6">
        <f>HYPERLINK("https://www.kleinanzeigen.de/s-bestandsliste.html?userId=61404865", "Link")</f>
        <v/>
      </c>
      <c r="Q2159" s="7" t="n">
        <v>45500.72421296296</v>
      </c>
      <c r="R2159" s="3" t="inlineStr">
        <is>
          <t>5.50</t>
        </is>
      </c>
      <c r="S2159" t="inlineStr">
        <is>
          <t>Karlsruhe</t>
        </is>
      </c>
    </row>
    <row r="2160">
      <c r="A2160" s="2" t="n">
        <v>4.8</v>
      </c>
      <c r="B2160" t="inlineStr">
        <is>
          <t>Duotone Idol LTD</t>
        </is>
      </c>
      <c r="C2160" s="3" t="n">
        <v>400</v>
      </c>
      <c r="D2160" s="3" t="n">
        <v>158</v>
      </c>
      <c r="E2160" t="inlineStr"/>
      <c r="F2160" t="inlineStr">
        <is>
          <t>2021</t>
        </is>
      </c>
      <c r="G2160" t="inlineStr">
        <is>
          <t>repaired</t>
        </is>
      </c>
      <c r="H2160" s="4" t="n">
        <v>280</v>
      </c>
      <c r="I2160" t="inlineStr">
        <is>
          <t>VB</t>
        </is>
      </c>
      <c r="J2160" t="inlineStr">
        <is>
          <t>71229 Baden-Württemberg - Leonberg</t>
        </is>
      </c>
      <c r="K2160" s="5" t="n">
        <v>45481</v>
      </c>
      <c r="L2160" t="inlineStr">
        <is>
          <t>Sold</t>
        </is>
      </c>
      <c r="M2160" s="6">
        <f>HYPERLINK("https://www.kleinanzeigen.de/s-anzeige/duotone-windsurf-segel-idol-ltd-4-8-qm-2021/2807582079-230-8441", "Link")</f>
        <v/>
      </c>
      <c r="N2160" s="6">
        <f>HYPERLINK("C:\Projects\Kleinanzeigen-Scraper\offer_images\2807582079", "Link")</f>
        <v/>
      </c>
      <c r="O2160" t="inlineStr">
        <is>
          <t>Costas</t>
        </is>
      </c>
      <c r="P2160" s="6">
        <f>HYPERLINK("https://www.kleinanzeigen.de/s-bestandsliste.html?userId=7233872", "Link")</f>
        <v/>
      </c>
      <c r="Q2160" s="7" t="n">
        <v>45500.72417824074</v>
      </c>
      <c r="R2160" s="3" t="inlineStr">
        <is>
          <t>13.97</t>
        </is>
      </c>
      <c r="S2160" t="inlineStr">
        <is>
          <t>Böblingen</t>
        </is>
      </c>
    </row>
    <row r="2161">
      <c r="A2161" s="2" t="n">
        <v>4.5</v>
      </c>
      <c r="B2161" t="inlineStr">
        <is>
          <t>Ezzy Wave</t>
        </is>
      </c>
      <c r="C2161" s="3" t="inlineStr"/>
      <c r="D2161" s="3" t="inlineStr">
        <is>
          <t>149-159</t>
        </is>
      </c>
      <c r="E2161" t="inlineStr"/>
      <c r="F2161" t="inlineStr">
        <is>
          <t>2021</t>
        </is>
      </c>
      <c r="G2161" t="inlineStr">
        <is>
          <t>used</t>
        </is>
      </c>
      <c r="H2161" s="4" t="n">
        <v>275</v>
      </c>
      <c r="I2161" t="inlineStr"/>
      <c r="J2161" t="inlineStr">
        <is>
          <t>67346 Rheinland-Pfalz - Speyer</t>
        </is>
      </c>
      <c r="K2161" s="5" t="n">
        <v>45471</v>
      </c>
      <c r="L2161" t="inlineStr"/>
      <c r="M2161" s="6">
        <f>HYPERLINK("https://www.kleinanzeigen.de/s-anzeige/ezzy-wave-4-5qm-windsurf-segel-2021/2799348529-230-5365", "Link")</f>
        <v/>
      </c>
      <c r="N2161" s="6">
        <f>HYPERLINK("C:\Projects\Kleinanzeigen-Scraper\offer_images\2799348529", "Link")</f>
        <v/>
      </c>
      <c r="O2161" t="inlineStr">
        <is>
          <t>D. Ertel</t>
        </is>
      </c>
      <c r="P2161" s="6">
        <f>HYPERLINK("https://www.kleinanzeigen.de/s-bestandsliste.html?userId=13322828", "Link")</f>
        <v/>
      </c>
      <c r="Q2161" s="7" t="n">
        <v>45500.72415509259</v>
      </c>
      <c r="R2161" s="3" t="inlineStr">
        <is>
          <t>35.76</t>
        </is>
      </c>
      <c r="S2161" t="inlineStr">
        <is>
          <t>Karlsruhe</t>
        </is>
      </c>
    </row>
    <row r="2162">
      <c r="A2162" s="2" t="n">
        <v>6.2</v>
      </c>
      <c r="B2162" t="inlineStr">
        <is>
          <t>ART Fun Max</t>
        </is>
      </c>
      <c r="C2162" s="3" t="n">
        <v>470</v>
      </c>
      <c r="D2162" s="3" t="n">
        <v>200</v>
      </c>
      <c r="E2162" t="inlineStr"/>
      <c r="F2162" t="inlineStr"/>
      <c r="G2162" t="inlineStr">
        <is>
          <t>used</t>
        </is>
      </c>
      <c r="H2162" s="4" t="n">
        <v>55</v>
      </c>
      <c r="I2162" t="inlineStr">
        <is>
          <t>VB</t>
        </is>
      </c>
      <c r="J2162" t="inlineStr">
        <is>
          <t>70597 Stuttgart - Degerloch</t>
        </is>
      </c>
      <c r="K2162" s="5" t="n">
        <v>45468</v>
      </c>
      <c r="L2162" t="inlineStr">
        <is>
          <t>Sold</t>
        </is>
      </c>
      <c r="M2162" s="6">
        <f>HYPERLINK("https://www.kleinanzeigen.de/s-anzeige/art-windsurf-segel-fun-max-6-2/2796871834-230-9297", "Link")</f>
        <v/>
      </c>
      <c r="N2162" s="6">
        <f>HYPERLINK("C:\Projects\Kleinanzeigen-Scraper\offer_images\2796871834", "Link")</f>
        <v/>
      </c>
      <c r="O2162" t="inlineStr">
        <is>
          <t>Lukas Worbs</t>
        </is>
      </c>
      <c r="P2162" s="6">
        <f>HYPERLINK("https://www.kleinanzeigen.de/s-bestandsliste.html?userId=41627552", "Link")</f>
        <v/>
      </c>
      <c r="Q2162" s="7" t="n">
        <v>45500.72415509259</v>
      </c>
      <c r="R2162" s="3" t="inlineStr">
        <is>
          <t>16.37</t>
        </is>
      </c>
      <c r="S2162" t="inlineStr">
        <is>
          <t>Böblingen</t>
        </is>
      </c>
    </row>
    <row r="2163">
      <c r="A2163" s="2" t="n">
        <v>8.199999999999999</v>
      </c>
      <c r="B2163" t="inlineStr">
        <is>
          <t>North Sails X Type</t>
        </is>
      </c>
      <c r="C2163" s="3" t="inlineStr"/>
      <c r="D2163" s="3" t="n">
        <v>223</v>
      </c>
      <c r="E2163" t="inlineStr"/>
      <c r="F2163" t="inlineStr">
        <is>
          <t>2014</t>
        </is>
      </c>
      <c r="G2163" t="inlineStr">
        <is>
          <t>repaired</t>
        </is>
      </c>
      <c r="H2163" s="4" t="n">
        <v>180</v>
      </c>
      <c r="I2163" t="inlineStr"/>
      <c r="J2163" t="inlineStr">
        <is>
          <t>70794 Baden-Württemberg - Filderstadt</t>
        </is>
      </c>
      <c r="K2163" s="5" t="n">
        <v>45169</v>
      </c>
      <c r="L2163" t="inlineStr">
        <is>
          <t>Sold</t>
        </is>
      </c>
      <c r="M2163" s="6">
        <f>HYPERLINK("https://www.kleinanzeigen.de/s-anzeige/north-sails-x-type-8-2-segel-top-windsurfen-surf-segel/2534123242-230-8892", "Link")</f>
        <v/>
      </c>
      <c r="N2163" s="6">
        <f>HYPERLINK("C:\Projects\Kleinanzeigen-Scraper\offer_images\2534123242", "Link")</f>
        <v/>
      </c>
      <c r="O2163" t="inlineStr">
        <is>
          <t>Nicolas Pfeifle</t>
        </is>
      </c>
      <c r="P2163" s="6">
        <f>HYPERLINK("https://www.kleinanzeigen.de/s-bestandsliste.html?userId=26051920", "Link")</f>
        <v/>
      </c>
      <c r="Q2163" s="7" t="n">
        <v>45500.72412037037</v>
      </c>
      <c r="R2163" s="3" t="inlineStr">
        <is>
          <t>17.11</t>
        </is>
      </c>
      <c r="S2163" t="inlineStr">
        <is>
          <t>Böblingen</t>
        </is>
      </c>
    </row>
    <row r="2164">
      <c r="A2164" s="2" t="n">
        <v>6.4</v>
      </c>
      <c r="B2164" t="inlineStr">
        <is>
          <t>Fanatic</t>
        </is>
      </c>
      <c r="C2164" s="3" t="inlineStr"/>
      <c r="D2164" s="3" t="inlineStr"/>
      <c r="E2164" t="inlineStr"/>
      <c r="F2164" t="inlineStr"/>
      <c r="G2164" t="inlineStr">
        <is>
          <t>used</t>
        </is>
      </c>
      <c r="H2164" s="4" t="n">
        <v>70</v>
      </c>
      <c r="I2164" t="inlineStr">
        <is>
          <t>VB</t>
        </is>
      </c>
      <c r="J2164" t="inlineStr">
        <is>
          <t>97980 Baden-Württemberg - Bad Mergentheim</t>
        </is>
      </c>
      <c r="K2164" s="5" t="n">
        <v>45483</v>
      </c>
      <c r="L2164" t="inlineStr">
        <is>
          <t>Sold</t>
        </is>
      </c>
      <c r="M2164" s="6">
        <f>HYPERLINK("https://www.kleinanzeigen.de/s-anzeige/windsurf-segel-fanatic-6-4-m-/2809302316-230-8637", "Link")</f>
        <v/>
      </c>
      <c r="N2164" s="6">
        <f>HYPERLINK("C:\Projects\Kleinanzeigen-Scraper\offer_images\2809302316", "Link")</f>
        <v/>
      </c>
      <c r="O2164" t="inlineStr">
        <is>
          <t>Jonny</t>
        </is>
      </c>
      <c r="P2164" s="6">
        <f>HYPERLINK("https://www.kleinanzeigen.de/s-bestandsliste.html?userId=50651551", "Link")</f>
        <v/>
      </c>
      <c r="Q2164" s="7" t="n">
        <v>45500.7241087963</v>
      </c>
      <c r="R2164" s="3" t="inlineStr">
        <is>
          <t>104.21</t>
        </is>
      </c>
      <c r="S2164" t="inlineStr">
        <is>
          <t>Böblingen</t>
        </is>
      </c>
    </row>
    <row r="2165">
      <c r="A2165" s="2" t="n">
        <v>7.8</v>
      </c>
      <c r="B2165" t="inlineStr">
        <is>
          <t>KA Sails Koyote</t>
        </is>
      </c>
      <c r="C2165" s="3" t="n">
        <v>460</v>
      </c>
      <c r="D2165" s="3" t="n">
        <v>213</v>
      </c>
      <c r="E2165" t="inlineStr"/>
      <c r="F2165" t="inlineStr"/>
      <c r="G2165" t="inlineStr">
        <is>
          <t>used</t>
        </is>
      </c>
      <c r="H2165" s="4" t="n">
        <v>44</v>
      </c>
      <c r="I2165" t="inlineStr">
        <is>
          <t>VB</t>
        </is>
      </c>
      <c r="J2165" t="inlineStr">
        <is>
          <t>77654 Baden-Württemberg - Offenburg</t>
        </is>
      </c>
      <c r="K2165" s="5" t="n">
        <v>45449</v>
      </c>
      <c r="L2165" t="inlineStr">
        <is>
          <t>Sold</t>
        </is>
      </c>
      <c r="M2165" s="6">
        <f>HYPERLINK("https://www.kleinanzeigen.de/s-anzeige/windsurf-segel-ka-sails-koyote-7-8-freeride-freerace/2781583908-230-9038", "Link")</f>
        <v/>
      </c>
      <c r="N2165" s="6">
        <f>HYPERLINK("C:\Projects\Kleinanzeigen-Scraper\offer_images\2781583908", "Link")</f>
        <v/>
      </c>
      <c r="O2165" t="inlineStr">
        <is>
          <t>Christian</t>
        </is>
      </c>
      <c r="P2165" s="6">
        <f>HYPERLINK("https://www.kleinanzeigen.de/s-bestandsliste.html?userId=15934602", "Link")</f>
        <v/>
      </c>
      <c r="Q2165" s="7" t="n">
        <v>45500.72409722222</v>
      </c>
      <c r="R2165" s="3" t="inlineStr">
        <is>
          <t>66.05</t>
        </is>
      </c>
      <c r="S2165" t="inlineStr">
        <is>
          <t>Karlsruhe</t>
        </is>
      </c>
    </row>
    <row r="2166">
      <c r="A2166" s="2" t="n">
        <v>5.4</v>
      </c>
      <c r="B2166" t="inlineStr">
        <is>
          <t>North Sails</t>
        </is>
      </c>
      <c r="C2166" s="3" t="inlineStr"/>
      <c r="D2166" s="3" t="inlineStr"/>
      <c r="E2166" t="inlineStr"/>
      <c r="F2166" t="inlineStr"/>
      <c r="G2166" t="inlineStr">
        <is>
          <t>repaired</t>
        </is>
      </c>
      <c r="H2166" s="4" t="n">
        <v>35</v>
      </c>
      <c r="I2166" t="inlineStr">
        <is>
          <t>VB</t>
        </is>
      </c>
      <c r="J2166" t="inlineStr">
        <is>
          <t>71732 Baden-Württemberg - Tamm</t>
        </is>
      </c>
      <c r="K2166" s="5" t="n">
        <v>45452</v>
      </c>
      <c r="L2166" t="inlineStr">
        <is>
          <t>Sold</t>
        </is>
      </c>
      <c r="M2166" s="6">
        <f>HYPERLINK("https://www.kleinanzeigen.de/s-anzeige/segel-windsurf-surfsegel-north-sails-5-4/2783388937-230-8673", "Link")</f>
        <v/>
      </c>
      <c r="N2166" s="6">
        <f>HYPERLINK("C:\Projects\Kleinanzeigen-Scraper\offer_images\2783388937", "Link")</f>
        <v/>
      </c>
      <c r="O2166" t="inlineStr">
        <is>
          <t>J. G.</t>
        </is>
      </c>
      <c r="P2166" s="6">
        <f>HYPERLINK("https://www.kleinanzeigen.de/s-bestandsliste.html?userId=30996898", "Link")</f>
        <v/>
      </c>
      <c r="Q2166" s="7" t="n">
        <v>45500.72409722222</v>
      </c>
      <c r="R2166" s="3" t="inlineStr">
        <is>
          <t>28.86</t>
        </is>
      </c>
      <c r="S2166" t="inlineStr">
        <is>
          <t>Böblingen</t>
        </is>
      </c>
    </row>
    <row r="2167">
      <c r="A2167" s="2" t="n">
        <v>7</v>
      </c>
      <c r="B2167" t="inlineStr">
        <is>
          <t>North Sails Natural</t>
        </is>
      </c>
      <c r="C2167" s="3" t="n">
        <v>460</v>
      </c>
      <c r="D2167" s="3" t="inlineStr"/>
      <c r="E2167" t="inlineStr"/>
      <c r="F2167" t="inlineStr"/>
      <c r="G2167" t="inlineStr">
        <is>
          <t>used</t>
        </is>
      </c>
      <c r="H2167" s="4" t="n">
        <v>90</v>
      </c>
      <c r="I2167" t="inlineStr"/>
      <c r="J2167" t="inlineStr">
        <is>
          <t>73252 Baden-Württemberg - Lenningen</t>
        </is>
      </c>
      <c r="K2167" s="5" t="n">
        <v>45444</v>
      </c>
      <c r="L2167" t="inlineStr">
        <is>
          <t>Sold</t>
        </is>
      </c>
      <c r="M2167" s="6">
        <f>HYPERLINK("https://www.kleinanzeigen.de/s-anzeige/windsurfen-segel/2776748785-230-8466", "Link")</f>
        <v/>
      </c>
      <c r="N2167" s="6">
        <f>HYPERLINK("C:\Projects\Kleinanzeigen-Scraper\offer_images\2776748785", "Link")</f>
        <v/>
      </c>
      <c r="O2167" t="inlineStr">
        <is>
          <t>Andi</t>
        </is>
      </c>
      <c r="P2167" s="6">
        <f>HYPERLINK("https://www.kleinanzeigen.de/s-bestandsliste.html?userId=9893215", "Link")</f>
        <v/>
      </c>
      <c r="Q2167" s="7" t="n">
        <v>45500.72408564815</v>
      </c>
      <c r="R2167" s="3" t="inlineStr">
        <is>
          <t>38.52</t>
        </is>
      </c>
      <c r="S2167" t="inlineStr">
        <is>
          <t>Böblingen</t>
        </is>
      </c>
    </row>
    <row r="2168">
      <c r="A2168" s="2" t="n">
        <v>5</v>
      </c>
      <c r="B2168" t="inlineStr">
        <is>
          <t>Gun Sails TARGET</t>
        </is>
      </c>
      <c r="C2168" s="3" t="n">
        <v>417</v>
      </c>
      <c r="D2168" s="3" t="n">
        <v>175</v>
      </c>
      <c r="E2168" t="inlineStr"/>
      <c r="F2168" t="inlineStr"/>
      <c r="G2168" t="inlineStr">
        <is>
          <t>used</t>
        </is>
      </c>
      <c r="H2168" s="4" t="n">
        <v>50</v>
      </c>
      <c r="I2168" t="inlineStr">
        <is>
          <t>VB</t>
        </is>
      </c>
      <c r="J2168" t="inlineStr">
        <is>
          <t>79350 Baden-Württemberg - Sexau</t>
        </is>
      </c>
      <c r="K2168" s="5" t="n">
        <v>45489</v>
      </c>
      <c r="L2168" t="inlineStr">
        <is>
          <t>Sold</t>
        </is>
      </c>
      <c r="M2168" s="6">
        <f>HYPERLINK("https://www.kleinanzeigen.de/s-anzeige/windsurf-surf-segel-gun-sail-target-5-0-qm/2813998933-230-8288", "Link")</f>
        <v/>
      </c>
      <c r="N2168" s="6">
        <f>HYPERLINK("C:\Projects\Kleinanzeigen-Scraper\offer_images\2813998933", "Link")</f>
        <v/>
      </c>
      <c r="O2168" t="inlineStr">
        <is>
          <t>Robert</t>
        </is>
      </c>
      <c r="P2168" s="6">
        <f>HYPERLINK("https://www.kleinanzeigen.de/s-bestandsliste.html?userId=18951209", "Link")</f>
        <v/>
      </c>
      <c r="Q2168" s="7" t="n">
        <v>45500.72407407407</v>
      </c>
      <c r="R2168" s="3" t="inlineStr">
        <is>
          <t>45.20</t>
        </is>
      </c>
      <c r="S2168" t="inlineStr">
        <is>
          <t>Bonndorf</t>
        </is>
      </c>
    </row>
    <row r="2169">
      <c r="A2169" s="2" t="n">
        <v>7.7</v>
      </c>
      <c r="B2169" t="inlineStr">
        <is>
          <t>Flipfoil Competition</t>
        </is>
      </c>
      <c r="C2169" s="3" t="inlineStr"/>
      <c r="D2169" s="3" t="inlineStr"/>
      <c r="E2169" t="inlineStr"/>
      <c r="F2169" t="inlineStr"/>
      <c r="G2169" t="inlineStr">
        <is>
          <t>used</t>
        </is>
      </c>
      <c r="H2169" s="4" t="n">
        <v>70</v>
      </c>
      <c r="I2169" t="inlineStr">
        <is>
          <t>VB</t>
        </is>
      </c>
      <c r="J2169" t="inlineStr">
        <is>
          <t>97980 Baden-Württemberg - Bad Mergentheim</t>
        </is>
      </c>
      <c r="K2169" s="5" t="n">
        <v>45483</v>
      </c>
      <c r="L2169" t="inlineStr">
        <is>
          <t>Sold</t>
        </is>
      </c>
      <c r="M2169" s="6">
        <f>HYPERLINK("https://www.kleinanzeigen.de/s-anzeige/windsurf-segel-flipfoil-competition-7-7-m-/2809305396-230-8637", "Link")</f>
        <v/>
      </c>
      <c r="N2169" s="6">
        <f>HYPERLINK("C:\Projects\Kleinanzeigen-Scraper\offer_images\2809305396", "Link")</f>
        <v/>
      </c>
      <c r="O2169" t="inlineStr">
        <is>
          <t>Jonny</t>
        </is>
      </c>
      <c r="P2169" s="6">
        <f>HYPERLINK("https://www.kleinanzeigen.de/s-bestandsliste.html?userId=50651551", "Link")</f>
        <v/>
      </c>
      <c r="Q2169" s="7" t="n">
        <v>45500.7240625</v>
      </c>
      <c r="R2169" s="3" t="inlineStr">
        <is>
          <t>104.21</t>
        </is>
      </c>
      <c r="S2169" t="inlineStr">
        <is>
          <t>Böblingen</t>
        </is>
      </c>
    </row>
    <row r="2170">
      <c r="A2170" s="2" t="n">
        <v>6.9</v>
      </c>
      <c r="B2170" t="inlineStr">
        <is>
          <t>North Volt</t>
        </is>
      </c>
      <c r="C2170" s="3" t="n">
        <v>460</v>
      </c>
      <c r="D2170" s="3" t="n">
        <v>191</v>
      </c>
      <c r="E2170" t="inlineStr"/>
      <c r="F2170" t="inlineStr"/>
      <c r="G2170" t="inlineStr">
        <is>
          <t>used</t>
        </is>
      </c>
      <c r="H2170" s="4" t="n">
        <v>100</v>
      </c>
      <c r="I2170" t="inlineStr">
        <is>
          <t>VB</t>
        </is>
      </c>
      <c r="J2170" t="inlineStr">
        <is>
          <t>72290 Baden-Württemberg - Loßburg</t>
        </is>
      </c>
      <c r="K2170" s="5" t="n">
        <v>45496</v>
      </c>
      <c r="L2170" t="inlineStr">
        <is>
          <t>Sold</t>
        </is>
      </c>
      <c r="M2170" s="6">
        <f>HYPERLINK("https://www.kleinanzeigen.de/s-anzeige/windsurf-segel-north-6-9-qm/2818971141-230-17626", "Link")</f>
        <v/>
      </c>
      <c r="N2170" s="6">
        <f>HYPERLINK("C:\Projects\Kleinanzeigen-Scraper\offer_images\2818971141", "Link")</f>
        <v/>
      </c>
      <c r="O2170" t="inlineStr">
        <is>
          <t>K.-H. Kowatsch</t>
        </is>
      </c>
      <c r="P2170" s="6">
        <f>HYPERLINK("https://www.kleinanzeigen.de/s-bestandsliste.html?userId=7914917", "Link")</f>
        <v/>
      </c>
      <c r="Q2170" s="7" t="n">
        <v>45500.72405092593</v>
      </c>
      <c r="R2170" s="3" t="inlineStr">
        <is>
          <t>48.67</t>
        </is>
      </c>
      <c r="S2170" t="inlineStr">
        <is>
          <t>Böblingen</t>
        </is>
      </c>
    </row>
    <row r="2171">
      <c r="A2171" s="2" t="n">
        <v>7.2</v>
      </c>
      <c r="B2171" t="inlineStr">
        <is>
          <t>Infinity</t>
        </is>
      </c>
      <c r="C2171" s="3" t="n">
        <v>4.95</v>
      </c>
      <c r="D2171" s="3" t="n">
        <v>2</v>
      </c>
      <c r="E2171" t="inlineStr"/>
      <c r="F2171" t="inlineStr"/>
      <c r="G2171" t="inlineStr">
        <is>
          <t>used</t>
        </is>
      </c>
      <c r="H2171" s="4" t="n">
        <v>35</v>
      </c>
      <c r="I2171" t="inlineStr">
        <is>
          <t>VB</t>
        </is>
      </c>
      <c r="J2171" t="inlineStr">
        <is>
          <t>71732 Baden-Württemberg - Tamm</t>
        </is>
      </c>
      <c r="K2171" s="5" t="n">
        <v>45452</v>
      </c>
      <c r="L2171" t="inlineStr">
        <is>
          <t>Sold</t>
        </is>
      </c>
      <c r="M2171" s="6">
        <f>HYPERLINK("https://www.kleinanzeigen.de/s-anzeige/segel-windsurf-surfsegel-infinity-7-2/2783391480-230-8673", "Link")</f>
        <v/>
      </c>
      <c r="N2171" s="6">
        <f>HYPERLINK("C:\Projects\Kleinanzeigen-Scraper\offer_images\2783391480", "Link")</f>
        <v/>
      </c>
      <c r="O2171" t="inlineStr">
        <is>
          <t>J. G.</t>
        </is>
      </c>
      <c r="P2171" s="6">
        <f>HYPERLINK("https://www.kleinanzeigen.de/s-bestandsliste.html?userId=30996898", "Link")</f>
        <v/>
      </c>
      <c r="Q2171" s="7" t="n">
        <v>45500.72403935185</v>
      </c>
      <c r="R2171" s="3" t="inlineStr">
        <is>
          <t>28.86</t>
        </is>
      </c>
      <c r="S2171" t="inlineStr">
        <is>
          <t>Böblingen</t>
        </is>
      </c>
    </row>
    <row r="2172">
      <c r="A2172" s="2" t="n">
        <v>4.7</v>
      </c>
      <c r="B2172" t="inlineStr">
        <is>
          <t>Neil Pryde SEARCH</t>
        </is>
      </c>
      <c r="C2172" s="3" t="n">
        <v>400</v>
      </c>
      <c r="D2172" s="3" t="n">
        <v>164</v>
      </c>
      <c r="E2172" t="inlineStr"/>
      <c r="F2172" t="inlineStr"/>
      <c r="G2172" t="inlineStr">
        <is>
          <t>used</t>
        </is>
      </c>
      <c r="H2172" s="4" t="n">
        <v>88</v>
      </c>
      <c r="I2172" t="inlineStr">
        <is>
          <t>VB</t>
        </is>
      </c>
      <c r="J2172" t="inlineStr">
        <is>
          <t>71679 Baden-Württemberg - Asperg</t>
        </is>
      </c>
      <c r="K2172" s="5" t="n">
        <v>45493</v>
      </c>
      <c r="L2172" t="inlineStr">
        <is>
          <t>Sold</t>
        </is>
      </c>
      <c r="M2172" s="6">
        <f>HYPERLINK("https://www.kleinanzeigen.de/s-anzeige/windsurf-segel-neil-pryde-search-4-7-m2/2816795908-230-8897", "Link")</f>
        <v/>
      </c>
      <c r="N2172" s="6">
        <f>HYPERLINK("C:\Projects\Kleinanzeigen-Scraper\offer_images\2816795908", "Link")</f>
        <v/>
      </c>
      <c r="O2172" t="inlineStr">
        <is>
          <t>Thomas P</t>
        </is>
      </c>
      <c r="P2172" s="6">
        <f>HYPERLINK("https://www.kleinanzeigen.de/s-bestandsliste.html?userId=65852564", "Link")</f>
        <v/>
      </c>
      <c r="Q2172" s="7" t="n">
        <v>45500.72403935185</v>
      </c>
      <c r="R2172" s="3" t="inlineStr">
        <is>
          <t>28.27</t>
        </is>
      </c>
      <c r="S2172" t="inlineStr">
        <is>
          <t>Böblingen</t>
        </is>
      </c>
    </row>
    <row r="2173">
      <c r="A2173" s="2" t="n">
        <v>4</v>
      </c>
      <c r="B2173" t="inlineStr">
        <is>
          <t>Nivea</t>
        </is>
      </c>
      <c r="C2173" s="3" t="n">
        <v>465</v>
      </c>
      <c r="D2173" s="3" t="n">
        <v>145</v>
      </c>
      <c r="E2173" t="inlineStr"/>
      <c r="F2173" t="inlineStr"/>
      <c r="G2173" t="inlineStr">
        <is>
          <t>used</t>
        </is>
      </c>
      <c r="H2173" s="4" t="n">
        <v>75</v>
      </c>
      <c r="I2173" t="inlineStr"/>
      <c r="J2173" t="inlineStr">
        <is>
          <t>89584 Baden-Württemberg - Ehingen (Donau)</t>
        </is>
      </c>
      <c r="K2173" s="5" t="n">
        <v>45467</v>
      </c>
      <c r="L2173" t="inlineStr">
        <is>
          <t>Sold</t>
        </is>
      </c>
      <c r="M2173" s="6">
        <f>HYPERLINK("https://www.kleinanzeigen.de/s-anzeige/windsurf-segel-4m2-gebraucht/2796332125-230-8804", "Link")</f>
        <v/>
      </c>
      <c r="N2173" s="6">
        <f>HYPERLINK("C:\Projects\Kleinanzeigen-Scraper\offer_images\2796332125", "Link")</f>
        <v/>
      </c>
      <c r="O2173" t="inlineStr">
        <is>
          <t>Ludwig Fleiner</t>
        </is>
      </c>
      <c r="P2173" s="6">
        <f>HYPERLINK("https://www.kleinanzeigen.de/s-bestandsliste.html?userId=80703987", "Link")</f>
        <v/>
      </c>
      <c r="Q2173" s="7" t="n">
        <v>45500.72400462963</v>
      </c>
      <c r="R2173" s="3" t="inlineStr">
        <is>
          <t>66.01</t>
        </is>
      </c>
      <c r="S2173" t="inlineStr">
        <is>
          <t>Böblingen</t>
        </is>
      </c>
    </row>
    <row r="2174">
      <c r="A2174" s="2" t="n">
        <v>5.7</v>
      </c>
      <c r="B2174" t="inlineStr">
        <is>
          <t>Tushingham Project</t>
        </is>
      </c>
      <c r="C2174" s="3" t="inlineStr"/>
      <c r="D2174" s="3" t="inlineStr"/>
      <c r="E2174" t="inlineStr"/>
      <c r="F2174" t="inlineStr"/>
      <c r="G2174" t="inlineStr">
        <is>
          <t>used</t>
        </is>
      </c>
      <c r="H2174" s="4" t="n">
        <v>70</v>
      </c>
      <c r="I2174" t="inlineStr">
        <is>
          <t>VB</t>
        </is>
      </c>
      <c r="J2174" t="inlineStr">
        <is>
          <t>72622 Baden-Württemberg - Nürtingen</t>
        </is>
      </c>
      <c r="K2174" s="5" t="n">
        <v>45406</v>
      </c>
      <c r="L2174" t="inlineStr">
        <is>
          <t>Sold</t>
        </is>
      </c>
      <c r="M2174" s="6">
        <f>HYPERLINK("https://www.kleinanzeigen.de/s-anzeige/windsurf-segel/2744521954-230-8219", "Link")</f>
        <v/>
      </c>
      <c r="N2174" s="6">
        <f>HYPERLINK("C:\Projects\Kleinanzeigen-Scraper\offer_images\2744521954", "Link")</f>
        <v/>
      </c>
      <c r="O2174" t="inlineStr">
        <is>
          <t>Eberhard Zink</t>
        </is>
      </c>
      <c r="P2174" s="6">
        <f>HYPERLINK("https://www.kleinanzeigen.de/s-bestandsliste.html?userId=93429516", "Link")</f>
        <v/>
      </c>
      <c r="Q2174" s="7" t="n">
        <v>45500.72395833334</v>
      </c>
      <c r="R2174" s="3" t="inlineStr">
        <is>
          <t>26.22</t>
        </is>
      </c>
      <c r="S2174" t="inlineStr">
        <is>
          <t>Böblingen</t>
        </is>
      </c>
    </row>
    <row r="2175">
      <c r="A2175" s="2" t="n">
        <v>3.6</v>
      </c>
      <c r="B2175" t="inlineStr">
        <is>
          <t>VANDAL</t>
        </is>
      </c>
      <c r="C2175" s="3" t="n">
        <v>350</v>
      </c>
      <c r="D2175" s="3" t="n">
        <v>143</v>
      </c>
      <c r="E2175" t="inlineStr"/>
      <c r="F2175" t="inlineStr"/>
      <c r="G2175" t="inlineStr">
        <is>
          <t>used, damaged</t>
        </is>
      </c>
      <c r="H2175" s="4" t="n">
        <v>20</v>
      </c>
      <c r="I2175" t="inlineStr">
        <is>
          <t>VB</t>
        </is>
      </c>
      <c r="J2175" t="inlineStr">
        <is>
          <t>79350 Baden-Württemberg - Sexau</t>
        </is>
      </c>
      <c r="K2175" s="5" t="n">
        <v>45489</v>
      </c>
      <c r="L2175" t="inlineStr">
        <is>
          <t>Sold</t>
        </is>
      </c>
      <c r="M2175" s="6">
        <f>HYPERLINK("https://www.kleinanzeigen.de/s-anzeige/windsurf-segel-surf-segel-vandal-3-6-qm/2814046905-230-8288", "Link")</f>
        <v/>
      </c>
      <c r="N2175" s="6">
        <f>HYPERLINK("C:\Projects\Kleinanzeigen-Scraper\offer_images\2814046905", "Link")</f>
        <v/>
      </c>
      <c r="O2175" t="inlineStr">
        <is>
          <t>Robert</t>
        </is>
      </c>
      <c r="P2175" s="6">
        <f>HYPERLINK("https://www.kleinanzeigen.de/s-bestandsliste.html?userId=18951209", "Link")</f>
        <v/>
      </c>
      <c r="Q2175" s="7" t="n">
        <v>45500.72394675926</v>
      </c>
      <c r="R2175" s="3" t="inlineStr">
        <is>
          <t>45.20</t>
        </is>
      </c>
      <c r="S2175" t="inlineStr">
        <is>
          <t>Bonndorf</t>
        </is>
      </c>
    </row>
    <row r="2176">
      <c r="A2176" s="2" t="n">
        <v>5</v>
      </c>
      <c r="B2176" t="inlineStr">
        <is>
          <t>Neilpryde Vortex</t>
        </is>
      </c>
      <c r="C2176" s="3" t="n">
        <v>460</v>
      </c>
      <c r="D2176" s="3" t="n">
        <v>165</v>
      </c>
      <c r="E2176" t="inlineStr"/>
      <c r="F2176" t="inlineStr">
        <is>
          <t>1999</t>
        </is>
      </c>
      <c r="G2176" t="inlineStr">
        <is>
          <t>used</t>
        </is>
      </c>
      <c r="H2176" s="4" t="n">
        <v>30</v>
      </c>
      <c r="I2176" t="inlineStr">
        <is>
          <t>VB</t>
        </is>
      </c>
      <c r="J2176" t="inlineStr">
        <is>
          <t>90480 Nürnberg (Mittelfr) - Oststadt</t>
        </is>
      </c>
      <c r="K2176" s="5" t="n">
        <v>45500</v>
      </c>
      <c r="L2176" t="inlineStr">
        <is>
          <t>Sold</t>
        </is>
      </c>
      <c r="M2176" s="6">
        <f>HYPERLINK("https://www.kleinanzeigen.de/s-anzeige/windsurf-segel-neilpryde-5m2/2822432574-230-6818", "Link")</f>
        <v/>
      </c>
      <c r="N2176" s="6">
        <f>HYPERLINK("C:\Projects\Kleinanzeigen-Scraper\offer_images\2822432574", "Link")</f>
        <v/>
      </c>
      <c r="O2176" t="inlineStr">
        <is>
          <t>Dirk Verleger</t>
        </is>
      </c>
      <c r="P2176" s="6">
        <f>HYPERLINK("https://www.kleinanzeigen.de/s-bestandsliste.html?userId=6486714", "Link")</f>
        <v/>
      </c>
      <c r="Q2176" s="7" t="n">
        <v>45500.72392361111</v>
      </c>
      <c r="R2176" s="3" t="inlineStr">
        <is>
          <t>148.86</t>
        </is>
      </c>
      <c r="S2176" t="inlineStr">
        <is>
          <t>München</t>
        </is>
      </c>
    </row>
    <row r="2177">
      <c r="A2177" s="2" t="n">
        <v>5.7</v>
      </c>
      <c r="B2177" t="inlineStr">
        <is>
          <t>North Sails IDRA</t>
        </is>
      </c>
      <c r="C2177" s="3" t="n">
        <v>4.45</v>
      </c>
      <c r="D2177" s="3" t="n">
        <v>175</v>
      </c>
      <c r="E2177" t="inlineStr"/>
      <c r="F2177" t="inlineStr"/>
      <c r="G2177" t="inlineStr">
        <is>
          <t>used</t>
        </is>
      </c>
      <c r="H2177" s="4" t="n">
        <v>50</v>
      </c>
      <c r="I2177" t="inlineStr"/>
      <c r="J2177" t="inlineStr">
        <is>
          <t>79112 Baden-Württemberg - Freiburg im Breisgau</t>
        </is>
      </c>
      <c r="K2177" s="5" t="n">
        <v>45051</v>
      </c>
      <c r="L2177" t="inlineStr">
        <is>
          <t>Sold</t>
        </is>
      </c>
      <c r="M2177" s="6">
        <f>HYPERLINK("https://www.kleinanzeigen.de/s-anzeige/windsurf-segel-north-sails-idra-5-7/2434102676-230-8619", "Link")</f>
        <v/>
      </c>
      <c r="N2177" s="6">
        <f>HYPERLINK("C:\Projects\Kleinanzeigen-Scraper\offer_images\2434102676", "Link")</f>
        <v/>
      </c>
      <c r="O2177" t="inlineStr">
        <is>
          <t>Laroque, Stefan</t>
        </is>
      </c>
      <c r="P2177" s="6">
        <f>HYPERLINK("https://www.kleinanzeigen.de/s-bestandsliste.html?userId=14001803", "Link")</f>
        <v/>
      </c>
      <c r="Q2177" s="7" t="n">
        <v>45500.72390046297</v>
      </c>
      <c r="R2177" s="3" t="inlineStr">
        <is>
          <t>50.73</t>
        </is>
      </c>
      <c r="S2177" t="inlineStr">
        <is>
          <t>Bonndorf</t>
        </is>
      </c>
    </row>
    <row r="2178">
      <c r="A2178" s="2" t="n">
        <v>5.5</v>
      </c>
      <c r="B2178" t="inlineStr">
        <is>
          <t>Gaastra</t>
        </is>
      </c>
      <c r="C2178" s="3" t="n">
        <v>460</v>
      </c>
      <c r="D2178" s="3" t="n">
        <v>178</v>
      </c>
      <c r="E2178" t="inlineStr"/>
      <c r="F2178" t="inlineStr"/>
      <c r="G2178" t="inlineStr">
        <is>
          <t>used</t>
        </is>
      </c>
      <c r="H2178" s="4" t="n">
        <v>70</v>
      </c>
      <c r="I2178" t="inlineStr">
        <is>
          <t>VB</t>
        </is>
      </c>
      <c r="J2178" t="inlineStr">
        <is>
          <t>70806 Baden-Württemberg - Kornwestheim</t>
        </is>
      </c>
      <c r="K2178" s="5" t="n">
        <v>45473</v>
      </c>
      <c r="L2178" t="inlineStr"/>
      <c r="M2178" s="6">
        <f>HYPERLINK("https://www.kleinanzeigen.de/s-anzeige/segel-windsurf-gaastra-5-5/2800346609-230-8450", "Link")</f>
        <v/>
      </c>
      <c r="N2178" s="6">
        <f>HYPERLINK("C:\Projects\Kleinanzeigen-Scraper\offer_images\2800346609", "Link")</f>
        <v/>
      </c>
      <c r="O2178" t="inlineStr">
        <is>
          <t>Eduard</t>
        </is>
      </c>
      <c r="P2178" s="6">
        <f>HYPERLINK("https://www.kleinanzeigen.de/s-bestandsliste.html?userId=6156442", "Link")</f>
        <v/>
      </c>
      <c r="Q2178" s="7" t="n">
        <v>45500.72390046297</v>
      </c>
      <c r="R2178" s="3" t="inlineStr">
        <is>
          <t>25.46</t>
        </is>
      </c>
      <c r="S2178" t="inlineStr">
        <is>
          <t>Böblingen</t>
        </is>
      </c>
    </row>
    <row r="2179">
      <c r="A2179" s="2" t="n">
        <v>7.3</v>
      </c>
      <c r="B2179" t="inlineStr">
        <is>
          <t>North Sails (Duotone) S Type</t>
        </is>
      </c>
      <c r="C2179" s="3" t="n">
        <v>460</v>
      </c>
      <c r="D2179" s="3" t="n">
        <v>221</v>
      </c>
      <c r="E2179" t="inlineStr"/>
      <c r="F2179" t="inlineStr">
        <is>
          <t>2008</t>
        </is>
      </c>
      <c r="G2179" t="inlineStr">
        <is>
          <t>repaired</t>
        </is>
      </c>
      <c r="H2179" s="4" t="n">
        <v>49</v>
      </c>
      <c r="I2179" t="inlineStr"/>
      <c r="J2179" t="inlineStr">
        <is>
          <t>70329 Stuttgart - Hedelfingen</t>
        </is>
      </c>
      <c r="K2179" s="5" t="n">
        <v>45412</v>
      </c>
      <c r="L2179" t="inlineStr">
        <is>
          <t>Sold</t>
        </is>
      </c>
      <c r="M2179" s="6">
        <f>HYPERLINK("https://www.kleinanzeigen.de/s-anzeige/north-sails-duotone-s-type-7-3-windsurf-segel-gebraucht/2749187930-230-9338", "Link")</f>
        <v/>
      </c>
      <c r="N2179" s="6">
        <f>HYPERLINK("C:\Projects\Kleinanzeigen-Scraper\offer_images\2749187930", "Link")</f>
        <v/>
      </c>
      <c r="O2179" t="inlineStr">
        <is>
          <t>Marvin G.</t>
        </is>
      </c>
      <c r="P2179" s="6">
        <f>HYPERLINK("https://www.kleinanzeigen.de/s-bestandsliste.html?userId=73799491", "Link")</f>
        <v/>
      </c>
      <c r="Q2179" s="7" t="n">
        <v>45500.72388888889</v>
      </c>
      <c r="R2179" s="3" t="inlineStr">
        <is>
          <t>22.01</t>
        </is>
      </c>
      <c r="S2179" t="inlineStr">
        <is>
          <t>Böblingen</t>
        </is>
      </c>
    </row>
    <row r="2180">
      <c r="A2180" s="2" t="n">
        <v>4.5</v>
      </c>
      <c r="B2180" t="inlineStr"/>
      <c r="C2180" s="3" t="inlineStr"/>
      <c r="D2180" s="3" t="n">
        <v>160</v>
      </c>
      <c r="E2180" t="inlineStr"/>
      <c r="F2180" t="inlineStr"/>
      <c r="G2180" t="inlineStr">
        <is>
          <t>used</t>
        </is>
      </c>
      <c r="H2180" s="4" t="n">
        <v>49</v>
      </c>
      <c r="I2180" t="inlineStr">
        <is>
          <t>VB</t>
        </is>
      </c>
      <c r="J2180" t="inlineStr">
        <is>
          <t>73102 Baden-Württemberg - Birenbach</t>
        </is>
      </c>
      <c r="K2180" s="5" t="n">
        <v>45139</v>
      </c>
      <c r="L2180" t="inlineStr">
        <is>
          <t>Sold</t>
        </is>
      </c>
      <c r="M2180" s="6">
        <f>HYPERLINK("https://www.kleinanzeigen.de/s-anzeige/windsurfen-segel-anfaenger-kinder-4-5-qm/2509172173-230-9017", "Link")</f>
        <v/>
      </c>
      <c r="N2180" s="6">
        <f>HYPERLINK("C:\Projects\Kleinanzeigen-Scraper\offer_images\2509172173", "Link")</f>
        <v/>
      </c>
      <c r="O2180" t="inlineStr">
        <is>
          <t>Fam. Walter</t>
        </is>
      </c>
      <c r="P2180" s="6">
        <f>HYPERLINK("https://www.kleinanzeigen.de/s-bestandsliste.html?userId=17351114", "Link")</f>
        <v/>
      </c>
      <c r="Q2180" s="7" t="n">
        <v>45500.72386574074</v>
      </c>
      <c r="R2180" s="3" t="inlineStr">
        <is>
          <t>50.75</t>
        </is>
      </c>
      <c r="S2180" t="inlineStr">
        <is>
          <t>Böblingen</t>
        </is>
      </c>
    </row>
    <row r="2181">
      <c r="A2181" s="2" t="n">
        <v>5.3</v>
      </c>
      <c r="B2181" t="inlineStr">
        <is>
          <t>Sailloft Bionic</t>
        </is>
      </c>
      <c r="C2181" s="3" t="n">
        <v>429</v>
      </c>
      <c r="D2181" s="3" t="n">
        <v>172</v>
      </c>
      <c r="E2181" t="inlineStr"/>
      <c r="F2181" t="inlineStr"/>
      <c r="G2181" t="inlineStr">
        <is>
          <t>used</t>
        </is>
      </c>
      <c r="H2181" s="4" t="n">
        <v>135</v>
      </c>
      <c r="I2181" t="inlineStr">
        <is>
          <t>VB</t>
        </is>
      </c>
      <c r="J2181" t="inlineStr">
        <is>
          <t>79104 Baden-Württemberg - Freiburg im Breisgau</t>
        </is>
      </c>
      <c r="K2181" s="5" t="n">
        <v>45335</v>
      </c>
      <c r="L2181" t="inlineStr"/>
      <c r="M2181" s="6">
        <f>HYPERLINK("https://www.kleinanzeigen.de/s-anzeige/sailloft-bionic-5-3-segel-windsurf-wave/2679116704-230-9363", "Link")</f>
        <v/>
      </c>
      <c r="N2181" s="6">
        <f>HYPERLINK("C:\Projects\Kleinanzeigen-Scraper\offer_images\2679116704", "Link")</f>
        <v/>
      </c>
      <c r="O2181" t="inlineStr">
        <is>
          <t>Fabian</t>
        </is>
      </c>
      <c r="P2181" s="6">
        <f>HYPERLINK("https://www.kleinanzeigen.de/s-bestandsliste.html?userId=37129475", "Link")</f>
        <v/>
      </c>
      <c r="Q2181" s="7" t="n">
        <v>45500.72385416667</v>
      </c>
      <c r="R2181" s="3" t="inlineStr">
        <is>
          <t>39.35</t>
        </is>
      </c>
      <c r="S2181" t="inlineStr">
        <is>
          <t>Bonndorf</t>
        </is>
      </c>
    </row>
    <row r="2182">
      <c r="A2182" s="2" t="n">
        <v>5</v>
      </c>
      <c r="B2182" t="inlineStr">
        <is>
          <t>Neil Pryde</t>
        </is>
      </c>
      <c r="C2182" s="3" t="inlineStr"/>
      <c r="D2182" s="3" t="inlineStr"/>
      <c r="E2182" t="inlineStr"/>
      <c r="F2182" t="inlineStr"/>
      <c r="G2182" t="inlineStr"/>
      <c r="H2182" s="4" t="n">
        <v>45</v>
      </c>
      <c r="I2182" t="inlineStr"/>
      <c r="J2182" t="inlineStr">
        <is>
          <t>76351 Baden-Württemberg - Linkenheim-Hochstetten</t>
        </is>
      </c>
      <c r="K2182" s="5" t="n">
        <v>45500</v>
      </c>
      <c r="L2182" t="inlineStr">
        <is>
          <t>Sold</t>
        </is>
      </c>
      <c r="M2182" s="6">
        <f>HYPERLINK("https://www.kleinanzeigen.de/s-anzeige/windsurf-segel-neil-pryde-5-0-qm/2822046174-230-8826", "Link")</f>
        <v/>
      </c>
      <c r="N2182" s="6">
        <f>HYPERLINK("C:\Projects\Kleinanzeigen-Scraper\offer_images\2822046174", "Link")</f>
        <v/>
      </c>
      <c r="O2182" t="inlineStr">
        <is>
          <t>Alex Hansmann</t>
        </is>
      </c>
      <c r="P2182" s="6">
        <f>HYPERLINK("https://www.kleinanzeigen.de/s-bestandsliste.html?userId=28616506", "Link")</f>
        <v/>
      </c>
      <c r="Q2182" s="7" t="n">
        <v>45500.72383101852</v>
      </c>
      <c r="R2182" s="3" t="inlineStr">
        <is>
          <t>13.78</t>
        </is>
      </c>
      <c r="S2182" t="inlineStr">
        <is>
          <t>Karlsruhe</t>
        </is>
      </c>
    </row>
    <row r="2183">
      <c r="A2183" s="2" t="n">
        <v>8.5</v>
      </c>
      <c r="B2183" t="inlineStr">
        <is>
          <t>MPU Klepper</t>
        </is>
      </c>
      <c r="C2183" s="3" t="n">
        <v>520</v>
      </c>
      <c r="D2183" s="3" t="n">
        <v>270</v>
      </c>
      <c r="E2183" t="inlineStr"/>
      <c r="F2183" t="inlineStr"/>
      <c r="G2183" t="inlineStr">
        <is>
          <t>used</t>
        </is>
      </c>
      <c r="H2183" s="4" t="n">
        <v>80</v>
      </c>
      <c r="I2183" t="inlineStr">
        <is>
          <t>VB</t>
        </is>
      </c>
      <c r="J2183" t="inlineStr">
        <is>
          <t>97980 Baden-Württemberg - Bad Mergentheim</t>
        </is>
      </c>
      <c r="K2183" s="5" t="n">
        <v>45483</v>
      </c>
      <c r="L2183" t="inlineStr">
        <is>
          <t>Sold</t>
        </is>
      </c>
      <c r="M2183" s="6">
        <f>HYPERLINK("https://www.kleinanzeigen.de/s-anzeige/windsurf-segel-klepper-8-5-m-/2809311227-230-8637", "Link")</f>
        <v/>
      </c>
      <c r="N2183" s="6">
        <f>HYPERLINK("C:\Projects\Kleinanzeigen-Scraper\offer_images\2809311227", "Link")</f>
        <v/>
      </c>
      <c r="O2183" t="inlineStr">
        <is>
          <t>Jonny</t>
        </is>
      </c>
      <c r="P2183" s="6">
        <f>HYPERLINK("https://www.kleinanzeigen.de/s-bestandsliste.html?userId=50651551", "Link")</f>
        <v/>
      </c>
      <c r="Q2183" s="7" t="n">
        <v>45500.72380787037</v>
      </c>
      <c r="R2183" s="3" t="inlineStr">
        <is>
          <t>104.21</t>
        </is>
      </c>
      <c r="S2183" t="inlineStr">
        <is>
          <t>Böblingen</t>
        </is>
      </c>
    </row>
    <row r="2184">
      <c r="A2184" s="2" t="n">
        <v>7</v>
      </c>
      <c r="B2184" t="inlineStr">
        <is>
          <t>North Sails Warp</t>
        </is>
      </c>
      <c r="C2184" s="3" t="n">
        <v>475</v>
      </c>
      <c r="D2184" s="3" t="inlineStr">
        <is>
          <t>213-210</t>
        </is>
      </c>
      <c r="E2184" t="inlineStr"/>
      <c r="F2184" t="inlineStr">
        <is>
          <t>2011</t>
        </is>
      </c>
      <c r="G2184" t="inlineStr">
        <is>
          <t>used</t>
        </is>
      </c>
      <c r="H2184" s="4" t="n">
        <v>180</v>
      </c>
      <c r="I2184" t="inlineStr"/>
      <c r="J2184" t="inlineStr">
        <is>
          <t>71384 Baden-Württemberg - Weinstadt</t>
        </is>
      </c>
      <c r="K2184" s="5" t="n">
        <v>45359</v>
      </c>
      <c r="L2184" t="inlineStr">
        <is>
          <t>Sold</t>
        </is>
      </c>
      <c r="M2184" s="6">
        <f>HYPERLINK("https://www.kleinanzeigen.de/s-anzeige/north-sails-warp-7-0qm-windsurfen-top-zustand/2700432378-230-8386", "Link")</f>
        <v/>
      </c>
      <c r="N2184" s="6">
        <f>HYPERLINK("C:\Projects\Kleinanzeigen-Scraper\offer_images\2700432378", "Link")</f>
        <v/>
      </c>
      <c r="O2184" t="inlineStr">
        <is>
          <t>Frank</t>
        </is>
      </c>
      <c r="P2184" s="6">
        <f>HYPERLINK("https://www.kleinanzeigen.de/s-bestandsliste.html?userId=5342134", "Link")</f>
        <v/>
      </c>
      <c r="Q2184" s="7" t="n">
        <v>45500.72380787037</v>
      </c>
      <c r="R2184" s="3" t="inlineStr">
        <is>
          <t>33.53</t>
        </is>
      </c>
      <c r="S2184" t="inlineStr">
        <is>
          <t>Böblingen</t>
        </is>
      </c>
    </row>
    <row r="2185">
      <c r="A2185" s="2" t="n">
        <v>5.7</v>
      </c>
      <c r="B2185" t="inlineStr">
        <is>
          <t>RRD Style Pro</t>
        </is>
      </c>
      <c r="C2185" s="3" t="n">
        <v>440</v>
      </c>
      <c r="D2185" s="3" t="n">
        <v>178</v>
      </c>
      <c r="E2185" t="inlineStr"/>
      <c r="F2185" t="inlineStr"/>
      <c r="G2185" t="inlineStr">
        <is>
          <t>used</t>
        </is>
      </c>
      <c r="H2185" s="4" t="n">
        <v>130</v>
      </c>
      <c r="I2185" t="inlineStr"/>
      <c r="J2185" t="inlineStr">
        <is>
          <t>78187 Baden-Württemberg - Geisingen</t>
        </is>
      </c>
      <c r="K2185" s="5" t="n">
        <v>45467</v>
      </c>
      <c r="L2185" t="inlineStr">
        <is>
          <t>Sold</t>
        </is>
      </c>
      <c r="M2185" s="6">
        <f>HYPERLINK("https://www.kleinanzeigen.de/s-anzeige/windsurfen-segel-rrd-style-pro-5-7m-/2796669152-230-8860", "Link")</f>
        <v/>
      </c>
      <c r="N2185" s="6">
        <f>HYPERLINK("C:\Projects\Kleinanzeigen-Scraper\offer_images\2796669152", "Link")</f>
        <v/>
      </c>
      <c r="O2185" t="inlineStr">
        <is>
          <t>Tobias B.</t>
        </is>
      </c>
      <c r="P2185" s="6">
        <f>HYPERLINK("https://www.kleinanzeigen.de/s-bestandsliste.html?userId=35855171", "Link")</f>
        <v/>
      </c>
      <c r="Q2185" s="7" t="n">
        <v>45500.7237962963</v>
      </c>
      <c r="R2185" s="3" t="inlineStr">
        <is>
          <t>24.74</t>
        </is>
      </c>
      <c r="S2185" t="inlineStr">
        <is>
          <t>Bonndorf</t>
        </is>
      </c>
    </row>
    <row r="2186">
      <c r="A2186" s="2" t="n">
        <v>8</v>
      </c>
      <c r="B2186" t="inlineStr">
        <is>
          <t>Neilpryde Racing Evo</t>
        </is>
      </c>
      <c r="C2186" s="3" t="n">
        <v>400</v>
      </c>
      <c r="D2186" s="3" t="inlineStr">
        <is>
          <t>171-182</t>
        </is>
      </c>
      <c r="E2186" t="inlineStr"/>
      <c r="F2186" t="inlineStr">
        <is>
          <t>2016</t>
        </is>
      </c>
      <c r="G2186" t="inlineStr">
        <is>
          <t>used</t>
        </is>
      </c>
      <c r="H2186" s="4" t="n">
        <v>150</v>
      </c>
      <c r="I2186" t="inlineStr">
        <is>
          <t>VB</t>
        </is>
      </c>
      <c r="J2186" t="inlineStr">
        <is>
          <t>77866 Baden-Württemberg - Rheinau</t>
        </is>
      </c>
      <c r="K2186" s="5" t="n">
        <v>45456</v>
      </c>
      <c r="L2186" t="inlineStr"/>
      <c r="M2186" s="6">
        <f>HYPERLINK("https://www.kleinanzeigen.de/s-anzeige/neilpryde-windsurf-segel-racing-evo-8/2787020421-230-8667", "Link")</f>
        <v/>
      </c>
      <c r="N2186" s="6">
        <f>HYPERLINK("C:\Projects\Kleinanzeigen-Scraper\offer_images\2787020421", "Link")</f>
        <v/>
      </c>
      <c r="O2186" t="inlineStr">
        <is>
          <t>Tavis</t>
        </is>
      </c>
      <c r="P2186" s="6">
        <f>HYPERLINK("https://www.kleinanzeigen.de/s-bestandsliste.html?userId=57798426", "Link")</f>
        <v/>
      </c>
      <c r="Q2186" s="7" t="n">
        <v>45500.72378472222</v>
      </c>
      <c r="R2186" s="3" t="inlineStr">
        <is>
          <t>51.07</t>
        </is>
      </c>
      <c r="S2186" t="inlineStr">
        <is>
          <t>Karlsruhe</t>
        </is>
      </c>
    </row>
    <row r="2187">
      <c r="A2187" s="2" t="n">
        <v>4.7</v>
      </c>
      <c r="B2187" t="inlineStr">
        <is>
          <t>Neilpryde Combat</t>
        </is>
      </c>
      <c r="C2187" s="3" t="n">
        <v>400</v>
      </c>
      <c r="D2187" s="3" t="n">
        <v>181</v>
      </c>
      <c r="E2187" t="inlineStr"/>
      <c r="F2187" t="inlineStr">
        <is>
          <t>2019</t>
        </is>
      </c>
      <c r="G2187" t="inlineStr">
        <is>
          <t>used</t>
        </is>
      </c>
      <c r="H2187" s="4" t="n">
        <v>245</v>
      </c>
      <c r="I2187" t="inlineStr">
        <is>
          <t>VB</t>
        </is>
      </c>
      <c r="J2187" t="inlineStr">
        <is>
          <t>71120 Baden-Württemberg - Grafenau</t>
        </is>
      </c>
      <c r="K2187" s="5" t="n">
        <v>45368</v>
      </c>
      <c r="L2187" t="inlineStr">
        <is>
          <t>Sold</t>
        </is>
      </c>
      <c r="M2187" s="6">
        <f>HYPERLINK("https://www.kleinanzeigen.de/s-anzeige/neilpryde-windsurf-segel-combat-4-7/2708918279-230-8403", "Link")</f>
        <v/>
      </c>
      <c r="N2187" s="6">
        <f>HYPERLINK("C:\Projects\Kleinanzeigen-Scraper\offer_images\2708918279", "Link")</f>
        <v/>
      </c>
      <c r="O2187" t="inlineStr">
        <is>
          <t>Sandra</t>
        </is>
      </c>
      <c r="P2187" s="6">
        <f>HYPERLINK("https://www.kleinanzeigen.de/s-bestandsliste.html?userId=33804110", "Link")</f>
        <v/>
      </c>
      <c r="Q2187" s="7" t="n">
        <v>45500.72378472222</v>
      </c>
      <c r="R2187" s="3" t="inlineStr">
        <is>
          <t>6.40</t>
        </is>
      </c>
      <c r="S2187" t="inlineStr">
        <is>
          <t>Böblingen</t>
        </is>
      </c>
    </row>
    <row r="2188">
      <c r="A2188" s="2" t="n">
        <v>4</v>
      </c>
      <c r="B2188" t="inlineStr">
        <is>
          <t>ART Attack Wave/Slalom</t>
        </is>
      </c>
      <c r="C2188" s="3" t="n">
        <v>405</v>
      </c>
      <c r="D2188" s="3" t="n">
        <v>155</v>
      </c>
      <c r="E2188" t="inlineStr"/>
      <c r="F2188" t="inlineStr"/>
      <c r="G2188" t="inlineStr">
        <is>
          <t>used</t>
        </is>
      </c>
      <c r="H2188" s="4" t="n">
        <v>70</v>
      </c>
      <c r="I2188" t="inlineStr"/>
      <c r="J2188" t="inlineStr">
        <is>
          <t>74321 Baden-Württemberg - Bietigheim-Bissingen</t>
        </is>
      </c>
      <c r="K2188" s="5" t="n">
        <v>45500</v>
      </c>
      <c r="L2188" t="inlineStr">
        <is>
          <t>Sold</t>
        </is>
      </c>
      <c r="M2188" s="6">
        <f>HYPERLINK("https://www.kleinanzeigen.de/s-anzeige/windsurf-segel-4-0-qm/2822209724-230-8681", "Link")</f>
        <v/>
      </c>
      <c r="N2188" s="6">
        <f>HYPERLINK("C:\Projects\Kleinanzeigen-Scraper\offer_images\2822209724", "Link")</f>
        <v/>
      </c>
      <c r="O2188" t="inlineStr">
        <is>
          <t>Andreas Jung</t>
        </is>
      </c>
      <c r="P2188" s="6">
        <f>HYPERLINK("https://www.kleinanzeigen.de/s-bestandsliste.html?userId=12454431", "Link")</f>
        <v/>
      </c>
      <c r="Q2188" s="7" t="n">
        <v>45500.72376157407</v>
      </c>
      <c r="R2188" s="3" t="inlineStr">
        <is>
          <t>32.66</t>
        </is>
      </c>
      <c r="S2188" t="inlineStr">
        <is>
          <t>Böblingen</t>
        </is>
      </c>
    </row>
    <row r="2189">
      <c r="A2189" s="2" t="n">
        <v>5.3</v>
      </c>
      <c r="B2189" t="inlineStr">
        <is>
          <t>Gaastra Sails</t>
        </is>
      </c>
      <c r="C2189" s="3" t="n">
        <v>452</v>
      </c>
      <c r="D2189" s="3" t="n">
        <v>185</v>
      </c>
      <c r="E2189" t="inlineStr"/>
      <c r="F2189" t="inlineStr"/>
      <c r="G2189" t="inlineStr">
        <is>
          <t>used</t>
        </is>
      </c>
      <c r="H2189" s="4" t="n">
        <v>65</v>
      </c>
      <c r="I2189" t="inlineStr">
        <is>
          <t>VB</t>
        </is>
      </c>
      <c r="J2189" t="inlineStr">
        <is>
          <t>97980 Baden-Württemberg - Bad Mergentheim</t>
        </is>
      </c>
      <c r="K2189" s="5" t="n">
        <v>45453</v>
      </c>
      <c r="L2189" t="inlineStr">
        <is>
          <t>Sold</t>
        </is>
      </c>
      <c r="M2189" s="6">
        <f>HYPERLINK("https://www.kleinanzeigen.de/s-anzeige/windsurf-segel-gaastra-sails-gebraucht-5-3-m-/2784337215-241-8637", "Link")</f>
        <v/>
      </c>
      <c r="N2189" s="6">
        <f>HYPERLINK("C:\Projects\Kleinanzeigen-Scraper\offer_images\2784337215", "Link")</f>
        <v/>
      </c>
      <c r="O2189" t="inlineStr">
        <is>
          <t>Jonny</t>
        </is>
      </c>
      <c r="P2189" s="6">
        <f>HYPERLINK("https://www.kleinanzeigen.de/s-bestandsliste.html?userId=50651551", "Link")</f>
        <v/>
      </c>
      <c r="Q2189" s="7" t="n">
        <v>45500.72376157407</v>
      </c>
      <c r="R2189" s="3" t="inlineStr">
        <is>
          <t>104.21</t>
        </is>
      </c>
      <c r="S2189" t="inlineStr">
        <is>
          <t>Böblingen</t>
        </is>
      </c>
    </row>
    <row r="2190">
      <c r="A2190" s="2" t="n">
        <v>5.6</v>
      </c>
      <c r="B2190" t="inlineStr">
        <is>
          <t>Gun Sails GS-R</t>
        </is>
      </c>
      <c r="C2190" s="3" t="n">
        <v>400</v>
      </c>
      <c r="D2190" s="3" t="n">
        <v>181</v>
      </c>
      <c r="E2190" t="inlineStr"/>
      <c r="F2190" t="inlineStr"/>
      <c r="G2190" t="inlineStr">
        <is>
          <t>new</t>
        </is>
      </c>
      <c r="H2190" s="4" t="n">
        <v>350</v>
      </c>
      <c r="I2190" t="inlineStr"/>
      <c r="J2190" t="inlineStr">
        <is>
          <t>67346 Rheinland-Pfalz - Speyer</t>
        </is>
      </c>
      <c r="K2190" s="5" t="n">
        <v>45437</v>
      </c>
      <c r="L2190" t="inlineStr"/>
      <c r="M2190" s="6">
        <f>HYPERLINK("https://www.kleinanzeigen.de/s-anzeige/gun-sails-gs-r-race-windsurf-segel-5-6qm-neu/2771027106-230-5365", "Link")</f>
        <v/>
      </c>
      <c r="N2190" s="6">
        <f>HYPERLINK("C:\Projects\Kleinanzeigen-Scraper\offer_images\2771027106", "Link")</f>
        <v/>
      </c>
      <c r="O2190" t="inlineStr">
        <is>
          <t>D. Ertel</t>
        </is>
      </c>
      <c r="P2190" s="6">
        <f>HYPERLINK("https://www.kleinanzeigen.de/s-bestandsliste.html?userId=13322828", "Link")</f>
        <v/>
      </c>
      <c r="Q2190" s="7" t="n">
        <v>45500.72373842593</v>
      </c>
      <c r="R2190" s="3" t="inlineStr">
        <is>
          <t>35.76</t>
        </is>
      </c>
      <c r="S2190" t="inlineStr">
        <is>
          <t>Karlsruhe</t>
        </is>
      </c>
    </row>
    <row r="2191">
      <c r="A2191" s="2" t="n">
        <v>7.3</v>
      </c>
      <c r="B2191" t="inlineStr">
        <is>
          <t>North Sails Natural</t>
        </is>
      </c>
      <c r="C2191" s="3" t="n">
        <v>479</v>
      </c>
      <c r="D2191" s="3" t="n">
        <v>196</v>
      </c>
      <c r="E2191" t="inlineStr"/>
      <c r="F2191" t="inlineStr"/>
      <c r="G2191" t="inlineStr">
        <is>
          <t>used</t>
        </is>
      </c>
      <c r="H2191" s="4" t="n">
        <v>130</v>
      </c>
      <c r="I2191" t="inlineStr">
        <is>
          <t>VB</t>
        </is>
      </c>
      <c r="J2191" t="inlineStr">
        <is>
          <t>75334 Baden-Württemberg - Straubenhardt</t>
        </is>
      </c>
      <c r="K2191" s="5" t="n">
        <v>45494</v>
      </c>
      <c r="L2191" t="inlineStr">
        <is>
          <t>Sold</t>
        </is>
      </c>
      <c r="M2191" s="6">
        <f>HYPERLINK("https://www.kleinanzeigen.de/s-anzeige/north-sails-natural-7-3-windsurf-segel/2817593744-230-8117", "Link")</f>
        <v/>
      </c>
      <c r="N2191" s="6">
        <f>HYPERLINK("C:\Projects\Kleinanzeigen-Scraper\offer_images\2817593744", "Link")</f>
        <v/>
      </c>
      <c r="O2191" t="inlineStr">
        <is>
          <t>Richter</t>
        </is>
      </c>
      <c r="P2191" s="6">
        <f>HYPERLINK("https://www.kleinanzeigen.de/s-bestandsliste.html?userId=15721218", "Link")</f>
        <v/>
      </c>
      <c r="Q2191" s="7" t="n">
        <v>45500.72368055556</v>
      </c>
      <c r="R2191" s="3" t="inlineStr">
        <is>
          <t>21.11</t>
        </is>
      </c>
      <c r="S2191" t="inlineStr">
        <is>
          <t>Karlsruhe</t>
        </is>
      </c>
    </row>
    <row r="2192">
      <c r="A2192" s="2" t="n">
        <v>8</v>
      </c>
      <c r="B2192" t="inlineStr">
        <is>
          <t>Gun Cannonball</t>
        </is>
      </c>
      <c r="C2192" s="3" t="n">
        <v>502</v>
      </c>
      <c r="D2192" s="3" t="n">
        <v>221</v>
      </c>
      <c r="E2192" t="inlineStr"/>
      <c r="F2192" t="inlineStr"/>
      <c r="G2192" t="inlineStr">
        <is>
          <t>demaged</t>
        </is>
      </c>
      <c r="H2192" s="4" t="n">
        <v>60</v>
      </c>
      <c r="I2192" t="inlineStr"/>
      <c r="J2192" t="inlineStr">
        <is>
          <t>79111 Baden-Württemberg - Freiburg im Breisgau</t>
        </is>
      </c>
      <c r="K2192" s="5" t="n">
        <v>45419</v>
      </c>
      <c r="L2192" t="inlineStr">
        <is>
          <t>Sold</t>
        </is>
      </c>
      <c r="M2192" s="6">
        <f>HYPERLINK("https://www.kleinanzeigen.de/s-anzeige/segel-gun-cannonball-8-0-windsurfen/2755703401-230-9361", "Link")</f>
        <v/>
      </c>
      <c r="N2192" s="6">
        <f>HYPERLINK("C:\Projects\Kleinanzeigen-Scraper\offer_images\2755703401", "Link")</f>
        <v/>
      </c>
      <c r="O2192" t="inlineStr">
        <is>
          <t>78dSigns</t>
        </is>
      </c>
      <c r="P2192" s="6">
        <f>HYPERLINK("https://www.kleinanzeigen.de/s-bestandsliste.html?userId=139091034", "Link")</f>
        <v/>
      </c>
      <c r="Q2192" s="7" t="n">
        <v>45500.7236574074</v>
      </c>
      <c r="R2192" s="3" t="inlineStr">
        <is>
          <t>46.18</t>
        </is>
      </c>
      <c r="S2192" t="inlineStr">
        <is>
          <t>Bonndorf</t>
        </is>
      </c>
    </row>
    <row r="2193">
      <c r="A2193" s="2" t="n">
        <v>6.3</v>
      </c>
      <c r="B2193" t="inlineStr">
        <is>
          <t>F2 Sailmakers</t>
        </is>
      </c>
      <c r="C2193" s="3" t="n">
        <v>520</v>
      </c>
      <c r="D2193" s="3" t="n">
        <v>185</v>
      </c>
      <c r="E2193" t="inlineStr"/>
      <c r="F2193" t="inlineStr"/>
      <c r="G2193" t="inlineStr">
        <is>
          <t>used</t>
        </is>
      </c>
      <c r="H2193" s="4" t="n">
        <v>70</v>
      </c>
      <c r="I2193" t="inlineStr">
        <is>
          <t>VB</t>
        </is>
      </c>
      <c r="J2193" t="inlineStr">
        <is>
          <t>97980 Baden-Württemberg - Bad Mergentheim</t>
        </is>
      </c>
      <c r="K2193" s="5" t="n">
        <v>45483</v>
      </c>
      <c r="L2193" t="inlineStr">
        <is>
          <t>Sold</t>
        </is>
      </c>
      <c r="M2193" s="6">
        <f>HYPERLINK("https://www.kleinanzeigen.de/s-anzeige/windsurf-segel-f2-gebraucht-5-3-m-/2809298845-230-8637", "Link")</f>
        <v/>
      </c>
      <c r="N2193" s="6">
        <f>HYPERLINK("C:\Projects\Kleinanzeigen-Scraper\offer_images\2809298845", "Link")</f>
        <v/>
      </c>
      <c r="O2193" t="inlineStr">
        <is>
          <t>Jonny</t>
        </is>
      </c>
      <c r="P2193" s="6">
        <f>HYPERLINK("https://www.kleinanzeigen.de/s-bestandsliste.html?userId=50651551", "Link")</f>
        <v/>
      </c>
      <c r="Q2193" s="7" t="n">
        <v>45500.72364583334</v>
      </c>
      <c r="R2193" s="3" t="inlineStr">
        <is>
          <t>104.21</t>
        </is>
      </c>
      <c r="S2193" t="inlineStr">
        <is>
          <t>Böblingen</t>
        </is>
      </c>
    </row>
    <row r="2194">
      <c r="A2194" s="2" t="n">
        <v>9.300000000000001</v>
      </c>
      <c r="B2194" t="inlineStr">
        <is>
          <t>Neil Pryde RX</t>
        </is>
      </c>
      <c r="C2194" s="3" t="inlineStr"/>
      <c r="D2194" s="3" t="inlineStr"/>
      <c r="E2194" t="inlineStr"/>
      <c r="F2194" t="inlineStr"/>
      <c r="G2194" t="inlineStr">
        <is>
          <t>used</t>
        </is>
      </c>
      <c r="H2194" s="4" t="n">
        <v>59</v>
      </c>
      <c r="I2194" t="inlineStr">
        <is>
          <t>VB</t>
        </is>
      </c>
      <c r="J2194" t="inlineStr">
        <is>
          <t>72644 Baden-Württemberg - Oberboihingen</t>
        </is>
      </c>
      <c r="K2194" s="5" t="n">
        <v>45445</v>
      </c>
      <c r="L2194" t="inlineStr">
        <is>
          <t>Sold</t>
        </is>
      </c>
      <c r="M2194" s="6">
        <f>HYPERLINK("https://www.kleinanzeigen.de/s-anzeige/segel-windsurfen-neil-pryde-rx-9-3-m-/2778147465-230-8218", "Link")</f>
        <v/>
      </c>
      <c r="N2194" s="6">
        <f>HYPERLINK("C:\Projects\Kleinanzeigen-Scraper\offer_images\2778147465", "Link")</f>
        <v/>
      </c>
      <c r="O2194" t="inlineStr">
        <is>
          <t>Andreas Braun</t>
        </is>
      </c>
      <c r="P2194" s="6">
        <f>HYPERLINK("https://www.kleinanzeigen.de/s-bestandsliste.html?userId=20212035", "Link")</f>
        <v/>
      </c>
      <c r="Q2194" s="7" t="n">
        <v>45500.72364583334</v>
      </c>
      <c r="R2194" s="3" t="inlineStr">
        <is>
          <t>28.77</t>
        </is>
      </c>
      <c r="S2194" t="inlineStr">
        <is>
          <t>Böblingen</t>
        </is>
      </c>
    </row>
    <row r="2195">
      <c r="A2195" s="2" t="n">
        <v>4.7</v>
      </c>
      <c r="B2195" t="inlineStr">
        <is>
          <t>KA</t>
        </is>
      </c>
      <c r="C2195" s="3" t="n">
        <v>400</v>
      </c>
      <c r="D2195" s="3" t="n">
        <v>188</v>
      </c>
      <c r="E2195" t="inlineStr"/>
      <c r="F2195" t="inlineStr"/>
      <c r="G2195" t="inlineStr">
        <is>
          <t>used</t>
        </is>
      </c>
      <c r="H2195" s="4" t="n">
        <v>100</v>
      </c>
      <c r="I2195" t="inlineStr"/>
      <c r="J2195" t="inlineStr">
        <is>
          <t>75382 Baden-Württemberg - Althengstett</t>
        </is>
      </c>
      <c r="K2195" s="5" t="n">
        <v>45473</v>
      </c>
      <c r="L2195" t="inlineStr">
        <is>
          <t>Sold</t>
        </is>
      </c>
      <c r="M2195" s="6">
        <f>HYPERLINK("https://www.kleinanzeigen.de/s-anzeige/ka-segel-kaos-4-7qm-wavesegel-windsurf/2800379520-230-8769", "Link")</f>
        <v/>
      </c>
      <c r="N2195" s="6">
        <f>HYPERLINK("C:\Projects\Kleinanzeigen-Scraper\offer_images\2800379520", "Link")</f>
        <v/>
      </c>
      <c r="O2195" t="inlineStr">
        <is>
          <t>Andreas</t>
        </is>
      </c>
      <c r="P2195" s="6">
        <f>HYPERLINK("https://www.kleinanzeigen.de/s-bestandsliste.html?userId=33461646", "Link")</f>
        <v/>
      </c>
      <c r="Q2195" s="7" t="n">
        <v>45500.72361111111</v>
      </c>
      <c r="R2195" s="3" t="inlineStr">
        <is>
          <t>14.99</t>
        </is>
      </c>
      <c r="S2195" t="inlineStr">
        <is>
          <t>Böblingen</t>
        </is>
      </c>
    </row>
    <row r="2196">
      <c r="A2196" s="2" t="n">
        <v>10</v>
      </c>
      <c r="B2196" t="inlineStr">
        <is>
          <t>Neil Pryde H2</t>
        </is>
      </c>
      <c r="C2196" s="3" t="n">
        <v>520</v>
      </c>
      <c r="D2196" s="3" t="n">
        <v>370</v>
      </c>
      <c r="E2196" t="inlineStr"/>
      <c r="F2196" t="inlineStr"/>
      <c r="G2196" t="inlineStr">
        <is>
          <t>used</t>
        </is>
      </c>
      <c r="H2196" s="4" t="n">
        <v>120</v>
      </c>
      <c r="I2196" t="inlineStr"/>
      <c r="J2196" t="inlineStr">
        <is>
          <t>67112 Rheinland-Pfalz - Mutterstadt</t>
        </is>
      </c>
      <c r="K2196" s="5" t="n">
        <v>45476</v>
      </c>
      <c r="L2196" t="inlineStr">
        <is>
          <t>Sold</t>
        </is>
      </c>
      <c r="M2196" s="6">
        <f>HYPERLINK("https://www.kleinanzeigen.de/s-anzeige/segel-np-h2-10-0-windsurfen/2803297648-230-4958", "Link")</f>
        <v/>
      </c>
      <c r="N2196" s="6">
        <f>HYPERLINK("C:\Projects\Kleinanzeigen-Scraper\offer_images\2803297648", "Link")</f>
        <v/>
      </c>
      <c r="O2196" t="inlineStr">
        <is>
          <t>Reiner</t>
        </is>
      </c>
      <c r="P2196" s="6">
        <f>HYPERLINK("https://www.kleinanzeigen.de/s-bestandsliste.html?userId=16761299", "Link")</f>
        <v/>
      </c>
      <c r="Q2196" s="7" t="n">
        <v>45500.72358796297</v>
      </c>
      <c r="R2196" s="3" t="inlineStr">
        <is>
          <t>48.41</t>
        </is>
      </c>
      <c r="S2196" t="inlineStr">
        <is>
          <t>Karlsruhe</t>
        </is>
      </c>
    </row>
    <row r="2197">
      <c r="A2197" s="2" t="n">
        <v>5</v>
      </c>
      <c r="B2197" t="inlineStr">
        <is>
          <t>Neil Pryde</t>
        </is>
      </c>
      <c r="C2197" s="3" t="n">
        <v>419</v>
      </c>
      <c r="D2197" s="3" t="n">
        <v>165</v>
      </c>
      <c r="E2197" t="inlineStr"/>
      <c r="F2197" t="inlineStr"/>
      <c r="G2197" t="inlineStr">
        <is>
          <t>used</t>
        </is>
      </c>
      <c r="H2197" s="4" t="n">
        <v>70</v>
      </c>
      <c r="I2197" t="inlineStr"/>
      <c r="J2197" t="inlineStr">
        <is>
          <t>67316 Rheinland-Pfalz - Carlsberg</t>
        </is>
      </c>
      <c r="K2197" s="5" t="n">
        <v>45465</v>
      </c>
      <c r="L2197" t="inlineStr">
        <is>
          <t>Sold</t>
        </is>
      </c>
      <c r="M2197" s="6">
        <f>HYPERLINK("https://www.kleinanzeigen.de/s-anzeige/windsurf-segel/2794747930-230-19052", "Link")</f>
        <v/>
      </c>
      <c r="N2197" s="6">
        <f>HYPERLINK("C:\Projects\Kleinanzeigen-Scraper\offer_images\2794747930", "Link")</f>
        <v/>
      </c>
      <c r="O2197" t="inlineStr">
        <is>
          <t>Kranuschkin</t>
        </is>
      </c>
      <c r="P2197" s="6">
        <f>HYPERLINK("https://www.kleinanzeigen.de/s-bestandsliste.html?userId=26640126", "Link")</f>
        <v/>
      </c>
      <c r="Q2197" s="7" t="n">
        <v>45500.72357638889</v>
      </c>
      <c r="R2197" s="3" t="inlineStr">
        <is>
          <t>60.80</t>
        </is>
      </c>
      <c r="S2197" t="inlineStr">
        <is>
          <t>Karlsruhe</t>
        </is>
      </c>
    </row>
    <row r="2198">
      <c r="A2198" s="2" t="n">
        <v>4</v>
      </c>
      <c r="B2198" t="inlineStr">
        <is>
          <t>Ascan</t>
        </is>
      </c>
      <c r="C2198" s="3" t="inlineStr"/>
      <c r="D2198" s="3" t="inlineStr"/>
      <c r="E2198" t="inlineStr"/>
      <c r="F2198" t="inlineStr"/>
      <c r="G2198" t="inlineStr">
        <is>
          <t>used</t>
        </is>
      </c>
      <c r="H2198" s="4" t="n">
        <v>25</v>
      </c>
      <c r="I2198" t="inlineStr">
        <is>
          <t>VB</t>
        </is>
      </c>
      <c r="J2198" t="inlineStr">
        <is>
          <t>77746 Baden-Württemberg - Schutterwald</t>
        </is>
      </c>
      <c r="K2198" s="5" t="n">
        <v>45450</v>
      </c>
      <c r="L2198" t="inlineStr">
        <is>
          <t>Sold</t>
        </is>
      </c>
      <c r="M2198" s="6">
        <f>HYPERLINK("https://www.kleinanzeigen.de/s-anzeige/segel-windsurf-damen-junior-rig-surfrig-ascan-segel/2782330349-230-9032", "Link")</f>
        <v/>
      </c>
      <c r="N2198" s="6">
        <f>HYPERLINK("C:\Projects\Kleinanzeigen-Scraper\offer_images\2782330349", "Link")</f>
        <v/>
      </c>
      <c r="O2198" t="inlineStr">
        <is>
          <t>Heidt</t>
        </is>
      </c>
      <c r="P2198" s="6">
        <f>HYPERLINK("https://www.kleinanzeigen.de/s-bestandsliste.html?userId=23920892", "Link")</f>
        <v/>
      </c>
      <c r="Q2198" s="7" t="n">
        <v>45500.72357638889</v>
      </c>
      <c r="R2198" s="3" t="inlineStr">
        <is>
          <t>71.36</t>
        </is>
      </c>
      <c r="S2198" t="inlineStr">
        <is>
          <t>Karlsruhe</t>
        </is>
      </c>
    </row>
    <row r="2199">
      <c r="A2199" s="2" t="n">
        <v>6.6</v>
      </c>
      <c r="B2199" t="inlineStr">
        <is>
          <t>North Sails E-Type</t>
        </is>
      </c>
      <c r="C2199" s="3" t="n">
        <v>460</v>
      </c>
      <c r="D2199" s="3" t="n">
        <v>199</v>
      </c>
      <c r="E2199" t="inlineStr"/>
      <c r="F2199" t="inlineStr">
        <is>
          <t>2014</t>
        </is>
      </c>
      <c r="G2199" t="inlineStr">
        <is>
          <t>used</t>
        </is>
      </c>
      <c r="H2199" s="4" t="n">
        <v>90</v>
      </c>
      <c r="I2199" t="inlineStr">
        <is>
          <t>VB</t>
        </is>
      </c>
      <c r="J2199" t="inlineStr">
        <is>
          <t>68794 Baden-Württemberg - Oberhausen-Rheinhausen</t>
        </is>
      </c>
      <c r="K2199" s="5" t="n">
        <v>45487</v>
      </c>
      <c r="L2199" t="inlineStr">
        <is>
          <t>Sold</t>
        </is>
      </c>
      <c r="M2199" s="6">
        <f>HYPERLINK("https://www.kleinanzeigen.de/s-anzeige/north-sails-e-type-6-6-surfsegel-windsurfen/2812139500-230-8338", "Link")</f>
        <v/>
      </c>
      <c r="N2199" s="6">
        <f>HYPERLINK("C:\Projects\Kleinanzeigen-Scraper\offer_images\2812139500", "Link")</f>
        <v/>
      </c>
      <c r="O2199" t="inlineStr">
        <is>
          <t>Metzler</t>
        </is>
      </c>
      <c r="P2199" s="6">
        <f>HYPERLINK("https://www.kleinanzeigen.de/s-bestandsliste.html?userId=73550942", "Link")</f>
        <v/>
      </c>
      <c r="Q2199" s="7" t="n">
        <v>45500.72356481481</v>
      </c>
      <c r="R2199" s="3" t="inlineStr">
        <is>
          <t>30.38</t>
        </is>
      </c>
      <c r="S2199" t="inlineStr">
        <is>
          <t>Karlsruhe</t>
        </is>
      </c>
    </row>
    <row r="2200">
      <c r="A2200" s="2" t="n">
        <v>6.2</v>
      </c>
      <c r="B2200" t="inlineStr">
        <is>
          <t>Neil Pryde Ryde HD</t>
        </is>
      </c>
      <c r="C2200" s="3" t="n">
        <v>430</v>
      </c>
      <c r="D2200" s="3" t="inlineStr"/>
      <c r="E2200" t="inlineStr"/>
      <c r="F2200" t="inlineStr">
        <is>
          <t>2023</t>
        </is>
      </c>
      <c r="G2200" t="inlineStr">
        <is>
          <t>new</t>
        </is>
      </c>
      <c r="H2200" s="4" t="n">
        <v>360</v>
      </c>
      <c r="I2200" t="inlineStr">
        <is>
          <t>VB</t>
        </is>
      </c>
      <c r="J2200" t="inlineStr">
        <is>
          <t>73272 Baden-Württemberg - Neidlingen</t>
        </is>
      </c>
      <c r="K2200" s="5" t="n">
        <v>45446</v>
      </c>
      <c r="L2200" t="inlineStr"/>
      <c r="M2200" s="6">
        <f>HYPERLINK("https://www.kleinanzeigen.de/s-anzeige/neilpryde-ryde-6-2-windsurf-segel-neuwertig-2023/2778758902-230-8457", "Link")</f>
        <v/>
      </c>
      <c r="N2200" s="6">
        <f>HYPERLINK("C:\Projects\Kleinanzeigen-Scraper\offer_images\2778758902", "Link")</f>
        <v/>
      </c>
      <c r="O2200" t="inlineStr">
        <is>
          <t>C.H.</t>
        </is>
      </c>
      <c r="P2200" s="6">
        <f>HYPERLINK("https://www.kleinanzeigen.de/s-bestandsliste.html?userId=47071240", "Link")</f>
        <v/>
      </c>
      <c r="Q2200" s="7" t="n">
        <v>45500.72355324074</v>
      </c>
      <c r="R2200" s="3" t="inlineStr">
        <is>
          <t>44.49</t>
        </is>
      </c>
      <c r="S2200" t="inlineStr">
        <is>
          <t>Böblingen</t>
        </is>
      </c>
    </row>
    <row r="2201">
      <c r="A2201" s="2" t="n">
        <v>5.6</v>
      </c>
      <c r="B2201" t="inlineStr">
        <is>
          <t>Arros Impact</t>
        </is>
      </c>
      <c r="C2201" s="3" t="n">
        <v>430</v>
      </c>
      <c r="D2201" s="3" t="n">
        <v>177</v>
      </c>
      <c r="E2201" t="inlineStr"/>
      <c r="F2201" t="inlineStr"/>
      <c r="G2201" t="inlineStr">
        <is>
          <t>used</t>
        </is>
      </c>
      <c r="H2201" s="4" t="n">
        <v>65</v>
      </c>
      <c r="I2201" t="inlineStr">
        <is>
          <t>VB</t>
        </is>
      </c>
      <c r="J2201" t="inlineStr">
        <is>
          <t>71088 Baden-Württemberg - Holzgerlingen</t>
        </is>
      </c>
      <c r="K2201" s="5" t="n">
        <v>45498</v>
      </c>
      <c r="L2201" t="inlineStr">
        <is>
          <t>Sold</t>
        </is>
      </c>
      <c r="M2201" s="6">
        <f>HYPERLINK("https://www.kleinanzeigen.de/s-anzeige/segel-arros-impact-5-6qm-windsurfen-foil/2820726760-230-8786", "Link")</f>
        <v/>
      </c>
      <c r="N2201" s="6">
        <f>HYPERLINK("C:\Projects\Kleinanzeigen-Scraper\offer_images\2820726760", "Link")</f>
        <v/>
      </c>
      <c r="O2201" t="inlineStr">
        <is>
          <t>Jürgen Rommel</t>
        </is>
      </c>
      <c r="P2201" s="6">
        <f>HYPERLINK("https://www.kleinanzeigen.de/s-bestandsliste.html?userId=128051520", "Link")</f>
        <v/>
      </c>
      <c r="Q2201" s="7" t="n">
        <v>45500.72354166667</v>
      </c>
      <c r="R2201" s="3" t="inlineStr">
        <is>
          <t>4.76</t>
        </is>
      </c>
      <c r="S2201" t="inlineStr">
        <is>
          <t>Böblingen</t>
        </is>
      </c>
    </row>
    <row r="2202">
      <c r="A2202" s="2" t="n">
        <v>4.7</v>
      </c>
      <c r="B2202" t="inlineStr">
        <is>
          <t>Simmer OS Wave</t>
        </is>
      </c>
      <c r="C2202" s="3" t="n">
        <v>422</v>
      </c>
      <c r="D2202" s="3" t="n">
        <v>162</v>
      </c>
      <c r="E2202" t="inlineStr"/>
      <c r="F2202" t="inlineStr"/>
      <c r="G2202" t="inlineStr">
        <is>
          <t>used</t>
        </is>
      </c>
      <c r="H2202" s="4" t="inlineStr"/>
      <c r="I2202" t="inlineStr">
        <is>
          <t>VB</t>
        </is>
      </c>
      <c r="J2202" t="inlineStr">
        <is>
          <t>68649 Hessen - Groß-Rohrheim</t>
        </is>
      </c>
      <c r="K2202" s="5" t="n">
        <v>45479</v>
      </c>
      <c r="L2202" t="inlineStr">
        <is>
          <t>Sold</t>
        </is>
      </c>
      <c r="M2202" s="6">
        <f>HYPERLINK("https://www.kleinanzeigen.de/s-anzeige/surfsegel-windsurfen-surfen-segel-simmer-os-wave-4-7/2805399658-230-4758", "Link")</f>
        <v/>
      </c>
      <c r="N2202" s="6">
        <f>HYPERLINK("C:\Projects\Kleinanzeigen-Scraper\offer_images\2805399658", "Link")</f>
        <v/>
      </c>
      <c r="O2202" t="inlineStr">
        <is>
          <t>Daniel</t>
        </is>
      </c>
      <c r="P2202" s="6">
        <f>HYPERLINK("https://www.kleinanzeigen.de/s-bestandsliste.html?userId=15416374", "Link")</f>
        <v/>
      </c>
      <c r="Q2202" s="7" t="n">
        <v>45500.72351851852</v>
      </c>
      <c r="R2202" s="3" t="inlineStr">
        <is>
          <t>78.85</t>
        </is>
      </c>
      <c r="S2202" t="inlineStr">
        <is>
          <t>Karlsruhe</t>
        </is>
      </c>
    </row>
    <row r="2203">
      <c r="A2203" s="2" t="n">
        <v>8.800000000000001</v>
      </c>
      <c r="B2203" t="inlineStr">
        <is>
          <t>North s_type</t>
        </is>
      </c>
      <c r="C2203" s="3" t="n">
        <v>490</v>
      </c>
      <c r="D2203" s="3" t="n">
        <v>238</v>
      </c>
      <c r="E2203" t="inlineStr"/>
      <c r="F2203" t="inlineStr">
        <is>
          <t>2017</t>
        </is>
      </c>
      <c r="G2203" t="inlineStr">
        <is>
          <t>used</t>
        </is>
      </c>
      <c r="H2203" s="4" t="n">
        <v>75</v>
      </c>
      <c r="I2203" t="inlineStr"/>
      <c r="J2203" t="inlineStr">
        <is>
          <t>78132 Baden-Württemberg - Hornberg</t>
        </is>
      </c>
      <c r="K2203" s="5" t="n">
        <v>45472</v>
      </c>
      <c r="L2203" t="inlineStr">
        <is>
          <t>Sold</t>
        </is>
      </c>
      <c r="M2203" s="6">
        <f>HYPERLINK("https://www.kleinanzeigen.de/s-anzeige/windsurf-segel-north-s-type-8-8/2799644919-230-8536", "Link")</f>
        <v/>
      </c>
      <c r="N2203" s="6">
        <f>HYPERLINK("C:\Projects\Kleinanzeigen-Scraper\offer_images\2799644919", "Link")</f>
        <v/>
      </c>
      <c r="O2203" t="inlineStr">
        <is>
          <t>Didi Albrecht</t>
        </is>
      </c>
      <c r="P2203" s="6">
        <f>HYPERLINK("https://www.kleinanzeigen.de/s-bestandsliste.html?userId=52538312", "Link")</f>
        <v/>
      </c>
      <c r="Q2203" s="7" t="n">
        <v>45500.72351851852</v>
      </c>
      <c r="R2203" s="3" t="inlineStr">
        <is>
          <t>44.45</t>
        </is>
      </c>
      <c r="S2203" t="inlineStr">
        <is>
          <t>Bonndorf</t>
        </is>
      </c>
    </row>
    <row r="2204">
      <c r="A2204" s="2" t="n">
        <v>7.8</v>
      </c>
      <c r="B2204" t="inlineStr">
        <is>
          <t>Duotone E-Pace</t>
        </is>
      </c>
      <c r="C2204" s="3" t="n">
        <v>460</v>
      </c>
      <c r="D2204" s="3" t="n">
        <v>212</v>
      </c>
      <c r="E2204" t="inlineStr"/>
      <c r="F2204" t="inlineStr">
        <is>
          <t>2022</t>
        </is>
      </c>
      <c r="G2204" t="inlineStr">
        <is>
          <t>used</t>
        </is>
      </c>
      <c r="H2204" s="4" t="n">
        <v>380</v>
      </c>
      <c r="I2204" t="inlineStr">
        <is>
          <t>VB</t>
        </is>
      </c>
      <c r="J2204" t="inlineStr">
        <is>
          <t>68794 Baden-Württemberg - Oberhausen-Rheinhausen</t>
        </is>
      </c>
      <c r="K2204" s="5" t="n">
        <v>45500</v>
      </c>
      <c r="L2204" t="inlineStr">
        <is>
          <t>Sold</t>
        </is>
      </c>
      <c r="M2204" s="6">
        <f>HYPERLINK("https://www.kleinanzeigen.de/s-anzeige/duotone-e-pace-7-8-freeride-segel-windsurfen-neuwertig/2822001510-230-8338", "Link")</f>
        <v/>
      </c>
      <c r="N2204" s="6">
        <f>HYPERLINK("C:\Projects\Kleinanzeigen-Scraper\offer_images\2822001510", "Link")</f>
        <v/>
      </c>
      <c r="O2204" t="inlineStr">
        <is>
          <t>Metzler</t>
        </is>
      </c>
      <c r="P2204" s="6">
        <f>HYPERLINK("https://www.kleinanzeigen.de/s-bestandsliste.html?userId=73550942", "Link")</f>
        <v/>
      </c>
      <c r="Q2204" s="7" t="n">
        <v>45500.72350694444</v>
      </c>
      <c r="R2204" s="3" t="inlineStr">
        <is>
          <t>30.38</t>
        </is>
      </c>
      <c r="S2204" t="inlineStr">
        <is>
          <t>Karlsruhe</t>
        </is>
      </c>
    </row>
    <row r="2205">
      <c r="A2205" s="2" t="n">
        <v>6</v>
      </c>
      <c r="B2205" t="inlineStr">
        <is>
          <t>GUN</t>
        </is>
      </c>
      <c r="C2205" s="3" t="n">
        <v>4.72</v>
      </c>
      <c r="D2205" s="3" t="n">
        <v>1.91</v>
      </c>
      <c r="E2205" t="inlineStr"/>
      <c r="F2205" t="inlineStr"/>
      <c r="G2205" t="inlineStr">
        <is>
          <t>used</t>
        </is>
      </c>
      <c r="H2205" s="4" t="n">
        <v>40</v>
      </c>
      <c r="I2205" t="inlineStr">
        <is>
          <t>VB</t>
        </is>
      </c>
      <c r="J2205" t="inlineStr">
        <is>
          <t>68526 Baden-Württemberg - Ladenburg</t>
        </is>
      </c>
      <c r="K2205" s="5" t="n">
        <v>45469</v>
      </c>
      <c r="L2205" t="inlineStr">
        <is>
          <t>Sold</t>
        </is>
      </c>
      <c r="M2205" s="6">
        <f>HYPERLINK("https://www.kleinanzeigen.de/s-anzeige/windsurf-segel-gebraucht-6-0/2797435228-230-4764", "Link")</f>
        <v/>
      </c>
      <c r="N2205" s="6">
        <f>HYPERLINK("C:\Projects\Kleinanzeigen-Scraper\offer_images\2797435228", "Link")</f>
        <v/>
      </c>
      <c r="O2205" t="inlineStr">
        <is>
          <t>Neumann</t>
        </is>
      </c>
      <c r="P2205" s="6">
        <f>HYPERLINK("https://www.kleinanzeigen.de/s-bestandsliste.html?userId=12280815", "Link")</f>
        <v/>
      </c>
      <c r="Q2205" s="7" t="n">
        <v>45500.72347222222</v>
      </c>
      <c r="R2205" s="3" t="inlineStr">
        <is>
          <t>55.35</t>
        </is>
      </c>
      <c r="S2205" t="inlineStr">
        <is>
          <t>Karlsruhe</t>
        </is>
      </c>
    </row>
    <row r="2206">
      <c r="A2206" s="2" t="n">
        <v>8.4</v>
      </c>
      <c r="B2206" t="inlineStr">
        <is>
          <t>F2 Arrow Camber</t>
        </is>
      </c>
      <c r="C2206" s="3" t="n">
        <v>5.25</v>
      </c>
      <c r="D2206" s="3" t="n">
        <v>2.35</v>
      </c>
      <c r="E2206" t="inlineStr"/>
      <c r="F2206" t="inlineStr"/>
      <c r="G2206" t="inlineStr">
        <is>
          <t>used</t>
        </is>
      </c>
      <c r="H2206" s="4" t="n">
        <v>50</v>
      </c>
      <c r="I2206" t="inlineStr">
        <is>
          <t>VB</t>
        </is>
      </c>
      <c r="J2206" t="inlineStr">
        <is>
          <t>90480 Nürnberg (Mittelfr) - Oststadt</t>
        </is>
      </c>
      <c r="K2206" s="5" t="n">
        <v>45500</v>
      </c>
      <c r="L2206" t="inlineStr">
        <is>
          <t>Sold</t>
        </is>
      </c>
      <c r="M2206" s="6">
        <f>HYPERLINK("https://www.kleinanzeigen.de/s-anzeige/windsurf-segel-f2-arrow-camber-8-4-m2/2822413455-230-6818", "Link")</f>
        <v/>
      </c>
      <c r="N2206" s="6">
        <f>HYPERLINK("C:\Projects\Kleinanzeigen-Scraper\offer_images\2822413455", "Link")</f>
        <v/>
      </c>
      <c r="O2206" t="inlineStr">
        <is>
          <t>Dirk Verleger</t>
        </is>
      </c>
      <c r="P2206" s="6">
        <f>HYPERLINK("https://www.kleinanzeigen.de/s-bestandsliste.html?userId=6486714", "Link")</f>
        <v/>
      </c>
      <c r="Q2206" s="7" t="n">
        <v>45500.72340277778</v>
      </c>
      <c r="R2206" s="3" t="inlineStr">
        <is>
          <t>148.86</t>
        </is>
      </c>
      <c r="S2206" t="inlineStr">
        <is>
          <t>München</t>
        </is>
      </c>
    </row>
    <row r="2207">
      <c r="A2207" s="2" t="n">
        <v>8.800000000000001</v>
      </c>
      <c r="B2207" t="inlineStr">
        <is>
          <t>North Sails S-Type SL</t>
        </is>
      </c>
      <c r="C2207" s="3" t="n">
        <v>490</v>
      </c>
      <c r="D2207" s="3" t="n">
        <v>234</v>
      </c>
      <c r="E2207" t="inlineStr"/>
      <c r="F2207" t="inlineStr">
        <is>
          <t>2015</t>
        </is>
      </c>
      <c r="G2207" t="inlineStr">
        <is>
          <t>new</t>
        </is>
      </c>
      <c r="H2207" s="4" t="n">
        <v>250</v>
      </c>
      <c r="I2207" t="inlineStr">
        <is>
          <t>VB</t>
        </is>
      </c>
      <c r="J2207" t="inlineStr">
        <is>
          <t>76694 Baden-Württemberg - Forst</t>
        </is>
      </c>
      <c r="K2207" s="5" t="n">
        <v>45453</v>
      </c>
      <c r="L2207" t="inlineStr">
        <is>
          <t>Sold</t>
        </is>
      </c>
      <c r="M2207" s="6">
        <f>HYPERLINK("https://www.kleinanzeigen.de/s-anzeige/windsurf-segel-north-sails-s-type-sl-8-8-neu/2784449176-230-8794", "Link")</f>
        <v/>
      </c>
      <c r="N2207" s="6">
        <f>HYPERLINK("C:\Projects\Kleinanzeigen-Scraper\offer_images\2784449176", "Link")</f>
        <v/>
      </c>
      <c r="O2207" t="inlineStr">
        <is>
          <t>Gunter Baumgarten</t>
        </is>
      </c>
      <c r="P2207" s="6">
        <f>HYPERLINK("https://www.kleinanzeigen.de/s-bestandsliste.html?userId=33843173", "Link")</f>
        <v/>
      </c>
      <c r="Q2207" s="7" t="n">
        <v>45500.72340277778</v>
      </c>
      <c r="R2207" s="3" t="inlineStr">
        <is>
          <t>21.44</t>
        </is>
      </c>
      <c r="S2207" t="inlineStr">
        <is>
          <t>Karlsruhe</t>
        </is>
      </c>
    </row>
    <row r="2208">
      <c r="A2208" s="2" t="n">
        <v>6.4</v>
      </c>
      <c r="B2208" t="inlineStr">
        <is>
          <t>Surfslalom TC</t>
        </is>
      </c>
      <c r="C2208" s="3" t="n">
        <v>4.88</v>
      </c>
      <c r="D2208" s="3" t="n">
        <v>1.93</v>
      </c>
      <c r="E2208" t="inlineStr"/>
      <c r="F2208" t="inlineStr"/>
      <c r="G2208" t="inlineStr">
        <is>
          <t>used</t>
        </is>
      </c>
      <c r="H2208" s="4" t="inlineStr"/>
      <c r="I2208" t="inlineStr">
        <is>
          <t>VB</t>
        </is>
      </c>
      <c r="J2208" t="inlineStr">
        <is>
          <t>68649 Hessen - Groß-Rohrheim</t>
        </is>
      </c>
      <c r="K2208" s="5" t="n">
        <v>45479</v>
      </c>
      <c r="L2208" t="inlineStr">
        <is>
          <t>Sold</t>
        </is>
      </c>
      <c r="M2208" s="6">
        <f>HYPERLINK("https://www.kleinanzeigen.de/s-anzeige/surfsegel-windsurfen-segel-surfen-surfslalom-tc-6-4/2805398464-230-4758", "Link")</f>
        <v/>
      </c>
      <c r="N2208" s="6">
        <f>HYPERLINK("C:\Projects\Kleinanzeigen-Scraper\offer_images\2805398464", "Link")</f>
        <v/>
      </c>
      <c r="O2208" t="inlineStr">
        <is>
          <t>Daniel</t>
        </is>
      </c>
      <c r="P2208" s="6">
        <f>HYPERLINK("https://www.kleinanzeigen.de/s-bestandsliste.html?userId=15416374", "Link")</f>
        <v/>
      </c>
      <c r="Q2208" s="7" t="n">
        <v>45500.72337962963</v>
      </c>
      <c r="R2208" s="3" t="inlineStr">
        <is>
          <t>78.85</t>
        </is>
      </c>
      <c r="S2208" t="inlineStr">
        <is>
          <t>Karlsruhe</t>
        </is>
      </c>
    </row>
    <row r="2209">
      <c r="A2209" s="2" t="n">
        <v>7.7</v>
      </c>
      <c r="B2209" t="inlineStr">
        <is>
          <t>NEILPRYDE X-RYDE</t>
        </is>
      </c>
      <c r="C2209" s="3" t="inlineStr">
        <is>
          <t>430 or 460</t>
        </is>
      </c>
      <c r="D2209" s="3" t="n">
        <v>208</v>
      </c>
      <c r="E2209" t="inlineStr"/>
      <c r="F2209" t="inlineStr">
        <is>
          <t>2019</t>
        </is>
      </c>
      <c r="G2209" t="inlineStr">
        <is>
          <t>used</t>
        </is>
      </c>
      <c r="H2209" s="4" t="n">
        <v>219</v>
      </c>
      <c r="I2209" t="inlineStr">
        <is>
          <t>VB</t>
        </is>
      </c>
      <c r="J2209" t="inlineStr">
        <is>
          <t>74376 Baden-Württemberg - Gemmrigheim</t>
        </is>
      </c>
      <c r="K2209" s="5" t="n">
        <v>45444</v>
      </c>
      <c r="L2209" t="inlineStr">
        <is>
          <t>Sold</t>
        </is>
      </c>
      <c r="M2209" s="6">
        <f>HYPERLINK("https://www.kleinanzeigen.de/s-anzeige/windsurf-segel-neilpryde-x-ryde-7-7/2777435153-230-8676", "Link")</f>
        <v/>
      </c>
      <c r="N2209" s="6">
        <f>HYPERLINK("C:\Projects\Kleinanzeigen-Scraper\offer_images\2777435153", "Link")</f>
        <v/>
      </c>
      <c r="O2209" t="inlineStr">
        <is>
          <t>C. Henke</t>
        </is>
      </c>
      <c r="P2209" s="6">
        <f>HYPERLINK("https://www.kleinanzeigen.de/s-bestandsliste.html?userId=127819089", "Link")</f>
        <v/>
      </c>
      <c r="Q2209" s="7" t="n">
        <v>45500.72335648148</v>
      </c>
      <c r="R2209" s="3" t="inlineStr">
        <is>
          <t>41.18</t>
        </is>
      </c>
      <c r="S2209" t="inlineStr">
        <is>
          <t>Böblingen</t>
        </is>
      </c>
    </row>
    <row r="2210">
      <c r="A2210" s="2" t="n">
        <v>5.7</v>
      </c>
      <c r="B2210" t="inlineStr"/>
      <c r="C2210" s="3" t="n">
        <v>460</v>
      </c>
      <c r="D2210" s="3" t="n">
        <v>185</v>
      </c>
      <c r="E2210" t="inlineStr"/>
      <c r="F2210" t="inlineStr"/>
      <c r="G2210" t="inlineStr">
        <is>
          <t>repaired</t>
        </is>
      </c>
      <c r="H2210" s="4" t="n">
        <v>90</v>
      </c>
      <c r="I2210" t="inlineStr">
        <is>
          <t>VB</t>
        </is>
      </c>
      <c r="J2210" t="inlineStr">
        <is>
          <t>66132 Saarbrücken-Halberg - Bischmisheim</t>
        </is>
      </c>
      <c r="K2210" s="5" t="n">
        <v>45502</v>
      </c>
      <c r="L2210" t="inlineStr">
        <is>
          <t>Sold</t>
        </is>
      </c>
      <c r="M2210" s="6">
        <f>HYPERLINK("https://www.kleinanzeigen.de/s-anzeige/windsurf-segel-5-7-qm/2803329168-230-395", "Link")</f>
        <v/>
      </c>
      <c r="N2210" s="6">
        <f>HYPERLINK("C:\Projects\Kleinanzeigen-Scraper\offer_images\2803329168", "Link")</f>
        <v/>
      </c>
      <c r="O2210" t="inlineStr">
        <is>
          <t>Peter Meiser</t>
        </is>
      </c>
      <c r="P2210" s="6">
        <f>HYPERLINK("https://www.kleinanzeigen.de/s-bestandsliste.html?userId=76267796", "Link")</f>
        <v/>
      </c>
      <c r="Q2210" s="7" t="n">
        <v>45500.72335648148</v>
      </c>
      <c r="R2210" s="3" t="inlineStr">
        <is>
          <t>99.57</t>
        </is>
      </c>
      <c r="S2210" t="inlineStr">
        <is>
          <t>Karlsruhe</t>
        </is>
      </c>
    </row>
    <row r="2211">
      <c r="A2211" s="2" t="n">
        <v>3</v>
      </c>
      <c r="B2211" t="inlineStr">
        <is>
          <t>North Face</t>
        </is>
      </c>
      <c r="C2211" s="3" t="n">
        <v>360</v>
      </c>
      <c r="D2211" s="3" t="n">
        <v>142</v>
      </c>
      <c r="E2211" t="inlineStr"/>
      <c r="F2211" t="inlineStr">
        <is>
          <t>2013</t>
        </is>
      </c>
      <c r="G2211" t="inlineStr">
        <is>
          <t>used</t>
        </is>
      </c>
      <c r="H2211" s="4" t="n">
        <v>100</v>
      </c>
      <c r="I2211" t="inlineStr">
        <is>
          <t>VB</t>
        </is>
      </c>
      <c r="J2211" t="inlineStr">
        <is>
          <t>71732 Baden-Württemberg - Tamm</t>
        </is>
      </c>
      <c r="K2211" s="5" t="n">
        <v>45452</v>
      </c>
      <c r="L2211" t="inlineStr">
        <is>
          <t>Sold</t>
        </is>
      </c>
      <c r="M2211" s="6">
        <f>HYPERLINK("https://www.kleinanzeigen.de/s-anzeige/segel-windsurf-surfsegel-north-face-3-0/2783393997-230-8673", "Link")</f>
        <v/>
      </c>
      <c r="N2211" s="6">
        <f>HYPERLINK("C:\Projects\Kleinanzeigen-Scraper\offer_images\2783393997", "Link")</f>
        <v/>
      </c>
      <c r="O2211" t="inlineStr">
        <is>
          <t>J. G.</t>
        </is>
      </c>
      <c r="P2211" s="6">
        <f>HYPERLINK("https://www.kleinanzeigen.de/s-bestandsliste.html?userId=30996898", "Link")</f>
        <v/>
      </c>
      <c r="Q2211" s="7" t="n">
        <v>45500.72335648148</v>
      </c>
      <c r="R2211" s="3" t="inlineStr">
        <is>
          <t>28.86</t>
        </is>
      </c>
      <c r="S2211" t="inlineStr">
        <is>
          <t>Böblingen</t>
        </is>
      </c>
    </row>
    <row r="2212">
      <c r="A2212" s="2" t="n">
        <v>6.7</v>
      </c>
      <c r="B2212" t="inlineStr">
        <is>
          <t>Gaastra Pulse</t>
        </is>
      </c>
      <c r="C2212" s="3" t="n">
        <v>460</v>
      </c>
      <c r="D2212" s="3" t="n">
        <v>204</v>
      </c>
      <c r="E2212" t="inlineStr"/>
      <c r="F2212" t="inlineStr"/>
      <c r="G2212" t="inlineStr">
        <is>
          <t>used</t>
        </is>
      </c>
      <c r="H2212" s="4" t="n">
        <v>35</v>
      </c>
      <c r="I2212" t="inlineStr">
        <is>
          <t>VB</t>
        </is>
      </c>
      <c r="J2212" t="inlineStr">
        <is>
          <t>78647 Baden-Württemberg - Trossingen</t>
        </is>
      </c>
      <c r="K2212" s="5" t="n">
        <v>45444</v>
      </c>
      <c r="L2212" t="inlineStr">
        <is>
          <t>Sold</t>
        </is>
      </c>
      <c r="M2212" s="6">
        <f>HYPERLINK("https://www.kleinanzeigen.de/s-anzeige/gaastra-pulse-6-7-m2-windsurf-segel/2776846282-230-8497", "Link")</f>
        <v/>
      </c>
      <c r="N2212" s="6">
        <f>HYPERLINK("C:\Projects\Kleinanzeigen-Scraper\offer_images\2776846282", "Link")</f>
        <v/>
      </c>
      <c r="O2212" t="inlineStr">
        <is>
          <t>Privat</t>
        </is>
      </c>
      <c r="P2212" s="6">
        <f>HYPERLINK("https://www.kleinanzeigen.de/s-bestandsliste.html?userId=21148872", "Link")</f>
        <v/>
      </c>
      <c r="Q2212" s="7" t="n">
        <v>45500.72332175926</v>
      </c>
      <c r="R2212" s="3" t="inlineStr">
        <is>
          <t>37.60</t>
        </is>
      </c>
      <c r="S2212" t="inlineStr">
        <is>
          <t>Bonndorf</t>
        </is>
      </c>
    </row>
    <row r="2213">
      <c r="A2213" s="2" t="n">
        <v>6.5</v>
      </c>
      <c r="B2213" t="inlineStr">
        <is>
          <t>Black Line 2000</t>
        </is>
      </c>
      <c r="C2213" s="3" t="n">
        <v>505</v>
      </c>
      <c r="D2213" s="3" t="n">
        <v>195</v>
      </c>
      <c r="E2213" t="inlineStr"/>
      <c r="F2213" t="inlineStr"/>
      <c r="G2213" t="inlineStr">
        <is>
          <t>used</t>
        </is>
      </c>
      <c r="H2213" s="4" t="n">
        <v>40</v>
      </c>
      <c r="I2213" t="inlineStr">
        <is>
          <t>VB</t>
        </is>
      </c>
      <c r="J2213" t="inlineStr">
        <is>
          <t>68526 Baden-Württemberg - Ladenburg</t>
        </is>
      </c>
      <c r="K2213" s="5" t="n">
        <v>45469</v>
      </c>
      <c r="L2213" t="inlineStr">
        <is>
          <t>Sold</t>
        </is>
      </c>
      <c r="M2213" s="6">
        <f>HYPERLINK("https://www.kleinanzeigen.de/s-anzeige/windsurf-segel-gebraucht-6-5/2797434357-230-4764", "Link")</f>
        <v/>
      </c>
      <c r="N2213" s="6">
        <f>HYPERLINK("C:\Projects\Kleinanzeigen-Scraper\offer_images\2797434357", "Link")</f>
        <v/>
      </c>
      <c r="O2213" t="inlineStr">
        <is>
          <t>Neumann</t>
        </is>
      </c>
      <c r="P2213" s="6">
        <f>HYPERLINK("https://www.kleinanzeigen.de/s-bestandsliste.html?userId=12280815", "Link")</f>
        <v/>
      </c>
      <c r="Q2213" s="7" t="n">
        <v>45500.72332175926</v>
      </c>
      <c r="R2213" s="3" t="inlineStr">
        <is>
          <t>55.35</t>
        </is>
      </c>
      <c r="S2213" t="inlineStr">
        <is>
          <t>Karlsruhe</t>
        </is>
      </c>
    </row>
    <row r="2214">
      <c r="A2214" s="2" t="n">
        <v>4</v>
      </c>
      <c r="B2214" t="inlineStr">
        <is>
          <t>ART Attack Wave/Slalom</t>
        </is>
      </c>
      <c r="C2214" s="3" t="n">
        <v>405</v>
      </c>
      <c r="D2214" s="3" t="n">
        <v>155</v>
      </c>
      <c r="E2214" t="inlineStr"/>
      <c r="F2214" t="inlineStr"/>
      <c r="G2214" t="inlineStr">
        <is>
          <t>used</t>
        </is>
      </c>
      <c r="H2214" s="4" t="n">
        <v>75</v>
      </c>
      <c r="I2214" t="inlineStr"/>
      <c r="J2214" t="inlineStr">
        <is>
          <t>74321 Baden-Württemberg - Bietigheim-Bissingen</t>
        </is>
      </c>
      <c r="K2214" s="5" t="n">
        <v>45459</v>
      </c>
      <c r="L2214" t="inlineStr">
        <is>
          <t>Sold</t>
        </is>
      </c>
      <c r="M2214" s="6">
        <f>HYPERLINK("https://www.kleinanzeigen.de/s-anzeige/windsurf-segel-4-0-qm/2789210709-230-8681", "Link")</f>
        <v/>
      </c>
      <c r="N2214" s="6">
        <f>HYPERLINK("C:\Projects\Kleinanzeigen-Scraper\offer_images\2789210709", "Link")</f>
        <v/>
      </c>
      <c r="O2214" t="inlineStr">
        <is>
          <t>Andreas Jung</t>
        </is>
      </c>
      <c r="P2214" s="6">
        <f>HYPERLINK("https://www.kleinanzeigen.de/s-bestandsliste.html?userId=12454431", "Link")</f>
        <v/>
      </c>
      <c r="Q2214" s="7" t="n">
        <v>45500.46230324074</v>
      </c>
      <c r="R2214" s="3" t="inlineStr">
        <is>
          <t>32.66</t>
        </is>
      </c>
      <c r="S2214" t="inlineStr">
        <is>
          <t>Böblingen</t>
        </is>
      </c>
    </row>
    <row r="2215">
      <c r="A2215" s="2" t="n">
        <v>5.7</v>
      </c>
      <c r="B2215" t="inlineStr">
        <is>
          <t>Neilpryde Wizard</t>
        </is>
      </c>
      <c r="C2215" s="3" t="n">
        <v>430</v>
      </c>
      <c r="D2215" s="3" t="n">
        <v>174</v>
      </c>
      <c r="E2215" t="inlineStr"/>
      <c r="F2215" t="inlineStr"/>
      <c r="G2215" t="inlineStr">
        <is>
          <t>used</t>
        </is>
      </c>
      <c r="H2215" s="4" t="n">
        <v>120</v>
      </c>
      <c r="I2215" t="inlineStr"/>
      <c r="J2215" t="inlineStr">
        <is>
          <t>68789 Baden-Württemberg - St. Leon-Rot</t>
        </is>
      </c>
      <c r="K2215" s="5" t="n">
        <v>45441</v>
      </c>
      <c r="L2215" t="inlineStr">
        <is>
          <t>Sold</t>
        </is>
      </c>
      <c r="M2215" s="6">
        <f>HYPERLINK("https://www.kleinanzeigen.de/s-anzeige/neilpryde-wizard-5-7-freestyle-windsurf-segel/2773873346-230-8251", "Link")</f>
        <v/>
      </c>
      <c r="N2215" s="6">
        <f>HYPERLINK("C:\Projects\Kleinanzeigen-Scraper\offer_images\2773873346", "Link")</f>
        <v/>
      </c>
      <c r="O2215" t="inlineStr">
        <is>
          <t>Timo Hage</t>
        </is>
      </c>
      <c r="P2215" s="6">
        <f>HYPERLINK("https://www.kleinanzeigen.de/s-bestandsliste.html?userId=36146559", "Link")</f>
        <v/>
      </c>
      <c r="Q2215" s="7" t="n">
        <v>45500.46230324074</v>
      </c>
      <c r="R2215" s="3" t="inlineStr">
        <is>
          <t>32.56</t>
        </is>
      </c>
      <c r="S2215" t="inlineStr">
        <is>
          <t>Karlsruhe</t>
        </is>
      </c>
    </row>
    <row r="2216">
      <c r="A2216" s="2" t="n">
        <v>5.9</v>
      </c>
      <c r="B2216" t="inlineStr">
        <is>
          <t>Northsails Duke</t>
        </is>
      </c>
      <c r="C2216" s="3" t="inlineStr"/>
      <c r="D2216" s="3" t="inlineStr">
        <is>
          <t>180-220</t>
        </is>
      </c>
      <c r="E2216" t="inlineStr"/>
      <c r="F2216" t="inlineStr"/>
      <c r="G2216" t="inlineStr">
        <is>
          <t>used</t>
        </is>
      </c>
      <c r="H2216" s="4" t="n">
        <v>30</v>
      </c>
      <c r="I2216" t="inlineStr"/>
      <c r="J2216" t="inlineStr">
        <is>
          <t>71069 Baden-Württemberg - Sindelfingen</t>
        </is>
      </c>
      <c r="K2216" s="5" t="n">
        <v>45494</v>
      </c>
      <c r="L2216" t="inlineStr">
        <is>
          <t>Sold</t>
        </is>
      </c>
      <c r="M2216" s="6">
        <f>HYPERLINK("https://www.kleinanzeigen.de/s-anzeige/windsurf-segel-northsails-5-9-qm-duke/2817394836-230-8993", "Link")</f>
        <v/>
      </c>
      <c r="N2216" s="6">
        <f>HYPERLINK("C:\Projects\Kleinanzeigen-Scraper\offer_images\2817394836", "Link")</f>
        <v/>
      </c>
      <c r="O2216" t="inlineStr">
        <is>
          <t>Alfred Kuhne</t>
        </is>
      </c>
      <c r="P2216" s="6">
        <f>HYPERLINK("https://www.kleinanzeigen.de/s-bestandsliste.html?userId=14718499", "Link")</f>
        <v/>
      </c>
      <c r="Q2216" s="7" t="n">
        <v>45500.46230324074</v>
      </c>
      <c r="R2216" s="3" t="inlineStr">
        <is>
          <t>3.69</t>
        </is>
      </c>
      <c r="S2216" t="inlineStr">
        <is>
          <t>Böblingen</t>
        </is>
      </c>
    </row>
    <row r="2217">
      <c r="A2217" s="2" t="n">
        <v>5.3</v>
      </c>
      <c r="B2217" t="inlineStr">
        <is>
          <t>North Sails Volt HD</t>
        </is>
      </c>
      <c r="C2217" s="3" t="n">
        <v>4.33</v>
      </c>
      <c r="D2217" s="3" t="n">
        <v>178</v>
      </c>
      <c r="E2217" t="inlineStr"/>
      <c r="F2217" t="inlineStr"/>
      <c r="G2217" t="inlineStr">
        <is>
          <t>used</t>
        </is>
      </c>
      <c r="H2217" s="4" t="n">
        <v>330</v>
      </c>
      <c r="I2217" t="inlineStr">
        <is>
          <t>VB</t>
        </is>
      </c>
      <c r="J2217" t="inlineStr">
        <is>
          <t>75045 Baden-Württemberg - Walzbachtal</t>
        </is>
      </c>
      <c r="K2217" s="5" t="n">
        <v>45366</v>
      </c>
      <c r="L2217" t="inlineStr">
        <is>
          <t>Sold</t>
        </is>
      </c>
      <c r="M2217" s="6">
        <f>HYPERLINK("https://www.kleinanzeigen.de/s-anzeige/north-sails-volt-hd-5-3qm-windsurfen-segel/2707224071-230-8248", "Link")</f>
        <v/>
      </c>
      <c r="N2217" s="6">
        <f>HYPERLINK("C:\Projects\Kleinanzeigen-Scraper\offer_images\2707224071", "Link")</f>
        <v/>
      </c>
      <c r="O2217" t="inlineStr">
        <is>
          <t>Carsten</t>
        </is>
      </c>
      <c r="P2217" s="6">
        <f>HYPERLINK("https://www.kleinanzeigen.de/s-bestandsliste.html?userId=21241938", "Link")</f>
        <v/>
      </c>
      <c r="Q2217" s="7" t="n">
        <v>45500.46230324074</v>
      </c>
      <c r="R2217" s="3" t="inlineStr">
        <is>
          <t>15.32</t>
        </is>
      </c>
      <c r="S2217" t="inlineStr">
        <is>
          <t>Karlsruhe</t>
        </is>
      </c>
    </row>
    <row r="2218">
      <c r="A2218" s="2" t="n">
        <v>6.4</v>
      </c>
      <c r="B2218" t="inlineStr">
        <is>
          <t>Northsails Duke</t>
        </is>
      </c>
      <c r="C2218" s="3" t="inlineStr"/>
      <c r="D2218" s="3" t="inlineStr">
        <is>
          <t>171-190</t>
        </is>
      </c>
      <c r="E2218" t="inlineStr"/>
      <c r="F2218" t="inlineStr"/>
      <c r="G2218" t="inlineStr">
        <is>
          <t>used</t>
        </is>
      </c>
      <c r="H2218" s="4" t="n">
        <v>35</v>
      </c>
      <c r="I2218" t="inlineStr"/>
      <c r="J2218" t="inlineStr">
        <is>
          <t>71069 Baden-Württemberg - Sindelfingen</t>
        </is>
      </c>
      <c r="K2218" s="5" t="n">
        <v>45494</v>
      </c>
      <c r="L2218" t="inlineStr">
        <is>
          <t>Sold</t>
        </is>
      </c>
      <c r="M2218" s="6">
        <f>HYPERLINK("https://www.kleinanzeigen.de/s-anzeige/windsurf-segel-northsails-6-4-m2/2817380711-230-8993", "Link")</f>
        <v/>
      </c>
      <c r="N2218" s="6">
        <f>HYPERLINK("C:\Projects\Kleinanzeigen-Scraper\offer_images\2817380711", "Link")</f>
        <v/>
      </c>
      <c r="O2218" t="inlineStr">
        <is>
          <t>Alfred Kuhne</t>
        </is>
      </c>
      <c r="P2218" s="6">
        <f>HYPERLINK("https://www.kleinanzeigen.de/s-bestandsliste.html?userId=14718499", "Link")</f>
        <v/>
      </c>
      <c r="Q2218" s="7" t="n">
        <v>45500.46230324074</v>
      </c>
      <c r="R2218" s="3" t="inlineStr">
        <is>
          <t>3.69</t>
        </is>
      </c>
      <c r="S2218" t="inlineStr">
        <is>
          <t>Böblingen</t>
        </is>
      </c>
    </row>
    <row r="2219">
      <c r="A2219" s="2" t="n">
        <v>4</v>
      </c>
      <c r="B2219" t="inlineStr">
        <is>
          <t>ART Attack Wave/Slalom</t>
        </is>
      </c>
      <c r="C2219" s="3" t="n">
        <v>405</v>
      </c>
      <c r="D2219" s="3" t="n">
        <v>155</v>
      </c>
      <c r="E2219" t="inlineStr"/>
      <c r="F2219" t="inlineStr"/>
      <c r="G2219" t="inlineStr">
        <is>
          <t>used</t>
        </is>
      </c>
      <c r="H2219" s="4" t="n">
        <v>75</v>
      </c>
      <c r="I2219" t="inlineStr"/>
      <c r="J2219" t="inlineStr">
        <is>
          <t>74321 Baden-Württemberg - Bietigheim-Bissingen</t>
        </is>
      </c>
      <c r="K2219" s="5" t="n">
        <v>45479</v>
      </c>
      <c r="L2219" t="inlineStr">
        <is>
          <t>Sold</t>
        </is>
      </c>
      <c r="M2219" s="6">
        <f>HYPERLINK("https://www.kleinanzeigen.de/s-anzeige/windsurf-segel-4-0-qm/2805398058-230-8681", "Link")</f>
        <v/>
      </c>
      <c r="N2219" s="6">
        <f>HYPERLINK("C:\Projects\Kleinanzeigen-Scraper\offer_images\2805398058", "Link")</f>
        <v/>
      </c>
      <c r="O2219" t="inlineStr">
        <is>
          <t>Andreas Jung</t>
        </is>
      </c>
      <c r="P2219" s="6">
        <f>HYPERLINK("https://www.kleinanzeigen.de/s-bestandsliste.html?userId=12454431", "Link")</f>
        <v/>
      </c>
      <c r="Q2219" s="7" t="n">
        <v>45500.46221064815</v>
      </c>
      <c r="R2219" s="3" t="inlineStr">
        <is>
          <t>32.66</t>
        </is>
      </c>
      <c r="S2219" t="inlineStr">
        <is>
          <t>Böblingen</t>
        </is>
      </c>
    </row>
  </sheetData>
  <autoFilter ref="A1:S2219"/>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2775"/>
  <sheetViews>
    <sheetView workbookViewId="0">
      <selection activeCell="A1" sqref="A1"/>
    </sheetView>
  </sheetViews>
  <sheetFormatPr baseColWidth="8" defaultRowHeight="15"/>
  <cols>
    <col width="57" customWidth="1" min="1" max="1"/>
    <col width="45" customWidth="1" min="2" max="2"/>
    <col width="46" customWidth="1" min="3" max="3"/>
    <col width="44" customWidth="1" min="4" max="4"/>
    <col width="28" customWidth="1" min="5" max="5"/>
    <col width="19" customWidth="1" min="6" max="6"/>
    <col width="6" customWidth="1" min="7" max="7"/>
    <col width="69" customWidth="1" min="8" max="8"/>
    <col width="10" customWidth="1" min="9" max="9"/>
    <col width="8" customWidth="1" min="10" max="10"/>
    <col width="10" customWidth="1" min="11" max="11"/>
    <col width="10" customWidth="1" min="12" max="12"/>
    <col width="34" customWidth="1" min="13" max="13"/>
    <col width="20" customWidth="1" min="14" max="14"/>
    <col width="23" customWidth="1" min="15" max="15"/>
    <col width="21" customWidth="1" min="16" max="16"/>
    <col width="17" customWidth="1" min="17" max="17"/>
  </cols>
  <sheetData>
    <row r="1">
      <c r="A1" s="1" t="inlineStr">
        <is>
          <t>Size</t>
        </is>
      </c>
      <c r="B1" s="1" t="inlineStr">
        <is>
          <t>Brand</t>
        </is>
      </c>
      <c r="C1" s="1" t="inlineStr">
        <is>
          <t>Board Type</t>
        </is>
      </c>
      <c r="D1" s="1" t="inlineStr">
        <is>
          <t>Volume</t>
        </is>
      </c>
      <c r="E1" s="1" t="inlineStr">
        <is>
          <t>Year</t>
        </is>
      </c>
      <c r="F1" s="1" t="inlineStr">
        <is>
          <t>Price</t>
        </is>
      </c>
      <c r="G1" s="1" t="inlineStr">
        <is>
          <t>VB</t>
        </is>
      </c>
      <c r="H1" s="1" t="inlineStr">
        <is>
          <t>Location</t>
        </is>
      </c>
      <c r="I1" s="1" t="inlineStr">
        <is>
          <t>Date</t>
        </is>
      </c>
      <c r="J1" s="1" t="inlineStr">
        <is>
          <t>Sold</t>
        </is>
      </c>
      <c r="K1" s="1" t="inlineStr">
        <is>
          <t>Link</t>
        </is>
      </c>
      <c r="L1" s="1" t="inlineStr">
        <is>
          <t>Images</t>
        </is>
      </c>
      <c r="M1" s="1" t="inlineStr">
        <is>
          <t>User name</t>
        </is>
      </c>
      <c r="N1" s="1" t="inlineStr">
        <is>
          <t>All other offers</t>
        </is>
      </c>
      <c r="O1" s="1" t="inlineStr">
        <is>
          <t>Scraped on</t>
        </is>
      </c>
      <c r="P1" s="1" t="inlineStr">
        <is>
          <t>Min Distance (km)</t>
        </is>
      </c>
      <c r="Q1" s="1" t="inlineStr">
        <is>
          <t>Closest place</t>
        </is>
      </c>
    </row>
    <row r="2">
      <c r="A2" t="inlineStr"/>
      <c r="B2" t="inlineStr">
        <is>
          <t>Naish Vector</t>
        </is>
      </c>
      <c r="C2" t="inlineStr">
        <is>
          <t>Freeride</t>
        </is>
      </c>
      <c r="D2" s="3" t="n">
        <v>114</v>
      </c>
      <c r="E2" t="inlineStr"/>
      <c r="F2" s="4" t="n">
        <v>250</v>
      </c>
      <c r="G2" t="inlineStr"/>
      <c r="H2" t="inlineStr">
        <is>
          <t>40589 DÜSSELDORF</t>
        </is>
      </c>
      <c r="I2" s="5" t="n">
        <v>45568</v>
      </c>
      <c r="J2" t="inlineStr"/>
      <c r="K2" s="6">
        <f>HYPERLINK("https://www.dailydose.de/kleinanzeigen/detail.htm?ai=423534&amp;cf=kk&amp;pg=1&amp;ci=11", "Link")</f>
        <v/>
      </c>
      <c r="L2" s="6">
        <f>HYPERLINK("C:\Projects\Kleinanzeigen-Scraper\offer_images\423534", "Link")</f>
        <v/>
      </c>
      <c r="M2" t="inlineStr">
        <is>
          <t>Chris_182</t>
        </is>
      </c>
      <c r="N2" s="6">
        <f>HYPERLINK("https://www.dailydose.de/kleinanzeigen/user/19925", "Link")</f>
        <v/>
      </c>
      <c r="O2" s="7" t="n">
        <v>45568.75737268518</v>
      </c>
      <c r="P2" s="3" t="inlineStr">
        <is>
          <t>26.72</t>
        </is>
      </c>
      <c r="Q2" t="inlineStr">
        <is>
          <t>Köln</t>
        </is>
      </c>
    </row>
    <row r="3">
      <c r="A3" t="inlineStr"/>
      <c r="B3" t="inlineStr">
        <is>
          <t>Patrik F-Style</t>
        </is>
      </c>
      <c r="C3" t="inlineStr">
        <is>
          <t>Freestyle</t>
        </is>
      </c>
      <c r="D3" s="3" t="n">
        <v>85</v>
      </c>
      <c r="E3" t="inlineStr">
        <is>
          <t>2017</t>
        </is>
      </c>
      <c r="F3" s="4" t="n">
        <v>85</v>
      </c>
      <c r="G3" t="inlineStr"/>
      <c r="H3" t="inlineStr">
        <is>
          <t>41564 Kaarst</t>
        </is>
      </c>
      <c r="I3" s="5" t="n">
        <v>45568</v>
      </c>
      <c r="J3" t="inlineStr"/>
      <c r="K3" s="6">
        <f>HYPERLINK("https://www.dailydose.de/kleinanzeigen/detail.htm?ai=423566&amp;cf=kk&amp;pg=1&amp;ci=11", "Link")</f>
        <v/>
      </c>
      <c r="L3" s="6">
        <f>HYPERLINK("C:\Projects\Kleinanzeigen-Scraper\offer_images\423566", "Link")</f>
        <v/>
      </c>
      <c r="M3" t="inlineStr">
        <is>
          <t>Maike Lang</t>
        </is>
      </c>
      <c r="N3" s="6">
        <f>HYPERLINK("https://www.dailydose.de/kleinanzeigen/user/15000", "Link")</f>
        <v/>
      </c>
      <c r="O3" s="7" t="n">
        <v>45568.75702546296</v>
      </c>
      <c r="P3" s="3" t="inlineStr">
        <is>
          <t>39.22</t>
        </is>
      </c>
      <c r="Q3" t="inlineStr">
        <is>
          <t>Köln</t>
        </is>
      </c>
    </row>
    <row r="4">
      <c r="A4" t="inlineStr">
        <is>
          <t>255 x 56.5</t>
        </is>
      </c>
      <c r="B4" t="inlineStr">
        <is>
          <t>JP Australia Freestyle Wave</t>
        </is>
      </c>
      <c r="C4" t="inlineStr">
        <is>
          <t>Freestyle Wave</t>
        </is>
      </c>
      <c r="D4" s="3" t="n">
        <v>85</v>
      </c>
      <c r="E4" t="inlineStr"/>
      <c r="F4" s="4" t="n">
        <v>100</v>
      </c>
      <c r="G4" t="inlineStr"/>
      <c r="H4" t="inlineStr">
        <is>
          <t>88367 Hohentengen</t>
        </is>
      </c>
      <c r="I4" s="5" t="n">
        <v>45568</v>
      </c>
      <c r="J4" t="inlineStr"/>
      <c r="K4" s="6">
        <f>HYPERLINK("https://www.dailydose.de/kleinanzeigen/detail.htm?ai=423554&amp;cf=kk&amp;pg=1&amp;ci=11", "Link")</f>
        <v/>
      </c>
      <c r="L4" s="6">
        <f>HYPERLINK("C:\Projects\Kleinanzeigen-Scraper\offer_images\423554", "Link")</f>
        <v/>
      </c>
      <c r="M4" t="inlineStr">
        <is>
          <t>aherrges</t>
        </is>
      </c>
      <c r="N4" s="6">
        <f>HYPERLINK("https://www.dailydose.de/kleinanzeigen/user/26455", "Link")</f>
        <v/>
      </c>
      <c r="O4" s="7" t="n">
        <v>45568.75668981481</v>
      </c>
      <c r="P4" s="3" t="inlineStr">
        <is>
          <t>78.25</t>
        </is>
      </c>
      <c r="Q4" t="inlineStr">
        <is>
          <t>Böblingen</t>
        </is>
      </c>
    </row>
    <row r="5">
      <c r="A5" t="inlineStr">
        <is>
          <t>190cm x 67cm</t>
        </is>
      </c>
      <c r="B5" t="inlineStr">
        <is>
          <t>Starboard Foil X</t>
        </is>
      </c>
      <c r="C5" t="inlineStr">
        <is>
          <t>Foil</t>
        </is>
      </c>
      <c r="D5" s="3" t="n">
        <v>125</v>
      </c>
      <c r="E5" t="inlineStr">
        <is>
          <t>2021</t>
        </is>
      </c>
      <c r="F5" s="4" t="n">
        <v>710</v>
      </c>
      <c r="G5" t="inlineStr">
        <is>
          <t>VB</t>
        </is>
      </c>
      <c r="H5" t="inlineStr">
        <is>
          <t>89129  Langenau</t>
        </is>
      </c>
      <c r="I5" s="5" t="n">
        <v>45568</v>
      </c>
      <c r="J5" t="inlineStr"/>
      <c r="K5" s="6">
        <f>HYPERLINK("https://www.dailydose.de/kleinanzeigen/detail.htm?ai=423564&amp;cf=kk&amp;pg=1&amp;ci=11", "Link")</f>
        <v/>
      </c>
      <c r="L5" s="6">
        <f>HYPERLINK("C:\Projects\Kleinanzeigen-Scraper\offer_images\423564", "Link")</f>
        <v/>
      </c>
      <c r="M5" t="inlineStr">
        <is>
          <t>lena._ha</t>
        </is>
      </c>
      <c r="N5" s="6">
        <f>HYPERLINK("https://www.dailydose.de/kleinanzeigen/user/14202", "Link")</f>
        <v/>
      </c>
      <c r="O5" s="7" t="n">
        <v>45568.75665509259</v>
      </c>
      <c r="P5" s="3" t="inlineStr">
        <is>
          <t>85.38</t>
        </is>
      </c>
      <c r="Q5" t="inlineStr">
        <is>
          <t>Böblingen</t>
        </is>
      </c>
    </row>
    <row r="6">
      <c r="A6" t="inlineStr">
        <is>
          <t>222 cm x 58 cm x 13 cm</t>
        </is>
      </c>
      <c r="B6" t="inlineStr">
        <is>
          <t>Quatro Cube</t>
        </is>
      </c>
      <c r="C6" t="inlineStr">
        <is>
          <t>Freestyle</t>
        </is>
      </c>
      <c r="D6" s="3" t="n">
        <v>87</v>
      </c>
      <c r="E6" t="inlineStr">
        <is>
          <t>2023</t>
        </is>
      </c>
      <c r="F6" s="4" t="inlineStr">
        <is>
          <t>1.100/Tausch</t>
        </is>
      </c>
      <c r="G6" t="inlineStr"/>
      <c r="H6" t="inlineStr">
        <is>
          <t>23758 Ostholstein</t>
        </is>
      </c>
      <c r="I6" s="5" t="n">
        <v>45568</v>
      </c>
      <c r="J6" t="inlineStr"/>
      <c r="K6" s="6">
        <f>HYPERLINK("https://www.dailydose.de/kleinanzeigen/detail.htm?ai=423536&amp;cf=kk&amp;pg=1&amp;ci=11", "Link")</f>
        <v/>
      </c>
      <c r="L6" s="6">
        <f>HYPERLINK("C:\Projects\Kleinanzeigen-Scraper\offer_images\423536", "Link")</f>
        <v/>
      </c>
      <c r="M6" t="inlineStr">
        <is>
          <t>wellenkasper</t>
        </is>
      </c>
      <c r="N6" s="6">
        <f>HYPERLINK("https://www.dailydose.de/kleinanzeigen/user/512", "Link")</f>
        <v/>
      </c>
      <c r="O6" s="7" t="n">
        <v>45568.75644675926</v>
      </c>
      <c r="P6" s="3" t="inlineStr">
        <is>
          <t>459.51</t>
        </is>
      </c>
      <c r="Q6" t="inlineStr">
        <is>
          <t>Köln</t>
        </is>
      </c>
    </row>
    <row r="7">
      <c r="A7" t="inlineStr">
        <is>
          <t>239.7 x 62.9</t>
        </is>
      </c>
      <c r="B7" t="inlineStr">
        <is>
          <t>Naish Koncept</t>
        </is>
      </c>
      <c r="C7" t="inlineStr">
        <is>
          <t>Freemove</t>
        </is>
      </c>
      <c r="D7" s="3" t="n">
        <v>102</v>
      </c>
      <c r="E7" t="inlineStr">
        <is>
          <t>2012</t>
        </is>
      </c>
      <c r="F7" s="4" t="n">
        <v>135</v>
      </c>
      <c r="G7" t="inlineStr"/>
      <c r="H7" t="inlineStr">
        <is>
          <t>52249 Eschweiler</t>
        </is>
      </c>
      <c r="I7" s="5" t="n">
        <v>45568</v>
      </c>
      <c r="J7" t="inlineStr"/>
      <c r="K7" s="6">
        <f>HYPERLINK("https://www.dailydose.de/kleinanzeigen/detail.htm?ai=423547&amp;cf=kk&amp;pg=1&amp;ci=11", "Link")</f>
        <v/>
      </c>
      <c r="L7" s="6">
        <f>HYPERLINK("C:\Projects\Kleinanzeigen-Scraper\offer_images\423547", "Link")</f>
        <v/>
      </c>
      <c r="M7" t="inlineStr">
        <is>
          <t>Torsten_3</t>
        </is>
      </c>
      <c r="N7" s="6">
        <f>HYPERLINK("https://www.dailydose.de/kleinanzeigen/user/7133", "Link")</f>
        <v/>
      </c>
      <c r="O7" s="7" t="n">
        <v>45568.75616898148</v>
      </c>
      <c r="P7" s="3" t="inlineStr">
        <is>
          <t>50.09</t>
        </is>
      </c>
      <c r="Q7" t="inlineStr">
        <is>
          <t>Köln</t>
        </is>
      </c>
    </row>
    <row r="8">
      <c r="A8" t="inlineStr">
        <is>
          <t>239 x 58.5 cm</t>
        </is>
      </c>
      <c r="B8" t="inlineStr">
        <is>
          <t>JP Freestyle Wave</t>
        </is>
      </c>
      <c r="C8" t="inlineStr">
        <is>
          <t>Freestyle Wave</t>
        </is>
      </c>
      <c r="D8" s="3" t="n">
        <v>84</v>
      </c>
      <c r="E8" t="inlineStr">
        <is>
          <t>2008</t>
        </is>
      </c>
      <c r="F8" s="4" t="n">
        <v>75</v>
      </c>
      <c r="G8" t="inlineStr"/>
      <c r="H8" t="inlineStr">
        <is>
          <t>52249 Esxchweiler</t>
        </is>
      </c>
      <c r="I8" s="5" t="n">
        <v>45568</v>
      </c>
      <c r="J8" t="inlineStr"/>
      <c r="K8" s="6">
        <f>HYPERLINK("https://www.dailydose.de/kleinanzeigen/detail.htm?ai=423549&amp;cf=kk&amp;pg=1&amp;ci=11", "Link")</f>
        <v/>
      </c>
      <c r="L8" s="6">
        <f>HYPERLINK("C:\Projects\Kleinanzeigen-Scraper\offer_images\423549", "Link")</f>
        <v/>
      </c>
      <c r="M8" t="inlineStr">
        <is>
          <t>Torsten_3</t>
        </is>
      </c>
      <c r="N8" s="6">
        <f>HYPERLINK("https://www.dailydose.de/kleinanzeigen/user/7133", "Link")</f>
        <v/>
      </c>
      <c r="O8" s="7" t="n">
        <v>45568.75494212963</v>
      </c>
      <c r="P8" s="3" t="inlineStr">
        <is>
          <t>50.09</t>
        </is>
      </c>
      <c r="Q8" t="inlineStr">
        <is>
          <t>Köln</t>
        </is>
      </c>
    </row>
    <row r="9">
      <c r="A9" t="inlineStr">
        <is>
          <t>92 l</t>
        </is>
      </c>
      <c r="B9" t="inlineStr">
        <is>
          <t>Patrick Diethelm</t>
        </is>
      </c>
      <c r="C9" t="inlineStr">
        <is>
          <t>Slalom</t>
        </is>
      </c>
      <c r="D9" s="3" t="n">
        <v>92</v>
      </c>
      <c r="E9" t="inlineStr">
        <is>
          <t>2014</t>
        </is>
      </c>
      <c r="F9" s="4" t="n">
        <v>290</v>
      </c>
      <c r="G9" t="inlineStr"/>
      <c r="H9" t="inlineStr">
        <is>
          <t>69123 Heidelberg</t>
        </is>
      </c>
      <c r="I9" s="5" t="n">
        <v>45568</v>
      </c>
      <c r="J9" t="inlineStr"/>
      <c r="K9" s="6">
        <f>HYPERLINK("https://www.dailydose.de/kleinanzeigen/detail.htm?ai=423560&amp;cf=kk&amp;pg=1&amp;ci=11", "Link")</f>
        <v/>
      </c>
      <c r="L9" s="6">
        <f>HYPERLINK("C:\Projects\Kleinanzeigen-Scraper\offer_images\423560", "Link")</f>
        <v/>
      </c>
      <c r="M9" t="inlineStr">
        <is>
          <t>papple28</t>
        </is>
      </c>
      <c r="N9" s="6">
        <f>HYPERLINK("https://www.dailydose.de/kleinanzeigen/user/1712", "Link")</f>
        <v/>
      </c>
      <c r="O9" s="7" t="n">
        <v>45568.7549074074</v>
      </c>
      <c r="P9" s="3" t="inlineStr">
        <is>
          <t>48.31</t>
        </is>
      </c>
      <c r="Q9" t="inlineStr">
        <is>
          <t>Karlsruhe</t>
        </is>
      </c>
    </row>
    <row r="10">
      <c r="A10" t="inlineStr">
        <is>
          <t>2.48 m x 0.55 m</t>
        </is>
      </c>
      <c r="B10" t="inlineStr">
        <is>
          <t>Horney Custom</t>
        </is>
      </c>
      <c r="C10" t="inlineStr">
        <is>
          <t>Allround Waveboard</t>
        </is>
      </c>
      <c r="D10" s="3" t="n">
        <v>78</v>
      </c>
      <c r="E10" t="inlineStr"/>
      <c r="F10" s="4" t="n">
        <v>250</v>
      </c>
      <c r="G10" t="inlineStr">
        <is>
          <t>VB</t>
        </is>
      </c>
      <c r="H10" t="inlineStr">
        <is>
          <t>80634 München</t>
        </is>
      </c>
      <c r="I10" s="5" t="n">
        <v>45567</v>
      </c>
      <c r="J10" t="inlineStr"/>
      <c r="K10" s="6">
        <f>HYPERLINK("https://www.dailydose.de/kleinanzeigen/detail.htm?ai=423529&amp;cf=kk&amp;pg=1&amp;ci=11", "Link")</f>
        <v/>
      </c>
      <c r="L10" s="6">
        <f>HYPERLINK("C:\Projects\Kleinanzeigen-Scraper\offer_images\423529", "Link")</f>
        <v/>
      </c>
      <c r="M10" t="inlineStr">
        <is>
          <t>aherrges</t>
        </is>
      </c>
      <c r="N10" s="6">
        <f>HYPERLINK("https://www.dailydose.de/kleinanzeigen/user/26455", "Link")</f>
        <v/>
      </c>
      <c r="O10" s="7" t="n">
        <v>45568.75487268518</v>
      </c>
      <c r="P10" s="3" t="inlineStr">
        <is>
          <t>3.43</t>
        </is>
      </c>
      <c r="Q10" t="inlineStr">
        <is>
          <t>München</t>
        </is>
      </c>
    </row>
    <row r="11">
      <c r="A11" t="inlineStr">
        <is>
          <t>225x66.5 cm</t>
        </is>
      </c>
      <c r="B11" t="inlineStr">
        <is>
          <t>Starboard Kode</t>
        </is>
      </c>
      <c r="C11" t="inlineStr">
        <is>
          <t>Freeride</t>
        </is>
      </c>
      <c r="D11" s="3" t="n">
        <v>115</v>
      </c>
      <c r="E11" t="inlineStr">
        <is>
          <t>2022</t>
        </is>
      </c>
      <c r="F11" s="4" t="n">
        <v>750</v>
      </c>
      <c r="G11" t="inlineStr"/>
      <c r="H11" t="inlineStr">
        <is>
          <t>25980 Sylt-Westerland</t>
        </is>
      </c>
      <c r="I11" s="5" t="n">
        <v>45568</v>
      </c>
      <c r="J11" t="inlineStr"/>
      <c r="K11" s="6">
        <f>HYPERLINK("https://www.dailydose.de/kleinanzeigen/detail.htm?ai=423563&amp;cf=kk&amp;pg=1&amp;ci=11", "Link")</f>
        <v/>
      </c>
      <c r="L11" s="6">
        <f>HYPERLINK("C:\Projects\Kleinanzeigen-Scraper\offer_images\423563", "Link")</f>
        <v/>
      </c>
      <c r="M11" t="inlineStr">
        <is>
          <t>J_43</t>
        </is>
      </c>
      <c r="N11" s="6">
        <f>HYPERLINK("https://www.dailydose.de/kleinanzeigen/user/12515", "Link")</f>
        <v/>
      </c>
      <c r="O11" s="7" t="n">
        <v>45568.75423611111</v>
      </c>
      <c r="P11" s="3" t="inlineStr">
        <is>
          <t>448.30</t>
        </is>
      </c>
      <c r="Q11" t="inlineStr">
        <is>
          <t>Köln</t>
        </is>
      </c>
    </row>
    <row r="12">
      <c r="A12" t="inlineStr">
        <is>
          <t>246x77.5</t>
        </is>
      </c>
      <c r="B12" t="inlineStr">
        <is>
          <t>Tabou Rocket CED</t>
        </is>
      </c>
      <c r="C12" t="inlineStr">
        <is>
          <t>Freeride</t>
        </is>
      </c>
      <c r="D12" s="3" t="n">
        <v>135</v>
      </c>
      <c r="E12" t="inlineStr">
        <is>
          <t>2018</t>
        </is>
      </c>
      <c r="F12" s="4" t="n">
        <v>650</v>
      </c>
      <c r="G12" t="inlineStr"/>
      <c r="H12" t="inlineStr">
        <is>
          <t>26802 Moormerland</t>
        </is>
      </c>
      <c r="I12" s="5" t="n">
        <v>45568</v>
      </c>
      <c r="J12" t="inlineStr"/>
      <c r="K12" s="6">
        <f>HYPERLINK("https://www.dailydose.de/kleinanzeigen/detail.htm?ai=423565&amp;cf=kk&amp;pg=1&amp;ci=11", "Link")</f>
        <v/>
      </c>
      <c r="L12" s="6">
        <f>HYPERLINK("C:\Projects\Kleinanzeigen-Scraper\offer_images\423565", "Link")</f>
        <v/>
      </c>
      <c r="M12" t="inlineStr">
        <is>
          <t>surfpastor</t>
        </is>
      </c>
      <c r="N12" s="6">
        <f>HYPERLINK("https://www.dailydose.de/kleinanzeigen/user/14780", "Link")</f>
        <v/>
      </c>
      <c r="O12" s="7" t="n">
        <v>45568.75368055556</v>
      </c>
      <c r="P12" s="3" t="inlineStr">
        <is>
          <t>265.85</t>
        </is>
      </c>
      <c r="Q12" t="inlineStr">
        <is>
          <t>Köln</t>
        </is>
      </c>
    </row>
    <row r="13">
      <c r="A13" t="inlineStr">
        <is>
          <t>8'8</t>
        </is>
      </c>
      <c r="B13" t="inlineStr">
        <is>
          <t>Fanatic All Wave</t>
        </is>
      </c>
      <c r="C13" t="inlineStr"/>
      <c r="D13" s="3" t="n">
        <v>135</v>
      </c>
      <c r="E13" t="inlineStr">
        <is>
          <t>2022</t>
        </is>
      </c>
      <c r="F13" s="4" t="n">
        <v>500</v>
      </c>
      <c r="G13" t="inlineStr">
        <is>
          <t>VB</t>
        </is>
      </c>
      <c r="H13" t="inlineStr">
        <is>
          <t>50321 Nordrhein-Westfalen - Brühl</t>
        </is>
      </c>
      <c r="I13" s="5" t="n">
        <v>45567</v>
      </c>
      <c r="J13" t="inlineStr"/>
      <c r="K13" s="6">
        <f>HYPERLINK("https://www.kleinanzeigen.de/s-anzeige/fanatic-sup-allwave-2022-board-135l-8-8/2880627076-230-1158", "Link")</f>
        <v/>
      </c>
      <c r="L13" s="6">
        <f>HYPERLINK("C:\Projects\Kleinanzeigen-Scraper\offer_images\2880627076", "Link")</f>
        <v/>
      </c>
      <c r="M13" t="inlineStr">
        <is>
          <t>Konstantin</t>
        </is>
      </c>
      <c r="N13" s="6">
        <f>HYPERLINK("https://www.kleinanzeigen.de/s-bestandsliste.html?userId=87242418", "Link")</f>
        <v/>
      </c>
      <c r="O13" s="7" t="n">
        <v>45568.75298611111</v>
      </c>
      <c r="P13" s="3" t="inlineStr">
        <is>
          <t>14.26</t>
        </is>
      </c>
      <c r="Q13" t="inlineStr">
        <is>
          <t>Köln</t>
        </is>
      </c>
    </row>
    <row r="14">
      <c r="A14" t="inlineStr">
        <is>
          <t>320x65x15</t>
        </is>
      </c>
      <c r="B14" t="inlineStr"/>
      <c r="C14" t="inlineStr">
        <is>
          <t>Windsurf/SUP</t>
        </is>
      </c>
      <c r="D14" s="3" t="inlineStr"/>
      <c r="E14" t="inlineStr"/>
      <c r="F14" s="4" t="n">
        <v>10</v>
      </c>
      <c r="G14" t="inlineStr"/>
      <c r="H14" t="inlineStr">
        <is>
          <t>50678 Innenstadt - Köln Altstadt</t>
        </is>
      </c>
      <c r="I14" s="5" t="n">
        <v>45567</v>
      </c>
      <c r="J14" t="inlineStr"/>
      <c r="K14" s="6">
        <f>HYPERLINK("https://www.kleinanzeigen.de/s-anzeige/windsurf-surfboard-mit-finne-sup-standup-padel/2880539896-230-986", "Link")</f>
        <v/>
      </c>
      <c r="L14" s="6">
        <f>HYPERLINK("C:\Projects\Kleinanzeigen-Scraper\offer_images\2880539896", "Link")</f>
        <v/>
      </c>
      <c r="M14" t="inlineStr">
        <is>
          <t>Hopf</t>
        </is>
      </c>
      <c r="N14" s="6">
        <f>HYPERLINK("https://www.kleinanzeigen.de/s-bestandsliste.html?userId=14706072", "Link")</f>
        <v/>
      </c>
      <c r="O14" s="7" t="n">
        <v>45568.75261574074</v>
      </c>
      <c r="P14" s="3" t="inlineStr">
        <is>
          <t>1.84</t>
        </is>
      </c>
      <c r="Q14" t="inlineStr">
        <is>
          <t>Köln</t>
        </is>
      </c>
    </row>
    <row r="15">
      <c r="A15" t="inlineStr">
        <is>
          <t>135</t>
        </is>
      </c>
      <c r="B15" t="inlineStr">
        <is>
          <t>Starboard Carve</t>
        </is>
      </c>
      <c r="C15" t="inlineStr">
        <is>
          <t>Freeride</t>
        </is>
      </c>
      <c r="D15" s="3" t="inlineStr"/>
      <c r="E15" t="inlineStr"/>
      <c r="F15" s="4" t="n">
        <v>120</v>
      </c>
      <c r="G15" t="inlineStr"/>
      <c r="H15" t="inlineStr">
        <is>
          <t>67596 Rheinland-Pfalz - Dittelsheim-Heßloch</t>
        </is>
      </c>
      <c r="I15" s="5" t="n">
        <v>45567</v>
      </c>
      <c r="J15" t="inlineStr"/>
      <c r="K15" s="6">
        <f>HYPERLINK("https://www.kleinanzeigen.de/s-anzeige/starboard-carve-135-wood-windsurfboard-neil-pryde-boardbag/2880585234-230-17289", "Link")</f>
        <v/>
      </c>
      <c r="L15" s="6">
        <f>HYPERLINK("C:\Projects\Kleinanzeigen-Scraper\offer_images\2880585234", "Link")</f>
        <v/>
      </c>
      <c r="M15" t="inlineStr">
        <is>
          <t>Andreas H.</t>
        </is>
      </c>
      <c r="N15" s="6">
        <f>HYPERLINK("https://www.kleinanzeigen.de/s-bestandsliste.html?userId=22842708", "Link")</f>
        <v/>
      </c>
      <c r="O15" s="7" t="n">
        <v>45568.75261574074</v>
      </c>
      <c r="P15" s="3" t="inlineStr">
        <is>
          <t>82.35</t>
        </is>
      </c>
      <c r="Q15" t="inlineStr">
        <is>
          <t>Karlsruhe</t>
        </is>
      </c>
    </row>
    <row r="16">
      <c r="A16" t="inlineStr"/>
      <c r="B16" t="inlineStr">
        <is>
          <t>Goya Custom 3</t>
        </is>
      </c>
      <c r="C16" t="inlineStr"/>
      <c r="D16" s="3" t="n">
        <v>86</v>
      </c>
      <c r="E16" t="inlineStr">
        <is>
          <t>2021</t>
        </is>
      </c>
      <c r="F16" s="4" t="n">
        <v>850</v>
      </c>
      <c r="G16" t="inlineStr"/>
      <c r="H16" t="inlineStr">
        <is>
          <t>23769 Kreis Ostholstein - Fehmarn</t>
        </is>
      </c>
      <c r="I16" s="5" t="n">
        <v>45568</v>
      </c>
      <c r="J16" t="inlineStr"/>
      <c r="K16" s="6">
        <f>HYPERLINK("https://www.kleinanzeigen.de/s-anzeige/goya-board-custom-3-86l/2881691903-230-19951", "Link")</f>
        <v/>
      </c>
      <c r="L16" s="6">
        <f>HYPERLINK("C:\Projects\Kleinanzeigen-Scraper\offer_images\2881691903", "Link")</f>
        <v/>
      </c>
      <c r="M16" t="inlineStr">
        <is>
          <t>Matan</t>
        </is>
      </c>
      <c r="N16" s="6">
        <f>HYPERLINK("https://www.kleinanzeigen.de/s-bestandsliste.html?userId=50032921", "Link")</f>
        <v/>
      </c>
      <c r="O16" s="7" t="n">
        <v>45568.75202546296</v>
      </c>
      <c r="P16" s="3" t="inlineStr">
        <is>
          <t>483.01</t>
        </is>
      </c>
      <c r="Q16" t="inlineStr">
        <is>
          <t>Köln</t>
        </is>
      </c>
    </row>
    <row r="17">
      <c r="A17" t="inlineStr">
        <is>
          <t>294 cm x 60 cm</t>
        </is>
      </c>
      <c r="B17" t="inlineStr">
        <is>
          <t>Fanatic Bee</t>
        </is>
      </c>
      <c r="C17" t="inlineStr"/>
      <c r="D17" s="3" t="n">
        <v>135</v>
      </c>
      <c r="E17" t="inlineStr"/>
      <c r="F17" s="4" t="n">
        <v>30</v>
      </c>
      <c r="G17" t="inlineStr">
        <is>
          <t>VB</t>
        </is>
      </c>
      <c r="H17" t="inlineStr">
        <is>
          <t>47239 Duisburg - Rumeln-Kaldenhausen</t>
        </is>
      </c>
      <c r="I17" s="5" t="n">
        <v>45568</v>
      </c>
      <c r="J17" t="inlineStr"/>
      <c r="K17" s="6">
        <f>HYPERLINK("https://www.kleinanzeigen.de/s-anzeige/fanatic-bee-294/2881072825-230-2137", "Link")</f>
        <v/>
      </c>
      <c r="L17" s="6">
        <f>HYPERLINK("C:\Projects\Kleinanzeigen-Scraper\offer_images\2881072825", "Link")</f>
        <v/>
      </c>
      <c r="M17" t="inlineStr">
        <is>
          <t>MB</t>
        </is>
      </c>
      <c r="N17" s="6">
        <f>HYPERLINK("https://www.kleinanzeigen.de/s-bestandsliste.html?userId=1864376", "Link")</f>
        <v/>
      </c>
      <c r="O17" s="7" t="n">
        <v>45568.75138888889</v>
      </c>
      <c r="P17" s="3" t="inlineStr">
        <is>
          <t>54.92</t>
        </is>
      </c>
      <c r="Q17" t="inlineStr">
        <is>
          <t>Köln</t>
        </is>
      </c>
    </row>
    <row r="18">
      <c r="A18" t="inlineStr">
        <is>
          <t>87L</t>
        </is>
      </c>
      <c r="B18" t="inlineStr">
        <is>
          <t>Fanatic Grip</t>
        </is>
      </c>
      <c r="C18" t="inlineStr">
        <is>
          <t>Freestyle</t>
        </is>
      </c>
      <c r="D18" s="3" t="n">
        <v>87</v>
      </c>
      <c r="E18" t="inlineStr"/>
      <c r="F18" s="4" t="n">
        <v>1.199</v>
      </c>
      <c r="G18" t="inlineStr">
        <is>
          <t>VB</t>
        </is>
      </c>
      <c r="H18" t="inlineStr">
        <is>
          <t>45897 Nordrhein-Westfalen - Gelsenkirchen</t>
        </is>
      </c>
      <c r="I18" s="5" t="n">
        <v>45568</v>
      </c>
      <c r="J18" t="inlineStr"/>
      <c r="K18" s="6">
        <f>HYPERLINK("https://www.kleinanzeigen.de/s-anzeige/fanatic-grip-87/2881689944-230-1003", "Link")</f>
        <v/>
      </c>
      <c r="L18" s="6">
        <f>HYPERLINK("C:\Projects\Kleinanzeigen-Scraper\offer_images\2881689944", "Link")</f>
        <v/>
      </c>
      <c r="M18" t="inlineStr">
        <is>
          <t>Josh</t>
        </is>
      </c>
      <c r="N18" s="6">
        <f>HYPERLINK("https://www.kleinanzeigen.de/s-bestandsliste.html?userId=32943409", "Link")</f>
        <v/>
      </c>
      <c r="O18" s="7" t="n">
        <v>45568.75126157407</v>
      </c>
      <c r="P18" s="3" t="inlineStr">
        <is>
          <t>69.88</t>
        </is>
      </c>
      <c r="Q18" t="inlineStr">
        <is>
          <t>Köln</t>
        </is>
      </c>
    </row>
    <row r="19">
      <c r="A19" t="inlineStr"/>
      <c r="B19" t="inlineStr">
        <is>
          <t>Fanatic</t>
        </is>
      </c>
      <c r="C19" t="inlineStr"/>
      <c r="D19" s="3" t="inlineStr"/>
      <c r="E19" t="inlineStr"/>
      <c r="F19" s="4" t="n">
        <v>25</v>
      </c>
      <c r="G19" t="inlineStr">
        <is>
          <t>VB</t>
        </is>
      </c>
      <c r="H19" t="inlineStr">
        <is>
          <t>46509 Nordrhein-Westfalen - Xanten</t>
        </is>
      </c>
      <c r="I19" s="5" t="n">
        <v>45568</v>
      </c>
      <c r="J19" t="inlineStr"/>
      <c r="K19" s="6">
        <f>HYPERLINK("https://www.kleinanzeigen.de/s-anzeige/altes-surfbrett-fanatic/2880870082-230-1403", "Link")</f>
        <v/>
      </c>
      <c r="L19" s="6">
        <f>HYPERLINK("C:\Projects\Kleinanzeigen-Scraper\offer_images\2880870082", "Link")</f>
        <v/>
      </c>
      <c r="M19" t="inlineStr">
        <is>
          <t>Sebastian Wienen</t>
        </is>
      </c>
      <c r="N19" s="6">
        <f>HYPERLINK("https://www.kleinanzeigen.de/s-bestandsliste.html?userId=33126147", "Link")</f>
        <v/>
      </c>
      <c r="O19" s="7" t="n">
        <v>45568.7508912037</v>
      </c>
      <c r="P19" s="3" t="inlineStr">
        <is>
          <t>88.27</t>
        </is>
      </c>
      <c r="Q19" t="inlineStr">
        <is>
          <t>Köln</t>
        </is>
      </c>
    </row>
    <row r="20">
      <c r="A20" t="inlineStr">
        <is>
          <t>Dimensions not specified</t>
        </is>
      </c>
      <c r="B20" t="inlineStr">
        <is>
          <t>Fanatic Stingray</t>
        </is>
      </c>
      <c r="C20" t="inlineStr">
        <is>
          <t>Foil</t>
        </is>
      </c>
      <c r="D20" s="3" t="n">
        <v>110</v>
      </c>
      <c r="E20" t="inlineStr">
        <is>
          <t>2020</t>
        </is>
      </c>
      <c r="F20" s="4" t="n">
        <v>650</v>
      </c>
      <c r="G20" t="inlineStr">
        <is>
          <t>VB</t>
        </is>
      </c>
      <c r="H20" t="inlineStr">
        <is>
          <t>91560 Bayern - Heilsbronn</t>
        </is>
      </c>
      <c r="I20" s="5" t="n">
        <v>45568</v>
      </c>
      <c r="J20" t="inlineStr"/>
      <c r="K20" s="6">
        <f>HYPERLINK("https://www.kleinanzeigen.de/s-anzeige/fanatic-stingray-foil-110-ltd/2880777455-230-5667", "Link")</f>
        <v/>
      </c>
      <c r="L20" s="6">
        <f>HYPERLINK("C:\Projects\Kleinanzeigen-Scraper\offer_images\2880777455", "Link")</f>
        <v/>
      </c>
      <c r="M20" t="inlineStr">
        <is>
          <t>Weise</t>
        </is>
      </c>
      <c r="N20" s="6">
        <f>HYPERLINK("https://www.kleinanzeigen.de/s-bestandsliste.html?userId=26025333", "Link")</f>
        <v/>
      </c>
      <c r="O20" s="7" t="n">
        <v>45568.75065972222</v>
      </c>
      <c r="P20" s="3" t="inlineStr">
        <is>
          <t>145.66</t>
        </is>
      </c>
      <c r="Q20" t="inlineStr">
        <is>
          <t>München</t>
        </is>
      </c>
    </row>
    <row r="21">
      <c r="A21" t="inlineStr">
        <is>
          <t>147</t>
        </is>
      </c>
      <c r="B21" t="inlineStr">
        <is>
          <t>Fanatic Blast</t>
        </is>
      </c>
      <c r="C21" t="inlineStr">
        <is>
          <t>Freeride</t>
        </is>
      </c>
      <c r="D21" s="3" t="inlineStr"/>
      <c r="E21" t="inlineStr"/>
      <c r="F21" s="4" t="n">
        <v>889</v>
      </c>
      <c r="G21" t="inlineStr">
        <is>
          <t>VB</t>
        </is>
      </c>
      <c r="H21" t="inlineStr">
        <is>
          <t>74423 Baden-Württemberg - Obersontheim</t>
        </is>
      </c>
      <c r="I21" s="5" t="n">
        <v>45567</v>
      </c>
      <c r="J21" t="inlineStr"/>
      <c r="K21" s="6">
        <f>HYPERLINK("https://www.kleinanzeigen.de/s-anzeige/fanatic-blast-147/2880580107-230-9154", "Link")</f>
        <v/>
      </c>
      <c r="L21" s="6">
        <f>HYPERLINK("C:\Projects\Kleinanzeigen-Scraper\offer_images\2880580107", "Link")</f>
        <v/>
      </c>
      <c r="M21" t="inlineStr">
        <is>
          <t>Marcel</t>
        </is>
      </c>
      <c r="N21" s="6">
        <f>HYPERLINK("https://www.kleinanzeigen.de/s-bestandsliste.html?userId=22775485", "Link")</f>
        <v/>
      </c>
      <c r="O21" s="7" t="n">
        <v>45568.75050925926</v>
      </c>
      <c r="P21" s="3" t="inlineStr">
        <is>
          <t>77.18</t>
        </is>
      </c>
      <c r="Q21" t="inlineStr">
        <is>
          <t>Böblingen</t>
        </is>
      </c>
    </row>
    <row r="22">
      <c r="A22" t="inlineStr">
        <is>
          <t>12'6" x 30"</t>
        </is>
      </c>
      <c r="B22" t="inlineStr">
        <is>
          <t>Starboard Touring Deluxe DC</t>
        </is>
      </c>
      <c r="C22" t="inlineStr">
        <is>
          <t>Touring</t>
        </is>
      </c>
      <c r="D22" s="3" t="inlineStr"/>
      <c r="E22" t="inlineStr">
        <is>
          <t>2021</t>
        </is>
      </c>
      <c r="F22" s="4" t="n">
        <v>790</v>
      </c>
      <c r="G22" t="inlineStr">
        <is>
          <t>VB</t>
        </is>
      </c>
      <c r="H22" t="inlineStr">
        <is>
          <t>45133 Essen - Bredeney</t>
        </is>
      </c>
      <c r="I22" s="5" t="n">
        <v>45568</v>
      </c>
      <c r="J22" t="inlineStr"/>
      <c r="K22" s="6">
        <f>HYPERLINK("https://www.kleinanzeigen.de/s-anzeige/starboard-12-6-x-30-touring-deluxe-dc-isup-board-2021/2881337250-230-2050", "Link")</f>
        <v/>
      </c>
      <c r="L22" s="6">
        <f>HYPERLINK("C:\Projects\Kleinanzeigen-Scraper\offer_images\2881337250", "Link")</f>
        <v/>
      </c>
      <c r="M22" t="inlineStr">
        <is>
          <t>Johannes</t>
        </is>
      </c>
      <c r="N22" s="6">
        <f>HYPERLINK("https://www.kleinanzeigen.de/s-bestandsliste.html?userId=54776205", "Link")</f>
        <v/>
      </c>
      <c r="O22" s="7" t="n">
        <v>45568.7503125</v>
      </c>
      <c r="P22" s="3" t="inlineStr">
        <is>
          <t>52.12</t>
        </is>
      </c>
      <c r="Q22" t="inlineStr">
        <is>
          <t>Köln</t>
        </is>
      </c>
    </row>
    <row r="23">
      <c r="A23" t="inlineStr">
        <is>
          <t>233 x 60 x 90</t>
        </is>
      </c>
      <c r="B23" t="inlineStr">
        <is>
          <t>RRD Wavetwin LTD</t>
        </is>
      </c>
      <c r="C23" t="inlineStr">
        <is>
          <t>Wave</t>
        </is>
      </c>
      <c r="D23" s="3" t="n">
        <v>90</v>
      </c>
      <c r="E23" t="inlineStr"/>
      <c r="F23" s="4" t="n">
        <v>380</v>
      </c>
      <c r="G23" t="inlineStr"/>
      <c r="H23" t="inlineStr">
        <is>
          <t>23769 Kreis Ostholstein - Fehmarn</t>
        </is>
      </c>
      <c r="I23" s="5" t="n">
        <v>45562</v>
      </c>
      <c r="J23" t="inlineStr"/>
      <c r="K23" s="6">
        <f>HYPERLINK("https://www.kleinanzeigen.de/s-anzeige/rrd-wavetwin-ltd-90-liter/2875626467-230-19951", "Link")</f>
        <v/>
      </c>
      <c r="L23" s="6">
        <f>HYPERLINK("C:\Projects\Kleinanzeigen-Scraper\offer_images\2875626467", "Link")</f>
        <v/>
      </c>
      <c r="M23" t="inlineStr">
        <is>
          <t>André</t>
        </is>
      </c>
      <c r="N23" s="6">
        <f>HYPERLINK("https://www.kleinanzeigen.de/s-bestandsliste.html?userId=43549951", "Link")</f>
        <v/>
      </c>
      <c r="O23" s="7" t="n">
        <v>45568.75011574074</v>
      </c>
      <c r="P23" s="3" t="inlineStr">
        <is>
          <t>483.01</t>
        </is>
      </c>
      <c r="Q23" t="inlineStr">
        <is>
          <t>Köln</t>
        </is>
      </c>
    </row>
    <row r="24">
      <c r="A24" t="inlineStr">
        <is>
          <t>245 x 54 cm</t>
        </is>
      </c>
      <c r="B24" t="inlineStr">
        <is>
          <t>Naish Supercross</t>
        </is>
      </c>
      <c r="C24" t="inlineStr">
        <is>
          <t>Wave</t>
        </is>
      </c>
      <c r="D24" s="3" t="n">
        <v>75</v>
      </c>
      <c r="E24" t="inlineStr"/>
      <c r="F24" s="4" t="n">
        <v>80</v>
      </c>
      <c r="G24" t="inlineStr"/>
      <c r="H24" t="inlineStr">
        <is>
          <t>79100 Freiburg im Breisgau - Wiehre</t>
        </is>
      </c>
      <c r="I24" s="5" t="n">
        <v>45568</v>
      </c>
      <c r="J24" t="inlineStr"/>
      <c r="K24" s="6">
        <f>HYPERLINK("https://www.kleinanzeigen.de/s-anzeige/naish-supercross-windsurfbrett-fast-neu-mit-boardbag-und-finne/2880990528-230-9368", "Link")</f>
        <v/>
      </c>
      <c r="L24" s="6">
        <f>HYPERLINK("C:\Projects\Kleinanzeigen-Scraper\offer_images\2880990528", "Link")</f>
        <v/>
      </c>
      <c r="M24" t="inlineStr">
        <is>
          <t>MLF</t>
        </is>
      </c>
      <c r="N24" s="6">
        <f>HYPERLINK("https://www.kleinanzeigen.de/s-bestandsliste.html?userId=15574759", "Link")</f>
        <v/>
      </c>
      <c r="O24" s="7" t="n">
        <v>45568.74958333333</v>
      </c>
      <c r="P24" s="3" t="inlineStr">
        <is>
          <t>39.95</t>
        </is>
      </c>
      <c r="Q24" t="inlineStr">
        <is>
          <t>Bonndorf</t>
        </is>
      </c>
    </row>
    <row r="25">
      <c r="A25" t="inlineStr">
        <is>
          <t>Dimensions not provided</t>
        </is>
      </c>
      <c r="B25" t="inlineStr">
        <is>
          <t>Rrd Firemove</t>
        </is>
      </c>
      <c r="C25" t="inlineStr">
        <is>
          <t>Freemove</t>
        </is>
      </c>
      <c r="D25" s="3" t="n">
        <v>140</v>
      </c>
      <c r="E25" t="inlineStr"/>
      <c r="F25" s="4" t="n">
        <v>650</v>
      </c>
      <c r="G25" t="inlineStr">
        <is>
          <t>VB</t>
        </is>
      </c>
      <c r="H25" t="inlineStr">
        <is>
          <t>24161 Schleswig-Holstein - Altenholz</t>
        </is>
      </c>
      <c r="I25" s="5" t="n">
        <v>45567</v>
      </c>
      <c r="J25" t="inlineStr"/>
      <c r="K25" s="6">
        <f>HYPERLINK("https://www.kleinanzeigen.de/s-anzeige/rrd-firemove-windsurf-board-140l/2880684480-230-10597", "Link")</f>
        <v/>
      </c>
      <c r="L25" s="6">
        <f>HYPERLINK("C:\Projects\Kleinanzeigen-Scraper\offer_images\2880684480", "Link")</f>
        <v/>
      </c>
      <c r="M25" t="inlineStr">
        <is>
          <t>Ian</t>
        </is>
      </c>
      <c r="N25" s="6">
        <f>HYPERLINK("https://www.kleinanzeigen.de/s-bestandsliste.html?userId=133849219", "Link")</f>
        <v/>
      </c>
      <c r="O25" s="7" t="n">
        <v>45568.74957175926</v>
      </c>
      <c r="P25" s="3" t="inlineStr">
        <is>
          <t>439.33</t>
        </is>
      </c>
      <c r="Q25" t="inlineStr">
        <is>
          <t>Köln</t>
        </is>
      </c>
    </row>
    <row r="26">
      <c r="A26" t="inlineStr">
        <is>
          <t>3.70m</t>
        </is>
      </c>
      <c r="B26" t="inlineStr"/>
      <c r="C26" t="inlineStr"/>
      <c r="D26" s="3" t="inlineStr"/>
      <c r="E26" t="inlineStr"/>
      <c r="F26" s="4" t="n">
        <v>30</v>
      </c>
      <c r="G26" t="inlineStr"/>
      <c r="H26" t="inlineStr">
        <is>
          <t>06110 Sachsen-Anhalt - Halle</t>
        </is>
      </c>
      <c r="I26" s="5" t="n">
        <v>45568</v>
      </c>
      <c r="J26" t="inlineStr"/>
      <c r="K26" s="6">
        <f>HYPERLINK("https://www.kleinanzeigen.de/s-anzeige/surfbrett-windsurfen/2881560527-230-2421", "Link")</f>
        <v/>
      </c>
      <c r="L26" s="6">
        <f>HYPERLINK("C:\Projects\Kleinanzeigen-Scraper\offer_images\2881560527", "Link")</f>
        <v/>
      </c>
      <c r="M26" t="inlineStr">
        <is>
          <t>Julian Stockhowe</t>
        </is>
      </c>
      <c r="N26" s="6">
        <f>HYPERLINK("https://www.kleinanzeigen.de/s-bestandsliste.html?userId=62668935", "Link")</f>
        <v/>
      </c>
      <c r="O26" s="7" t="n">
        <v>45568.74956018518</v>
      </c>
      <c r="P26" s="3" t="inlineStr">
        <is>
          <t>354.65</t>
        </is>
      </c>
      <c r="Q26" t="inlineStr">
        <is>
          <t>Köln</t>
        </is>
      </c>
    </row>
    <row r="27">
      <c r="A27" t="inlineStr"/>
      <c r="B27" t="inlineStr">
        <is>
          <t>Fanatic Bee</t>
        </is>
      </c>
      <c r="C27" t="inlineStr"/>
      <c r="D27" s="3" t="n">
        <v>85</v>
      </c>
      <c r="E27" t="inlineStr"/>
      <c r="F27" s="4" t="n">
        <v>25</v>
      </c>
      <c r="G27" t="inlineStr"/>
      <c r="H27" t="inlineStr">
        <is>
          <t>21031 Bergedorf - Hamburg Lohbrügge</t>
        </is>
      </c>
      <c r="I27" s="5" t="n">
        <v>45568</v>
      </c>
      <c r="J27" t="inlineStr"/>
      <c r="K27" s="6">
        <f>HYPERLINK("https://www.kleinanzeigen.de/s-anzeige/fanatic-bee-85-liter/2881543664-230-9518", "Link")</f>
        <v/>
      </c>
      <c r="L27" s="6">
        <f>HYPERLINK("C:\Projects\Kleinanzeigen-Scraper\offer_images\2881543664", "Link")</f>
        <v/>
      </c>
      <c r="M27" t="inlineStr">
        <is>
          <t>Tim</t>
        </is>
      </c>
      <c r="N27" s="6">
        <f>HYPERLINK("https://www.kleinanzeigen.de/s-bestandsliste.html?userId=90127891", "Link")</f>
        <v/>
      </c>
      <c r="O27" s="7" t="n">
        <v>45568.74953703704</v>
      </c>
      <c r="P27" s="3" t="inlineStr">
        <is>
          <t>360.99</t>
        </is>
      </c>
      <c r="Q27" t="inlineStr">
        <is>
          <t>Köln</t>
        </is>
      </c>
    </row>
    <row r="28">
      <c r="A28" t="inlineStr">
        <is>
          <t>225x66.5 cm</t>
        </is>
      </c>
      <c r="B28" t="inlineStr">
        <is>
          <t>Starboard Kode</t>
        </is>
      </c>
      <c r="C28" t="inlineStr">
        <is>
          <t>Freeride</t>
        </is>
      </c>
      <c r="D28" s="3" t="n">
        <v>115</v>
      </c>
      <c r="E28" t="inlineStr">
        <is>
          <t>2022</t>
        </is>
      </c>
      <c r="F28" s="4" t="n">
        <v>750</v>
      </c>
      <c r="G28" t="inlineStr"/>
      <c r="H28" t="inlineStr">
        <is>
          <t>25996 Sylt - Wenningstedt</t>
        </is>
      </c>
      <c r="I28" s="5" t="n">
        <v>45568</v>
      </c>
      <c r="J28" t="inlineStr"/>
      <c r="K28" s="6">
        <f>HYPERLINK("https://www.kleinanzeigen.de/s-anzeige/starboard-kode-115-2022/2881376057-230-635", "Link")</f>
        <v/>
      </c>
      <c r="L28" s="6">
        <f>HYPERLINK("C:\Projects\Kleinanzeigen-Scraper\offer_images\2881376057", "Link")</f>
        <v/>
      </c>
      <c r="M28" t="inlineStr">
        <is>
          <t>J W</t>
        </is>
      </c>
      <c r="N28" s="6">
        <f>HYPERLINK("https://www.kleinanzeigen.de/s-bestandsliste.html?userId=43860779", "Link")</f>
        <v/>
      </c>
      <c r="O28" s="7" t="n">
        <v>45568.74949074074</v>
      </c>
      <c r="P28" s="3" t="inlineStr">
        <is>
          <t>453.86</t>
        </is>
      </c>
      <c r="Q28" t="inlineStr">
        <is>
          <t>Köln</t>
        </is>
      </c>
    </row>
    <row r="29">
      <c r="A29" t="inlineStr"/>
      <c r="B29" t="inlineStr">
        <is>
          <t>Goya Custom 4</t>
        </is>
      </c>
      <c r="C29" t="inlineStr">
        <is>
          <t>Wave</t>
        </is>
      </c>
      <c r="D29" s="3" t="n">
        <v>89</v>
      </c>
      <c r="E29" t="inlineStr">
        <is>
          <t>2021</t>
        </is>
      </c>
      <c r="F29" s="4" t="n">
        <v>750</v>
      </c>
      <c r="G29" t="inlineStr"/>
      <c r="H29" t="inlineStr">
        <is>
          <t>81543 München - Au-Haidhausen</t>
        </is>
      </c>
      <c r="I29" s="5" t="n">
        <v>45568</v>
      </c>
      <c r="J29" t="inlineStr"/>
      <c r="K29" s="6">
        <f>HYPERLINK("https://www.kleinanzeigen.de/s-anzeige/goya-custom-4-89l-2021-windsurf-waveboard/2880877869-230-16344", "Link")</f>
        <v/>
      </c>
      <c r="L29" s="6">
        <f>HYPERLINK("C:\Projects\Kleinanzeigen-Scraper\offer_images\2880877869", "Link")</f>
        <v/>
      </c>
      <c r="M29" t="inlineStr">
        <is>
          <t>Leif Mummenbrauer</t>
        </is>
      </c>
      <c r="N29" s="6">
        <f>HYPERLINK("https://www.kleinanzeigen.de/s-bestandsliste.html?userId=26219632", "Link")</f>
        <v/>
      </c>
      <c r="O29" s="7" t="n">
        <v>45568.74913194445</v>
      </c>
      <c r="P29" s="3" t="inlineStr">
        <is>
          <t>2.63</t>
        </is>
      </c>
      <c r="Q29" t="inlineStr">
        <is>
          <t>München</t>
        </is>
      </c>
    </row>
    <row r="30">
      <c r="A30" t="inlineStr">
        <is>
          <t>230 cm x 56.3 cm</t>
        </is>
      </c>
      <c r="B30" t="inlineStr">
        <is>
          <t>Quatro Sphere Thruster</t>
        </is>
      </c>
      <c r="C30" t="inlineStr">
        <is>
          <t>Wave/Freewave</t>
        </is>
      </c>
      <c r="D30" s="3" t="n">
        <v>80</v>
      </c>
      <c r="E30" t="inlineStr">
        <is>
          <t>2016</t>
        </is>
      </c>
      <c r="F30" s="4" t="n">
        <v>250</v>
      </c>
      <c r="G30" t="inlineStr"/>
      <c r="H30" t="inlineStr">
        <is>
          <t>22527 Eimsbüttel - Hamburg Stellingen</t>
        </is>
      </c>
      <c r="I30" s="5" t="n">
        <v>45563</v>
      </c>
      <c r="J30" t="inlineStr"/>
      <c r="K30" s="6">
        <f>HYPERLINK("https://www.kleinanzeigen.de/s-anzeige/windsurf-board-quatro-sphere-thruster-80-l-2016-/2875843000-230-9435", "Link")</f>
        <v/>
      </c>
      <c r="L30" s="6">
        <f>HYPERLINK("C:\Projects\Kleinanzeigen-Scraper\offer_images\2875843000", "Link")</f>
        <v/>
      </c>
      <c r="M30" t="inlineStr">
        <is>
          <t>Hanno</t>
        </is>
      </c>
      <c r="N30" s="6">
        <f>HYPERLINK("https://www.kleinanzeigen.de/s-bestandsliste.html?userId=5322278", "Link")</f>
        <v/>
      </c>
      <c r="O30" s="7" t="n">
        <v>45568.74895833333</v>
      </c>
      <c r="P30" s="3" t="inlineStr">
        <is>
          <t>358.47</t>
        </is>
      </c>
      <c r="Q30" t="inlineStr">
        <is>
          <t>Köln</t>
        </is>
      </c>
    </row>
    <row r="31">
      <c r="A31" t="inlineStr">
        <is>
          <t>276cm x 58cm</t>
        </is>
      </c>
      <c r="B31" t="inlineStr">
        <is>
          <t>Mistral Custom Flow</t>
        </is>
      </c>
      <c r="C31" t="inlineStr">
        <is>
          <t>Freeride</t>
        </is>
      </c>
      <c r="D31" s="3" t="n">
        <v>103</v>
      </c>
      <c r="E31" t="inlineStr"/>
      <c r="F31" s="4" t="n">
        <v>299</v>
      </c>
      <c r="G31" t="inlineStr"/>
      <c r="H31" t="inlineStr">
        <is>
          <t>24558 Schleswig-Holstein - Henstedt-Ulzburg</t>
        </is>
      </c>
      <c r="I31" s="5" t="n">
        <v>45567</v>
      </c>
      <c r="J31" t="inlineStr"/>
      <c r="K31" s="6">
        <f>HYPERLINK("https://www.kleinanzeigen.de/s-anzeige/mistral-custom-flow-windsurf-board-mit-seegras-finne/2880595281-230-13734", "Link")</f>
        <v/>
      </c>
      <c r="L31" s="6">
        <f>HYPERLINK("C:\Projects\Kleinanzeigen-Scraper\offer_images\2880595281", "Link")</f>
        <v/>
      </c>
      <c r="M31" t="inlineStr">
        <is>
          <t>Dieter Kramer</t>
        </is>
      </c>
      <c r="N31" s="6">
        <f>HYPERLINK("https://www.kleinanzeigen.de/s-bestandsliste.html?userId=19529309", "Link")</f>
        <v/>
      </c>
      <c r="O31" s="7" t="n">
        <v>45568.74878472222</v>
      </c>
      <c r="P31" s="3" t="inlineStr">
        <is>
          <t>379.46</t>
        </is>
      </c>
      <c r="Q31" t="inlineStr">
        <is>
          <t>Köln</t>
        </is>
      </c>
    </row>
    <row r="32">
      <c r="A32" t="inlineStr"/>
      <c r="B32" t="inlineStr">
        <is>
          <t>Fanatic Stingray</t>
        </is>
      </c>
      <c r="C32" t="inlineStr">
        <is>
          <t>Freeride</t>
        </is>
      </c>
      <c r="D32" s="3" t="n">
        <v>170</v>
      </c>
      <c r="E32" t="inlineStr"/>
      <c r="F32" s="4" t="n">
        <v>80</v>
      </c>
      <c r="G32" t="inlineStr">
        <is>
          <t>VB</t>
        </is>
      </c>
      <c r="H32" t="inlineStr">
        <is>
          <t>82205 Bayern - Gilching</t>
        </is>
      </c>
      <c r="I32" s="5" t="n">
        <v>45568</v>
      </c>
      <c r="J32" t="inlineStr"/>
      <c r="K32" s="6">
        <f>HYPERLINK("https://www.kleinanzeigen.de/s-anzeige/fanatic-stingray-170/2881014143-230-15740", "Link")</f>
        <v/>
      </c>
      <c r="L32" s="6">
        <f>HYPERLINK("C:\Projects\Kleinanzeigen-Scraper\offer_images\2881014143", "Link")</f>
        <v/>
      </c>
      <c r="M32" t="inlineStr">
        <is>
          <t>Robert S.</t>
        </is>
      </c>
      <c r="N32" s="6">
        <f>HYPERLINK("https://www.kleinanzeigen.de/s-bestandsliste.html?userId=26513399", "Link")</f>
        <v/>
      </c>
      <c r="O32" s="7" t="n">
        <v>45568.74834490741</v>
      </c>
      <c r="P32" s="3" t="inlineStr">
        <is>
          <t>23.04</t>
        </is>
      </c>
      <c r="Q32" t="inlineStr">
        <is>
          <t>München</t>
        </is>
      </c>
    </row>
    <row r="33">
      <c r="A33" t="inlineStr"/>
      <c r="B33" t="inlineStr">
        <is>
          <t>Tabou Twister</t>
        </is>
      </c>
      <c r="C33" t="inlineStr">
        <is>
          <t>Freestyle</t>
        </is>
      </c>
      <c r="D33" s="3" t="n">
        <v>100</v>
      </c>
      <c r="E33" t="inlineStr"/>
      <c r="F33" s="4" t="n">
        <v>140</v>
      </c>
      <c r="G33" t="inlineStr"/>
      <c r="H33" t="inlineStr">
        <is>
          <t>24790 Schleswig-Holstein - Schacht-Audorf</t>
        </is>
      </c>
      <c r="I33" s="5" t="n">
        <v>45568</v>
      </c>
      <c r="J33" t="inlineStr"/>
      <c r="K33" s="6">
        <f>HYPERLINK("https://www.kleinanzeigen.de/s-anzeige/tabou-twister-twinser-100l-freestyle-surfboard/2881334590-230-19235", "Link")</f>
        <v/>
      </c>
      <c r="L33" s="6">
        <f>HYPERLINK("C:\Projects\Kleinanzeigen-Scraper\offer_images\2881334590", "Link")</f>
        <v/>
      </c>
      <c r="M33" t="inlineStr">
        <is>
          <t>AB</t>
        </is>
      </c>
      <c r="N33" s="6">
        <f>HYPERLINK("https://www.kleinanzeigen.de/s-bestandsliste.html?userId=7838379", "Link")</f>
        <v/>
      </c>
      <c r="O33" s="7" t="n">
        <v>45568.74774305556</v>
      </c>
      <c r="P33" s="3" t="inlineStr">
        <is>
          <t>419.22</t>
        </is>
      </c>
      <c r="Q33" t="inlineStr">
        <is>
          <t>Köln</t>
        </is>
      </c>
    </row>
    <row r="34">
      <c r="A34" t="inlineStr">
        <is>
          <t>10'4</t>
        </is>
      </c>
      <c r="B34" t="inlineStr">
        <is>
          <t>STX Cruiser</t>
        </is>
      </c>
      <c r="C34" t="inlineStr">
        <is>
          <t>Allrounder</t>
        </is>
      </c>
      <c r="D34" s="3" t="inlineStr"/>
      <c r="E34" t="inlineStr"/>
      <c r="F34" s="4" t="n">
        <v>380</v>
      </c>
      <c r="G34" t="inlineStr"/>
      <c r="H34" t="inlineStr">
        <is>
          <t>58730 Nordrhein-Westfalen - Fröndenberg (Ruhr)</t>
        </is>
      </c>
      <c r="I34" s="5" t="n">
        <v>45567</v>
      </c>
      <c r="J34" t="inlineStr"/>
      <c r="K34" s="6">
        <f>HYPERLINK("https://www.kleinanzeigen.de/s-anzeige/sup-windsurf-board-stx-10-4-cruiser/2880503917-230-1379", "Link")</f>
        <v/>
      </c>
      <c r="L34" s="6">
        <f>HYPERLINK("C:\Projects\Kleinanzeigen-Scraper\offer_images\2880503917", "Link")</f>
        <v/>
      </c>
      <c r="M34" t="inlineStr">
        <is>
          <t>Basti</t>
        </is>
      </c>
      <c r="N34" s="6">
        <f>HYPERLINK("https://www.kleinanzeigen.de/s-bestandsliste.html?userId=14639291", "Link")</f>
        <v/>
      </c>
      <c r="O34" s="7" t="n">
        <v>45568.74770833334</v>
      </c>
      <c r="P34" s="3" t="inlineStr">
        <is>
          <t>83.54</t>
        </is>
      </c>
      <c r="Q34" t="inlineStr">
        <is>
          <t>Köln</t>
        </is>
      </c>
    </row>
    <row r="35">
      <c r="A35" t="inlineStr">
        <is>
          <t>Dimensions not specified</t>
        </is>
      </c>
      <c r="B35" t="inlineStr">
        <is>
          <t>Tabou Rocket Wide LTD Edition</t>
        </is>
      </c>
      <c r="C35" t="inlineStr">
        <is>
          <t>Freeride</t>
        </is>
      </c>
      <c r="D35" s="3" t="n">
        <v>110</v>
      </c>
      <c r="E35" t="inlineStr"/>
      <c r="F35" s="4" t="n">
        <v>695</v>
      </c>
      <c r="G35" t="inlineStr"/>
      <c r="H35" t="inlineStr">
        <is>
          <t>23775 Kreis Ostholstein - Großenbrode</t>
        </is>
      </c>
      <c r="I35" s="5" t="n">
        <v>45568</v>
      </c>
      <c r="J35" t="inlineStr"/>
      <c r="K35" s="6">
        <f>HYPERLINK("https://www.kleinanzeigen.de/s-anzeige/tabou-rocket-wide-ltd-edition-110-neuwertig-/2880751656-230-429", "Link")</f>
        <v/>
      </c>
      <c r="L35" s="6">
        <f>HYPERLINK("C:\Projects\Kleinanzeigen-Scraper\offer_images\2880751656", "Link")</f>
        <v/>
      </c>
      <c r="M35" t="inlineStr">
        <is>
          <t>heiligenhafen</t>
        </is>
      </c>
      <c r="N35" s="6">
        <f>HYPERLINK("https://www.kleinanzeigen.de/s-bestandsliste.html?userId=21083285", "Link")</f>
        <v/>
      </c>
      <c r="O35" s="7" t="n">
        <v>45568.74740740741</v>
      </c>
      <c r="P35" s="3" t="inlineStr">
        <is>
          <t>471.97</t>
        </is>
      </c>
      <c r="Q35" t="inlineStr">
        <is>
          <t>Köln</t>
        </is>
      </c>
    </row>
    <row r="36">
      <c r="A36" t="inlineStr">
        <is>
          <t>107 L</t>
        </is>
      </c>
      <c r="B36" t="inlineStr">
        <is>
          <t>Tabou Twister</t>
        </is>
      </c>
      <c r="C36" t="inlineStr">
        <is>
          <t>Freestyle</t>
        </is>
      </c>
      <c r="D36" s="3" t="n">
        <v>107</v>
      </c>
      <c r="E36" t="inlineStr">
        <is>
          <t>2016</t>
        </is>
      </c>
      <c r="F36" s="4" t="n">
        <v>599</v>
      </c>
      <c r="G36" t="inlineStr"/>
      <c r="H36" t="inlineStr">
        <is>
          <t>18574 Garz/Rügen - Zudar</t>
        </is>
      </c>
      <c r="I36" s="5" t="n">
        <v>45567</v>
      </c>
      <c r="J36" t="inlineStr"/>
      <c r="K36" s="6">
        <f>HYPERLINK("https://www.kleinanzeigen.de/s-anzeige/tabou-twister-107-l-2016-sehr-guter-zustand-3-finnen-freestyle/2880564794-230-23996", "Link")</f>
        <v/>
      </c>
      <c r="L36" s="6">
        <f>HYPERLINK("C:\Projects\Kleinanzeigen-Scraper\offer_images\2880564794", "Link")</f>
        <v/>
      </c>
      <c r="M36" t="inlineStr">
        <is>
          <t>Patrick</t>
        </is>
      </c>
      <c r="N36" s="6">
        <f>HYPERLINK("https://www.kleinanzeigen.de/s-bestandsliste.html?userId=50697425", "Link")</f>
        <v/>
      </c>
      <c r="O36" s="7" t="n">
        <v>45568.74679398148</v>
      </c>
      <c r="P36" s="3" t="inlineStr">
        <is>
          <t>566.82</t>
        </is>
      </c>
      <c r="Q36" t="inlineStr">
        <is>
          <t>Köln</t>
        </is>
      </c>
    </row>
    <row r="37">
      <c r="A37" t="inlineStr">
        <is>
          <t>138x41</t>
        </is>
      </c>
      <c r="B37" t="inlineStr">
        <is>
          <t>North Prime</t>
        </is>
      </c>
      <c r="C37" t="inlineStr"/>
      <c r="D37" s="3" t="inlineStr"/>
      <c r="E37" t="inlineStr"/>
      <c r="F37" s="4" t="n">
        <v>299</v>
      </c>
      <c r="G37" t="inlineStr">
        <is>
          <t>VB</t>
        </is>
      </c>
      <c r="H37" t="inlineStr">
        <is>
          <t>18439 Mecklenburg-Vorpommern - Stralsund</t>
        </is>
      </c>
      <c r="I37" s="5" t="n">
        <v>45568</v>
      </c>
      <c r="J37" t="inlineStr"/>
      <c r="K37" s="6">
        <f>HYPERLINK("https://www.kleinanzeigen.de/s-anzeige/north-prime-138x41/2880734642-230-135", "Link")</f>
        <v/>
      </c>
      <c r="L37" s="6">
        <f>HYPERLINK("C:\Projects\Kleinanzeigen-Scraper\offer_images\2880734642", "Link")</f>
        <v/>
      </c>
      <c r="M37" t="inlineStr">
        <is>
          <t>Hannes Drabo</t>
        </is>
      </c>
      <c r="N37" s="6">
        <f>HYPERLINK("https://www.kleinanzeigen.de/s-bestandsliste.html?userId=131947808", "Link")</f>
        <v/>
      </c>
      <c r="O37" s="7" t="n">
        <v>45568.74664351852</v>
      </c>
      <c r="P37" s="3" t="inlineStr">
        <is>
          <t>557.94</t>
        </is>
      </c>
      <c r="Q37" t="inlineStr">
        <is>
          <t>Köln</t>
        </is>
      </c>
    </row>
    <row r="38">
      <c r="A38" t="inlineStr"/>
      <c r="B38" t="inlineStr">
        <is>
          <t>Goya Custom 3</t>
        </is>
      </c>
      <c r="C38" t="inlineStr">
        <is>
          <t>Wave</t>
        </is>
      </c>
      <c r="D38" s="3" t="n">
        <v>99</v>
      </c>
      <c r="E38" t="inlineStr">
        <is>
          <t>2019</t>
        </is>
      </c>
      <c r="F38" s="4" t="n">
        <v>750</v>
      </c>
      <c r="G38" t="inlineStr"/>
      <c r="H38" t="inlineStr">
        <is>
          <t>81543 München - Au-Haidhausen</t>
        </is>
      </c>
      <c r="I38" s="5" t="n">
        <v>45568</v>
      </c>
      <c r="J38" t="inlineStr"/>
      <c r="K38" s="6">
        <f>HYPERLINK("https://www.kleinanzeigen.de/s-anzeige/goya-custom-3-99l-2019-windsurf-waveboard/2880883272-230-16344", "Link")</f>
        <v/>
      </c>
      <c r="L38" s="6">
        <f>HYPERLINK("C:\Projects\Kleinanzeigen-Scraper\offer_images\2880883272", "Link")</f>
        <v/>
      </c>
      <c r="M38" t="inlineStr">
        <is>
          <t>Leif Mummenbrauer</t>
        </is>
      </c>
      <c r="N38" s="6">
        <f>HYPERLINK("https://www.kleinanzeigen.de/s-bestandsliste.html?userId=26219632", "Link")</f>
        <v/>
      </c>
      <c r="O38" s="7" t="n">
        <v>45568.74537037037</v>
      </c>
      <c r="P38" s="3" t="inlineStr">
        <is>
          <t>2.63</t>
        </is>
      </c>
      <c r="Q38" t="inlineStr">
        <is>
          <t>München</t>
        </is>
      </c>
    </row>
    <row r="39">
      <c r="A39" t="inlineStr">
        <is>
          <t>259cm x 74.9cm</t>
        </is>
      </c>
      <c r="B39" t="inlineStr">
        <is>
          <t>Fanatic Stubby LTD</t>
        </is>
      </c>
      <c r="C39" t="inlineStr">
        <is>
          <t>SUP</t>
        </is>
      </c>
      <c r="D39" s="3" t="n">
        <v>120</v>
      </c>
      <c r="E39" t="inlineStr"/>
      <c r="F39" s="4" t="n">
        <v>350</v>
      </c>
      <c r="G39" t="inlineStr"/>
      <c r="H39" t="inlineStr">
        <is>
          <t>38524 Niedersachsen - Sassenburg</t>
        </is>
      </c>
      <c r="I39" s="5" t="n">
        <v>45568</v>
      </c>
      <c r="J39" t="inlineStr"/>
      <c r="K39" s="6">
        <f>HYPERLINK("https://www.kleinanzeigen.de/s-anzeige/sup-fanatic-stubby-ltd-8-6-hardboard-/2881447840-230-2965", "Link")</f>
        <v/>
      </c>
      <c r="L39" s="6">
        <f>HYPERLINK("C:\Projects\Kleinanzeigen-Scraper\offer_images\2881447840", "Link")</f>
        <v/>
      </c>
      <c r="M39" t="inlineStr">
        <is>
          <t>Denes Lehmann</t>
        </is>
      </c>
      <c r="N39" s="6">
        <f>HYPERLINK("https://www.kleinanzeigen.de/s-bestandsliste.html?userId=6522392", "Link")</f>
        <v/>
      </c>
      <c r="O39" s="7" t="n">
        <v>45568.7453125</v>
      </c>
      <c r="P39" s="3" t="inlineStr">
        <is>
          <t>311.51</t>
        </is>
      </c>
      <c r="Q39" t="inlineStr">
        <is>
          <t>Köln</t>
        </is>
      </c>
    </row>
    <row r="40">
      <c r="A40" t="inlineStr">
        <is>
          <t>246x77.5</t>
        </is>
      </c>
      <c r="B40" t="inlineStr">
        <is>
          <t>Tabou Rocket</t>
        </is>
      </c>
      <c r="C40" t="inlineStr">
        <is>
          <t>Freeride</t>
        </is>
      </c>
      <c r="D40" s="3" t="n">
        <v>135</v>
      </c>
      <c r="E40" t="inlineStr"/>
      <c r="F40" s="4" t="n">
        <v>650</v>
      </c>
      <c r="G40" t="inlineStr"/>
      <c r="H40" t="inlineStr">
        <is>
          <t>26802 Niedersachsen - Moormerland</t>
        </is>
      </c>
      <c r="I40" s="5" t="n">
        <v>45568</v>
      </c>
      <c r="J40" t="inlineStr"/>
      <c r="K40" s="6">
        <f>HYPERLINK("https://www.kleinanzeigen.de/s-anzeige/tabou-rocket-135-ced/2881477616-230-2780", "Link")</f>
        <v/>
      </c>
      <c r="L40" s="6">
        <f>HYPERLINK("C:\Projects\Kleinanzeigen-Scraper\offer_images\2881477616", "Link")</f>
        <v/>
      </c>
      <c r="M40" t="inlineStr">
        <is>
          <t>M. Killisch</t>
        </is>
      </c>
      <c r="N40" s="6">
        <f>HYPERLINK("https://www.kleinanzeigen.de/s-bestandsliste.html?userId=12346868", "Link")</f>
        <v/>
      </c>
      <c r="O40" s="7" t="n">
        <v>45568.74511574074</v>
      </c>
      <c r="P40" s="3" t="inlineStr">
        <is>
          <t>265.85</t>
        </is>
      </c>
      <c r="Q40" t="inlineStr">
        <is>
          <t>Köln</t>
        </is>
      </c>
    </row>
    <row r="41">
      <c r="A41" t="inlineStr">
        <is>
          <t>250 cm</t>
        </is>
      </c>
      <c r="B41" t="inlineStr">
        <is>
          <t>F2 Sunset Ltd</t>
        </is>
      </c>
      <c r="C41" t="inlineStr">
        <is>
          <t>Freeride</t>
        </is>
      </c>
      <c r="D41" s="3" t="n">
        <v>104</v>
      </c>
      <c r="E41" t="inlineStr">
        <is>
          <t>2007</t>
        </is>
      </c>
      <c r="F41" s="4" t="n">
        <v>450</v>
      </c>
      <c r="G41" t="inlineStr"/>
      <c r="H41" t="inlineStr">
        <is>
          <t>22609 Hamburg</t>
        </is>
      </c>
      <c r="I41" s="5" t="n">
        <v>45567</v>
      </c>
      <c r="J41" t="inlineStr"/>
      <c r="K41" s="6">
        <f>HYPERLINK("https://www.dailydose.de/kleinanzeigen/detail.htm?ai=423521&amp;cf=kk&amp;pg=1&amp;ci=11", "Link")</f>
        <v/>
      </c>
      <c r="L41" s="6">
        <f>HYPERLINK("C:\Projects\Kleinanzeigen-Scraper\offer_images\423521", "Link")</f>
        <v/>
      </c>
      <c r="M41" t="inlineStr">
        <is>
          <t>bassocontino</t>
        </is>
      </c>
      <c r="N41" s="6">
        <f>HYPERLINK("https://www.dailydose.de/kleinanzeigen/user/26475", "Link")</f>
        <v/>
      </c>
      <c r="O41" s="7" t="n">
        <v>45567.75460648148</v>
      </c>
      <c r="P41" s="3" t="inlineStr">
        <is>
          <t>351.06</t>
        </is>
      </c>
      <c r="Q41" t="inlineStr">
        <is>
          <t>Köln</t>
        </is>
      </c>
    </row>
    <row r="42">
      <c r="A42" t="inlineStr">
        <is>
          <t>247x70 cm</t>
        </is>
      </c>
      <c r="B42" t="inlineStr">
        <is>
          <t>Fanatic Shark 125</t>
        </is>
      </c>
      <c r="C42" t="inlineStr">
        <is>
          <t>FreeRide</t>
        </is>
      </c>
      <c r="D42" s="3" t="n">
        <v>125</v>
      </c>
      <c r="E42" t="inlineStr"/>
      <c r="F42" s="4" t="n">
        <v>450</v>
      </c>
      <c r="G42" t="inlineStr"/>
      <c r="H42" t="inlineStr">
        <is>
          <t>12527 Berlin - Köpenick</t>
        </is>
      </c>
      <c r="I42" s="5" t="n">
        <v>45567</v>
      </c>
      <c r="J42" t="inlineStr"/>
      <c r="K42" s="6">
        <f>HYPERLINK("https://www.kleinanzeigen.de/s-anzeige/fanatic-shark-125-freeride-surfbrett-surfausruestung-surfmaterial/2880215035-230-3370", "Link")</f>
        <v/>
      </c>
      <c r="L42" s="6">
        <f>HYPERLINK("C:\Projects\Kleinanzeigen-Scraper\offer_images\2880215035", "Link")</f>
        <v/>
      </c>
      <c r="M42" t="inlineStr">
        <is>
          <t>stg</t>
        </is>
      </c>
      <c r="N42" s="6">
        <f>HYPERLINK("https://www.kleinanzeigen.de/s-bestandsliste.html?userId=8377", "Link")</f>
        <v/>
      </c>
      <c r="O42" s="7" t="n">
        <v>45567.75329861111</v>
      </c>
      <c r="P42" s="3" t="inlineStr">
        <is>
          <t>487.71</t>
        </is>
      </c>
      <c r="Q42" t="inlineStr">
        <is>
          <t>Köln</t>
        </is>
      </c>
    </row>
    <row r="43">
      <c r="A43" t="inlineStr">
        <is>
          <t>Length: 238 cm, Width: 80 cm</t>
        </is>
      </c>
      <c r="B43" t="inlineStr">
        <is>
          <t>JP Magic Ride</t>
        </is>
      </c>
      <c r="C43" t="inlineStr">
        <is>
          <t>Freeride</t>
        </is>
      </c>
      <c r="D43" s="3" t="n">
        <v>139</v>
      </c>
      <c r="E43" t="inlineStr">
        <is>
          <t>2 years old</t>
        </is>
      </c>
      <c r="F43" s="4" t="n">
        <v>700</v>
      </c>
      <c r="G43" t="inlineStr">
        <is>
          <t>VB</t>
        </is>
      </c>
      <c r="H43" t="inlineStr">
        <is>
          <t>38640 Niedersachsen - Goslar</t>
        </is>
      </c>
      <c r="I43" s="5" t="n">
        <v>45566</v>
      </c>
      <c r="J43" t="inlineStr"/>
      <c r="K43" s="6">
        <f>HYPERLINK("https://www.kleinanzeigen.de/s-anzeige/windsurf-board-jp-magic-ride-139/2879781092-230-2694", "Link")</f>
        <v/>
      </c>
      <c r="L43" s="6">
        <f>HYPERLINK("C:\Projects\Kleinanzeigen-Scraper\offer_images\2879781092", "Link")</f>
        <v/>
      </c>
      <c r="M43" t="inlineStr">
        <is>
          <t>Andreas Melcher</t>
        </is>
      </c>
      <c r="N43" s="6">
        <f>HYPERLINK("https://www.kleinanzeigen.de/s-bestandsliste.html?userId=8437548", "Link")</f>
        <v/>
      </c>
      <c r="O43" s="7" t="n">
        <v>45567.75158564815</v>
      </c>
      <c r="P43" s="3" t="inlineStr">
        <is>
          <t>264.65</t>
        </is>
      </c>
      <c r="Q43" t="inlineStr">
        <is>
          <t>Köln</t>
        </is>
      </c>
    </row>
    <row r="44">
      <c r="A44" t="inlineStr">
        <is>
          <t>235cm x 60cm</t>
        </is>
      </c>
      <c r="B44" t="inlineStr">
        <is>
          <t>RRD Twin Wave</t>
        </is>
      </c>
      <c r="C44" t="inlineStr">
        <is>
          <t>Wave</t>
        </is>
      </c>
      <c r="D44" s="3" t="n">
        <v>90</v>
      </c>
      <c r="E44" t="inlineStr"/>
      <c r="F44" s="4" t="n">
        <v>222</v>
      </c>
      <c r="G44" t="inlineStr">
        <is>
          <t>VB</t>
        </is>
      </c>
      <c r="H44" t="inlineStr">
        <is>
          <t>21629 Niedersachsen - Neu Wulmstorf</t>
        </is>
      </c>
      <c r="I44" s="5" t="n">
        <v>45567</v>
      </c>
      <c r="J44" t="inlineStr"/>
      <c r="K44" s="6">
        <f>HYPERLINK("https://www.kleinanzeigen.de/s-anzeige/rrd-twin-wave-board-windsurfen-guter-zustand/2880181787-230-2807", "Link")</f>
        <v/>
      </c>
      <c r="L44" s="6">
        <f>HYPERLINK("C:\Projects\Kleinanzeigen-Scraper\offer_images\2880181787", "Link")</f>
        <v/>
      </c>
      <c r="M44" t="inlineStr">
        <is>
          <t>Familie Rahlf</t>
        </is>
      </c>
      <c r="N44" s="6">
        <f>HYPERLINK("https://www.kleinanzeigen.de/s-bestandsliste.html?userId=16189628", "Link")</f>
        <v/>
      </c>
      <c r="O44" s="7" t="n">
        <v>45567.75115740741</v>
      </c>
      <c r="P44" s="3" t="inlineStr">
        <is>
          <t>339.04</t>
        </is>
      </c>
      <c r="Q44" t="inlineStr">
        <is>
          <t>Köln</t>
        </is>
      </c>
    </row>
    <row r="45">
      <c r="A45" t="inlineStr">
        <is>
          <t>239 x 52.5</t>
        </is>
      </c>
      <c r="B45" t="inlineStr">
        <is>
          <t>Tabou Da Curve</t>
        </is>
      </c>
      <c r="C45" t="inlineStr">
        <is>
          <t>Wave</t>
        </is>
      </c>
      <c r="D45" s="3" t="n">
        <v>73</v>
      </c>
      <c r="E45" t="inlineStr"/>
      <c r="F45" s="4" t="n">
        <v>180</v>
      </c>
      <c r="G45" t="inlineStr"/>
      <c r="H45" t="inlineStr">
        <is>
          <t>12527 Berlin - Köpenick</t>
        </is>
      </c>
      <c r="I45" s="5" t="n">
        <v>45567</v>
      </c>
      <c r="J45" t="inlineStr"/>
      <c r="K45" s="6">
        <f>HYPERLINK("https://www.kleinanzeigen.de/s-anzeige/tabou-da-curve-73-carbon-kevlar-neu-surfbrett-surfausruestung/2880222414-230-3370", "Link")</f>
        <v/>
      </c>
      <c r="L45" s="6">
        <f>HYPERLINK("C:\Projects\Kleinanzeigen-Scraper\offer_images\2880222414", "Link")</f>
        <v/>
      </c>
      <c r="M45" t="inlineStr">
        <is>
          <t>stg</t>
        </is>
      </c>
      <c r="N45" s="6">
        <f>HYPERLINK("https://www.kleinanzeigen.de/s-bestandsliste.html?userId=8377", "Link")</f>
        <v/>
      </c>
      <c r="O45" s="7" t="n">
        <v>45567.75069444445</v>
      </c>
      <c r="P45" s="3" t="inlineStr">
        <is>
          <t>487.71</t>
        </is>
      </c>
      <c r="Q45" t="inlineStr">
        <is>
          <t>Köln</t>
        </is>
      </c>
    </row>
    <row r="46">
      <c r="A46" t="inlineStr"/>
      <c r="B46" t="inlineStr">
        <is>
          <t>Naish</t>
        </is>
      </c>
      <c r="C46" t="inlineStr"/>
      <c r="D46" s="3" t="n">
        <v>120</v>
      </c>
      <c r="E46" t="inlineStr"/>
      <c r="F46" s="4" t="n">
        <v>60</v>
      </c>
      <c r="G46" t="inlineStr"/>
      <c r="H46" t="inlineStr">
        <is>
          <t>54338 Rheinland-Pfalz - Schweich</t>
        </is>
      </c>
      <c r="I46" s="5" t="n">
        <v>45567</v>
      </c>
      <c r="J46" t="inlineStr"/>
      <c r="K46" s="6">
        <f>HYPERLINK("https://www.kleinanzeigen.de/s-anzeige/surfboard-naish/2880215332-230-5456", "Link")</f>
        <v/>
      </c>
      <c r="L46" s="6">
        <f>HYPERLINK("C:\Projects\Kleinanzeigen-Scraper\offer_images\2880215332", "Link")</f>
        <v/>
      </c>
      <c r="M46" t="inlineStr">
        <is>
          <t>Herr Forster</t>
        </is>
      </c>
      <c r="N46" s="6">
        <f>HYPERLINK("https://www.kleinanzeigen.de/s-bestandsliste.html?userId=24866302", "Link")</f>
        <v/>
      </c>
      <c r="O46" s="7" t="n">
        <v>45567.74947916667</v>
      </c>
      <c r="P46" s="3" t="inlineStr">
        <is>
          <t>123.84</t>
        </is>
      </c>
      <c r="Q46" t="inlineStr">
        <is>
          <t>Köln</t>
        </is>
      </c>
    </row>
    <row r="47">
      <c r="A47" t="inlineStr">
        <is>
          <t>260 cm x 71 cm</t>
        </is>
      </c>
      <c r="B47" t="inlineStr">
        <is>
          <t>Jp Australia</t>
        </is>
      </c>
      <c r="C47" t="inlineStr">
        <is>
          <t>Free Race</t>
        </is>
      </c>
      <c r="D47" s="3" t="n">
        <v>127</v>
      </c>
      <c r="E47" t="inlineStr"/>
      <c r="F47" s="4" t="n">
        <v>270</v>
      </c>
      <c r="G47" t="inlineStr"/>
      <c r="H47" t="inlineStr">
        <is>
          <t>86919 Bayern - Utting</t>
        </is>
      </c>
      <c r="I47" s="5" t="n">
        <v>45566</v>
      </c>
      <c r="J47" t="inlineStr"/>
      <c r="K47" s="6">
        <f>HYPERLINK("https://www.kleinanzeigen.de/s-anzeige/windsurf-board-jp-australia/2879132290-230-7094", "Link")</f>
        <v/>
      </c>
      <c r="L47" s="6">
        <f>HYPERLINK("C:\Projects\Kleinanzeigen-Scraper\offer_images\2879132290", "Link")</f>
        <v/>
      </c>
      <c r="M47" t="inlineStr">
        <is>
          <t>Roland</t>
        </is>
      </c>
      <c r="N47" s="6">
        <f>HYPERLINK("https://www.kleinanzeigen.de/s-bestandsliste.html?userId=18411214", "Link")</f>
        <v/>
      </c>
      <c r="O47" s="7" t="n">
        <v>45567.74916666667</v>
      </c>
      <c r="P47" s="3" t="inlineStr">
        <is>
          <t>39.93</t>
        </is>
      </c>
      <c r="Q47" t="inlineStr">
        <is>
          <t>München</t>
        </is>
      </c>
    </row>
    <row r="48">
      <c r="A48" t="inlineStr">
        <is>
          <t>135 l</t>
        </is>
      </c>
      <c r="B48" t="inlineStr">
        <is>
          <t>JP</t>
        </is>
      </c>
      <c r="C48" t="inlineStr">
        <is>
          <t>Foilboard</t>
        </is>
      </c>
      <c r="D48" s="3" t="n">
        <v>135</v>
      </c>
      <c r="E48" t="inlineStr"/>
      <c r="F48" s="4" t="n">
        <v>750</v>
      </c>
      <c r="G48" t="inlineStr"/>
      <c r="H48" t="inlineStr">
        <is>
          <t>81925 München - Bogenhausen</t>
        </is>
      </c>
      <c r="I48" s="5" t="n">
        <v>45567</v>
      </c>
      <c r="J48" t="inlineStr"/>
      <c r="K48" s="6">
        <f>HYPERLINK("https://www.kleinanzeigen.de/s-anzeige/jp-foilboard-135-l-mit-starboard-foil-85-alumast-1015-cm-fuselage/2880453451-230-6528", "Link")</f>
        <v/>
      </c>
      <c r="L48" s="6">
        <f>HYPERLINK("C:\Projects\Kleinanzeigen-Scraper\offer_images\2880453451", "Link")</f>
        <v/>
      </c>
      <c r="M48" t="inlineStr">
        <is>
          <t>Hanno</t>
        </is>
      </c>
      <c r="N48" s="6">
        <f>HYPERLINK("https://www.kleinanzeigen.de/s-bestandsliste.html?userId=27475336", "Link")</f>
        <v/>
      </c>
      <c r="O48" s="7" t="n">
        <v>45567.74878472222</v>
      </c>
      <c r="P48" s="3" t="inlineStr">
        <is>
          <t>4.67</t>
        </is>
      </c>
      <c r="Q48" t="inlineStr">
        <is>
          <t>München</t>
        </is>
      </c>
    </row>
    <row r="49">
      <c r="A49" t="inlineStr">
        <is>
          <t>236 cm x 85 cm</t>
        </is>
      </c>
      <c r="B49" t="inlineStr">
        <is>
          <t>RRD Firemove 130 Wood</t>
        </is>
      </c>
      <c r="C49" t="inlineStr">
        <is>
          <t>Freeride</t>
        </is>
      </c>
      <c r="D49" s="3" t="n">
        <v>130</v>
      </c>
      <c r="E49" t="inlineStr"/>
      <c r="F49" s="4" t="n">
        <v>555</v>
      </c>
      <c r="G49" t="inlineStr">
        <is>
          <t>VB</t>
        </is>
      </c>
      <c r="H49" t="inlineStr">
        <is>
          <t>23909 Herzogtum Lauenburg - Ratzeburg</t>
        </is>
      </c>
      <c r="I49" s="5" t="n">
        <v>45567</v>
      </c>
      <c r="J49" t="inlineStr"/>
      <c r="K49" s="6">
        <f>HYPERLINK("https://www.kleinanzeigen.de/s-anzeige/rrd-firemove-130-wood-freerider-mit-130-l/2880460308-230-811", "Link")</f>
        <v/>
      </c>
      <c r="L49" s="6">
        <f>HYPERLINK("C:\Projects\Kleinanzeigen-Scraper\offer_images\2880460308", "Link")</f>
        <v/>
      </c>
      <c r="M49" t="inlineStr">
        <is>
          <t>Silvia S.</t>
        </is>
      </c>
      <c r="N49" s="6">
        <f>HYPERLINK("https://www.kleinanzeigen.de/s-bestandsliste.html?userId=86555296", "Link")</f>
        <v/>
      </c>
      <c r="O49" s="7" t="n">
        <v>45567.74854166667</v>
      </c>
      <c r="P49" s="3" t="inlineStr">
        <is>
          <t>401.75</t>
        </is>
      </c>
      <c r="Q49" t="inlineStr">
        <is>
          <t>Köln</t>
        </is>
      </c>
    </row>
    <row r="50">
      <c r="A50" t="inlineStr">
        <is>
          <t>380cm x 75.6cm x 17cm</t>
        </is>
      </c>
      <c r="B50" t="inlineStr">
        <is>
          <t>Naish Glide GTW Touring</t>
        </is>
      </c>
      <c r="C50" t="inlineStr">
        <is>
          <t>Touring</t>
        </is>
      </c>
      <c r="D50" s="3" t="n">
        <v>260</v>
      </c>
      <c r="E50" t="inlineStr"/>
      <c r="F50" s="4" t="n">
        <v>950</v>
      </c>
      <c r="G50" t="inlineStr">
        <is>
          <t>VB</t>
        </is>
      </c>
      <c r="H50" t="inlineStr">
        <is>
          <t>82418 Bayern - Murnau am Staffelsee</t>
        </is>
      </c>
      <c r="I50" s="5" t="n">
        <v>45567</v>
      </c>
      <c r="J50" t="inlineStr"/>
      <c r="K50" s="6">
        <f>HYPERLINK("https://www.kleinanzeigen.de/s-anzeige/naish-glide-gtw-touring-12-6-hardboard-sup-bamboo-guter-zustand/2880016095-230-10648", "Link")</f>
        <v/>
      </c>
      <c r="L50" s="6">
        <f>HYPERLINK("C:\Projects\Kleinanzeigen-Scraper\offer_images\2880016095", "Link")</f>
        <v/>
      </c>
      <c r="M50" t="inlineStr">
        <is>
          <t>Michael</t>
        </is>
      </c>
      <c r="N50" s="6">
        <f>HYPERLINK("https://www.kleinanzeigen.de/s-bestandsliste.html?userId=14242997", "Link")</f>
        <v/>
      </c>
      <c r="O50" s="7" t="n">
        <v>45567.7481712963</v>
      </c>
      <c r="P50" s="3" t="inlineStr">
        <is>
          <t>57.83</t>
        </is>
      </c>
      <c r="Q50" t="inlineStr">
        <is>
          <t>München</t>
        </is>
      </c>
    </row>
    <row r="51">
      <c r="A51" t="inlineStr"/>
      <c r="B51" t="inlineStr">
        <is>
          <t>JP Australia</t>
        </is>
      </c>
      <c r="C51" t="inlineStr">
        <is>
          <t>Slalom</t>
        </is>
      </c>
      <c r="D51" s="3" t="inlineStr"/>
      <c r="E51" t="inlineStr"/>
      <c r="F51" s="4" t="n">
        <v>850</v>
      </c>
      <c r="G51" t="inlineStr">
        <is>
          <t>VB</t>
        </is>
      </c>
      <c r="H51" t="inlineStr">
        <is>
          <t>24222 Schleswig-Holstein - Schwentinental</t>
        </is>
      </c>
      <c r="I51" s="5" t="n">
        <v>45567</v>
      </c>
      <c r="J51" t="inlineStr"/>
      <c r="K51" s="6">
        <f>HYPERLINK("https://www.kleinanzeigen.de/s-anzeige/jp-australia-slalom-62-5-windsurf-board-surfbrett/2880376918-230-13377", "Link")</f>
        <v/>
      </c>
      <c r="L51" s="6">
        <f>HYPERLINK("C:\Projects\Kleinanzeigen-Scraper\offer_images\2880376918", "Link")</f>
        <v/>
      </c>
      <c r="M51" t="inlineStr">
        <is>
          <t>Moritz</t>
        </is>
      </c>
      <c r="N51" s="6">
        <f>HYPERLINK("https://www.kleinanzeigen.de/s-bestandsliste.html?userId=10680857", "Link")</f>
        <v/>
      </c>
      <c r="O51" s="7" t="n">
        <v>45567.74748842593</v>
      </c>
      <c r="P51" s="3" t="inlineStr">
        <is>
          <t>433.89</t>
        </is>
      </c>
      <c r="Q51" t="inlineStr">
        <is>
          <t>Köln</t>
        </is>
      </c>
    </row>
    <row r="52">
      <c r="A52" t="inlineStr">
        <is>
          <t>222 cm x 51 cm / 209 cm x 55 cm</t>
        </is>
      </c>
      <c r="B52" t="inlineStr">
        <is>
          <t>Lorch Platinum-Custom-Waveboard</t>
        </is>
      </c>
      <c r="C52" t="inlineStr">
        <is>
          <t>Wave</t>
        </is>
      </c>
      <c r="D52" s="3" t="n">
        <v>75</v>
      </c>
      <c r="E52" t="inlineStr"/>
      <c r="F52" s="4" t="n">
        <v>650</v>
      </c>
      <c r="G52" t="inlineStr">
        <is>
          <t>VB</t>
        </is>
      </c>
      <c r="H52" t="inlineStr">
        <is>
          <t>20255 Hamburg</t>
        </is>
      </c>
      <c r="I52" s="5" t="n">
        <v>45565</v>
      </c>
      <c r="J52" t="inlineStr"/>
      <c r="K52" s="6">
        <f>HYPERLINK("https://www.dailydose.de/kleinanzeigen/detail.htm?ai=423444&amp;cf=kk&amp;pg=1&amp;ci=11", "Link")</f>
        <v/>
      </c>
      <c r="L52" s="6">
        <f>HYPERLINK("C:\Projects\Kleinanzeigen-Scraper\offer_images\423444", "Link")</f>
        <v/>
      </c>
      <c r="M52" t="inlineStr">
        <is>
          <t>c.sch.</t>
        </is>
      </c>
      <c r="N52" s="6">
        <f>HYPERLINK("https://www.dailydose.de/kleinanzeigen/user/20857", "Link")</f>
        <v/>
      </c>
      <c r="O52" s="7" t="n">
        <v>45566.74491898148</v>
      </c>
      <c r="P52" s="3" t="inlineStr">
        <is>
          <t>357.52</t>
        </is>
      </c>
      <c r="Q52" t="inlineStr">
        <is>
          <t>Köln</t>
        </is>
      </c>
    </row>
    <row r="53">
      <c r="A53" t="inlineStr">
        <is>
          <t>380 cm</t>
        </is>
      </c>
      <c r="B53" t="inlineStr">
        <is>
          <t>EXOCET RS</t>
        </is>
      </c>
      <c r="C53" t="inlineStr">
        <is>
          <t>Raceboard</t>
        </is>
      </c>
      <c r="D53" s="3" t="inlineStr"/>
      <c r="E53" t="inlineStr"/>
      <c r="F53" s="4" t="n">
        <v>1400</v>
      </c>
      <c r="G53" t="inlineStr"/>
      <c r="H53" t="inlineStr">
        <is>
          <t>21037 Hamburg</t>
        </is>
      </c>
      <c r="I53" s="5" t="n">
        <v>45566</v>
      </c>
      <c r="J53" t="inlineStr"/>
      <c r="K53" s="6">
        <f>HYPERLINK("https://www.dailydose.de/kleinanzeigen/detail.htm?ai=423502&amp;cf=kk&amp;pg=1&amp;ci=11", "Link")</f>
        <v/>
      </c>
      <c r="L53" s="6">
        <f>HYPERLINK("C:\Projects\Kleinanzeigen-Scraper\offer_images\423502", "Link")</f>
        <v/>
      </c>
      <c r="M53" t="inlineStr">
        <is>
          <t>R. Frohb</t>
        </is>
      </c>
      <c r="N53" s="6">
        <f>HYPERLINK("https://www.dailydose.de/kleinanzeigen/user/19450", "Link")</f>
        <v/>
      </c>
      <c r="O53" s="7" t="n">
        <v>45566.74460648148</v>
      </c>
      <c r="P53" s="3" t="inlineStr">
        <is>
          <t>354.05</t>
        </is>
      </c>
      <c r="Q53" t="inlineStr">
        <is>
          <t>Köln</t>
        </is>
      </c>
    </row>
    <row r="54">
      <c r="A54" t="inlineStr">
        <is>
          <t>228 x 11.6 x 83</t>
        </is>
      </c>
      <c r="B54" t="inlineStr">
        <is>
          <t>Starboard iSonic 83 Carbon Reflex</t>
        </is>
      </c>
      <c r="C54" t="inlineStr">
        <is>
          <t>Freeride</t>
        </is>
      </c>
      <c r="D54" s="3" t="n">
        <v>138</v>
      </c>
      <c r="E54" t="inlineStr">
        <is>
          <t>2020</t>
        </is>
      </c>
      <c r="F54" s="4" t="n">
        <v>460</v>
      </c>
      <c r="G54" t="inlineStr"/>
      <c r="H54" t="inlineStr">
        <is>
          <t>9000 St.Gallen</t>
        </is>
      </c>
      <c r="I54" s="5" t="n">
        <v>45566</v>
      </c>
      <c r="J54" t="inlineStr"/>
      <c r="K54" s="6">
        <f>HYPERLINK("https://www.dailydose.de/kleinanzeigen/detail.htm?ai=423464&amp;cf=kk&amp;pg=1&amp;ci=11", "Link")</f>
        <v/>
      </c>
      <c r="L54" s="6">
        <f>HYPERLINK("C:\Projects\Kleinanzeigen-Scraper\offer_images\423464", "Link")</f>
        <v/>
      </c>
      <c r="M54" t="inlineStr">
        <is>
          <t>joernsen</t>
        </is>
      </c>
      <c r="N54" s="6">
        <f>HYPERLINK("https://www.dailydose.de/kleinanzeigen/user/26213", "Link")</f>
        <v/>
      </c>
      <c r="O54" s="7" t="n">
        <v>45566.74440972223</v>
      </c>
      <c r="P54" s="3" t="inlineStr">
        <is>
          <t>705.26</t>
        </is>
      </c>
      <c r="Q54" t="inlineStr">
        <is>
          <t>Köln</t>
        </is>
      </c>
    </row>
    <row r="55">
      <c r="A55" t="inlineStr"/>
      <c r="B55" t="inlineStr">
        <is>
          <t>Lorch Breeze Blackline</t>
        </is>
      </c>
      <c r="C55" t="inlineStr">
        <is>
          <t>Freeride</t>
        </is>
      </c>
      <c r="D55" s="3" t="n">
        <v>145</v>
      </c>
      <c r="E55" t="inlineStr">
        <is>
          <t>2020</t>
        </is>
      </c>
      <c r="F55" s="4" t="n">
        <v>1390</v>
      </c>
      <c r="G55" t="inlineStr"/>
      <c r="H55" t="inlineStr">
        <is>
          <t>46499 Hamminkeln</t>
        </is>
      </c>
      <c r="I55" s="5" t="n">
        <v>45566</v>
      </c>
      <c r="J55" t="inlineStr"/>
      <c r="K55" s="6">
        <f>HYPERLINK("https://www.dailydose.de/kleinanzeigen/detail.htm?ai=423454&amp;cf=kk&amp;pg=1&amp;ci=11", "Link")</f>
        <v/>
      </c>
      <c r="L55" s="6">
        <f>HYPERLINK("C:\Projects\Kleinanzeigen-Scraper\offer_images\423454", "Link")</f>
        <v/>
      </c>
      <c r="M55" t="inlineStr">
        <is>
          <t>G Becker</t>
        </is>
      </c>
      <c r="N55" s="6">
        <f>HYPERLINK("https://www.dailydose.de/kleinanzeigen/user/8994", "Link")</f>
        <v/>
      </c>
      <c r="O55" s="7" t="n">
        <v>45566.7433912037</v>
      </c>
      <c r="P55" s="3" t="inlineStr">
        <is>
          <t>90.67</t>
        </is>
      </c>
      <c r="Q55" t="inlineStr">
        <is>
          <t>Köln</t>
        </is>
      </c>
    </row>
    <row r="56">
      <c r="A56" t="inlineStr">
        <is>
          <t>233 cm x 63 cm</t>
        </is>
      </c>
      <c r="B56" t="inlineStr">
        <is>
          <t>JP</t>
        </is>
      </c>
      <c r="C56" t="inlineStr">
        <is>
          <t>Freestyle Wave</t>
        </is>
      </c>
      <c r="D56" s="3" t="n">
        <v>104</v>
      </c>
      <c r="E56" t="inlineStr">
        <is>
          <t>2023</t>
        </is>
      </c>
      <c r="F56" s="4" t="n">
        <v>950</v>
      </c>
      <c r="G56" t="inlineStr"/>
      <c r="H56" t="inlineStr">
        <is>
          <t>18528 Rügen</t>
        </is>
      </c>
      <c r="I56" s="5" t="n">
        <v>45566</v>
      </c>
      <c r="J56" t="inlineStr"/>
      <c r="K56" s="6">
        <f>HYPERLINK("https://www.dailydose.de/kleinanzeigen/detail.htm?ai=423495&amp;cf=kk&amp;pg=1&amp;ci=11", "Link")</f>
        <v/>
      </c>
      <c r="L56" s="6">
        <f>HYPERLINK("C:\Projects\Kleinanzeigen-Scraper\offer_images\423495", "Link")</f>
        <v/>
      </c>
      <c r="M56" t="inlineStr">
        <is>
          <t>Manfred ltgtlt</t>
        </is>
      </c>
      <c r="N56" s="6">
        <f>HYPERLINK("https://www.dailydose.de/kleinanzeigen/user/5036", "Link")</f>
        <v/>
      </c>
      <c r="O56" s="7" t="n">
        <v>45566.74256944445</v>
      </c>
      <c r="P56" s="3" t="inlineStr">
        <is>
          <t>582.28</t>
        </is>
      </c>
      <c r="Q56" t="inlineStr">
        <is>
          <t>Köln</t>
        </is>
      </c>
    </row>
    <row r="57">
      <c r="A57" t="inlineStr"/>
      <c r="B57" t="inlineStr">
        <is>
          <t>JP</t>
        </is>
      </c>
      <c r="C57" t="inlineStr">
        <is>
          <t>Wave</t>
        </is>
      </c>
      <c r="D57" s="3" t="n">
        <v>89</v>
      </c>
      <c r="E57" t="inlineStr">
        <is>
          <t>2021</t>
        </is>
      </c>
      <c r="F57" s="4" t="n">
        <v>550</v>
      </c>
      <c r="G57" t="inlineStr">
        <is>
          <t>VB</t>
        </is>
      </c>
      <c r="H57" t="inlineStr">
        <is>
          <t>24939 Flensburg</t>
        </is>
      </c>
      <c r="I57" s="5" t="n">
        <v>45566</v>
      </c>
      <c r="J57" t="inlineStr"/>
      <c r="K57" s="6">
        <f>HYPERLINK("https://www.dailydose.de/kleinanzeigen/detail.htm?ai=423458&amp;cf=kk&amp;pg=1&amp;ci=11", "Link")</f>
        <v/>
      </c>
      <c r="L57" s="6">
        <f>HYPERLINK("C:\Projects\Kleinanzeigen-Scraper\offer_images\423458", "Link")</f>
        <v/>
      </c>
      <c r="M57" t="inlineStr">
        <is>
          <t>bjarnea</t>
        </is>
      </c>
      <c r="N57" s="6">
        <f>HYPERLINK("https://www.dailydose.de/kleinanzeigen/user/4902", "Link")</f>
        <v/>
      </c>
      <c r="O57" s="7" t="n">
        <v>45566.7425</v>
      </c>
      <c r="P57" s="3" t="inlineStr">
        <is>
          <t>460.36</t>
        </is>
      </c>
      <c r="Q57" t="inlineStr">
        <is>
          <t>Köln</t>
        </is>
      </c>
    </row>
    <row r="58">
      <c r="A58" t="inlineStr"/>
      <c r="B58" t="inlineStr">
        <is>
          <t>Quatro Pyramid</t>
        </is>
      </c>
      <c r="C58" t="inlineStr">
        <is>
          <t>Freestyle</t>
        </is>
      </c>
      <c r="D58" s="3" t="n">
        <v>77</v>
      </c>
      <c r="E58" t="inlineStr"/>
      <c r="F58" s="4" t="n">
        <v>950</v>
      </c>
      <c r="G58" t="inlineStr"/>
      <c r="H58" t="inlineStr">
        <is>
          <t>22305 Hamburg</t>
        </is>
      </c>
      <c r="I58" s="5" t="n">
        <v>45566</v>
      </c>
      <c r="J58" t="inlineStr"/>
      <c r="K58" s="6">
        <f>HYPERLINK("https://www.dailydose.de/kleinanzeigen/detail.htm?ai=423456&amp;cf=kk&amp;pg=1&amp;ci=11", "Link")</f>
        <v/>
      </c>
      <c r="L58" s="6">
        <f>HYPERLINK("C:\Projects\Kleinanzeigen-Scraper\offer_images\423456", "Link")</f>
        <v/>
      </c>
      <c r="M58" t="inlineStr">
        <is>
          <t>Andreas_58</t>
        </is>
      </c>
      <c r="N58" s="6">
        <f>HYPERLINK("https://www.dailydose.de/kleinanzeigen/user/9820", "Link")</f>
        <v/>
      </c>
      <c r="O58" s="7" t="n">
        <v>45566.74150462963</v>
      </c>
      <c r="P58" s="3" t="inlineStr">
        <is>
          <t>362.38</t>
        </is>
      </c>
      <c r="Q58" t="inlineStr">
        <is>
          <t>Köln</t>
        </is>
      </c>
    </row>
    <row r="59">
      <c r="A59" t="inlineStr">
        <is>
          <t>258 cm x 76 cm</t>
        </is>
      </c>
      <c r="B59" t="inlineStr">
        <is>
          <t>JP Xcite Ride</t>
        </is>
      </c>
      <c r="C59" t="inlineStr">
        <is>
          <t>Freeride</t>
        </is>
      </c>
      <c r="D59" s="3" t="n">
        <v>145</v>
      </c>
      <c r="E59" t="inlineStr"/>
      <c r="F59" s="4" t="n">
        <v>475</v>
      </c>
      <c r="G59" t="inlineStr">
        <is>
          <t>VB</t>
        </is>
      </c>
      <c r="H59" t="inlineStr">
        <is>
          <t>23909 Ratzeburg</t>
        </is>
      </c>
      <c r="I59" s="5" t="n">
        <v>45566</v>
      </c>
      <c r="J59" t="inlineStr"/>
      <c r="K59" s="6">
        <f>HYPERLINK("https://www.dailydose.de/kleinanzeigen/detail.htm?ai=423480&amp;cf=kk&amp;pg=1&amp;ci=11", "Link")</f>
        <v/>
      </c>
      <c r="L59" s="6">
        <f>HYPERLINK("C:\Projects\Kleinanzeigen-Scraper\offer_images\423480", "Link")</f>
        <v/>
      </c>
      <c r="M59" t="inlineStr">
        <is>
          <t>Insider</t>
        </is>
      </c>
      <c r="N59" s="6">
        <f>HYPERLINK("https://www.dailydose.de/kleinanzeigen/user/20603", "Link")</f>
        <v/>
      </c>
      <c r="O59" s="7" t="n">
        <v>45566.74109953704</v>
      </c>
      <c r="P59" s="3" t="inlineStr">
        <is>
          <t>401.75</t>
        </is>
      </c>
      <c r="Q59" t="inlineStr">
        <is>
          <t>Köln</t>
        </is>
      </c>
    </row>
    <row r="60">
      <c r="A60" t="inlineStr">
        <is>
          <t>Dimensions not specified</t>
        </is>
      </c>
      <c r="B60" t="inlineStr">
        <is>
          <t>Fanatic Diamond Pure Light</t>
        </is>
      </c>
      <c r="C60" t="inlineStr">
        <is>
          <t>Allrounder</t>
        </is>
      </c>
      <c r="D60" s="3" t="n">
        <v>181</v>
      </c>
      <c r="E60" t="inlineStr"/>
      <c r="F60" s="4" t="n">
        <v>595</v>
      </c>
      <c r="G60" t="inlineStr">
        <is>
          <t>VB</t>
        </is>
      </c>
      <c r="H60" t="inlineStr">
        <is>
          <t>25856 Nordfriesland - Hattstedt</t>
        </is>
      </c>
      <c r="I60" s="5" t="n">
        <v>45566</v>
      </c>
      <c r="J60" t="inlineStr"/>
      <c r="K60" s="6">
        <f>HYPERLINK("https://www.kleinanzeigen.de/s-anzeige/-supboard-fest-diamond-fanatic-pure-light-/2879555735-230-20258", "Link")</f>
        <v/>
      </c>
      <c r="L60" s="6">
        <f>HYPERLINK("C:\Projects\Kleinanzeigen-Scraper\offer_images\2879555735", "Link")</f>
        <v/>
      </c>
      <c r="M60" t="inlineStr">
        <is>
          <t>Mainz</t>
        </is>
      </c>
      <c r="N60" s="6">
        <f>HYPERLINK("https://www.kleinanzeigen.de/s-bestandsliste.html?userId=11724552", "Link")</f>
        <v/>
      </c>
      <c r="O60" s="7" t="n">
        <v>45566.74017361111</v>
      </c>
      <c r="P60" s="3" t="inlineStr">
        <is>
          <t>422.57</t>
        </is>
      </c>
      <c r="Q60" t="inlineStr">
        <is>
          <t>Köln</t>
        </is>
      </c>
    </row>
    <row r="61">
      <c r="A61" t="inlineStr"/>
      <c r="B61" t="inlineStr">
        <is>
          <t>RRD Freestylewave FSW LTD</t>
        </is>
      </c>
      <c r="C61" t="inlineStr">
        <is>
          <t>Freestyle Wave</t>
        </is>
      </c>
      <c r="D61" s="3" t="n">
        <v>95</v>
      </c>
      <c r="E61" t="inlineStr"/>
      <c r="F61" s="4" t="n">
        <v>235</v>
      </c>
      <c r="G61" t="inlineStr">
        <is>
          <t>VB</t>
        </is>
      </c>
      <c r="H61" t="inlineStr">
        <is>
          <t>21465 Schleswig-Holstein - Reinbek</t>
        </is>
      </c>
      <c r="I61" s="5" t="n">
        <v>45565</v>
      </c>
      <c r="J61" t="inlineStr"/>
      <c r="K61" s="6">
        <f>HYPERLINK("https://www.kleinanzeigen.de/s-anzeige/rrd-freestylewave-fsw-ltd-in-95-liter/2878850506-230-13590", "Link")</f>
        <v/>
      </c>
      <c r="L61" s="6">
        <f>HYPERLINK("C:\Projects\Kleinanzeigen-Scraper\offer_images\2878850506", "Link")</f>
        <v/>
      </c>
      <c r="M61" t="inlineStr">
        <is>
          <t>Martin</t>
        </is>
      </c>
      <c r="N61" s="6">
        <f>HYPERLINK("https://www.kleinanzeigen.de/s-bestandsliste.html?userId=58390548", "Link")</f>
        <v/>
      </c>
      <c r="O61" s="7" t="n">
        <v>45566.73976851852</v>
      </c>
      <c r="P61" s="3" t="inlineStr">
        <is>
          <t>366.85</t>
        </is>
      </c>
      <c r="Q61" t="inlineStr">
        <is>
          <t>Köln</t>
        </is>
      </c>
    </row>
    <row r="62">
      <c r="A62" t="inlineStr">
        <is>
          <t>252 x 68.5 cm</t>
        </is>
      </c>
      <c r="B62" t="inlineStr">
        <is>
          <t>Starboard Carve</t>
        </is>
      </c>
      <c r="C62" t="inlineStr">
        <is>
          <t>Freeride</t>
        </is>
      </c>
      <c r="D62" s="3" t="n">
        <v>122</v>
      </c>
      <c r="E62" t="inlineStr"/>
      <c r="F62" s="4" t="inlineStr"/>
      <c r="G62" t="inlineStr">
        <is>
          <t>VB</t>
        </is>
      </c>
      <c r="H62" t="inlineStr">
        <is>
          <t>10119 Pankow - Prenzlauer Berg</t>
        </is>
      </c>
      <c r="I62" s="5" t="n">
        <v>45566</v>
      </c>
      <c r="J62" t="inlineStr">
        <is>
          <t>Sold</t>
        </is>
      </c>
      <c r="K62" s="6">
        <f>HYPERLINK("https://www.kleinanzeigen.de/s-anzeige/starboard-carve-122-wood/2879274983-230-9660", "Link")</f>
        <v/>
      </c>
      <c r="L62" s="6">
        <f>HYPERLINK("C:\Projects\Kleinanzeigen-Scraper\offer_images\2879274983", "Link")</f>
        <v/>
      </c>
      <c r="M62" t="inlineStr">
        <is>
          <t>D.Jan</t>
        </is>
      </c>
      <c r="N62" s="6">
        <f>HYPERLINK("https://www.kleinanzeigen.de/s-bestandsliste.html?userId=144429457", "Link")</f>
        <v/>
      </c>
      <c r="O62" s="7" t="n">
        <v>45566.7375925926</v>
      </c>
      <c r="P62" s="3" t="inlineStr">
        <is>
          <t>478.06</t>
        </is>
      </c>
      <c r="Q62" t="inlineStr">
        <is>
          <t>Köln</t>
        </is>
      </c>
    </row>
    <row r="63">
      <c r="A63" t="inlineStr">
        <is>
          <t>86</t>
        </is>
      </c>
      <c r="B63" t="inlineStr">
        <is>
          <t>Tabou Air Ride+ Team</t>
        </is>
      </c>
      <c r="C63" t="inlineStr">
        <is>
          <t>Freeride</t>
        </is>
      </c>
      <c r="D63" s="3" t="inlineStr"/>
      <c r="E63" t="inlineStr">
        <is>
          <t>2024</t>
        </is>
      </c>
      <c r="F63" s="4" t="n">
        <v>1.199</v>
      </c>
      <c r="G63" t="inlineStr">
        <is>
          <t>VB</t>
        </is>
      </c>
      <c r="H63" t="inlineStr">
        <is>
          <t>24943 Schleswig-Holstein - Flensburg</t>
        </is>
      </c>
      <c r="I63" s="5" t="n">
        <v>45565</v>
      </c>
      <c r="J63" t="inlineStr"/>
      <c r="K63" s="6">
        <f>HYPERLINK("https://www.kleinanzeigen.de/s-anzeige/tabou-air-ride-team-86-2024-windsurfboard/2878767920-230-17392", "Link")</f>
        <v/>
      </c>
      <c r="L63" s="6">
        <f>HYPERLINK("C:\Projects\Kleinanzeigen-Scraper\offer_images\2878767920", "Link")</f>
        <v/>
      </c>
      <c r="M63" t="inlineStr">
        <is>
          <t>T.Studt</t>
        </is>
      </c>
      <c r="N63" s="6">
        <f>HYPERLINK("https://www.kleinanzeigen.de/s-bestandsliste.html?userId=79204106", "Link")</f>
        <v/>
      </c>
      <c r="O63" s="7" t="n">
        <v>45566.73729166666</v>
      </c>
      <c r="P63" s="3" t="inlineStr">
        <is>
          <t>459.78</t>
        </is>
      </c>
      <c r="Q63" t="inlineStr">
        <is>
          <t>Köln</t>
        </is>
      </c>
    </row>
    <row r="64">
      <c r="A64" t="inlineStr">
        <is>
          <t>Dimensions not specified</t>
        </is>
      </c>
      <c r="B64" t="inlineStr">
        <is>
          <t>Fanatic Freewave</t>
        </is>
      </c>
      <c r="C64" t="inlineStr">
        <is>
          <t>Freeride</t>
        </is>
      </c>
      <c r="D64" s="3" t="n">
        <v>105</v>
      </c>
      <c r="E64" t="inlineStr"/>
      <c r="F64" s="4" t="n">
        <v>1.2</v>
      </c>
      <c r="G64" t="inlineStr"/>
      <c r="H64" t="inlineStr">
        <is>
          <t>06268 Sachsen-Anhalt - Querfurt</t>
        </is>
      </c>
      <c r="I64" s="5" t="n">
        <v>45566</v>
      </c>
      <c r="J64" t="inlineStr"/>
      <c r="K64" s="6">
        <f>HYPERLINK("https://www.kleinanzeigen.de/s-anzeige/fanatic-freewave-105-textrem-top-zustand/2879171011-230-19809", "Link")</f>
        <v/>
      </c>
      <c r="L64" s="6">
        <f>HYPERLINK("C:\Projects\Kleinanzeigen-Scraper\offer_images\2879171011", "Link")</f>
        <v/>
      </c>
      <c r="M64" t="inlineStr">
        <is>
          <t>adina Elste</t>
        </is>
      </c>
      <c r="N64" s="6">
        <f>HYPERLINK("https://www.kleinanzeigen.de/s-bestandsliste.html?userId=34324295", "Link")</f>
        <v/>
      </c>
      <c r="O64" s="7" t="n">
        <v>45566.7372337963</v>
      </c>
      <c r="P64" s="3" t="inlineStr">
        <is>
          <t>325.88</t>
        </is>
      </c>
      <c r="Q64" t="inlineStr">
        <is>
          <t>Köln</t>
        </is>
      </c>
    </row>
    <row r="65">
      <c r="A65" t="inlineStr"/>
      <c r="B65" t="inlineStr">
        <is>
          <t>Fanatic Freewave</t>
        </is>
      </c>
      <c r="C65" t="inlineStr">
        <is>
          <t>Freeride</t>
        </is>
      </c>
      <c r="D65" s="3" t="n">
        <v>105</v>
      </c>
      <c r="E65" t="inlineStr"/>
      <c r="F65" s="4" t="n">
        <v>320</v>
      </c>
      <c r="G65" t="inlineStr">
        <is>
          <t>VB</t>
        </is>
      </c>
      <c r="H65" t="inlineStr">
        <is>
          <t>73760 Baden-Württemberg - Ostfildern</t>
        </is>
      </c>
      <c r="I65" s="5" t="n">
        <v>45566</v>
      </c>
      <c r="J65" t="inlineStr"/>
      <c r="K65" s="6">
        <f>HYPERLINK("https://www.kleinanzeigen.de/s-anzeige/fanatic-freewave-105-liter-volumen-/2879403662-230-8437", "Link")</f>
        <v/>
      </c>
      <c r="L65" s="6">
        <f>HYPERLINK("C:\Projects\Kleinanzeigen-Scraper\offer_images\2879403662", "Link")</f>
        <v/>
      </c>
      <c r="M65" t="inlineStr">
        <is>
          <t>Guenni</t>
        </is>
      </c>
      <c r="N65" s="6">
        <f>HYPERLINK("https://www.kleinanzeigen.de/s-bestandsliste.html?userId=37615423", "Link")</f>
        <v/>
      </c>
      <c r="O65" s="7" t="n">
        <v>45566.7368287037</v>
      </c>
      <c r="P65" s="3" t="inlineStr">
        <is>
          <t>21.07</t>
        </is>
      </c>
      <c r="Q65" t="inlineStr">
        <is>
          <t>Böblingen</t>
        </is>
      </c>
    </row>
    <row r="66">
      <c r="A66" t="inlineStr">
        <is>
          <t>130l, 80cm</t>
        </is>
      </c>
      <c r="B66" t="inlineStr">
        <is>
          <t>Starboard Carve</t>
        </is>
      </c>
      <c r="C66" t="inlineStr">
        <is>
          <t>Freeride</t>
        </is>
      </c>
      <c r="D66" s="3" t="n">
        <v>131</v>
      </c>
      <c r="E66" t="inlineStr"/>
      <c r="F66" s="4" t="inlineStr">
        <is>
          <t>Zu verschenken</t>
        </is>
      </c>
      <c r="G66" t="inlineStr"/>
      <c r="H66" t="inlineStr">
        <is>
          <t>33397 Nordrhein-Westfalen - Rietberg</t>
        </is>
      </c>
      <c r="I66" s="5" t="n">
        <v>45565</v>
      </c>
      <c r="J66" t="inlineStr"/>
      <c r="K66" s="6">
        <f>HYPERLINK("https://www.kleinanzeigen.de/s-anzeige/windsurf-board-starboard-carve-131l/2878797547-230-1364", "Link")</f>
        <v/>
      </c>
      <c r="L66" s="6">
        <f>HYPERLINK("C:\Projects\Kleinanzeigen-Scraper\offer_images\2878797547", "Link")</f>
        <v/>
      </c>
      <c r="M66" t="inlineStr">
        <is>
          <t>Arne</t>
        </is>
      </c>
      <c r="N66" s="6">
        <f>HYPERLINK("https://www.kleinanzeigen.de/s-bestandsliste.html?userId=138976517", "Link")</f>
        <v/>
      </c>
      <c r="O66" s="7" t="n">
        <v>45566.73641203704</v>
      </c>
      <c r="P66" s="3" t="inlineStr">
        <is>
          <t>137.38</t>
        </is>
      </c>
      <c r="Q66" t="inlineStr">
        <is>
          <t>Köln</t>
        </is>
      </c>
    </row>
    <row r="67">
      <c r="A67" t="inlineStr">
        <is>
          <t>271 cm</t>
        </is>
      </c>
      <c r="B67" t="inlineStr">
        <is>
          <t>F2 Sunset Slalom</t>
        </is>
      </c>
      <c r="C67" t="inlineStr">
        <is>
          <t>Slalom</t>
        </is>
      </c>
      <c r="D67" s="3" t="n">
        <v>105</v>
      </c>
      <c r="E67" t="inlineStr"/>
      <c r="F67" s="4" t="n">
        <v>45</v>
      </c>
      <c r="G67" t="inlineStr">
        <is>
          <t>VB</t>
        </is>
      </c>
      <c r="H67" t="inlineStr">
        <is>
          <t>65199 Hessen - Wiesbaden</t>
        </is>
      </c>
      <c r="I67" s="5" t="n">
        <v>45566</v>
      </c>
      <c r="J67" t="inlineStr"/>
      <c r="K67" s="6">
        <f>HYPERLINK("https://www.kleinanzeigen.de/s-anzeige/f2-sunset-slalom-surfboard-windsurfen/2879393266-230-4911", "Link")</f>
        <v/>
      </c>
      <c r="L67" s="6">
        <f>HYPERLINK("C:\Projects\Kleinanzeigen-Scraper\offer_images\2879393266", "Link")</f>
        <v/>
      </c>
      <c r="M67" t="inlineStr">
        <is>
          <t>Petra</t>
        </is>
      </c>
      <c r="N67" s="6">
        <f>HYPERLINK("https://www.kleinanzeigen.de/s-bestandsliste.html?userId=8238597", "Link")</f>
        <v/>
      </c>
      <c r="O67" s="7" t="n">
        <v>45566.73601851852</v>
      </c>
      <c r="P67" s="3" t="inlineStr">
        <is>
          <t>121.00</t>
        </is>
      </c>
      <c r="Q67" t="inlineStr">
        <is>
          <t>Karlsruhe</t>
        </is>
      </c>
    </row>
    <row r="68">
      <c r="A68" t="inlineStr"/>
      <c r="B68" t="inlineStr">
        <is>
          <t>rrd Freestyle Avantstyle</t>
        </is>
      </c>
      <c r="C68" t="inlineStr">
        <is>
          <t>Freestyle</t>
        </is>
      </c>
      <c r="D68" s="3" t="n">
        <v>95</v>
      </c>
      <c r="E68" t="inlineStr">
        <is>
          <t>2007</t>
        </is>
      </c>
      <c r="F68" s="4" t="n">
        <v>95</v>
      </c>
      <c r="G68" t="inlineStr">
        <is>
          <t>VB</t>
        </is>
      </c>
      <c r="H68" t="inlineStr">
        <is>
          <t>69124 Baden-Württemberg - Heidelberg</t>
        </is>
      </c>
      <c r="I68" s="5" t="n">
        <v>45565</v>
      </c>
      <c r="J68" t="inlineStr"/>
      <c r="K68" s="6">
        <f>HYPERLINK("https://www.kleinanzeigen.de/s-anzeige/windsurfbret-rrd-freestyle-avantstyle-m-95l/2878925696-230-9178", "Link")</f>
        <v/>
      </c>
      <c r="L68" s="6">
        <f>HYPERLINK("C:\Projects\Kleinanzeigen-Scraper\offer_images\2878925696", "Link")</f>
        <v/>
      </c>
      <c r="M68" t="inlineStr">
        <is>
          <t>Matthias</t>
        </is>
      </c>
      <c r="N68" s="6">
        <f>HYPERLINK("https://www.kleinanzeigen.de/s-bestandsliste.html?userId=10048535", "Link")</f>
        <v/>
      </c>
      <c r="O68" s="7" t="n">
        <v>45566.73600694445</v>
      </c>
      <c r="P68" s="3" t="inlineStr">
        <is>
          <t>44.31</t>
        </is>
      </c>
      <c r="Q68" t="inlineStr">
        <is>
          <t>Karlsruhe</t>
        </is>
      </c>
    </row>
    <row r="69">
      <c r="A69" t="inlineStr"/>
      <c r="B69" t="inlineStr">
        <is>
          <t>Starboard Ignite</t>
        </is>
      </c>
      <c r="C69" t="inlineStr"/>
      <c r="D69" s="3" t="n">
        <v>93</v>
      </c>
      <c r="E69" t="inlineStr">
        <is>
          <t>2022</t>
        </is>
      </c>
      <c r="F69" s="4" t="n">
        <v>900</v>
      </c>
      <c r="G69" t="inlineStr"/>
      <c r="H69" t="inlineStr">
        <is>
          <t>88634 Baden-Württemberg - Herdwangen-Schönach</t>
        </is>
      </c>
      <c r="I69" s="5" t="n">
        <v>45560</v>
      </c>
      <c r="J69" t="inlineStr">
        <is>
          <t>Sold</t>
        </is>
      </c>
      <c r="K69" s="6">
        <f>HYPERLINK("https://www.kleinanzeigen.de/s-anzeige/starboard-ignite-93l-2022-/2873865353-230-9210", "Link")</f>
        <v/>
      </c>
      <c r="L69" s="6">
        <f>HYPERLINK("C:\Projects\Kleinanzeigen-Scraper\offer_images\2873865353", "Link")</f>
        <v/>
      </c>
      <c r="M69" t="inlineStr">
        <is>
          <t>IvanFRB</t>
        </is>
      </c>
      <c r="N69" s="6">
        <f>HYPERLINK("https://www.kleinanzeigen.de/s-bestandsliste.html?userId=136742388", "Link")</f>
        <v/>
      </c>
      <c r="O69" s="7" t="n">
        <v>45566.73597222222</v>
      </c>
      <c r="P69" s="3" t="inlineStr">
        <is>
          <t>62.58</t>
        </is>
      </c>
      <c r="Q69" t="inlineStr">
        <is>
          <t>Bonndorf</t>
        </is>
      </c>
    </row>
    <row r="70">
      <c r="A70" t="inlineStr">
        <is>
          <t>190 cm x 71 cm</t>
        </is>
      </c>
      <c r="B70" t="inlineStr">
        <is>
          <t>Starboard Foil X Flax Balsa</t>
        </is>
      </c>
      <c r="C70" t="inlineStr">
        <is>
          <t>Foil</t>
        </is>
      </c>
      <c r="D70" s="3" t="n">
        <v>145</v>
      </c>
      <c r="E70" t="inlineStr">
        <is>
          <t>2022</t>
        </is>
      </c>
      <c r="F70" s="4" t="n">
        <v>1.55</v>
      </c>
      <c r="G70" t="inlineStr">
        <is>
          <t>VB</t>
        </is>
      </c>
      <c r="H70" t="inlineStr">
        <is>
          <t>31199 Niedersachsen - Diekholzen</t>
        </is>
      </c>
      <c r="I70" s="5" t="n">
        <v>45566</v>
      </c>
      <c r="J70" t="inlineStr"/>
      <c r="K70" s="6">
        <f>HYPERLINK("https://www.kleinanzeigen.de/s-anzeige/surfboard-starboard-foil-x-flax-balsa/2879575843-230-3143", "Link")</f>
        <v/>
      </c>
      <c r="L70" s="6">
        <f>HYPERLINK("C:\Projects\Kleinanzeigen-Scraper\offer_images\2879575843", "Link")</f>
        <v/>
      </c>
      <c r="M70" t="inlineStr">
        <is>
          <t>Reiner</t>
        </is>
      </c>
      <c r="N70" s="6">
        <f>HYPERLINK("https://www.kleinanzeigen.de/s-bestandsliste.html?userId=7022741", "Link")</f>
        <v/>
      </c>
      <c r="O70" s="7" t="n">
        <v>45566.73438657408</v>
      </c>
      <c r="P70" s="3" t="inlineStr">
        <is>
          <t>244.61</t>
        </is>
      </c>
      <c r="Q70" t="inlineStr">
        <is>
          <t>Köln</t>
        </is>
      </c>
    </row>
    <row r="71">
      <c r="A71" t="inlineStr"/>
      <c r="B71" t="inlineStr">
        <is>
          <t>RRD Freestylewave FSW LTD</t>
        </is>
      </c>
      <c r="C71" t="inlineStr">
        <is>
          <t>Freestyle Wave</t>
        </is>
      </c>
      <c r="D71" s="3" t="n">
        <v>115</v>
      </c>
      <c r="E71" t="inlineStr"/>
      <c r="F71" s="4" t="n">
        <v>199</v>
      </c>
      <c r="G71" t="inlineStr">
        <is>
          <t>VB</t>
        </is>
      </c>
      <c r="H71" t="inlineStr">
        <is>
          <t>21465 Schleswig-Holstein - Reinbek</t>
        </is>
      </c>
      <c r="I71" s="5" t="n">
        <v>45565</v>
      </c>
      <c r="J71" t="inlineStr"/>
      <c r="K71" s="6">
        <f>HYPERLINK("https://www.kleinanzeigen.de/s-anzeige/rrd-freestylewave-fsw-ltd-in-115-liter/2878855047-230-13590", "Link")</f>
        <v/>
      </c>
      <c r="L71" s="6">
        <f>HYPERLINK("C:\Projects\Kleinanzeigen-Scraper\offer_images\2878855047", "Link")</f>
        <v/>
      </c>
      <c r="M71" t="inlineStr">
        <is>
          <t>Martin</t>
        </is>
      </c>
      <c r="N71" s="6">
        <f>HYPERLINK("https://www.kleinanzeigen.de/s-bestandsliste.html?userId=58390548", "Link")</f>
        <v/>
      </c>
      <c r="O71" s="7" t="n">
        <v>45566.73388888889</v>
      </c>
      <c r="P71" s="3" t="inlineStr">
        <is>
          <t>366.85</t>
        </is>
      </c>
      <c r="Q71" t="inlineStr">
        <is>
          <t>Köln</t>
        </is>
      </c>
    </row>
    <row r="72">
      <c r="A72" t="inlineStr">
        <is>
          <t>73x239</t>
        </is>
      </c>
      <c r="B72" t="inlineStr">
        <is>
          <t>Fanatic Gecko</t>
        </is>
      </c>
      <c r="C72" t="inlineStr">
        <is>
          <t>Freeride</t>
        </is>
      </c>
      <c r="D72" s="3" t="n">
        <v>112</v>
      </c>
      <c r="E72" t="inlineStr"/>
      <c r="F72" s="4" t="n">
        <v>530</v>
      </c>
      <c r="G72" t="inlineStr">
        <is>
          <t>VB</t>
        </is>
      </c>
      <c r="H72" t="inlineStr">
        <is>
          <t>13187 Berlin - Pankow</t>
        </is>
      </c>
      <c r="I72" s="5" t="n">
        <v>45566</v>
      </c>
      <c r="J72" t="inlineStr"/>
      <c r="K72" s="6">
        <f>HYPERLINK("https://www.kleinanzeigen.de/s-anzeige/fanatic-gecko-112-liter-wood-edition/2879332319-230-3473", "Link")</f>
        <v/>
      </c>
      <c r="L72" s="6">
        <f>HYPERLINK("C:\Projects\Kleinanzeigen-Scraper\offer_images\2879332319", "Link")</f>
        <v/>
      </c>
      <c r="M72" t="inlineStr">
        <is>
          <t>Anke</t>
        </is>
      </c>
      <c r="N72" s="6">
        <f>HYPERLINK("https://www.kleinanzeigen.de/s-bestandsliste.html?userId=2852429", "Link")</f>
        <v/>
      </c>
      <c r="O72" s="7" t="n">
        <v>45566.73351851852</v>
      </c>
      <c r="P72" s="3" t="inlineStr">
        <is>
          <t>480.03</t>
        </is>
      </c>
      <c r="Q72" t="inlineStr">
        <is>
          <t>Köln</t>
        </is>
      </c>
    </row>
    <row r="73">
      <c r="A73" t="inlineStr"/>
      <c r="B73" t="inlineStr">
        <is>
          <t>Tiga Easyride</t>
        </is>
      </c>
      <c r="C73" t="inlineStr">
        <is>
          <t>Beginner, Family</t>
        </is>
      </c>
      <c r="D73" s="3" t="n">
        <v>145</v>
      </c>
      <c r="E73" t="inlineStr"/>
      <c r="F73" s="4" t="n">
        <v>475</v>
      </c>
      <c r="G73" t="inlineStr"/>
      <c r="H73" t="inlineStr">
        <is>
          <t>40221 Düsseldorf</t>
        </is>
      </c>
      <c r="I73" s="5" t="n">
        <v>45564</v>
      </c>
      <c r="J73" t="inlineStr"/>
      <c r="K73" s="6">
        <f>HYPERLINK("https://www.dailydose.de/kleinanzeigen/detail.htm?ai=423387&amp;cf=kk&amp;pg=2&amp;ci=11", "Link")</f>
        <v/>
      </c>
      <c r="L73" s="6">
        <f>HYPERLINK("C:\Projects\Kleinanzeigen-Scraper\offer_images\423387", "Link")</f>
        <v/>
      </c>
      <c r="M73" t="inlineStr">
        <is>
          <t>surftkaum</t>
        </is>
      </c>
      <c r="N73" s="6">
        <f>HYPERLINK("https://www.dailydose.de/kleinanzeigen/user/20057", "Link")</f>
        <v/>
      </c>
      <c r="O73" s="7" t="n">
        <v>45565.74824074074</v>
      </c>
      <c r="P73" s="3" t="inlineStr">
        <is>
          <t>32.31</t>
        </is>
      </c>
      <c r="Q73" t="inlineStr">
        <is>
          <t>Köln</t>
        </is>
      </c>
    </row>
    <row r="74">
      <c r="A74" t="inlineStr">
        <is>
          <t>98</t>
        </is>
      </c>
      <c r="B74" t="inlineStr">
        <is>
          <t>Goya Custom 3</t>
        </is>
      </c>
      <c r="C74" t="inlineStr">
        <is>
          <t>Wave</t>
        </is>
      </c>
      <c r="D74" s="3" t="inlineStr"/>
      <c r="E74" t="inlineStr">
        <is>
          <t>2020/21</t>
        </is>
      </c>
      <c r="F74" s="4" t="n">
        <v>770</v>
      </c>
      <c r="G74" t="inlineStr"/>
      <c r="H74" t="inlineStr">
        <is>
          <t>71691 Freiberg am Neckar</t>
        </is>
      </c>
      <c r="I74" s="5" t="n">
        <v>45565</v>
      </c>
      <c r="J74" t="inlineStr"/>
      <c r="K74" s="6">
        <f>HYPERLINK("https://www.dailydose.de/kleinanzeigen/detail.htm?ai=423432&amp;cf=kk&amp;pg=1&amp;ci=11", "Link")</f>
        <v/>
      </c>
      <c r="L74" s="6">
        <f>HYPERLINK("C:\Projects\Kleinanzeigen-Scraper\offer_images\423432", "Link")</f>
        <v/>
      </c>
      <c r="M74" t="inlineStr">
        <is>
          <t>AlexF_69</t>
        </is>
      </c>
      <c r="N74" s="6">
        <f>HYPERLINK("https://www.dailydose.de/kleinanzeigen/user/3271", "Link")</f>
        <v/>
      </c>
      <c r="O74" s="7" t="n">
        <v>45565.74811342593</v>
      </c>
      <c r="P74" s="3" t="inlineStr">
        <is>
          <t>32.49</t>
        </is>
      </c>
      <c r="Q74" t="inlineStr">
        <is>
          <t>Böblingen</t>
        </is>
      </c>
    </row>
    <row r="75">
      <c r="A75" t="inlineStr">
        <is>
          <t>Dimensions not specified</t>
        </is>
      </c>
      <c r="B75" t="inlineStr">
        <is>
          <t>JP</t>
        </is>
      </c>
      <c r="C75" t="inlineStr">
        <is>
          <t>Freeride</t>
        </is>
      </c>
      <c r="D75" s="3" t="n">
        <v>115</v>
      </c>
      <c r="E75" t="inlineStr"/>
      <c r="F75" s="4" t="n">
        <v>175</v>
      </c>
      <c r="G75" t="inlineStr">
        <is>
          <t>VB</t>
        </is>
      </c>
      <c r="H75" t="inlineStr">
        <is>
          <t>40221 Düsseldorf</t>
        </is>
      </c>
      <c r="I75" s="5" t="n">
        <v>45564</v>
      </c>
      <c r="J75" t="inlineStr"/>
      <c r="K75" s="6">
        <f>HYPERLINK("https://www.dailydose.de/kleinanzeigen/detail.htm?ai=423390&amp;cf=kk&amp;pg=2&amp;ci=11", "Link")</f>
        <v/>
      </c>
      <c r="L75" s="6">
        <f>HYPERLINK("C:\Projects\Kleinanzeigen-Scraper\offer_images\423390", "Link")</f>
        <v/>
      </c>
      <c r="M75" t="inlineStr">
        <is>
          <t>surftkaum</t>
        </is>
      </c>
      <c r="N75" s="6">
        <f>HYPERLINK("https://www.dailydose.de/kleinanzeigen/user/20057", "Link")</f>
        <v/>
      </c>
      <c r="O75" s="7" t="n">
        <v>45565.74798611111</v>
      </c>
      <c r="P75" s="3" t="inlineStr">
        <is>
          <t>32.31</t>
        </is>
      </c>
      <c r="Q75" t="inlineStr">
        <is>
          <t>Köln</t>
        </is>
      </c>
    </row>
    <row r="76">
      <c r="A76" t="inlineStr"/>
      <c r="B76" t="inlineStr">
        <is>
          <t>Drops</t>
        </is>
      </c>
      <c r="C76" t="inlineStr">
        <is>
          <t>Freeride</t>
        </is>
      </c>
      <c r="D76" s="3" t="n">
        <v>98</v>
      </c>
      <c r="E76" t="inlineStr"/>
      <c r="F76" s="4" t="n">
        <v>98</v>
      </c>
      <c r="G76" t="inlineStr">
        <is>
          <t>VB</t>
        </is>
      </c>
      <c r="H76" t="inlineStr">
        <is>
          <t>40221 Düsseldorf</t>
        </is>
      </c>
      <c r="I76" s="5" t="n">
        <v>45564</v>
      </c>
      <c r="J76" t="inlineStr"/>
      <c r="K76" s="6">
        <f>HYPERLINK("https://www.dailydose.de/kleinanzeigen/detail.htm?ai=423389&amp;cf=kk&amp;pg=2&amp;ci=11", "Link")</f>
        <v/>
      </c>
      <c r="L76" s="6">
        <f>HYPERLINK("C:\Projects\Kleinanzeigen-Scraper\offer_images\423389", "Link")</f>
        <v/>
      </c>
      <c r="M76" t="inlineStr">
        <is>
          <t>surftkaum</t>
        </is>
      </c>
      <c r="N76" s="6">
        <f>HYPERLINK("https://www.dailydose.de/kleinanzeigen/user/20057", "Link")</f>
        <v/>
      </c>
      <c r="O76" s="7" t="n">
        <v>45565.74762731481</v>
      </c>
      <c r="P76" s="3" t="inlineStr">
        <is>
          <t>32.31</t>
        </is>
      </c>
      <c r="Q76" t="inlineStr">
        <is>
          <t>Köln</t>
        </is>
      </c>
    </row>
    <row r="77">
      <c r="A77" t="inlineStr">
        <is>
          <t>220 cm x 90 cm</t>
        </is>
      </c>
      <c r="B77" t="inlineStr">
        <is>
          <t>JP Australia Foilboard</t>
        </is>
      </c>
      <c r="C77" t="inlineStr">
        <is>
          <t>Freeride</t>
        </is>
      </c>
      <c r="D77" s="3" t="n">
        <v>155</v>
      </c>
      <c r="E77" t="inlineStr">
        <is>
          <t>2018</t>
        </is>
      </c>
      <c r="F77" s="4" t="n">
        <v>390</v>
      </c>
      <c r="G77" t="inlineStr">
        <is>
          <t>VB</t>
        </is>
      </c>
      <c r="H77" t="inlineStr">
        <is>
          <t>33142 Büren</t>
        </is>
      </c>
      <c r="I77" s="5" t="n">
        <v>45565</v>
      </c>
      <c r="J77" t="inlineStr"/>
      <c r="K77" s="6">
        <f>HYPERLINK("https://www.dailydose.de/kleinanzeigen/detail.htm?ai=423410&amp;cf=kk&amp;pg=1&amp;ci=11", "Link")</f>
        <v/>
      </c>
      <c r="L77" s="6">
        <f>HYPERLINK("C:\Projects\Kleinanzeigen-Scraper\offer_images\423410", "Link")</f>
        <v/>
      </c>
      <c r="M77" t="inlineStr">
        <is>
          <t>Björn_92</t>
        </is>
      </c>
      <c r="N77" s="6">
        <f>HYPERLINK("https://www.dailydose.de/kleinanzeigen/user/3367", "Link")</f>
        <v/>
      </c>
      <c r="O77" s="7" t="n">
        <v>45565.74733796297</v>
      </c>
      <c r="P77" s="3" t="inlineStr">
        <is>
          <t>133.81</t>
        </is>
      </c>
      <c r="Q77" t="inlineStr">
        <is>
          <t>Köln</t>
        </is>
      </c>
    </row>
    <row r="78">
      <c r="A78" t="inlineStr">
        <is>
          <t>235x70</t>
        </is>
      </c>
      <c r="B78" t="inlineStr">
        <is>
          <t>RRD X-Fire</t>
        </is>
      </c>
      <c r="C78" t="inlineStr">
        <is>
          <t>Slalom</t>
        </is>
      </c>
      <c r="D78" s="3" t="n">
        <v>114</v>
      </c>
      <c r="E78" t="inlineStr">
        <is>
          <t>2017</t>
        </is>
      </c>
      <c r="F78" s="4" t="n">
        <v>300</v>
      </c>
      <c r="G78" t="inlineStr"/>
      <c r="H78" t="inlineStr">
        <is>
          <t>5201 Seekirchen am Wallersee</t>
        </is>
      </c>
      <c r="I78" s="5" t="n">
        <v>45565</v>
      </c>
      <c r="J78" t="inlineStr"/>
      <c r="K78" s="6">
        <f>HYPERLINK("https://www.dailydose.de/kleinanzeigen/detail.htm?ai=423425&amp;cf=kk&amp;pg=1&amp;ci=11", "Link")</f>
        <v/>
      </c>
      <c r="L78" s="6">
        <f>HYPERLINK("C:\Projects\Kleinanzeigen-Scraper\offer_images\423425", "Link")</f>
        <v/>
      </c>
      <c r="M78" t="inlineStr">
        <is>
          <t>Blackbrother_P7</t>
        </is>
      </c>
      <c r="N78" s="6">
        <f>HYPERLINK("https://www.dailydose.de/kleinanzeigen/user/24158", "Link")</f>
        <v/>
      </c>
      <c r="O78" s="7" t="n">
        <v>45565.74721064815</v>
      </c>
      <c r="P78" s="3" t="inlineStr">
        <is>
          <t>118.03</t>
        </is>
      </c>
      <c r="Q78" t="inlineStr">
        <is>
          <t>München</t>
        </is>
      </c>
    </row>
    <row r="79">
      <c r="A79" t="inlineStr">
        <is>
          <t>242x62</t>
        </is>
      </c>
      <c r="B79" t="inlineStr">
        <is>
          <t>RRD FSW Limited</t>
        </is>
      </c>
      <c r="C79" t="inlineStr">
        <is>
          <t>Freestyle Wave</t>
        </is>
      </c>
      <c r="D79" s="3" t="n">
        <v>100</v>
      </c>
      <c r="E79" t="inlineStr"/>
      <c r="F79" s="4" t="n">
        <v>333</v>
      </c>
      <c r="G79" t="inlineStr">
        <is>
          <t>VB</t>
        </is>
      </c>
      <c r="H79" t="inlineStr">
        <is>
          <t>10999 Berlin</t>
        </is>
      </c>
      <c r="I79" s="5" t="n">
        <v>45565</v>
      </c>
      <c r="J79" t="inlineStr"/>
      <c r="K79" s="6">
        <f>HYPERLINK("https://www.dailydose.de/kleinanzeigen/detail.htm?ai=423433&amp;cf=kk&amp;pg=1&amp;ci=11", "Link")</f>
        <v/>
      </c>
      <c r="L79" s="6">
        <f>HYPERLINK("C:\Projects\Kleinanzeigen-Scraper\offer_images\423433", "Link")</f>
        <v/>
      </c>
      <c r="M79" t="inlineStr">
        <is>
          <t>Jan_187</t>
        </is>
      </c>
      <c r="N79" s="6">
        <f>HYPERLINK("https://www.dailydose.de/kleinanzeigen/user/11568", "Link")</f>
        <v/>
      </c>
      <c r="O79" s="7" t="n">
        <v>45565.74674768518</v>
      </c>
      <c r="P79" s="3" t="inlineStr">
        <is>
          <t>478.17</t>
        </is>
      </c>
      <c r="Q79" t="inlineStr">
        <is>
          <t>Köln</t>
        </is>
      </c>
    </row>
    <row r="80">
      <c r="A80" t="inlineStr"/>
      <c r="B80" t="inlineStr">
        <is>
          <t>Starboard Carve</t>
        </is>
      </c>
      <c r="C80" t="inlineStr">
        <is>
          <t>Freeride</t>
        </is>
      </c>
      <c r="D80" s="3" t="n">
        <v>129</v>
      </c>
      <c r="E80" t="inlineStr">
        <is>
          <t>2023</t>
        </is>
      </c>
      <c r="F80" s="4" t="n">
        <v>1000</v>
      </c>
      <c r="G80" t="inlineStr"/>
      <c r="H80" t="inlineStr">
        <is>
          <t>73235</t>
        </is>
      </c>
      <c r="I80" s="5" t="n">
        <v>45565</v>
      </c>
      <c r="J80" t="inlineStr"/>
      <c r="K80" s="6">
        <f>HYPERLINK("https://www.dailydose.de/kleinanzeigen/detail.htm?ai=423405&amp;cf=kk&amp;pg=2&amp;ci=11", "Link")</f>
        <v/>
      </c>
      <c r="L80" s="6">
        <f>HYPERLINK("C:\Projects\Kleinanzeigen-Scraper\offer_images\423405", "Link")</f>
        <v/>
      </c>
      <c r="M80" t="inlineStr">
        <is>
          <t>Theilig</t>
        </is>
      </c>
      <c r="N80" s="6">
        <f>HYPERLINK("https://www.dailydose.de/kleinanzeigen/user/8084", "Link")</f>
        <v/>
      </c>
      <c r="O80" s="7" t="n">
        <v>45565.74578703703</v>
      </c>
      <c r="P80" s="3" t="inlineStr">
        <is>
          <t>42.84</t>
        </is>
      </c>
      <c r="Q80" t="inlineStr">
        <is>
          <t>Böblingen</t>
        </is>
      </c>
    </row>
    <row r="81">
      <c r="A81" t="inlineStr"/>
      <c r="B81" t="inlineStr">
        <is>
          <t>Fanatic Freewave</t>
        </is>
      </c>
      <c r="C81" t="inlineStr">
        <is>
          <t>Freestyle</t>
        </is>
      </c>
      <c r="D81" s="3" t="n">
        <v>104</v>
      </c>
      <c r="E81" t="inlineStr"/>
      <c r="F81" s="4" t="n">
        <v>250</v>
      </c>
      <c r="G81" t="inlineStr"/>
      <c r="H81" t="inlineStr">
        <is>
          <t>24226 Heikendorf</t>
        </is>
      </c>
      <c r="I81" s="5" t="n">
        <v>45565</v>
      </c>
      <c r="J81" t="inlineStr">
        <is>
          <t>Sold</t>
        </is>
      </c>
      <c r="K81" s="6">
        <f>HYPERLINK("https://www.dailydose.de/kleinanzeigen/detail.htm?ai=423439&amp;cf=kk&amp;pg=1&amp;ci=11", "Link")</f>
        <v/>
      </c>
      <c r="L81" s="6">
        <f>HYPERLINK("C:\Projects\Kleinanzeigen-Scraper\offer_images\423439", "Link")</f>
        <v/>
      </c>
      <c r="M81" t="inlineStr">
        <is>
          <t>Nils_146</t>
        </is>
      </c>
      <c r="N81" s="6">
        <f>HYPERLINK("https://www.dailydose.de/kleinanzeigen/user/17856", "Link")</f>
        <v/>
      </c>
      <c r="O81" s="7" t="n">
        <v>45565.74568287037</v>
      </c>
      <c r="P81" s="3" t="inlineStr">
        <is>
          <t>441.08</t>
        </is>
      </c>
      <c r="Q81" t="inlineStr">
        <is>
          <t>Köln</t>
        </is>
      </c>
    </row>
    <row r="82">
      <c r="A82" t="inlineStr">
        <is>
          <t>236 cm x 85 cm</t>
        </is>
      </c>
      <c r="B82" t="inlineStr">
        <is>
          <t>RRD Firemove 130 Wood</t>
        </is>
      </c>
      <c r="C82" t="inlineStr">
        <is>
          <t>Freeride</t>
        </is>
      </c>
      <c r="D82" s="3" t="n">
        <v>130</v>
      </c>
      <c r="E82" t="inlineStr"/>
      <c r="F82" s="4" t="n">
        <v>575</v>
      </c>
      <c r="G82" t="inlineStr">
        <is>
          <t>VB</t>
        </is>
      </c>
      <c r="H82" t="inlineStr">
        <is>
          <t>23909 Ratzeburg</t>
        </is>
      </c>
      <c r="I82" s="5" t="n">
        <v>45565</v>
      </c>
      <c r="J82" t="inlineStr"/>
      <c r="K82" s="6">
        <f>HYPERLINK("https://www.dailydose.de/kleinanzeigen/detail.htm?ai=423406&amp;cf=kk&amp;pg=2&amp;ci=11", "Link")</f>
        <v/>
      </c>
      <c r="L82" s="6">
        <f>HYPERLINK("C:\Projects\Kleinanzeigen-Scraper\offer_images\423406", "Link")</f>
        <v/>
      </c>
      <c r="M82" t="inlineStr">
        <is>
          <t>Insider</t>
        </is>
      </c>
      <c r="N82" s="6">
        <f>HYPERLINK("https://www.dailydose.de/kleinanzeigen/user/20603", "Link")</f>
        <v/>
      </c>
      <c r="O82" s="7" t="n">
        <v>45565.74524305556</v>
      </c>
      <c r="P82" s="3" t="inlineStr">
        <is>
          <t>401.75</t>
        </is>
      </c>
      <c r="Q82" t="inlineStr">
        <is>
          <t>Köln</t>
        </is>
      </c>
    </row>
    <row r="83">
      <c r="A83" t="inlineStr">
        <is>
          <t>11'2"x32"</t>
        </is>
      </c>
      <c r="B83" t="inlineStr">
        <is>
          <t>Starboard Go</t>
        </is>
      </c>
      <c r="C83" t="inlineStr"/>
      <c r="D83" s="3" t="inlineStr"/>
      <c r="E83" t="inlineStr"/>
      <c r="F83" s="4" t="n">
        <v>650</v>
      </c>
      <c r="G83" t="inlineStr"/>
      <c r="H83" t="inlineStr">
        <is>
          <t>79427 Baden-Württemberg - Eschbach</t>
        </is>
      </c>
      <c r="I83" s="5" t="n">
        <v>45565</v>
      </c>
      <c r="J83" t="inlineStr"/>
      <c r="K83" s="6">
        <f>HYPERLINK("https://www.kleinanzeigen.de/s-anzeige/starboard-go-11-2-x32-sup-hardboard/2878494111-230-8616", "Link")</f>
        <v/>
      </c>
      <c r="L83" s="6">
        <f>HYPERLINK("C:\Projects\Kleinanzeigen-Scraper\offer_images\2878494111", "Link")</f>
        <v/>
      </c>
      <c r="M83" t="inlineStr">
        <is>
          <t>No user name</t>
        </is>
      </c>
      <c r="N83" s="6">
        <f>HYPERLINK("https://www.kleinanzeigen.deNo user link", "Link")</f>
        <v/>
      </c>
      <c r="O83" s="7" t="n">
        <v>45565.74427083333</v>
      </c>
      <c r="P83" s="3" t="inlineStr">
        <is>
          <t>51.88</t>
        </is>
      </c>
      <c r="Q83" t="inlineStr">
        <is>
          <t>Bonndorf</t>
        </is>
      </c>
    </row>
    <row r="84">
      <c r="A84" t="inlineStr">
        <is>
          <t>250 cm x 72 cm</t>
        </is>
      </c>
      <c r="B84" t="inlineStr">
        <is>
          <t>Tabou Rocket LTD</t>
        </is>
      </c>
      <c r="C84" t="inlineStr">
        <is>
          <t>Freeride</t>
        </is>
      </c>
      <c r="D84" s="3" t="n">
        <v>135</v>
      </c>
      <c r="E84" t="inlineStr"/>
      <c r="F84" s="4" t="n">
        <v>450</v>
      </c>
      <c r="G84" t="inlineStr">
        <is>
          <t>VB</t>
        </is>
      </c>
      <c r="H84" t="inlineStr">
        <is>
          <t>88250 Baden-Württemberg - Weingarten</t>
        </is>
      </c>
      <c r="I84" s="5" t="n">
        <v>45565</v>
      </c>
      <c r="J84" t="inlineStr"/>
      <c r="K84" s="6">
        <f>HYPERLINK("https://www.kleinanzeigen.de/s-anzeige/tabou-rocket-ltd-135/2878253711-230-15340", "Link")</f>
        <v/>
      </c>
      <c r="L84" s="6">
        <f>HYPERLINK("C:\Projects\Kleinanzeigen-Scraper\offer_images\2878253711", "Link")</f>
        <v/>
      </c>
      <c r="M84" t="inlineStr">
        <is>
          <t>Eugen</t>
        </is>
      </c>
      <c r="N84" s="6">
        <f>HYPERLINK("https://www.kleinanzeigen.de/s-bestandsliste.html?userId=144682490", "Link")</f>
        <v/>
      </c>
      <c r="O84" s="7" t="n">
        <v>45565.74396990741</v>
      </c>
      <c r="P84" s="3" t="inlineStr">
        <is>
          <t>97.39</t>
        </is>
      </c>
      <c r="Q84" t="inlineStr">
        <is>
          <t>Bonndorf</t>
        </is>
      </c>
    </row>
    <row r="85">
      <c r="A85" t="inlineStr">
        <is>
          <t>238x79</t>
        </is>
      </c>
      <c r="B85" t="inlineStr">
        <is>
          <t>RRD Firemove</t>
        </is>
      </c>
      <c r="C85" t="inlineStr">
        <is>
          <t>Freemove</t>
        </is>
      </c>
      <c r="D85" s="3" t="n">
        <v>122</v>
      </c>
      <c r="E85" t="inlineStr"/>
      <c r="F85" s="4" t="n">
        <v>390</v>
      </c>
      <c r="G85" t="inlineStr">
        <is>
          <t>VB</t>
        </is>
      </c>
      <c r="H85" t="inlineStr">
        <is>
          <t>13589 Berlin - Spandau</t>
        </is>
      </c>
      <c r="I85" s="5" t="n">
        <v>45564</v>
      </c>
      <c r="J85" t="inlineStr"/>
      <c r="K85" s="6">
        <f>HYPERLINK("https://www.kleinanzeigen.de/s-anzeige/rrd-firemove-122l-windsurfboard/2878006377-230-3437", "Link")</f>
        <v/>
      </c>
      <c r="L85" s="6">
        <f>HYPERLINK("C:\Projects\Kleinanzeigen-Scraper\offer_images\2878006377", "Link")</f>
        <v/>
      </c>
      <c r="M85" t="inlineStr">
        <is>
          <t>MS</t>
        </is>
      </c>
      <c r="N85" s="6">
        <f>HYPERLINK("https://www.kleinanzeigen.de/s-bestandsliste.html?userId=5103590", "Link")</f>
        <v/>
      </c>
      <c r="O85" s="7" t="n">
        <v>45565.74368055556</v>
      </c>
      <c r="P85" s="3" t="inlineStr">
        <is>
          <t>463.63</t>
        </is>
      </c>
      <c r="Q85" t="inlineStr">
        <is>
          <t>Köln</t>
        </is>
      </c>
    </row>
    <row r="86">
      <c r="A86" t="inlineStr"/>
      <c r="B86" t="inlineStr">
        <is>
          <t>Tabou Rocket Carbonflex</t>
        </is>
      </c>
      <c r="C86" t="inlineStr">
        <is>
          <t>Freeride</t>
        </is>
      </c>
      <c r="D86" s="3" t="n">
        <v>135</v>
      </c>
      <c r="E86" t="inlineStr">
        <is>
          <t>2020</t>
        </is>
      </c>
      <c r="F86" s="4" t="n">
        <v>850</v>
      </c>
      <c r="G86" t="inlineStr"/>
      <c r="H86" t="inlineStr">
        <is>
          <t>48291 Nordrhein-Westfalen - Telgte</t>
        </is>
      </c>
      <c r="I86" s="5" t="n">
        <v>45565</v>
      </c>
      <c r="J86" t="inlineStr"/>
      <c r="K86" s="6">
        <f>HYPERLINK("https://www.kleinanzeigen.de/s-anzeige/tabou-rocket-carbonflex-135-ltr-wie-neu-mit-tasche-u-2-finnen/2878197950-230-1305", "Link")</f>
        <v/>
      </c>
      <c r="L86" s="6">
        <f>HYPERLINK("C:\Projects\Kleinanzeigen-Scraper\offer_images\2878197950", "Link")</f>
        <v/>
      </c>
      <c r="M86" t="inlineStr">
        <is>
          <t>Köbbing</t>
        </is>
      </c>
      <c r="N86" s="6">
        <f>HYPERLINK("https://www.kleinanzeigen.de/s-bestandsliste.html?userId=30507370", "Link")</f>
        <v/>
      </c>
      <c r="O86" s="7" t="n">
        <v>45565.74350694445</v>
      </c>
      <c r="P86" s="3" t="inlineStr">
        <is>
          <t>129.80</t>
        </is>
      </c>
      <c r="Q86" t="inlineStr">
        <is>
          <t>Köln</t>
        </is>
      </c>
    </row>
    <row r="87">
      <c r="A87" t="inlineStr"/>
      <c r="B87" t="inlineStr">
        <is>
          <t>Goya Custom 4</t>
        </is>
      </c>
      <c r="C87" t="inlineStr"/>
      <c r="D87" s="3" t="n">
        <v>89</v>
      </c>
      <c r="E87" t="inlineStr"/>
      <c r="F87" s="4" t="n">
        <v>1.2</v>
      </c>
      <c r="G87" t="inlineStr"/>
      <c r="H87" t="inlineStr">
        <is>
          <t>47551 Nordrhein-Westfalen - Bedburg-Hau</t>
        </is>
      </c>
      <c r="I87" s="5" t="n">
        <v>45565</v>
      </c>
      <c r="J87" t="inlineStr"/>
      <c r="K87" s="6">
        <f>HYPERLINK("https://www.kleinanzeigen.de/s-anzeige/goya-custom-4-89l/2878150304-230-1123", "Link")</f>
        <v/>
      </c>
      <c r="L87" s="6">
        <f>HYPERLINK("C:\Projects\Kleinanzeigen-Scraper\offer_images\2878150304", "Link")</f>
        <v/>
      </c>
      <c r="M87" t="inlineStr">
        <is>
          <t>Peter Garzke</t>
        </is>
      </c>
      <c r="N87" s="6">
        <f>HYPERLINK("https://www.kleinanzeigen.de/s-bestandsliste.html?userId=8499569", "Link")</f>
        <v/>
      </c>
      <c r="O87" s="7" t="n">
        <v>45565.74348379629</v>
      </c>
      <c r="P87" s="3" t="inlineStr">
        <is>
          <t>105.65</t>
        </is>
      </c>
      <c r="Q87" t="inlineStr">
        <is>
          <t>Köln</t>
        </is>
      </c>
    </row>
    <row r="88">
      <c r="A88" t="inlineStr">
        <is>
          <t>235x70</t>
        </is>
      </c>
      <c r="B88" t="inlineStr">
        <is>
          <t>RRD X-Fire LDT</t>
        </is>
      </c>
      <c r="C88" t="inlineStr">
        <is>
          <t>Slalom</t>
        </is>
      </c>
      <c r="D88" s="3" t="n">
        <v>114</v>
      </c>
      <c r="E88" t="inlineStr">
        <is>
          <t>2017</t>
        </is>
      </c>
      <c r="F88" s="4" t="n">
        <v>300</v>
      </c>
      <c r="G88" t="inlineStr"/>
      <c r="H88" t="inlineStr">
        <is>
          <t>83395 Bayern - Freilassing</t>
        </is>
      </c>
      <c r="I88" s="5" t="n">
        <v>45565</v>
      </c>
      <c r="J88" t="inlineStr"/>
      <c r="K88" s="6">
        <f>HYPERLINK("https://www.kleinanzeigen.de/s-anzeige/rrd-x-fire-ldt-114-v8-235x70-2017-windsurfboard-salomboard/2878234787-230-6273", "Link")</f>
        <v/>
      </c>
      <c r="L88" s="6">
        <f>HYPERLINK("C:\Projects\Kleinanzeigen-Scraper\offer_images\2878234787", "Link")</f>
        <v/>
      </c>
      <c r="M88" t="inlineStr">
        <is>
          <t>Rouven Türk</t>
        </is>
      </c>
      <c r="N88" s="6">
        <f>HYPERLINK("https://www.kleinanzeigen.de/s-bestandsliste.html?userId=49630109", "Link")</f>
        <v/>
      </c>
      <c r="O88" s="7" t="n">
        <v>45565.74267361111</v>
      </c>
      <c r="P88" s="3" t="inlineStr">
        <is>
          <t>108.85</t>
        </is>
      </c>
      <c r="Q88" t="inlineStr">
        <is>
          <t>München</t>
        </is>
      </c>
    </row>
    <row r="89">
      <c r="A89" t="inlineStr"/>
      <c r="B89" t="inlineStr">
        <is>
          <t>Starboard iSonic</t>
        </is>
      </c>
      <c r="C89" t="inlineStr"/>
      <c r="D89" s="3" t="n">
        <v>127</v>
      </c>
      <c r="E89" t="inlineStr"/>
      <c r="F89" s="4" t="n">
        <v>480</v>
      </c>
      <c r="G89" t="inlineStr">
        <is>
          <t>VB</t>
        </is>
      </c>
      <c r="H89" t="inlineStr">
        <is>
          <t>13589 Berlin - Spandau</t>
        </is>
      </c>
      <c r="I89" s="5" t="n">
        <v>45564</v>
      </c>
      <c r="J89" t="inlineStr"/>
      <c r="K89" s="6">
        <f>HYPERLINK("https://www.kleinanzeigen.de/s-anzeige/starboard-isonic-127l-windsurf-board-carbon/2877997390-230-3437", "Link")</f>
        <v/>
      </c>
      <c r="L89" s="6">
        <f>HYPERLINK("C:\Projects\Kleinanzeigen-Scraper\offer_images\2877997390", "Link")</f>
        <v/>
      </c>
      <c r="M89" t="inlineStr">
        <is>
          <t>MS</t>
        </is>
      </c>
      <c r="N89" s="6">
        <f>HYPERLINK("https://www.kleinanzeigen.de/s-bestandsliste.html?userId=5103590", "Link")</f>
        <v/>
      </c>
      <c r="O89" s="7" t="n">
        <v>45565.74229166667</v>
      </c>
      <c r="P89" s="3" t="inlineStr">
        <is>
          <t>463.63</t>
        </is>
      </c>
      <c r="Q89" t="inlineStr">
        <is>
          <t>Köln</t>
        </is>
      </c>
    </row>
    <row r="90">
      <c r="A90" t="inlineStr">
        <is>
          <t>320x81x15</t>
        </is>
      </c>
      <c r="B90" t="inlineStr">
        <is>
          <t>STX Freeride</t>
        </is>
      </c>
      <c r="C90" t="inlineStr">
        <is>
          <t>Freeride</t>
        </is>
      </c>
      <c r="D90" s="3" t="n">
        <v>260</v>
      </c>
      <c r="E90" t="inlineStr"/>
      <c r="F90" s="4" t="n">
        <v>640</v>
      </c>
      <c r="G90" t="inlineStr">
        <is>
          <t>VB</t>
        </is>
      </c>
      <c r="H90" t="inlineStr">
        <is>
          <t>78462 Baden-Württemberg - Konstanz</t>
        </is>
      </c>
      <c r="I90" s="5" t="n">
        <v>45565</v>
      </c>
      <c r="J90" t="inlineStr"/>
      <c r="K90" s="6">
        <f>HYPERLINK("https://www.kleinanzeigen.de/s-anzeige/stx-freeride-10-6-windsurf-sup-prolimit-cardan-joint-baseplate/2878285955-230-9390", "Link")</f>
        <v/>
      </c>
      <c r="L90" s="6">
        <f>HYPERLINK("C:\Projects\Kleinanzeigen-Scraper\offer_images\2878285955", "Link")</f>
        <v/>
      </c>
      <c r="M90" t="inlineStr">
        <is>
          <t>Dennis V.</t>
        </is>
      </c>
      <c r="N90" s="6">
        <f>HYPERLINK("https://www.kleinanzeigen.de/s-bestandsliste.html?userId=38590430", "Link")</f>
        <v/>
      </c>
      <c r="O90" s="7" t="n">
        <v>45565.74071759259</v>
      </c>
      <c r="P90" s="3" t="inlineStr">
        <is>
          <t>64.75</t>
        </is>
      </c>
      <c r="Q90" t="inlineStr">
        <is>
          <t>Bonndorf</t>
        </is>
      </c>
    </row>
    <row r="91">
      <c r="A91" t="inlineStr">
        <is>
          <t>245 x 54 cm</t>
        </is>
      </c>
      <c r="B91" t="inlineStr">
        <is>
          <t>Naish Supercross</t>
        </is>
      </c>
      <c r="C91" t="inlineStr">
        <is>
          <t>Wave</t>
        </is>
      </c>
      <c r="D91" s="3" t="n">
        <v>75</v>
      </c>
      <c r="E91" t="inlineStr"/>
      <c r="F91" s="4" t="n">
        <v>80</v>
      </c>
      <c r="G91" t="inlineStr"/>
      <c r="H91" t="inlineStr">
        <is>
          <t>79100 Freiburg im Breisgau - Wiehre</t>
        </is>
      </c>
      <c r="I91" s="5" t="n">
        <v>45565</v>
      </c>
      <c r="J91" t="inlineStr">
        <is>
          <t>Sold</t>
        </is>
      </c>
      <c r="K91" s="6">
        <f>HYPERLINK("https://www.kleinanzeigen.de/s-anzeige/verkaufe-naish-supercross-windsurfbrett-mit-boardbag-finne/2878335707-230-9368", "Link")</f>
        <v/>
      </c>
      <c r="L91" s="6">
        <f>HYPERLINK("C:\Projects\Kleinanzeigen-Scraper\offer_images\2878335707", "Link")</f>
        <v/>
      </c>
      <c r="M91" t="inlineStr">
        <is>
          <t>MLF</t>
        </is>
      </c>
      <c r="N91" s="6">
        <f>HYPERLINK("https://www.kleinanzeigen.de/s-bestandsliste.html?userId=15574759", "Link")</f>
        <v/>
      </c>
      <c r="O91" s="7" t="n">
        <v>45565.73961805556</v>
      </c>
      <c r="P91" s="3" t="inlineStr">
        <is>
          <t>39.95</t>
        </is>
      </c>
      <c r="Q91" t="inlineStr">
        <is>
          <t>Bonndorf</t>
        </is>
      </c>
    </row>
    <row r="92">
      <c r="A92" t="inlineStr">
        <is>
          <t>251 cm x 67.5 cm</t>
        </is>
      </c>
      <c r="B92" t="inlineStr">
        <is>
          <t>Patrik Freeride</t>
        </is>
      </c>
      <c r="C92" t="inlineStr">
        <is>
          <t>Freeride</t>
        </is>
      </c>
      <c r="D92" s="3" t="n">
        <v>125</v>
      </c>
      <c r="E92" t="inlineStr"/>
      <c r="F92" s="4" t="n">
        <v>480</v>
      </c>
      <c r="G92" t="inlineStr">
        <is>
          <t>VB</t>
        </is>
      </c>
      <c r="H92" t="inlineStr">
        <is>
          <t>24119 Kiel - Kronshagen</t>
        </is>
      </c>
      <c r="I92" s="5" t="n">
        <v>45565</v>
      </c>
      <c r="J92" t="inlineStr"/>
      <c r="K92" s="6">
        <f>HYPERLINK("https://www.kleinanzeigen.de/s-anzeige/windsurf-board-patrik-freeride-aufsteigerboard-125-l/2878157612-230-705", "Link")</f>
        <v/>
      </c>
      <c r="L92" s="6">
        <f>HYPERLINK("C:\Projects\Kleinanzeigen-Scraper\offer_images\2878157612", "Link")</f>
        <v/>
      </c>
      <c r="M92" t="inlineStr">
        <is>
          <t>Miriam</t>
        </is>
      </c>
      <c r="N92" s="6">
        <f>HYPERLINK("https://www.kleinanzeigen.de/s-bestandsliste.html?userId=6731406", "Link")</f>
        <v/>
      </c>
      <c r="O92" s="7" t="n">
        <v>45565.73822916667</v>
      </c>
      <c r="P92" s="3" t="inlineStr">
        <is>
          <t>432.46</t>
        </is>
      </c>
      <c r="Q92" t="inlineStr">
        <is>
          <t>Köln</t>
        </is>
      </c>
    </row>
    <row r="93">
      <c r="A93" t="inlineStr"/>
      <c r="B93" t="inlineStr">
        <is>
          <t>Fanatic Stubby</t>
        </is>
      </c>
      <c r="C93" t="inlineStr"/>
      <c r="D93" s="3" t="n">
        <v>88</v>
      </c>
      <c r="E93" t="inlineStr">
        <is>
          <t>2017</t>
        </is>
      </c>
      <c r="F93" s="4" t="n">
        <v>500</v>
      </c>
      <c r="G93" t="inlineStr">
        <is>
          <t>VB</t>
        </is>
      </c>
      <c r="H93" t="inlineStr">
        <is>
          <t>22607 Altona - Hamburg Groß Flottbek</t>
        </is>
      </c>
      <c r="I93" s="5" t="n">
        <v>45565</v>
      </c>
      <c r="J93" t="inlineStr"/>
      <c r="K93" s="6">
        <f>HYPERLINK("https://www.kleinanzeigen.de/s-anzeige/windsurfboard-fanatic-stubby-88l-2017-boardbag-und-2-finnen-/2878243396-230-9500", "Link")</f>
        <v/>
      </c>
      <c r="L93" s="6">
        <f>HYPERLINK("C:\Projects\Kleinanzeigen-Scraper\offer_images\2878243396", "Link")</f>
        <v/>
      </c>
      <c r="M93" t="inlineStr">
        <is>
          <t>karel</t>
        </is>
      </c>
      <c r="N93" s="6">
        <f>HYPERLINK("https://www.kleinanzeigen.de/s-bestandsliste.html?userId=138713193", "Link")</f>
        <v/>
      </c>
      <c r="O93" s="7" t="n">
        <v>45565.73789351852</v>
      </c>
      <c r="P93" s="3" t="inlineStr">
        <is>
          <t>354.01</t>
        </is>
      </c>
      <c r="Q93" t="inlineStr">
        <is>
          <t>Köln</t>
        </is>
      </c>
    </row>
    <row r="94">
      <c r="A94" t="inlineStr">
        <is>
          <t>143 / 40.5</t>
        </is>
      </c>
      <c r="B94" t="inlineStr">
        <is>
          <t>North Gonzales</t>
        </is>
      </c>
      <c r="C94" t="inlineStr"/>
      <c r="D94" s="3" t="inlineStr"/>
      <c r="E94" t="inlineStr"/>
      <c r="F94" s="4" t="n">
        <v>180</v>
      </c>
      <c r="G94" t="inlineStr">
        <is>
          <t>VB</t>
        </is>
      </c>
      <c r="H94" t="inlineStr">
        <is>
          <t>22559 Altona - Hamburg Rissen</t>
        </is>
      </c>
      <c r="I94" s="5" t="n">
        <v>45565</v>
      </c>
      <c r="J94" t="inlineStr">
        <is>
          <t>Sold</t>
        </is>
      </c>
      <c r="K94" s="6">
        <f>HYPERLINK("https://www.kleinanzeigen.de/s-anzeige/north-gonzalez-143-40-5/2878369216-230-9507", "Link")</f>
        <v/>
      </c>
      <c r="L94" s="6">
        <f>HYPERLINK("C:\Projects\Kleinanzeigen-Scraper\offer_images\2878369216", "Link")</f>
        <v/>
      </c>
      <c r="M94" t="inlineStr">
        <is>
          <t>Lennart</t>
        </is>
      </c>
      <c r="N94" s="6">
        <f>HYPERLINK("https://www.kleinanzeigen.de/s-bestandsliste.html?userId=5189659", "Link")</f>
        <v/>
      </c>
      <c r="O94" s="7" t="n">
        <v>45565.73755787037</v>
      </c>
      <c r="P94" s="3" t="inlineStr">
        <is>
          <t>350.33</t>
        </is>
      </c>
      <c r="Q94" t="inlineStr">
        <is>
          <t>Köln</t>
        </is>
      </c>
    </row>
    <row r="95">
      <c r="A95" t="inlineStr">
        <is>
          <t>5'8"</t>
        </is>
      </c>
      <c r="B95" t="inlineStr">
        <is>
          <t>Naish S26 Surf Ascend Hover Crbn Ultra</t>
        </is>
      </c>
      <c r="C95" t="inlineStr"/>
      <c r="D95" s="3" t="inlineStr"/>
      <c r="E95" t="inlineStr"/>
      <c r="F95" s="4" t="n">
        <v>500</v>
      </c>
      <c r="G95" t="inlineStr">
        <is>
          <t>VB</t>
        </is>
      </c>
      <c r="H95" t="inlineStr">
        <is>
          <t>12587 Berlin - Köpenick</t>
        </is>
      </c>
      <c r="I95" s="5" t="n">
        <v>45544</v>
      </c>
      <c r="J95" t="inlineStr"/>
      <c r="K95" s="6">
        <f>HYPERLINK("https://www.kleinanzeigen.de/s-anzeige/naish-s26-surf-ascend-hover-crbn-ultra-5-8-/2858442075-230-3374", "Link")</f>
        <v/>
      </c>
      <c r="L95" s="6">
        <f>HYPERLINK("C:\Projects\Kleinanzeigen-Scraper\offer_images\2858442075", "Link")</f>
        <v/>
      </c>
      <c r="M95" t="inlineStr">
        <is>
          <t>Johannes Glitzky</t>
        </is>
      </c>
      <c r="N95" s="6">
        <f>HYPERLINK("https://www.kleinanzeigen.de/s-bestandsliste.html?userId=133592437", "Link")</f>
        <v/>
      </c>
      <c r="O95" s="7" t="n">
        <v>45565.73731481482</v>
      </c>
      <c r="P95" s="3" t="inlineStr">
        <is>
          <t>490.72</t>
        </is>
      </c>
      <c r="Q95" t="inlineStr">
        <is>
          <t>Köln</t>
        </is>
      </c>
    </row>
    <row r="96">
      <c r="A96" t="inlineStr">
        <is>
          <t>12'6" x 30"</t>
        </is>
      </c>
      <c r="B96" t="inlineStr">
        <is>
          <t>Starboard Touring</t>
        </is>
      </c>
      <c r="C96" t="inlineStr">
        <is>
          <t>Touring</t>
        </is>
      </c>
      <c r="D96" s="3" t="inlineStr"/>
      <c r="E96" t="inlineStr">
        <is>
          <t>2023</t>
        </is>
      </c>
      <c r="F96" s="4" t="n">
        <v>899</v>
      </c>
      <c r="G96" t="inlineStr">
        <is>
          <t>VB</t>
        </is>
      </c>
      <c r="H96" t="inlineStr">
        <is>
          <t>81667 München - Au-Haidhausen</t>
        </is>
      </c>
      <c r="I96" s="5" t="n">
        <v>45565</v>
      </c>
      <c r="J96" t="inlineStr"/>
      <c r="K96" s="6">
        <f>HYPERLINK("https://www.kleinanzeigen.de/s-anzeige/sup-starboard-touring-isup-12-6-x-30-de-lux-dc-2023-garantie/2878287406-230-6454", "Link")</f>
        <v/>
      </c>
      <c r="L96" s="6">
        <f>HYPERLINK("C:\Projects\Kleinanzeigen-Scraper\offer_images\2878287406", "Link")</f>
        <v/>
      </c>
      <c r="M96" t="inlineStr">
        <is>
          <t>Guido Meier</t>
        </is>
      </c>
      <c r="N96" s="6">
        <f>HYPERLINK("https://www.kleinanzeigen.de/s-bestandsliste.html?userId=11953205", "Link")</f>
        <v/>
      </c>
      <c r="O96" s="7" t="n">
        <v>45565.73708333333</v>
      </c>
      <c r="P96" s="3" t="inlineStr">
        <is>
          <t>2.06</t>
        </is>
      </c>
      <c r="Q96" t="inlineStr">
        <is>
          <t>München</t>
        </is>
      </c>
    </row>
    <row r="97">
      <c r="A97" t="inlineStr">
        <is>
          <t>236 x 62 cm</t>
        </is>
      </c>
      <c r="B97" t="inlineStr">
        <is>
          <t>Starboard EVO</t>
        </is>
      </c>
      <c r="C97" t="inlineStr">
        <is>
          <t>Wave</t>
        </is>
      </c>
      <c r="D97" s="3" t="n">
        <v>91</v>
      </c>
      <c r="E97" t="inlineStr"/>
      <c r="F97" s="4" t="n">
        <v>150</v>
      </c>
      <c r="G97" t="inlineStr"/>
      <c r="H97" t="inlineStr">
        <is>
          <t>18586 Mecklenburg-Vorpommern - Sellin</t>
        </is>
      </c>
      <c r="I97" s="5" t="n">
        <v>45565</v>
      </c>
      <c r="J97" t="inlineStr"/>
      <c r="K97" s="6">
        <f>HYPERLINK("https://www.kleinanzeigen.de/s-anzeige/windsurf-waveboard-evo-91-l/2878350256-230-19466", "Link")</f>
        <v/>
      </c>
      <c r="L97" s="6">
        <f>HYPERLINK("C:\Projects\Kleinanzeigen-Scraper\offer_images\2878350256", "Link")</f>
        <v/>
      </c>
      <c r="M97" t="inlineStr">
        <is>
          <t>Thomas Schönburg</t>
        </is>
      </c>
      <c r="N97" s="6">
        <f>HYPERLINK("https://www.kleinanzeigen.de/s-bestandsliste.html?userId=6957877", "Link")</f>
        <v/>
      </c>
      <c r="O97" s="7" t="n">
        <v>45565.73700231482</v>
      </c>
      <c r="P97" s="3" t="inlineStr">
        <is>
          <t>591.22</t>
        </is>
      </c>
      <c r="Q97" t="inlineStr">
        <is>
          <t>Köln</t>
        </is>
      </c>
    </row>
    <row r="98">
      <c r="A98" t="inlineStr">
        <is>
          <t>92</t>
        </is>
      </c>
      <c r="B98" t="inlineStr">
        <is>
          <t>Simmer Style Whip</t>
        </is>
      </c>
      <c r="C98" t="inlineStr">
        <is>
          <t>Freestyle</t>
        </is>
      </c>
      <c r="D98" s="3" t="inlineStr"/>
      <c r="E98" t="inlineStr">
        <is>
          <t>2019</t>
        </is>
      </c>
      <c r="F98" s="4" t="n">
        <v>250</v>
      </c>
      <c r="G98" t="inlineStr"/>
      <c r="H98" t="inlineStr">
        <is>
          <t>81541 München</t>
        </is>
      </c>
      <c r="I98" s="5" t="n">
        <v>45564</v>
      </c>
      <c r="J98" t="inlineStr"/>
      <c r="K98" s="6">
        <f>HYPERLINK("https://www.dailydose.de/kleinanzeigen/detail.htm?ai=423360&amp;cf=kk&amp;pg=2&amp;ci=11", "Link")</f>
        <v/>
      </c>
      <c r="L98" s="6">
        <f>HYPERLINK("C:\Projects\Kleinanzeigen-Scraper\offer_images\423360", "Link")</f>
        <v/>
      </c>
      <c r="M98" t="inlineStr">
        <is>
          <t>jonas_171</t>
        </is>
      </c>
      <c r="N98" s="6">
        <f>HYPERLINK("https://www.dailydose.de/kleinanzeigen/user/12457", "Link")</f>
        <v/>
      </c>
      <c r="O98" s="7" t="n">
        <v>45564.87553240741</v>
      </c>
      <c r="P98" s="3" t="inlineStr">
        <is>
          <t>1.89</t>
        </is>
      </c>
      <c r="Q98" t="inlineStr">
        <is>
          <t>München</t>
        </is>
      </c>
    </row>
    <row r="99">
      <c r="A99" t="inlineStr">
        <is>
          <t>232 x 58 cm</t>
        </is>
      </c>
      <c r="B99" t="inlineStr">
        <is>
          <t>Rrd Firewave</t>
        </is>
      </c>
      <c r="C99" t="inlineStr">
        <is>
          <t>Wave</t>
        </is>
      </c>
      <c r="D99" s="3" t="n">
        <v>74</v>
      </c>
      <c r="E99" t="inlineStr"/>
      <c r="F99" s="4" t="n">
        <v>230</v>
      </c>
      <c r="G99" t="inlineStr"/>
      <c r="H99" t="inlineStr">
        <is>
          <t>18233 Moitin</t>
        </is>
      </c>
      <c r="I99" s="5" t="n">
        <v>45564</v>
      </c>
      <c r="J99" t="inlineStr"/>
      <c r="K99" s="6">
        <f>HYPERLINK("https://www.dailydose.de/kleinanzeigen/detail.htm?ai=423368&amp;cf=kk&amp;pg=2&amp;ci=11", "Link")</f>
        <v/>
      </c>
      <c r="L99" s="6">
        <f>HYPERLINK("C:\Projects\Kleinanzeigen-Scraper\offer_images\423368", "Link")</f>
        <v/>
      </c>
      <c r="M99" t="inlineStr">
        <is>
          <t>Andreas Wier</t>
        </is>
      </c>
      <c r="N99" s="6">
        <f>HYPERLINK("https://www.dailydose.de/kleinanzeigen/user/25026", "Link")</f>
        <v/>
      </c>
      <c r="O99" s="7" t="n">
        <v>45564.87501157408</v>
      </c>
      <c r="P99" s="3" t="inlineStr">
        <is>
          <t>469.32</t>
        </is>
      </c>
      <c r="Q99" t="inlineStr">
        <is>
          <t>Köln</t>
        </is>
      </c>
    </row>
    <row r="100">
      <c r="A100" t="inlineStr">
        <is>
          <t>225 x 60</t>
        </is>
      </c>
      <c r="B100" t="inlineStr">
        <is>
          <t>Wark Custom Waveboard</t>
        </is>
      </c>
      <c r="C100" t="inlineStr">
        <is>
          <t>Wave</t>
        </is>
      </c>
      <c r="D100" s="3" t="n">
        <v>90</v>
      </c>
      <c r="E100" t="inlineStr"/>
      <c r="F100" s="4" t="n">
        <v>1300</v>
      </c>
      <c r="G100" t="inlineStr">
        <is>
          <t>VB</t>
        </is>
      </c>
      <c r="H100" t="inlineStr">
        <is>
          <t>66386 IGB, S, KL, MZ, K, DO, Wissant</t>
        </is>
      </c>
      <c r="I100" s="5" t="n">
        <v>45564</v>
      </c>
      <c r="J100" t="inlineStr"/>
      <c r="K100" s="6">
        <f>HYPERLINK("https://www.dailydose.de/kleinanzeigen/detail.htm?ai=423334&amp;cf=kk&amp;pg=2&amp;ci=11", "Link")</f>
        <v/>
      </c>
      <c r="L100" s="6">
        <f>HYPERLINK("C:\Projects\Kleinanzeigen-Scraper\offer_images\423334", "Link")</f>
        <v/>
      </c>
      <c r="M100" t="inlineStr">
        <is>
          <t>Peter Elze</t>
        </is>
      </c>
      <c r="N100" s="6">
        <f>HYPERLINK("https://www.dailydose.de/kleinanzeigen/user/18910", "Link")</f>
        <v/>
      </c>
      <c r="O100" s="7" t="n">
        <v>45564.87482638889</v>
      </c>
      <c r="P100" s="3" t="inlineStr">
        <is>
          <t>96.65</t>
        </is>
      </c>
      <c r="Q100" t="inlineStr">
        <is>
          <t>Karlsruhe</t>
        </is>
      </c>
    </row>
    <row r="101">
      <c r="A101" t="inlineStr"/>
      <c r="B101" t="inlineStr">
        <is>
          <t>Tabou Da Bomb</t>
        </is>
      </c>
      <c r="C101" t="inlineStr"/>
      <c r="D101" s="3" t="n">
        <v>104</v>
      </c>
      <c r="E101" t="inlineStr">
        <is>
          <t>2024</t>
        </is>
      </c>
      <c r="F101" s="4" t="n">
        <v>1450</v>
      </c>
      <c r="G101" t="inlineStr"/>
      <c r="H101" t="inlineStr">
        <is>
          <t>42699 Solingen Klitmöller</t>
        </is>
      </c>
      <c r="I101" s="5" t="n">
        <v>45564</v>
      </c>
      <c r="J101" t="inlineStr">
        <is>
          <t>Sold</t>
        </is>
      </c>
      <c r="K101" s="6">
        <f>HYPERLINK("https://www.dailydose.de/kleinanzeigen/detail.htm?ai=423339&amp;cf=kk&amp;pg=2&amp;ci=11", "Link")</f>
        <v/>
      </c>
      <c r="L101" s="6">
        <f>HYPERLINK("C:\Projects\Kleinanzeigen-Scraper\offer_images\423339", "Link")</f>
        <v/>
      </c>
      <c r="M101" t="inlineStr">
        <is>
          <t>toto</t>
        </is>
      </c>
      <c r="N101" s="6">
        <f>HYPERLINK("https://www.dailydose.de/kleinanzeigen/user/9080", "Link")</f>
        <v/>
      </c>
      <c r="O101" s="7" t="n">
        <v>45564.87476851852</v>
      </c>
      <c r="P101" s="3" t="inlineStr">
        <is>
          <t>23.02</t>
        </is>
      </c>
      <c r="Q101" t="inlineStr">
        <is>
          <t>Köln</t>
        </is>
      </c>
    </row>
    <row r="102">
      <c r="A102" t="inlineStr"/>
      <c r="B102" t="inlineStr">
        <is>
          <t>JP Australia Ultimate Wave</t>
        </is>
      </c>
      <c r="C102" t="inlineStr">
        <is>
          <t>Wave</t>
        </is>
      </c>
      <c r="D102" s="3" t="inlineStr"/>
      <c r="E102" t="inlineStr"/>
      <c r="F102" s="4" t="n">
        <v>550</v>
      </c>
      <c r="G102" t="inlineStr"/>
      <c r="H102" t="inlineStr">
        <is>
          <t>18233 Moitin</t>
        </is>
      </c>
      <c r="I102" s="5" t="n">
        <v>45564</v>
      </c>
      <c r="J102" t="inlineStr"/>
      <c r="K102" s="6">
        <f>HYPERLINK("https://www.dailydose.de/kleinanzeigen/detail.htm?ai=423369&amp;cf=kk&amp;pg=2&amp;ci=11", "Link")</f>
        <v/>
      </c>
      <c r="L102" s="6">
        <f>HYPERLINK("C:\Projects\Kleinanzeigen-Scraper\offer_images\423369", "Link")</f>
        <v/>
      </c>
      <c r="M102" t="inlineStr">
        <is>
          <t>Andreas Wier</t>
        </is>
      </c>
      <c r="N102" s="6">
        <f>HYPERLINK("https://www.dailydose.de/kleinanzeigen/user/25026", "Link")</f>
        <v/>
      </c>
      <c r="O102" s="7" t="n">
        <v>45564.8747337963</v>
      </c>
      <c r="P102" s="3" t="inlineStr">
        <is>
          <t>469.32</t>
        </is>
      </c>
      <c r="Q102" t="inlineStr">
        <is>
          <t>Köln</t>
        </is>
      </c>
    </row>
    <row r="103">
      <c r="A103" t="inlineStr">
        <is>
          <t>116</t>
        </is>
      </c>
      <c r="B103" t="inlineStr">
        <is>
          <t>JP All Ride</t>
        </is>
      </c>
      <c r="C103" t="inlineStr">
        <is>
          <t>Freeride</t>
        </is>
      </c>
      <c r="D103" s="3" t="inlineStr"/>
      <c r="E103" t="inlineStr">
        <is>
          <t>2016</t>
        </is>
      </c>
      <c r="F103" s="4" t="n">
        <v>580</v>
      </c>
      <c r="G103" t="inlineStr"/>
      <c r="H103" t="inlineStr">
        <is>
          <t>83417 Kirchanschöring</t>
        </is>
      </c>
      <c r="I103" s="5" t="n">
        <v>45564</v>
      </c>
      <c r="J103" t="inlineStr"/>
      <c r="K103" s="6">
        <f>HYPERLINK("https://www.dailydose.de/kleinanzeigen/detail.htm?ai=423323&amp;cf=kk&amp;pg=2&amp;ci=11", "Link")</f>
        <v/>
      </c>
      <c r="L103" s="6">
        <f>HYPERLINK("C:\Projects\Kleinanzeigen-Scraper\offer_images\423323", "Link")</f>
        <v/>
      </c>
      <c r="M103" t="inlineStr">
        <is>
          <t>Christoph_136</t>
        </is>
      </c>
      <c r="N103" s="6">
        <f>HYPERLINK("https://www.dailydose.de/kleinanzeigen/user/17998", "Link")</f>
        <v/>
      </c>
      <c r="O103" s="7" t="n">
        <v>45564.87462962963</v>
      </c>
      <c r="P103" s="3" t="inlineStr">
        <is>
          <t>95.98</t>
        </is>
      </c>
      <c r="Q103" t="inlineStr">
        <is>
          <t>München</t>
        </is>
      </c>
    </row>
    <row r="104">
      <c r="A104" t="inlineStr">
        <is>
          <t>85 l</t>
        </is>
      </c>
      <c r="B104" t="inlineStr">
        <is>
          <t>Duotone Free Wave SLS</t>
        </is>
      </c>
      <c r="C104" t="inlineStr">
        <is>
          <t>Freeride</t>
        </is>
      </c>
      <c r="D104" s="3" t="n">
        <v>85</v>
      </c>
      <c r="E104" t="inlineStr">
        <is>
          <t>2024</t>
        </is>
      </c>
      <c r="F104" s="4" t="n">
        <v>1350</v>
      </c>
      <c r="G104" t="inlineStr">
        <is>
          <t>VB</t>
        </is>
      </c>
      <c r="H104" t="inlineStr">
        <is>
          <t>80687 München</t>
        </is>
      </c>
      <c r="I104" s="5" t="n">
        <v>45564</v>
      </c>
      <c r="J104" t="inlineStr"/>
      <c r="K104" s="6">
        <f>HYPERLINK("https://www.dailydose.de/kleinanzeigen/detail.htm?ai=423331&amp;cf=kk&amp;pg=2&amp;ci=11", "Link")</f>
        <v/>
      </c>
      <c r="L104" s="6">
        <f>HYPERLINK("C:\Projects\Kleinanzeigen-Scraper\offer_images\423331", "Link")</f>
        <v/>
      </c>
      <c r="M104" t="inlineStr">
        <is>
          <t>Artur_86</t>
        </is>
      </c>
      <c r="N104" s="6">
        <f>HYPERLINK("https://www.dailydose.de/kleinanzeigen/user/4053", "Link")</f>
        <v/>
      </c>
      <c r="O104" s="7" t="n">
        <v>45564.87460648148</v>
      </c>
      <c r="P104" s="3" t="inlineStr">
        <is>
          <t>3.99</t>
        </is>
      </c>
      <c r="Q104" t="inlineStr">
        <is>
          <t>München</t>
        </is>
      </c>
    </row>
    <row r="105">
      <c r="A105" t="inlineStr">
        <is>
          <t>228 x 73 cm</t>
        </is>
      </c>
      <c r="B105" t="inlineStr">
        <is>
          <t>Starboard Isonic 73</t>
        </is>
      </c>
      <c r="C105" t="inlineStr"/>
      <c r="D105" s="3" t="n">
        <v>122</v>
      </c>
      <c r="E105" t="inlineStr">
        <is>
          <t>2022</t>
        </is>
      </c>
      <c r="F105" s="4" t="n">
        <v>1200</v>
      </c>
      <c r="G105" t="inlineStr"/>
      <c r="H105" t="inlineStr">
        <is>
          <t>42781 Haan</t>
        </is>
      </c>
      <c r="I105" s="5" t="n">
        <v>45564</v>
      </c>
      <c r="J105" t="inlineStr"/>
      <c r="K105" s="6">
        <f>HYPERLINK("https://www.dailydose.de/kleinanzeigen/detail.htm?ai=423373&amp;cf=kk&amp;pg=2&amp;ci=11", "Link")</f>
        <v/>
      </c>
      <c r="L105" s="6">
        <f>HYPERLINK("C:\Projects\Kleinanzeigen-Scraper\offer_images\423373", "Link")</f>
        <v/>
      </c>
      <c r="M105" t="inlineStr">
        <is>
          <t>mastera</t>
        </is>
      </c>
      <c r="N105" s="6">
        <f>HYPERLINK("https://www.dailydose.de/kleinanzeigen/user/3850", "Link")</f>
        <v/>
      </c>
      <c r="O105" s="7" t="n">
        <v>45564.87453703704</v>
      </c>
      <c r="P105" s="3" t="inlineStr">
        <is>
          <t>29.91</t>
        </is>
      </c>
      <c r="Q105" t="inlineStr">
        <is>
          <t>Köln</t>
        </is>
      </c>
    </row>
    <row r="106">
      <c r="A106" t="inlineStr"/>
      <c r="B106" t="inlineStr">
        <is>
          <t>Fanatic Tri Wave TE</t>
        </is>
      </c>
      <c r="C106" t="inlineStr">
        <is>
          <t>Wave</t>
        </is>
      </c>
      <c r="D106" s="3" t="n">
        <v>99</v>
      </c>
      <c r="E106" t="inlineStr">
        <is>
          <t>2017</t>
        </is>
      </c>
      <c r="F106" s="4" t="n">
        <v>350</v>
      </c>
      <c r="G106" t="inlineStr"/>
      <c r="H106" t="inlineStr">
        <is>
          <t>30900 Wedemark</t>
        </is>
      </c>
      <c r="I106" s="5" t="n">
        <v>45564</v>
      </c>
      <c r="J106" t="inlineStr"/>
      <c r="K106" s="6">
        <f>HYPERLINK("https://www.dailydose.de/kleinanzeigen/detail.htm?ai=423346&amp;cf=kk&amp;pg=2&amp;ci=11", "Link")</f>
        <v/>
      </c>
      <c r="L106" s="6">
        <f>HYPERLINK("C:\Projects\Kleinanzeigen-Scraper\offer_images\423346", "Link")</f>
        <v/>
      </c>
      <c r="M106" t="inlineStr">
        <is>
          <t>MikeTai</t>
        </is>
      </c>
      <c r="N106" s="6">
        <f>HYPERLINK("https://www.dailydose.de/kleinanzeigen/user/1686", "Link")</f>
        <v/>
      </c>
      <c r="O106" s="7" t="n">
        <v>45564.87431712963</v>
      </c>
      <c r="P106" s="3" t="inlineStr">
        <is>
          <t>260.77</t>
        </is>
      </c>
      <c r="Q106" t="inlineStr">
        <is>
          <t>Köln</t>
        </is>
      </c>
    </row>
    <row r="107">
      <c r="A107" t="inlineStr"/>
      <c r="B107" t="inlineStr">
        <is>
          <t>Surfline Munich Madd Wave</t>
        </is>
      </c>
      <c r="C107" t="inlineStr">
        <is>
          <t>Wave</t>
        </is>
      </c>
      <c r="D107" s="3" t="n">
        <v>83</v>
      </c>
      <c r="E107" t="inlineStr"/>
      <c r="F107" s="4" t="n">
        <v>450</v>
      </c>
      <c r="G107" t="inlineStr"/>
      <c r="H107" t="inlineStr">
        <is>
          <t>Nähe Bielefeld</t>
        </is>
      </c>
      <c r="I107" s="5" t="n">
        <v>45564</v>
      </c>
      <c r="J107" t="inlineStr"/>
      <c r="K107" s="6">
        <f>HYPERLINK("https://www.dailydose.de/kleinanzeigen/detail.htm?ai=423376&amp;cf=kk&amp;pg=2&amp;ci=11", "Link")</f>
        <v/>
      </c>
      <c r="L107" s="6">
        <f>HYPERLINK("C:\Projects\Kleinanzeigen-Scraper\offer_images\423376", "Link")</f>
        <v/>
      </c>
      <c r="M107" t="inlineStr">
        <is>
          <t>AR</t>
        </is>
      </c>
      <c r="N107" s="6">
        <f>HYPERLINK("https://www.dailydose.de/kleinanzeigen/user/4186", "Link")</f>
        <v/>
      </c>
      <c r="O107" s="7" t="n">
        <v>45564.87412037037</v>
      </c>
      <c r="P107" s="3" t="inlineStr">
        <is>
          <t>159.54</t>
        </is>
      </c>
      <c r="Q107" t="inlineStr">
        <is>
          <t>Köln</t>
        </is>
      </c>
    </row>
    <row r="108">
      <c r="A108" t="inlineStr"/>
      <c r="B108" t="inlineStr">
        <is>
          <t>Surfline Munich</t>
        </is>
      </c>
      <c r="C108" t="inlineStr">
        <is>
          <t>Freestyle/Wave</t>
        </is>
      </c>
      <c r="D108" s="3" t="n">
        <v>112</v>
      </c>
      <c r="E108" t="inlineStr"/>
      <c r="F108" s="4" t="n">
        <v>850</v>
      </c>
      <c r="G108" t="inlineStr">
        <is>
          <t>VB</t>
        </is>
      </c>
      <c r="H108" t="inlineStr">
        <is>
          <t>82279 Bayern - Eching am Ammersee</t>
        </is>
      </c>
      <c r="I108" s="5" t="n">
        <v>45564</v>
      </c>
      <c r="J108" t="inlineStr"/>
      <c r="K108" s="6">
        <f>HYPERLINK("https://www.dailydose.de/kleinanzeigen/detail.htm?ai=423325&amp;cf=kk&amp;pg=2&amp;ci=11", "Link")</f>
        <v/>
      </c>
      <c r="L108" s="6">
        <f>HYPERLINK("C:\Projects\Kleinanzeigen-Scraper\offer_images\423325", "Link")</f>
        <v/>
      </c>
      <c r="M108" t="inlineStr">
        <is>
          <t>Oliver Gansser</t>
        </is>
      </c>
      <c r="N108" s="6">
        <f>HYPERLINK("https://www.dailydose.de/kleinanzeigen/user/18328", "Link")</f>
        <v/>
      </c>
      <c r="O108" s="7" t="n">
        <v>45564.87402777778</v>
      </c>
      <c r="P108" s="3" t="inlineStr">
        <is>
          <t>34.50</t>
        </is>
      </c>
      <c r="Q108" t="inlineStr">
        <is>
          <t>München</t>
        </is>
      </c>
    </row>
    <row r="109">
      <c r="A109" t="inlineStr">
        <is>
          <t>228 cm x 67 cm</t>
        </is>
      </c>
      <c r="B109" t="inlineStr">
        <is>
          <t>Starboard Futura</t>
        </is>
      </c>
      <c r="C109" t="inlineStr">
        <is>
          <t>Freeride</t>
        </is>
      </c>
      <c r="D109" s="3" t="n">
        <v>106</v>
      </c>
      <c r="E109" t="inlineStr">
        <is>
          <t>2022</t>
        </is>
      </c>
      <c r="F109" s="4" t="n">
        <v>920</v>
      </c>
      <c r="G109" t="inlineStr"/>
      <c r="H109" t="inlineStr">
        <is>
          <t>21217 Seevetal GT Meckelfeld</t>
        </is>
      </c>
      <c r="I109" s="5" t="n">
        <v>45564</v>
      </c>
      <c r="J109" t="inlineStr"/>
      <c r="K109" s="6">
        <f>HYPERLINK("https://www.dailydose.de/kleinanzeigen/detail.htm?ai=423327&amp;cf=kk&amp;pg=2&amp;ci=11", "Link")</f>
        <v/>
      </c>
      <c r="L109" s="6">
        <f>HYPERLINK("C:\Projects\Kleinanzeigen-Scraper\offer_images\423327", "Link")</f>
        <v/>
      </c>
      <c r="M109" t="inlineStr">
        <is>
          <t>joey</t>
        </is>
      </c>
      <c r="N109" s="6">
        <f>HYPERLINK("https://www.dailydose.de/kleinanzeigen/user/12288", "Link")</f>
        <v/>
      </c>
      <c r="O109" s="7" t="n">
        <v>45564.87380787037</v>
      </c>
      <c r="P109" s="3" t="inlineStr">
        <is>
          <t>348.89</t>
        </is>
      </c>
      <c r="Q109" t="inlineStr">
        <is>
          <t>Köln</t>
        </is>
      </c>
    </row>
    <row r="110">
      <c r="A110" t="inlineStr">
        <is>
          <t>240 x 70</t>
        </is>
      </c>
      <c r="B110" t="inlineStr">
        <is>
          <t>Wark Custom</t>
        </is>
      </c>
      <c r="C110" t="inlineStr">
        <is>
          <t>Freeride/Freerace</t>
        </is>
      </c>
      <c r="D110" s="3" t="n">
        <v>120</v>
      </c>
      <c r="E110" t="inlineStr"/>
      <c r="F110" s="4" t="n">
        <v>1400</v>
      </c>
      <c r="G110" t="inlineStr">
        <is>
          <t>VB</t>
        </is>
      </c>
      <c r="H110" t="inlineStr">
        <is>
          <t>66386 IGB, S, KL, MZ, K, DO, Wissant</t>
        </is>
      </c>
      <c r="I110" s="5" t="n">
        <v>45564</v>
      </c>
      <c r="J110" t="inlineStr"/>
      <c r="K110" s="6">
        <f>HYPERLINK("https://www.dailydose.de/kleinanzeigen/detail.htm?ai=423333&amp;cf=kk&amp;pg=2&amp;ci=11", "Link")</f>
        <v/>
      </c>
      <c r="L110" s="6">
        <f>HYPERLINK("C:\Projects\Kleinanzeigen-Scraper\offer_images\423333", "Link")</f>
        <v/>
      </c>
      <c r="M110" t="inlineStr">
        <is>
          <t>Peter Elze</t>
        </is>
      </c>
      <c r="N110" s="6">
        <f>HYPERLINK("https://www.dailydose.de/kleinanzeigen/user/18910", "Link")</f>
        <v/>
      </c>
      <c r="O110" s="7" t="n">
        <v>45564.87326388889</v>
      </c>
      <c r="P110" s="3" t="inlineStr">
        <is>
          <t>96.65</t>
        </is>
      </c>
      <c r="Q110" t="inlineStr">
        <is>
          <t>Karlsruhe</t>
        </is>
      </c>
    </row>
    <row r="111">
      <c r="A111" t="inlineStr"/>
      <c r="B111" t="inlineStr">
        <is>
          <t>JP All Ride</t>
        </is>
      </c>
      <c r="C111" t="inlineStr">
        <is>
          <t>Freeride</t>
        </is>
      </c>
      <c r="D111" s="3" t="n">
        <v>116</v>
      </c>
      <c r="E111" t="inlineStr"/>
      <c r="F111" s="4" t="n">
        <v>350</v>
      </c>
      <c r="G111" t="inlineStr"/>
      <c r="H111" t="inlineStr">
        <is>
          <t>12307 Berlin</t>
        </is>
      </c>
      <c r="I111" s="5" t="n">
        <v>45564</v>
      </c>
      <c r="J111" t="inlineStr"/>
      <c r="K111" s="6">
        <f>HYPERLINK("https://www.dailydose.de/kleinanzeigen/detail.htm?ai=423336&amp;cf=kk&amp;pg=2&amp;ci=11", "Link")</f>
        <v/>
      </c>
      <c r="L111" s="6">
        <f>HYPERLINK("C:\Projects\Kleinanzeigen-Scraper\offer_images\423336", "Link")</f>
        <v/>
      </c>
      <c r="M111" t="inlineStr">
        <is>
          <t>MLej</t>
        </is>
      </c>
      <c r="N111" s="6">
        <f>HYPERLINK("https://www.dailydose.de/kleinanzeigen/user/26467", "Link")</f>
        <v/>
      </c>
      <c r="O111" s="7" t="n">
        <v>45564.87311342593</v>
      </c>
      <c r="P111" s="3" t="inlineStr">
        <is>
          <t>472.49</t>
        </is>
      </c>
      <c r="Q111" t="inlineStr">
        <is>
          <t>Köln</t>
        </is>
      </c>
    </row>
    <row r="112">
      <c r="A112" t="inlineStr">
        <is>
          <t>231 cm x 61 cm</t>
        </is>
      </c>
      <c r="B112" t="inlineStr">
        <is>
          <t>RRD Wavecult</t>
        </is>
      </c>
      <c r="C112" t="inlineStr">
        <is>
          <t>Wave</t>
        </is>
      </c>
      <c r="D112" s="3" t="n">
        <v>92</v>
      </c>
      <c r="E112" t="inlineStr"/>
      <c r="F112" s="4" t="n">
        <v>250</v>
      </c>
      <c r="G112" t="inlineStr"/>
      <c r="H112" t="inlineStr">
        <is>
          <t>23683</t>
        </is>
      </c>
      <c r="I112" s="5" t="n">
        <v>45564</v>
      </c>
      <c r="J112" t="inlineStr"/>
      <c r="K112" s="6">
        <f>HYPERLINK("https://www.dailydose.de/kleinanzeigen/detail.htm?ai=423341&amp;cf=kk&amp;pg=2&amp;ci=11", "Link")</f>
        <v/>
      </c>
      <c r="L112" s="6">
        <f>HYPERLINK("C:\Projects\Kleinanzeigen-Scraper\offer_images\423341", "Link")</f>
        <v/>
      </c>
      <c r="M112" t="inlineStr">
        <is>
          <t>EoK</t>
        </is>
      </c>
      <c r="N112" s="6">
        <f>HYPERLINK("https://www.dailydose.de/kleinanzeigen/user/14466", "Link")</f>
        <v/>
      </c>
      <c r="O112" s="7" t="n">
        <v>45564.8725</v>
      </c>
      <c r="P112" s="3" t="inlineStr">
        <is>
          <t>428.29</t>
        </is>
      </c>
      <c r="Q112" t="inlineStr">
        <is>
          <t>Köln</t>
        </is>
      </c>
    </row>
    <row r="113">
      <c r="A113" t="inlineStr">
        <is>
          <t>210 x 53</t>
        </is>
      </c>
      <c r="B113" t="inlineStr">
        <is>
          <t>Windflüchter</t>
        </is>
      </c>
      <c r="C113" t="inlineStr">
        <is>
          <t>Freeride</t>
        </is>
      </c>
      <c r="D113" s="3" t="n">
        <v>66</v>
      </c>
      <c r="E113" t="inlineStr"/>
      <c r="F113" s="4" t="n">
        <v>950</v>
      </c>
      <c r="G113" t="inlineStr"/>
      <c r="H113" t="inlineStr">
        <is>
          <t>31515 Wunstorf</t>
        </is>
      </c>
      <c r="I113" s="5" t="n">
        <v>45564</v>
      </c>
      <c r="J113" t="inlineStr"/>
      <c r="K113" s="6">
        <f>HYPERLINK("https://www.dailydose.de/kleinanzeigen/detail.htm?ai=423342&amp;cf=kk&amp;pg=2&amp;ci=11", "Link")</f>
        <v/>
      </c>
      <c r="L113" s="6">
        <f>HYPERLINK("C:\Projects\Kleinanzeigen-Scraper\offer_images\423342", "Link")</f>
        <v/>
      </c>
      <c r="M113" t="inlineStr">
        <is>
          <t>G. Steinbacher</t>
        </is>
      </c>
      <c r="N113" s="6">
        <f>HYPERLINK("https://www.dailydose.de/kleinanzeigen/user/22097", "Link")</f>
        <v/>
      </c>
      <c r="O113" s="7" t="n">
        <v>45564.87221064815</v>
      </c>
      <c r="P113" s="3" t="inlineStr">
        <is>
          <t>236.47</t>
        </is>
      </c>
      <c r="Q113" t="inlineStr">
        <is>
          <t>Köln</t>
        </is>
      </c>
    </row>
    <row r="114">
      <c r="A114" t="inlineStr"/>
      <c r="B114" t="inlineStr">
        <is>
          <t>Fanatic Sky Surf TE</t>
        </is>
      </c>
      <c r="C114" t="inlineStr"/>
      <c r="D114" s="3" t="inlineStr"/>
      <c r="E114" t="inlineStr">
        <is>
          <t>2023</t>
        </is>
      </c>
      <c r="F114" s="4" t="n">
        <v>690</v>
      </c>
      <c r="G114" t="inlineStr"/>
      <c r="H114" t="inlineStr">
        <is>
          <t>22179 Wandsbek - Hamburg Bramfeld</t>
        </is>
      </c>
      <c r="I114" s="5" t="n">
        <v>45564</v>
      </c>
      <c r="J114" t="inlineStr"/>
      <c r="K114" s="6">
        <f>HYPERLINK("https://www.kleinanzeigen.de/s-anzeige/fanatic-sky-surf-te-4-2-aus-2023/2877058966-230-9451", "Link")</f>
        <v/>
      </c>
      <c r="L114" s="6">
        <f>HYPERLINK("C:\Projects\Kleinanzeigen-Scraper\offer_images\2877058966", "Link")</f>
        <v/>
      </c>
      <c r="M114" t="inlineStr">
        <is>
          <t>Bernd</t>
        </is>
      </c>
      <c r="N114" s="6">
        <f>HYPERLINK("https://www.kleinanzeigen.de/s-bestandsliste.html?userId=4424213", "Link")</f>
        <v/>
      </c>
      <c r="O114" s="7" t="n">
        <v>45564.87180555556</v>
      </c>
      <c r="P114" s="3" t="inlineStr">
        <is>
          <t>365.29</t>
        </is>
      </c>
      <c r="Q114" t="inlineStr">
        <is>
          <t>Köln</t>
        </is>
      </c>
    </row>
    <row r="115">
      <c r="A115" t="inlineStr">
        <is>
          <t>228 cm x 67 cm</t>
        </is>
      </c>
      <c r="B115" t="inlineStr">
        <is>
          <t>Starboard Futura</t>
        </is>
      </c>
      <c r="C115" t="inlineStr">
        <is>
          <t>Freeride</t>
        </is>
      </c>
      <c r="D115" s="3" t="n">
        <v>106</v>
      </c>
      <c r="E115" t="inlineStr">
        <is>
          <t>2022</t>
        </is>
      </c>
      <c r="F115" s="4" t="n">
        <v>920</v>
      </c>
      <c r="G115" t="inlineStr"/>
      <c r="H115" t="inlineStr">
        <is>
          <t>21217 Niedersachsen - Seevetal</t>
        </is>
      </c>
      <c r="I115" s="5" t="n">
        <v>45564</v>
      </c>
      <c r="J115" t="inlineStr"/>
      <c r="K115" s="6">
        <f>HYPERLINK("https://www.kleinanzeigen.de/s-anzeige/starboard-futura-wood-sandwich-/2877083305-230-2812", "Link")</f>
        <v/>
      </c>
      <c r="L115" s="6">
        <f>HYPERLINK("C:\Projects\Kleinanzeigen-Scraper\offer_images\2877083305", "Link")</f>
        <v/>
      </c>
      <c r="M115" t="inlineStr">
        <is>
          <t>Joachim Flügge</t>
        </is>
      </c>
      <c r="N115" s="6">
        <f>HYPERLINK("https://www.kleinanzeigen.de/s-bestandsliste.html?userId=546571", "Link")</f>
        <v/>
      </c>
      <c r="O115" s="7" t="n">
        <v>45564.87175925926</v>
      </c>
      <c r="P115" s="3" t="inlineStr">
        <is>
          <t>348.89</t>
        </is>
      </c>
      <c r="Q115" t="inlineStr">
        <is>
          <t>Köln</t>
        </is>
      </c>
    </row>
    <row r="116">
      <c r="A116" t="inlineStr">
        <is>
          <t>317 cm</t>
        </is>
      </c>
      <c r="B116" t="inlineStr">
        <is>
          <t>Fanatic Bee</t>
        </is>
      </c>
      <c r="C116" t="inlineStr"/>
      <c r="D116" s="3" t="inlineStr"/>
      <c r="E116" t="inlineStr"/>
      <c r="F116" s="4" t="inlineStr">
        <is>
          <t>Zu verschenken</t>
        </is>
      </c>
      <c r="G116" t="inlineStr"/>
      <c r="H116" t="inlineStr">
        <is>
          <t>52511 Nordrhein-Westfalen - Geilenkirchen</t>
        </is>
      </c>
      <c r="I116" s="5" t="n">
        <v>45564</v>
      </c>
      <c r="J116" t="inlineStr"/>
      <c r="K116" s="6">
        <f>HYPERLINK("https://www.kleinanzeigen.de/s-anzeige/windsurfbrett-fanatic-bee-317/2877171574-230-1708", "Link")</f>
        <v/>
      </c>
      <c r="L116" s="6">
        <f>HYPERLINK("C:\Projects\Kleinanzeigen-Scraper\offer_images\2877171574", "Link")</f>
        <v/>
      </c>
      <c r="M116" t="inlineStr">
        <is>
          <t>Dirk Hanuschik</t>
        </is>
      </c>
      <c r="N116" s="6">
        <f>HYPERLINK("https://www.kleinanzeigen.de/s-bestandsliste.html?userId=17172014", "Link")</f>
        <v/>
      </c>
      <c r="O116" s="7" t="n">
        <v>45564.87170138889</v>
      </c>
      <c r="P116" s="3" t="inlineStr">
        <is>
          <t>58.02</t>
        </is>
      </c>
      <c r="Q116" t="inlineStr">
        <is>
          <t>Köln</t>
        </is>
      </c>
    </row>
    <row r="117">
      <c r="A117" t="inlineStr">
        <is>
          <t>82</t>
        </is>
      </c>
      <c r="B117" t="inlineStr">
        <is>
          <t>Fanatic Stubby TE</t>
        </is>
      </c>
      <c r="C117" t="inlineStr">
        <is>
          <t>Freeride</t>
        </is>
      </c>
      <c r="D117" s="3" t="inlineStr"/>
      <c r="E117" t="inlineStr"/>
      <c r="F117" s="4" t="n">
        <v>500</v>
      </c>
      <c r="G117" t="inlineStr"/>
      <c r="H117" t="inlineStr">
        <is>
          <t>22145 Wandsbek - Hamburg Rahlstedt</t>
        </is>
      </c>
      <c r="I117" s="5" t="n">
        <v>45564</v>
      </c>
      <c r="J117" t="inlineStr"/>
      <c r="K117" s="6">
        <f>HYPERLINK("https://www.kleinanzeigen.de/s-anzeige/fanatic-stubby-te-82-kein-severne-pyro-mamba-jp-goya-quatro-rrd-/2876994627-230-26410", "Link")</f>
        <v/>
      </c>
      <c r="L117" s="6">
        <f>HYPERLINK("C:\Projects\Kleinanzeigen-Scraper\offer_images\2876994627", "Link")</f>
        <v/>
      </c>
      <c r="M117" t="inlineStr">
        <is>
          <t>shan</t>
        </is>
      </c>
      <c r="N117" s="6">
        <f>HYPERLINK("https://www.kleinanzeigen.de/s-bestandsliste.html?userId=33094142", "Link")</f>
        <v/>
      </c>
      <c r="O117" s="7" t="n">
        <v>45564.87145833333</v>
      </c>
      <c r="P117" s="3" t="inlineStr">
        <is>
          <t>371.39</t>
        </is>
      </c>
      <c r="Q117" t="inlineStr">
        <is>
          <t>Köln</t>
        </is>
      </c>
    </row>
    <row r="118">
      <c r="A118" t="inlineStr">
        <is>
          <t>109x228</t>
        </is>
      </c>
      <c r="B118" t="inlineStr">
        <is>
          <t>Starboard Futura</t>
        </is>
      </c>
      <c r="C118" t="inlineStr">
        <is>
          <t>Freeride</t>
        </is>
      </c>
      <c r="D118" s="3" t="n">
        <v>109</v>
      </c>
      <c r="E118" t="inlineStr">
        <is>
          <t>2022</t>
        </is>
      </c>
      <c r="F118" s="4" t="n">
        <v>900</v>
      </c>
      <c r="G118" t="inlineStr"/>
      <c r="H118" t="inlineStr">
        <is>
          <t>66287 Saarland - Quierschied</t>
        </is>
      </c>
      <c r="I118" s="5" t="n">
        <v>45564</v>
      </c>
      <c r="J118" t="inlineStr"/>
      <c r="K118" s="6">
        <f>HYPERLINK("https://www.kleinanzeigen.de/s-anzeige/starboard-futura-109-2022/2877152375-230-330", "Link")</f>
        <v/>
      </c>
      <c r="L118" s="6">
        <f>HYPERLINK("C:\Projects\Kleinanzeigen-Scraper\offer_images\2877152375", "Link")</f>
        <v/>
      </c>
      <c r="M118" t="inlineStr">
        <is>
          <t>OR</t>
        </is>
      </c>
      <c r="N118" s="6">
        <f>HYPERLINK("https://www.kleinanzeigen.de/s-bestandsliste.html?userId=129668761", "Link")</f>
        <v/>
      </c>
      <c r="O118" s="7" t="n">
        <v>45564.87123842593</v>
      </c>
      <c r="P118" s="3" t="inlineStr">
        <is>
          <t>103.51</t>
        </is>
      </c>
      <c r="Q118" t="inlineStr">
        <is>
          <t>Karlsruhe</t>
        </is>
      </c>
    </row>
    <row r="119">
      <c r="A119" t="inlineStr">
        <is>
          <t>242 cm x 77 cm</t>
        </is>
      </c>
      <c r="B119" t="inlineStr">
        <is>
          <t>Fanatic Gecko</t>
        </is>
      </c>
      <c r="C119" t="inlineStr">
        <is>
          <t>Freeride</t>
        </is>
      </c>
      <c r="D119" s="3" t="n">
        <v>122</v>
      </c>
      <c r="E119" t="inlineStr">
        <is>
          <t>2021</t>
        </is>
      </c>
      <c r="F119" s="4" t="n">
        <v>659</v>
      </c>
      <c r="G119" t="inlineStr">
        <is>
          <t>VB</t>
        </is>
      </c>
      <c r="H119" t="inlineStr">
        <is>
          <t>91710 Bayern - Gunzenhausen</t>
        </is>
      </c>
      <c r="I119" s="5" t="n">
        <v>45564</v>
      </c>
      <c r="J119" t="inlineStr"/>
      <c r="K119" s="6">
        <f>HYPERLINK("https://www.kleinanzeigen.de/s-anzeige/fanatic-windsurfbrett-gecko-122l-2021-windsurfboard/2877596123-230-6163", "Link")</f>
        <v/>
      </c>
      <c r="L119" s="6">
        <f>HYPERLINK("C:\Projects\Kleinanzeigen-Scraper\offer_images\2877596123", "Link")</f>
        <v/>
      </c>
      <c r="M119" t="inlineStr">
        <is>
          <t>Surfcenter Altmühlsee</t>
        </is>
      </c>
      <c r="N119" s="6">
        <f>HYPERLINK("https://www.kleinanzeigen.de/s-bestandsliste.html?userId=127475446", "Link")</f>
        <v/>
      </c>
      <c r="O119" s="7" t="n">
        <v>45564.87053240741</v>
      </c>
      <c r="P119" s="3" t="inlineStr">
        <is>
          <t>125.65</t>
        </is>
      </c>
      <c r="Q119" t="inlineStr">
        <is>
          <t>München</t>
        </is>
      </c>
    </row>
    <row r="120">
      <c r="A120" t="inlineStr">
        <is>
          <t>229 cm x 180 cm</t>
        </is>
      </c>
      <c r="B120" t="inlineStr">
        <is>
          <t>Patrik Formula 4 Airinside</t>
        </is>
      </c>
      <c r="C120" t="inlineStr">
        <is>
          <t>Slalom</t>
        </is>
      </c>
      <c r="D120" s="3" t="n">
        <v>162</v>
      </c>
      <c r="E120" t="inlineStr"/>
      <c r="F120" s="4" t="n">
        <v>1.115</v>
      </c>
      <c r="G120" t="inlineStr"/>
      <c r="H120" t="inlineStr">
        <is>
          <t>22880 Kreis Pinneberg - Wedel</t>
        </is>
      </c>
      <c r="I120" s="5" t="n">
        <v>45564</v>
      </c>
      <c r="J120" t="inlineStr"/>
      <c r="K120" s="6">
        <f>HYPERLINK("https://www.kleinanzeigen.de/s-anzeige/patrik-162-airinside-formula4-foil-ready-windsurf-board-slalom-iq/2877613841-230-756", "Link")</f>
        <v/>
      </c>
      <c r="L120" s="6">
        <f>HYPERLINK("C:\Projects\Kleinanzeigen-Scraper\offer_images\2877613841", "Link")</f>
        <v/>
      </c>
      <c r="M120" t="inlineStr">
        <is>
          <t>Jahn</t>
        </is>
      </c>
      <c r="N120" s="6">
        <f>HYPERLINK("https://www.kleinanzeigen.de/s-bestandsliste.html?userId=16125684", "Link")</f>
        <v/>
      </c>
      <c r="O120" s="7" t="n">
        <v>45564.8702662037</v>
      </c>
      <c r="P120" s="3" t="inlineStr">
        <is>
          <t>349.30</t>
        </is>
      </c>
      <c r="Q120" t="inlineStr">
        <is>
          <t>Köln</t>
        </is>
      </c>
    </row>
    <row r="121">
      <c r="A121" t="inlineStr">
        <is>
          <t>238 x 90</t>
        </is>
      </c>
      <c r="B121" t="inlineStr">
        <is>
          <t>RRD Firemove</t>
        </is>
      </c>
      <c r="C121" t="inlineStr">
        <is>
          <t>Freeride/Freemove</t>
        </is>
      </c>
      <c r="D121" s="3" t="n">
        <v>140</v>
      </c>
      <c r="E121" t="inlineStr"/>
      <c r="F121" s="4" t="n">
        <v>349</v>
      </c>
      <c r="G121" t="inlineStr"/>
      <c r="H121" t="inlineStr">
        <is>
          <t>92729 Bayern - Weiherhammer</t>
        </is>
      </c>
      <c r="I121" s="5" t="n">
        <v>45564</v>
      </c>
      <c r="J121" t="inlineStr">
        <is>
          <t>Sold</t>
        </is>
      </c>
      <c r="K121" s="6">
        <f>HYPERLINK("https://www.kleinanzeigen.de/s-anzeige/rrd-firemove-140l-ltd-freeride-freemove-windsurf-board/2877566363-230-7381", "Link")</f>
        <v/>
      </c>
      <c r="L121" s="6">
        <f>HYPERLINK("C:\Projects\Kleinanzeigen-Scraper\offer_images\2877566363", "Link")</f>
        <v/>
      </c>
      <c r="M121" t="inlineStr">
        <is>
          <t>Markus</t>
        </is>
      </c>
      <c r="N121" s="6">
        <f>HYPERLINK("https://www.kleinanzeigen.de/s-bestandsliste.html?userId=2625769", "Link")</f>
        <v/>
      </c>
      <c r="O121" s="7" t="n">
        <v>45564.87020833333</v>
      </c>
      <c r="P121" s="3" t="inlineStr">
        <is>
          <t>169.91</t>
        </is>
      </c>
      <c r="Q121" t="inlineStr">
        <is>
          <t>München</t>
        </is>
      </c>
    </row>
    <row r="122">
      <c r="A122" t="inlineStr"/>
      <c r="B122" t="inlineStr">
        <is>
          <t>Starboard Go</t>
        </is>
      </c>
      <c r="C122" t="inlineStr">
        <is>
          <t>Freeride</t>
        </is>
      </c>
      <c r="D122" s="3" t="n">
        <v>195</v>
      </c>
      <c r="E122" t="inlineStr">
        <is>
          <t>2022</t>
        </is>
      </c>
      <c r="F122" s="4" t="n">
        <v>970</v>
      </c>
      <c r="G122" t="inlineStr">
        <is>
          <t>VB</t>
        </is>
      </c>
      <c r="H122" t="inlineStr">
        <is>
          <t>34582 Hessen - Borken</t>
        </is>
      </c>
      <c r="I122" s="5" t="n">
        <v>45564</v>
      </c>
      <c r="J122" t="inlineStr"/>
      <c r="K122" s="6">
        <f>HYPERLINK("https://www.kleinanzeigen.de/s-anzeige/windsurfbrett-windsurf-starboard-go-195l-komplett-set-optional-/2876862972-230-4395", "Link")</f>
        <v/>
      </c>
      <c r="L122" s="6">
        <f>HYPERLINK("C:\Projects\Kleinanzeigen-Scraper\offer_images\2876862972", "Link")</f>
        <v/>
      </c>
      <c r="M122" t="inlineStr">
        <is>
          <t>Jos</t>
        </is>
      </c>
      <c r="N122" s="6">
        <f>HYPERLINK("https://www.kleinanzeigen.de/s-bestandsliste.html?userId=10294265", "Link")</f>
        <v/>
      </c>
      <c r="O122" s="7" t="n">
        <v>45564.87013888889</v>
      </c>
      <c r="P122" s="3" t="inlineStr">
        <is>
          <t>163.36</t>
        </is>
      </c>
      <c r="Q122" t="inlineStr">
        <is>
          <t>Köln</t>
        </is>
      </c>
    </row>
    <row r="123">
      <c r="A123" t="inlineStr">
        <is>
          <t>295 cm x 59 cm</t>
        </is>
      </c>
      <c r="B123" t="inlineStr">
        <is>
          <t>HiFly Power Line 295 PX</t>
        </is>
      </c>
      <c r="C123" t="inlineStr">
        <is>
          <t>Freeride</t>
        </is>
      </c>
      <c r="D123" s="3" t="n">
        <v>137</v>
      </c>
      <c r="E123" t="inlineStr"/>
      <c r="F123" s="4" t="n">
        <v>80</v>
      </c>
      <c r="G123" t="inlineStr">
        <is>
          <t>VB</t>
        </is>
      </c>
      <c r="H123" t="inlineStr">
        <is>
          <t>12307 Berlin - Tempelhof</t>
        </is>
      </c>
      <c r="I123" s="5" t="n">
        <v>45564</v>
      </c>
      <c r="J123" t="inlineStr"/>
      <c r="K123" s="6">
        <f>HYPERLINK("https://www.kleinanzeigen.de/s-anzeige/surfbrett-surfboard-windsurfing-windsurfen-top-zustand/2877887534-230-3412", "Link")</f>
        <v/>
      </c>
      <c r="L123" s="6">
        <f>HYPERLINK("C:\Projects\Kleinanzeigen-Scraper\offer_images\2877887534", "Link")</f>
        <v/>
      </c>
      <c r="M123" t="inlineStr">
        <is>
          <t>Alexander</t>
        </is>
      </c>
      <c r="N123" s="6">
        <f>HYPERLINK("https://www.kleinanzeigen.de/s-bestandsliste.html?userId=8881656", "Link")</f>
        <v/>
      </c>
      <c r="O123" s="7" t="n">
        <v>45564.86967592593</v>
      </c>
      <c r="P123" s="3" t="inlineStr">
        <is>
          <t>472.49</t>
        </is>
      </c>
      <c r="Q123" t="inlineStr">
        <is>
          <t>Köln</t>
        </is>
      </c>
    </row>
    <row r="124">
      <c r="A124" t="inlineStr"/>
      <c r="B124" t="inlineStr">
        <is>
          <t>Starboard Wood Technology</t>
        </is>
      </c>
      <c r="C124" t="inlineStr"/>
      <c r="D124" s="3" t="n">
        <v>96</v>
      </c>
      <c r="E124" t="inlineStr"/>
      <c r="F124" s="4" t="n">
        <v>55</v>
      </c>
      <c r="G124" t="inlineStr"/>
      <c r="H124" t="inlineStr">
        <is>
          <t>82549 Bayern - Königsdorf</t>
        </is>
      </c>
      <c r="I124" s="5" t="n">
        <v>45564</v>
      </c>
      <c r="J124" t="inlineStr"/>
      <c r="K124" s="6">
        <f>HYPERLINK("https://www.kleinanzeigen.de/s-anzeige/starboard-wood-technology/2877871842-230-6331", "Link")</f>
        <v/>
      </c>
      <c r="L124" s="6">
        <f>HYPERLINK("C:\Projects\Kleinanzeigen-Scraper\offer_images\2877871842", "Link")</f>
        <v/>
      </c>
      <c r="M124" t="inlineStr">
        <is>
          <t>Angelika Zuleger</t>
        </is>
      </c>
      <c r="N124" s="6">
        <f>HYPERLINK("https://www.kleinanzeigen.de/s-bestandsliste.html?userId=60167365", "Link")</f>
        <v/>
      </c>
      <c r="O124" s="7" t="n">
        <v>45564.86931712963</v>
      </c>
      <c r="P124" s="3" t="inlineStr">
        <is>
          <t>36.23</t>
        </is>
      </c>
      <c r="Q124" t="inlineStr">
        <is>
          <t>München</t>
        </is>
      </c>
    </row>
    <row r="125">
      <c r="A125" t="inlineStr">
        <is>
          <t>238x60 cm</t>
        </is>
      </c>
      <c r="B125" t="inlineStr">
        <is>
          <t>RRD Roberto Ricci</t>
        </is>
      </c>
      <c r="C125" t="inlineStr">
        <is>
          <t>Wave</t>
        </is>
      </c>
      <c r="D125" s="3" t="n">
        <v>98</v>
      </c>
      <c r="E125" t="inlineStr"/>
      <c r="F125" s="4" t="n">
        <v>70</v>
      </c>
      <c r="G125" t="inlineStr">
        <is>
          <t>VB</t>
        </is>
      </c>
      <c r="H125" t="inlineStr">
        <is>
          <t>53639 Nordrhein-Westfalen - Königswinter</t>
        </is>
      </c>
      <c r="I125" s="5" t="n">
        <v>45563</v>
      </c>
      <c r="J125" t="inlineStr"/>
      <c r="K125" s="6">
        <f>HYPERLINK("https://www.kleinanzeigen.de/s-anzeige/windsurf-waveboard-rrd-roberto-ricci-wave-swallow-98/2876789921-230-1686", "Link")</f>
        <v/>
      </c>
      <c r="L125" s="6">
        <f>HYPERLINK("C:\Projects\Kleinanzeigen-Scraper\offer_images\2876789921", "Link")</f>
        <v/>
      </c>
      <c r="M125" t="inlineStr">
        <is>
          <t>Stefan</t>
        </is>
      </c>
      <c r="N125" s="6">
        <f>HYPERLINK("https://www.kleinanzeigen.de/s-bestandsliste.html?userId=7772517", "Link")</f>
        <v/>
      </c>
      <c r="O125" s="7" t="n">
        <v>45564.86918981482</v>
      </c>
      <c r="P125" s="3" t="inlineStr">
        <is>
          <t>113.60</t>
        </is>
      </c>
      <c r="Q125" t="inlineStr">
        <is>
          <t>Karlsruhe</t>
        </is>
      </c>
    </row>
    <row r="126">
      <c r="A126" t="inlineStr">
        <is>
          <t>135</t>
        </is>
      </c>
      <c r="B126" t="inlineStr">
        <is>
          <t>Fanatic Gecko</t>
        </is>
      </c>
      <c r="C126" t="inlineStr">
        <is>
          <t>Freeride</t>
        </is>
      </c>
      <c r="D126" s="3" t="n">
        <v>135</v>
      </c>
      <c r="E126" t="inlineStr"/>
      <c r="F126" s="4" t="n">
        <v>800</v>
      </c>
      <c r="G126" t="inlineStr"/>
      <c r="H126" t="inlineStr">
        <is>
          <t>20257 Eimsbüttel - Hamburg Eimsbüttel (Stadtteil)</t>
        </is>
      </c>
      <c r="I126" s="5" t="n">
        <v>45564</v>
      </c>
      <c r="J126" t="inlineStr"/>
      <c r="K126" s="6">
        <f>HYPERLINK("https://www.kleinanzeigen.de/s-anzeige/fanatic-gecko-135l-foil-edition-ltd-freeride-board/2877795773-230-9429", "Link")</f>
        <v/>
      </c>
      <c r="L126" s="6">
        <f>HYPERLINK("C:\Projects\Kleinanzeigen-Scraper\offer_images\2877795773", "Link")</f>
        <v/>
      </c>
      <c r="M126" t="inlineStr">
        <is>
          <t>eckbert</t>
        </is>
      </c>
      <c r="N126" s="6">
        <f>HYPERLINK("https://www.kleinanzeigen.de/s-bestandsliste.html?userId=40296824", "Link")</f>
        <v/>
      </c>
      <c r="O126" s="7" t="n">
        <v>45564.86909722222</v>
      </c>
      <c r="P126" s="3" t="inlineStr">
        <is>
          <t>356.84</t>
        </is>
      </c>
      <c r="Q126" t="inlineStr">
        <is>
          <t>Köln</t>
        </is>
      </c>
    </row>
    <row r="127">
      <c r="A127" t="inlineStr">
        <is>
          <t>231 cm x 62 cm</t>
        </is>
      </c>
      <c r="B127" t="inlineStr">
        <is>
          <t>Fanatic Blast</t>
        </is>
      </c>
      <c r="C127" t="inlineStr">
        <is>
          <t>Freeride</t>
        </is>
      </c>
      <c r="D127" s="3" t="n">
        <v>100</v>
      </c>
      <c r="E127" t="inlineStr">
        <is>
          <t>2020</t>
        </is>
      </c>
      <c r="F127" s="4" t="n">
        <v>629</v>
      </c>
      <c r="G127" t="inlineStr">
        <is>
          <t>VB</t>
        </is>
      </c>
      <c r="H127" t="inlineStr">
        <is>
          <t>91710 Bayern - Gunzenhausen</t>
        </is>
      </c>
      <c r="I127" s="5" t="n">
        <v>45564</v>
      </c>
      <c r="J127" t="inlineStr"/>
      <c r="K127" s="6">
        <f>HYPERLINK("https://www.kleinanzeigen.de/s-anzeige/fanatic-windsurfbrett-blast-100l-2020-windsurfboard/2877574259-230-6163", "Link")</f>
        <v/>
      </c>
      <c r="L127" s="6">
        <f>HYPERLINK("C:\Projects\Kleinanzeigen-Scraper\offer_images\2877574259", "Link")</f>
        <v/>
      </c>
      <c r="M127" t="inlineStr">
        <is>
          <t>Surfcenter Altmühlsee</t>
        </is>
      </c>
      <c r="N127" s="6">
        <f>HYPERLINK("https://www.kleinanzeigen.de/s-bestandsliste.html?userId=127475446", "Link")</f>
        <v/>
      </c>
      <c r="O127" s="7" t="n">
        <v>45564.86894675926</v>
      </c>
      <c r="P127" s="3" t="inlineStr">
        <is>
          <t>125.65</t>
        </is>
      </c>
      <c r="Q127" t="inlineStr">
        <is>
          <t>München</t>
        </is>
      </c>
    </row>
    <row r="128">
      <c r="A128" t="inlineStr">
        <is>
          <t>5'9</t>
        </is>
      </c>
      <c r="B128" t="inlineStr">
        <is>
          <t>North Charge</t>
        </is>
      </c>
      <c r="C128" t="inlineStr">
        <is>
          <t>Surfboard</t>
        </is>
      </c>
      <c r="D128" s="3" t="inlineStr"/>
      <c r="E128" t="inlineStr">
        <is>
          <t>2022</t>
        </is>
      </c>
      <c r="F128" s="4" t="n">
        <v>539</v>
      </c>
      <c r="G128" t="inlineStr">
        <is>
          <t>VB</t>
        </is>
      </c>
      <c r="H128" t="inlineStr">
        <is>
          <t>26506 Niedersachsen - Norden</t>
        </is>
      </c>
      <c r="I128" s="5" t="n">
        <v>45564</v>
      </c>
      <c r="J128" t="inlineStr"/>
      <c r="K128" s="6">
        <f>HYPERLINK("https://www.kleinanzeigen.de/s-anzeige/north-charge-surfboard/2825544993-230-2777", "Link")</f>
        <v/>
      </c>
      <c r="L128" s="6">
        <f>HYPERLINK("C:\Projects\Kleinanzeigen-Scraper\offer_images\2825544993", "Link")</f>
        <v/>
      </c>
      <c r="M128" t="inlineStr">
        <is>
          <t>No user name</t>
        </is>
      </c>
      <c r="N128" s="6">
        <f>HYPERLINK("https://www.kleinanzeigen.deNo user link", "Link")</f>
        <v/>
      </c>
      <c r="O128" s="7" t="n">
        <v>45564.86827546296</v>
      </c>
      <c r="P128" s="3" t="inlineStr">
        <is>
          <t>293.71</t>
        </is>
      </c>
      <c r="Q128" t="inlineStr">
        <is>
          <t>Köln</t>
        </is>
      </c>
    </row>
    <row r="129">
      <c r="A129" t="inlineStr">
        <is>
          <t>231x63</t>
        </is>
      </c>
      <c r="B129" t="inlineStr">
        <is>
          <t>Starboard iSONIC</t>
        </is>
      </c>
      <c r="C129" t="inlineStr">
        <is>
          <t>Slalom</t>
        </is>
      </c>
      <c r="D129" s="3" t="n">
        <v>90</v>
      </c>
      <c r="E129" t="inlineStr"/>
      <c r="F129" s="4" t="n">
        <v>320</v>
      </c>
      <c r="G129" t="inlineStr">
        <is>
          <t>VB</t>
        </is>
      </c>
      <c r="H129" t="inlineStr">
        <is>
          <t>47665 Nordrhein-Westfalen - Sonsbeck</t>
        </is>
      </c>
      <c r="I129" s="5" t="n">
        <v>45564</v>
      </c>
      <c r="J129" t="inlineStr"/>
      <c r="K129" s="6">
        <f>HYPERLINK("https://www.kleinanzeigen.de/s-anzeige/starboard-isonic-90l-231x63cm-slalom-board/2877339118-230-1404", "Link")</f>
        <v/>
      </c>
      <c r="L129" s="6">
        <f>HYPERLINK("C:\Projects\Kleinanzeigen-Scraper\offer_images\2877339118", "Link")</f>
        <v/>
      </c>
      <c r="M129" t="inlineStr">
        <is>
          <t>M.Becker</t>
        </is>
      </c>
      <c r="N129" s="6">
        <f>HYPERLINK("https://www.kleinanzeigen.de/s-bestandsliste.html?userId=7989990", "Link")</f>
        <v/>
      </c>
      <c r="O129" s="7" t="n">
        <v>45564.86819444445</v>
      </c>
      <c r="P129" s="3" t="inlineStr">
        <is>
          <t>86.26</t>
        </is>
      </c>
      <c r="Q129" t="inlineStr">
        <is>
          <t>Köln</t>
        </is>
      </c>
    </row>
    <row r="130">
      <c r="A130" t="inlineStr"/>
      <c r="B130" t="inlineStr">
        <is>
          <t>Severne Nano</t>
        </is>
      </c>
      <c r="C130" t="inlineStr">
        <is>
          <t>Wave</t>
        </is>
      </c>
      <c r="D130" s="3" t="n">
        <v>92</v>
      </c>
      <c r="E130" t="inlineStr"/>
      <c r="F130" s="4" t="n">
        <v>800</v>
      </c>
      <c r="G130" t="inlineStr">
        <is>
          <t>VB</t>
        </is>
      </c>
      <c r="H130" t="inlineStr">
        <is>
          <t>21640 Niedersachsen - Nottensdorf</t>
        </is>
      </c>
      <c r="I130" s="5" t="n">
        <v>45564</v>
      </c>
      <c r="J130" t="inlineStr"/>
      <c r="K130" s="6">
        <f>HYPERLINK("https://www.kleinanzeigen.de/s-anzeige/severne-nano-90-l-surfbrett-waveboard/2877382934-230-3290", "Link")</f>
        <v/>
      </c>
      <c r="L130" s="6">
        <f>HYPERLINK("C:\Projects\Kleinanzeigen-Scraper\offer_images\2877382934", "Link")</f>
        <v/>
      </c>
      <c r="M130" t="inlineStr">
        <is>
          <t>Privater Anbieter</t>
        </is>
      </c>
      <c r="N130" s="6">
        <f>HYPERLINK("https://www.kleinanzeigen.de/s-bestandsliste.html?userId=8163001", "Link")</f>
        <v/>
      </c>
      <c r="O130" s="7" t="n">
        <v>45564.8680787037</v>
      </c>
      <c r="P130" s="3" t="inlineStr">
        <is>
          <t>337.05</t>
        </is>
      </c>
      <c r="Q130" t="inlineStr">
        <is>
          <t>Köln</t>
        </is>
      </c>
    </row>
    <row r="131">
      <c r="A131" t="inlineStr">
        <is>
          <t>250 cm x 78 cm</t>
        </is>
      </c>
      <c r="B131" t="inlineStr">
        <is>
          <t>Fanatic Eagle</t>
        </is>
      </c>
      <c r="C131" t="inlineStr">
        <is>
          <t>Freeride</t>
        </is>
      </c>
      <c r="D131" s="3" t="n">
        <v>150</v>
      </c>
      <c r="E131" t="inlineStr">
        <is>
          <t>2023</t>
        </is>
      </c>
      <c r="F131" s="4" t="n">
        <v>719</v>
      </c>
      <c r="G131" t="inlineStr"/>
      <c r="H131" t="inlineStr">
        <is>
          <t>91710 Bayern - Gunzenhausen</t>
        </is>
      </c>
      <c r="I131" s="5" t="n">
        <v>45564</v>
      </c>
      <c r="J131" t="inlineStr"/>
      <c r="K131" s="6">
        <f>HYPERLINK("https://www.kleinanzeigen.de/s-anzeige/fanatic-windsurfbrett-eagle-150l-2023-windsurfboard/2877604658-230-6163", "Link")</f>
        <v/>
      </c>
      <c r="L131" s="6">
        <f>HYPERLINK("C:\Projects\Kleinanzeigen-Scraper\offer_images\2877604658", "Link")</f>
        <v/>
      </c>
      <c r="M131" t="inlineStr">
        <is>
          <t>Surfcenter Altmühlsee</t>
        </is>
      </c>
      <c r="N131" s="6">
        <f>HYPERLINK("https://www.kleinanzeigen.de/s-bestandsliste.html?userId=127475446", "Link")</f>
        <v/>
      </c>
      <c r="O131" s="7" t="n">
        <v>45564.8680787037</v>
      </c>
      <c r="P131" s="3" t="inlineStr">
        <is>
          <t>125.65</t>
        </is>
      </c>
      <c r="Q131" t="inlineStr">
        <is>
          <t>München</t>
        </is>
      </c>
    </row>
    <row r="132">
      <c r="A132" t="inlineStr"/>
      <c r="B132" t="inlineStr">
        <is>
          <t>Fanatic</t>
        </is>
      </c>
      <c r="C132" t="inlineStr"/>
      <c r="D132" s="3" t="n">
        <v>92</v>
      </c>
      <c r="E132" t="inlineStr"/>
      <c r="F132" s="4" t="n">
        <v>150</v>
      </c>
      <c r="G132" t="inlineStr">
        <is>
          <t>VB</t>
        </is>
      </c>
      <c r="H132" t="inlineStr">
        <is>
          <t>21680 Niedersachsen - Stade</t>
        </is>
      </c>
      <c r="I132" s="5" t="n">
        <v>45546</v>
      </c>
      <c r="J132" t="inlineStr">
        <is>
          <t>Sold</t>
        </is>
      </c>
      <c r="K132" s="6">
        <f>HYPERLINK("https://www.kleinanzeigen.de/s-anzeige/windsurfboard-fanatic-92-liter/2860176928-230-2829", "Link")</f>
        <v/>
      </c>
      <c r="L132" s="6">
        <f>HYPERLINK("C:\Projects\Kleinanzeigen-Scraper\offer_images\2860176928", "Link")</f>
        <v/>
      </c>
      <c r="M132" t="inlineStr">
        <is>
          <t>Wald</t>
        </is>
      </c>
      <c r="N132" s="6">
        <f>HYPERLINK("https://www.kleinanzeigen.de/s-bestandsliste.html?userId=36585922", "Link")</f>
        <v/>
      </c>
      <c r="O132" s="7" t="n">
        <v>45564.86802083333</v>
      </c>
      <c r="P132" s="3" t="inlineStr">
        <is>
          <t>340.22</t>
        </is>
      </c>
      <c r="Q132" t="inlineStr">
        <is>
          <t>Köln</t>
        </is>
      </c>
    </row>
    <row r="133">
      <c r="A133" t="inlineStr">
        <is>
          <t>234 x 79</t>
        </is>
      </c>
      <c r="B133" t="inlineStr">
        <is>
          <t>RRD Fire Move</t>
        </is>
      </c>
      <c r="C133" t="inlineStr">
        <is>
          <t>Freemove</t>
        </is>
      </c>
      <c r="D133" s="3" t="n">
        <v>120</v>
      </c>
      <c r="E133" t="inlineStr"/>
      <c r="F133" s="4" t="n">
        <v>600</v>
      </c>
      <c r="G133" t="inlineStr">
        <is>
          <t>VB</t>
        </is>
      </c>
      <c r="H133" t="inlineStr">
        <is>
          <t>24118 Kiel - Ravensberg-Brunswik-Düsternbrook</t>
        </is>
      </c>
      <c r="I133" s="5" t="n">
        <v>45564</v>
      </c>
      <c r="J133" t="inlineStr"/>
      <c r="K133" s="6">
        <f>HYPERLINK("https://www.kleinanzeigen.de/s-anzeige/rrd-firemove-120l-windsurfboard/2877369513-230-704", "Link")</f>
        <v/>
      </c>
      <c r="L133" s="6">
        <f>HYPERLINK("C:\Projects\Kleinanzeigen-Scraper\offer_images\2877369513", "Link")</f>
        <v/>
      </c>
      <c r="M133" t="inlineStr">
        <is>
          <t>Mia</t>
        </is>
      </c>
      <c r="N133" s="6">
        <f>HYPERLINK("https://www.kleinanzeigen.de/s-bestandsliste.html?userId=11685943", "Link")</f>
        <v/>
      </c>
      <c r="O133" s="7" t="n">
        <v>45564.86770833333</v>
      </c>
      <c r="P133" s="3" t="inlineStr">
        <is>
          <t>434.29</t>
        </is>
      </c>
      <c r="Q133" t="inlineStr">
        <is>
          <t>Köln</t>
        </is>
      </c>
    </row>
    <row r="134">
      <c r="A134" t="inlineStr">
        <is>
          <t>81</t>
        </is>
      </c>
      <c r="B134" t="inlineStr">
        <is>
          <t>JP Australia Hydrofoil</t>
        </is>
      </c>
      <c r="C134" t="inlineStr">
        <is>
          <t>Slalom</t>
        </is>
      </c>
      <c r="D134" s="3" t="inlineStr"/>
      <c r="E134" t="inlineStr"/>
      <c r="F134" s="4" t="n">
        <v>1.05</v>
      </c>
      <c r="G134" t="inlineStr">
        <is>
          <t>VB</t>
        </is>
      </c>
      <c r="H134" t="inlineStr">
        <is>
          <t>24222 Schleswig-Holstein - Schwentinental</t>
        </is>
      </c>
      <c r="I134" s="5" t="n">
        <v>45564</v>
      </c>
      <c r="J134" t="inlineStr"/>
      <c r="K134" s="6">
        <f>HYPERLINK("https://www.kleinanzeigen.de/s-anzeige/jp-australia-hydrofoil-slalom-81-windfoil-board-windsurf-foil/2877823349-230-13377", "Link")</f>
        <v/>
      </c>
      <c r="L134" s="6">
        <f>HYPERLINK("C:\Projects\Kleinanzeigen-Scraper\offer_images\2877823349", "Link")</f>
        <v/>
      </c>
      <c r="M134" t="inlineStr">
        <is>
          <t>Moritz</t>
        </is>
      </c>
      <c r="N134" s="6">
        <f>HYPERLINK("https://www.kleinanzeigen.de/s-bestandsliste.html?userId=10680857", "Link")</f>
        <v/>
      </c>
      <c r="O134" s="7" t="n">
        <v>45564.86738425926</v>
      </c>
      <c r="P134" s="3" t="inlineStr">
        <is>
          <t>433.89</t>
        </is>
      </c>
      <c r="Q134" t="inlineStr">
        <is>
          <t>Köln</t>
        </is>
      </c>
    </row>
    <row r="135">
      <c r="A135" t="inlineStr">
        <is>
          <t>240 cm x 66 cm</t>
        </is>
      </c>
      <c r="B135" t="inlineStr">
        <is>
          <t>Tabou 3s</t>
        </is>
      </c>
      <c r="C135" t="inlineStr">
        <is>
          <t>Freeride</t>
        </is>
      </c>
      <c r="D135" s="3" t="n">
        <v>106</v>
      </c>
      <c r="E135" t="inlineStr">
        <is>
          <t>2014</t>
        </is>
      </c>
      <c r="F135" s="4" t="n">
        <v>600</v>
      </c>
      <c r="G135" t="inlineStr"/>
      <c r="H135" t="inlineStr">
        <is>
          <t>64646 Hessen - Heppenheim (Bergstraße)</t>
        </is>
      </c>
      <c r="I135" s="5" t="n">
        <v>45564</v>
      </c>
      <c r="J135" t="inlineStr"/>
      <c r="K135" s="6">
        <f>HYPERLINK("https://www.kleinanzeigen.de/s-anzeige/tabou-3s-106l-2014/2877311416-230-4776", "Link")</f>
        <v/>
      </c>
      <c r="L135" s="6">
        <f>HYPERLINK("C:\Projects\Kleinanzeigen-Scraper\offer_images\2877311416", "Link")</f>
        <v/>
      </c>
      <c r="M135" t="inlineStr">
        <is>
          <t>Velazquez</t>
        </is>
      </c>
      <c r="N135" s="6">
        <f>HYPERLINK("https://www.kleinanzeigen.de/s-bestandsliste.html?userId=142353767", "Link")</f>
        <v/>
      </c>
      <c r="O135" s="7" t="n">
        <v>45564.86722222222</v>
      </c>
      <c r="P135" s="3" t="inlineStr">
        <is>
          <t>73.48</t>
        </is>
      </c>
      <c r="Q135" t="inlineStr">
        <is>
          <t>Karlsruhe</t>
        </is>
      </c>
    </row>
    <row r="136">
      <c r="A136" t="inlineStr">
        <is>
          <t>252 cm x 85 cm</t>
        </is>
      </c>
      <c r="B136" t="inlineStr">
        <is>
          <t>Fanatic Gecko</t>
        </is>
      </c>
      <c r="C136" t="inlineStr">
        <is>
          <t>Freeride</t>
        </is>
      </c>
      <c r="D136" s="3" t="n">
        <v>156</v>
      </c>
      <c r="E136" t="inlineStr">
        <is>
          <t>2023</t>
        </is>
      </c>
      <c r="F136" s="4" t="n">
        <v>749</v>
      </c>
      <c r="G136" t="inlineStr">
        <is>
          <t>VB</t>
        </is>
      </c>
      <c r="H136" t="inlineStr">
        <is>
          <t>91710 Bayern - Gunzenhausen</t>
        </is>
      </c>
      <c r="I136" s="5" t="n">
        <v>45564</v>
      </c>
      <c r="J136" t="inlineStr"/>
      <c r="K136" s="6">
        <f>HYPERLINK("https://www.kleinanzeigen.de/s-anzeige/fanatic-windsurfbrett-gecko-156l-2023-windsurfboard/2877627664-230-6163", "Link")</f>
        <v/>
      </c>
      <c r="L136" s="6">
        <f>HYPERLINK("C:\Projects\Kleinanzeigen-Scraper\offer_images\2877627664", "Link")</f>
        <v/>
      </c>
      <c r="M136" t="inlineStr">
        <is>
          <t>Surfcenter Altmühlsee</t>
        </is>
      </c>
      <c r="N136" s="6">
        <f>HYPERLINK("https://www.kleinanzeigen.de/s-bestandsliste.html?userId=127475446", "Link")</f>
        <v/>
      </c>
      <c r="O136" s="7" t="n">
        <v>45564.86711805555</v>
      </c>
      <c r="P136" s="3" t="inlineStr">
        <is>
          <t>125.65</t>
        </is>
      </c>
      <c r="Q136" t="inlineStr">
        <is>
          <t>München</t>
        </is>
      </c>
    </row>
    <row r="137">
      <c r="A137" t="inlineStr"/>
      <c r="B137" t="inlineStr">
        <is>
          <t>Starboard Lite Hardboard</t>
        </is>
      </c>
      <c r="C137" t="inlineStr"/>
      <c r="D137" s="3" t="inlineStr"/>
      <c r="E137" t="inlineStr"/>
      <c r="F137" s="4" t="inlineStr"/>
      <c r="G137" t="inlineStr">
        <is>
          <t>VB</t>
        </is>
      </c>
      <c r="H137" t="inlineStr">
        <is>
          <t>87439 Bayern - Kempten</t>
        </is>
      </c>
      <c r="I137" s="5" t="n">
        <v>45564</v>
      </c>
      <c r="J137" t="inlineStr">
        <is>
          <t>Sold</t>
        </is>
      </c>
      <c r="K137" s="6">
        <f>HYPERLINK("https://www.kleinanzeigen.de/s-anzeige/starboard-lite-hardboard-stand-up-paddle-hartbrett-surf/2876932625-230-7618", "Link")</f>
        <v/>
      </c>
      <c r="L137" s="6">
        <f>HYPERLINK("C:\Projects\Kleinanzeigen-Scraper\offer_images\2876932625", "Link")</f>
        <v/>
      </c>
      <c r="M137" t="inlineStr">
        <is>
          <t>Tom</t>
        </is>
      </c>
      <c r="N137" s="6">
        <f>HYPERLINK("https://www.kleinanzeigen.de/s-bestandsliste.html?userId=7902054", "Link")</f>
        <v/>
      </c>
      <c r="O137" s="7" t="n">
        <v>45564.86709490741</v>
      </c>
      <c r="P137" s="3" t="inlineStr">
        <is>
          <t>105.97</t>
        </is>
      </c>
      <c r="Q137" t="inlineStr">
        <is>
          <t>München</t>
        </is>
      </c>
    </row>
    <row r="138">
      <c r="A138" t="inlineStr">
        <is>
          <t>78</t>
        </is>
      </c>
      <c r="B138" t="inlineStr">
        <is>
          <t>JP Australia Hydrofoil</t>
        </is>
      </c>
      <c r="C138" t="inlineStr">
        <is>
          <t>Slalom</t>
        </is>
      </c>
      <c r="D138" s="3" t="inlineStr"/>
      <c r="E138" t="inlineStr"/>
      <c r="F138" s="4" t="n">
        <v>1.02</v>
      </c>
      <c r="G138" t="inlineStr">
        <is>
          <t>VB</t>
        </is>
      </c>
      <c r="H138" t="inlineStr">
        <is>
          <t>24222 Schleswig-Holstein - Schwentinental</t>
        </is>
      </c>
      <c r="I138" s="5" t="n">
        <v>45564</v>
      </c>
      <c r="J138" t="inlineStr"/>
      <c r="K138" s="6">
        <f>HYPERLINK("https://www.kleinanzeigen.de/s-anzeige/jp-australia-hydrofoil-slalom-78-windfoil-board-windsurf-foil/2877833333-230-13377", "Link")</f>
        <v/>
      </c>
      <c r="L138" s="6">
        <f>HYPERLINK("C:\Projects\Kleinanzeigen-Scraper\offer_images\2877833333", "Link")</f>
        <v/>
      </c>
      <c r="M138" t="inlineStr">
        <is>
          <t>Moritz</t>
        </is>
      </c>
      <c r="N138" s="6">
        <f>HYPERLINK("https://www.kleinanzeigen.de/s-bestandsliste.html?userId=10680857", "Link")</f>
        <v/>
      </c>
      <c r="O138" s="7" t="n">
        <v>45564.86667824074</v>
      </c>
      <c r="P138" s="3" t="inlineStr">
        <is>
          <t>433.89</t>
        </is>
      </c>
      <c r="Q138" t="inlineStr">
        <is>
          <t>Köln</t>
        </is>
      </c>
    </row>
    <row r="139">
      <c r="A139" t="inlineStr">
        <is>
          <t>11'2" x 32" x 6"</t>
        </is>
      </c>
      <c r="B139" t="inlineStr">
        <is>
          <t>Starboard Blend Deluxe</t>
        </is>
      </c>
      <c r="C139" t="inlineStr">
        <is>
          <t>Inflatable SUP</t>
        </is>
      </c>
      <c r="D139" s="3" t="n">
        <v>340</v>
      </c>
      <c r="E139" t="inlineStr"/>
      <c r="F139" s="4" t="n">
        <v>420</v>
      </c>
      <c r="G139" t="inlineStr"/>
      <c r="H139" t="inlineStr">
        <is>
          <t>21217 Niedersachsen - Seevetal</t>
        </is>
      </c>
      <c r="I139" s="5" t="n">
        <v>45564</v>
      </c>
      <c r="J139" t="inlineStr"/>
      <c r="K139" s="6">
        <f>HYPERLINK("https://www.kleinanzeigen.de/s-anzeige/starboard-inflatable-sup-11-2-blend-deluxe/2877044956-230-2812", "Link")</f>
        <v/>
      </c>
      <c r="L139" s="6">
        <f>HYPERLINK("C:\Projects\Kleinanzeigen-Scraper\offer_images\2877044956", "Link")</f>
        <v/>
      </c>
      <c r="M139" t="inlineStr">
        <is>
          <t>Joachim Flügge</t>
        </is>
      </c>
      <c r="N139" s="6">
        <f>HYPERLINK("https://www.kleinanzeigen.de/s-bestandsliste.html?userId=546571", "Link")</f>
        <v/>
      </c>
      <c r="O139" s="7" t="n">
        <v>45564.86665509259</v>
      </c>
      <c r="P139" s="3" t="inlineStr">
        <is>
          <t>348.89</t>
        </is>
      </c>
      <c r="Q139" t="inlineStr">
        <is>
          <t>Köln</t>
        </is>
      </c>
    </row>
    <row r="140">
      <c r="A140" t="inlineStr">
        <is>
          <t>9'5" x 32.25"</t>
        </is>
      </c>
      <c r="B140" t="inlineStr">
        <is>
          <t>Fanatic Allwave</t>
        </is>
      </c>
      <c r="C140" t="inlineStr">
        <is>
          <t>SUP with Windsurf Option</t>
        </is>
      </c>
      <c r="D140" s="3" t="n">
        <v>170</v>
      </c>
      <c r="E140" t="inlineStr"/>
      <c r="F140" s="4" t="n">
        <v>530</v>
      </c>
      <c r="G140" t="inlineStr"/>
      <c r="H140" t="inlineStr">
        <is>
          <t>30519 Hannover - Döhren-Wülfel</t>
        </is>
      </c>
      <c r="I140" s="5" t="n">
        <v>45564</v>
      </c>
      <c r="J140" t="inlineStr"/>
      <c r="K140" s="6">
        <f>HYPERLINK("https://www.kleinanzeigen.de/s-anzeige/sup-mit-windsurf-option-fanatic-allwave-9-5/2877506497-230-3174", "Link")</f>
        <v/>
      </c>
      <c r="L140" s="6">
        <f>HYPERLINK("C:\Projects\Kleinanzeigen-Scraper\offer_images\2877506497", "Link")</f>
        <v/>
      </c>
      <c r="M140" t="inlineStr">
        <is>
          <t>Interessent</t>
        </is>
      </c>
      <c r="N140" s="6">
        <f>HYPERLINK("https://www.kleinanzeigen.de/s-bestandsliste.html?userId=18564289", "Link")</f>
        <v/>
      </c>
      <c r="O140" s="7" t="n">
        <v>45564.86657407408</v>
      </c>
      <c r="P140" s="3" t="inlineStr">
        <is>
          <t>248.98</t>
        </is>
      </c>
      <c r="Q140" t="inlineStr">
        <is>
          <t>Köln</t>
        </is>
      </c>
    </row>
    <row r="141">
      <c r="A141" t="inlineStr">
        <is>
          <t>231 cm x 61 cm</t>
        </is>
      </c>
      <c r="B141" t="inlineStr">
        <is>
          <t>RRD Wavecult</t>
        </is>
      </c>
      <c r="C141" t="inlineStr">
        <is>
          <t>Wave</t>
        </is>
      </c>
      <c r="D141" s="3" t="n">
        <v>92</v>
      </c>
      <c r="E141" t="inlineStr"/>
      <c r="F141" s="4" t="n">
        <v>250</v>
      </c>
      <c r="G141" t="inlineStr"/>
      <c r="H141" t="inlineStr">
        <is>
          <t>23683 Kreis Ostholstein - Scharbeutz</t>
        </is>
      </c>
      <c r="I141" s="5" t="n">
        <v>45564</v>
      </c>
      <c r="J141" t="inlineStr"/>
      <c r="K141" s="6">
        <f>HYPERLINK("https://www.kleinanzeigen.de/s-anzeige/rrd-wavecult-92l/2877534023-230-437", "Link")</f>
        <v/>
      </c>
      <c r="L141" s="6">
        <f>HYPERLINK("C:\Projects\Kleinanzeigen-Scraper\offer_images\2877534023", "Link")</f>
        <v/>
      </c>
      <c r="M141" t="inlineStr">
        <is>
          <t>Verkäufer</t>
        </is>
      </c>
      <c r="N141" s="6">
        <f>HYPERLINK("https://www.kleinanzeigen.de/s-bestandsliste.html?userId=5833775", "Link")</f>
        <v/>
      </c>
      <c r="O141" s="7" t="n">
        <v>45564.86643518518</v>
      </c>
      <c r="P141" s="3" t="inlineStr">
        <is>
          <t>428.29</t>
        </is>
      </c>
      <c r="Q141" t="inlineStr">
        <is>
          <t>Köln</t>
        </is>
      </c>
    </row>
    <row r="142">
      <c r="A142" t="inlineStr">
        <is>
          <t>172 x 58 x 56</t>
        </is>
      </c>
      <c r="B142" t="inlineStr">
        <is>
          <t>MB Boards Pegasus</t>
        </is>
      </c>
      <c r="C142" t="inlineStr">
        <is>
          <t>Freestyle</t>
        </is>
      </c>
      <c r="D142" s="3" t="n">
        <v>89</v>
      </c>
      <c r="E142" t="inlineStr"/>
      <c r="F142" s="4" t="n">
        <v>395</v>
      </c>
      <c r="G142" t="inlineStr">
        <is>
          <t>VB</t>
        </is>
      </c>
      <c r="H142" t="inlineStr">
        <is>
          <t>14532 Brandenburg - Kleinmachnow</t>
        </is>
      </c>
      <c r="I142" s="5" t="n">
        <v>45563</v>
      </c>
      <c r="J142" t="inlineStr"/>
      <c r="K142" s="6">
        <f>HYPERLINK("https://www.kleinanzeigen.de/s-anzeige/boards-pegasus-89l-foilen-windsurf-freestyle/2876736806-230-7775", "Link")</f>
        <v/>
      </c>
      <c r="L142" s="6">
        <f>HYPERLINK("C:\Projects\Kleinanzeigen-Scraper\offer_images\2876736806", "Link")</f>
        <v/>
      </c>
      <c r="M142" t="inlineStr">
        <is>
          <t>Johannes</t>
        </is>
      </c>
      <c r="N142" s="6">
        <f>HYPERLINK("https://www.kleinanzeigen.de/s-bestandsliste.html?userId=52270428", "Link")</f>
        <v/>
      </c>
      <c r="O142" s="7" t="n">
        <v>45564.86601851852</v>
      </c>
      <c r="P142" s="3" t="inlineStr">
        <is>
          <t>458.23</t>
        </is>
      </c>
      <c r="Q142" t="inlineStr">
        <is>
          <t>Köln</t>
        </is>
      </c>
    </row>
    <row r="143">
      <c r="A143" t="inlineStr">
        <is>
          <t>265</t>
        </is>
      </c>
      <c r="B143" t="inlineStr">
        <is>
          <t>Fanatic Pure Gecko</t>
        </is>
      </c>
      <c r="C143" t="inlineStr">
        <is>
          <t>Freeride</t>
        </is>
      </c>
      <c r="D143" s="3" t="n">
        <v>89</v>
      </c>
      <c r="E143" t="inlineStr"/>
      <c r="F143" s="4" t="n">
        <v>90</v>
      </c>
      <c r="G143" t="inlineStr">
        <is>
          <t>VB</t>
        </is>
      </c>
      <c r="H143" t="inlineStr">
        <is>
          <t>32760 Nordrhein-Westfalen - Detmold</t>
        </is>
      </c>
      <c r="I143" s="5" t="n">
        <v>45564</v>
      </c>
      <c r="J143" t="inlineStr"/>
      <c r="K143" s="6">
        <f>HYPERLINK("https://www.kleinanzeigen.de/s-anzeige/surfbrett-fanatic-pure-gecko-mit-tasche-laenge-265-89-liter/2877082037-230-1795", "Link")</f>
        <v/>
      </c>
      <c r="L143" s="6">
        <f>HYPERLINK("C:\Projects\Kleinanzeigen-Scraper\offer_images\2877082037", "Link")</f>
        <v/>
      </c>
      <c r="M143" t="inlineStr">
        <is>
          <t>Klaus L.</t>
        </is>
      </c>
      <c r="N143" s="6">
        <f>HYPERLINK("https://www.kleinanzeigen.de/s-bestandsliste.html?userId=21417271", "Link")</f>
        <v/>
      </c>
      <c r="O143" s="7" t="n">
        <v>45564.86579861111</v>
      </c>
      <c r="P143" s="3" t="inlineStr">
        <is>
          <t>172.40</t>
        </is>
      </c>
      <c r="Q143" t="inlineStr">
        <is>
          <t>Köln</t>
        </is>
      </c>
    </row>
    <row r="144">
      <c r="A144" t="inlineStr">
        <is>
          <t>255 cm x 72 cm</t>
        </is>
      </c>
      <c r="B144" t="inlineStr">
        <is>
          <t>JP Australia X-Cite Ride</t>
        </is>
      </c>
      <c r="C144" t="inlineStr">
        <is>
          <t>Freeride</t>
        </is>
      </c>
      <c r="D144" s="3" t="n">
        <v>130</v>
      </c>
      <c r="E144" t="inlineStr"/>
      <c r="F144" s="4" t="n">
        <v>260</v>
      </c>
      <c r="G144" t="inlineStr">
        <is>
          <t>VB</t>
        </is>
      </c>
      <c r="H144" t="inlineStr">
        <is>
          <t>84034 Bayern - Landshut</t>
        </is>
      </c>
      <c r="I144" s="5" t="n">
        <v>45564</v>
      </c>
      <c r="J144" t="inlineStr">
        <is>
          <t>Sold</t>
        </is>
      </c>
      <c r="K144" s="6">
        <f>HYPERLINK("https://www.kleinanzeigen.de/s-anzeige/windsurf-brett-jp-x-cite-ride-130-l/2877308645-230-6396", "Link")</f>
        <v/>
      </c>
      <c r="L144" s="6">
        <f>HYPERLINK("C:\Projects\Kleinanzeigen-Scraper\offer_images\2877308645", "Link")</f>
        <v/>
      </c>
      <c r="M144" t="inlineStr">
        <is>
          <t>Marco</t>
        </is>
      </c>
      <c r="N144" s="6">
        <f>HYPERLINK("https://www.kleinanzeigen.de/s-bestandsliste.html?userId=46389110", "Link")</f>
        <v/>
      </c>
      <c r="O144" s="7" t="n">
        <v>45564.86576388889</v>
      </c>
      <c r="P144" s="3" t="inlineStr">
        <is>
          <t>58.35</t>
        </is>
      </c>
      <c r="Q144" t="inlineStr">
        <is>
          <t>München</t>
        </is>
      </c>
    </row>
    <row r="145">
      <c r="A145" t="inlineStr"/>
      <c r="B145" t="inlineStr">
        <is>
          <t>Naish Hover</t>
        </is>
      </c>
      <c r="C145" t="inlineStr">
        <is>
          <t>Foilboard</t>
        </is>
      </c>
      <c r="D145" s="3" t="n">
        <v>145</v>
      </c>
      <c r="E145" t="inlineStr">
        <is>
          <t>2020</t>
        </is>
      </c>
      <c r="F145" s="4" t="n">
        <v>499</v>
      </c>
      <c r="G145" t="inlineStr"/>
      <c r="H145" t="inlineStr">
        <is>
          <t>91710 Bayern - Gunzenhausen</t>
        </is>
      </c>
      <c r="I145" s="5" t="n">
        <v>45564</v>
      </c>
      <c r="J145" t="inlineStr"/>
      <c r="K145" s="6">
        <f>HYPERLINK("https://www.kleinanzeigen.de/s-anzeige/naish-windsurfbrett-hover-145l-2020-foilboard/2877545801-230-6163", "Link")</f>
        <v/>
      </c>
      <c r="L145" s="6">
        <f>HYPERLINK("C:\Projects\Kleinanzeigen-Scraper\offer_images\2877545801", "Link")</f>
        <v/>
      </c>
      <c r="M145" t="inlineStr">
        <is>
          <t>Surfcenter Altmühlsee</t>
        </is>
      </c>
      <c r="N145" s="6">
        <f>HYPERLINK("https://www.kleinanzeigen.de/s-bestandsliste.html?userId=127475446", "Link")</f>
        <v/>
      </c>
      <c r="O145" s="7" t="n">
        <v>45564.86518518518</v>
      </c>
      <c r="P145" s="3" t="inlineStr">
        <is>
          <t>125.65</t>
        </is>
      </c>
      <c r="Q145" t="inlineStr">
        <is>
          <t>München</t>
        </is>
      </c>
    </row>
    <row r="146">
      <c r="A146" t="inlineStr">
        <is>
          <t xml:space="preserve">Dimensions </t>
        </is>
      </c>
      <c r="B146" t="inlineStr">
        <is>
          <t>Fanatic Tri Wave TE</t>
        </is>
      </c>
      <c r="C146" t="inlineStr">
        <is>
          <t>Wave</t>
        </is>
      </c>
      <c r="D146" s="3" t="n">
        <v>99</v>
      </c>
      <c r="E146" t="inlineStr">
        <is>
          <t>2017</t>
        </is>
      </c>
      <c r="F146" s="4" t="n">
        <v>350</v>
      </c>
      <c r="G146" t="inlineStr">
        <is>
          <t>VB</t>
        </is>
      </c>
      <c r="H146" t="inlineStr">
        <is>
          <t>30900 Niedersachsen - Wedemark</t>
        </is>
      </c>
      <c r="I146" s="5" t="n">
        <v>45564</v>
      </c>
      <c r="J146" t="inlineStr"/>
      <c r="K146" s="6">
        <f>HYPERLINK("https://www.kleinanzeigen.de/s-anzeige/fanatic-tri-wave-te-99-l-2017/2877662408-230-2918", "Link")</f>
        <v/>
      </c>
      <c r="L146" s="6">
        <f>HYPERLINK("C:\Projects\Kleinanzeigen-Scraper\offer_images\2877662408", "Link")</f>
        <v/>
      </c>
      <c r="M146" t="inlineStr">
        <is>
          <t>Mike</t>
        </is>
      </c>
      <c r="N146" s="6">
        <f>HYPERLINK("https://www.kleinanzeigen.de/s-bestandsliste.html?userId=128929998", "Link")</f>
        <v/>
      </c>
      <c r="O146" s="7" t="n">
        <v>45564.86515046296</v>
      </c>
      <c r="P146" s="3" t="inlineStr">
        <is>
          <t>260.77</t>
        </is>
      </c>
      <c r="Q146" t="inlineStr">
        <is>
          <t>Köln</t>
        </is>
      </c>
    </row>
    <row r="147">
      <c r="A147" t="inlineStr"/>
      <c r="B147" t="inlineStr">
        <is>
          <t>Goya Custom</t>
        </is>
      </c>
      <c r="C147" t="inlineStr">
        <is>
          <t>Thruster</t>
        </is>
      </c>
      <c r="D147" s="3" t="n">
        <v>81</v>
      </c>
      <c r="E147" t="inlineStr"/>
      <c r="F147" s="4" t="n">
        <v>649</v>
      </c>
      <c r="G147" t="inlineStr">
        <is>
          <t>VB</t>
        </is>
      </c>
      <c r="H147" t="inlineStr">
        <is>
          <t>66450 Saarland - Bexbach</t>
        </is>
      </c>
      <c r="I147" s="5" t="n">
        <v>45563</v>
      </c>
      <c r="J147" t="inlineStr"/>
      <c r="K147" s="6">
        <f>HYPERLINK("https://www.kleinanzeigen.de/s-anzeige/windsurfboard-goya-custom-windsurfbrett/2876820204-230-298", "Link")</f>
        <v/>
      </c>
      <c r="L147" s="6">
        <f>HYPERLINK("C:\Projects\Kleinanzeigen-Scraper\offer_images\2876820204", "Link")</f>
        <v/>
      </c>
      <c r="M147" t="inlineStr">
        <is>
          <t>Julia</t>
        </is>
      </c>
      <c r="N147" s="6">
        <f>HYPERLINK("https://www.kleinanzeigen.de/s-bestandsliste.html?userId=133911647", "Link")</f>
        <v/>
      </c>
      <c r="O147" s="7" t="n">
        <v>45564.8650462963</v>
      </c>
      <c r="P147" s="3" t="inlineStr">
        <is>
          <t>92.12</t>
        </is>
      </c>
      <c r="Q147" t="inlineStr">
        <is>
          <t>Karlsruhe</t>
        </is>
      </c>
    </row>
    <row r="148">
      <c r="A148" t="inlineStr"/>
      <c r="B148" t="inlineStr">
        <is>
          <t>Fanatic Stingray Ltd</t>
        </is>
      </c>
      <c r="C148" t="inlineStr">
        <is>
          <t>Foilboard</t>
        </is>
      </c>
      <c r="D148" s="3" t="n">
        <v>115</v>
      </c>
      <c r="E148" t="inlineStr">
        <is>
          <t>2022</t>
        </is>
      </c>
      <c r="F148" s="4" t="n">
        <v>850</v>
      </c>
      <c r="G148" t="inlineStr"/>
      <c r="H148" t="inlineStr">
        <is>
          <t>13467 Berlin - Reinickendorf</t>
        </is>
      </c>
      <c r="I148" s="5" t="n">
        <v>45564</v>
      </c>
      <c r="J148" t="inlineStr"/>
      <c r="K148" s="6">
        <f>HYPERLINK("https://www.kleinanzeigen.de/s-anzeige/fanatic-stingray-115-ltd-foilboard/2877084789-230-3455", "Link")</f>
        <v/>
      </c>
      <c r="L148" s="6">
        <f>HYPERLINK("C:\Projects\Kleinanzeigen-Scraper\offer_images\2877084789", "Link")</f>
        <v/>
      </c>
      <c r="M148" t="inlineStr">
        <is>
          <t>Dirk</t>
        </is>
      </c>
      <c r="N148" s="6">
        <f>HYPERLINK("https://www.kleinanzeigen.de/s-bestandsliste.html?userId=77100142", "Link")</f>
        <v/>
      </c>
      <c r="O148" s="7" t="n">
        <v>45564.86457175926</v>
      </c>
      <c r="P148" s="3" t="inlineStr">
        <is>
          <t>474.84</t>
        </is>
      </c>
      <c r="Q148" t="inlineStr">
        <is>
          <t>Köln</t>
        </is>
      </c>
    </row>
    <row r="149">
      <c r="A149" t="inlineStr">
        <is>
          <t>239 cm x 72 cm</t>
        </is>
      </c>
      <c r="B149" t="inlineStr">
        <is>
          <t>Fanatic Gecko</t>
        </is>
      </c>
      <c r="C149" t="inlineStr">
        <is>
          <t>Freeride</t>
        </is>
      </c>
      <c r="D149" s="3" t="n">
        <v>110</v>
      </c>
      <c r="E149" t="inlineStr">
        <is>
          <t>2023</t>
        </is>
      </c>
      <c r="F149" s="4" t="n">
        <v>749</v>
      </c>
      <c r="G149" t="inlineStr">
        <is>
          <t>VB</t>
        </is>
      </c>
      <c r="H149" t="inlineStr">
        <is>
          <t>91710 Bayern - Gunzenhausen</t>
        </is>
      </c>
      <c r="I149" s="5" t="n">
        <v>45564</v>
      </c>
      <c r="J149" t="inlineStr"/>
      <c r="K149" s="6">
        <f>HYPERLINK("https://www.kleinanzeigen.de/s-anzeige/fanatic-windsurfbrett-gecko-110l-2023-windsurfboard/2877587412-230-6163", "Link")</f>
        <v/>
      </c>
      <c r="L149" s="6">
        <f>HYPERLINK("C:\Projects\Kleinanzeigen-Scraper\offer_images\2877587412", "Link")</f>
        <v/>
      </c>
      <c r="M149" t="inlineStr">
        <is>
          <t>Surfcenter Altmühlsee</t>
        </is>
      </c>
      <c r="N149" s="6">
        <f>HYPERLINK("https://www.kleinanzeigen.de/s-bestandsliste.html?userId=127475446", "Link")</f>
        <v/>
      </c>
      <c r="O149" s="7" t="n">
        <v>45564.86456018518</v>
      </c>
      <c r="P149" s="3" t="inlineStr">
        <is>
          <t>125.65</t>
        </is>
      </c>
      <c r="Q149" t="inlineStr">
        <is>
          <t>München</t>
        </is>
      </c>
    </row>
    <row r="150">
      <c r="A150" t="inlineStr">
        <is>
          <t>9'2 / 279.4 cm</t>
        </is>
      </c>
      <c r="B150" t="inlineStr">
        <is>
          <t>Fanatic ProWave LTD</t>
        </is>
      </c>
      <c r="C150" t="inlineStr"/>
      <c r="D150" s="3" t="n">
        <v>127</v>
      </c>
      <c r="E150" t="inlineStr">
        <is>
          <t>2018</t>
        </is>
      </c>
      <c r="F150" s="4" t="n">
        <v>800</v>
      </c>
      <c r="G150" t="inlineStr">
        <is>
          <t>VB</t>
        </is>
      </c>
      <c r="H150" t="inlineStr">
        <is>
          <t>40885 Nordrhein-Westfalen - Ratingen</t>
        </is>
      </c>
      <c r="I150" s="5" t="n">
        <v>45564</v>
      </c>
      <c r="J150" t="inlineStr"/>
      <c r="K150" s="6">
        <f>HYPERLINK("https://www.kleinanzeigen.de/s-anzeige/fanatic-prowave-ltd-9-2-sup-board-2018/2877713629-230-1777", "Link")</f>
        <v/>
      </c>
      <c r="L150" s="6">
        <f>HYPERLINK("C:\Projects\Kleinanzeigen-Scraper\offer_images\2877713629", "Link")</f>
        <v/>
      </c>
      <c r="M150" t="inlineStr">
        <is>
          <t>Stefanie Saborowsky</t>
        </is>
      </c>
      <c r="N150" s="6">
        <f>HYPERLINK("https://www.kleinanzeigen.de/s-bestandsliste.html?userId=35698144", "Link")</f>
        <v/>
      </c>
      <c r="O150" s="7" t="n">
        <v>45564.864375</v>
      </c>
      <c r="P150" s="3" t="inlineStr">
        <is>
          <t>45.32</t>
        </is>
      </c>
      <c r="Q150" t="inlineStr">
        <is>
          <t>Köln</t>
        </is>
      </c>
    </row>
    <row r="151">
      <c r="A151" t="inlineStr"/>
      <c r="B151" t="inlineStr">
        <is>
          <t>Fanatic Freewave</t>
        </is>
      </c>
      <c r="C151" t="inlineStr">
        <is>
          <t>Freeride</t>
        </is>
      </c>
      <c r="D151" s="3" t="inlineStr"/>
      <c r="E151" t="inlineStr"/>
      <c r="F151" s="4" t="n">
        <v>20</v>
      </c>
      <c r="G151" t="inlineStr">
        <is>
          <t>VB</t>
        </is>
      </c>
      <c r="H151" t="inlineStr">
        <is>
          <t>20251 Hamburg-Nord - Hamburg Eppendorf</t>
        </is>
      </c>
      <c r="I151" s="5" t="n">
        <v>45564</v>
      </c>
      <c r="J151" t="inlineStr"/>
      <c r="K151" s="6">
        <f>HYPERLINK("https://www.kleinanzeigen.de/s-anzeige/surfboard-fanatic-freewave-86-fuer-bastler/2877385237-230-9475", "Link")</f>
        <v/>
      </c>
      <c r="L151" s="6">
        <f>HYPERLINK("C:\Projects\Kleinanzeigen-Scraper\offer_images\2877385237", "Link")</f>
        <v/>
      </c>
      <c r="M151" t="inlineStr">
        <is>
          <t>Philian Hole</t>
        </is>
      </c>
      <c r="N151" s="6">
        <f>HYPERLINK("https://www.kleinanzeigen.de/s-bestandsliste.html?userId=24747454", "Link")</f>
        <v/>
      </c>
      <c r="O151" s="7" t="n">
        <v>45564.8643287037</v>
      </c>
      <c r="P151" s="3" t="inlineStr">
        <is>
          <t>360.06</t>
        </is>
      </c>
      <c r="Q151" t="inlineStr">
        <is>
          <t>Köln</t>
        </is>
      </c>
    </row>
    <row r="152">
      <c r="A152" t="inlineStr">
        <is>
          <t>250 cm x 83 cm</t>
        </is>
      </c>
      <c r="B152" t="inlineStr">
        <is>
          <t>Fanatic Gecko</t>
        </is>
      </c>
      <c r="C152" t="inlineStr">
        <is>
          <t>Freeride</t>
        </is>
      </c>
      <c r="D152" s="3" t="n">
        <v>148</v>
      </c>
      <c r="E152" t="inlineStr">
        <is>
          <t>2023</t>
        </is>
      </c>
      <c r="F152" s="4" t="n">
        <v>749</v>
      </c>
      <c r="G152" t="inlineStr">
        <is>
          <t>VB</t>
        </is>
      </c>
      <c r="H152" t="inlineStr">
        <is>
          <t>91710 Bayern - Gunzenhausen</t>
        </is>
      </c>
      <c r="I152" s="5" t="n">
        <v>45564</v>
      </c>
      <c r="J152" t="inlineStr"/>
      <c r="K152" s="6">
        <f>HYPERLINK("https://www.kleinanzeigen.de/s-anzeige/fanatic-windsurfbrett-gecko-148l-2023-windsurfboard/2877637451-230-6163", "Link")</f>
        <v/>
      </c>
      <c r="L152" s="6">
        <f>HYPERLINK("C:\Projects\Kleinanzeigen-Scraper\offer_images\2877637451", "Link")</f>
        <v/>
      </c>
      <c r="M152" t="inlineStr">
        <is>
          <t>Surfcenter Altmühlsee</t>
        </is>
      </c>
      <c r="N152" s="6">
        <f>HYPERLINK("https://www.kleinanzeigen.de/s-bestandsliste.html?userId=127475446", "Link")</f>
        <v/>
      </c>
      <c r="O152" s="7" t="n">
        <v>45564.86431712963</v>
      </c>
      <c r="P152" s="3" t="inlineStr">
        <is>
          <t>125.65</t>
        </is>
      </c>
      <c r="Q152" t="inlineStr">
        <is>
          <t>München</t>
        </is>
      </c>
    </row>
    <row r="153">
      <c r="A153" t="inlineStr">
        <is>
          <t>235 x 62</t>
        </is>
      </c>
      <c r="B153" t="inlineStr">
        <is>
          <t>Fanatic Falcon 99</t>
        </is>
      </c>
      <c r="C153" t="inlineStr">
        <is>
          <t>Slalom</t>
        </is>
      </c>
      <c r="D153" s="3" t="n">
        <v>99</v>
      </c>
      <c r="E153" t="inlineStr"/>
      <c r="F153" s="4" t="n">
        <v>750</v>
      </c>
      <c r="G153" t="inlineStr"/>
      <c r="H153" t="inlineStr">
        <is>
          <t>82008 Bayern - Unterhaching</t>
        </is>
      </c>
      <c r="I153" s="5" t="n">
        <v>45564</v>
      </c>
      <c r="J153" t="inlineStr"/>
      <c r="K153" s="6">
        <f>HYPERLINK("https://www.kleinanzeigen.de/s-anzeige/surfbrett-fanatic-falcon-99-99l-235-x-62-/2877455740-230-19171", "Link")</f>
        <v/>
      </c>
      <c r="L153" s="6">
        <f>HYPERLINK("C:\Projects\Kleinanzeigen-Scraper\offer_images\2877455740", "Link")</f>
        <v/>
      </c>
      <c r="M153" t="inlineStr">
        <is>
          <t>Still Michael</t>
        </is>
      </c>
      <c r="N153" s="6">
        <f>HYPERLINK("https://www.kleinanzeigen.de/s-bestandsliste.html?userId=10458813", "Link")</f>
        <v/>
      </c>
      <c r="O153" s="7" t="n">
        <v>45564.86423611111</v>
      </c>
      <c r="P153" s="3" t="inlineStr">
        <is>
          <t>8.58</t>
        </is>
      </c>
      <c r="Q153" t="inlineStr">
        <is>
          <t>München</t>
        </is>
      </c>
    </row>
    <row r="154">
      <c r="A154" t="inlineStr"/>
      <c r="B154" t="inlineStr">
        <is>
          <t>Patrik f-style</t>
        </is>
      </c>
      <c r="C154" t="inlineStr">
        <is>
          <t>Freestyle</t>
        </is>
      </c>
      <c r="D154" s="3" t="n">
        <v>93</v>
      </c>
      <c r="E154" t="inlineStr"/>
      <c r="F154" s="4" t="n">
        <v>400</v>
      </c>
      <c r="G154" t="inlineStr"/>
      <c r="H154" t="inlineStr">
        <is>
          <t>18528 Mecklenburg-Vorpommern - Bergen auf Rügen</t>
        </is>
      </c>
      <c r="I154" s="5" t="n">
        <v>45564</v>
      </c>
      <c r="J154" t="inlineStr"/>
      <c r="K154" s="6">
        <f>HYPERLINK("https://www.kleinanzeigen.de/s-anzeige/patrik-f-style-93-liter-windsurf-freestyle-board/2877245174-230-18644", "Link")</f>
        <v/>
      </c>
      <c r="L154" s="6">
        <f>HYPERLINK("C:\Projects\Kleinanzeigen-Scraper\offer_images\2877245174", "Link")</f>
        <v/>
      </c>
      <c r="M154" t="inlineStr">
        <is>
          <t>Falk Miron</t>
        </is>
      </c>
      <c r="N154" s="6">
        <f>HYPERLINK("https://www.kleinanzeigen.de/s-bestandsliste.html?userId=18644128", "Link")</f>
        <v/>
      </c>
      <c r="O154" s="7" t="n">
        <v>45564.86417824074</v>
      </c>
      <c r="P154" s="3" t="inlineStr">
        <is>
          <t>582.28</t>
        </is>
      </c>
      <c r="Q154" t="inlineStr">
        <is>
          <t>Köln</t>
        </is>
      </c>
    </row>
    <row r="155">
      <c r="A155" t="inlineStr">
        <is>
          <t>Dimensions not provided</t>
        </is>
      </c>
      <c r="B155" t="inlineStr">
        <is>
          <t>Starboard Isonic 63</t>
        </is>
      </c>
      <c r="C155" t="inlineStr">
        <is>
          <t>Slalom</t>
        </is>
      </c>
      <c r="D155" s="3" t="inlineStr"/>
      <c r="E155" t="inlineStr">
        <is>
          <t>2023</t>
        </is>
      </c>
      <c r="F155" s="4" t="n">
        <v>1250</v>
      </c>
      <c r="G155" t="inlineStr">
        <is>
          <t>VB</t>
        </is>
      </c>
      <c r="H155" t="inlineStr">
        <is>
          <t>45699 Herten</t>
        </is>
      </c>
      <c r="I155" s="5" t="n">
        <v>45563</v>
      </c>
      <c r="J155" t="inlineStr">
        <is>
          <t>Sold</t>
        </is>
      </c>
      <c r="K155" s="6">
        <f>HYPERLINK("https://www.dailydose.de/kleinanzeigen/detail.htm?ai=423298&amp;cf=kk&amp;pg=2&amp;ci=11", "Link")</f>
        <v/>
      </c>
      <c r="L155" s="6">
        <f>HYPERLINK("C:\Projects\Kleinanzeigen-Scraper\offer_images\423298", "Link")</f>
        <v/>
      </c>
      <c r="M155" t="inlineStr">
        <is>
          <t>BBsurfer</t>
        </is>
      </c>
      <c r="N155" s="6">
        <f>HYPERLINK("https://www.dailydose.de/kleinanzeigen/user/5199", "Link")</f>
        <v/>
      </c>
      <c r="O155" s="7" t="n">
        <v>45563.73924768518</v>
      </c>
      <c r="P155" s="3" t="inlineStr">
        <is>
          <t>73.42</t>
        </is>
      </c>
      <c r="Q155" t="inlineStr">
        <is>
          <t>Köln</t>
        </is>
      </c>
    </row>
    <row r="156">
      <c r="A156" t="inlineStr">
        <is>
          <t>222 cm x 58 cm x 13 cm</t>
        </is>
      </c>
      <c r="B156" t="inlineStr">
        <is>
          <t>Quatro Cube</t>
        </is>
      </c>
      <c r="C156" t="inlineStr">
        <is>
          <t>Freestyle</t>
        </is>
      </c>
      <c r="D156" s="3" t="n">
        <v>87</v>
      </c>
      <c r="E156" t="inlineStr">
        <is>
          <t>2023</t>
        </is>
      </c>
      <c r="F156" s="4" t="n">
        <v>1.1</v>
      </c>
      <c r="G156" t="inlineStr"/>
      <c r="H156" t="inlineStr">
        <is>
          <t>23758 Ostholstein</t>
        </is>
      </c>
      <c r="I156" s="5" t="n">
        <v>45563</v>
      </c>
      <c r="J156" t="inlineStr">
        <is>
          <t>Sold</t>
        </is>
      </c>
      <c r="K156" s="6">
        <f>HYPERLINK("https://www.dailydose.de/kleinanzeigen/detail.htm?ai=423308&amp;cf=kk&amp;pg=2&amp;ci=11", "Link")</f>
        <v/>
      </c>
      <c r="L156" s="6">
        <f>HYPERLINK("C:\Projects\Kleinanzeigen-Scraper\offer_images\423308", "Link")</f>
        <v/>
      </c>
      <c r="M156" t="inlineStr">
        <is>
          <t>wellenkasper</t>
        </is>
      </c>
      <c r="N156" s="6">
        <f>HYPERLINK("https://www.dailydose.de/kleinanzeigen/user/512", "Link")</f>
        <v/>
      </c>
      <c r="O156" s="7" t="n">
        <v>45563.73857638889</v>
      </c>
      <c r="P156" s="3" t="inlineStr">
        <is>
          <t>459.51</t>
        </is>
      </c>
      <c r="Q156" t="inlineStr">
        <is>
          <t>Köln</t>
        </is>
      </c>
    </row>
    <row r="157">
      <c r="A157" t="inlineStr">
        <is>
          <t>235x60</t>
        </is>
      </c>
      <c r="B157" t="inlineStr">
        <is>
          <t>RRD Wavetwin LTD</t>
        </is>
      </c>
      <c r="C157" t="inlineStr">
        <is>
          <t>Wave</t>
        </is>
      </c>
      <c r="D157" s="3" t="n">
        <v>90</v>
      </c>
      <c r="E157" t="inlineStr">
        <is>
          <t>2009</t>
        </is>
      </c>
      <c r="F157" s="4" t="n">
        <v>380</v>
      </c>
      <c r="G157" t="inlineStr"/>
      <c r="H157" t="inlineStr">
        <is>
          <t>23769 Fehmarn</t>
        </is>
      </c>
      <c r="I157" s="5" t="n">
        <v>45563</v>
      </c>
      <c r="J157" t="inlineStr"/>
      <c r="K157" s="6">
        <f>HYPERLINK("https://www.dailydose.de/kleinanzeigen/detail.htm?ai=423285&amp;cf=kk&amp;pg=3&amp;ci=11", "Link")</f>
        <v/>
      </c>
      <c r="L157" s="6">
        <f>HYPERLINK("C:\Projects\Kleinanzeigen-Scraper\offer_images\423285", "Link")</f>
        <v/>
      </c>
      <c r="M157" t="inlineStr">
        <is>
          <t>Guevara2000</t>
        </is>
      </c>
      <c r="N157" s="6">
        <f>HYPERLINK("https://www.dailydose.de/kleinanzeigen/user/1470", "Link")</f>
        <v/>
      </c>
      <c r="O157" s="7" t="n">
        <v>45563.73854166667</v>
      </c>
      <c r="P157" s="3" t="inlineStr">
        <is>
          <t>483.01</t>
        </is>
      </c>
      <c r="Q157" t="inlineStr">
        <is>
          <t>Köln</t>
        </is>
      </c>
    </row>
    <row r="158">
      <c r="A158" t="inlineStr"/>
      <c r="B158" t="inlineStr">
        <is>
          <t>Tabou</t>
        </is>
      </c>
      <c r="C158" t="inlineStr">
        <is>
          <t>Wave</t>
        </is>
      </c>
      <c r="D158" s="3" t="n">
        <v>90</v>
      </c>
      <c r="E158" t="inlineStr"/>
      <c r="F158" s="4" t="n">
        <v>135</v>
      </c>
      <c r="G158" t="inlineStr">
        <is>
          <t>VB</t>
        </is>
      </c>
      <c r="H158" t="inlineStr">
        <is>
          <t>24975 Hürup</t>
        </is>
      </c>
      <c r="I158" s="5" t="n">
        <v>45563</v>
      </c>
      <c r="J158" t="inlineStr"/>
      <c r="K158" s="6">
        <f>HYPERLINK("https://www.dailydose.de/kleinanzeigen/detail.htm?ai=423300&amp;cf=kk&amp;pg=2&amp;ci=11", "Link")</f>
        <v/>
      </c>
      <c r="L158" s="6">
        <f>HYPERLINK("C:\Projects\Kleinanzeigen-Scraper\offer_images\423300", "Link")</f>
        <v/>
      </c>
      <c r="M158" t="inlineStr">
        <is>
          <t>Cesare_266</t>
        </is>
      </c>
      <c r="N158" s="6">
        <f>HYPERLINK("https://www.dailydose.de/kleinanzeigen/user/22800", "Link")</f>
        <v/>
      </c>
      <c r="O158" s="7" t="n">
        <v>45563.73832175926</v>
      </c>
      <c r="P158" s="3" t="inlineStr">
        <is>
          <t>458.46</t>
        </is>
      </c>
      <c r="Q158" t="inlineStr">
        <is>
          <t>Köln</t>
        </is>
      </c>
    </row>
    <row r="159">
      <c r="A159" t="inlineStr"/>
      <c r="B159" t="inlineStr">
        <is>
          <t>Severn Dyno</t>
        </is>
      </c>
      <c r="C159" t="inlineStr"/>
      <c r="D159" s="3" t="n">
        <v>105</v>
      </c>
      <c r="E159" t="inlineStr"/>
      <c r="F159" s="4" t="n">
        <v>460</v>
      </c>
      <c r="G159" t="inlineStr"/>
      <c r="H159" t="inlineStr">
        <is>
          <t>25524 Itzehoe</t>
        </is>
      </c>
      <c r="I159" s="5" t="n">
        <v>45563</v>
      </c>
      <c r="J159" t="inlineStr"/>
      <c r="K159" s="6">
        <f>HYPERLINK("https://www.dailydose.de/kleinanzeigen/detail.htm?ai=423297&amp;cf=kk&amp;pg=2&amp;ci=11", "Link")</f>
        <v/>
      </c>
      <c r="L159" s="6">
        <f>HYPERLINK("C:\Projects\Kleinanzeigen-Scraper\offer_images\423297", "Link")</f>
        <v/>
      </c>
      <c r="M159" t="inlineStr">
        <is>
          <t>Fuerte</t>
        </is>
      </c>
      <c r="N159" s="6">
        <f>HYPERLINK("https://www.dailydose.de/kleinanzeigen/user/24667", "Link")</f>
        <v/>
      </c>
      <c r="O159" s="7" t="n">
        <v>45563.73715277778</v>
      </c>
      <c r="P159" s="3" t="inlineStr">
        <is>
          <t>375.94</t>
        </is>
      </c>
      <c r="Q159" t="inlineStr">
        <is>
          <t>Köln</t>
        </is>
      </c>
    </row>
    <row r="160">
      <c r="A160" t="inlineStr">
        <is>
          <t>245 cm x 72 cm</t>
        </is>
      </c>
      <c r="B160" t="inlineStr">
        <is>
          <t>Tabou ROCKET 135 LTD</t>
        </is>
      </c>
      <c r="C160" t="inlineStr">
        <is>
          <t>Freeride</t>
        </is>
      </c>
      <c r="D160" s="3" t="n">
        <v>135</v>
      </c>
      <c r="E160" t="inlineStr"/>
      <c r="F160" s="4" t="n">
        <v>575</v>
      </c>
      <c r="G160" t="inlineStr">
        <is>
          <t>VB</t>
        </is>
      </c>
      <c r="H160" t="inlineStr">
        <is>
          <t>23909</t>
        </is>
      </c>
      <c r="I160" s="5" t="n">
        <v>45563</v>
      </c>
      <c r="J160" t="inlineStr"/>
      <c r="K160" s="6">
        <f>HYPERLINK("https://www.dailydose.de/kleinanzeigen/detail.htm?ai=423302&amp;cf=kk&amp;pg=2&amp;ci=11", "Link")</f>
        <v/>
      </c>
      <c r="L160" s="6">
        <f>HYPERLINK("C:\Projects\Kleinanzeigen-Scraper\offer_images\423302", "Link")</f>
        <v/>
      </c>
      <c r="M160" t="inlineStr">
        <is>
          <t>Insider</t>
        </is>
      </c>
      <c r="N160" s="6">
        <f>HYPERLINK("https://www.dailydose.de/kleinanzeigen/user/20603", "Link")</f>
        <v/>
      </c>
      <c r="O160" s="7" t="n">
        <v>45563.736875</v>
      </c>
      <c r="P160" s="3" t="inlineStr">
        <is>
          <t>401.75</t>
        </is>
      </c>
      <c r="Q160" t="inlineStr">
        <is>
          <t>Köln</t>
        </is>
      </c>
    </row>
    <row r="161">
      <c r="A161" t="inlineStr"/>
      <c r="B161" t="inlineStr">
        <is>
          <t>Goya Air Pro</t>
        </is>
      </c>
      <c r="C161" t="inlineStr">
        <is>
          <t>Freestyle</t>
        </is>
      </c>
      <c r="D161" s="3" t="n">
        <v>89</v>
      </c>
      <c r="E161" t="inlineStr"/>
      <c r="F161" s="4" t="n">
        <v>750</v>
      </c>
      <c r="G161" t="inlineStr"/>
      <c r="H161" t="inlineStr">
        <is>
          <t>01796 Pirna, Berlin, Bonn</t>
        </is>
      </c>
      <c r="I161" s="5" t="n">
        <v>45562</v>
      </c>
      <c r="J161" t="inlineStr"/>
      <c r="K161" s="6">
        <f>HYPERLINK("https://www.dailydose.de/kleinanzeigen/detail.htm?ai=423281&amp;cf=kk&amp;pg=3&amp;ci=11", "Link")</f>
        <v/>
      </c>
      <c r="L161" s="6">
        <f>HYPERLINK("C:\Projects\Kleinanzeigen-Scraper\offer_images\423281", "Link")</f>
        <v/>
      </c>
      <c r="M161" t="inlineStr">
        <is>
          <t>udo_83</t>
        </is>
      </c>
      <c r="N161" s="6">
        <f>HYPERLINK("https://www.dailydose.de/kleinanzeigen/user/13758", "Link")</f>
        <v/>
      </c>
      <c r="O161" s="7" t="n">
        <v>45563.73673611111</v>
      </c>
      <c r="P161" s="3" t="inlineStr">
        <is>
          <t>356.36</t>
        </is>
      </c>
      <c r="Q161" t="inlineStr">
        <is>
          <t>München</t>
        </is>
      </c>
    </row>
    <row r="162">
      <c r="A162" t="inlineStr"/>
      <c r="B162" t="inlineStr">
        <is>
          <t>IQFOIL</t>
        </is>
      </c>
      <c r="C162" t="inlineStr">
        <is>
          <t>Foil</t>
        </is>
      </c>
      <c r="D162" s="3" t="inlineStr"/>
      <c r="E162" t="inlineStr"/>
      <c r="F162" s="4" t="n">
        <v>1699</v>
      </c>
      <c r="G162" t="inlineStr">
        <is>
          <t>VB</t>
        </is>
      </c>
      <c r="H162" t="inlineStr">
        <is>
          <t>8052 Zürich</t>
        </is>
      </c>
      <c r="I162" s="5" t="n">
        <v>45563</v>
      </c>
      <c r="J162" t="inlineStr"/>
      <c r="K162" s="6">
        <f>HYPERLINK("https://www.dailydose.de/kleinanzeigen/detail.htm?ai=423301&amp;cf=kk&amp;pg=2&amp;ci=11", "Link")</f>
        <v/>
      </c>
      <c r="L162" s="6">
        <f>HYPERLINK("C:\Projects\Kleinanzeigen-Scraper\offer_images\423301", "Link")</f>
        <v/>
      </c>
      <c r="M162" t="inlineStr">
        <is>
          <t>jerro</t>
        </is>
      </c>
      <c r="N162" s="6">
        <f>HYPERLINK("https://www.dailydose.de/kleinanzeigen/user/26459", "Link")</f>
        <v/>
      </c>
      <c r="O162" s="7" t="n">
        <v>45563.73666666666</v>
      </c>
      <c r="P162" s="3" t="inlineStr">
        <is>
          <t>46.52</t>
        </is>
      </c>
      <c r="Q162" t="inlineStr">
        <is>
          <t>Bonndorf</t>
        </is>
      </c>
    </row>
    <row r="163">
      <c r="A163" t="inlineStr"/>
      <c r="B163" t="inlineStr">
        <is>
          <t>Goya Custom 4</t>
        </is>
      </c>
      <c r="C163" t="inlineStr"/>
      <c r="D163" s="3" t="n">
        <v>89</v>
      </c>
      <c r="E163" t="inlineStr"/>
      <c r="F163" s="4" t="n">
        <v>1200</v>
      </c>
      <c r="G163" t="inlineStr"/>
      <c r="H163" t="inlineStr">
        <is>
          <t>47533 kleve</t>
        </is>
      </c>
      <c r="I163" s="5" t="n">
        <v>45563</v>
      </c>
      <c r="J163" t="inlineStr"/>
      <c r="K163" s="6">
        <f>HYPERLINK("https://www.dailydose.de/kleinanzeigen/detail.htm?ai=423287&amp;cf=kk&amp;pg=2&amp;ci=11", "Link")</f>
        <v/>
      </c>
      <c r="L163" s="6">
        <f>HYPERLINK("C:\Projects\Kleinanzeigen-Scraper\offer_images\423287", "Link")</f>
        <v/>
      </c>
      <c r="M163" t="inlineStr">
        <is>
          <t>peter garzke</t>
        </is>
      </c>
      <c r="N163" s="6">
        <f>HYPERLINK("https://www.dailydose.de/kleinanzeigen/user/18980", "Link")</f>
        <v/>
      </c>
      <c r="O163" s="7" t="n">
        <v>45563.73650462963</v>
      </c>
      <c r="P163" s="3" t="inlineStr">
        <is>
          <t>112.50</t>
        </is>
      </c>
      <c r="Q163" t="inlineStr">
        <is>
          <t>Köln</t>
        </is>
      </c>
    </row>
    <row r="164">
      <c r="A164" t="inlineStr">
        <is>
          <t>229.1 x 63.8 cm</t>
        </is>
      </c>
      <c r="B164" t="inlineStr">
        <is>
          <t>QUATRO POWER PRO</t>
        </is>
      </c>
      <c r="C164" t="inlineStr">
        <is>
          <t>Freemove Freewave</t>
        </is>
      </c>
      <c r="D164" s="3" t="n">
        <v>105</v>
      </c>
      <c r="E164" t="inlineStr">
        <is>
          <t>2023</t>
        </is>
      </c>
      <c r="F164" s="4" t="n">
        <v>1000</v>
      </c>
      <c r="G164" t="inlineStr"/>
      <c r="H164" t="inlineStr">
        <is>
          <t>33659 Bielefeld</t>
        </is>
      </c>
      <c r="I164" s="5" t="n">
        <v>45563</v>
      </c>
      <c r="J164" t="inlineStr"/>
      <c r="K164" s="6">
        <f>HYPERLINK("https://www.dailydose.de/kleinanzeigen/detail.htm?ai=423306&amp;cf=kk&amp;pg=2&amp;ci=11", "Link")</f>
        <v/>
      </c>
      <c r="L164" s="6">
        <f>HYPERLINK("C:\Projects\Kleinanzeigen-Scraper\offer_images\423306", "Link")</f>
        <v/>
      </c>
      <c r="M164" t="inlineStr">
        <is>
          <t>az.classic</t>
        </is>
      </c>
      <c r="N164" s="6">
        <f>HYPERLINK("https://www.dailydose.de/kleinanzeigen/user/4208", "Link")</f>
        <v/>
      </c>
      <c r="O164" s="7" t="n">
        <v>45563.73591435186</v>
      </c>
      <c r="P164" s="3" t="inlineStr">
        <is>
          <t>156.75</t>
        </is>
      </c>
      <c r="Q164" t="inlineStr">
        <is>
          <t>Köln</t>
        </is>
      </c>
    </row>
    <row r="165">
      <c r="A165" t="inlineStr">
        <is>
          <t>Dimensions not specified</t>
        </is>
      </c>
      <c r="B165" t="inlineStr">
        <is>
          <t>JP</t>
        </is>
      </c>
      <c r="C165" t="inlineStr">
        <is>
          <t>Freestyle Wave</t>
        </is>
      </c>
      <c r="D165" s="3" t="n">
        <v>98</v>
      </c>
      <c r="E165" t="inlineStr"/>
      <c r="F165" s="4" t="n">
        <v>250</v>
      </c>
      <c r="G165" t="inlineStr"/>
      <c r="H165" t="inlineStr">
        <is>
          <t>17493 Greifswald</t>
        </is>
      </c>
      <c r="I165" s="5" t="n">
        <v>45563</v>
      </c>
      <c r="J165" t="inlineStr"/>
      <c r="K165" s="6">
        <f>HYPERLINK("https://www.dailydose.de/kleinanzeigen/detail.htm?ai=423290&amp;cf=kk&amp;pg=2&amp;ci=11", "Link")</f>
        <v/>
      </c>
      <c r="L165" s="6">
        <f>HYPERLINK("C:\Projects\Kleinanzeigen-Scraper\offer_images\423290", "Link")</f>
        <v/>
      </c>
      <c r="M165" t="inlineStr">
        <is>
          <t>carsten_17</t>
        </is>
      </c>
      <c r="N165" s="6">
        <f>HYPERLINK("https://www.dailydose.de/kleinanzeigen/user/6151", "Link")</f>
        <v/>
      </c>
      <c r="O165" s="7" t="n">
        <v>45563.73584490741</v>
      </c>
      <c r="P165" s="3" t="inlineStr">
        <is>
          <t>561.43</t>
        </is>
      </c>
      <c r="Q165" t="inlineStr">
        <is>
          <t>Köln</t>
        </is>
      </c>
    </row>
    <row r="166">
      <c r="A166" t="inlineStr">
        <is>
          <t>228x71</t>
        </is>
      </c>
      <c r="B166" t="inlineStr">
        <is>
          <t>Starboard Futura</t>
        </is>
      </c>
      <c r="C166" t="inlineStr">
        <is>
          <t>Freeride</t>
        </is>
      </c>
      <c r="D166" s="3" t="n">
        <v>107</v>
      </c>
      <c r="E166" t="inlineStr">
        <is>
          <t>2019</t>
        </is>
      </c>
      <c r="F166" s="4" t="n">
        <v>550</v>
      </c>
      <c r="G166" t="inlineStr"/>
      <c r="H166" t="inlineStr">
        <is>
          <t>26789 Niedersachsen - Leer (Ostfriesland)</t>
        </is>
      </c>
      <c r="I166" s="5" t="n">
        <v>45563</v>
      </c>
      <c r="J166" t="inlineStr"/>
      <c r="K166" s="6">
        <f>HYPERLINK("https://www.kleinanzeigen.de/s-anzeige/starboard-futura-107-liter-2019/2875839195-230-2751", "Link")</f>
        <v/>
      </c>
      <c r="L166" s="6">
        <f>HYPERLINK("C:\Projects\Kleinanzeigen-Scraper\offer_images\2875839195", "Link")</f>
        <v/>
      </c>
      <c r="M166" t="inlineStr">
        <is>
          <t>Schuling</t>
        </is>
      </c>
      <c r="N166" s="6">
        <f>HYPERLINK("https://www.kleinanzeigen.de/s-bestandsliste.html?userId=119996746", "Link")</f>
        <v/>
      </c>
      <c r="O166" s="7" t="n">
        <v>45563.73524305555</v>
      </c>
      <c r="P166" s="3" t="inlineStr">
        <is>
          <t>259.82</t>
        </is>
      </c>
      <c r="Q166" t="inlineStr">
        <is>
          <t>Köln</t>
        </is>
      </c>
    </row>
    <row r="167">
      <c r="A167" t="inlineStr"/>
      <c r="B167" t="inlineStr">
        <is>
          <t>Funster</t>
        </is>
      </c>
      <c r="C167" t="inlineStr">
        <is>
          <t>Freeride</t>
        </is>
      </c>
      <c r="D167" s="3" t="n">
        <v>145</v>
      </c>
      <c r="E167" t="inlineStr"/>
      <c r="F167" s="4" t="n">
        <v>450</v>
      </c>
      <c r="G167" t="inlineStr"/>
      <c r="H167" t="inlineStr">
        <is>
          <t>26736 Krummhörn - Greetsiel</t>
        </is>
      </c>
      <c r="I167" s="5" t="n">
        <v>45563</v>
      </c>
      <c r="J167" t="inlineStr"/>
      <c r="K167" s="6">
        <f>HYPERLINK("https://www.kleinanzeigen.de/s-anzeige/surfboad-windsurfen-145-l/2876311945-242-19015", "Link")</f>
        <v/>
      </c>
      <c r="L167" s="6">
        <f>HYPERLINK("C:\Projects\Kleinanzeigen-Scraper\offer_images\2876311945", "Link")</f>
        <v/>
      </c>
      <c r="M167" t="inlineStr">
        <is>
          <t>Segbers</t>
        </is>
      </c>
      <c r="N167" s="6">
        <f>HYPERLINK("https://www.kleinanzeigen.de/s-bestandsliste.html?userId=7236037", "Link")</f>
        <v/>
      </c>
      <c r="O167" s="7" t="n">
        <v>45563.73488425926</v>
      </c>
      <c r="P167" s="3" t="inlineStr">
        <is>
          <t>280.59</t>
        </is>
      </c>
      <c r="Q167" t="inlineStr">
        <is>
          <t>Köln</t>
        </is>
      </c>
    </row>
    <row r="168">
      <c r="A168" t="inlineStr">
        <is>
          <t>270 cm x 90 cm</t>
        </is>
      </c>
      <c r="B168" t="inlineStr">
        <is>
          <t>Fanatic Viper 90</t>
        </is>
      </c>
      <c r="C168" t="inlineStr"/>
      <c r="D168" s="3" t="n">
        <v>200</v>
      </c>
      <c r="E168" t="inlineStr"/>
      <c r="F168" s="4" t="n">
        <v>490</v>
      </c>
      <c r="G168" t="inlineStr">
        <is>
          <t>VB</t>
        </is>
      </c>
      <c r="H168" t="inlineStr">
        <is>
          <t>30657 Hannover - Bothfeld-Vahrenheide</t>
        </is>
      </c>
      <c r="I168" s="5" t="n">
        <v>45563</v>
      </c>
      <c r="J168" t="inlineStr"/>
      <c r="K168" s="6">
        <f>HYPERLINK("https://www.kleinanzeigen.de/s-anzeige/surfbrett-windsurfen-fanatic-viper-90-surfboard-200l/2876346061-230-3159", "Link")</f>
        <v/>
      </c>
      <c r="L168" s="6">
        <f>HYPERLINK("C:\Projects\Kleinanzeigen-Scraper\offer_images\2876346061", "Link")</f>
        <v/>
      </c>
      <c r="M168" t="inlineStr">
        <is>
          <t>Daniel</t>
        </is>
      </c>
      <c r="N168" s="6">
        <f>HYPERLINK("https://www.kleinanzeigen.de/s-bestandsliste.html?userId=33396736", "Link")</f>
        <v/>
      </c>
      <c r="O168" s="7" t="n">
        <v>45563.73483796296</v>
      </c>
      <c r="P168" s="3" t="inlineStr">
        <is>
          <t>254.88</t>
        </is>
      </c>
      <c r="Q168" t="inlineStr">
        <is>
          <t>Köln</t>
        </is>
      </c>
    </row>
    <row r="169">
      <c r="A169" t="inlineStr">
        <is>
          <t>6'2</t>
        </is>
      </c>
      <c r="B169" t="inlineStr">
        <is>
          <t>North (Duotone) WAM</t>
        </is>
      </c>
      <c r="C169" t="inlineStr">
        <is>
          <t>Freestyle</t>
        </is>
      </c>
      <c r="D169" s="3" t="inlineStr"/>
      <c r="E169" t="inlineStr"/>
      <c r="F169" s="4" t="n">
        <v>450</v>
      </c>
      <c r="G169" t="inlineStr">
        <is>
          <t>VB</t>
        </is>
      </c>
      <c r="H169" t="inlineStr">
        <is>
          <t>68163 Baden-Württemberg - Mannheim</t>
        </is>
      </c>
      <c r="I169" s="5" t="n">
        <v>45563</v>
      </c>
      <c r="J169" t="inlineStr"/>
      <c r="K169" s="6">
        <f>HYPERLINK("https://www.kleinanzeigen.de/s-anzeige/north-duotone-wam-6-2/2876079004-230-7982", "Link")</f>
        <v/>
      </c>
      <c r="L169" s="6">
        <f>HYPERLINK("C:\Projects\Kleinanzeigen-Scraper\offer_images\2876079004", "Link")</f>
        <v/>
      </c>
      <c r="M169" t="inlineStr">
        <is>
          <t>Steffen</t>
        </is>
      </c>
      <c r="N169" s="6">
        <f>HYPERLINK("https://www.kleinanzeigen.de/s-bestandsliste.html?userId=8727653", "Link")</f>
        <v/>
      </c>
      <c r="O169" s="7" t="n">
        <v>45563.73438657408</v>
      </c>
      <c r="P169" s="3" t="inlineStr">
        <is>
          <t>51.91</t>
        </is>
      </c>
      <c r="Q169" t="inlineStr">
        <is>
          <t>Karlsruhe</t>
        </is>
      </c>
    </row>
    <row r="170">
      <c r="A170" t="inlineStr">
        <is>
          <t>5.8</t>
        </is>
      </c>
      <c r="B170" t="inlineStr">
        <is>
          <t>North Pro Surf</t>
        </is>
      </c>
      <c r="C170" t="inlineStr"/>
      <c r="D170" s="3" t="inlineStr"/>
      <c r="E170" t="inlineStr"/>
      <c r="F170" s="4" t="n">
        <v>250</v>
      </c>
      <c r="G170" t="inlineStr">
        <is>
          <t>VB</t>
        </is>
      </c>
      <c r="H170" t="inlineStr">
        <is>
          <t>22297 Hamburg-Nord - Hamburg Winterhude</t>
        </is>
      </c>
      <c r="I170" s="5" t="n">
        <v>45562</v>
      </c>
      <c r="J170" t="inlineStr"/>
      <c r="K170" s="6">
        <f>HYPERLINK("https://www.kleinanzeigen.de/s-anzeige/north-pro-surf-5-8-mit-traction-pad/2875720524-230-9480", "Link")</f>
        <v/>
      </c>
      <c r="L170" s="6">
        <f>HYPERLINK("C:\Projects\Kleinanzeigen-Scraper\offer_images\2875720524", "Link")</f>
        <v/>
      </c>
      <c r="M170" t="inlineStr">
        <is>
          <t>Jan Richter und Malin Pohlmann</t>
        </is>
      </c>
      <c r="N170" s="6">
        <f>HYPERLINK("https://www.kleinanzeigen.de/s-bestandsliste.html?userId=8503876", "Link")</f>
        <v/>
      </c>
      <c r="O170" s="7" t="n">
        <v>45563.73431712963</v>
      </c>
      <c r="P170" s="3" t="inlineStr">
        <is>
          <t>362.41</t>
        </is>
      </c>
      <c r="Q170" t="inlineStr">
        <is>
          <t>Köln</t>
        </is>
      </c>
    </row>
    <row r="171">
      <c r="A171" t="inlineStr">
        <is>
          <t xml:space="preserve">Dimensions </t>
        </is>
      </c>
      <c r="B171" t="inlineStr">
        <is>
          <t>Fanatic FREEWAVE</t>
        </is>
      </c>
      <c r="C171" t="inlineStr">
        <is>
          <t>Freeride</t>
        </is>
      </c>
      <c r="D171" s="3" t="n">
        <v>106</v>
      </c>
      <c r="E171" t="inlineStr">
        <is>
          <t>2014</t>
        </is>
      </c>
      <c r="F171" s="4" t="n">
        <v>390</v>
      </c>
      <c r="G171" t="inlineStr">
        <is>
          <t>VB</t>
        </is>
      </c>
      <c r="H171" t="inlineStr">
        <is>
          <t>24105 Schleswig-Holstein - Kiel</t>
        </is>
      </c>
      <c r="I171" s="5" t="n">
        <v>45563</v>
      </c>
      <c r="J171" t="inlineStr">
        <is>
          <t>Sold</t>
        </is>
      </c>
      <c r="K171" s="6">
        <f>HYPERLINK("https://www.kleinanzeigen.de/s-anzeige/fanatic-freewave-106l/2876101604-230-708", "Link")</f>
        <v/>
      </c>
      <c r="L171" s="6">
        <f>HYPERLINK("C:\Projects\Kleinanzeigen-Scraper\offer_images\2876101604", "Link")</f>
        <v/>
      </c>
      <c r="M171" t="inlineStr">
        <is>
          <t>Per Schwall</t>
        </is>
      </c>
      <c r="N171" s="6">
        <f>HYPERLINK("https://www.kleinanzeigen.de/s-bestandsliste.html?userId=91093838", "Link")</f>
        <v/>
      </c>
      <c r="O171" s="7" t="n">
        <v>45563.73383101852</v>
      </c>
      <c r="P171" s="3" t="inlineStr">
        <is>
          <t>435.05</t>
        </is>
      </c>
      <c r="Q171" t="inlineStr">
        <is>
          <t>Köln</t>
        </is>
      </c>
    </row>
    <row r="172">
      <c r="A172" t="inlineStr">
        <is>
          <t>270 cm x 90 cm</t>
        </is>
      </c>
      <c r="B172" t="inlineStr">
        <is>
          <t>Fanatic Viper 90</t>
        </is>
      </c>
      <c r="C172" t="inlineStr"/>
      <c r="D172" s="3" t="n">
        <v>200</v>
      </c>
      <c r="E172" t="inlineStr"/>
      <c r="F172" s="4" t="n">
        <v>490</v>
      </c>
      <c r="G172" t="inlineStr">
        <is>
          <t>VB</t>
        </is>
      </c>
      <c r="H172" t="inlineStr">
        <is>
          <t>22303 Hamburg-Nord - Hamburg Winterhude</t>
        </is>
      </c>
      <c r="I172" s="5" t="n">
        <v>45563</v>
      </c>
      <c r="J172" t="inlineStr"/>
      <c r="K172" s="6">
        <f>HYPERLINK("https://www.kleinanzeigen.de/s-anzeige/surfbrett-windsurfen-fanatic-viper-90-surfboard-200l/2876324142-230-9482", "Link")</f>
        <v/>
      </c>
      <c r="L172" s="6">
        <f>HYPERLINK("C:\Projects\Kleinanzeigen-Scraper\offer_images\2876324142", "Link")</f>
        <v/>
      </c>
      <c r="M172" t="inlineStr">
        <is>
          <t>Daniel</t>
        </is>
      </c>
      <c r="N172" s="6">
        <f>HYPERLINK("https://www.kleinanzeigen.de/s-bestandsliste.html?userId=33396736", "Link")</f>
        <v/>
      </c>
      <c r="O172" s="7" t="n">
        <v>45563.73380787037</v>
      </c>
      <c r="P172" s="3" t="inlineStr">
        <is>
          <t>361.45</t>
        </is>
      </c>
      <c r="Q172" t="inlineStr">
        <is>
          <t>Köln</t>
        </is>
      </c>
    </row>
    <row r="173">
      <c r="A173" t="inlineStr">
        <is>
          <t>245 cm x 72 cm</t>
        </is>
      </c>
      <c r="B173" t="inlineStr">
        <is>
          <t>Tabou ROCKET 135 LTD</t>
        </is>
      </c>
      <c r="C173" t="inlineStr">
        <is>
          <t>Freeride</t>
        </is>
      </c>
      <c r="D173" s="3" t="n">
        <v>135</v>
      </c>
      <c r="E173" t="inlineStr"/>
      <c r="F173" s="4" t="n">
        <v>575</v>
      </c>
      <c r="G173" t="inlineStr">
        <is>
          <t>VB</t>
        </is>
      </c>
      <c r="H173" t="inlineStr">
        <is>
          <t>23909 Herzogtum Lauenburg - Ratzeburg</t>
        </is>
      </c>
      <c r="I173" s="5" t="n">
        <v>45563</v>
      </c>
      <c r="J173" t="inlineStr"/>
      <c r="K173" s="6">
        <f>HYPERLINK("https://www.kleinanzeigen.de/s-anzeige/tabou-rocket-135-ltd-top-freerider-mit-135-l/2876115180-230-811", "Link")</f>
        <v/>
      </c>
      <c r="L173" s="6">
        <f>HYPERLINK("C:\Projects\Kleinanzeigen-Scraper\offer_images\2876115180", "Link")</f>
        <v/>
      </c>
      <c r="M173" t="inlineStr">
        <is>
          <t>Silvia S.</t>
        </is>
      </c>
      <c r="N173" s="6">
        <f>HYPERLINK("https://www.kleinanzeigen.de/s-bestandsliste.html?userId=86555296", "Link")</f>
        <v/>
      </c>
      <c r="O173" s="7" t="n">
        <v>45563.73362268518</v>
      </c>
      <c r="P173" s="3" t="inlineStr">
        <is>
          <t>401.75</t>
        </is>
      </c>
      <c r="Q173" t="inlineStr">
        <is>
          <t>Köln</t>
        </is>
      </c>
    </row>
    <row r="174">
      <c r="A174" t="inlineStr">
        <is>
          <t>8'10"</t>
        </is>
      </c>
      <c r="B174" t="inlineStr">
        <is>
          <t>Fanatic Stubby Limited Edition</t>
        </is>
      </c>
      <c r="C174" t="inlineStr"/>
      <c r="D174" s="3" t="n">
        <v>135</v>
      </c>
      <c r="E174" t="inlineStr"/>
      <c r="F174" s="4" t="n">
        <v>490</v>
      </c>
      <c r="G174" t="inlineStr"/>
      <c r="H174" t="inlineStr">
        <is>
          <t>47058 Duisburg - Duisburg-Mitte</t>
        </is>
      </c>
      <c r="I174" s="5" t="n">
        <v>45563</v>
      </c>
      <c r="J174" t="inlineStr"/>
      <c r="K174" s="6">
        <f>HYPERLINK("https://www.kleinanzeigen.de/s-anzeige/fanatic-sup-stubby-limited-edition-8-10-/2876282761-230-2152", "Link")</f>
        <v/>
      </c>
      <c r="L174" s="6">
        <f>HYPERLINK("C:\Projects\Kleinanzeigen-Scraper\offer_images\2876282761", "Link")</f>
        <v/>
      </c>
      <c r="M174" t="inlineStr">
        <is>
          <t>Sebastian</t>
        </is>
      </c>
      <c r="N174" s="6">
        <f>HYPERLINK("https://www.kleinanzeigen.de/s-bestandsliste.html?userId=14905691", "Link")</f>
        <v/>
      </c>
      <c r="O174" s="7" t="n">
        <v>45563.73356481481</v>
      </c>
      <c r="P174" s="3" t="inlineStr">
        <is>
          <t>56.75</t>
        </is>
      </c>
      <c r="Q174" t="inlineStr">
        <is>
          <t>Köln</t>
        </is>
      </c>
    </row>
    <row r="175">
      <c r="A175" t="inlineStr">
        <is>
          <t>12'0" x 36"</t>
        </is>
      </c>
      <c r="B175" t="inlineStr">
        <is>
          <t>Starboard Atlas Extra Starshot</t>
        </is>
      </c>
      <c r="C175" t="inlineStr">
        <is>
          <t>Allround</t>
        </is>
      </c>
      <c r="D175" s="3" t="inlineStr"/>
      <c r="E175" t="inlineStr"/>
      <c r="F175" s="4" t="n">
        <v>1.15</v>
      </c>
      <c r="G175" t="inlineStr">
        <is>
          <t>VB</t>
        </is>
      </c>
      <c r="H175" t="inlineStr">
        <is>
          <t>86923 Bayern - Finning</t>
        </is>
      </c>
      <c r="I175" s="5" t="n">
        <v>45563</v>
      </c>
      <c r="J175" t="inlineStr"/>
      <c r="K175" s="6">
        <f>HYPERLINK("https://www.kleinanzeigen.de/s-anzeige/starboard-sup-12-0-x-36-atlas-extra-starshot/2876423018-230-7067", "Link")</f>
        <v/>
      </c>
      <c r="L175" s="6">
        <f>HYPERLINK("C:\Projects\Kleinanzeigen-Scraper\offer_images\2876423018", "Link")</f>
        <v/>
      </c>
      <c r="M175" t="inlineStr">
        <is>
          <t>Nadja Müller-Wilfing</t>
        </is>
      </c>
      <c r="N175" s="6">
        <f>HYPERLINK("https://www.kleinanzeigen.de/s-bestandsliste.html?userId=3714835", "Link")</f>
        <v/>
      </c>
      <c r="O175" s="7" t="n">
        <v>45563.7334375</v>
      </c>
      <c r="P175" s="3" t="inlineStr">
        <is>
          <t>43.29</t>
        </is>
      </c>
      <c r="Q175" t="inlineStr">
        <is>
          <t>München</t>
        </is>
      </c>
    </row>
    <row r="176">
      <c r="A176" t="inlineStr">
        <is>
          <t xml:space="preserve">Dimensions </t>
        </is>
      </c>
      <c r="B176" t="inlineStr">
        <is>
          <t>Starboard Isonic 63</t>
        </is>
      </c>
      <c r="C176" t="inlineStr">
        <is>
          <t>Slalom</t>
        </is>
      </c>
      <c r="D176" s="3" t="inlineStr"/>
      <c r="E176" t="inlineStr">
        <is>
          <t>2023</t>
        </is>
      </c>
      <c r="F176" s="4" t="n">
        <v>1.25</v>
      </c>
      <c r="G176" t="inlineStr">
        <is>
          <t>VB</t>
        </is>
      </c>
      <c r="H176" t="inlineStr">
        <is>
          <t>45699 Nordrhein-Westfalen - Herten</t>
        </is>
      </c>
      <c r="I176" s="5" t="n">
        <v>45563</v>
      </c>
      <c r="J176" t="inlineStr">
        <is>
          <t>Sold</t>
        </is>
      </c>
      <c r="K176" s="6">
        <f>HYPERLINK("https://www.kleinanzeigen.de/s-anzeige/starboard-isonic-63-carbon-reflex-topzustand-mod-2023-/2876023250-230-1832", "Link")</f>
        <v/>
      </c>
      <c r="L176" s="6">
        <f>HYPERLINK("C:\Projects\Kleinanzeigen-Scraper\offer_images\2876023250", "Link")</f>
        <v/>
      </c>
      <c r="M176" t="inlineStr">
        <is>
          <t>Bernhard Brozy</t>
        </is>
      </c>
      <c r="N176" s="6">
        <f>HYPERLINK("https://www.kleinanzeigen.de/s-bestandsliste.html?userId=19014271", "Link")</f>
        <v/>
      </c>
      <c r="O176" s="7" t="n">
        <v>45563.73339120371</v>
      </c>
      <c r="P176" s="3" t="inlineStr">
        <is>
          <t>73.42</t>
        </is>
      </c>
      <c r="Q176" t="inlineStr">
        <is>
          <t>Köln</t>
        </is>
      </c>
    </row>
    <row r="177">
      <c r="A177" t="inlineStr"/>
      <c r="B177" t="inlineStr">
        <is>
          <t>Lorch Glider</t>
        </is>
      </c>
      <c r="C177" t="inlineStr"/>
      <c r="D177" s="3" t="n">
        <v>115</v>
      </c>
      <c r="E177" t="inlineStr"/>
      <c r="F177" s="4" t="n">
        <v>399</v>
      </c>
      <c r="G177" t="inlineStr">
        <is>
          <t>VB</t>
        </is>
      </c>
      <c r="H177" t="inlineStr">
        <is>
          <t>07546 Thüringen - Gera</t>
        </is>
      </c>
      <c r="I177" s="5" t="n">
        <v>45563</v>
      </c>
      <c r="J177" t="inlineStr"/>
      <c r="K177" s="6">
        <f>HYPERLINK("https://www.kleinanzeigen.de/s-anzeige/surfbrett-board-lorch-glider-115-l-carbon-no-jp-tabou/2875884736-230-3792", "Link")</f>
        <v/>
      </c>
      <c r="L177" s="6">
        <f>HYPERLINK("C:\Projects\Kleinanzeigen-Scraper\offer_images\2875884736", "Link")</f>
        <v/>
      </c>
      <c r="M177" t="inlineStr">
        <is>
          <t>Matthias</t>
        </is>
      </c>
      <c r="N177" s="6">
        <f>HYPERLINK("https://www.kleinanzeigen.de/s-bestandsliste.html?userId=11993870", "Link")</f>
        <v/>
      </c>
      <c r="O177" s="7" t="n">
        <v>45563.73327546296</v>
      </c>
      <c r="P177" s="3" t="inlineStr">
        <is>
          <t>307.63</t>
        </is>
      </c>
      <c r="Q177" t="inlineStr">
        <is>
          <t>München</t>
        </is>
      </c>
    </row>
    <row r="178">
      <c r="A178" t="inlineStr">
        <is>
          <t>95</t>
        </is>
      </c>
      <c r="B178" t="inlineStr">
        <is>
          <t>Fanatic Freewave</t>
        </is>
      </c>
      <c r="C178" t="inlineStr">
        <is>
          <t>Freestyle</t>
        </is>
      </c>
      <c r="D178" s="3" t="inlineStr"/>
      <c r="E178" t="inlineStr"/>
      <c r="F178" s="4" t="n">
        <v>120</v>
      </c>
      <c r="G178" t="inlineStr"/>
      <c r="H178" t="inlineStr">
        <is>
          <t>22850 Schleswig-Holstein - Norderstedt</t>
        </is>
      </c>
      <c r="I178" s="5" t="n">
        <v>45562</v>
      </c>
      <c r="J178" t="inlineStr"/>
      <c r="K178" s="6">
        <f>HYPERLINK("https://www.kleinanzeigen.de/s-anzeige/fanatic-freewave-95/2875596395-230-794", "Link")</f>
        <v/>
      </c>
      <c r="L178" s="6">
        <f>HYPERLINK("C:\Projects\Kleinanzeigen-Scraper\offer_images\2875596395", "Link")</f>
        <v/>
      </c>
      <c r="M178" t="inlineStr">
        <is>
          <t>Wolfgang</t>
        </is>
      </c>
      <c r="N178" s="6">
        <f>HYPERLINK("https://www.kleinanzeigen.de/s-bestandsliste.html?userId=28189607", "Link")</f>
        <v/>
      </c>
      <c r="O178" s="7" t="n">
        <v>45563.73181712963</v>
      </c>
      <c r="P178" s="3" t="inlineStr">
        <is>
          <t>369.36</t>
        </is>
      </c>
      <c r="Q178" t="inlineStr">
        <is>
          <t>Köln</t>
        </is>
      </c>
    </row>
    <row r="179">
      <c r="A179" t="inlineStr">
        <is>
          <t>104</t>
        </is>
      </c>
      <c r="B179" t="inlineStr">
        <is>
          <t>Naish All Terrain</t>
        </is>
      </c>
      <c r="C179" t="inlineStr">
        <is>
          <t>Freeride</t>
        </is>
      </c>
      <c r="D179" s="3" t="inlineStr"/>
      <c r="E179" t="inlineStr"/>
      <c r="F179" s="4" t="n">
        <v>140</v>
      </c>
      <c r="G179" t="inlineStr">
        <is>
          <t>VB</t>
        </is>
      </c>
      <c r="H179" t="inlineStr">
        <is>
          <t>23769 Kreis Ostholstein - Fehmarn</t>
        </is>
      </c>
      <c r="I179" s="5" t="n">
        <v>45563</v>
      </c>
      <c r="J179" t="inlineStr"/>
      <c r="K179" s="6">
        <f>HYPERLINK("https://www.kleinanzeigen.de/s-anzeige/naish-all-terrain-104-surfbrett/2876549363-230-19951", "Link")</f>
        <v/>
      </c>
      <c r="L179" s="6">
        <f>HYPERLINK("C:\Projects\Kleinanzeigen-Scraper\offer_images\2876549363", "Link")</f>
        <v/>
      </c>
      <c r="M179" t="inlineStr">
        <is>
          <t>Marcus</t>
        </is>
      </c>
      <c r="N179" s="6">
        <f>HYPERLINK("https://www.kleinanzeigen.de/s-bestandsliste.html?userId=117944128", "Link")</f>
        <v/>
      </c>
      <c r="O179" s="7" t="n">
        <v>45563.73092592593</v>
      </c>
      <c r="P179" s="3" t="inlineStr">
        <is>
          <t>483.01</t>
        </is>
      </c>
      <c r="Q179" t="inlineStr">
        <is>
          <t>Köln</t>
        </is>
      </c>
    </row>
    <row r="180">
      <c r="A180" t="inlineStr"/>
      <c r="B180" t="inlineStr">
        <is>
          <t>Naish Titan</t>
        </is>
      </c>
      <c r="C180" t="inlineStr"/>
      <c r="D180" s="3" t="n">
        <v>160</v>
      </c>
      <c r="E180" t="inlineStr"/>
      <c r="F180" s="4" t="n">
        <v>180</v>
      </c>
      <c r="G180" t="inlineStr">
        <is>
          <t>VB</t>
        </is>
      </c>
      <c r="H180" t="inlineStr">
        <is>
          <t>45481 Nordrhein-Westfalen - Mülheim (Ruhr)</t>
        </is>
      </c>
      <c r="I180" s="5" t="n">
        <v>45563</v>
      </c>
      <c r="J180" t="inlineStr"/>
      <c r="K180" s="6">
        <f>HYPERLINK("https://www.kleinanzeigen.de/s-anzeige/surfbrett-160l-naish-titan/2876374711-230-2067", "Link")</f>
        <v/>
      </c>
      <c r="L180" s="6">
        <f>HYPERLINK("C:\Projects\Kleinanzeigen-Scraper\offer_images\2876374711", "Link")</f>
        <v/>
      </c>
      <c r="M180" t="inlineStr">
        <is>
          <t>Axel Sander</t>
        </is>
      </c>
      <c r="N180" s="6">
        <f>HYPERLINK("https://www.kleinanzeigen.de/s-bestandsliste.html?userId=25085631", "Link")</f>
        <v/>
      </c>
      <c r="O180" s="7" t="n">
        <v>45563.73072916667</v>
      </c>
      <c r="P180" s="3" t="inlineStr">
        <is>
          <t>50.45</t>
        </is>
      </c>
      <c r="Q180" t="inlineStr">
        <is>
          <t>Köln</t>
        </is>
      </c>
    </row>
    <row r="181">
      <c r="A181" t="inlineStr">
        <is>
          <t>232 cm x 64 cm</t>
        </is>
      </c>
      <c r="B181" t="inlineStr">
        <is>
          <t>RRD FSW Freestyle Wave V4</t>
        </is>
      </c>
      <c r="C181" t="inlineStr">
        <is>
          <t>Freestyle Wave</t>
        </is>
      </c>
      <c r="D181" s="3" t="n">
        <v>104</v>
      </c>
      <c r="E181" t="inlineStr"/>
      <c r="F181" s="4" t="n">
        <v>465</v>
      </c>
      <c r="G181" t="inlineStr"/>
      <c r="H181" t="inlineStr">
        <is>
          <t>81476 München - Thalk.Obersendl.-Forsten-Fürstenr.-Solln</t>
        </is>
      </c>
      <c r="I181" s="5" t="n">
        <v>45562</v>
      </c>
      <c r="J181" t="inlineStr">
        <is>
          <t>Sold</t>
        </is>
      </c>
      <c r="K181" s="6">
        <f>HYPERLINK("https://www.kleinanzeigen.de/s-anzeige/rrd-fsw-freestye-wave-104l-v4-windsurf-board-brett/2875698823-230-6436", "Link")</f>
        <v/>
      </c>
      <c r="L181" s="6">
        <f>HYPERLINK("C:\Projects\Kleinanzeigen-Scraper\offer_images\2875698823", "Link")</f>
        <v/>
      </c>
      <c r="M181" t="inlineStr">
        <is>
          <t>Mike</t>
        </is>
      </c>
      <c r="N181" s="6">
        <f>HYPERLINK("https://www.kleinanzeigen.de/s-bestandsliste.html?userId=27971111", "Link")</f>
        <v/>
      </c>
      <c r="O181" s="7" t="n">
        <v>45563.73061342593</v>
      </c>
      <c r="P181" s="3" t="inlineStr">
        <is>
          <t>8.19</t>
        </is>
      </c>
      <c r="Q181" t="inlineStr">
        <is>
          <t>München</t>
        </is>
      </c>
    </row>
    <row r="182">
      <c r="A182" t="inlineStr"/>
      <c r="B182" t="inlineStr">
        <is>
          <t>Fanatic All Wave</t>
        </is>
      </c>
      <c r="C182" t="inlineStr">
        <is>
          <t>Wave</t>
        </is>
      </c>
      <c r="D182" s="3" t="n">
        <v>75</v>
      </c>
      <c r="E182" t="inlineStr"/>
      <c r="F182" s="4" t="n">
        <v>80</v>
      </c>
      <c r="G182" t="inlineStr"/>
      <c r="H182" t="inlineStr">
        <is>
          <t>25436 Kreis Pinneberg - Tornesch</t>
        </is>
      </c>
      <c r="I182" s="5" t="n">
        <v>45563</v>
      </c>
      <c r="J182" t="inlineStr"/>
      <c r="K182" s="6">
        <f>HYPERLINK("https://www.kleinanzeigen.de/s-anzeige/surfbrett-fanatic-all-wave-75-l/2876035093-230-16679", "Link")</f>
        <v/>
      </c>
      <c r="L182" s="6">
        <f>HYPERLINK("C:\Projects\Kleinanzeigen-Scraper\offer_images\2876035093", "Link")</f>
        <v/>
      </c>
      <c r="M182" t="inlineStr">
        <is>
          <t>Mittelstein</t>
        </is>
      </c>
      <c r="N182" s="6">
        <f>HYPERLINK("https://www.kleinanzeigen.de/s-bestandsliste.html?userId=5737874", "Link")</f>
        <v/>
      </c>
      <c r="O182" s="7" t="n">
        <v>45563.73027777778</v>
      </c>
      <c r="P182" s="3" t="inlineStr">
        <is>
          <t>356.69</t>
        </is>
      </c>
      <c r="Q182" t="inlineStr">
        <is>
          <t>Köln</t>
        </is>
      </c>
    </row>
    <row r="183">
      <c r="A183" t="inlineStr">
        <is>
          <t>12'6" x 29"</t>
        </is>
      </c>
      <c r="B183" t="inlineStr">
        <is>
          <t>Fanatic Falcon Air</t>
        </is>
      </c>
      <c r="C183" t="inlineStr">
        <is>
          <t>Race</t>
        </is>
      </c>
      <c r="D183" s="3" t="n">
        <v>300</v>
      </c>
      <c r="E183" t="inlineStr">
        <is>
          <t>2019</t>
        </is>
      </c>
      <c r="F183" s="4" t="inlineStr"/>
      <c r="G183" t="inlineStr">
        <is>
          <t>VB</t>
        </is>
      </c>
      <c r="H183" t="inlineStr">
        <is>
          <t>60598 Frankfurt am Main - Sachsenhausen</t>
        </is>
      </c>
      <c r="I183" s="5" t="n">
        <v>45563</v>
      </c>
      <c r="J183" t="inlineStr"/>
      <c r="K183" s="6">
        <f>HYPERLINK("https://www.kleinanzeigen.de/s-anzeige/sup-board-fanatic-falcon-air-2019-race-edition-12-6/2876400427-230-4316", "Link")</f>
        <v/>
      </c>
      <c r="L183" s="6">
        <f>HYPERLINK("C:\Projects\Kleinanzeigen-Scraper\offer_images\2876400427", "Link")</f>
        <v/>
      </c>
      <c r="M183" t="inlineStr">
        <is>
          <t>privat</t>
        </is>
      </c>
      <c r="N183" s="6">
        <f>HYPERLINK("https://www.kleinanzeigen.de/s-bestandsliste.html?userId=4709423", "Link")</f>
        <v/>
      </c>
      <c r="O183" s="7" t="n">
        <v>45563.73019675926</v>
      </c>
      <c r="P183" s="3" t="inlineStr">
        <is>
          <t>121.16</t>
        </is>
      </c>
      <c r="Q183" t="inlineStr">
        <is>
          <t>Karlsruhe</t>
        </is>
      </c>
    </row>
    <row r="184">
      <c r="A184" t="inlineStr">
        <is>
          <t>Dimensions not specified</t>
        </is>
      </c>
      <c r="B184" t="inlineStr">
        <is>
          <t>RRD Easy Ride</t>
        </is>
      </c>
      <c r="C184" t="inlineStr">
        <is>
          <t>Freeride</t>
        </is>
      </c>
      <c r="D184" s="3" t="n">
        <v>180</v>
      </c>
      <c r="E184" t="inlineStr"/>
      <c r="F184" s="4" t="n">
        <v>630</v>
      </c>
      <c r="G184" t="inlineStr">
        <is>
          <t>VB</t>
        </is>
      </c>
      <c r="H184" t="inlineStr">
        <is>
          <t>26131 Niedersachsen - Oldenburg</t>
        </is>
      </c>
      <c r="I184" s="5" t="n">
        <v>45563</v>
      </c>
      <c r="J184" t="inlineStr"/>
      <c r="K184" s="6">
        <f>HYPERLINK("https://www.kleinanzeigen.de/s-anzeige/rrd-easy-ride-surfboard-surfbrett-windsurfen/2875944044-230-3109", "Link")</f>
        <v/>
      </c>
      <c r="L184" s="6">
        <f>HYPERLINK("C:\Projects\Kleinanzeigen-Scraper\offer_images\2875944044", "Link")</f>
        <v/>
      </c>
      <c r="M184" t="inlineStr">
        <is>
          <t>Cord</t>
        </is>
      </c>
      <c r="N184" s="6">
        <f>HYPERLINK("https://www.kleinanzeigen.de/s-bestandsliste.html?userId=65502999", "Link")</f>
        <v/>
      </c>
      <c r="O184" s="7" t="n">
        <v>45563.72967592593</v>
      </c>
      <c r="P184" s="3" t="inlineStr">
        <is>
          <t>257.10</t>
        </is>
      </c>
      <c r="Q184" t="inlineStr">
        <is>
          <t>Köln</t>
        </is>
      </c>
    </row>
    <row r="185">
      <c r="A185" t="inlineStr">
        <is>
          <t>148</t>
        </is>
      </c>
      <c r="B185" t="inlineStr">
        <is>
          <t>Fanatic Gecko</t>
        </is>
      </c>
      <c r="C185" t="inlineStr">
        <is>
          <t>Freeride</t>
        </is>
      </c>
      <c r="D185" s="3" t="inlineStr"/>
      <c r="E185" t="inlineStr">
        <is>
          <t>2020</t>
        </is>
      </c>
      <c r="F185" s="4" t="n">
        <v>625</v>
      </c>
      <c r="G185" t="inlineStr">
        <is>
          <t>VB</t>
        </is>
      </c>
      <c r="H185" t="inlineStr">
        <is>
          <t>88662 Baden-Württemberg - Überlingen</t>
        </is>
      </c>
      <c r="I185" s="5" t="n">
        <v>45563</v>
      </c>
      <c r="J185" t="inlineStr"/>
      <c r="K185" s="6">
        <f>HYPERLINK("https://www.kleinanzeigen.de/s-anzeige/windsurf-board-brett-fanatic-gecko-148/2876384152-230-9207", "Link")</f>
        <v/>
      </c>
      <c r="L185" s="6">
        <f>HYPERLINK("C:\Projects\Kleinanzeigen-Scraper\offer_images\2876384152", "Link")</f>
        <v/>
      </c>
      <c r="M185" t="inlineStr">
        <is>
          <t>T. R</t>
        </is>
      </c>
      <c r="N185" s="6">
        <f>HYPERLINK("https://www.kleinanzeigen.de/s-bestandsliste.html?userId=38454829", "Link")</f>
        <v/>
      </c>
      <c r="O185" s="7" t="n">
        <v>45563.72864583333</v>
      </c>
      <c r="P185" s="3" t="inlineStr">
        <is>
          <t>60.60</t>
        </is>
      </c>
      <c r="Q185" t="inlineStr">
        <is>
          <t>Bonndorf</t>
        </is>
      </c>
    </row>
    <row r="186">
      <c r="A186" t="inlineStr">
        <is>
          <t>250x100</t>
        </is>
      </c>
      <c r="B186" t="inlineStr">
        <is>
          <t>Fanatic Falcon Formula TT</t>
        </is>
      </c>
      <c r="C186" t="inlineStr">
        <is>
          <t>Formula</t>
        </is>
      </c>
      <c r="D186" s="3" t="n">
        <v>153</v>
      </c>
      <c r="E186" t="inlineStr"/>
      <c r="F186" s="4" t="n">
        <v>150</v>
      </c>
      <c r="G186" t="inlineStr">
        <is>
          <t>VB</t>
        </is>
      </c>
      <c r="H186" t="inlineStr">
        <is>
          <t>47589 Nordrhein-Westfalen - Uedem</t>
        </is>
      </c>
      <c r="I186" s="5" t="n">
        <v>45563</v>
      </c>
      <c r="J186" t="inlineStr"/>
      <c r="K186" s="6">
        <f>HYPERLINK("https://www.kleinanzeigen.de/s-anzeige/fanatic-falcon-formula-tt-windsurfboard/2875813444-230-1148", "Link")</f>
        <v/>
      </c>
      <c r="L186" s="6">
        <f>HYPERLINK("C:\Projects\Kleinanzeigen-Scraper\offer_images\2875813444", "Link")</f>
        <v/>
      </c>
      <c r="M186" t="inlineStr">
        <is>
          <t>Dennis</t>
        </is>
      </c>
      <c r="N186" s="6">
        <f>HYPERLINK("https://www.kleinanzeigen.de/s-bestandsliste.html?userId=62393000", "Link")</f>
        <v/>
      </c>
      <c r="O186" s="7" t="n">
        <v>45563.72825231482</v>
      </c>
      <c r="P186" s="3" t="inlineStr">
        <is>
          <t>94.07</t>
        </is>
      </c>
      <c r="Q186" t="inlineStr">
        <is>
          <t>Köln</t>
        </is>
      </c>
    </row>
    <row r="187">
      <c r="A187" t="inlineStr">
        <is>
          <t>265</t>
        </is>
      </c>
      <c r="B187" t="inlineStr">
        <is>
          <t>Fanatic Gecko</t>
        </is>
      </c>
      <c r="C187" t="inlineStr"/>
      <c r="D187" s="3" t="inlineStr"/>
      <c r="E187" t="inlineStr"/>
      <c r="F187" s="4" t="n">
        <v>50</v>
      </c>
      <c r="G187" t="inlineStr">
        <is>
          <t>VB</t>
        </is>
      </c>
      <c r="H187" t="inlineStr">
        <is>
          <t>46244 Nordrhein-Westfalen - Bottrop</t>
        </is>
      </c>
      <c r="I187" s="5" t="n">
        <v>45563</v>
      </c>
      <c r="J187" t="inlineStr"/>
      <c r="K187" s="6">
        <f>HYPERLINK("https://www.kleinanzeigen.de/s-anzeige/surfboard-fanatic-265-gecko-inkl-boardbag/2876218603-230-1956", "Link")</f>
        <v/>
      </c>
      <c r="L187" s="6">
        <f>HYPERLINK("C:\Projects\Kleinanzeigen-Scraper\offer_images\2876218603", "Link")</f>
        <v/>
      </c>
      <c r="M187" t="inlineStr">
        <is>
          <t>Delia Kramer</t>
        </is>
      </c>
      <c r="N187" s="6">
        <f>HYPERLINK("https://www.kleinanzeigen.de/s-bestandsliste.html?userId=35243740", "Link")</f>
        <v/>
      </c>
      <c r="O187" s="7" t="n">
        <v>45563.72789351852</v>
      </c>
      <c r="P187" s="3" t="inlineStr">
        <is>
          <t>73.21</t>
        </is>
      </c>
      <c r="Q187" t="inlineStr">
        <is>
          <t>Köln</t>
        </is>
      </c>
    </row>
    <row r="188">
      <c r="A188" t="inlineStr"/>
      <c r="B188" t="inlineStr">
        <is>
          <t>RRD Air Evo</t>
        </is>
      </c>
      <c r="C188" t="inlineStr">
        <is>
          <t>Convertible with Windsurf Option</t>
        </is>
      </c>
      <c r="D188" s="3" t="inlineStr"/>
      <c r="E188" t="inlineStr"/>
      <c r="F188" s="4" t="n">
        <v>500</v>
      </c>
      <c r="G188" t="inlineStr"/>
      <c r="H188" t="inlineStr">
        <is>
          <t>79106 Baden-Württemberg - Freiburg im Breisgau</t>
        </is>
      </c>
      <c r="I188" s="5" t="n">
        <v>45541</v>
      </c>
      <c r="J188" t="inlineStr"/>
      <c r="K188" s="6">
        <f>HYPERLINK("https://www.kleinanzeigen.de/s-anzeige/sup-rrd-air-evo-convertible-mit-windsurf-option/2855896352-230-9360", "Link")</f>
        <v/>
      </c>
      <c r="L188" s="6">
        <f>HYPERLINK("C:\Projects\Kleinanzeigen-Scraper\offer_images\2855896352", "Link")</f>
        <v/>
      </c>
      <c r="M188" t="inlineStr">
        <is>
          <t>Ben</t>
        </is>
      </c>
      <c r="N188" s="6">
        <f>HYPERLINK("https://www.kleinanzeigen.de/s-bestandsliste.html?userId=13374726", "Link")</f>
        <v/>
      </c>
      <c r="O188" s="7" t="n">
        <v>45563.72785879629</v>
      </c>
      <c r="P188" s="3" t="inlineStr">
        <is>
          <t>42.73</t>
        </is>
      </c>
      <c r="Q188" t="inlineStr">
        <is>
          <t>Bonndorf</t>
        </is>
      </c>
    </row>
    <row r="189">
      <c r="A189" t="inlineStr">
        <is>
          <t>335 cm x 81 cm</t>
        </is>
      </c>
      <c r="B189" t="inlineStr">
        <is>
          <t>Fanatic Fly Air</t>
        </is>
      </c>
      <c r="C189" t="inlineStr">
        <is>
          <t>SUP</t>
        </is>
      </c>
      <c r="D189" s="3" t="n">
        <v>165</v>
      </c>
      <c r="E189" t="inlineStr"/>
      <c r="F189" s="4" t="n">
        <v>180</v>
      </c>
      <c r="G189" t="inlineStr">
        <is>
          <t>VB</t>
        </is>
      </c>
      <c r="H189" t="inlineStr">
        <is>
          <t>72622 Baden-Württemberg - Nürtingen</t>
        </is>
      </c>
      <c r="I189" s="5" t="n">
        <v>45563</v>
      </c>
      <c r="J189" t="inlineStr"/>
      <c r="K189" s="6">
        <f>HYPERLINK("https://www.kleinanzeigen.de/s-anzeige/verkaufe-sup-fanatic-fly-air-11x32-zoll/2876361957-230-8219", "Link")</f>
        <v/>
      </c>
      <c r="L189" s="6">
        <f>HYPERLINK("C:\Projects\Kleinanzeigen-Scraper\offer_images\2876361957", "Link")</f>
        <v/>
      </c>
      <c r="M189" t="inlineStr">
        <is>
          <t>Helena</t>
        </is>
      </c>
      <c r="N189" s="6">
        <f>HYPERLINK("https://www.kleinanzeigen.de/s-bestandsliste.html?userId=144645199", "Link")</f>
        <v/>
      </c>
      <c r="O189" s="7" t="n">
        <v>45563.72777777778</v>
      </c>
      <c r="P189" s="3" t="inlineStr">
        <is>
          <t>26.22</t>
        </is>
      </c>
      <c r="Q189" t="inlineStr">
        <is>
          <t>Böblingen</t>
        </is>
      </c>
    </row>
    <row r="190">
      <c r="A190" t="inlineStr"/>
      <c r="B190" t="inlineStr">
        <is>
          <t>Fanatic PRO Wave LTD</t>
        </is>
      </c>
      <c r="C190" t="inlineStr">
        <is>
          <t>Wave</t>
        </is>
      </c>
      <c r="D190" s="3" t="inlineStr"/>
      <c r="E190" t="inlineStr"/>
      <c r="F190" s="4" t="n">
        <v>295</v>
      </c>
      <c r="G190" t="inlineStr">
        <is>
          <t>VB</t>
        </is>
      </c>
      <c r="H190" t="inlineStr">
        <is>
          <t>30419 Hannover - Herrenhausen-Stöcken</t>
        </is>
      </c>
      <c r="I190" s="5" t="n">
        <v>45563</v>
      </c>
      <c r="J190" t="inlineStr"/>
      <c r="K190" s="6">
        <f>HYPERLINK("https://www.kleinanzeigen.de/s-anzeige/fanatic-7-6-pro-wave-ltd/2876281594-230-3178", "Link")</f>
        <v/>
      </c>
      <c r="L190" s="6">
        <f>HYPERLINK("C:\Projects\Kleinanzeigen-Scraper\offer_images\2876281594", "Link")</f>
        <v/>
      </c>
      <c r="M190" t="inlineStr">
        <is>
          <t>Roxy</t>
        </is>
      </c>
      <c r="N190" s="6">
        <f>HYPERLINK("https://www.kleinanzeigen.de/s-bestandsliste.html?userId=83974897", "Link")</f>
        <v/>
      </c>
      <c r="O190" s="7" t="n">
        <v>45563.72726851852</v>
      </c>
      <c r="P190" s="3" t="inlineStr">
        <is>
          <t>248.55</t>
        </is>
      </c>
      <c r="Q190" t="inlineStr">
        <is>
          <t>Köln</t>
        </is>
      </c>
    </row>
    <row r="191">
      <c r="A191" t="inlineStr"/>
      <c r="B191" t="inlineStr">
        <is>
          <t>Tabou Pocket Wave</t>
        </is>
      </c>
      <c r="C191" t="inlineStr">
        <is>
          <t>Wave</t>
        </is>
      </c>
      <c r="D191" s="3" t="inlineStr"/>
      <c r="E191" t="inlineStr">
        <is>
          <t>2018</t>
        </is>
      </c>
      <c r="F191" s="4" t="n">
        <v>290</v>
      </c>
      <c r="G191" t="inlineStr"/>
      <c r="H191" t="inlineStr">
        <is>
          <t>23775 Großenbrode</t>
        </is>
      </c>
      <c r="I191" s="5" t="n">
        <v>45562</v>
      </c>
      <c r="J191" t="inlineStr">
        <is>
          <t>Sold</t>
        </is>
      </c>
      <c r="K191" s="6">
        <f>HYPERLINK("https://www.dailydose.de/kleinanzeigen/detail.htm?ai=423234&amp;cf=kk&amp;pg=1&amp;ci=11", "Link")</f>
        <v/>
      </c>
      <c r="L191" s="6">
        <f>HYPERLINK("C:\Projects\Kleinanzeigen-Scraper\offer_images\423234", "Link")</f>
        <v/>
      </c>
      <c r="M191" t="inlineStr">
        <is>
          <t>Holger_156</t>
        </is>
      </c>
      <c r="N191" s="6">
        <f>HYPERLINK("https://www.dailydose.de/kleinanzeigen/user/10571", "Link")</f>
        <v/>
      </c>
      <c r="O191" s="7" t="n">
        <v>45562.75013888889</v>
      </c>
      <c r="P191" s="3" t="inlineStr">
        <is>
          <t>471.97</t>
        </is>
      </c>
      <c r="Q191" t="inlineStr">
        <is>
          <t>Köln</t>
        </is>
      </c>
    </row>
    <row r="192">
      <c r="A192" t="inlineStr">
        <is>
          <t>209 cm</t>
        </is>
      </c>
      <c r="B192" t="inlineStr">
        <is>
          <t>Tabou Twister</t>
        </is>
      </c>
      <c r="C192" t="inlineStr">
        <is>
          <t>Freestyle</t>
        </is>
      </c>
      <c r="D192" s="3" t="n">
        <v>90</v>
      </c>
      <c r="E192" t="inlineStr"/>
      <c r="F192" s="4" t="inlineStr"/>
      <c r="G192" t="inlineStr">
        <is>
          <t>VB</t>
        </is>
      </c>
      <c r="H192" t="inlineStr">
        <is>
          <t>Ammersee</t>
        </is>
      </c>
      <c r="I192" s="5" t="n">
        <v>45562</v>
      </c>
      <c r="J192" t="inlineStr"/>
      <c r="K192" s="6">
        <f>HYPERLINK("https://www.dailydose.de/kleinanzeigen/detail.htm?ai=423267&amp;cf=kk&amp;pg=3&amp;ci=11", "Link")</f>
        <v/>
      </c>
      <c r="L192" s="6">
        <f>HYPERLINK("C:\Projects\Kleinanzeigen-Scraper\offer_images\423267", "Link")</f>
        <v/>
      </c>
      <c r="M192" t="inlineStr">
        <is>
          <t>Florian_20</t>
        </is>
      </c>
      <c r="N192" s="6">
        <f>HYPERLINK("https://www.dailydose.de/kleinanzeigen/user/4844", "Link")</f>
        <v/>
      </c>
      <c r="O192" s="7" t="n">
        <v>45562.74997685185</v>
      </c>
      <c r="P192" s="3" t="inlineStr">
        <is>
          <t>36.58</t>
        </is>
      </c>
      <c r="Q192" t="inlineStr">
        <is>
          <t>München</t>
        </is>
      </c>
    </row>
    <row r="193">
      <c r="A193" t="inlineStr"/>
      <c r="B193" t="inlineStr">
        <is>
          <t>Severne DYNO</t>
        </is>
      </c>
      <c r="C193" t="inlineStr">
        <is>
          <t>Freewave</t>
        </is>
      </c>
      <c r="D193" s="3" t="n">
        <v>105</v>
      </c>
      <c r="E193" t="inlineStr">
        <is>
          <t>2023</t>
        </is>
      </c>
      <c r="F193" s="4" t="n">
        <v>880</v>
      </c>
      <c r="G193" t="inlineStr"/>
      <c r="H193" t="inlineStr">
        <is>
          <t>58540 Sauerland -NRW</t>
        </is>
      </c>
      <c r="I193" s="5" t="n">
        <v>45561</v>
      </c>
      <c r="J193" t="inlineStr">
        <is>
          <t>Sold</t>
        </is>
      </c>
      <c r="K193" s="6">
        <f>HYPERLINK("https://www.dailydose.de/kleinanzeigen/detail.htm?ai=423231&amp;cf=kk&amp;pg=1&amp;ci=11", "Link")</f>
        <v/>
      </c>
      <c r="L193" s="6">
        <f>HYPERLINK("C:\Projects\Kleinanzeigen-Scraper\offer_images\423231", "Link")</f>
        <v/>
      </c>
      <c r="M193" t="inlineStr">
        <is>
          <t>tivitac</t>
        </is>
      </c>
      <c r="N193" s="6">
        <f>HYPERLINK("https://www.dailydose.de/kleinanzeigen/user/1938", "Link")</f>
        <v/>
      </c>
      <c r="O193" s="7" t="n">
        <v>45562.74920138889</v>
      </c>
      <c r="P193" s="3" t="inlineStr">
        <is>
          <t>56.25</t>
        </is>
      </c>
      <c r="Q193" t="inlineStr">
        <is>
          <t>Köln</t>
        </is>
      </c>
    </row>
    <row r="194">
      <c r="A194" t="inlineStr">
        <is>
          <t>239 x 52.5</t>
        </is>
      </c>
      <c r="B194" t="inlineStr">
        <is>
          <t>Tabou Da Curve</t>
        </is>
      </c>
      <c r="C194" t="inlineStr">
        <is>
          <t>Wave</t>
        </is>
      </c>
      <c r="D194" s="3" t="n">
        <v>73</v>
      </c>
      <c r="E194" t="inlineStr"/>
      <c r="F194" s="4" t="n">
        <v>180</v>
      </c>
      <c r="G194" t="inlineStr"/>
      <c r="H194" t="inlineStr">
        <is>
          <t>12527 Berlin</t>
        </is>
      </c>
      <c r="I194" s="5" t="n">
        <v>45562</v>
      </c>
      <c r="J194" t="inlineStr"/>
      <c r="K194" s="6">
        <f>HYPERLINK("https://www.dailydose.de/kleinanzeigen/detail.htm?ai=423246&amp;cf=kk&amp;pg=3&amp;ci=11", "Link")</f>
        <v/>
      </c>
      <c r="L194" s="6">
        <f>HYPERLINK("C:\Projects\Kleinanzeigen-Scraper\offer_images\423246", "Link")</f>
        <v/>
      </c>
      <c r="M194" t="inlineStr">
        <is>
          <t>newt3</t>
        </is>
      </c>
      <c r="N194" s="6">
        <f>HYPERLINK("https://www.dailydose.de/kleinanzeigen/user/22148", "Link")</f>
        <v/>
      </c>
      <c r="O194" s="7" t="n">
        <v>45562.74884259259</v>
      </c>
      <c r="P194" s="3" t="inlineStr">
        <is>
          <t>487.71</t>
        </is>
      </c>
      <c r="Q194" t="inlineStr">
        <is>
          <t>Köln</t>
        </is>
      </c>
    </row>
    <row r="195">
      <c r="A195" t="inlineStr">
        <is>
          <t>247x70 cm</t>
        </is>
      </c>
      <c r="B195" t="inlineStr">
        <is>
          <t>Fanatic Shark</t>
        </is>
      </c>
      <c r="C195" t="inlineStr">
        <is>
          <t>FreeRide</t>
        </is>
      </c>
      <c r="D195" s="3" t="n">
        <v>125</v>
      </c>
      <c r="E195" t="inlineStr"/>
      <c r="F195" s="4" t="n">
        <v>450</v>
      </c>
      <c r="G195" t="inlineStr"/>
      <c r="H195" t="inlineStr">
        <is>
          <t>12527 Berlin</t>
        </is>
      </c>
      <c r="I195" s="5" t="n">
        <v>45562</v>
      </c>
      <c r="J195" t="inlineStr"/>
      <c r="K195" s="6">
        <f>HYPERLINK("https://www.dailydose.de/kleinanzeigen/detail.htm?ai=423241&amp;cf=kk&amp;pg=3&amp;ci=11", "Link")</f>
        <v/>
      </c>
      <c r="L195" s="6">
        <f>HYPERLINK("C:\Projects\Kleinanzeigen-Scraper\offer_images\423241", "Link")</f>
        <v/>
      </c>
      <c r="M195" t="inlineStr">
        <is>
          <t>newt3</t>
        </is>
      </c>
      <c r="N195" s="6">
        <f>HYPERLINK("https://www.dailydose.de/kleinanzeigen/user/22148", "Link")</f>
        <v/>
      </c>
      <c r="O195" s="7" t="n">
        <v>45562.74868055555</v>
      </c>
      <c r="P195" s="3" t="inlineStr">
        <is>
          <t>487.71</t>
        </is>
      </c>
      <c r="Q195" t="inlineStr">
        <is>
          <t>Köln</t>
        </is>
      </c>
    </row>
    <row r="196">
      <c r="A196" t="inlineStr">
        <is>
          <t>236 x 59.9</t>
        </is>
      </c>
      <c r="B196" t="inlineStr">
        <is>
          <t>Quatro Twin</t>
        </is>
      </c>
      <c r="C196" t="inlineStr">
        <is>
          <t>Wave</t>
        </is>
      </c>
      <c r="D196" s="3" t="n">
        <v>92</v>
      </c>
      <c r="E196" t="inlineStr">
        <is>
          <t>2012</t>
        </is>
      </c>
      <c r="F196" s="4" t="n">
        <v>470</v>
      </c>
      <c r="G196" t="inlineStr"/>
      <c r="H196" t="inlineStr">
        <is>
          <t>23558 HL - OH und Umgebung</t>
        </is>
      </c>
      <c r="I196" s="5" t="n">
        <v>45561</v>
      </c>
      <c r="J196" t="inlineStr"/>
      <c r="K196" s="6">
        <f>HYPERLINK("https://www.dailydose.de/kleinanzeigen/detail.htm?ai=423226&amp;cf=kk&amp;pg=3&amp;ci=11", "Link")</f>
        <v/>
      </c>
      <c r="L196" s="6">
        <f>HYPERLINK("C:\Projects\Kleinanzeigen-Scraper\offer_images\423226", "Link")</f>
        <v/>
      </c>
      <c r="M196" t="inlineStr">
        <is>
          <t>matthias_104</t>
        </is>
      </c>
      <c r="N196" s="6">
        <f>HYPERLINK("https://www.dailydose.de/kleinanzeigen/user/16080", "Link")</f>
        <v/>
      </c>
      <c r="O196" s="7" t="n">
        <v>45562.74782407407</v>
      </c>
      <c r="P196" s="3" t="inlineStr">
        <is>
          <t>410.30</t>
        </is>
      </c>
      <c r="Q196" t="inlineStr">
        <is>
          <t>Köln</t>
        </is>
      </c>
    </row>
    <row r="197">
      <c r="A197" t="inlineStr">
        <is>
          <t>248 x 68 cm</t>
        </is>
      </c>
      <c r="B197" t="inlineStr">
        <is>
          <t>Exocet SCross PRO</t>
        </is>
      </c>
      <c r="C197" t="inlineStr">
        <is>
          <t>FreeRace/FreeRide</t>
        </is>
      </c>
      <c r="D197" s="3" t="n">
        <v>115</v>
      </c>
      <c r="E197" t="inlineStr"/>
      <c r="F197" s="4" t="n">
        <v>450</v>
      </c>
      <c r="G197" t="inlineStr"/>
      <c r="H197" t="inlineStr">
        <is>
          <t>12527 Berlin</t>
        </is>
      </c>
      <c r="I197" s="5" t="n">
        <v>45562</v>
      </c>
      <c r="J197" t="inlineStr"/>
      <c r="K197" s="6">
        <f>HYPERLINK("https://www.dailydose.de/kleinanzeigen/detail.htm?ai=423240&amp;cf=kk&amp;pg=3&amp;ci=11", "Link")</f>
        <v/>
      </c>
      <c r="L197" s="6">
        <f>HYPERLINK("C:\Projects\Kleinanzeigen-Scraper\offer_images\423240", "Link")</f>
        <v/>
      </c>
      <c r="M197" t="inlineStr">
        <is>
          <t>newt3</t>
        </is>
      </c>
      <c r="N197" s="6">
        <f>HYPERLINK("https://www.dailydose.de/kleinanzeigen/user/22148", "Link")</f>
        <v/>
      </c>
      <c r="O197" s="7" t="n">
        <v>45562.74771990741</v>
      </c>
      <c r="P197" s="3" t="inlineStr">
        <is>
          <t>487.71</t>
        </is>
      </c>
      <c r="Q197" t="inlineStr">
        <is>
          <t>Köln</t>
        </is>
      </c>
    </row>
    <row r="198">
      <c r="A198" t="inlineStr">
        <is>
          <t>94</t>
        </is>
      </c>
      <c r="B198" t="inlineStr">
        <is>
          <t>JP Freestyle Wave Pro Edition</t>
        </is>
      </c>
      <c r="C198" t="inlineStr">
        <is>
          <t>Freestyle Wave</t>
        </is>
      </c>
      <c r="D198" s="3" t="inlineStr"/>
      <c r="E198" t="inlineStr">
        <is>
          <t>2019</t>
        </is>
      </c>
      <c r="F198" s="4" t="n">
        <v>250</v>
      </c>
      <c r="G198" t="inlineStr"/>
      <c r="H198" t="inlineStr">
        <is>
          <t>23775 Großenbrode</t>
        </is>
      </c>
      <c r="I198" s="5" t="n">
        <v>45562</v>
      </c>
      <c r="J198" t="inlineStr">
        <is>
          <t>Sold</t>
        </is>
      </c>
      <c r="K198" s="6">
        <f>HYPERLINK("https://www.dailydose.de/kleinanzeigen/detail.htm?ai=423233&amp;cf=kk&amp;pg=2&amp;ci=11", "Link")</f>
        <v/>
      </c>
      <c r="L198" s="6">
        <f>HYPERLINK("C:\Projects\Kleinanzeigen-Scraper\offer_images\423233", "Link")</f>
        <v/>
      </c>
      <c r="M198" t="inlineStr">
        <is>
          <t>Holger_156</t>
        </is>
      </c>
      <c r="N198" s="6">
        <f>HYPERLINK("https://www.dailydose.de/kleinanzeigen/user/10571", "Link")</f>
        <v/>
      </c>
      <c r="O198" s="7" t="n">
        <v>45562.74765046296</v>
      </c>
      <c r="P198" s="3" t="inlineStr">
        <is>
          <t>471.97</t>
        </is>
      </c>
      <c r="Q198" t="inlineStr">
        <is>
          <t>Köln</t>
        </is>
      </c>
    </row>
    <row r="199">
      <c r="A199" t="inlineStr"/>
      <c r="B199" t="inlineStr">
        <is>
          <t>Starboard Kode</t>
        </is>
      </c>
      <c r="C199" t="inlineStr">
        <is>
          <t>Freestyle</t>
        </is>
      </c>
      <c r="D199" s="3" t="n">
        <v>94</v>
      </c>
      <c r="E199" t="inlineStr"/>
      <c r="F199" s="4" t="n">
        <v>210</v>
      </c>
      <c r="G199" t="inlineStr"/>
      <c r="H199" t="inlineStr">
        <is>
          <t>12589 Berlin - Köpenick</t>
        </is>
      </c>
      <c r="I199" s="5" t="n">
        <v>45562</v>
      </c>
      <c r="J199" t="inlineStr"/>
      <c r="K199" s="6">
        <f>HYPERLINK("https://www.kleinanzeigen.de/s-anzeige/starboard-kode-94l-windsurfen-board/2875541158-230-3373", "Link")</f>
        <v/>
      </c>
      <c r="L199" s="6">
        <f>HYPERLINK("C:\Projects\Kleinanzeigen-Scraper\offer_images\2875541158", "Link")</f>
        <v/>
      </c>
      <c r="M199" t="inlineStr">
        <is>
          <t>D.F.</t>
        </is>
      </c>
      <c r="N199" s="6">
        <f>HYPERLINK("https://www.kleinanzeigen.de/s-bestandsliste.html?userId=8187593", "Link")</f>
        <v/>
      </c>
      <c r="O199" s="7" t="n">
        <v>45562.74665509259</v>
      </c>
      <c r="P199" s="3" t="inlineStr">
        <is>
          <t>494.39</t>
        </is>
      </c>
      <c r="Q199" t="inlineStr">
        <is>
          <t>Köln</t>
        </is>
      </c>
    </row>
    <row r="200">
      <c r="A200" t="inlineStr">
        <is>
          <t>241 cm x 54.5 cm</t>
        </is>
      </c>
      <c r="B200" t="inlineStr">
        <is>
          <t>Tabou</t>
        </is>
      </c>
      <c r="C200" t="inlineStr">
        <is>
          <t>Wave</t>
        </is>
      </c>
      <c r="D200" s="3" t="n">
        <v>85</v>
      </c>
      <c r="E200" t="inlineStr"/>
      <c r="F200" s="4" t="n">
        <v>160</v>
      </c>
      <c r="G200" t="inlineStr"/>
      <c r="H200" t="inlineStr">
        <is>
          <t>28865 Niedersachsen - Lilienthal</t>
        </is>
      </c>
      <c r="I200" s="5" t="n">
        <v>45561</v>
      </c>
      <c r="J200" t="inlineStr"/>
      <c r="K200" s="6">
        <f>HYPERLINK("https://www.kleinanzeigen.de/s-anzeige/tabou-85-liter-waveboard-inkl-2-finnen/2874574686-230-2650", "Link")</f>
        <v/>
      </c>
      <c r="L200" s="6">
        <f>HYPERLINK("C:\Projects\Kleinanzeigen-Scraper\offer_images\2874574686", "Link")</f>
        <v/>
      </c>
      <c r="M200" t="inlineStr">
        <is>
          <t>Lisa</t>
        </is>
      </c>
      <c r="N200" s="6">
        <f>HYPERLINK("https://www.kleinanzeigen.de/s-bestandsliste.html?userId=14318152", "Link")</f>
        <v/>
      </c>
      <c r="O200" s="7" t="n">
        <v>45562.74641203704</v>
      </c>
      <c r="P200" s="3" t="inlineStr">
        <is>
          <t>280.02</t>
        </is>
      </c>
      <c r="Q200" t="inlineStr">
        <is>
          <t>Köln</t>
        </is>
      </c>
    </row>
    <row r="201">
      <c r="A201" t="inlineStr">
        <is>
          <t>350.5 cm x 78.7 cm</t>
        </is>
      </c>
      <c r="B201" t="inlineStr">
        <is>
          <t>Fanatic Diamond Ray Air Touring</t>
        </is>
      </c>
      <c r="C201" t="inlineStr">
        <is>
          <t>Touring</t>
        </is>
      </c>
      <c r="D201" s="3" t="n">
        <v>299</v>
      </c>
      <c r="E201" t="inlineStr">
        <is>
          <t>2019</t>
        </is>
      </c>
      <c r="F201" s="4" t="n">
        <v>370</v>
      </c>
      <c r="G201" t="inlineStr"/>
      <c r="H201" t="inlineStr">
        <is>
          <t>99089 Thüringen - Erfurt</t>
        </is>
      </c>
      <c r="I201" s="5" t="n">
        <v>45562</v>
      </c>
      <c r="J201" t="inlineStr"/>
      <c r="K201" s="6">
        <f>HYPERLINK("https://www.kleinanzeigen.de/s-anzeige/sup-fanatic-diamond-ray-air-touring-11-6-inkl-carbon-paddel/2875073218-230-3752", "Link")</f>
        <v/>
      </c>
      <c r="L201" s="6">
        <f>HYPERLINK("C:\Projects\Kleinanzeigen-Scraper\offer_images\2875073218", "Link")</f>
        <v/>
      </c>
      <c r="M201" t="inlineStr">
        <is>
          <t>Quirin</t>
        </is>
      </c>
      <c r="N201" s="6">
        <f>HYPERLINK("https://www.kleinanzeigen.de/s-bestandsliste.html?userId=5601809", "Link")</f>
        <v/>
      </c>
      <c r="O201" s="7" t="n">
        <v>45562.74616898148</v>
      </c>
      <c r="P201" s="3" t="inlineStr">
        <is>
          <t>38.54</t>
        </is>
      </c>
      <c r="Q201" t="inlineStr">
        <is>
          <t>München</t>
        </is>
      </c>
    </row>
    <row r="202">
      <c r="A202" t="inlineStr">
        <is>
          <t>210 cm x 81 cm</t>
        </is>
      </c>
      <c r="B202" t="inlineStr">
        <is>
          <t>I99 AST</t>
        </is>
      </c>
      <c r="C202" t="inlineStr">
        <is>
          <t>Foilboard</t>
        </is>
      </c>
      <c r="D202" s="3" t="n">
        <v>182</v>
      </c>
      <c r="E202" t="inlineStr"/>
      <c r="F202" s="4" t="n">
        <v>380</v>
      </c>
      <c r="G202" t="inlineStr">
        <is>
          <t>VB</t>
        </is>
      </c>
      <c r="H202" t="inlineStr">
        <is>
          <t>12587 Berlin - Köpenick</t>
        </is>
      </c>
      <c r="I202" s="5" t="n">
        <v>45562</v>
      </c>
      <c r="J202" t="inlineStr"/>
      <c r="K202" s="6">
        <f>HYPERLINK("https://www.kleinanzeigen.de/s-anzeige/windsurf-foilboard-i99-ast-81/2874970147-230-3374", "Link")</f>
        <v/>
      </c>
      <c r="L202" s="6">
        <f>HYPERLINK("C:\Projects\Kleinanzeigen-Scraper\offer_images\2874970147", "Link")</f>
        <v/>
      </c>
      <c r="M202" t="inlineStr">
        <is>
          <t>Gerd Müller</t>
        </is>
      </c>
      <c r="N202" s="6">
        <f>HYPERLINK("https://www.kleinanzeigen.de/s-bestandsliste.html?userId=10233935", "Link")</f>
        <v/>
      </c>
      <c r="O202" s="7" t="n">
        <v>45562.74613425926</v>
      </c>
      <c r="P202" s="3" t="inlineStr">
        <is>
          <t>490.72</t>
        </is>
      </c>
      <c r="Q202" t="inlineStr">
        <is>
          <t>Köln</t>
        </is>
      </c>
    </row>
    <row r="203">
      <c r="A203" t="inlineStr">
        <is>
          <t>135x41.5</t>
        </is>
      </c>
      <c r="B203" t="inlineStr">
        <is>
          <t>Naish Monarch S26</t>
        </is>
      </c>
      <c r="C203" t="inlineStr"/>
      <c r="D203" s="3" t="inlineStr"/>
      <c r="E203" t="inlineStr"/>
      <c r="F203" s="4" t="n">
        <v>500</v>
      </c>
      <c r="G203" t="inlineStr">
        <is>
          <t>VB</t>
        </is>
      </c>
      <c r="H203" t="inlineStr">
        <is>
          <t>64289 Hessen - Darmstadt</t>
        </is>
      </c>
      <c r="I203" s="5" t="n">
        <v>45562</v>
      </c>
      <c r="J203" t="inlineStr"/>
      <c r="K203" s="6">
        <f>HYPERLINK("https://www.kleinanzeigen.de/s-anzeige/naish-monarch-s26-schlaufen/2875433865-230-4893", "Link")</f>
        <v/>
      </c>
      <c r="L203" s="6">
        <f>HYPERLINK("C:\Projects\Kleinanzeigen-Scraper\offer_images\2875433865", "Link")</f>
        <v/>
      </c>
      <c r="M203" t="inlineStr">
        <is>
          <t>TomGr</t>
        </is>
      </c>
      <c r="N203" s="6">
        <f>HYPERLINK("https://www.kleinanzeigen.de/s-bestandsliste.html?userId=134570274", "Link")</f>
        <v/>
      </c>
      <c r="O203" s="7" t="n">
        <v>45562.74556712963</v>
      </c>
      <c r="P203" s="3" t="inlineStr">
        <is>
          <t>103.27</t>
        </is>
      </c>
      <c r="Q203" t="inlineStr">
        <is>
          <t>Karlsruhe</t>
        </is>
      </c>
    </row>
    <row r="204">
      <c r="A204" t="inlineStr">
        <is>
          <t>291 cm x 59 cm</t>
        </is>
      </c>
      <c r="B204" t="inlineStr">
        <is>
          <t>Fanatic</t>
        </is>
      </c>
      <c r="C204" t="inlineStr"/>
      <c r="D204" s="3" t="n">
        <v>125</v>
      </c>
      <c r="E204" t="inlineStr"/>
      <c r="F204" s="4" t="inlineStr">
        <is>
          <t>Zu verschenken</t>
        </is>
      </c>
      <c r="G204" t="inlineStr"/>
      <c r="H204" t="inlineStr">
        <is>
          <t>57072 Nordrhein-Westfalen - Siegen</t>
        </is>
      </c>
      <c r="I204" s="5" t="n">
        <v>45562</v>
      </c>
      <c r="J204" t="inlineStr">
        <is>
          <t>Sold</t>
        </is>
      </c>
      <c r="K204" s="6">
        <f>HYPERLINK("https://www.kleinanzeigen.de/s-anzeige/windsurfboard-fanatic/2875464125-230-1028", "Link")</f>
        <v/>
      </c>
      <c r="L204" s="6">
        <f>HYPERLINK("C:\Projects\Kleinanzeigen-Scraper\offer_images\2875464125", "Link")</f>
        <v/>
      </c>
      <c r="M204" t="inlineStr">
        <is>
          <t>julijan</t>
        </is>
      </c>
      <c r="N204" s="6">
        <f>HYPERLINK("https://www.kleinanzeigen.de/s-bestandsliste.html?userId=40465526", "Link")</f>
        <v/>
      </c>
      <c r="O204" s="7" t="n">
        <v>45562.7440162037</v>
      </c>
      <c r="P204" s="3" t="inlineStr">
        <is>
          <t>72.55</t>
        </is>
      </c>
      <c r="Q204" t="inlineStr">
        <is>
          <t>Köln</t>
        </is>
      </c>
    </row>
    <row r="205">
      <c r="A205" t="inlineStr"/>
      <c r="B205" t="inlineStr">
        <is>
          <t>Fanatic Duotone - Falcon</t>
        </is>
      </c>
      <c r="C205" t="inlineStr">
        <is>
          <t>Slalom</t>
        </is>
      </c>
      <c r="D205" s="3" t="n">
        <v>89</v>
      </c>
      <c r="E205" t="inlineStr">
        <is>
          <t>2014</t>
        </is>
      </c>
      <c r="F205" s="4" t="n">
        <v>480</v>
      </c>
      <c r="G205" t="inlineStr"/>
      <c r="H205" t="inlineStr">
        <is>
          <t>24118 Kiel - Ravensberg-Brunswik-Düsternbrook</t>
        </is>
      </c>
      <c r="I205" s="5" t="n">
        <v>45552</v>
      </c>
      <c r="J205" t="inlineStr">
        <is>
          <t>Sold</t>
        </is>
      </c>
      <c r="K205" s="6">
        <f>HYPERLINK("https://www.kleinanzeigen.de/s-anzeige/windsurf-slalom-board-fanatic-duotone-falcon-89l/2866572585-223-704", "Link")</f>
        <v/>
      </c>
      <c r="L205" s="6">
        <f>HYPERLINK("C:\Projects\Kleinanzeigen-Scraper\offer_images\2866572585", "Link")</f>
        <v/>
      </c>
      <c r="M205" t="inlineStr">
        <is>
          <t>Leon</t>
        </is>
      </c>
      <c r="N205" s="6">
        <f>HYPERLINK("https://www.kleinanzeigen.de/s-bestandsliste.html?userId=79237818", "Link")</f>
        <v/>
      </c>
      <c r="O205" s="7" t="n">
        <v>45562.74386574074</v>
      </c>
      <c r="P205" s="3" t="inlineStr">
        <is>
          <t>434.29</t>
        </is>
      </c>
      <c r="Q205" t="inlineStr">
        <is>
          <t>Köln</t>
        </is>
      </c>
    </row>
    <row r="206">
      <c r="A206" t="inlineStr">
        <is>
          <t>252 cm x 69 cm</t>
        </is>
      </c>
      <c r="B206" t="inlineStr">
        <is>
          <t>RRD</t>
        </is>
      </c>
      <c r="C206" t="inlineStr"/>
      <c r="D206" s="3" t="n">
        <v>133</v>
      </c>
      <c r="E206" t="inlineStr"/>
      <c r="F206" s="4" t="n">
        <v>300</v>
      </c>
      <c r="G206" t="inlineStr"/>
      <c r="H206" t="inlineStr">
        <is>
          <t>26215 Niedersachsen - Wiefelstede</t>
        </is>
      </c>
      <c r="I206" s="5" t="n">
        <v>45562</v>
      </c>
      <c r="J206" t="inlineStr">
        <is>
          <t>Sold</t>
        </is>
      </c>
      <c r="K206" s="6">
        <f>HYPERLINK("https://www.kleinanzeigen.de/s-anzeige/surfboard-rrd-133ltr/2874957869-230-2576", "Link")</f>
        <v/>
      </c>
      <c r="L206" s="6">
        <f>HYPERLINK("C:\Projects\Kleinanzeigen-Scraper\offer_images\2874957869", "Link")</f>
        <v/>
      </c>
      <c r="M206" t="inlineStr">
        <is>
          <t>Stefan</t>
        </is>
      </c>
      <c r="N206" s="6">
        <f>HYPERLINK("https://www.kleinanzeigen.de/s-bestandsliste.html?userId=3661130", "Link")</f>
        <v/>
      </c>
      <c r="O206" s="7" t="n">
        <v>45562.74240740741</v>
      </c>
      <c r="P206" s="3" t="inlineStr">
        <is>
          <t>269.48</t>
        </is>
      </c>
      <c r="Q206" t="inlineStr">
        <is>
          <t>Köln</t>
        </is>
      </c>
    </row>
    <row r="207">
      <c r="A207" t="inlineStr"/>
      <c r="B207" t="inlineStr">
        <is>
          <t>MB Boards Foil Freestyle</t>
        </is>
      </c>
      <c r="C207" t="inlineStr">
        <is>
          <t>Foil</t>
        </is>
      </c>
      <c r="D207" s="3" t="n">
        <v>92</v>
      </c>
      <c r="E207" t="inlineStr"/>
      <c r="F207" s="4" t="n">
        <v>720</v>
      </c>
      <c r="G207" t="inlineStr">
        <is>
          <t>VB</t>
        </is>
      </c>
      <c r="H207" t="inlineStr">
        <is>
          <t>18528 Mecklenburg-Vorpommern - Bergen auf Rügen</t>
        </is>
      </c>
      <c r="I207" s="5" t="n">
        <v>45561</v>
      </c>
      <c r="J207" t="inlineStr"/>
      <c r="K207" s="6">
        <f>HYPERLINK("https://www.kleinanzeigen.de/s-anzeige/mb-boards-foil-freestyle-92l-foil-windsurfen-surfbrett-windfoil/2874587504-230-18644", "Link")</f>
        <v/>
      </c>
      <c r="L207" s="6">
        <f>HYPERLINK("C:\Projects\Kleinanzeigen-Scraper\offer_images\2874587504", "Link")</f>
        <v/>
      </c>
      <c r="M207" t="inlineStr">
        <is>
          <t>MC</t>
        </is>
      </c>
      <c r="N207" s="6">
        <f>HYPERLINK("https://www.kleinanzeigen.de/s-bestandsliste.html?userId=5197822", "Link")</f>
        <v/>
      </c>
      <c r="O207" s="7" t="n">
        <v>45562.74238425926</v>
      </c>
      <c r="P207" s="3" t="inlineStr">
        <is>
          <t>582.28</t>
        </is>
      </c>
      <c r="Q207" t="inlineStr">
        <is>
          <t>Köln</t>
        </is>
      </c>
    </row>
    <row r="208">
      <c r="A208" t="inlineStr">
        <is>
          <t>Dimensions not specified</t>
        </is>
      </c>
      <c r="B208" t="inlineStr">
        <is>
          <t>Duotone Blast SLS</t>
        </is>
      </c>
      <c r="C208" t="inlineStr">
        <is>
          <t>Freeride</t>
        </is>
      </c>
      <c r="D208" s="3" t="n">
        <v>100</v>
      </c>
      <c r="E208" t="inlineStr">
        <is>
          <t>2024</t>
        </is>
      </c>
      <c r="F208" s="4" t="n">
        <v>1.999</v>
      </c>
      <c r="G208" t="inlineStr"/>
      <c r="H208" t="inlineStr">
        <is>
          <t>82319 Bayern - Starnberg</t>
        </is>
      </c>
      <c r="I208" s="5" t="n">
        <v>45562</v>
      </c>
      <c r="J208" t="inlineStr"/>
      <c r="K208" s="6">
        <f>HYPERLINK("https://www.kleinanzeigen.de/s-anzeige/2024-duotone-blast-sls-100l-windsurf-brett-neu-windsurf-board/2848678283-230-5525", "Link")</f>
        <v/>
      </c>
      <c r="L208" s="6">
        <f>HYPERLINK("C:\Projects\Kleinanzeigen-Scraper\offer_images\2848678283", "Link")</f>
        <v/>
      </c>
      <c r="M208" t="inlineStr">
        <is>
          <t>No user name</t>
        </is>
      </c>
      <c r="N208" s="6">
        <f>HYPERLINK("https://www.kleinanzeigen.deNo user link", "Link")</f>
        <v/>
      </c>
      <c r="O208" s="7" t="n">
        <v>45562.74237268518</v>
      </c>
      <c r="P208" s="3" t="inlineStr">
        <is>
          <t>23.17</t>
        </is>
      </c>
      <c r="Q208" t="inlineStr">
        <is>
          <t>München</t>
        </is>
      </c>
    </row>
    <row r="209">
      <c r="A209" t="inlineStr"/>
      <c r="B209" t="inlineStr">
        <is>
          <t>Tabou Twister</t>
        </is>
      </c>
      <c r="C209" t="inlineStr">
        <is>
          <t>Freestyle</t>
        </is>
      </c>
      <c r="D209" s="3" t="n">
        <v>90</v>
      </c>
      <c r="E209" t="inlineStr"/>
      <c r="F209" s="4" t="n">
        <v>500</v>
      </c>
      <c r="G209" t="inlineStr">
        <is>
          <t>VB</t>
        </is>
      </c>
      <c r="H209" t="inlineStr">
        <is>
          <t>86179 Bayern - Augsburg</t>
        </is>
      </c>
      <c r="I209" s="5" t="n">
        <v>45561</v>
      </c>
      <c r="J209" t="inlineStr"/>
      <c r="K209" s="6">
        <f>HYPERLINK("https://www.kleinanzeigen.de/s-anzeige/tabou-twister-90/2874902448-230-7531", "Link")</f>
        <v/>
      </c>
      <c r="L209" s="6">
        <f>HYPERLINK("C:\Projects\Kleinanzeigen-Scraper\offer_images\2874902448", "Link")</f>
        <v/>
      </c>
      <c r="M209" t="inlineStr">
        <is>
          <t>Florian</t>
        </is>
      </c>
      <c r="N209" s="6">
        <f>HYPERLINK("https://www.kleinanzeigen.de/s-bestandsliste.html?userId=13515708", "Link")</f>
        <v/>
      </c>
      <c r="O209" s="7" t="n">
        <v>45562.74228009259</v>
      </c>
      <c r="P209" s="3" t="inlineStr">
        <is>
          <t>51.96</t>
        </is>
      </c>
      <c r="Q209" t="inlineStr">
        <is>
          <t>München</t>
        </is>
      </c>
    </row>
    <row r="210">
      <c r="A210" t="inlineStr"/>
      <c r="B210" t="inlineStr">
        <is>
          <t>Fanatic</t>
        </is>
      </c>
      <c r="C210" t="inlineStr">
        <is>
          <t>Foil</t>
        </is>
      </c>
      <c r="D210" s="3" t="n">
        <v>125</v>
      </c>
      <c r="E210" t="inlineStr"/>
      <c r="F210" s="4" t="n">
        <v>1.3</v>
      </c>
      <c r="G210" t="inlineStr">
        <is>
          <t>VB</t>
        </is>
      </c>
      <c r="H210" t="inlineStr">
        <is>
          <t>31515 Niedersachsen - Wunstorf</t>
        </is>
      </c>
      <c r="I210" s="5" t="n">
        <v>45561</v>
      </c>
      <c r="J210" t="inlineStr"/>
      <c r="K210" s="6">
        <f>HYPERLINK("https://www.kleinanzeigen.de/s-anzeige/windsurf-foil-brett/2874750648-230-2930", "Link")</f>
        <v/>
      </c>
      <c r="L210" s="6">
        <f>HYPERLINK("C:\Projects\Kleinanzeigen-Scraper\offer_images\2874750648", "Link")</f>
        <v/>
      </c>
      <c r="M210" t="inlineStr">
        <is>
          <t>Dr.Ingfried Hobert</t>
        </is>
      </c>
      <c r="N210" s="6">
        <f>HYPERLINK("https://www.kleinanzeigen.de/s-bestandsliste.html?userId=35867352", "Link")</f>
        <v/>
      </c>
      <c r="O210" s="7" t="n">
        <v>45562.74123842592</v>
      </c>
      <c r="P210" s="3" t="inlineStr">
        <is>
          <t>236.47</t>
        </is>
      </c>
      <c r="Q210" t="inlineStr">
        <is>
          <t>Köln</t>
        </is>
      </c>
    </row>
    <row r="211">
      <c r="A211" t="inlineStr">
        <is>
          <t>238x90 cm</t>
        </is>
      </c>
      <c r="B211" t="inlineStr">
        <is>
          <t>RRD Firemove</t>
        </is>
      </c>
      <c r="C211" t="inlineStr">
        <is>
          <t>Freeride</t>
        </is>
      </c>
      <c r="D211" s="3" t="n">
        <v>140</v>
      </c>
      <c r="E211" t="inlineStr"/>
      <c r="F211" s="4" t="n">
        <v>490</v>
      </c>
      <c r="G211" t="inlineStr"/>
      <c r="H211" t="inlineStr">
        <is>
          <t>87645 Bayern - Schwangau</t>
        </is>
      </c>
      <c r="I211" s="5" t="n">
        <v>45562</v>
      </c>
      <c r="J211" t="inlineStr"/>
      <c r="K211" s="6">
        <f>HYPERLINK("https://www.kleinanzeigen.de/s-anzeige/surfbrett-rrd-firemove-140/2874966678-230-6566", "Link")</f>
        <v/>
      </c>
      <c r="L211" s="6">
        <f>HYPERLINK("C:\Projects\Kleinanzeigen-Scraper\offer_images\2874966678", "Link")</f>
        <v/>
      </c>
      <c r="M211" t="inlineStr">
        <is>
          <t>Seitz Hermann</t>
        </is>
      </c>
      <c r="N211" s="6">
        <f>HYPERLINK("https://www.kleinanzeigen.de/s-bestandsliste.html?userId=6110522", "Link")</f>
        <v/>
      </c>
      <c r="O211" s="7" t="n">
        <v>45562.74064814814</v>
      </c>
      <c r="P211" s="3" t="inlineStr">
        <is>
          <t>87.93</t>
        </is>
      </c>
      <c r="Q211" t="inlineStr">
        <is>
          <t>München</t>
        </is>
      </c>
    </row>
    <row r="212">
      <c r="A212" t="inlineStr">
        <is>
          <t xml:space="preserve">Dimensions </t>
        </is>
      </c>
      <c r="B212" t="inlineStr">
        <is>
          <t>JP Australia</t>
        </is>
      </c>
      <c r="C212" t="inlineStr">
        <is>
          <t>Slalom</t>
        </is>
      </c>
      <c r="D212" s="3" t="n">
        <v>97</v>
      </c>
      <c r="E212" t="inlineStr">
        <is>
          <t>2021</t>
        </is>
      </c>
      <c r="F212" s="4" t="n">
        <v>850</v>
      </c>
      <c r="G212" t="inlineStr"/>
      <c r="H212" t="inlineStr">
        <is>
          <t>22045 Wandsbek - Hamburg Tonndorf</t>
        </is>
      </c>
      <c r="I212" s="5" t="n">
        <v>45561</v>
      </c>
      <c r="J212" t="inlineStr"/>
      <c r="K212" s="6">
        <f>HYPERLINK("https://www.kleinanzeigen.de/s-anzeige/jp-australia-slalom-97l/2874658397-230-17135", "Link")</f>
        <v/>
      </c>
      <c r="L212" s="6">
        <f>HYPERLINK("C:\Projects\Kleinanzeigen-Scraper\offer_images\2874658397", "Link")</f>
        <v/>
      </c>
      <c r="M212" t="inlineStr">
        <is>
          <t>Nadia J.</t>
        </is>
      </c>
      <c r="N212" s="6">
        <f>HYPERLINK("https://www.kleinanzeigen.de/s-bestandsliste.html?userId=79389459", "Link")</f>
        <v/>
      </c>
      <c r="O212" s="7" t="n">
        <v>45562.74061342593</v>
      </c>
      <c r="P212" s="3" t="inlineStr">
        <is>
          <t>364.91</t>
        </is>
      </c>
      <c r="Q212" t="inlineStr">
        <is>
          <t>Köln</t>
        </is>
      </c>
    </row>
    <row r="213">
      <c r="A213" t="inlineStr">
        <is>
          <t>237 x 62</t>
        </is>
      </c>
      <c r="B213" t="inlineStr">
        <is>
          <t>Tabou 3S</t>
        </is>
      </c>
      <c r="C213" t="inlineStr">
        <is>
          <t>Freestyle</t>
        </is>
      </c>
      <c r="D213" s="3" t="n">
        <v>97</v>
      </c>
      <c r="E213" t="inlineStr"/>
      <c r="F213" s="4" t="n">
        <v>130</v>
      </c>
      <c r="G213" t="inlineStr">
        <is>
          <t>VB</t>
        </is>
      </c>
      <c r="H213" t="inlineStr">
        <is>
          <t>44789 Bochum - Bochum-Süd</t>
        </is>
      </c>
      <c r="I213" s="5" t="n">
        <v>45562</v>
      </c>
      <c r="J213" t="inlineStr"/>
      <c r="K213" s="6">
        <f>HYPERLINK("https://www.kleinanzeigen.de/s-anzeige/tabou-3s-97-windsurf-board/2875168985-230-1945", "Link")</f>
        <v/>
      </c>
      <c r="L213" s="6">
        <f>HYPERLINK("C:\Projects\Kleinanzeigen-Scraper\offer_images\2875168985", "Link")</f>
        <v/>
      </c>
      <c r="M213" t="inlineStr">
        <is>
          <t>Chris</t>
        </is>
      </c>
      <c r="N213" s="6">
        <f>HYPERLINK("https://www.kleinanzeigen.de/s-bestandsliste.html?userId=14084867", "Link")</f>
        <v/>
      </c>
      <c r="O213" s="7" t="n">
        <v>45562.74034722222</v>
      </c>
      <c r="P213" s="3" t="inlineStr">
        <is>
          <t>61.88</t>
        </is>
      </c>
      <c r="Q213" t="inlineStr">
        <is>
          <t>Köln</t>
        </is>
      </c>
    </row>
    <row r="214">
      <c r="A214" t="inlineStr">
        <is>
          <t>11.6x32</t>
        </is>
      </c>
      <c r="B214" t="inlineStr">
        <is>
          <t>Naish Alana</t>
        </is>
      </c>
      <c r="C214" t="inlineStr">
        <is>
          <t>Touring</t>
        </is>
      </c>
      <c r="D214" s="3" t="inlineStr"/>
      <c r="E214" t="inlineStr"/>
      <c r="F214" s="4" t="n">
        <v>529</v>
      </c>
      <c r="G214" t="inlineStr"/>
      <c r="H214" t="inlineStr">
        <is>
          <t>57489 Nordrhein-Westfalen - Drolshagen</t>
        </is>
      </c>
      <c r="I214" s="5" t="n">
        <v>45561</v>
      </c>
      <c r="J214" t="inlineStr"/>
      <c r="K214" s="6">
        <f>HYPERLINK("https://www.kleinanzeigen.de/s-anzeige/lagerverkauf-naish-alana-touring-11-6x32-sup-board/2874637051-230-1530", "Link")</f>
        <v/>
      </c>
      <c r="L214" s="6">
        <f>HYPERLINK("C:\Projects\Kleinanzeigen-Scraper\offer_images\2874637051", "Link")</f>
        <v/>
      </c>
      <c r="M214" t="inlineStr">
        <is>
          <t>key2fun</t>
        </is>
      </c>
      <c r="N214" s="6">
        <f>HYPERLINK("https://www.kleinanzeigen.de/s-bestandsliste.html?userId=68821592", "Link")</f>
        <v/>
      </c>
      <c r="O214" s="7" t="n">
        <v>45562.73920138889</v>
      </c>
      <c r="P214" s="3" t="inlineStr">
        <is>
          <t>58.85</t>
        </is>
      </c>
      <c r="Q214" t="inlineStr">
        <is>
          <t>Köln</t>
        </is>
      </c>
    </row>
    <row r="215">
      <c r="A215" t="inlineStr"/>
      <c r="B215" t="inlineStr">
        <is>
          <t>Fanatic New Wave</t>
        </is>
      </c>
      <c r="C215" t="inlineStr">
        <is>
          <t>Wave</t>
        </is>
      </c>
      <c r="D215" s="3" t="n">
        <v>83</v>
      </c>
      <c r="E215" t="inlineStr">
        <is>
          <t>2005</t>
        </is>
      </c>
      <c r="F215" s="4" t="n">
        <v>50</v>
      </c>
      <c r="G215" t="inlineStr">
        <is>
          <t>VB</t>
        </is>
      </c>
      <c r="H215" t="inlineStr">
        <is>
          <t>23769 Kreis Ostholstein - Fehmarn</t>
        </is>
      </c>
      <c r="I215" s="5" t="n">
        <v>45561</v>
      </c>
      <c r="J215" t="inlineStr"/>
      <c r="K215" s="6">
        <f>HYPERLINK("https://www.kleinanzeigen.de/s-anzeige/fanatic-new-wave-83-liter-windsurfboard-windsurfen-surfbrett/2874850173-230-19951", "Link")</f>
        <v/>
      </c>
      <c r="L215" s="6">
        <f>HYPERLINK("C:\Projects\Kleinanzeigen-Scraper\offer_images\2874850173", "Link")</f>
        <v/>
      </c>
      <c r="M215" t="inlineStr">
        <is>
          <t>Robert</t>
        </is>
      </c>
      <c r="N215" s="6">
        <f>HYPERLINK("https://www.kleinanzeigen.de/s-bestandsliste.html?userId=61536276", "Link")</f>
        <v/>
      </c>
      <c r="O215" s="7" t="n">
        <v>45562.73907407407</v>
      </c>
      <c r="P215" s="3" t="inlineStr">
        <is>
          <t>483.01</t>
        </is>
      </c>
      <c r="Q215" t="inlineStr">
        <is>
          <t>Köln</t>
        </is>
      </c>
    </row>
    <row r="216">
      <c r="A216" t="inlineStr">
        <is>
          <t>Length: 220 cm, Width: 65 cm</t>
        </is>
      </c>
      <c r="B216" t="inlineStr">
        <is>
          <t>Naish Freestyle Custom</t>
        </is>
      </c>
      <c r="C216" t="inlineStr">
        <is>
          <t>Freestyle</t>
        </is>
      </c>
      <c r="D216" s="3" t="n">
        <v>102</v>
      </c>
      <c r="E216" t="inlineStr">
        <is>
          <t>S26</t>
        </is>
      </c>
      <c r="F216" s="4" t="n">
        <v>999</v>
      </c>
      <c r="G216" t="inlineStr"/>
      <c r="H216" t="inlineStr">
        <is>
          <t>17192 Waren (Müritz), Berlin</t>
        </is>
      </c>
      <c r="I216" s="5" t="n">
        <v>45560</v>
      </c>
      <c r="J216" t="inlineStr"/>
      <c r="K216" s="6">
        <f>HYPERLINK("https://www.dailydose.de/kleinanzeigen/detail.htm?ai=423201&amp;cf=kk&amp;pg=3&amp;ci=11", "Link")</f>
        <v/>
      </c>
      <c r="L216" s="6">
        <f>HYPERLINK("C:\Projects\Kleinanzeigen-Scraper\offer_images\423201", "Link")</f>
        <v/>
      </c>
      <c r="M216" t="inlineStr">
        <is>
          <t>Katja_119</t>
        </is>
      </c>
      <c r="N216" s="6">
        <f>HYPERLINK("https://www.dailydose.de/kleinanzeigen/user/13230", "Link")</f>
        <v/>
      </c>
      <c r="O216" s="7" t="n">
        <v>45561.68090277778</v>
      </c>
      <c r="P216" s="3" t="inlineStr">
        <is>
          <t>486.42</t>
        </is>
      </c>
      <c r="Q216" t="inlineStr">
        <is>
          <t>Köln</t>
        </is>
      </c>
    </row>
    <row r="217">
      <c r="A217" t="inlineStr">
        <is>
          <t>2.48</t>
        </is>
      </c>
      <c r="B217" t="inlineStr">
        <is>
          <t>Starboard Acid</t>
        </is>
      </c>
      <c r="C217" t="inlineStr">
        <is>
          <t>Freestyle</t>
        </is>
      </c>
      <c r="D217" s="3" t="n">
        <v>74</v>
      </c>
      <c r="E217" t="inlineStr"/>
      <c r="F217" s="4" t="n">
        <v>60</v>
      </c>
      <c r="G217" t="inlineStr"/>
      <c r="H217" t="inlineStr">
        <is>
          <t>13053 Berlin</t>
        </is>
      </c>
      <c r="I217" s="5" t="n">
        <v>45561</v>
      </c>
      <c r="J217" t="inlineStr"/>
      <c r="K217" s="6">
        <f>HYPERLINK("https://www.dailydose.de/kleinanzeigen/detail.htm?ai=423217&amp;cf=kk&amp;pg=3&amp;ci=11", "Link")</f>
        <v/>
      </c>
      <c r="L217" s="6">
        <f>HYPERLINK("C:\Projects\Kleinanzeigen-Scraper\offer_images\423217", "Link")</f>
        <v/>
      </c>
      <c r="M217" t="inlineStr">
        <is>
          <t>DanielGO</t>
        </is>
      </c>
      <c r="N217" s="6">
        <f>HYPERLINK("https://www.dailydose.de/kleinanzeigen/user/26452", "Link")</f>
        <v/>
      </c>
      <c r="O217" s="7" t="n">
        <v>45561.68023148148</v>
      </c>
      <c r="P217" s="3" t="inlineStr">
        <is>
          <t>485.35</t>
        </is>
      </c>
      <c r="Q217" t="inlineStr">
        <is>
          <t>Köln</t>
        </is>
      </c>
    </row>
    <row r="218">
      <c r="A218" t="inlineStr"/>
      <c r="B218" t="inlineStr">
        <is>
          <t>Starboard Ignite</t>
        </is>
      </c>
      <c r="C218" t="inlineStr"/>
      <c r="D218" s="3" t="n">
        <v>93</v>
      </c>
      <c r="E218" t="inlineStr">
        <is>
          <t>2022</t>
        </is>
      </c>
      <c r="F218" s="4" t="n">
        <v>900</v>
      </c>
      <c r="G218" t="inlineStr"/>
      <c r="H218" t="inlineStr">
        <is>
          <t>88634 Herdwangen-Schönach</t>
        </is>
      </c>
      <c r="I218" s="5" t="n">
        <v>45560</v>
      </c>
      <c r="J218" t="inlineStr"/>
      <c r="K218" s="6">
        <f>HYPERLINK("https://www.dailydose.de/kleinanzeigen/detail.htm?ai=423179&amp;cf=kk&amp;pg=3&amp;ci=11", "Link")</f>
        <v/>
      </c>
      <c r="L218" s="6">
        <f>HYPERLINK("C:\Projects\Kleinanzeigen-Scraper\offer_images\423179", "Link")</f>
        <v/>
      </c>
      <c r="M218" t="inlineStr">
        <is>
          <t>IvanFrb</t>
        </is>
      </c>
      <c r="N218" s="6">
        <f>HYPERLINK("https://www.dailydose.de/kleinanzeigen/user/25918", "Link")</f>
        <v/>
      </c>
      <c r="O218" s="7" t="n">
        <v>45561.67982638889</v>
      </c>
      <c r="P218" s="3" t="inlineStr">
        <is>
          <t>62.58</t>
        </is>
      </c>
      <c r="Q218" t="inlineStr">
        <is>
          <t>Bonndorf</t>
        </is>
      </c>
    </row>
    <row r="219">
      <c r="A219" t="inlineStr">
        <is>
          <t>265 cm x 55 cm</t>
        </is>
      </c>
      <c r="B219" t="inlineStr">
        <is>
          <t>iBoard</t>
        </is>
      </c>
      <c r="C219" t="inlineStr">
        <is>
          <t>Freeride - Freemove - Wave</t>
        </is>
      </c>
      <c r="D219" s="3" t="n">
        <v>85</v>
      </c>
      <c r="E219" t="inlineStr"/>
      <c r="F219" s="4" t="n">
        <v>80</v>
      </c>
      <c r="G219" t="inlineStr">
        <is>
          <t>VB</t>
        </is>
      </c>
      <c r="H219" t="inlineStr">
        <is>
          <t>85301 Schweitenkirchen</t>
        </is>
      </c>
      <c r="I219" s="5" t="n">
        <v>45561</v>
      </c>
      <c r="J219" t="inlineStr"/>
      <c r="K219" s="6">
        <f>HYPERLINK("https://www.dailydose.de/kleinanzeigen/detail.htm?ai=423215&amp;cf=kk&amp;pg=3&amp;ci=11", "Link")</f>
        <v/>
      </c>
      <c r="L219" s="6">
        <f>HYPERLINK("C:\Projects\Kleinanzeigen-Scraper\offer_images\423215", "Link")</f>
        <v/>
      </c>
      <c r="M219" t="inlineStr">
        <is>
          <t>Michael Lau</t>
        </is>
      </c>
      <c r="N219" s="6">
        <f>HYPERLINK("https://www.dailydose.de/kleinanzeigen/user/16683", "Link")</f>
        <v/>
      </c>
      <c r="O219" s="7" t="n">
        <v>45561.67893518518</v>
      </c>
      <c r="P219" s="3" t="inlineStr">
        <is>
          <t>43.29</t>
        </is>
      </c>
      <c r="Q219" t="inlineStr">
        <is>
          <t>München</t>
        </is>
      </c>
    </row>
    <row r="220">
      <c r="A220" t="inlineStr">
        <is>
          <t>226cm x 60.5cm</t>
        </is>
      </c>
      <c r="B220" t="inlineStr">
        <is>
          <t>FLIKKA Thruster</t>
        </is>
      </c>
      <c r="C220" t="inlineStr">
        <is>
          <t>Freestyle</t>
        </is>
      </c>
      <c r="D220" s="3" t="n">
        <v>93</v>
      </c>
      <c r="E220" t="inlineStr"/>
      <c r="F220" s="4" t="n">
        <v>790</v>
      </c>
      <c r="G220" t="inlineStr"/>
      <c r="H220" t="inlineStr">
        <is>
          <t>71272 Renningen</t>
        </is>
      </c>
      <c r="I220" s="5" t="n">
        <v>45561</v>
      </c>
      <c r="J220" t="inlineStr"/>
      <c r="K220" s="6">
        <f>HYPERLINK("https://www.dailydose.de/kleinanzeigen/detail.htm?ai=423212&amp;cf=kk&amp;pg=3&amp;ci=11", "Link")</f>
        <v/>
      </c>
      <c r="L220" s="6">
        <f>HYPERLINK("C:\Projects\Kleinanzeigen-Scraper\offer_images\423212", "Link")</f>
        <v/>
      </c>
      <c r="M220" t="inlineStr">
        <is>
          <t>Marco_103</t>
        </is>
      </c>
      <c r="N220" s="6">
        <f>HYPERLINK("https://www.dailydose.de/kleinanzeigen/user/14838", "Link")</f>
        <v/>
      </c>
      <c r="O220" s="7" t="n">
        <v>45561.67884259259</v>
      </c>
      <c r="P220" s="3" t="inlineStr">
        <is>
          <t>11.07</t>
        </is>
      </c>
      <c r="Q220" t="inlineStr">
        <is>
          <t>Böblingen</t>
        </is>
      </c>
    </row>
    <row r="221">
      <c r="A221" t="inlineStr"/>
      <c r="B221" t="inlineStr">
        <is>
          <t>Starboard ACID</t>
        </is>
      </c>
      <c r="C221" t="inlineStr">
        <is>
          <t>Wave</t>
        </is>
      </c>
      <c r="D221" s="3" t="n">
        <v>80</v>
      </c>
      <c r="E221" t="inlineStr"/>
      <c r="F221" s="4" t="n">
        <v>45</v>
      </c>
      <c r="G221" t="inlineStr"/>
      <c r="H221" t="inlineStr">
        <is>
          <t>28217 Bremen</t>
        </is>
      </c>
      <c r="I221" s="5" t="n">
        <v>45560</v>
      </c>
      <c r="J221" t="inlineStr"/>
      <c r="K221" s="6">
        <f>HYPERLINK("https://www.dailydose.de/kleinanzeigen/detail.htm?ai=423180&amp;cf=kk&amp;pg=3&amp;ci=11", "Link")</f>
        <v/>
      </c>
      <c r="L221" s="6">
        <f>HYPERLINK("C:\Projects\Kleinanzeigen-Scraper\offer_images\423180", "Link")</f>
        <v/>
      </c>
      <c r="M221" t="inlineStr">
        <is>
          <t>Achim_72</t>
        </is>
      </c>
      <c r="N221" s="6">
        <f>HYPERLINK("https://www.dailydose.de/kleinanzeigen/user/2987", "Link")</f>
        <v/>
      </c>
      <c r="O221" s="7" t="n">
        <v>45561.67851851852</v>
      </c>
      <c r="P221" s="3" t="inlineStr">
        <is>
          <t>270.37</t>
        </is>
      </c>
      <c r="Q221" t="inlineStr">
        <is>
          <t>Köln</t>
        </is>
      </c>
    </row>
    <row r="222">
      <c r="A222" t="inlineStr">
        <is>
          <t>228.6 x 63</t>
        </is>
      </c>
      <c r="B222" t="inlineStr">
        <is>
          <t>Goya One</t>
        </is>
      </c>
      <c r="C222" t="inlineStr">
        <is>
          <t>Wave</t>
        </is>
      </c>
      <c r="D222" s="3" t="n">
        <v>95</v>
      </c>
      <c r="E222" t="inlineStr"/>
      <c r="F222" s="4" t="n">
        <v>340</v>
      </c>
      <c r="G222" t="inlineStr">
        <is>
          <t>VB</t>
        </is>
      </c>
      <c r="H222" t="inlineStr">
        <is>
          <t>44319 Dortmund - Wickede</t>
        </is>
      </c>
      <c r="I222" s="5" t="n">
        <v>45560</v>
      </c>
      <c r="J222" t="inlineStr"/>
      <c r="K222" s="6">
        <f>HYPERLINK("https://www.kleinanzeigen.de/s-anzeige/goya-one-95l-waveboard-thruster/2874042501-230-1093", "Link")</f>
        <v/>
      </c>
      <c r="L222" s="6">
        <f>HYPERLINK("C:\Projects\Kleinanzeigen-Scraper\offer_images\2874042501", "Link")</f>
        <v/>
      </c>
      <c r="M222" t="inlineStr">
        <is>
          <t>Jens</t>
        </is>
      </c>
      <c r="N222" s="6">
        <f>HYPERLINK("https://www.kleinanzeigen.de/s-bestandsliste.html?userId=15538173", "Link")</f>
        <v/>
      </c>
      <c r="O222" s="7" t="n">
        <v>45561.67736111111</v>
      </c>
      <c r="P222" s="3" t="inlineStr">
        <is>
          <t>80.44</t>
        </is>
      </c>
      <c r="Q222" t="inlineStr">
        <is>
          <t>Köln</t>
        </is>
      </c>
    </row>
    <row r="223">
      <c r="A223" t="inlineStr"/>
      <c r="B223" t="inlineStr">
        <is>
          <t>Tabou Pocket Wave</t>
        </is>
      </c>
      <c r="C223" t="inlineStr">
        <is>
          <t>Wave</t>
        </is>
      </c>
      <c r="D223" s="3" t="n">
        <v>97</v>
      </c>
      <c r="E223" t="inlineStr">
        <is>
          <t>2018</t>
        </is>
      </c>
      <c r="F223" s="4" t="n">
        <v>300</v>
      </c>
      <c r="G223" t="inlineStr"/>
      <c r="H223" t="inlineStr">
        <is>
          <t>23775 Kreis Ostholstein - Großenbrode</t>
        </is>
      </c>
      <c r="I223" s="5" t="n">
        <v>45560</v>
      </c>
      <c r="J223" t="inlineStr">
        <is>
          <t>Sold</t>
        </is>
      </c>
      <c r="K223" s="6">
        <f>HYPERLINK("https://www.kleinanzeigen.de/s-anzeige/tabou-pocket-wave-97-von-2018/2873774901-230-429", "Link")</f>
        <v/>
      </c>
      <c r="L223" s="6">
        <f>HYPERLINK("C:\Projects\Kleinanzeigen-Scraper\offer_images\2873774901", "Link")</f>
        <v/>
      </c>
      <c r="M223" t="inlineStr">
        <is>
          <t>heiligenhafen</t>
        </is>
      </c>
      <c r="N223" s="6">
        <f>HYPERLINK("https://www.kleinanzeigen.de/s-bestandsliste.html?userId=21083285", "Link")</f>
        <v/>
      </c>
      <c r="O223" s="7" t="n">
        <v>45561.67714120371</v>
      </c>
      <c r="P223" s="3" t="inlineStr">
        <is>
          <t>471.97</t>
        </is>
      </c>
      <c r="Q223" t="inlineStr">
        <is>
          <t>Köln</t>
        </is>
      </c>
    </row>
    <row r="224">
      <c r="A224" t="inlineStr"/>
      <c r="B224" t="inlineStr">
        <is>
          <t>Rrd Wave Thruster Limited Edition</t>
        </is>
      </c>
      <c r="C224" t="inlineStr">
        <is>
          <t>Wave</t>
        </is>
      </c>
      <c r="D224" s="3" t="n">
        <v>84</v>
      </c>
      <c r="E224" t="inlineStr"/>
      <c r="F224" s="4" t="n">
        <v>222</v>
      </c>
      <c r="G224" t="inlineStr">
        <is>
          <t>VB</t>
        </is>
      </c>
      <c r="H224" t="inlineStr">
        <is>
          <t>44319 Dortmund - Wickede</t>
        </is>
      </c>
      <c r="I224" s="5" t="n">
        <v>45560</v>
      </c>
      <c r="J224" t="inlineStr"/>
      <c r="K224" s="6">
        <f>HYPERLINK("https://www.kleinanzeigen.de/s-anzeige/rrd-wave-thruster-limited-edition-84l/2874038102-230-1093", "Link")</f>
        <v/>
      </c>
      <c r="L224" s="6">
        <f>HYPERLINK("C:\Projects\Kleinanzeigen-Scraper\offer_images\2874038102", "Link")</f>
        <v/>
      </c>
      <c r="M224" t="inlineStr">
        <is>
          <t>Jens</t>
        </is>
      </c>
      <c r="N224" s="6">
        <f>HYPERLINK("https://www.kleinanzeigen.de/s-bestandsliste.html?userId=15538173", "Link")</f>
        <v/>
      </c>
      <c r="O224" s="7" t="n">
        <v>45561.67707175926</v>
      </c>
      <c r="P224" s="3" t="inlineStr">
        <is>
          <t>80.44</t>
        </is>
      </c>
      <c r="Q224" t="inlineStr">
        <is>
          <t>Köln</t>
        </is>
      </c>
    </row>
    <row r="225">
      <c r="A225" t="inlineStr">
        <is>
          <t>220 cm</t>
        </is>
      </c>
      <c r="B225" t="inlineStr">
        <is>
          <t>Tabou</t>
        </is>
      </c>
      <c r="C225" t="inlineStr">
        <is>
          <t>Quad</t>
        </is>
      </c>
      <c r="D225" s="3" t="n">
        <v>91</v>
      </c>
      <c r="E225" t="inlineStr"/>
      <c r="F225" s="4" t="n">
        <v>100</v>
      </c>
      <c r="G225" t="inlineStr">
        <is>
          <t>VB</t>
        </is>
      </c>
      <c r="H225" t="inlineStr">
        <is>
          <t>53879 Nordrhein-Westfalen - Euskirchen</t>
        </is>
      </c>
      <c r="I225" s="5" t="n">
        <v>45384</v>
      </c>
      <c r="J225" t="inlineStr">
        <is>
          <t>Sold</t>
        </is>
      </c>
      <c r="K225" s="6">
        <f>HYPERLINK("https://www.kleinanzeigen.de/s-anzeige/surfboard-tabou/2723667450-230-1893", "Link")</f>
        <v/>
      </c>
      <c r="L225" s="6">
        <f>HYPERLINK("C:\Projects\Kleinanzeigen-Scraper\offer_images\2723667450", "Link")</f>
        <v/>
      </c>
      <c r="M225" t="inlineStr">
        <is>
          <t>Mangels</t>
        </is>
      </c>
      <c r="N225" s="6">
        <f>HYPERLINK("https://www.kleinanzeigen.de/s-bestandsliste.html?userId=1262248", "Link")</f>
        <v/>
      </c>
      <c r="O225" s="7" t="n">
        <v>45561.67667824074</v>
      </c>
      <c r="P225" s="3" t="inlineStr">
        <is>
          <t>33.78</t>
        </is>
      </c>
      <c r="Q225" t="inlineStr">
        <is>
          <t>Köln</t>
        </is>
      </c>
    </row>
    <row r="226">
      <c r="A226" t="inlineStr"/>
      <c r="B226" t="inlineStr">
        <is>
          <t>JP-Australia Slalom Pro</t>
        </is>
      </c>
      <c r="C226" t="inlineStr">
        <is>
          <t>Slalom</t>
        </is>
      </c>
      <c r="D226" s="3" t="n">
        <v>117</v>
      </c>
      <c r="E226" t="inlineStr">
        <is>
          <t>2023</t>
        </is>
      </c>
      <c r="F226" s="4" t="n">
        <v>1.4</v>
      </c>
      <c r="G226" t="inlineStr">
        <is>
          <t>VB</t>
        </is>
      </c>
      <c r="H226" t="inlineStr">
        <is>
          <t>24105 Schleswig-Holstein - Kiel</t>
        </is>
      </c>
      <c r="I226" s="5" t="n">
        <v>45560</v>
      </c>
      <c r="J226" t="inlineStr"/>
      <c r="K226" s="6">
        <f>HYPERLINK("https://www.kleinanzeigen.de/s-anzeige/jp-australia-slalom-pro-72-117liter-windsurf-slalom-board/2873975277-230-708", "Link")</f>
        <v/>
      </c>
      <c r="L226" s="6">
        <f>HYPERLINK("C:\Projects\Kleinanzeigen-Scraper\offer_images\2873975277", "Link")</f>
        <v/>
      </c>
      <c r="M226" t="inlineStr">
        <is>
          <t>Leo Richter</t>
        </is>
      </c>
      <c r="N226" s="6">
        <f>HYPERLINK("https://www.kleinanzeigen.de/s-bestandsliste.html?userId=56454387", "Link")</f>
        <v/>
      </c>
      <c r="O226" s="7" t="n">
        <v>45561.67658564815</v>
      </c>
      <c r="P226" s="3" t="inlineStr">
        <is>
          <t>435.05</t>
        </is>
      </c>
      <c r="Q226" t="inlineStr">
        <is>
          <t>Köln</t>
        </is>
      </c>
    </row>
    <row r="227">
      <c r="A227" t="inlineStr"/>
      <c r="B227" t="inlineStr">
        <is>
          <t>F2 Sunset Sport</t>
        </is>
      </c>
      <c r="C227" t="inlineStr"/>
      <c r="D227" s="3" t="n">
        <v>144</v>
      </c>
      <c r="E227" t="inlineStr">
        <is>
          <t>2024</t>
        </is>
      </c>
      <c r="F227" s="4" t="n">
        <v>839</v>
      </c>
      <c r="G227" t="inlineStr">
        <is>
          <t>VB</t>
        </is>
      </c>
      <c r="H227" t="inlineStr">
        <is>
          <t>26125 Niedersachsen - Oldenburg</t>
        </is>
      </c>
      <c r="I227" s="5" t="n">
        <v>45561</v>
      </c>
      <c r="J227" t="inlineStr"/>
      <c r="K227" s="6">
        <f>HYPERLINK("https://www.kleinanzeigen.de/s-anzeige/f2-windsurf-board-sunset-sport-inkl-bag-2024-144-l/2874553268-230-3111", "Link")</f>
        <v/>
      </c>
      <c r="L227" s="6">
        <f>HYPERLINK("C:\Projects\Kleinanzeigen-Scraper\offer_images\2874553268", "Link")</f>
        <v/>
      </c>
      <c r="M227" t="inlineStr">
        <is>
          <t>No user name</t>
        </is>
      </c>
      <c r="N227" s="6">
        <f>HYPERLINK("https://www.kleinanzeigen.deNo user link", "Link")</f>
        <v/>
      </c>
      <c r="O227" s="7" t="n">
        <v>45561.67626157407</v>
      </c>
      <c r="P227" s="3" t="inlineStr">
        <is>
          <t>264.10</t>
        </is>
      </c>
      <c r="Q227" t="inlineStr">
        <is>
          <t>Köln</t>
        </is>
      </c>
    </row>
    <row r="228">
      <c r="A228" t="inlineStr">
        <is>
          <t>125</t>
        </is>
      </c>
      <c r="B228" t="inlineStr">
        <is>
          <t>Tabou Rocket LTD</t>
        </is>
      </c>
      <c r="C228" t="inlineStr">
        <is>
          <t>Freeride</t>
        </is>
      </c>
      <c r="D228" s="3" t="n">
        <v>125</v>
      </c>
      <c r="E228" t="inlineStr"/>
      <c r="F228" s="4" t="n">
        <v>750</v>
      </c>
      <c r="G228" t="inlineStr"/>
      <c r="H228" t="inlineStr">
        <is>
          <t>87480 Bayern - Weitnau</t>
        </is>
      </c>
      <c r="I228" s="5" t="n">
        <v>45560</v>
      </c>
      <c r="J228" t="inlineStr"/>
      <c r="K228" s="6">
        <f>HYPERLINK("https://www.kleinanzeigen.de/s-anzeige/tabou-rocket-125-ltd/2873872286-230-7628", "Link")</f>
        <v/>
      </c>
      <c r="L228" s="6">
        <f>HYPERLINK("C:\Projects\Kleinanzeigen-Scraper\offer_images\2873872286", "Link")</f>
        <v/>
      </c>
      <c r="M228" t="inlineStr">
        <is>
          <t>Silvan</t>
        </is>
      </c>
      <c r="N228" s="6">
        <f>HYPERLINK("https://www.kleinanzeigen.de/s-bestandsliste.html?userId=81631153", "Link")</f>
        <v/>
      </c>
      <c r="O228" s="7" t="n">
        <v>45561.67625</v>
      </c>
      <c r="P228" s="3" t="inlineStr">
        <is>
          <t>121.15</t>
        </is>
      </c>
      <c r="Q228" t="inlineStr">
        <is>
          <t>München</t>
        </is>
      </c>
    </row>
    <row r="229">
      <c r="A229" t="inlineStr">
        <is>
          <t>282 cm x 69 cm</t>
        </is>
      </c>
      <c r="B229" t="inlineStr">
        <is>
          <t>BIC</t>
        </is>
      </c>
      <c r="C229" t="inlineStr"/>
      <c r="D229" s="3" t="n">
        <v>150</v>
      </c>
      <c r="E229" t="inlineStr"/>
      <c r="F229" s="4" t="n">
        <v>80</v>
      </c>
      <c r="G229" t="inlineStr">
        <is>
          <t>VB</t>
        </is>
      </c>
      <c r="H229" t="inlineStr">
        <is>
          <t>14169 Berlin - Zehlendorf</t>
        </is>
      </c>
      <c r="I229" s="5" t="n">
        <v>45561</v>
      </c>
      <c r="J229" t="inlineStr">
        <is>
          <t>Sold</t>
        </is>
      </c>
      <c r="K229" s="6">
        <f>HYPERLINK("https://www.kleinanzeigen.de/s-anzeige/bic-windsurf-surfboard-150-l/2874472257-230-3529", "Link")</f>
        <v/>
      </c>
      <c r="L229" s="6">
        <f>HYPERLINK("C:\Projects\Kleinanzeigen-Scraper\offer_images\2874472257", "Link")</f>
        <v/>
      </c>
      <c r="M229" t="inlineStr">
        <is>
          <t>Witte-Tabeau</t>
        </is>
      </c>
      <c r="N229" s="6">
        <f>HYPERLINK("https://www.kleinanzeigen.de/s-bestandsliste.html?userId=143466124", "Link")</f>
        <v/>
      </c>
      <c r="O229" s="7" t="n">
        <v>45561.6759837963</v>
      </c>
      <c r="P229" s="3" t="inlineStr">
        <is>
          <t>465.88</t>
        </is>
      </c>
      <c r="Q229" t="inlineStr">
        <is>
          <t>Köln</t>
        </is>
      </c>
    </row>
    <row r="230">
      <c r="A230" t="inlineStr">
        <is>
          <t>255 cm</t>
        </is>
      </c>
      <c r="B230" t="inlineStr">
        <is>
          <t>HiFly</t>
        </is>
      </c>
      <c r="C230" t="inlineStr">
        <is>
          <t>Wave/Slalom</t>
        </is>
      </c>
      <c r="D230" s="3" t="inlineStr"/>
      <c r="E230" t="inlineStr"/>
      <c r="F230" s="4" t="n">
        <v>80</v>
      </c>
      <c r="G230" t="inlineStr">
        <is>
          <t>VB</t>
        </is>
      </c>
      <c r="H230" t="inlineStr">
        <is>
          <t>67373 Speyer - Dudenhofen</t>
        </is>
      </c>
      <c r="I230" s="5" t="n">
        <v>45560</v>
      </c>
      <c r="J230" t="inlineStr"/>
      <c r="K230" s="6">
        <f>HYPERLINK("https://www.kleinanzeigen.de/s-anzeige/windsurf-wave-slalom-board-hifly-255-rx/2873356262-230-5368", "Link")</f>
        <v/>
      </c>
      <c r="L230" s="6">
        <f>HYPERLINK("C:\Projects\Kleinanzeigen-Scraper\offer_images\2873356262", "Link")</f>
        <v/>
      </c>
      <c r="M230" t="inlineStr">
        <is>
          <t>Uli</t>
        </is>
      </c>
      <c r="N230" s="6">
        <f>HYPERLINK("https://www.kleinanzeigen.de/s-bestandsliste.html?userId=92238343", "Link")</f>
        <v/>
      </c>
      <c r="O230" s="7" t="n">
        <v>45561.6758912037</v>
      </c>
      <c r="P230" s="3" t="inlineStr">
        <is>
          <t>34.41</t>
        </is>
      </c>
      <c r="Q230" t="inlineStr">
        <is>
          <t>Karlsruhe</t>
        </is>
      </c>
    </row>
    <row r="231">
      <c r="A231" t="inlineStr">
        <is>
          <t>265 cm x 57 cm</t>
        </is>
      </c>
      <c r="B231" t="inlineStr">
        <is>
          <t>Fanatic Ultra Gecko</t>
        </is>
      </c>
      <c r="C231" t="inlineStr"/>
      <c r="D231" s="3" t="n">
        <v>89</v>
      </c>
      <c r="E231" t="inlineStr"/>
      <c r="F231" s="4" t="n">
        <v>50</v>
      </c>
      <c r="G231" t="inlineStr">
        <is>
          <t>VB</t>
        </is>
      </c>
      <c r="H231" t="inlineStr">
        <is>
          <t>83714 Bayern - Miesbach</t>
        </is>
      </c>
      <c r="I231" s="5" t="n">
        <v>45561</v>
      </c>
      <c r="J231" t="inlineStr"/>
      <c r="K231" s="6">
        <f>HYPERLINK("https://www.kleinanzeigen.de/s-anzeige/fanatic-ultra-gecko-surfbrett/2874247738-230-5896", "Link")</f>
        <v/>
      </c>
      <c r="L231" s="6">
        <f>HYPERLINK("C:\Projects\Kleinanzeigen-Scraper\offer_images\2874247738", "Link")</f>
        <v/>
      </c>
      <c r="M231" t="inlineStr">
        <is>
          <t>Jürgen Steinborn</t>
        </is>
      </c>
      <c r="N231" s="6">
        <f>HYPERLINK("https://www.kleinanzeigen.de/s-bestandsliste.html?userId=12609122", "Link")</f>
        <v/>
      </c>
      <c r="O231" s="7" t="n">
        <v>45561.67572916667</v>
      </c>
      <c r="P231" s="3" t="inlineStr">
        <is>
          <t>41.62</t>
        </is>
      </c>
      <c r="Q231" t="inlineStr">
        <is>
          <t>München</t>
        </is>
      </c>
    </row>
    <row r="232">
      <c r="A232" t="inlineStr"/>
      <c r="B232" t="inlineStr">
        <is>
          <t>Tiga</t>
        </is>
      </c>
      <c r="C232" t="inlineStr"/>
      <c r="D232" s="3" t="n">
        <v>103</v>
      </c>
      <c r="E232" t="inlineStr"/>
      <c r="F232" s="4" t="n">
        <v>50</v>
      </c>
      <c r="G232" t="inlineStr">
        <is>
          <t>VB</t>
        </is>
      </c>
      <c r="H232" t="inlineStr">
        <is>
          <t>24119 Kiel - Kronshagen</t>
        </is>
      </c>
      <c r="I232" s="5" t="n">
        <v>45560</v>
      </c>
      <c r="J232" t="inlineStr"/>
      <c r="K232" s="6">
        <f>HYPERLINK("https://www.kleinanzeigen.de/s-anzeige/windsurf-board-103l/2874027444-230-705", "Link")</f>
        <v/>
      </c>
      <c r="L232" s="6">
        <f>HYPERLINK("C:\Projects\Kleinanzeigen-Scraper\offer_images\2874027444", "Link")</f>
        <v/>
      </c>
      <c r="M232" t="inlineStr">
        <is>
          <t>Hannah</t>
        </is>
      </c>
      <c r="N232" s="6">
        <f>HYPERLINK("https://www.kleinanzeigen.de/s-bestandsliste.html?userId=76150702", "Link")</f>
        <v/>
      </c>
      <c r="O232" s="7" t="n">
        <v>45561.67572916667</v>
      </c>
      <c r="P232" s="3" t="inlineStr">
        <is>
          <t>432.46</t>
        </is>
      </c>
      <c r="Q232" t="inlineStr">
        <is>
          <t>Köln</t>
        </is>
      </c>
    </row>
    <row r="233">
      <c r="A233" t="inlineStr"/>
      <c r="B233" t="inlineStr">
        <is>
          <t>NAISH Mana</t>
        </is>
      </c>
      <c r="C233" t="inlineStr">
        <is>
          <t>SUP</t>
        </is>
      </c>
      <c r="D233" s="3" t="inlineStr"/>
      <c r="E233" t="inlineStr">
        <is>
          <t>2023</t>
        </is>
      </c>
      <c r="F233" s="4" t="n">
        <v>1.095</v>
      </c>
      <c r="G233" t="inlineStr"/>
      <c r="H233" t="inlineStr">
        <is>
          <t>46485 Nordrhein-Westfalen - Wesel</t>
        </is>
      </c>
      <c r="I233" s="5" t="n">
        <v>45560</v>
      </c>
      <c r="J233" t="inlineStr"/>
      <c r="K233" s="6">
        <f>HYPERLINK("https://www.kleinanzeigen.de/s-anzeige/naish-mana-9-5-gtw-wood-sup-surf-wellenreiten-aus-2023-hardboard/2873721773-230-1866", "Link")</f>
        <v/>
      </c>
      <c r="L233" s="6">
        <f>HYPERLINK("C:\Projects\Kleinanzeigen-Scraper\offer_images\2873721773", "Link")</f>
        <v/>
      </c>
      <c r="M233" t="inlineStr">
        <is>
          <t>Pütz</t>
        </is>
      </c>
      <c r="N233" s="6">
        <f>HYPERLINK("https://www.kleinanzeigen.de/s-bestandsliste.html?userId=1764967", "Link")</f>
        <v/>
      </c>
      <c r="O233" s="7" t="n">
        <v>45561.67572916667</v>
      </c>
      <c r="P233" s="3" t="inlineStr">
        <is>
          <t>82.18</t>
        </is>
      </c>
      <c r="Q233" t="inlineStr">
        <is>
          <t>Köln</t>
        </is>
      </c>
    </row>
    <row r="234">
      <c r="A234" t="inlineStr"/>
      <c r="B234" t="inlineStr">
        <is>
          <t>Fanatic Freewave Team Edition</t>
        </is>
      </c>
      <c r="C234" t="inlineStr">
        <is>
          <t>Freeride</t>
        </is>
      </c>
      <c r="D234" s="3" t="n">
        <v>115</v>
      </c>
      <c r="E234" t="inlineStr">
        <is>
          <t>2023</t>
        </is>
      </c>
      <c r="F234" s="4" t="n">
        <v>1.35</v>
      </c>
      <c r="G234" t="inlineStr">
        <is>
          <t>VB</t>
        </is>
      </c>
      <c r="H234" t="inlineStr">
        <is>
          <t>24146 Kiel - Elmschenhagen-Kroog</t>
        </is>
      </c>
      <c r="I234" s="5" t="n">
        <v>45560</v>
      </c>
      <c r="J234" t="inlineStr"/>
      <c r="K234" s="6">
        <f>HYPERLINK("https://www.kleinanzeigen.de/s-anzeige/fanatic-freewave-team-edition-115-liter-2023-incl-k4-sidefins/2874026238-230-712", "Link")</f>
        <v/>
      </c>
      <c r="L234" s="6">
        <f>HYPERLINK("C:\Projects\Kleinanzeigen-Scraper\offer_images\2874026238", "Link")</f>
        <v/>
      </c>
      <c r="M234" t="inlineStr">
        <is>
          <t>Stefan</t>
        </is>
      </c>
      <c r="N234" s="6">
        <f>HYPERLINK("https://www.kleinanzeigen.de/s-bestandsliste.html?userId=467777", "Link")</f>
        <v/>
      </c>
      <c r="O234" s="7" t="n">
        <v>45561.67541666667</v>
      </c>
      <c r="P234" s="3" t="inlineStr">
        <is>
          <t>431.93</t>
        </is>
      </c>
      <c r="Q234" t="inlineStr">
        <is>
          <t>Köln</t>
        </is>
      </c>
    </row>
    <row r="235">
      <c r="A235" t="inlineStr">
        <is>
          <t>136x40 cm</t>
        </is>
      </c>
      <c r="B235" t="inlineStr">
        <is>
          <t>North Atmos Pro</t>
        </is>
      </c>
      <c r="C235" t="inlineStr"/>
      <c r="D235" s="3" t="inlineStr"/>
      <c r="E235" t="inlineStr">
        <is>
          <t>2024</t>
        </is>
      </c>
      <c r="F235" s="4" t="n">
        <v>575</v>
      </c>
      <c r="G235" t="inlineStr">
        <is>
          <t>VB</t>
        </is>
      </c>
      <c r="H235" t="inlineStr">
        <is>
          <t>78467 Baden-Württemberg - Konstanz</t>
        </is>
      </c>
      <c r="I235" s="5" t="n">
        <v>45560</v>
      </c>
      <c r="J235" t="inlineStr"/>
      <c r="K235" s="6">
        <f>HYPERLINK("https://www.kleinanzeigen.de/s-anzeige/north-atmos-pro-2024-in-136x40-cm/2826644432-230-9389", "Link")</f>
        <v/>
      </c>
      <c r="L235" s="6">
        <f>HYPERLINK("C:\Projects\Kleinanzeigen-Scraper\offer_images\2826644432", "Link")</f>
        <v/>
      </c>
      <c r="M235" t="inlineStr">
        <is>
          <t>Claude Sprenger</t>
        </is>
      </c>
      <c r="N235" s="6">
        <f>HYPERLINK("https://www.kleinanzeigen.de/s-bestandsliste.html?userId=30726372", "Link")</f>
        <v/>
      </c>
      <c r="O235" s="7" t="n">
        <v>45561.67462962963</v>
      </c>
      <c r="P235" s="3" t="inlineStr">
        <is>
          <t>62.51</t>
        </is>
      </c>
      <c r="Q235" t="inlineStr">
        <is>
          <t>Bonndorf</t>
        </is>
      </c>
    </row>
    <row r="236">
      <c r="A236" t="inlineStr">
        <is>
          <t>79</t>
        </is>
      </c>
      <c r="B236" t="inlineStr">
        <is>
          <t>Tabou DaCurve</t>
        </is>
      </c>
      <c r="C236" t="inlineStr">
        <is>
          <t>Wave</t>
        </is>
      </c>
      <c r="D236" s="3" t="inlineStr"/>
      <c r="E236" t="inlineStr"/>
      <c r="F236" s="4" t="n">
        <v>85</v>
      </c>
      <c r="G236" t="inlineStr">
        <is>
          <t>VB</t>
        </is>
      </c>
      <c r="H236" t="inlineStr">
        <is>
          <t>22391 Wandsbek - Hamburg Wellingsbüttel</t>
        </is>
      </c>
      <c r="I236" s="5" t="n">
        <v>45560</v>
      </c>
      <c r="J236" t="inlineStr"/>
      <c r="K236" s="6">
        <f>HYPERLINK("https://www.kleinanzeigen.de/s-anzeige/waveboard-windsurfen-tabou-dacurve-79-boardbag-finne/2873976055-230-9469", "Link")</f>
        <v/>
      </c>
      <c r="L236" s="6">
        <f>HYPERLINK("C:\Projects\Kleinanzeigen-Scraper\offer_images\2873976055", "Link")</f>
        <v/>
      </c>
      <c r="M236" t="inlineStr">
        <is>
          <t>Birger</t>
        </is>
      </c>
      <c r="N236" s="6">
        <f>HYPERLINK("https://www.kleinanzeigen.de/s-bestandsliste.html?userId=4119564", "Link")</f>
        <v/>
      </c>
      <c r="O236" s="7" t="n">
        <v>45561.67460648148</v>
      </c>
      <c r="P236" s="3" t="inlineStr">
        <is>
          <t>368.10</t>
        </is>
      </c>
      <c r="Q236" t="inlineStr">
        <is>
          <t>Köln</t>
        </is>
      </c>
    </row>
    <row r="237">
      <c r="A237" t="inlineStr">
        <is>
          <t>265</t>
        </is>
      </c>
      <c r="B237" t="inlineStr">
        <is>
          <t>Fanatic Pure Gecko</t>
        </is>
      </c>
      <c r="C237" t="inlineStr">
        <is>
          <t>Freeride</t>
        </is>
      </c>
      <c r="D237" s="3" t="n">
        <v>89</v>
      </c>
      <c r="E237" t="inlineStr"/>
      <c r="F237" s="4" t="n">
        <v>90</v>
      </c>
      <c r="G237" t="inlineStr">
        <is>
          <t>VB</t>
        </is>
      </c>
      <c r="H237" t="inlineStr">
        <is>
          <t>32760 Nordrhein-Westfalen - Detmold</t>
        </is>
      </c>
      <c r="I237" s="5" t="n">
        <v>45561</v>
      </c>
      <c r="J237" t="inlineStr"/>
      <c r="K237" s="6">
        <f>HYPERLINK("https://www.kleinanzeigen.de/s-anzeige/surfbrett-fanatic-pure-gecko-mit-tasche-laenge-265-89-liter/2874356395-230-1795", "Link")</f>
        <v/>
      </c>
      <c r="L237" s="6">
        <f>HYPERLINK("C:\Projects\Kleinanzeigen-Scraper\offer_images\2874356395", "Link")</f>
        <v/>
      </c>
      <c r="M237" t="inlineStr">
        <is>
          <t>Klaus L.</t>
        </is>
      </c>
      <c r="N237" s="6">
        <f>HYPERLINK("https://www.kleinanzeigen.de/s-bestandsliste.html?userId=21417271", "Link")</f>
        <v/>
      </c>
      <c r="O237" s="7" t="n">
        <v>45561.67388888889</v>
      </c>
      <c r="P237" s="3" t="inlineStr">
        <is>
          <t>172.40</t>
        </is>
      </c>
      <c r="Q237" t="inlineStr">
        <is>
          <t>Köln</t>
        </is>
      </c>
    </row>
    <row r="238">
      <c r="A238" t="inlineStr">
        <is>
          <t>Dimensions not specified</t>
        </is>
      </c>
      <c r="B238" t="inlineStr">
        <is>
          <t>JP-Australia Slalom Pro</t>
        </is>
      </c>
      <c r="C238" t="inlineStr">
        <is>
          <t>Slalom</t>
        </is>
      </c>
      <c r="D238" s="3" t="n">
        <v>117</v>
      </c>
      <c r="E238" t="inlineStr">
        <is>
          <t>2023</t>
        </is>
      </c>
      <c r="F238" s="4" t="n">
        <v>1.3</v>
      </c>
      <c r="G238" t="inlineStr">
        <is>
          <t>VB</t>
        </is>
      </c>
      <c r="H238" t="inlineStr">
        <is>
          <t>24105 Schleswig-Holstein - Kiel</t>
        </is>
      </c>
      <c r="I238" s="5" t="n">
        <v>45560</v>
      </c>
      <c r="J238" t="inlineStr"/>
      <c r="K238" s="6">
        <f>HYPERLINK("https://www.kleinanzeigen.de/s-anzeige/jp-australia-slalom-pro-72-117liter-windsurf-slalom-board/2873989013-230-708", "Link")</f>
        <v/>
      </c>
      <c r="L238" s="6">
        <f>HYPERLINK("C:\Projects\Kleinanzeigen-Scraper\offer_images\2873989013", "Link")</f>
        <v/>
      </c>
      <c r="M238" t="inlineStr">
        <is>
          <t>Leo Richter</t>
        </is>
      </c>
      <c r="N238" s="6">
        <f>HYPERLINK("https://www.kleinanzeigen.de/s-bestandsliste.html?userId=56454387", "Link")</f>
        <v/>
      </c>
      <c r="O238" s="7" t="n">
        <v>45561.67376157407</v>
      </c>
      <c r="P238" s="3" t="inlineStr">
        <is>
          <t>435.05</t>
        </is>
      </c>
      <c r="Q238" t="inlineStr">
        <is>
          <t>Köln</t>
        </is>
      </c>
    </row>
    <row r="239">
      <c r="A239" t="inlineStr">
        <is>
          <t>220 cm</t>
        </is>
      </c>
      <c r="B239" t="inlineStr">
        <is>
          <t>Fanatic Mamba TE</t>
        </is>
      </c>
      <c r="C239" t="inlineStr"/>
      <c r="D239" s="3" t="n">
        <v>94</v>
      </c>
      <c r="E239" t="inlineStr">
        <is>
          <t>2022</t>
        </is>
      </c>
      <c r="F239" s="4" t="n">
        <v>1.25</v>
      </c>
      <c r="G239" t="inlineStr">
        <is>
          <t>VB</t>
        </is>
      </c>
      <c r="H239" t="inlineStr">
        <is>
          <t>46284 Nordrhein-Westfalen - Dorsten</t>
        </is>
      </c>
      <c r="I239" s="5" t="n">
        <v>45560</v>
      </c>
      <c r="J239" t="inlineStr"/>
      <c r="K239" s="6">
        <f>HYPERLINK("https://www.kleinanzeigen.de/s-anzeige/fanatic-mamba-te-94-l-neu/2873887945-230-1759", "Link")</f>
        <v/>
      </c>
      <c r="L239" s="6">
        <f>HYPERLINK("C:\Projects\Kleinanzeigen-Scraper\offer_images\2873887945", "Link")</f>
        <v/>
      </c>
      <c r="M239" t="inlineStr">
        <is>
          <t>JR</t>
        </is>
      </c>
      <c r="N239" s="6">
        <f>HYPERLINK("https://www.kleinanzeigen.de/s-bestandsliste.html?userId=35300013", "Link")</f>
        <v/>
      </c>
      <c r="O239" s="7" t="n">
        <v>45561.67362268519</v>
      </c>
      <c r="P239" s="3" t="inlineStr">
        <is>
          <t>82.44</t>
        </is>
      </c>
      <c r="Q239" t="inlineStr">
        <is>
          <t>Köln</t>
        </is>
      </c>
    </row>
    <row r="240">
      <c r="A240" t="inlineStr">
        <is>
          <t>Length: 225 cm, Width: 60 cm</t>
        </is>
      </c>
      <c r="B240" t="inlineStr">
        <is>
          <t>Fanatic Grip TE</t>
        </is>
      </c>
      <c r="C240" t="inlineStr">
        <is>
          <t>Freestyle</t>
        </is>
      </c>
      <c r="D240" s="3" t="n">
        <v>86</v>
      </c>
      <c r="E240" t="inlineStr"/>
      <c r="F240" s="4" t="n">
        <v>950</v>
      </c>
      <c r="G240" t="inlineStr">
        <is>
          <t>VB</t>
        </is>
      </c>
      <c r="H240" t="inlineStr">
        <is>
          <t>46284 Nordrhein-Westfalen - Dorsten</t>
        </is>
      </c>
      <c r="I240" s="5" t="n">
        <v>45560</v>
      </c>
      <c r="J240" t="inlineStr"/>
      <c r="K240" s="6">
        <f>HYPERLINK("https://www.kleinanzeigen.de/s-anzeige/fanatic-grip-te-86-l-neuwertig/2873896749-230-1759", "Link")</f>
        <v/>
      </c>
      <c r="L240" s="6">
        <f>HYPERLINK("C:\Projects\Kleinanzeigen-Scraper\offer_images\2873896749", "Link")</f>
        <v/>
      </c>
      <c r="M240" t="inlineStr">
        <is>
          <t>JR</t>
        </is>
      </c>
      <c r="N240" s="6">
        <f>HYPERLINK("https://www.kleinanzeigen.de/s-bestandsliste.html?userId=35300013", "Link")</f>
        <v/>
      </c>
      <c r="O240" s="7" t="n">
        <v>45561.67362268519</v>
      </c>
      <c r="P240" s="3" t="inlineStr">
        <is>
          <t>82.44</t>
        </is>
      </c>
      <c r="Q240" t="inlineStr">
        <is>
          <t>Köln</t>
        </is>
      </c>
    </row>
    <row r="241">
      <c r="A241" t="inlineStr"/>
      <c r="B241" t="inlineStr">
        <is>
          <t>F2 Rebel Pro</t>
        </is>
      </c>
      <c r="C241" t="inlineStr"/>
      <c r="D241" s="3" t="n">
        <v>125</v>
      </c>
      <c r="E241" t="inlineStr">
        <is>
          <t>2024</t>
        </is>
      </c>
      <c r="F241" s="4" t="n">
        <v>1.109</v>
      </c>
      <c r="G241" t="inlineStr">
        <is>
          <t>VB</t>
        </is>
      </c>
      <c r="H241" t="inlineStr">
        <is>
          <t>26125 Niedersachsen - Oldenburg</t>
        </is>
      </c>
      <c r="I241" s="5" t="n">
        <v>45561</v>
      </c>
      <c r="J241" t="inlineStr"/>
      <c r="K241" s="6">
        <f>HYPERLINK("https://www.kleinanzeigen.de/s-anzeige/f2-windsurf-board-rebel-pro-inkl-bag-2024-125-l/2874552885-230-3111", "Link")</f>
        <v/>
      </c>
      <c r="L241" s="6">
        <f>HYPERLINK("C:\Projects\Kleinanzeigen-Scraper\offer_images\2874552885", "Link")</f>
        <v/>
      </c>
      <c r="M241" t="inlineStr">
        <is>
          <t>No user name</t>
        </is>
      </c>
      <c r="N241" s="6">
        <f>HYPERLINK("https://www.kleinanzeigen.deNo user link", "Link")</f>
        <v/>
      </c>
      <c r="O241" s="7" t="n">
        <v>45561.67348379629</v>
      </c>
      <c r="P241" s="3" t="inlineStr">
        <is>
          <t>264.10</t>
        </is>
      </c>
      <c r="Q241" t="inlineStr">
        <is>
          <t>Köln</t>
        </is>
      </c>
    </row>
    <row r="242">
      <c r="A242" t="inlineStr"/>
      <c r="B242" t="inlineStr">
        <is>
          <t>F2 Sunset Sport</t>
        </is>
      </c>
      <c r="C242" t="inlineStr"/>
      <c r="D242" s="3" t="n">
        <v>136</v>
      </c>
      <c r="E242" t="inlineStr">
        <is>
          <t>2024</t>
        </is>
      </c>
      <c r="F242" s="4" t="n">
        <v>839</v>
      </c>
      <c r="G242" t="inlineStr">
        <is>
          <t>VB</t>
        </is>
      </c>
      <c r="H242" t="inlineStr">
        <is>
          <t>26125 Niedersachsen - Oldenburg</t>
        </is>
      </c>
      <c r="I242" s="5" t="n">
        <v>45561</v>
      </c>
      <c r="J242" t="inlineStr"/>
      <c r="K242" s="6">
        <f>HYPERLINK("https://www.kleinanzeigen.de/s-anzeige/f2-windsurf-board-sunset-sport-inkl-bag-2024-136-l/2874553092-230-3111", "Link")</f>
        <v/>
      </c>
      <c r="L242" s="6">
        <f>HYPERLINK("C:\Projects\Kleinanzeigen-Scraper\offer_images\2874553092", "Link")</f>
        <v/>
      </c>
      <c r="M242" t="inlineStr">
        <is>
          <t>No user name</t>
        </is>
      </c>
      <c r="N242" s="6">
        <f>HYPERLINK("https://www.kleinanzeigen.deNo user link", "Link")</f>
        <v/>
      </c>
      <c r="O242" s="7" t="n">
        <v>45561.67348379629</v>
      </c>
      <c r="P242" s="3" t="inlineStr">
        <is>
          <t>264.10</t>
        </is>
      </c>
      <c r="Q242" t="inlineStr">
        <is>
          <t>Köln</t>
        </is>
      </c>
    </row>
    <row r="243">
      <c r="A243" t="inlineStr"/>
      <c r="B243" t="inlineStr">
        <is>
          <t>360 Evolution</t>
        </is>
      </c>
      <c r="C243" t="inlineStr"/>
      <c r="D243" s="3" t="n">
        <v>155</v>
      </c>
      <c r="E243" t="inlineStr"/>
      <c r="F243" s="4" t="n">
        <v>550</v>
      </c>
      <c r="G243" t="inlineStr">
        <is>
          <t>VB</t>
        </is>
      </c>
      <c r="H243" t="inlineStr">
        <is>
          <t>24321 Schleswig-Holstein - Lütjenburg</t>
        </is>
      </c>
      <c r="I243" s="5" t="n">
        <v>45560</v>
      </c>
      <c r="J243" t="inlineStr"/>
      <c r="K243" s="6">
        <f>HYPERLINK("https://www.kleinanzeigen.de/s-anzeige/bord-windsurfen/2873270846-230-10594", "Link")</f>
        <v/>
      </c>
      <c r="L243" s="6">
        <f>HYPERLINK("C:\Projects\Kleinanzeigen-Scraper\offer_images\2873270846", "Link")</f>
        <v/>
      </c>
      <c r="M243" t="inlineStr">
        <is>
          <t>T.V.</t>
        </is>
      </c>
      <c r="N243" s="6">
        <f>HYPERLINK("https://www.kleinanzeigen.de/s-bestandsliste.html?userId=2927265", "Link")</f>
        <v/>
      </c>
      <c r="O243" s="7" t="n">
        <v>45561.6733912037</v>
      </c>
      <c r="P243" s="3" t="inlineStr">
        <is>
          <t>446.03</t>
        </is>
      </c>
      <c r="Q243" t="inlineStr">
        <is>
          <t>Köln</t>
        </is>
      </c>
    </row>
    <row r="244">
      <c r="A244" t="inlineStr">
        <is>
          <t xml:space="preserve">Dimensions </t>
        </is>
      </c>
      <c r="B244" t="inlineStr">
        <is>
          <t>JP-Australia Slalom Pro</t>
        </is>
      </c>
      <c r="C244" t="inlineStr">
        <is>
          <t>Slalom</t>
        </is>
      </c>
      <c r="D244" s="3" t="n">
        <v>97</v>
      </c>
      <c r="E244" t="inlineStr">
        <is>
          <t>2023</t>
        </is>
      </c>
      <c r="F244" s="4" t="n">
        <v>1.4</v>
      </c>
      <c r="G244" t="inlineStr">
        <is>
          <t>VB</t>
        </is>
      </c>
      <c r="H244" t="inlineStr">
        <is>
          <t>24105 Schleswig-Holstein - Kiel</t>
        </is>
      </c>
      <c r="I244" s="5" t="n">
        <v>45560</v>
      </c>
      <c r="J244" t="inlineStr"/>
      <c r="K244" s="6">
        <f>HYPERLINK("https://www.kleinanzeigen.de/s-anzeige/jp-australia-slalom-pro-62-5-97liter-windsurf-slalom-board/2873993413-230-708", "Link")</f>
        <v/>
      </c>
      <c r="L244" s="6">
        <f>HYPERLINK("C:\Projects\Kleinanzeigen-Scraper\offer_images\2873993413", "Link")</f>
        <v/>
      </c>
      <c r="M244" t="inlineStr">
        <is>
          <t>Leo Richter</t>
        </is>
      </c>
      <c r="N244" s="6">
        <f>HYPERLINK("https://www.kleinanzeigen.de/s-bestandsliste.html?userId=56454387", "Link")</f>
        <v/>
      </c>
      <c r="O244" s="7" t="n">
        <v>45561.6733912037</v>
      </c>
      <c r="P244" s="3" t="inlineStr">
        <is>
          <t>435.05</t>
        </is>
      </c>
      <c r="Q244" t="inlineStr">
        <is>
          <t>Köln</t>
        </is>
      </c>
    </row>
    <row r="245">
      <c r="A245" t="inlineStr">
        <is>
          <t>12'0" x 34"</t>
        </is>
      </c>
      <c r="B245" t="inlineStr">
        <is>
          <t>RRD Air Touer</t>
        </is>
      </c>
      <c r="C245" t="inlineStr"/>
      <c r="D245" s="3" t="n">
        <v>340</v>
      </c>
      <c r="E245" t="inlineStr">
        <is>
          <t>2024</t>
        </is>
      </c>
      <c r="F245" s="4" t="n">
        <v>949</v>
      </c>
      <c r="G245" t="inlineStr"/>
      <c r="H245" t="inlineStr">
        <is>
          <t>85521 Kr. München - Ottobrunn</t>
        </is>
      </c>
      <c r="I245" s="5" t="n">
        <v>45560</v>
      </c>
      <c r="J245" t="inlineStr"/>
      <c r="K245" s="6">
        <f>HYPERLINK("https://www.kleinanzeigen.de/s-anzeige/isup-rrd-air-touer-12-0-x-34-2024-neu/2874034026-230-15597", "Link")</f>
        <v/>
      </c>
      <c r="L245" s="6">
        <f>HYPERLINK("C:\Projects\Kleinanzeigen-Scraper\offer_images\2874034026", "Link")</f>
        <v/>
      </c>
      <c r="M245" t="inlineStr">
        <is>
          <t>Dieter Raditsch</t>
        </is>
      </c>
      <c r="N245" s="6">
        <f>HYPERLINK("https://www.kleinanzeigen.de/s-bestandsliste.html?userId=123269547", "Link")</f>
        <v/>
      </c>
      <c r="O245" s="7" t="n">
        <v>45561.67322916666</v>
      </c>
      <c r="P245" s="3" t="inlineStr">
        <is>
          <t>11.05</t>
        </is>
      </c>
      <c r="Q245" t="inlineStr">
        <is>
          <t>München</t>
        </is>
      </c>
    </row>
    <row r="246">
      <c r="A246" t="inlineStr">
        <is>
          <t>5'10</t>
        </is>
      </c>
      <c r="B246" t="inlineStr">
        <is>
          <t>North Quest TT</t>
        </is>
      </c>
      <c r="C246" t="inlineStr">
        <is>
          <t>Wave</t>
        </is>
      </c>
      <c r="D246" s="3" t="inlineStr"/>
      <c r="E246" t="inlineStr"/>
      <c r="F246" s="4" t="n">
        <v>500</v>
      </c>
      <c r="G246" t="inlineStr">
        <is>
          <t>VB</t>
        </is>
      </c>
      <c r="H246" t="inlineStr">
        <is>
          <t>10589 Berlin - Charlottenburg</t>
        </is>
      </c>
      <c r="I246" s="5" t="n">
        <v>45561</v>
      </c>
      <c r="J246" t="inlineStr">
        <is>
          <t>Sold</t>
        </is>
      </c>
      <c r="K246" s="6">
        <f>HYPERLINK("https://www.kleinanzeigen.de/s-anzeige/waveboard-north-quest-tt/2874462444-230-3345", "Link")</f>
        <v/>
      </c>
      <c r="L246" s="6">
        <f>HYPERLINK("C:\Projects\Kleinanzeigen-Scraper\offer_images\2874462444", "Link")</f>
        <v/>
      </c>
      <c r="M246" t="inlineStr">
        <is>
          <t>jamoju.ng</t>
        </is>
      </c>
      <c r="N246" s="6">
        <f>HYPERLINK("https://www.kleinanzeigen.de/s-bestandsliste.html?userId=133975027", "Link")</f>
        <v/>
      </c>
      <c r="O246" s="7" t="n">
        <v>45561.67299768519</v>
      </c>
      <c r="P246" s="3" t="inlineStr">
        <is>
          <t>471.71</t>
        </is>
      </c>
      <c r="Q246" t="inlineStr">
        <is>
          <t>Köln</t>
        </is>
      </c>
    </row>
    <row r="247">
      <c r="A247" t="inlineStr">
        <is>
          <t>426x66x15</t>
        </is>
      </c>
      <c r="B247" t="inlineStr">
        <is>
          <t>RRD Air Race V2</t>
        </is>
      </c>
      <c r="C247" t="inlineStr">
        <is>
          <t>Race</t>
        </is>
      </c>
      <c r="D247" s="3" t="inlineStr"/>
      <c r="E247" t="inlineStr"/>
      <c r="F247" s="4" t="n">
        <v>550</v>
      </c>
      <c r="G247" t="inlineStr"/>
      <c r="H247" t="inlineStr">
        <is>
          <t>79112 Baden-Württemberg - Freiburg im Breisgau</t>
        </is>
      </c>
      <c r="I247" s="5" t="n">
        <v>45560</v>
      </c>
      <c r="J247" t="inlineStr"/>
      <c r="K247" s="6">
        <f>HYPERLINK("https://www.kleinanzeigen.de/s-anzeige/sup-board-rrd-air-race-v2-gebraucht-sehr-gut/2873963862-230-8619", "Link")</f>
        <v/>
      </c>
      <c r="L247" s="6">
        <f>HYPERLINK("C:\Projects\Kleinanzeigen-Scraper\offer_images\2873963862", "Link")</f>
        <v/>
      </c>
      <c r="M247" t="inlineStr">
        <is>
          <t>SB</t>
        </is>
      </c>
      <c r="N247" s="6">
        <f>HYPERLINK("https://www.kleinanzeigen.de/s-bestandsliste.html?userId=2716176", "Link")</f>
        <v/>
      </c>
      <c r="O247" s="7" t="n">
        <v>45561.67230324074</v>
      </c>
      <c r="P247" s="3" t="inlineStr">
        <is>
          <t>50.73</t>
        </is>
      </c>
      <c r="Q247" t="inlineStr">
        <is>
          <t>Bonndorf</t>
        </is>
      </c>
    </row>
    <row r="248">
      <c r="A248" t="inlineStr">
        <is>
          <t>11'6" - 31" - 6"</t>
        </is>
      </c>
      <c r="B248" t="inlineStr">
        <is>
          <t>Fanatic Ray Air Premium</t>
        </is>
      </c>
      <c r="C248" t="inlineStr"/>
      <c r="D248" s="3" t="n">
        <v>299</v>
      </c>
      <c r="E248" t="inlineStr"/>
      <c r="F248" s="4" t="n">
        <v>450</v>
      </c>
      <c r="G248" t="inlineStr"/>
      <c r="H248" t="inlineStr">
        <is>
          <t>81379 Sendling - Obersendling</t>
        </is>
      </c>
      <c r="I248" s="5" t="n">
        <v>45560</v>
      </c>
      <c r="J248" t="inlineStr"/>
      <c r="K248" s="6">
        <f>HYPERLINK("https://www.kleinanzeigen.de/s-anzeige/fanatic-ray-air-premium-11-6-paddle-carbon-25-adjustable/2873998593-230-9618", "Link")</f>
        <v/>
      </c>
      <c r="L248" s="6">
        <f>HYPERLINK("C:\Projects\Kleinanzeigen-Scraper\offer_images\2873998593", "Link")</f>
        <v/>
      </c>
      <c r="M248" t="inlineStr">
        <is>
          <t>Yohann Mesmer-Dudons</t>
        </is>
      </c>
      <c r="N248" s="6">
        <f>HYPERLINK("https://www.kleinanzeigen.de/s-bestandsliste.html?userId=144637132", "Link")</f>
        <v/>
      </c>
      <c r="O248" s="7" t="n">
        <v>45561.67181712963</v>
      </c>
      <c r="P248" s="3" t="inlineStr">
        <is>
          <t>5.49</t>
        </is>
      </c>
      <c r="Q248" t="inlineStr">
        <is>
          <t>München</t>
        </is>
      </c>
    </row>
    <row r="249">
      <c r="A249" t="inlineStr"/>
      <c r="B249" t="inlineStr">
        <is>
          <t>F2</t>
        </is>
      </c>
      <c r="C249" t="inlineStr">
        <is>
          <t>Twin Sport</t>
        </is>
      </c>
      <c r="D249" s="3" t="n">
        <v>136</v>
      </c>
      <c r="E249" t="inlineStr">
        <is>
          <t>2024</t>
        </is>
      </c>
      <c r="F249" s="4" t="n">
        <v>839</v>
      </c>
      <c r="G249" t="inlineStr">
        <is>
          <t>VB</t>
        </is>
      </c>
      <c r="H249" t="inlineStr">
        <is>
          <t>26125 Niedersachsen - Oldenburg</t>
        </is>
      </c>
      <c r="I249" s="5" t="n">
        <v>45561</v>
      </c>
      <c r="J249" t="inlineStr"/>
      <c r="K249" s="6">
        <f>HYPERLINK("https://www.kleinanzeigen.de/s-anzeige/f2-windsurf-board-vegas-twin-sport-bag-2024-136l/2874553427-230-3111", "Link")</f>
        <v/>
      </c>
      <c r="L249" s="6">
        <f>HYPERLINK("C:\Projects\Kleinanzeigen-Scraper\offer_images\2874553427", "Link")</f>
        <v/>
      </c>
      <c r="M249" t="inlineStr">
        <is>
          <t>No user name</t>
        </is>
      </c>
      <c r="N249" s="6">
        <f>HYPERLINK("https://www.kleinanzeigen.deNo user link", "Link")</f>
        <v/>
      </c>
      <c r="O249" s="7" t="n">
        <v>45561.67177083333</v>
      </c>
      <c r="P249" s="3" t="inlineStr">
        <is>
          <t>264.10</t>
        </is>
      </c>
      <c r="Q249" t="inlineStr">
        <is>
          <t>Köln</t>
        </is>
      </c>
    </row>
    <row r="250">
      <c r="A250" t="inlineStr">
        <is>
          <t>268 x 66 cm</t>
        </is>
      </c>
      <c r="B250" t="inlineStr">
        <is>
          <t>Starboard Carve</t>
        </is>
      </c>
      <c r="C250" t="inlineStr">
        <is>
          <t>Freeride</t>
        </is>
      </c>
      <c r="D250" s="3" t="n">
        <v>123</v>
      </c>
      <c r="E250" t="inlineStr"/>
      <c r="F250" s="4" t="n">
        <v>250</v>
      </c>
      <c r="G250" t="inlineStr">
        <is>
          <t>VB</t>
        </is>
      </c>
      <c r="H250" t="inlineStr">
        <is>
          <t>22761 Altona - Hamburg Bahrenfeld</t>
        </is>
      </c>
      <c r="I250" s="5" t="n">
        <v>45481</v>
      </c>
      <c r="J250" t="inlineStr">
        <is>
          <t>Sold</t>
        </is>
      </c>
      <c r="K250" s="6">
        <f>HYPERLINK("https://www.kleinanzeigen.de/s-anzeige/windsurfboard-starboard-carve-123-l/2807250498-230-9503", "Link")</f>
        <v/>
      </c>
      <c r="L250" s="6">
        <f>HYPERLINK("C:\Projects\Kleinanzeigen-Scraper\offer_images\2807250498", "Link")</f>
        <v/>
      </c>
      <c r="M250" t="inlineStr">
        <is>
          <t>Mandy</t>
        </is>
      </c>
      <c r="N250" s="6">
        <f>HYPERLINK("https://www.kleinanzeigen.de/s-bestandsliste.html?userId=43720016", "Link")</f>
        <v/>
      </c>
      <c r="O250" s="7" t="n">
        <v>45561.67126157408</v>
      </c>
      <c r="P250" s="3" t="inlineStr">
        <is>
          <t>354.92</t>
        </is>
      </c>
      <c r="Q250" t="inlineStr">
        <is>
          <t>Köln</t>
        </is>
      </c>
    </row>
    <row r="251">
      <c r="A251" t="inlineStr">
        <is>
          <t>239 x 77</t>
        </is>
      </c>
      <c r="B251" t="inlineStr">
        <is>
          <t>FANATIC GECKO</t>
        </is>
      </c>
      <c r="C251" t="inlineStr">
        <is>
          <t>Freeride</t>
        </is>
      </c>
      <c r="D251" s="3" t="n">
        <v>120</v>
      </c>
      <c r="E251" t="inlineStr"/>
      <c r="F251" s="4" t="n">
        <v>400</v>
      </c>
      <c r="G251" t="inlineStr"/>
      <c r="H251" t="inlineStr">
        <is>
          <t>82467 Bayern - Garmisch-Partenkirchen</t>
        </is>
      </c>
      <c r="I251" s="5" t="n">
        <v>45561</v>
      </c>
      <c r="J251" t="inlineStr"/>
      <c r="K251" s="6">
        <f>HYPERLINK("https://www.kleinanzeigen.de/s-anzeige/surfboard-fanatic-gecko-120/2874351875-230-6338", "Link")</f>
        <v/>
      </c>
      <c r="L251" s="6">
        <f>HYPERLINK("C:\Projects\Kleinanzeigen-Scraper\offer_images\2874351875", "Link")</f>
        <v/>
      </c>
      <c r="M251" t="inlineStr">
        <is>
          <t>Stephan</t>
        </is>
      </c>
      <c r="N251" s="6">
        <f>HYPERLINK("https://www.kleinanzeigen.de/s-bestandsliste.html?userId=24549656", "Link")</f>
        <v/>
      </c>
      <c r="O251" s="7" t="n">
        <v>45561.67107638889</v>
      </c>
      <c r="P251" s="3" t="inlineStr">
        <is>
          <t>80.76</t>
        </is>
      </c>
      <c r="Q251" t="inlineStr">
        <is>
          <t>München</t>
        </is>
      </c>
    </row>
    <row r="252">
      <c r="A252" t="inlineStr">
        <is>
          <t>233 x 66 cm</t>
        </is>
      </c>
      <c r="B252" t="inlineStr">
        <is>
          <t>Tabou Manta 66</t>
        </is>
      </c>
      <c r="C252" t="inlineStr">
        <is>
          <t>Freeride</t>
        </is>
      </c>
      <c r="D252" s="3" t="n">
        <v>106</v>
      </c>
      <c r="E252" t="inlineStr"/>
      <c r="F252" s="4" t="n">
        <v>150</v>
      </c>
      <c r="G252" t="inlineStr">
        <is>
          <t>VB</t>
        </is>
      </c>
      <c r="H252" t="inlineStr">
        <is>
          <t>91710 Bayern - Gunzenhausen</t>
        </is>
      </c>
      <c r="I252" s="5" t="n">
        <v>45560</v>
      </c>
      <c r="J252" t="inlineStr"/>
      <c r="K252" s="6">
        <f>HYPERLINK("https://www.kleinanzeigen.de/s-anzeige/windsurfbrett-tabou-manta-66-106-l/2873619554-230-6163", "Link")</f>
        <v/>
      </c>
      <c r="L252" s="6">
        <f>HYPERLINK("C:\Projects\Kleinanzeigen-Scraper\offer_images\2873619554", "Link")</f>
        <v/>
      </c>
      <c r="M252" t="inlineStr">
        <is>
          <t>Clemens Peschel</t>
        </is>
      </c>
      <c r="N252" s="6">
        <f>HYPERLINK("https://www.kleinanzeigen.de/s-bestandsliste.html?userId=21709693", "Link")</f>
        <v/>
      </c>
      <c r="O252" s="7" t="n">
        <v>45561.67086805555</v>
      </c>
      <c r="P252" s="3" t="inlineStr">
        <is>
          <t>125.65</t>
        </is>
      </c>
      <c r="Q252" t="inlineStr">
        <is>
          <t>München</t>
        </is>
      </c>
    </row>
    <row r="253">
      <c r="A253" t="inlineStr">
        <is>
          <t>150 cm x 58.2 cm</t>
        </is>
      </c>
      <c r="B253" t="inlineStr">
        <is>
          <t>Duotone Fanatic Sky Style Team Edition</t>
        </is>
      </c>
      <c r="C253" t="inlineStr"/>
      <c r="D253" s="3" t="n">
        <v>75</v>
      </c>
      <c r="E253" t="inlineStr"/>
      <c r="F253" s="4" t="n">
        <v>490</v>
      </c>
      <c r="G253" t="inlineStr"/>
      <c r="H253" t="inlineStr">
        <is>
          <t>83083 Bayern - Riedering</t>
        </is>
      </c>
      <c r="I253" s="5" t="n">
        <v>45560</v>
      </c>
      <c r="J253" t="inlineStr">
        <is>
          <t>Sold</t>
        </is>
      </c>
      <c r="K253" s="6">
        <f>HYPERLINK("https://www.kleinanzeigen.de/s-anzeige/duotone-fanatic-sky-style-team-edition-75-liter/2873710952-230-7583", "Link")</f>
        <v/>
      </c>
      <c r="L253" s="6">
        <f>HYPERLINK("C:\Projects\Kleinanzeigen-Scraper\offer_images\2873710952", "Link")</f>
        <v/>
      </c>
      <c r="M253" t="inlineStr">
        <is>
          <t>Maik Stoltefaut</t>
        </is>
      </c>
      <c r="N253" s="6">
        <f>HYPERLINK("https://www.kleinanzeigen.de/s-bestandsliste.html?userId=24074172", "Link")</f>
        <v/>
      </c>
      <c r="O253" s="7" t="n">
        <v>45561.67086805555</v>
      </c>
      <c r="P253" s="3" t="inlineStr">
        <is>
          <t>59.00</t>
        </is>
      </c>
      <c r="Q253" t="inlineStr">
        <is>
          <t>München</t>
        </is>
      </c>
    </row>
    <row r="254">
      <c r="A254" t="inlineStr">
        <is>
          <t>245 x 54 cm</t>
        </is>
      </c>
      <c r="B254" t="inlineStr">
        <is>
          <t>Naish Supercross</t>
        </is>
      </c>
      <c r="C254" t="inlineStr">
        <is>
          <t>Wave</t>
        </is>
      </c>
      <c r="D254" s="3" t="n">
        <v>75</v>
      </c>
      <c r="E254" t="inlineStr"/>
      <c r="F254" s="4" t="n">
        <v>80</v>
      </c>
      <c r="G254" t="inlineStr"/>
      <c r="H254" t="inlineStr">
        <is>
          <t>79100 Freiburg im Breisgau - Wiehre</t>
        </is>
      </c>
      <c r="I254" s="5" t="n">
        <v>45560</v>
      </c>
      <c r="J254" t="inlineStr">
        <is>
          <t>Sold</t>
        </is>
      </c>
      <c r="K254" s="6">
        <f>HYPERLINK("https://www.kleinanzeigen.de/s-anzeige/verkaufe-naish-supercross-windsurfbrett-mit-boardbag-finne/2874070332-230-9368", "Link")</f>
        <v/>
      </c>
      <c r="L254" s="6">
        <f>HYPERLINK("C:\Projects\Kleinanzeigen-Scraper\offer_images\2874070332", "Link")</f>
        <v/>
      </c>
      <c r="M254" t="inlineStr">
        <is>
          <t>MLF</t>
        </is>
      </c>
      <c r="N254" s="6">
        <f>HYPERLINK("https://www.kleinanzeigen.de/s-bestandsliste.html?userId=15574759", "Link")</f>
        <v/>
      </c>
      <c r="O254" s="7" t="n">
        <v>45561.6703587963</v>
      </c>
      <c r="P254" s="3" t="inlineStr">
        <is>
          <t>39.95</t>
        </is>
      </c>
      <c r="Q254" t="inlineStr">
        <is>
          <t>Bonndorf</t>
        </is>
      </c>
    </row>
    <row r="255">
      <c r="A255" t="inlineStr">
        <is>
          <t>220 cm x 65 cm</t>
        </is>
      </c>
      <c r="B255" t="inlineStr">
        <is>
          <t>Naish Freestyle Custom</t>
        </is>
      </c>
      <c r="C255" t="inlineStr">
        <is>
          <t>Freestyle</t>
        </is>
      </c>
      <c r="D255" s="3" t="n">
        <v>102</v>
      </c>
      <c r="E255" t="inlineStr">
        <is>
          <t>S26</t>
        </is>
      </c>
      <c r="F255" s="4" t="n">
        <v>999</v>
      </c>
      <c r="G255" t="inlineStr"/>
      <c r="H255" t="inlineStr">
        <is>
          <t>17192 Müritz - Landkreis - Waren (Müritz)</t>
        </is>
      </c>
      <c r="I255" s="5" t="n">
        <v>45560</v>
      </c>
      <c r="J255" t="inlineStr">
        <is>
          <t>Sold</t>
        </is>
      </c>
      <c r="K255" s="6">
        <f>HYPERLINK("https://www.kleinanzeigen.de/s-anzeige/naish-freestyle-custom-102-l-s26-foil-ready-windsurfboard/2874023279-230-71", "Link")</f>
        <v/>
      </c>
      <c r="L255" s="6">
        <f>HYPERLINK("C:\Projects\Kleinanzeigen-Scraper\offer_images\2874023279", "Link")</f>
        <v/>
      </c>
      <c r="M255" t="inlineStr">
        <is>
          <t>Katja</t>
        </is>
      </c>
      <c r="N255" s="6">
        <f>HYPERLINK("https://www.kleinanzeigen.de/s-bestandsliste.html?userId=19459755", "Link")</f>
        <v/>
      </c>
      <c r="O255" s="7" t="n">
        <v>45561.67012731481</v>
      </c>
      <c r="P255" s="3" t="inlineStr">
        <is>
          <t>486.42</t>
        </is>
      </c>
      <c r="Q255" t="inlineStr">
        <is>
          <t>Köln</t>
        </is>
      </c>
    </row>
    <row r="256">
      <c r="A256" t="inlineStr">
        <is>
          <t>62.5</t>
        </is>
      </c>
      <c r="B256" t="inlineStr">
        <is>
          <t>JP-Australia Slalom Pro</t>
        </is>
      </c>
      <c r="C256" t="inlineStr">
        <is>
          <t>Slalom</t>
        </is>
      </c>
      <c r="D256" s="3" t="n">
        <v>97</v>
      </c>
      <c r="E256" t="inlineStr">
        <is>
          <t>2023</t>
        </is>
      </c>
      <c r="F256" s="4" t="n">
        <v>1.4</v>
      </c>
      <c r="G256" t="inlineStr">
        <is>
          <t>VB</t>
        </is>
      </c>
      <c r="H256" t="inlineStr">
        <is>
          <t>24105 Schleswig-Holstein - Kiel</t>
        </is>
      </c>
      <c r="I256" s="5" t="n">
        <v>45560</v>
      </c>
      <c r="J256" t="inlineStr"/>
      <c r="K256" s="6">
        <f>HYPERLINK("https://www.kleinanzeigen.de/s-anzeige/jp-australia-slalom-pro-62-5-97liter-windsurf-slalom-board/2873996147-230-708", "Link")</f>
        <v/>
      </c>
      <c r="L256" s="6">
        <f>HYPERLINK("C:\Projects\Kleinanzeigen-Scraper\offer_images\2873996147", "Link")</f>
        <v/>
      </c>
      <c r="M256" t="inlineStr">
        <is>
          <t>Leo Richter</t>
        </is>
      </c>
      <c r="N256" s="6">
        <f>HYPERLINK("https://www.kleinanzeigen.de/s-bestandsliste.html?userId=56454387", "Link")</f>
        <v/>
      </c>
      <c r="O256" s="7" t="n">
        <v>45561.66978009259</v>
      </c>
      <c r="P256" s="3" t="inlineStr">
        <is>
          <t>435.05</t>
        </is>
      </c>
      <c r="Q256" t="inlineStr">
        <is>
          <t>Köln</t>
        </is>
      </c>
    </row>
    <row r="257">
      <c r="A257" t="inlineStr">
        <is>
          <t>230 cm</t>
        </is>
      </c>
      <c r="B257" t="inlineStr">
        <is>
          <t>Xontos</t>
        </is>
      </c>
      <c r="C257" t="inlineStr"/>
      <c r="D257" s="3" t="inlineStr"/>
      <c r="E257" t="inlineStr"/>
      <c r="F257" s="4" t="n">
        <v>150</v>
      </c>
      <c r="G257" t="inlineStr"/>
      <c r="H257" t="inlineStr">
        <is>
          <t>10317 Berlin - Rummelsburg</t>
        </is>
      </c>
      <c r="I257" s="5" t="n">
        <v>45561</v>
      </c>
      <c r="J257" t="inlineStr">
        <is>
          <t>Sold</t>
        </is>
      </c>
      <c r="K257" s="6">
        <f>HYPERLINK("https://www.kleinanzeigen.de/s-anzeige/xontos-surfbrett-fuer-windsurfen/2874507218-230-25915", "Link")</f>
        <v/>
      </c>
      <c r="L257" s="6">
        <f>HYPERLINK("C:\Projects\Kleinanzeigen-Scraper\offer_images\2874507218", "Link")</f>
        <v/>
      </c>
      <c r="M257" t="inlineStr">
        <is>
          <t>Marcus</t>
        </is>
      </c>
      <c r="N257" s="6">
        <f>HYPERLINK("https://www.kleinanzeigen.de/s-bestandsliste.html?userId=77881936", "Link")</f>
        <v/>
      </c>
      <c r="O257" s="7" t="n">
        <v>45561.6697337963</v>
      </c>
      <c r="P257" s="3" t="inlineStr">
        <is>
          <t>481.96</t>
        </is>
      </c>
      <c r="Q257" t="inlineStr">
        <is>
          <t>Köln</t>
        </is>
      </c>
    </row>
    <row r="258">
      <c r="A258" t="inlineStr"/>
      <c r="B258" t="inlineStr">
        <is>
          <t>Tabou Manta</t>
        </is>
      </c>
      <c r="C258" t="inlineStr">
        <is>
          <t>Speed</t>
        </is>
      </c>
      <c r="D258" s="3" t="inlineStr"/>
      <c r="E258" t="inlineStr"/>
      <c r="F258" s="4" t="n">
        <v>50</v>
      </c>
      <c r="G258" t="inlineStr"/>
      <c r="H258" t="inlineStr">
        <is>
          <t>48455 Niedersachsen - Bad Bentheim</t>
        </is>
      </c>
      <c r="I258" s="5" t="n">
        <v>45374</v>
      </c>
      <c r="J258" t="inlineStr">
        <is>
          <t>Sold</t>
        </is>
      </c>
      <c r="K258" s="6">
        <f>HYPERLINK("https://www.kleinanzeigen.de/s-anzeige/tabou-manta-speed-speedsurfen-windsurfen/2714758542-230-2492", "Link")</f>
        <v/>
      </c>
      <c r="L258" s="6">
        <f>HYPERLINK("C:\Projects\Kleinanzeigen-Scraper\offer_images\2714758542", "Link")</f>
        <v/>
      </c>
      <c r="M258" t="inlineStr">
        <is>
          <t>Kracke</t>
        </is>
      </c>
      <c r="N258" s="6">
        <f>HYPERLINK("https://www.kleinanzeigen.de/s-bestandsliste.html?userId=7354738", "Link")</f>
        <v/>
      </c>
      <c r="O258" s="7" t="n">
        <v>45561.66915509259</v>
      </c>
      <c r="P258" s="3" t="inlineStr">
        <is>
          <t>151.42</t>
        </is>
      </c>
      <c r="Q258" t="inlineStr">
        <is>
          <t>Köln</t>
        </is>
      </c>
    </row>
    <row r="259">
      <c r="A259" t="inlineStr"/>
      <c r="B259" t="inlineStr">
        <is>
          <t>Fanatic Hot Rabbit</t>
        </is>
      </c>
      <c r="C259" t="inlineStr">
        <is>
          <t>Freeride</t>
        </is>
      </c>
      <c r="D259" s="3" t="n">
        <v>130</v>
      </c>
      <c r="E259" t="inlineStr"/>
      <c r="F259" s="4" t="n">
        <v>120</v>
      </c>
      <c r="G259" t="inlineStr"/>
      <c r="H259" t="inlineStr">
        <is>
          <t>40221 Düsseldorf - Unterbilk</t>
        </is>
      </c>
      <c r="I259" s="5" t="n">
        <v>45561</v>
      </c>
      <c r="J259" t="inlineStr">
        <is>
          <t>Sold</t>
        </is>
      </c>
      <c r="K259" s="6">
        <f>HYPERLINK("https://www.kleinanzeigen.de/s-anzeige/windsurfboard-fanatic-130-l-sehr-guter-zustand-trimmbox-finne/2874213313-230-29950", "Link")</f>
        <v/>
      </c>
      <c r="L259" s="6">
        <f>HYPERLINK("C:\Projects\Kleinanzeigen-Scraper\offer_images\2874213313", "Link")</f>
        <v/>
      </c>
      <c r="M259" t="inlineStr">
        <is>
          <t>So_oder_So</t>
        </is>
      </c>
      <c r="N259" s="6">
        <f>HYPERLINK("https://www.kleinanzeigen.de/s-bestandsliste.html?userId=62512814", "Link")</f>
        <v/>
      </c>
      <c r="O259" s="7" t="n">
        <v>45561.66900462963</v>
      </c>
      <c r="P259" s="3" t="inlineStr">
        <is>
          <t>32.31</t>
        </is>
      </c>
      <c r="Q259" t="inlineStr">
        <is>
          <t>Köln</t>
        </is>
      </c>
    </row>
    <row r="260">
      <c r="A260" t="inlineStr">
        <is>
          <t>239 x 58.5 cm</t>
        </is>
      </c>
      <c r="B260" t="inlineStr">
        <is>
          <t>JP Freestyle Wave</t>
        </is>
      </c>
      <c r="C260" t="inlineStr">
        <is>
          <t>Freestyle Wave</t>
        </is>
      </c>
      <c r="D260" s="3" t="n">
        <v>84</v>
      </c>
      <c r="E260" t="inlineStr">
        <is>
          <t>2008</t>
        </is>
      </c>
      <c r="F260" s="4" t="n">
        <v>75</v>
      </c>
      <c r="G260" t="inlineStr"/>
      <c r="H260" t="inlineStr">
        <is>
          <t>52249 Eschweiler</t>
        </is>
      </c>
      <c r="I260" s="5" t="n">
        <v>45560</v>
      </c>
      <c r="J260" t="inlineStr">
        <is>
          <t>Sold</t>
        </is>
      </c>
      <c r="K260" s="6">
        <f>HYPERLINK("https://www.dailydose.de/kleinanzeigen/detail.htm?ai=423142&amp;cf=kk&amp;pg=3&amp;ci=11", "Link")</f>
        <v/>
      </c>
      <c r="L260" s="6">
        <f>HYPERLINK("C:\Projects\Kleinanzeigen-Scraper\offer_images\423142", "Link")</f>
        <v/>
      </c>
      <c r="M260" t="inlineStr">
        <is>
          <t>Torsten_3</t>
        </is>
      </c>
      <c r="N260" s="6">
        <f>HYPERLINK("https://www.dailydose.de/kleinanzeigen/user/7133", "Link")</f>
        <v/>
      </c>
      <c r="O260" s="7" t="n">
        <v>45560.56613425926</v>
      </c>
      <c r="P260" s="3" t="inlineStr">
        <is>
          <t>50.09</t>
        </is>
      </c>
      <c r="Q260" t="inlineStr">
        <is>
          <t>Köln</t>
        </is>
      </c>
    </row>
    <row r="261">
      <c r="A261" t="inlineStr"/>
      <c r="B261" t="inlineStr">
        <is>
          <t>Tabou Pocket Wave</t>
        </is>
      </c>
      <c r="C261" t="inlineStr">
        <is>
          <t>Wave</t>
        </is>
      </c>
      <c r="D261" s="3" t="n">
        <v>78</v>
      </c>
      <c r="E261" t="inlineStr">
        <is>
          <t>2014</t>
        </is>
      </c>
      <c r="F261" s="4" t="n">
        <v>150</v>
      </c>
      <c r="G261" t="inlineStr"/>
      <c r="H261" t="inlineStr">
        <is>
          <t>31515 Wunstorf</t>
        </is>
      </c>
      <c r="I261" s="5" t="n">
        <v>45560</v>
      </c>
      <c r="J261" t="inlineStr"/>
      <c r="K261" s="6">
        <f>HYPERLINK("https://www.dailydose.de/kleinanzeigen/detail.htm?ai=423151&amp;cf=kk&amp;pg=3&amp;ci=11", "Link")</f>
        <v/>
      </c>
      <c r="L261" s="6">
        <f>HYPERLINK("C:\Projects\Kleinanzeigen-Scraper\offer_images\423151", "Link")</f>
        <v/>
      </c>
      <c r="M261" t="inlineStr">
        <is>
          <t>tdd</t>
        </is>
      </c>
      <c r="N261" s="6">
        <f>HYPERLINK("https://www.dailydose.de/kleinanzeigen/user/645", "Link")</f>
        <v/>
      </c>
      <c r="O261" s="7" t="n">
        <v>45560.56607638889</v>
      </c>
      <c r="P261" s="3" t="inlineStr">
        <is>
          <t>236.47</t>
        </is>
      </c>
      <c r="Q261" t="inlineStr">
        <is>
          <t>Köln</t>
        </is>
      </c>
    </row>
    <row r="262">
      <c r="A262" t="inlineStr"/>
      <c r="B262" t="inlineStr">
        <is>
          <t>Starboard Kode</t>
        </is>
      </c>
      <c r="C262" t="inlineStr">
        <is>
          <t>Freeride</t>
        </is>
      </c>
      <c r="D262" s="3" t="n">
        <v>103</v>
      </c>
      <c r="E262" t="inlineStr">
        <is>
          <t>2016</t>
        </is>
      </c>
      <c r="F262" s="4" t="n">
        <v>499</v>
      </c>
      <c r="G262" t="inlineStr"/>
      <c r="H262" t="inlineStr">
        <is>
          <t>04158  Leipzig / Gardasee / München</t>
        </is>
      </c>
      <c r="I262" s="5" t="n">
        <v>45559</v>
      </c>
      <c r="J262" t="inlineStr"/>
      <c r="K262" s="6">
        <f>HYPERLINK("https://www.dailydose.de/kleinanzeigen/detail.htm?ai=423141&amp;cf=kk&amp;pg=3&amp;ci=11", "Link")</f>
        <v/>
      </c>
      <c r="L262" s="6">
        <f>HYPERLINK("C:\Projects\Kleinanzeigen-Scraper\offer_images\423141", "Link")</f>
        <v/>
      </c>
      <c r="M262" t="inlineStr">
        <is>
          <t>lippmdan</t>
        </is>
      </c>
      <c r="N262" s="6">
        <f>HYPERLINK("https://www.dailydose.de/kleinanzeigen/user/6528", "Link")</f>
        <v/>
      </c>
      <c r="O262" s="7" t="n">
        <v>45560.56438657407</v>
      </c>
      <c r="P262" s="3" t="inlineStr">
        <is>
          <t>367.32</t>
        </is>
      </c>
      <c r="Q262" t="inlineStr">
        <is>
          <t>München</t>
        </is>
      </c>
    </row>
    <row r="263">
      <c r="A263" t="inlineStr">
        <is>
          <t>239.7 x 62.9</t>
        </is>
      </c>
      <c r="B263" t="inlineStr">
        <is>
          <t>Naish Koncept</t>
        </is>
      </c>
      <c r="C263" t="inlineStr">
        <is>
          <t>Freemove</t>
        </is>
      </c>
      <c r="D263" s="3" t="n">
        <v>102</v>
      </c>
      <c r="E263" t="inlineStr">
        <is>
          <t>2012</t>
        </is>
      </c>
      <c r="F263" s="4" t="n">
        <v>145</v>
      </c>
      <c r="G263" t="inlineStr"/>
      <c r="H263" t="inlineStr">
        <is>
          <t>52249 Eschweiler</t>
        </is>
      </c>
      <c r="I263" s="5" t="n">
        <v>45560</v>
      </c>
      <c r="J263" t="inlineStr">
        <is>
          <t>Sold</t>
        </is>
      </c>
      <c r="K263" s="6">
        <f>HYPERLINK("https://www.dailydose.de/kleinanzeigen/detail.htm?ai=423144&amp;cf=kk&amp;pg=3&amp;ci=11", "Link")</f>
        <v/>
      </c>
      <c r="L263" s="6">
        <f>HYPERLINK("C:\Projects\Kleinanzeigen-Scraper\offer_images\423144", "Link")</f>
        <v/>
      </c>
      <c r="M263" t="inlineStr">
        <is>
          <t>Torsten_3</t>
        </is>
      </c>
      <c r="N263" s="6">
        <f>HYPERLINK("https://www.dailydose.de/kleinanzeigen/user/7133", "Link")</f>
        <v/>
      </c>
      <c r="O263" s="7" t="n">
        <v>45560.56402777778</v>
      </c>
      <c r="P263" s="3" t="inlineStr">
        <is>
          <t>50.09</t>
        </is>
      </c>
      <c r="Q263" t="inlineStr">
        <is>
          <t>Köln</t>
        </is>
      </c>
    </row>
    <row r="264">
      <c r="A264" t="inlineStr"/>
      <c r="B264" t="inlineStr">
        <is>
          <t>Naish</t>
        </is>
      </c>
      <c r="C264" t="inlineStr">
        <is>
          <t>Wave</t>
        </is>
      </c>
      <c r="D264" s="3" t="n">
        <v>80</v>
      </c>
      <c r="E264" t="inlineStr"/>
      <c r="F264" s="4" t="n">
        <v>150</v>
      </c>
      <c r="G264" t="inlineStr">
        <is>
          <t>VB</t>
        </is>
      </c>
      <c r="H264" t="inlineStr">
        <is>
          <t>24106 Schleswig-Holstein - Kiel</t>
        </is>
      </c>
      <c r="I264" s="5" t="n">
        <v>45560</v>
      </c>
      <c r="J264" t="inlineStr"/>
      <c r="K264" s="6">
        <f>HYPERLINK("https://www.kleinanzeigen.de/s-anzeige/naish-wave-board-80l/2873381551-230-707", "Link")</f>
        <v/>
      </c>
      <c r="L264" s="6">
        <f>HYPERLINK("C:\Projects\Kleinanzeigen-Scraper\offer_images\2873381551", "Link")</f>
        <v/>
      </c>
      <c r="M264" t="inlineStr">
        <is>
          <t>H.W.</t>
        </is>
      </c>
      <c r="N264" s="6">
        <f>HYPERLINK("https://www.kleinanzeigen.de/s-bestandsliste.html?userId=43228034", "Link")</f>
        <v/>
      </c>
      <c r="O264" s="7" t="n">
        <v>45560.56295138889</v>
      </c>
      <c r="P264" s="3" t="inlineStr">
        <is>
          <t>436.03</t>
        </is>
      </c>
      <c r="Q264" t="inlineStr">
        <is>
          <t>Köln</t>
        </is>
      </c>
    </row>
    <row r="265">
      <c r="A265" t="inlineStr">
        <is>
          <t>239.7 x 62.9</t>
        </is>
      </c>
      <c r="B265" t="inlineStr">
        <is>
          <t>Naish Koncept</t>
        </is>
      </c>
      <c r="C265" t="inlineStr">
        <is>
          <t>Freemove</t>
        </is>
      </c>
      <c r="D265" s="3" t="n">
        <v>102</v>
      </c>
      <c r="E265" t="inlineStr">
        <is>
          <t>2012</t>
        </is>
      </c>
      <c r="F265" s="4" t="n">
        <v>135</v>
      </c>
      <c r="G265" t="inlineStr"/>
      <c r="H265" t="inlineStr">
        <is>
          <t>52249 Nordrhein-Westfalen - Eschweiler</t>
        </is>
      </c>
      <c r="I265" s="5" t="n">
        <v>45568</v>
      </c>
      <c r="J265" t="inlineStr"/>
      <c r="K265" s="6">
        <f>HYPERLINK("https://www.kleinanzeigen.de/s-anzeige/naish-koncept-100-102l-239-7-x-62-9-cm-aus-2012/2873197414-230-1908", "Link")</f>
        <v/>
      </c>
      <c r="L265" s="6">
        <f>HYPERLINK("C:\Projects\Kleinanzeigen-Scraper\offer_images\2873197414", "Link")</f>
        <v/>
      </c>
      <c r="M265" t="inlineStr">
        <is>
          <t>Torsten</t>
        </is>
      </c>
      <c r="N265" s="6">
        <f>HYPERLINK("https://www.kleinanzeigen.de/s-bestandsliste.html?userId=50390446", "Link")</f>
        <v/>
      </c>
      <c r="O265" s="7" t="n">
        <v>45560.56243055555</v>
      </c>
      <c r="P265" s="3" t="inlineStr">
        <is>
          <t>50.09</t>
        </is>
      </c>
      <c r="Q265" t="inlineStr">
        <is>
          <t>Köln</t>
        </is>
      </c>
    </row>
    <row r="266">
      <c r="A266" t="inlineStr">
        <is>
          <t>13'0 x 30 x 6</t>
        </is>
      </c>
      <c r="B266" t="inlineStr">
        <is>
          <t>Fanatic Ray Air Enduro Premium</t>
        </is>
      </c>
      <c r="C266" t="inlineStr"/>
      <c r="D266" s="3" t="inlineStr"/>
      <c r="E266" t="inlineStr">
        <is>
          <t>2023</t>
        </is>
      </c>
      <c r="F266" s="4" t="n">
        <v>585</v>
      </c>
      <c r="G266" t="inlineStr">
        <is>
          <t>VB</t>
        </is>
      </c>
      <c r="H266" t="inlineStr">
        <is>
          <t>09126 Chemnitz - Lutherviertel</t>
        </is>
      </c>
      <c r="I266" s="5" t="n">
        <v>45559</v>
      </c>
      <c r="J266" t="inlineStr"/>
      <c r="K266" s="6">
        <f>HYPERLINK("https://www.kleinanzeigen.de/s-anzeige/sup-fanatic-ray-air-enduro-premium-13-0-x-30-x-6-2023-wie-neu/2873162907-230-26106", "Link")</f>
        <v/>
      </c>
      <c r="L266" s="6">
        <f>HYPERLINK("C:\Projects\Kleinanzeigen-Scraper\offer_images\2873162907", "Link")</f>
        <v/>
      </c>
      <c r="M266" t="inlineStr">
        <is>
          <t>Steffen</t>
        </is>
      </c>
      <c r="N266" s="6">
        <f>HYPERLINK("https://www.kleinanzeigen.de/s-bestandsliste.html?userId=20015328", "Link")</f>
        <v/>
      </c>
      <c r="O266" s="7" t="n">
        <v>45560.56189814815</v>
      </c>
      <c r="P266" s="3" t="inlineStr">
        <is>
          <t>314.18</t>
        </is>
      </c>
      <c r="Q266" t="inlineStr">
        <is>
          <t>München</t>
        </is>
      </c>
    </row>
    <row r="267">
      <c r="A267" t="inlineStr">
        <is>
          <t>Dimensions not specified</t>
        </is>
      </c>
      <c r="B267" t="inlineStr">
        <is>
          <t>Tabou Pocket Wave</t>
        </is>
      </c>
      <c r="C267" t="inlineStr">
        <is>
          <t>Wave</t>
        </is>
      </c>
      <c r="D267" s="3" t="n">
        <v>78</v>
      </c>
      <c r="E267" t="inlineStr">
        <is>
          <t>2014</t>
        </is>
      </c>
      <c r="F267" s="4" t="n">
        <v>150</v>
      </c>
      <c r="G267" t="inlineStr">
        <is>
          <t>VB</t>
        </is>
      </c>
      <c r="H267" t="inlineStr">
        <is>
          <t>31515 Niedersachsen - Wunstorf</t>
        </is>
      </c>
      <c r="I267" s="5" t="n">
        <v>45560</v>
      </c>
      <c r="J267" t="inlineStr"/>
      <c r="K267" s="6">
        <f>HYPERLINK("https://www.kleinanzeigen.de/s-anzeige/tabou-pocket-wave-windsurf-board-78/2873391282-230-2930", "Link")</f>
        <v/>
      </c>
      <c r="L267" s="6">
        <f>HYPERLINK("C:\Projects\Kleinanzeigen-Scraper\offer_images\2873391282", "Link")</f>
        <v/>
      </c>
      <c r="M267" t="inlineStr">
        <is>
          <t>Roth, Jens</t>
        </is>
      </c>
      <c r="N267" s="6">
        <f>HYPERLINK("https://www.kleinanzeigen.de/s-bestandsliste.html?userId=33617964", "Link")</f>
        <v/>
      </c>
      <c r="O267" s="7" t="n">
        <v>45560.55925925926</v>
      </c>
      <c r="P267" s="3" t="inlineStr">
        <is>
          <t>236.47</t>
        </is>
      </c>
      <c r="Q267" t="inlineStr">
        <is>
          <t>Köln</t>
        </is>
      </c>
    </row>
    <row r="268">
      <c r="A268" t="inlineStr">
        <is>
          <t>242 x 56 cm</t>
        </is>
      </c>
      <c r="B268" t="inlineStr">
        <is>
          <t>Starboard</t>
        </is>
      </c>
      <c r="C268" t="inlineStr">
        <is>
          <t>Wave</t>
        </is>
      </c>
      <c r="D268" s="3" t="n">
        <v>80</v>
      </c>
      <c r="E268" t="inlineStr"/>
      <c r="F268" s="4" t="inlineStr">
        <is>
          <t>Zu verschenken</t>
        </is>
      </c>
      <c r="G268" t="inlineStr"/>
      <c r="H268" t="inlineStr">
        <is>
          <t>45721 Nordrhein-Westfalen - Haltern am See</t>
        </is>
      </c>
      <c r="I268" s="5" t="n">
        <v>45560</v>
      </c>
      <c r="J268" t="inlineStr">
        <is>
          <t>Sold</t>
        </is>
      </c>
      <c r="K268" s="6">
        <f>HYPERLINK("https://www.kleinanzeigen.de/s-anzeige/starboard-80l-windsurfboard-mit-tasche-surfboard-waveboard/2873251864-230-1336", "Link")</f>
        <v/>
      </c>
      <c r="L268" s="6">
        <f>HYPERLINK("C:\Projects\Kleinanzeigen-Scraper\offer_images\2873251864", "Link")</f>
        <v/>
      </c>
      <c r="M268" t="inlineStr">
        <is>
          <t>Alexander</t>
        </is>
      </c>
      <c r="N268" s="6">
        <f>HYPERLINK("https://www.kleinanzeigen.de/s-bestandsliste.html?userId=1171247", "Link")</f>
        <v/>
      </c>
      <c r="O268" s="7" t="n">
        <v>45560.5588425926</v>
      </c>
      <c r="P268" s="3" t="inlineStr">
        <is>
          <t>95.03</t>
        </is>
      </c>
      <c r="Q268" t="inlineStr">
        <is>
          <t>Köln</t>
        </is>
      </c>
    </row>
    <row r="269">
      <c r="A269" t="inlineStr">
        <is>
          <t>234 x 63.5</t>
        </is>
      </c>
      <c r="B269" t="inlineStr">
        <is>
          <t>Starboard Kode</t>
        </is>
      </c>
      <c r="C269" t="inlineStr">
        <is>
          <t>Freestyle-Wave</t>
        </is>
      </c>
      <c r="D269" s="3" t="n">
        <v>103</v>
      </c>
      <c r="E269" t="inlineStr">
        <is>
          <t>2016</t>
        </is>
      </c>
      <c r="F269" s="4" t="n">
        <v>499</v>
      </c>
      <c r="G269" t="inlineStr"/>
      <c r="H269" t="inlineStr">
        <is>
          <t>04158 Leipzig - Lindenthal</t>
        </is>
      </c>
      <c r="I269" s="5" t="n">
        <v>45559</v>
      </c>
      <c r="J269" t="inlineStr">
        <is>
          <t>Sold</t>
        </is>
      </c>
      <c r="K269" s="6">
        <f>HYPERLINK("https://www.kleinanzeigen.de/s-anzeige/starboard-kode-103-l-2016-windsurfboard-freewave/2873144081-230-4253", "Link")</f>
        <v/>
      </c>
      <c r="L269" s="6">
        <f>HYPERLINK("C:\Projects\Kleinanzeigen-Scraper\offer_images\2873144081", "Link")</f>
        <v/>
      </c>
      <c r="M269" t="inlineStr">
        <is>
          <t>daniel lippmann</t>
        </is>
      </c>
      <c r="N269" s="6">
        <f>HYPERLINK("https://www.kleinanzeigen.de/s-bestandsliste.html?userId=14407560", "Link")</f>
        <v/>
      </c>
      <c r="O269" s="7" t="n">
        <v>45560.55645833333</v>
      </c>
      <c r="P269" s="3" t="inlineStr">
        <is>
          <t>367.32</t>
        </is>
      </c>
      <c r="Q269" t="inlineStr">
        <is>
          <t>München</t>
        </is>
      </c>
    </row>
    <row r="270">
      <c r="A270" t="inlineStr"/>
      <c r="B270" t="inlineStr">
        <is>
          <t>BIC Tabou</t>
        </is>
      </c>
      <c r="C270" t="inlineStr">
        <is>
          <t>Wave</t>
        </is>
      </c>
      <c r="D270" s="3" t="n">
        <v>90</v>
      </c>
      <c r="E270" t="inlineStr"/>
      <c r="F270" s="4" t="n">
        <v>135</v>
      </c>
      <c r="G270" t="inlineStr">
        <is>
          <t>VB</t>
        </is>
      </c>
      <c r="H270" t="inlineStr">
        <is>
          <t>24975 Schleswig-Holstein - Maasbüll</t>
        </is>
      </c>
      <c r="I270" s="5" t="n">
        <v>45560</v>
      </c>
      <c r="J270" t="inlineStr"/>
      <c r="K270" s="6">
        <f>HYPERLINK("https://www.kleinanzeigen.de/s-anzeige/surfbrett-tabou-bic-90-liter-waveboard/2873443275-230-725", "Link")</f>
        <v/>
      </c>
      <c r="L270" s="6">
        <f>HYPERLINK("C:\Projects\Kleinanzeigen-Scraper\offer_images\2873443275", "Link")</f>
        <v/>
      </c>
      <c r="M270" t="inlineStr">
        <is>
          <t>Tom Swane</t>
        </is>
      </c>
      <c r="N270" s="6">
        <f>HYPERLINK("https://www.kleinanzeigen.de/s-bestandsliste.html?userId=8423221", "Link")</f>
        <v/>
      </c>
      <c r="O270" s="7" t="n">
        <v>45560.55629629629</v>
      </c>
      <c r="P270" s="3" t="inlineStr">
        <is>
          <t>458.46</t>
        </is>
      </c>
      <c r="Q270" t="inlineStr">
        <is>
          <t>Köln</t>
        </is>
      </c>
    </row>
    <row r="271">
      <c r="A271" t="inlineStr">
        <is>
          <t>Dimensions not specified</t>
        </is>
      </c>
      <c r="B271" t="inlineStr">
        <is>
          <t>Fanatic Gecko</t>
        </is>
      </c>
      <c r="C271" t="inlineStr">
        <is>
          <t>Freeride</t>
        </is>
      </c>
      <c r="D271" s="3" t="n">
        <v>135</v>
      </c>
      <c r="E271" t="inlineStr">
        <is>
          <t>2020-2021</t>
        </is>
      </c>
      <c r="F271" s="4" t="n">
        <v>690</v>
      </c>
      <c r="G271" t="inlineStr">
        <is>
          <t>VB</t>
        </is>
      </c>
      <c r="H271" t="inlineStr">
        <is>
          <t>12051 Berlin - Neukölln</t>
        </is>
      </c>
      <c r="I271" s="5" t="n">
        <v>45559</v>
      </c>
      <c r="J271" t="inlineStr">
        <is>
          <t>Sold</t>
        </is>
      </c>
      <c r="K271" s="6">
        <f>HYPERLINK("https://www.kleinanzeigen.de/s-anzeige/fanatic-gecko-135-windsurfboard/2873104534-230-3393", "Link")</f>
        <v/>
      </c>
      <c r="L271" s="6">
        <f>HYPERLINK("C:\Projects\Kleinanzeigen-Scraper\offer_images\2873104534", "Link")</f>
        <v/>
      </c>
      <c r="M271" t="inlineStr">
        <is>
          <t>Bruno</t>
        </is>
      </c>
      <c r="N271" s="6">
        <f>HYPERLINK("https://www.kleinanzeigen.de/s-bestandsliste.html?userId=128587819", "Link")</f>
        <v/>
      </c>
      <c r="O271" s="7" t="n">
        <v>45560.5558912037</v>
      </c>
      <c r="P271" s="3" t="inlineStr">
        <is>
          <t>477.35</t>
        </is>
      </c>
      <c r="Q271" t="inlineStr">
        <is>
          <t>Köln</t>
        </is>
      </c>
    </row>
    <row r="272">
      <c r="A272" t="inlineStr">
        <is>
          <t xml:space="preserve">Dimensions </t>
        </is>
      </c>
      <c r="B272" t="inlineStr">
        <is>
          <t>Fanatic Gecko</t>
        </is>
      </c>
      <c r="C272" t="inlineStr">
        <is>
          <t>Freeride</t>
        </is>
      </c>
      <c r="D272" s="3" t="n">
        <v>120</v>
      </c>
      <c r="E272" t="inlineStr">
        <is>
          <t>2017</t>
        </is>
      </c>
      <c r="F272" s="4" t="n">
        <v>390</v>
      </c>
      <c r="G272" t="inlineStr">
        <is>
          <t>VB</t>
        </is>
      </c>
      <c r="H272" t="inlineStr">
        <is>
          <t>47198 Duisburg - Homberg/Ruhrort/Baerl</t>
        </is>
      </c>
      <c r="I272" s="5" t="n">
        <v>45560</v>
      </c>
      <c r="J272" t="inlineStr">
        <is>
          <t>Sold</t>
        </is>
      </c>
      <c r="K272" s="6">
        <f>HYPERLINK("https://www.kleinanzeigen.de/s-anzeige/fanatic-gecko-120l-aus-2017-windsurfen-surfbrett/2873217835-230-2140", "Link")</f>
        <v/>
      </c>
      <c r="L272" s="6">
        <f>HYPERLINK("C:\Projects\Kleinanzeigen-Scraper\offer_images\2873217835", "Link")</f>
        <v/>
      </c>
      <c r="M272" t="inlineStr">
        <is>
          <t>Stephan Kalbertod</t>
        </is>
      </c>
      <c r="N272" s="6">
        <f>HYPERLINK("https://www.kleinanzeigen.de/s-bestandsliste.html?userId=8064073", "Link")</f>
        <v/>
      </c>
      <c r="O272" s="7" t="n">
        <v>45560.55582175926</v>
      </c>
      <c r="P272" s="3" t="inlineStr">
        <is>
          <t>59.95</t>
        </is>
      </c>
      <c r="Q272" t="inlineStr">
        <is>
          <t>Köln</t>
        </is>
      </c>
    </row>
    <row r="273">
      <c r="A273" t="inlineStr">
        <is>
          <t>236x59</t>
        </is>
      </c>
      <c r="B273" t="inlineStr">
        <is>
          <t>Naish Global Wave</t>
        </is>
      </c>
      <c r="C273" t="inlineStr">
        <is>
          <t>Wave</t>
        </is>
      </c>
      <c r="D273" s="3" t="n">
        <v>87</v>
      </c>
      <c r="E273" t="inlineStr"/>
      <c r="F273" s="4" t="n">
        <v>99</v>
      </c>
      <c r="G273" t="inlineStr"/>
      <c r="H273" t="inlineStr">
        <is>
          <t>53773 Nordrhein-Westfalen - Hennef (Sieg)</t>
        </is>
      </c>
      <c r="I273" s="5" t="n">
        <v>45558</v>
      </c>
      <c r="J273" t="inlineStr">
        <is>
          <t>Sold</t>
        </is>
      </c>
      <c r="K273" s="6">
        <f>HYPERLINK("https://www.kleinanzeigen.de/s-anzeige/naish-global-wave-87/2871524763-230-1697", "Link")</f>
        <v/>
      </c>
      <c r="L273" s="6">
        <f>HYPERLINK("C:\Projects\Kleinanzeigen-Scraper\offer_images\2871524763", "Link")</f>
        <v/>
      </c>
      <c r="M273" t="inlineStr">
        <is>
          <t>Berger</t>
        </is>
      </c>
      <c r="N273" s="6">
        <f>HYPERLINK("https://www.kleinanzeigen.de/s-bestandsliste.html?userId=464786", "Link")</f>
        <v/>
      </c>
      <c r="O273" s="7" t="n">
        <v>45560.55543981482</v>
      </c>
      <c r="P273" s="3" t="inlineStr">
        <is>
          <t>30.84</t>
        </is>
      </c>
      <c r="Q273" t="inlineStr">
        <is>
          <t>Köln</t>
        </is>
      </c>
    </row>
    <row r="274">
      <c r="A274" t="inlineStr"/>
      <c r="B274" t="inlineStr">
        <is>
          <t>Tabou Twister</t>
        </is>
      </c>
      <c r="C274" t="inlineStr">
        <is>
          <t>Freestyle</t>
        </is>
      </c>
      <c r="D274" s="3" t="n">
        <v>107</v>
      </c>
      <c r="E274" t="inlineStr">
        <is>
          <t>2018</t>
        </is>
      </c>
      <c r="F274" s="4" t="n">
        <v>550</v>
      </c>
      <c r="G274" t="inlineStr"/>
      <c r="H274" t="inlineStr">
        <is>
          <t>30916 Niedersachsen - Isernhagen</t>
        </is>
      </c>
      <c r="I274" s="5" t="n">
        <v>45364</v>
      </c>
      <c r="J274" t="inlineStr">
        <is>
          <t>Sold</t>
        </is>
      </c>
      <c r="K274" s="6">
        <f>HYPERLINK("https://www.kleinanzeigen.de/s-anzeige/tabou-twister-freestyle-107-top-zustand/2705324389-230-2895", "Link")</f>
        <v/>
      </c>
      <c r="L274" s="6">
        <f>HYPERLINK("C:\Projects\Kleinanzeigen-Scraper\offer_images\2705324389", "Link")</f>
        <v/>
      </c>
      <c r="M274" t="inlineStr">
        <is>
          <t>Brand</t>
        </is>
      </c>
      <c r="N274" s="6">
        <f>HYPERLINK("https://www.kleinanzeigen.de/s-bestandsliste.html?userId=6310735", "Link")</f>
        <v/>
      </c>
      <c r="O274" s="7" t="n">
        <v>45560.55517361111</v>
      </c>
      <c r="P274" s="3" t="inlineStr">
        <is>
          <t>261.21</t>
        </is>
      </c>
      <c r="Q274" t="inlineStr">
        <is>
          <t>Köln</t>
        </is>
      </c>
    </row>
    <row r="275">
      <c r="A275" t="inlineStr">
        <is>
          <t>76</t>
        </is>
      </c>
      <c r="B275" t="inlineStr">
        <is>
          <t>Tabou Da Curve</t>
        </is>
      </c>
      <c r="C275" t="inlineStr"/>
      <c r="D275" s="3" t="inlineStr"/>
      <c r="E275" t="inlineStr">
        <is>
          <t>2024</t>
        </is>
      </c>
      <c r="F275" s="4" t="n">
        <v>1.099</v>
      </c>
      <c r="G275" t="inlineStr">
        <is>
          <t>VB</t>
        </is>
      </c>
      <c r="H275" t="inlineStr">
        <is>
          <t>40547 Düsseldorf</t>
        </is>
      </c>
      <c r="I275" s="5" t="n">
        <v>45559</v>
      </c>
      <c r="J275" t="inlineStr"/>
      <c r="K275" s="6">
        <f>HYPERLINK("https://www.dailydose.de/kleinanzeigen/detail.htm?ai=423138&amp;cf=kk&amp;pg=3&amp;ci=11", "Link")</f>
        <v/>
      </c>
      <c r="L275" s="6">
        <f>HYPERLINK("C:\Projects\Kleinanzeigen-Scraper\offer_images\423138", "Link")</f>
        <v/>
      </c>
      <c r="M275" t="inlineStr">
        <is>
          <t>Guido</t>
        </is>
      </c>
      <c r="N275" s="6">
        <f>HYPERLINK("https://www.dailydose.de/kleinanzeigen/user/778", "Link")</f>
        <v/>
      </c>
      <c r="O275" s="7" t="n">
        <v>45559.88502314815</v>
      </c>
      <c r="P275" s="3" t="inlineStr">
        <is>
          <t>36.67</t>
        </is>
      </c>
      <c r="Q275" t="inlineStr">
        <is>
          <t>Köln</t>
        </is>
      </c>
    </row>
    <row r="276">
      <c r="A276" t="inlineStr"/>
      <c r="B276" t="inlineStr">
        <is>
          <t>Goya Quad Custom 4</t>
        </is>
      </c>
      <c r="C276" t="inlineStr">
        <is>
          <t>Freestyle</t>
        </is>
      </c>
      <c r="D276" s="3" t="n">
        <v>74</v>
      </c>
      <c r="E276" t="inlineStr">
        <is>
          <t>2020/2021</t>
        </is>
      </c>
      <c r="F276" s="4" t="n">
        <v>760</v>
      </c>
      <c r="G276" t="inlineStr"/>
      <c r="H276" t="inlineStr">
        <is>
          <t>Kiel, Bremen</t>
        </is>
      </c>
      <c r="I276" s="5" t="n">
        <v>45558</v>
      </c>
      <c r="J276" t="inlineStr"/>
      <c r="K276" s="6">
        <f>HYPERLINK("https://www.dailydose.de/kleinanzeigen/detail.htm?ai=423087&amp;cf=kk&amp;pg=3&amp;ci=11", "Link")</f>
        <v/>
      </c>
      <c r="L276" s="6">
        <f>HYPERLINK("C:\Projects\Kleinanzeigen-Scraper\offer_images\423087", "Link")</f>
        <v/>
      </c>
      <c r="M276" t="inlineStr">
        <is>
          <t>sybille</t>
        </is>
      </c>
      <c r="N276" s="6">
        <f>HYPERLINK("https://www.dailydose.de/kleinanzeigen/user/22818", "Link")</f>
        <v/>
      </c>
      <c r="O276" s="7" t="n">
        <v>45559.88475694445</v>
      </c>
      <c r="P276" s="3" t="inlineStr">
        <is>
          <t>282.69</t>
        </is>
      </c>
      <c r="Q276" t="inlineStr">
        <is>
          <t>Köln</t>
        </is>
      </c>
    </row>
    <row r="277">
      <c r="A277" t="inlineStr">
        <is>
          <t>Dimensions not provided</t>
        </is>
      </c>
      <c r="B277" t="inlineStr">
        <is>
          <t>Severne DYNO</t>
        </is>
      </c>
      <c r="C277" t="inlineStr">
        <is>
          <t>Freewave</t>
        </is>
      </c>
      <c r="D277" s="3" t="n">
        <v>105</v>
      </c>
      <c r="E277" t="inlineStr">
        <is>
          <t>2023</t>
        </is>
      </c>
      <c r="F277" s="4" t="n">
        <v>850</v>
      </c>
      <c r="G277" t="inlineStr"/>
      <c r="H277" t="inlineStr">
        <is>
          <t>58540 Sauerland -NRW</t>
        </is>
      </c>
      <c r="I277" s="5" t="n">
        <v>45559</v>
      </c>
      <c r="J277" t="inlineStr">
        <is>
          <t>Sold</t>
        </is>
      </c>
      <c r="K277" s="6">
        <f>HYPERLINK("https://www.dailydose.de/kleinanzeigen/detail.htm?ai=423120&amp;cf=kk&amp;pg=1&amp;ci=11", "Link")</f>
        <v/>
      </c>
      <c r="L277" s="6">
        <f>HYPERLINK("C:\Projects\Kleinanzeigen-Scraper\offer_images\423120", "Link")</f>
        <v/>
      </c>
      <c r="M277" t="inlineStr">
        <is>
          <t>tivitac</t>
        </is>
      </c>
      <c r="N277" s="6">
        <f>HYPERLINK("https://www.dailydose.de/kleinanzeigen/user/1938", "Link")</f>
        <v/>
      </c>
      <c r="O277" s="7" t="n">
        <v>45559.88458333333</v>
      </c>
      <c r="P277" s="3" t="inlineStr">
        <is>
          <t>56.25</t>
        </is>
      </c>
      <c r="Q277" t="inlineStr">
        <is>
          <t>Köln</t>
        </is>
      </c>
    </row>
    <row r="278">
      <c r="A278" t="inlineStr">
        <is>
          <t>104</t>
        </is>
      </c>
      <c r="B278" t="inlineStr">
        <is>
          <t>Tabou Da Bomb</t>
        </is>
      </c>
      <c r="C278" t="inlineStr"/>
      <c r="D278" s="3" t="inlineStr"/>
      <c r="E278" t="inlineStr">
        <is>
          <t>2024</t>
        </is>
      </c>
      <c r="F278" s="4" t="n">
        <v>1250</v>
      </c>
      <c r="G278" t="inlineStr"/>
      <c r="H278" t="inlineStr">
        <is>
          <t>51069  Köln</t>
        </is>
      </c>
      <c r="I278" s="5" t="n">
        <v>45559</v>
      </c>
      <c r="J278" t="inlineStr"/>
      <c r="K278" s="6">
        <f>HYPERLINK("https://www.dailydose.de/kleinanzeigen/detail.htm?ai=423130&amp;cf=kk&amp;pg=3&amp;ci=11", "Link")</f>
        <v/>
      </c>
      <c r="L278" s="6">
        <f>HYPERLINK("C:\Projects\Kleinanzeigen-Scraper\offer_images\423130", "Link")</f>
        <v/>
      </c>
      <c r="M278" t="inlineStr">
        <is>
          <t>Bj_37</t>
        </is>
      </c>
      <c r="N278" s="6">
        <f>HYPERLINK("https://www.dailydose.de/kleinanzeigen/user/4920", "Link")</f>
        <v/>
      </c>
      <c r="O278" s="7" t="n">
        <v>45559.88400462963</v>
      </c>
      <c r="P278" s="3" t="inlineStr">
        <is>
          <t>9.37</t>
        </is>
      </c>
      <c r="Q278" t="inlineStr">
        <is>
          <t>Köln</t>
        </is>
      </c>
    </row>
    <row r="279">
      <c r="A279" t="inlineStr"/>
      <c r="B279" t="inlineStr">
        <is>
          <t>Severne Pyro</t>
        </is>
      </c>
      <c r="C279" t="inlineStr"/>
      <c r="D279" s="3" t="n">
        <v>87</v>
      </c>
      <c r="E279" t="inlineStr">
        <is>
          <t>2023</t>
        </is>
      </c>
      <c r="F279" s="4" t="n">
        <v>700</v>
      </c>
      <c r="G279" t="inlineStr"/>
      <c r="H279" t="inlineStr">
        <is>
          <t>58540 Sauerland -NRW</t>
        </is>
      </c>
      <c r="I279" s="5" t="n">
        <v>45559</v>
      </c>
      <c r="J279" t="inlineStr">
        <is>
          <t>Sold</t>
        </is>
      </c>
      <c r="K279" s="6">
        <f>HYPERLINK("https://www.dailydose.de/kleinanzeigen/detail.htm?ai=423121&amp;cf=kk&amp;pg=1&amp;ci=11", "Link")</f>
        <v/>
      </c>
      <c r="L279" s="6">
        <f>HYPERLINK("C:\Projects\Kleinanzeigen-Scraper\offer_images\423121", "Link")</f>
        <v/>
      </c>
      <c r="M279" t="inlineStr">
        <is>
          <t>tivitac</t>
        </is>
      </c>
      <c r="N279" s="6">
        <f>HYPERLINK("https://www.dailydose.de/kleinanzeigen/user/1938", "Link")</f>
        <v/>
      </c>
      <c r="O279" s="7" t="n">
        <v>45559.88400462963</v>
      </c>
      <c r="P279" s="3" t="inlineStr">
        <is>
          <t>56.25</t>
        </is>
      </c>
      <c r="Q279" t="inlineStr">
        <is>
          <t>Köln</t>
        </is>
      </c>
    </row>
    <row r="280">
      <c r="A280" t="inlineStr"/>
      <c r="B280" t="inlineStr">
        <is>
          <t>Tabou Rocket Plus</t>
        </is>
      </c>
      <c r="C280" t="inlineStr">
        <is>
          <t>Freeride</t>
        </is>
      </c>
      <c r="D280" s="3" t="n">
        <v>133</v>
      </c>
      <c r="E280" t="inlineStr">
        <is>
          <t>2024</t>
        </is>
      </c>
      <c r="F280" s="4" t="n">
        <v>1300</v>
      </c>
      <c r="G280" t="inlineStr">
        <is>
          <t>VB</t>
        </is>
      </c>
      <c r="H280" t="inlineStr">
        <is>
          <t>51069 Köln</t>
        </is>
      </c>
      <c r="I280" s="5" t="n">
        <v>45559</v>
      </c>
      <c r="J280" t="inlineStr"/>
      <c r="K280" s="6">
        <f>HYPERLINK("https://www.dailydose.de/kleinanzeigen/detail.htm?ai=423131&amp;cf=kk&amp;pg=3&amp;ci=11", "Link")</f>
        <v/>
      </c>
      <c r="L280" s="6">
        <f>HYPERLINK("C:\Projects\Kleinanzeigen-Scraper\offer_images\423131", "Link")</f>
        <v/>
      </c>
      <c r="M280" t="inlineStr">
        <is>
          <t>Bj_37</t>
        </is>
      </c>
      <c r="N280" s="6">
        <f>HYPERLINK("https://www.dailydose.de/kleinanzeigen/user/4920", "Link")</f>
        <v/>
      </c>
      <c r="O280" s="7" t="n">
        <v>45559.88348379629</v>
      </c>
      <c r="P280" s="3" t="inlineStr">
        <is>
          <t>9.37</t>
        </is>
      </c>
      <c r="Q280" t="inlineStr">
        <is>
          <t>Köln</t>
        </is>
      </c>
    </row>
    <row r="281">
      <c r="A281" t="inlineStr"/>
      <c r="B281" t="inlineStr">
        <is>
          <t>Tabou DaBomb</t>
        </is>
      </c>
      <c r="C281" t="inlineStr">
        <is>
          <t>Freestyle</t>
        </is>
      </c>
      <c r="D281" s="3" t="n">
        <v>94</v>
      </c>
      <c r="E281" t="inlineStr">
        <is>
          <t>2023</t>
        </is>
      </c>
      <c r="F281" s="4" t="n">
        <v>1100</v>
      </c>
      <c r="G281" t="inlineStr"/>
      <c r="H281" t="inlineStr">
        <is>
          <t>51069 Köln</t>
        </is>
      </c>
      <c r="I281" s="5" t="n">
        <v>45559</v>
      </c>
      <c r="J281" t="inlineStr"/>
      <c r="K281" s="6">
        <f>HYPERLINK("https://www.dailydose.de/kleinanzeigen/detail.htm?ai=423129&amp;cf=kk&amp;pg=3&amp;ci=11", "Link")</f>
        <v/>
      </c>
      <c r="L281" s="6">
        <f>HYPERLINK("C:\Projects\Kleinanzeigen-Scraper\offer_images\423129", "Link")</f>
        <v/>
      </c>
      <c r="M281" t="inlineStr">
        <is>
          <t>Bj_37</t>
        </is>
      </c>
      <c r="N281" s="6">
        <f>HYPERLINK("https://www.dailydose.de/kleinanzeigen/user/4920", "Link")</f>
        <v/>
      </c>
      <c r="O281" s="7" t="n">
        <v>45559.88325231482</v>
      </c>
      <c r="P281" s="3" t="inlineStr">
        <is>
          <t>9.37</t>
        </is>
      </c>
      <c r="Q281" t="inlineStr">
        <is>
          <t>Köln</t>
        </is>
      </c>
    </row>
    <row r="282">
      <c r="A282" t="inlineStr">
        <is>
          <t>71</t>
        </is>
      </c>
      <c r="B282" t="inlineStr">
        <is>
          <t>Tabou Manta</t>
        </is>
      </c>
      <c r="C282" t="inlineStr">
        <is>
          <t>Freeride</t>
        </is>
      </c>
      <c r="D282" s="3" t="n">
        <v>116</v>
      </c>
      <c r="E282" t="inlineStr">
        <is>
          <t>2022</t>
        </is>
      </c>
      <c r="F282" s="4" t="n">
        <v>875</v>
      </c>
      <c r="G282" t="inlineStr">
        <is>
          <t>VB</t>
        </is>
      </c>
      <c r="H282" t="inlineStr">
        <is>
          <t>24943 Flensburg</t>
        </is>
      </c>
      <c r="I282" s="5" t="n">
        <v>45559</v>
      </c>
      <c r="J282" t="inlineStr"/>
      <c r="K282" s="6">
        <f>HYPERLINK("https://www.dailydose.de/kleinanzeigen/detail.htm?ai=423095&amp;cf=kk&amp;pg=3&amp;ci=11", "Link")</f>
        <v/>
      </c>
      <c r="L282" s="6">
        <f>HYPERLINK("C:\Projects\Kleinanzeigen-Scraper\offer_images\423095", "Link")</f>
        <v/>
      </c>
      <c r="M282" t="inlineStr">
        <is>
          <t>Studti</t>
        </is>
      </c>
      <c r="N282" s="6">
        <f>HYPERLINK("https://www.dailydose.de/kleinanzeigen/user/4906", "Link")</f>
        <v/>
      </c>
      <c r="O282" s="7" t="n">
        <v>45559.88180555555</v>
      </c>
      <c r="P282" s="3" t="inlineStr">
        <is>
          <t>459.78</t>
        </is>
      </c>
      <c r="Q282" t="inlineStr">
        <is>
          <t>Köln</t>
        </is>
      </c>
    </row>
    <row r="283">
      <c r="A283" t="inlineStr"/>
      <c r="B283" t="inlineStr">
        <is>
          <t>Tabou Manta 61</t>
        </is>
      </c>
      <c r="C283" t="inlineStr">
        <is>
          <t>Freeride</t>
        </is>
      </c>
      <c r="D283" s="3" t="n">
        <v>98</v>
      </c>
      <c r="E283" t="inlineStr">
        <is>
          <t>2022</t>
        </is>
      </c>
      <c r="F283" s="4" t="n">
        <v>799</v>
      </c>
      <c r="G283" t="inlineStr">
        <is>
          <t>VB</t>
        </is>
      </c>
      <c r="H283" t="inlineStr">
        <is>
          <t>24943 Flensburg</t>
        </is>
      </c>
      <c r="I283" s="5" t="n">
        <v>45559</v>
      </c>
      <c r="J283" t="inlineStr"/>
      <c r="K283" s="6">
        <f>HYPERLINK("https://www.dailydose.de/kleinanzeigen/detail.htm?ai=423096&amp;cf=kk&amp;pg=3&amp;ci=11", "Link")</f>
        <v/>
      </c>
      <c r="L283" s="6">
        <f>HYPERLINK("C:\Projects\Kleinanzeigen-Scraper\offer_images\423096", "Link")</f>
        <v/>
      </c>
      <c r="M283" t="inlineStr">
        <is>
          <t>Studti</t>
        </is>
      </c>
      <c r="N283" s="6">
        <f>HYPERLINK("https://www.dailydose.de/kleinanzeigen/user/4906", "Link")</f>
        <v/>
      </c>
      <c r="O283" s="7" t="n">
        <v>45559.88123842593</v>
      </c>
      <c r="P283" s="3" t="inlineStr">
        <is>
          <t>459.78</t>
        </is>
      </c>
      <c r="Q283" t="inlineStr">
        <is>
          <t>Köln</t>
        </is>
      </c>
    </row>
    <row r="284">
      <c r="A284" t="inlineStr">
        <is>
          <t>50</t>
        </is>
      </c>
      <c r="B284" t="inlineStr">
        <is>
          <t>RRD (Robert Ricci Design) Wavecult</t>
        </is>
      </c>
      <c r="C284" t="inlineStr">
        <is>
          <t>Wave</t>
        </is>
      </c>
      <c r="D284" s="3" t="n">
        <v>70</v>
      </c>
      <c r="E284" t="inlineStr"/>
      <c r="F284" s="4" t="inlineStr"/>
      <c r="G284" t="inlineStr">
        <is>
          <t>VB</t>
        </is>
      </c>
      <c r="H284" t="inlineStr">
        <is>
          <t>31275 Niedersachsen - Lehrte</t>
        </is>
      </c>
      <c r="I284" s="5" t="n">
        <v>45558</v>
      </c>
      <c r="J284" t="inlineStr"/>
      <c r="K284" s="6">
        <f>HYPERLINK("https://www.kleinanzeigen.de/s-anzeige/surf-board-rrd-robert-ricci-design-wavecult-50/2872182455-230-2910", "Link")</f>
        <v/>
      </c>
      <c r="L284" s="6">
        <f>HYPERLINK("C:\Projects\Kleinanzeigen-Scraper\offer_images\2872182455", "Link")</f>
        <v/>
      </c>
      <c r="M284" t="inlineStr">
        <is>
          <t>Jan Kramer</t>
        </is>
      </c>
      <c r="N284" s="6">
        <f>HYPERLINK("https://www.kleinanzeigen.de/s-bestandsliste.html?userId=10217806", "Link")</f>
        <v/>
      </c>
      <c r="O284" s="7" t="n">
        <v>45559.88094907408</v>
      </c>
      <c r="P284" s="3" t="inlineStr">
        <is>
          <t>265.47</t>
        </is>
      </c>
      <c r="Q284" t="inlineStr">
        <is>
          <t>Köln</t>
        </is>
      </c>
    </row>
    <row r="285">
      <c r="A285" t="inlineStr"/>
      <c r="B285" t="inlineStr">
        <is>
          <t>Starboard Futura</t>
        </is>
      </c>
      <c r="C285" t="inlineStr">
        <is>
          <t>Freeride</t>
        </is>
      </c>
      <c r="D285" s="3" t="n">
        <v>134</v>
      </c>
      <c r="E285" t="inlineStr"/>
      <c r="F285" s="4" t="n">
        <v>899</v>
      </c>
      <c r="G285" t="inlineStr">
        <is>
          <t>VB</t>
        </is>
      </c>
      <c r="H285" t="inlineStr">
        <is>
          <t>82296 Bayern - Schöngeising</t>
        </is>
      </c>
      <c r="I285" s="5" t="n">
        <v>45559</v>
      </c>
      <c r="J285" t="inlineStr"/>
      <c r="K285" s="6">
        <f>HYPERLINK("https://www.kleinanzeigen.de/s-anzeige/fast-neues-9starboard-futura-carbon-134l/2872963850-230-6318", "Link")</f>
        <v/>
      </c>
      <c r="L285" s="6">
        <f>HYPERLINK("C:\Projects\Kleinanzeigen-Scraper\offer_images\2872963850", "Link")</f>
        <v/>
      </c>
      <c r="M285" t="inlineStr">
        <is>
          <t>Mühlbauer</t>
        </is>
      </c>
      <c r="N285" s="6">
        <f>HYPERLINK("https://www.kleinanzeigen.de/s-bestandsliste.html?userId=40922065", "Link")</f>
        <v/>
      </c>
      <c r="O285" s="7" t="n">
        <v>45559.88091435185</v>
      </c>
      <c r="P285" s="3" t="inlineStr">
        <is>
          <t>27.63</t>
        </is>
      </c>
      <c r="Q285" t="inlineStr">
        <is>
          <t>München</t>
        </is>
      </c>
    </row>
    <row r="286">
      <c r="A286" t="inlineStr">
        <is>
          <t>105</t>
        </is>
      </c>
      <c r="B286" t="inlineStr">
        <is>
          <t>Tabou Rocket</t>
        </is>
      </c>
      <c r="C286" t="inlineStr">
        <is>
          <t>Freeride</t>
        </is>
      </c>
      <c r="D286" s="3" t="inlineStr"/>
      <c r="E286" t="inlineStr"/>
      <c r="F286" s="4" t="n">
        <v>230</v>
      </c>
      <c r="G286" t="inlineStr">
        <is>
          <t>VB</t>
        </is>
      </c>
      <c r="H286" t="inlineStr">
        <is>
          <t>85301 Bayern - Schweitenkirchen</t>
        </is>
      </c>
      <c r="I286" s="5" t="n">
        <v>45558</v>
      </c>
      <c r="J286" t="inlineStr"/>
      <c r="K286" s="6">
        <f>HYPERLINK("https://www.kleinanzeigen.de/s-anzeige/tabou-rocket-105-surfbrett-freeride-surfboard-windsurfbrett/2872119319-230-5847", "Link")</f>
        <v/>
      </c>
      <c r="L286" s="6">
        <f>HYPERLINK("C:\Projects\Kleinanzeigen-Scraper\offer_images\2872119319", "Link")</f>
        <v/>
      </c>
      <c r="M286" t="inlineStr">
        <is>
          <t>Michael Laußer</t>
        </is>
      </c>
      <c r="N286" s="6">
        <f>HYPERLINK("https://www.kleinanzeigen.de/s-bestandsliste.html?userId=6669985", "Link")</f>
        <v/>
      </c>
      <c r="O286" s="7" t="n">
        <v>45559.88049768518</v>
      </c>
      <c r="P286" s="3" t="inlineStr">
        <is>
          <t>43.29</t>
        </is>
      </c>
      <c r="Q286" t="inlineStr">
        <is>
          <t>München</t>
        </is>
      </c>
    </row>
    <row r="287">
      <c r="A287" t="inlineStr">
        <is>
          <t>212 x 62</t>
        </is>
      </c>
      <c r="B287" t="inlineStr">
        <is>
          <t>F2 Rodeo</t>
        </is>
      </c>
      <c r="C287" t="inlineStr">
        <is>
          <t>Freestyle</t>
        </is>
      </c>
      <c r="D287" s="3" t="n">
        <v>93</v>
      </c>
      <c r="E287" t="inlineStr">
        <is>
          <t>2021</t>
        </is>
      </c>
      <c r="F287" s="4" t="n">
        <v>430</v>
      </c>
      <c r="G287" t="inlineStr"/>
      <c r="H287" t="inlineStr">
        <is>
          <t>01219 Dresden - Leubnitz-Neuostra</t>
        </is>
      </c>
      <c r="I287" s="5" t="n">
        <v>45559</v>
      </c>
      <c r="J287" t="inlineStr"/>
      <c r="K287" s="6">
        <f>HYPERLINK("https://www.kleinanzeigen.de/s-anzeige/windsurf-board-f2-rodeo-93-aehnl-fanatic-skate-/2872437155-230-23485", "Link")</f>
        <v/>
      </c>
      <c r="L287" s="6">
        <f>HYPERLINK("C:\Projects\Kleinanzeigen-Scraper\offer_images\2872437155", "Link")</f>
        <v/>
      </c>
      <c r="M287" t="inlineStr">
        <is>
          <t>Thomas</t>
        </is>
      </c>
      <c r="N287" s="6">
        <f>HYPERLINK("https://www.kleinanzeigen.de/s-bestandsliste.html?userId=18237894", "Link")</f>
        <v/>
      </c>
      <c r="O287" s="7" t="n">
        <v>45559.87965277778</v>
      </c>
      <c r="P287" s="3" t="inlineStr">
        <is>
          <t>358.03</t>
        </is>
      </c>
      <c r="Q287" t="inlineStr">
        <is>
          <t>München</t>
        </is>
      </c>
    </row>
    <row r="288">
      <c r="A288" t="inlineStr">
        <is>
          <t>14x26</t>
        </is>
      </c>
      <c r="B288" t="inlineStr">
        <is>
          <t>Starboard Sup Allstar</t>
        </is>
      </c>
      <c r="C288" t="inlineStr">
        <is>
          <t>Race</t>
        </is>
      </c>
      <c r="D288" s="3" t="inlineStr"/>
      <c r="E288" t="inlineStr">
        <is>
          <t>2021</t>
        </is>
      </c>
      <c r="F288" s="4" t="n">
        <v>1.85</v>
      </c>
      <c r="G288" t="inlineStr">
        <is>
          <t>VB</t>
        </is>
      </c>
      <c r="H288" t="inlineStr">
        <is>
          <t>24601 Schleswig-Holstein - Wankendorf</t>
        </is>
      </c>
      <c r="I288" s="5" t="n">
        <v>45558</v>
      </c>
      <c r="J288" t="inlineStr"/>
      <c r="K288" s="6">
        <f>HYPERLINK("https://www.kleinanzeigen.de/s-anzeige/starboard-sup-allstar-14x26-wood-carbon-inkl-board-bag/2872071508-230-468", "Link")</f>
        <v/>
      </c>
      <c r="L288" s="6">
        <f>HYPERLINK("C:\Projects\Kleinanzeigen-Scraper\offer_images\2872071508", "Link")</f>
        <v/>
      </c>
      <c r="M288" t="inlineStr">
        <is>
          <t>Marsel</t>
        </is>
      </c>
      <c r="N288" s="6">
        <f>HYPERLINK("https://www.kleinanzeigen.de/s-bestandsliste.html?userId=144573673", "Link")</f>
        <v/>
      </c>
      <c r="O288" s="7" t="n">
        <v>45559.8786574074</v>
      </c>
      <c r="P288" s="3" t="inlineStr">
        <is>
          <t>417.26</t>
        </is>
      </c>
      <c r="Q288" t="inlineStr">
        <is>
          <t>Köln</t>
        </is>
      </c>
    </row>
    <row r="289">
      <c r="A289" t="inlineStr">
        <is>
          <t>226 x 56.5</t>
        </is>
      </c>
      <c r="B289" t="inlineStr">
        <is>
          <t>JP-Australia Ultimate Wave</t>
        </is>
      </c>
      <c r="C289" t="inlineStr">
        <is>
          <t>Wave</t>
        </is>
      </c>
      <c r="D289" s="3" t="n">
        <v>83</v>
      </c>
      <c r="E289" t="inlineStr">
        <is>
          <t>2019</t>
        </is>
      </c>
      <c r="F289" s="4" t="n">
        <v>655</v>
      </c>
      <c r="G289" t="inlineStr">
        <is>
          <t>VB</t>
        </is>
      </c>
      <c r="H289" t="inlineStr">
        <is>
          <t>34128 Hessen - Kassel</t>
        </is>
      </c>
      <c r="I289" s="5" t="n">
        <v>45558</v>
      </c>
      <c r="J289" t="inlineStr"/>
      <c r="K289" s="6">
        <f>HYPERLINK("https://www.kleinanzeigen.de/s-anzeige/jp-australia-ultimate-wave-windsurf-board-83l/2872161743-230-4927", "Link")</f>
        <v/>
      </c>
      <c r="L289" s="6">
        <f>HYPERLINK("C:\Projects\Kleinanzeigen-Scraper\offer_images\2872161743", "Link")</f>
        <v/>
      </c>
      <c r="M289" t="inlineStr">
        <is>
          <t>Hendrik Holzhauer</t>
        </is>
      </c>
      <c r="N289" s="6">
        <f>HYPERLINK("https://www.kleinanzeigen.de/s-bestandsliste.html?userId=51035239", "Link")</f>
        <v/>
      </c>
      <c r="O289" s="7" t="n">
        <v>45559.8780787037</v>
      </c>
      <c r="P289" s="3" t="inlineStr">
        <is>
          <t>178.92</t>
        </is>
      </c>
      <c r="Q289" t="inlineStr">
        <is>
          <t>Köln</t>
        </is>
      </c>
    </row>
    <row r="290">
      <c r="A290" t="inlineStr">
        <is>
          <t>3.60m</t>
        </is>
      </c>
      <c r="B290" t="inlineStr">
        <is>
          <t>DDR</t>
        </is>
      </c>
      <c r="C290" t="inlineStr"/>
      <c r="D290" s="3" t="inlineStr"/>
      <c r="E290" t="inlineStr"/>
      <c r="F290" s="4" t="inlineStr">
        <is>
          <t>Zu verschenken</t>
        </is>
      </c>
      <c r="G290" t="inlineStr"/>
      <c r="H290" t="inlineStr">
        <is>
          <t>16230 Brandenburg - Chorin</t>
        </is>
      </c>
      <c r="I290" s="5" t="n">
        <v>45558</v>
      </c>
      <c r="J290" t="inlineStr">
        <is>
          <t>Sold</t>
        </is>
      </c>
      <c r="K290" s="6">
        <f>HYPERLINK("https://www.kleinanzeigen.de/s-anzeige/ddr-surfbrett-surfboard-windsurf-brett-one-design-mit-mast-usw/2872185765-230-19508", "Link")</f>
        <v/>
      </c>
      <c r="L290" s="6">
        <f>HYPERLINK("C:\Projects\Kleinanzeigen-Scraper\offer_images\2872185765", "Link")</f>
        <v/>
      </c>
      <c r="M290" t="inlineStr">
        <is>
          <t>Andreas</t>
        </is>
      </c>
      <c r="N290" s="6">
        <f>HYPERLINK("https://www.kleinanzeigen.de/s-bestandsliste.html?userId=3957288", "Link")</f>
        <v/>
      </c>
      <c r="O290" s="7" t="n">
        <v>45559.87783564815</v>
      </c>
      <c r="P290" s="3" t="inlineStr">
        <is>
          <t>517.63</t>
        </is>
      </c>
      <c r="Q290" t="inlineStr">
        <is>
          <t>Köln</t>
        </is>
      </c>
    </row>
    <row r="291">
      <c r="A291" t="inlineStr">
        <is>
          <t>271 cm x 61 cm</t>
        </is>
      </c>
      <c r="B291" t="inlineStr">
        <is>
          <t>Fanatic Ultra Boa</t>
        </is>
      </c>
      <c r="C291" t="inlineStr">
        <is>
          <t>Wave/Slalom</t>
        </is>
      </c>
      <c r="D291" s="3" t="n">
        <v>95</v>
      </c>
      <c r="E291" t="inlineStr"/>
      <c r="F291" s="4" t="inlineStr"/>
      <c r="G291" t="inlineStr">
        <is>
          <t>VB</t>
        </is>
      </c>
      <c r="H291" t="inlineStr">
        <is>
          <t>20255 Eimsbüttel - Hamburg Eimsbüttel (Stadtteil)</t>
        </is>
      </c>
      <c r="I291" s="5" t="n">
        <v>45537</v>
      </c>
      <c r="J291" t="inlineStr">
        <is>
          <t>Sold</t>
        </is>
      </c>
      <c r="K291" s="6">
        <f>HYPERLINK("https://www.kleinanzeigen.de/s-anzeige/fanatic-ultra-boa-windsurfboard/2852843195-230-9428", "Link")</f>
        <v/>
      </c>
      <c r="L291" s="6">
        <f>HYPERLINK("C:\Projects\Kleinanzeigen-Scraper\offer_images\2852843195", "Link")</f>
        <v/>
      </c>
      <c r="M291" t="inlineStr">
        <is>
          <t>Marc</t>
        </is>
      </c>
      <c r="N291" s="6">
        <f>HYPERLINK("https://www.kleinanzeigen.de/s-bestandsliste.html?userId=13741572", "Link")</f>
        <v/>
      </c>
      <c r="O291" s="7" t="n">
        <v>45559.8778125</v>
      </c>
      <c r="P291" s="3" t="inlineStr">
        <is>
          <t>357.52</t>
        </is>
      </c>
      <c r="Q291" t="inlineStr">
        <is>
          <t>Köln</t>
        </is>
      </c>
    </row>
    <row r="292">
      <c r="A292" t="inlineStr">
        <is>
          <t>240cm x 63cm</t>
        </is>
      </c>
      <c r="B292" t="inlineStr">
        <is>
          <t>RRD FSW</t>
        </is>
      </c>
      <c r="C292" t="inlineStr">
        <is>
          <t>Freestylewave</t>
        </is>
      </c>
      <c r="D292" s="3" t="n">
        <v>110</v>
      </c>
      <c r="E292" t="inlineStr"/>
      <c r="F292" s="4" t="inlineStr"/>
      <c r="G292" t="inlineStr">
        <is>
          <t>VB</t>
        </is>
      </c>
      <c r="H292" t="inlineStr">
        <is>
          <t>96450 Bayern - Coburg</t>
        </is>
      </c>
      <c r="I292" s="5" t="n">
        <v>45559</v>
      </c>
      <c r="J292" t="inlineStr"/>
      <c r="K292" s="6">
        <f>HYPERLINK("https://www.kleinanzeigen.de/s-anzeige/rrd-fsw-110l-roberto-ricci-7-2kg-carbonflick-windsurfboard-bag/2872879388-230-6936", "Link")</f>
        <v/>
      </c>
      <c r="L292" s="6">
        <f>HYPERLINK("C:\Projects\Kleinanzeigen-Scraper\offer_images\2872879388", "Link")</f>
        <v/>
      </c>
      <c r="M292" t="inlineStr">
        <is>
          <t>m/w/d</t>
        </is>
      </c>
      <c r="N292" s="6">
        <f>HYPERLINK("https://www.kleinanzeigen.de/s-bestandsliste.html?userId=131136578", "Link")</f>
        <v/>
      </c>
      <c r="O292" s="7" t="n">
        <v>45559.87778935185</v>
      </c>
      <c r="P292" s="3" t="inlineStr">
        <is>
          <t>226.42</t>
        </is>
      </c>
      <c r="Q292" t="inlineStr">
        <is>
          <t>Böblingen</t>
        </is>
      </c>
    </row>
    <row r="293">
      <c r="A293" t="inlineStr">
        <is>
          <t>130</t>
        </is>
      </c>
      <c r="B293" t="inlineStr">
        <is>
          <t>Naish</t>
        </is>
      </c>
      <c r="C293" t="inlineStr">
        <is>
          <t>Free Wide</t>
        </is>
      </c>
      <c r="D293" s="3" t="inlineStr"/>
      <c r="E293" t="inlineStr"/>
      <c r="F293" s="4" t="n">
        <v>230</v>
      </c>
      <c r="G293" t="inlineStr"/>
      <c r="H293" t="inlineStr">
        <is>
          <t>24116 Kiel - Schreventeich-Hasseldieksdamm</t>
        </is>
      </c>
      <c r="I293" s="5" t="n">
        <v>45557</v>
      </c>
      <c r="J293" t="inlineStr">
        <is>
          <t>Sold</t>
        </is>
      </c>
      <c r="K293" s="6">
        <f>HYPERLINK("https://www.kleinanzeigen.de/s-anzeige/windsurfboard-naish-130-free-wide/2871042869-230-703", "Link")</f>
        <v/>
      </c>
      <c r="L293" s="6">
        <f>HYPERLINK("C:\Projects\Kleinanzeigen-Scraper\offer_images\2871042869", "Link")</f>
        <v/>
      </c>
      <c r="M293" t="inlineStr">
        <is>
          <t>Malte</t>
        </is>
      </c>
      <c r="N293" s="6">
        <f>HYPERLINK("https://www.kleinanzeigen.de/s-bestandsliste.html?userId=41815161", "Link")</f>
        <v/>
      </c>
      <c r="O293" s="7" t="n">
        <v>45559.87777777778</v>
      </c>
      <c r="P293" s="3" t="inlineStr">
        <is>
          <t>432.62</t>
        </is>
      </c>
      <c r="Q293" t="inlineStr">
        <is>
          <t>Köln</t>
        </is>
      </c>
    </row>
    <row r="294">
      <c r="A294" t="inlineStr">
        <is>
          <t>242 x 56 cm</t>
        </is>
      </c>
      <c r="B294" t="inlineStr">
        <is>
          <t>Starboard</t>
        </is>
      </c>
      <c r="C294" t="inlineStr">
        <is>
          <t>Wave</t>
        </is>
      </c>
      <c r="D294" s="3" t="n">
        <v>80</v>
      </c>
      <c r="E294" t="inlineStr"/>
      <c r="F294" s="4" t="inlineStr">
        <is>
          <t>Zu verschenken</t>
        </is>
      </c>
      <c r="G294" t="inlineStr"/>
      <c r="H294" t="inlineStr">
        <is>
          <t>45721 Nordrhein-Westfalen - Haltern am See</t>
        </is>
      </c>
      <c r="I294" s="5" t="n">
        <v>45558</v>
      </c>
      <c r="J294" t="inlineStr">
        <is>
          <t>Sold</t>
        </is>
      </c>
      <c r="K294" s="6">
        <f>HYPERLINK("https://www.kleinanzeigen.de/s-anzeige/starboard-80l-windsurfboard-mit-tasche-surfboard-waveboard/2872182105-230-1336", "Link")</f>
        <v/>
      </c>
      <c r="L294" s="6">
        <f>HYPERLINK("C:\Projects\Kleinanzeigen-Scraper\offer_images\2872182105", "Link")</f>
        <v/>
      </c>
      <c r="M294" t="inlineStr">
        <is>
          <t>Alexander</t>
        </is>
      </c>
      <c r="N294" s="6">
        <f>HYPERLINK("https://www.kleinanzeigen.de/s-bestandsliste.html?userId=1171247", "Link")</f>
        <v/>
      </c>
      <c r="O294" s="7" t="n">
        <v>45559.87775462963</v>
      </c>
      <c r="P294" s="3" t="inlineStr">
        <is>
          <t>95.03</t>
        </is>
      </c>
      <c r="Q294" t="inlineStr">
        <is>
          <t>Köln</t>
        </is>
      </c>
    </row>
    <row r="295">
      <c r="A295" t="inlineStr">
        <is>
          <t>76</t>
        </is>
      </c>
      <c r="B295" t="inlineStr">
        <is>
          <t>Tabou Da Curve</t>
        </is>
      </c>
      <c r="C295" t="inlineStr">
        <is>
          <t>Wave</t>
        </is>
      </c>
      <c r="D295" s="3" t="inlineStr"/>
      <c r="E295" t="inlineStr">
        <is>
          <t>2024</t>
        </is>
      </c>
      <c r="F295" s="4" t="n">
        <v>1.099</v>
      </c>
      <c r="G295" t="inlineStr">
        <is>
          <t>VB</t>
        </is>
      </c>
      <c r="H295" t="inlineStr">
        <is>
          <t>47877 Nordrhein-Westfalen - Willich</t>
        </is>
      </c>
      <c r="I295" s="5" t="n">
        <v>45559</v>
      </c>
      <c r="J295" t="inlineStr"/>
      <c r="K295" s="6">
        <f>HYPERLINK("https://www.kleinanzeigen.de/s-anzeige/verkaufe-2024-tabou-da-curve-76-top-/2873090489-230-1918", "Link")</f>
        <v/>
      </c>
      <c r="L295" s="6">
        <f>HYPERLINK("C:\Projects\Kleinanzeigen-Scraper\offer_images\2873090489", "Link")</f>
        <v/>
      </c>
      <c r="M295" t="inlineStr">
        <is>
          <t>Guido</t>
        </is>
      </c>
      <c r="N295" s="6">
        <f>HYPERLINK("https://www.kleinanzeigen.de/s-bestandsliste.html?userId=9331369", "Link")</f>
        <v/>
      </c>
      <c r="O295" s="7" t="n">
        <v>45559.87770833333</v>
      </c>
      <c r="P295" s="3" t="inlineStr">
        <is>
          <t>47.48</t>
        </is>
      </c>
      <c r="Q295" t="inlineStr">
        <is>
          <t>Köln</t>
        </is>
      </c>
    </row>
    <row r="296">
      <c r="A296" t="inlineStr">
        <is>
          <t>11'2" x 32" x 6"</t>
        </is>
      </c>
      <c r="B296" t="inlineStr">
        <is>
          <t>Starboard Blend Deluxe</t>
        </is>
      </c>
      <c r="C296" t="inlineStr">
        <is>
          <t>Inflatable SUP</t>
        </is>
      </c>
      <c r="D296" s="3" t="n">
        <v>340</v>
      </c>
      <c r="E296" t="inlineStr"/>
      <c r="F296" s="4" t="n">
        <v>499</v>
      </c>
      <c r="G296" t="inlineStr">
        <is>
          <t>VB</t>
        </is>
      </c>
      <c r="H296" t="inlineStr">
        <is>
          <t>21217 Niedersachsen - Seevetal</t>
        </is>
      </c>
      <c r="I296" s="5" t="n">
        <v>45558</v>
      </c>
      <c r="J296" t="inlineStr">
        <is>
          <t>Sold</t>
        </is>
      </c>
      <c r="K296" s="6">
        <f>HYPERLINK("https://www.kleinanzeigen.de/s-anzeige/starboard-inflatable-sup-11-2-blend-deluxe/2872068787-230-2812", "Link")</f>
        <v/>
      </c>
      <c r="L296" s="6">
        <f>HYPERLINK("C:\Projects\Kleinanzeigen-Scraper\offer_images\2872068787", "Link")</f>
        <v/>
      </c>
      <c r="M296" t="inlineStr">
        <is>
          <t>Joachim Flügge</t>
        </is>
      </c>
      <c r="N296" s="6">
        <f>HYPERLINK("https://www.kleinanzeigen.de/s-bestandsliste.html?userId=546571", "Link")</f>
        <v/>
      </c>
      <c r="O296" s="7" t="n">
        <v>45559.87615740741</v>
      </c>
      <c r="P296" s="3" t="inlineStr">
        <is>
          <t>348.89</t>
        </is>
      </c>
      <c r="Q296" t="inlineStr">
        <is>
          <t>Köln</t>
        </is>
      </c>
    </row>
    <row r="297">
      <c r="A297" t="inlineStr">
        <is>
          <t>200x80</t>
        </is>
      </c>
      <c r="B297" t="inlineStr">
        <is>
          <t>RRD Pocket Rocket</t>
        </is>
      </c>
      <c r="C297" t="inlineStr">
        <is>
          <t>Freeride</t>
        </is>
      </c>
      <c r="D297" s="3" t="n">
        <v>140</v>
      </c>
      <c r="E297" t="inlineStr"/>
      <c r="F297" s="4" t="n">
        <v>490</v>
      </c>
      <c r="G297" t="inlineStr">
        <is>
          <t>VB</t>
        </is>
      </c>
      <c r="H297" t="inlineStr">
        <is>
          <t>01558 Sachsen - Großenhain</t>
        </is>
      </c>
      <c r="I297" s="5" t="n">
        <v>45558</v>
      </c>
      <c r="J297" t="inlineStr"/>
      <c r="K297" s="6">
        <f>HYPERLINK("https://www.kleinanzeigen.de/s-anzeige/rrd-pocket-rocket/2872199928-230-3994", "Link")</f>
        <v/>
      </c>
      <c r="L297" s="6">
        <f>HYPERLINK("C:\Projects\Kleinanzeigen-Scraper\offer_images\2872199928", "Link")</f>
        <v/>
      </c>
      <c r="M297" t="inlineStr">
        <is>
          <t>Schmidt, Robert</t>
        </is>
      </c>
      <c r="N297" s="6">
        <f>HYPERLINK("https://www.kleinanzeigen.de/s-bestandsliste.html?userId=18600490", "Link")</f>
        <v/>
      </c>
      <c r="O297" s="7" t="n">
        <v>45559.87603009259</v>
      </c>
      <c r="P297" s="3" t="inlineStr">
        <is>
          <t>378.05</t>
        </is>
      </c>
      <c r="Q297" t="inlineStr">
        <is>
          <t>München</t>
        </is>
      </c>
    </row>
    <row r="298">
      <c r="A298" t="inlineStr">
        <is>
          <t>258 cm</t>
        </is>
      </c>
      <c r="B298" t="inlineStr">
        <is>
          <t>Fanatic Rip</t>
        </is>
      </c>
      <c r="C298" t="inlineStr">
        <is>
          <t>Wave</t>
        </is>
      </c>
      <c r="D298" s="3" t="n">
        <v>84</v>
      </c>
      <c r="E298" t="inlineStr"/>
      <c r="F298" s="4" t="n">
        <v>115</v>
      </c>
      <c r="G298" t="inlineStr"/>
      <c r="H298" t="inlineStr">
        <is>
          <t>65439 Hessen - Flörsheim am Main</t>
        </is>
      </c>
      <c r="I298" s="5" t="n">
        <v>45559</v>
      </c>
      <c r="J298" t="inlineStr"/>
      <c r="K298" s="6">
        <f>HYPERLINK("https://www.kleinanzeigen.de/s-anzeige/waveboard-fanatic-rip-258/2872932249-230-4438", "Link")</f>
        <v/>
      </c>
      <c r="L298" s="6">
        <f>HYPERLINK("C:\Projects\Kleinanzeigen-Scraper\offer_images\2872932249", "Link")</f>
        <v/>
      </c>
      <c r="M298" t="inlineStr">
        <is>
          <t>Klaus S.</t>
        </is>
      </c>
      <c r="N298" s="6">
        <f>HYPERLINK("https://www.kleinanzeigen.de/s-bestandsliste.html?userId=21638483", "Link")</f>
        <v/>
      </c>
      <c r="O298" s="7" t="n">
        <v>45559.87592592592</v>
      </c>
      <c r="P298" s="3" t="inlineStr">
        <is>
          <t>113.47</t>
        </is>
      </c>
      <c r="Q298" t="inlineStr">
        <is>
          <t>Karlsruhe</t>
        </is>
      </c>
    </row>
    <row r="299">
      <c r="A299" t="inlineStr"/>
      <c r="B299" t="inlineStr">
        <is>
          <t>Tabou Pocket</t>
        </is>
      </c>
      <c r="C299" t="inlineStr">
        <is>
          <t>Freestyle</t>
        </is>
      </c>
      <c r="D299" s="3" t="n">
        <v>75</v>
      </c>
      <c r="E299" t="inlineStr"/>
      <c r="F299" s="4" t="n">
        <v>200</v>
      </c>
      <c r="G299" t="inlineStr"/>
      <c r="H299" t="inlineStr">
        <is>
          <t>57489 Nordrhein-Westfalen - Drolshagen</t>
        </is>
      </c>
      <c r="I299" s="5" t="n">
        <v>45559</v>
      </c>
      <c r="J299" t="inlineStr"/>
      <c r="K299" s="6">
        <f>HYPERLINK("https://www.kleinanzeigen.de/s-anzeige/windsurf-board-tabou-pocket-75-liter/2873035495-230-1530", "Link")</f>
        <v/>
      </c>
      <c r="L299" s="6">
        <f>HYPERLINK("C:\Projects\Kleinanzeigen-Scraper\offer_images\2873035495", "Link")</f>
        <v/>
      </c>
      <c r="M299" t="inlineStr">
        <is>
          <t>Matthias</t>
        </is>
      </c>
      <c r="N299" s="6">
        <f>HYPERLINK("https://www.kleinanzeigen.de/s-bestandsliste.html?userId=24016153", "Link")</f>
        <v/>
      </c>
      <c r="O299" s="7" t="n">
        <v>45559.87560185185</v>
      </c>
      <c r="P299" s="3" t="inlineStr">
        <is>
          <t>58.85</t>
        </is>
      </c>
      <c r="Q299" t="inlineStr">
        <is>
          <t>Köln</t>
        </is>
      </c>
    </row>
    <row r="300">
      <c r="A300" t="inlineStr">
        <is>
          <t>240 x 68 cm</t>
        </is>
      </c>
      <c r="B300" t="inlineStr">
        <is>
          <t>Starboard Futura</t>
        </is>
      </c>
      <c r="C300" t="inlineStr">
        <is>
          <t>Freeride</t>
        </is>
      </c>
      <c r="D300" s="3" t="n">
        <v>110</v>
      </c>
      <c r="E300" t="inlineStr"/>
      <c r="F300" s="4" t="n">
        <v>950</v>
      </c>
      <c r="G300" t="inlineStr">
        <is>
          <t>VB</t>
        </is>
      </c>
      <c r="H300" t="inlineStr">
        <is>
          <t>82296 Bayern - Schöngeising</t>
        </is>
      </c>
      <c r="I300" s="5" t="n">
        <v>45559</v>
      </c>
      <c r="J300" t="inlineStr">
        <is>
          <t>Sold</t>
        </is>
      </c>
      <c r="K300" s="6">
        <f>HYPERLINK("https://www.kleinanzeigen.de/s-anzeige/neues-starboard-futura/2872977846-230-6318", "Link")</f>
        <v/>
      </c>
      <c r="L300" s="6">
        <f>HYPERLINK("C:\Projects\Kleinanzeigen-Scraper\offer_images\2872977846", "Link")</f>
        <v/>
      </c>
      <c r="M300" t="inlineStr">
        <is>
          <t>Mühlbauer</t>
        </is>
      </c>
      <c r="N300" s="6">
        <f>HYPERLINK("https://www.kleinanzeigen.de/s-bestandsliste.html?userId=40922065", "Link")</f>
        <v/>
      </c>
      <c r="O300" s="7" t="n">
        <v>45559.87547453704</v>
      </c>
      <c r="P300" s="3" t="inlineStr">
        <is>
          <t>27.63</t>
        </is>
      </c>
      <c r="Q300" t="inlineStr">
        <is>
          <t>München</t>
        </is>
      </c>
    </row>
    <row r="301">
      <c r="A301" t="inlineStr">
        <is>
          <t>91 cm</t>
        </is>
      </c>
      <c r="B301" t="inlineStr">
        <is>
          <t>JP Slalom Hydrofoil Pro</t>
        </is>
      </c>
      <c r="C301" t="inlineStr">
        <is>
          <t>Foil</t>
        </is>
      </c>
      <c r="D301" s="3" t="n">
        <v>180</v>
      </c>
      <c r="E301" t="inlineStr"/>
      <c r="F301" s="4" t="n">
        <v>699</v>
      </c>
      <c r="G301" t="inlineStr"/>
      <c r="H301" t="inlineStr">
        <is>
          <t>99991 Unstrut-Hainich - Weberstedt</t>
        </is>
      </c>
      <c r="I301" s="5" t="n">
        <v>45559</v>
      </c>
      <c r="J301" t="inlineStr"/>
      <c r="K301" s="6">
        <f>HYPERLINK("https://www.kleinanzeigen.de/s-anzeige/jp-slalom-hydrofoil-pro-windsurf-foil-board/2872318649-230-27803", "Link")</f>
        <v/>
      </c>
      <c r="L301" s="6">
        <f>HYPERLINK("C:\Projects\Kleinanzeigen-Scraper\offer_images\2872318649", "Link")</f>
        <v/>
      </c>
      <c r="M301" t="inlineStr">
        <is>
          <t>Dirk Kolberg</t>
        </is>
      </c>
      <c r="N301" s="6">
        <f>HYPERLINK("https://www.kleinanzeigen.de/s-bestandsliste.html?userId=57653293", "Link")</f>
        <v/>
      </c>
      <c r="O301" s="7" t="n">
        <v>45559.87511574074</v>
      </c>
      <c r="P301" s="3" t="inlineStr">
        <is>
          <t>254.19</t>
        </is>
      </c>
      <c r="Q301" t="inlineStr">
        <is>
          <t>Köln</t>
        </is>
      </c>
    </row>
    <row r="302">
      <c r="A302" t="inlineStr">
        <is>
          <t>255 cm</t>
        </is>
      </c>
      <c r="B302" t="inlineStr">
        <is>
          <t>Starboard Airplane</t>
        </is>
      </c>
      <c r="C302" t="inlineStr">
        <is>
          <t>SUP/Windsurf</t>
        </is>
      </c>
      <c r="D302" s="3" t="inlineStr"/>
      <c r="E302" t="inlineStr">
        <is>
          <t>3 years old</t>
        </is>
      </c>
      <c r="F302" s="4" t="n">
        <v>850</v>
      </c>
      <c r="G302" t="inlineStr">
        <is>
          <t>VB</t>
        </is>
      </c>
      <c r="H302" t="inlineStr">
        <is>
          <t>79588 Baden-Württemberg - Efringen-Kirchen</t>
        </is>
      </c>
      <c r="I302" s="5" t="n">
        <v>45559</v>
      </c>
      <c r="J302" t="inlineStr"/>
      <c r="K302" s="6">
        <f>HYPERLINK("https://www.kleinanzeigen.de/s-anzeige/air-sup-windsurf-board-starboard-airplane-255-aufblasbar-/2872970818-230-8078", "Link")</f>
        <v/>
      </c>
      <c r="L302" s="6">
        <f>HYPERLINK("C:\Projects\Kleinanzeigen-Scraper\offer_images\2872970818", "Link")</f>
        <v/>
      </c>
      <c r="M302" t="inlineStr">
        <is>
          <t>Trimpin</t>
        </is>
      </c>
      <c r="N302" s="6">
        <f>HYPERLINK("https://www.kleinanzeigen.de/s-bestandsliste.html?userId=9032249", "Link")</f>
        <v/>
      </c>
      <c r="O302" s="7" t="n">
        <v>45559.87506944445</v>
      </c>
      <c r="P302" s="3" t="inlineStr">
        <is>
          <t>59.78</t>
        </is>
      </c>
      <c r="Q302" t="inlineStr">
        <is>
          <t>Bonndorf</t>
        </is>
      </c>
    </row>
    <row r="303">
      <c r="A303" t="inlineStr">
        <is>
          <t>84</t>
        </is>
      </c>
      <c r="B303" t="inlineStr">
        <is>
          <t>Goya Custom Quad</t>
        </is>
      </c>
      <c r="C303" t="inlineStr">
        <is>
          <t>Freestyle</t>
        </is>
      </c>
      <c r="D303" s="3" t="inlineStr"/>
      <c r="E303" t="inlineStr">
        <is>
          <t>2018</t>
        </is>
      </c>
      <c r="F303" s="4" t="n">
        <v>500</v>
      </c>
      <c r="G303" t="inlineStr">
        <is>
          <t>VB</t>
        </is>
      </c>
      <c r="H303" t="inlineStr">
        <is>
          <t>82223 Bayern - Eichenau</t>
        </is>
      </c>
      <c r="I303" s="5" t="n">
        <v>45559</v>
      </c>
      <c r="J303" t="inlineStr"/>
      <c r="K303" s="6">
        <f>HYPERLINK("https://www.kleinanzeigen.de/s-anzeige/goya-custom-quad-84-2018-/2872443784-230-16921", "Link")</f>
        <v/>
      </c>
      <c r="L303" s="6">
        <f>HYPERLINK("C:\Projects\Kleinanzeigen-Scraper\offer_images\2872443784", "Link")</f>
        <v/>
      </c>
      <c r="M303" t="inlineStr">
        <is>
          <t>Stefan</t>
        </is>
      </c>
      <c r="N303" s="6">
        <f>HYPERLINK("https://www.kleinanzeigen.de/s-bestandsliste.html?userId=30451407", "Link")</f>
        <v/>
      </c>
      <c r="O303" s="7" t="n">
        <v>45559.87480324074</v>
      </c>
      <c r="P303" s="3" t="inlineStr">
        <is>
          <t>19.02</t>
        </is>
      </c>
      <c r="Q303" t="inlineStr">
        <is>
          <t>München</t>
        </is>
      </c>
    </row>
    <row r="304">
      <c r="A304" t="inlineStr">
        <is>
          <t>11'2" x 31" x 5.5"</t>
        </is>
      </c>
      <c r="B304" t="inlineStr">
        <is>
          <t>Starboard IGo</t>
        </is>
      </c>
      <c r="C304" t="inlineStr">
        <is>
          <t>Allrounder</t>
        </is>
      </c>
      <c r="D304" s="3" t="n">
        <v>319</v>
      </c>
      <c r="E304" t="inlineStr">
        <is>
          <t>2022</t>
        </is>
      </c>
      <c r="F304" s="4" t="n">
        <v>350</v>
      </c>
      <c r="G304" t="inlineStr"/>
      <c r="H304" t="inlineStr">
        <is>
          <t>04416 Sachsen - Markkleeberg</t>
        </is>
      </c>
      <c r="I304" s="5" t="n">
        <v>45559</v>
      </c>
      <c r="J304" t="inlineStr"/>
      <c r="K304" s="6">
        <f>HYPERLINK("https://www.kleinanzeigen.de/s-anzeige/stand-up-paddle-board-starboard-igo-11-2-aufblasbar/2872297690-230-3911", "Link")</f>
        <v/>
      </c>
      <c r="L304" s="6">
        <f>HYPERLINK("C:\Projects\Kleinanzeigen-Scraper\offer_images\2872297690", "Link")</f>
        <v/>
      </c>
      <c r="M304" t="inlineStr">
        <is>
          <t>ALL-on-SEA</t>
        </is>
      </c>
      <c r="N304" s="6">
        <f>HYPERLINK("https://www.kleinanzeigen.de/s-bestandsliste.html?userId=67056706", "Link")</f>
        <v/>
      </c>
      <c r="O304" s="7" t="n">
        <v>45559.87458333333</v>
      </c>
      <c r="P304" s="3" t="inlineStr">
        <is>
          <t>353.27</t>
        </is>
      </c>
      <c r="Q304" t="inlineStr">
        <is>
          <t>München</t>
        </is>
      </c>
    </row>
    <row r="305">
      <c r="A305" t="inlineStr">
        <is>
          <t>Dimensions not specified</t>
        </is>
      </c>
      <c r="B305" t="inlineStr">
        <is>
          <t>Fanatic Falcon</t>
        </is>
      </c>
      <c r="C305" t="inlineStr"/>
      <c r="D305" s="3" t="n">
        <v>115</v>
      </c>
      <c r="E305" t="inlineStr"/>
      <c r="F305" s="4" t="n">
        <v>1</v>
      </c>
      <c r="G305" t="inlineStr">
        <is>
          <t>VB</t>
        </is>
      </c>
      <c r="H305" t="inlineStr">
        <is>
          <t>49509 Nordrhein-Westfalen - Recke</t>
        </is>
      </c>
      <c r="I305" s="5" t="n">
        <v>45559</v>
      </c>
      <c r="J305" t="inlineStr"/>
      <c r="K305" s="6">
        <f>HYPERLINK("https://www.kleinanzeigen.de/s-anzeige/fanatic-falcon-surfboard/2872526196-230-1911", "Link")</f>
        <v/>
      </c>
      <c r="L305" s="6">
        <f>HYPERLINK("C:\Projects\Kleinanzeigen-Scraper\offer_images\2872526196", "Link")</f>
        <v/>
      </c>
      <c r="M305" t="inlineStr">
        <is>
          <t>Rainer</t>
        </is>
      </c>
      <c r="N305" s="6">
        <f>HYPERLINK("https://www.kleinanzeigen.de/s-bestandsliste.html?userId=7954103", "Link")</f>
        <v/>
      </c>
      <c r="O305" s="7" t="n">
        <v>45559.87443287037</v>
      </c>
      <c r="P305" s="3" t="inlineStr">
        <is>
          <t>165.95</t>
        </is>
      </c>
      <c r="Q305" t="inlineStr">
        <is>
          <t>Köln</t>
        </is>
      </c>
    </row>
    <row r="306">
      <c r="A306" t="inlineStr"/>
      <c r="B306" t="inlineStr">
        <is>
          <t>Naish</t>
        </is>
      </c>
      <c r="C306" t="inlineStr"/>
      <c r="D306" s="3" t="inlineStr"/>
      <c r="E306" t="inlineStr"/>
      <c r="F306" s="4" t="n">
        <v>1.1</v>
      </c>
      <c r="G306" t="inlineStr">
        <is>
          <t>VB</t>
        </is>
      </c>
      <c r="H306" t="inlineStr">
        <is>
          <t>53604 Nordrhein-Westfalen - Bad Honnef</t>
        </is>
      </c>
      <c r="I306" s="5" t="n">
        <v>45559</v>
      </c>
      <c r="J306" t="inlineStr"/>
      <c r="K306" s="6">
        <f>HYPERLINK("https://www.kleinanzeigen.de/s-anzeige/naish-stand-up-paddeling-hardboard/2872520200-230-1629", "Link")</f>
        <v/>
      </c>
      <c r="L306" s="6">
        <f>HYPERLINK("C:\Projects\Kleinanzeigen-Scraper\offer_images\2872520200", "Link")</f>
        <v/>
      </c>
      <c r="M306" t="inlineStr">
        <is>
          <t>Carina</t>
        </is>
      </c>
      <c r="N306" s="6">
        <f>HYPERLINK("https://www.kleinanzeigen.de/s-bestandsliste.html?userId=57939042", "Link")</f>
        <v/>
      </c>
      <c r="O306" s="7" t="n">
        <v>45559.87416666667</v>
      </c>
      <c r="P306" s="3" t="inlineStr">
        <is>
          <t>39.38</t>
        </is>
      </c>
      <c r="Q306" t="inlineStr">
        <is>
          <t>Köln</t>
        </is>
      </c>
    </row>
    <row r="307">
      <c r="A307" t="inlineStr">
        <is>
          <t>98</t>
        </is>
      </c>
      <c r="B307" t="inlineStr">
        <is>
          <t>Goya Custom 3</t>
        </is>
      </c>
      <c r="C307" t="inlineStr">
        <is>
          <t>Wave</t>
        </is>
      </c>
      <c r="D307" s="3" t="inlineStr"/>
      <c r="E307" t="inlineStr">
        <is>
          <t>2020/21</t>
        </is>
      </c>
      <c r="F307" s="4" t="n">
        <v>770</v>
      </c>
      <c r="G307" t="inlineStr">
        <is>
          <t>VB</t>
        </is>
      </c>
      <c r="H307" t="inlineStr">
        <is>
          <t>71691 Baden-Württemberg - Freiberg am Neckar</t>
        </is>
      </c>
      <c r="I307" s="5" t="n">
        <v>45558</v>
      </c>
      <c r="J307" t="inlineStr"/>
      <c r="K307" s="6">
        <f>HYPERLINK("https://www.kleinanzeigen.de/s-anzeige/goya-98-custom-3-thruster-2020-21-waveboard/2872186373-230-8900", "Link")</f>
        <v/>
      </c>
      <c r="L307" s="6">
        <f>HYPERLINK("C:\Projects\Kleinanzeigen-Scraper\offer_images\2872186373", "Link")</f>
        <v/>
      </c>
      <c r="M307" t="inlineStr">
        <is>
          <t>Alex Funk</t>
        </is>
      </c>
      <c r="N307" s="6">
        <f>HYPERLINK("https://www.kleinanzeigen.de/s-bestandsliste.html?userId=6169696", "Link")</f>
        <v/>
      </c>
      <c r="O307" s="7" t="n">
        <v>45559.87405092592</v>
      </c>
      <c r="P307" s="3" t="inlineStr">
        <is>
          <t>32.49</t>
        </is>
      </c>
      <c r="Q307" t="inlineStr">
        <is>
          <t>Böblingen</t>
        </is>
      </c>
    </row>
    <row r="308">
      <c r="A308" t="inlineStr"/>
      <c r="B308" t="inlineStr">
        <is>
          <t>Fanatic</t>
        </is>
      </c>
      <c r="C308" t="inlineStr">
        <is>
          <t>Freeride</t>
        </is>
      </c>
      <c r="D308" s="3" t="inlineStr"/>
      <c r="E308" t="inlineStr"/>
      <c r="F308" s="4" t="n">
        <v>75</v>
      </c>
      <c r="G308" t="inlineStr"/>
      <c r="H308" t="inlineStr">
        <is>
          <t>31234 Niedersachsen - Edemissen</t>
        </is>
      </c>
      <c r="I308" s="5" t="n">
        <v>45558</v>
      </c>
      <c r="J308" t="inlineStr"/>
      <c r="K308" s="6">
        <f>HYPERLINK("https://www.kleinanzeigen.de/s-anzeige/surfbrett-fanatic/2872188136-230-2673", "Link")</f>
        <v/>
      </c>
      <c r="L308" s="6">
        <f>HYPERLINK("C:\Projects\Kleinanzeigen-Scraper\offer_images\2872188136", "Link")</f>
        <v/>
      </c>
      <c r="M308" t="inlineStr">
        <is>
          <t>regina warmbold</t>
        </is>
      </c>
      <c r="N308" s="6">
        <f>HYPERLINK("https://www.kleinanzeigen.de/s-bestandsliste.html?userId=31424736", "Link")</f>
        <v/>
      </c>
      <c r="O308" s="7" t="n">
        <v>45559.87405092592</v>
      </c>
      <c r="P308" s="3" t="inlineStr">
        <is>
          <t>283.16</t>
        </is>
      </c>
      <c r="Q308" t="inlineStr">
        <is>
          <t>Köln</t>
        </is>
      </c>
    </row>
    <row r="309">
      <c r="A309" t="inlineStr">
        <is>
          <t>11'6" / 32" / 6"</t>
        </is>
      </c>
      <c r="B309" t="inlineStr">
        <is>
          <t>Naish S26 Alana Air</t>
        </is>
      </c>
      <c r="C309" t="inlineStr">
        <is>
          <t>Touring</t>
        </is>
      </c>
      <c r="D309" s="3" t="inlineStr"/>
      <c r="E309" t="inlineStr"/>
      <c r="F309" s="4" t="n">
        <v>490</v>
      </c>
      <c r="G309" t="inlineStr"/>
      <c r="H309" t="inlineStr">
        <is>
          <t>91301 Bayern - Forchheim</t>
        </is>
      </c>
      <c r="I309" s="5" t="n">
        <v>45558</v>
      </c>
      <c r="J309" t="inlineStr"/>
      <c r="K309" s="6">
        <f>HYPERLINK("https://www.kleinanzeigen.de/s-anzeige/naish-premium-board-neu/2872077212-230-6278", "Link")</f>
        <v/>
      </c>
      <c r="L309" s="6">
        <f>HYPERLINK("C:\Projects\Kleinanzeigen-Scraper\offer_images\2872077212", "Link")</f>
        <v/>
      </c>
      <c r="M309" t="inlineStr">
        <is>
          <t>Jürgen</t>
        </is>
      </c>
      <c r="N309" s="6">
        <f>HYPERLINK("https://www.kleinanzeigen.de/s-bestandsliste.html?userId=53036482", "Link")</f>
        <v/>
      </c>
      <c r="O309" s="7" t="n">
        <v>45559.87385416667</v>
      </c>
      <c r="P309" s="3" t="inlineStr">
        <is>
          <t>180.34</t>
        </is>
      </c>
      <c r="Q309" t="inlineStr">
        <is>
          <t>München</t>
        </is>
      </c>
    </row>
    <row r="310">
      <c r="A310" t="inlineStr"/>
      <c r="B310" t="inlineStr">
        <is>
          <t>Fanatic BAT</t>
        </is>
      </c>
      <c r="C310" t="inlineStr"/>
      <c r="D310" s="3" t="inlineStr"/>
      <c r="E310" t="inlineStr"/>
      <c r="F310" s="4" t="n">
        <v>60</v>
      </c>
      <c r="G310" t="inlineStr">
        <is>
          <t>VB</t>
        </is>
      </c>
      <c r="H310" t="inlineStr">
        <is>
          <t>25474 Kreis Pinneberg - Hasloh</t>
        </is>
      </c>
      <c r="I310" s="5" t="n">
        <v>45559</v>
      </c>
      <c r="J310" t="inlineStr"/>
      <c r="K310" s="6">
        <f>HYPERLINK("https://www.kleinanzeigen.de/s-anzeige/windsurfboard-fanatic-bat-surfbrett/2872854621-230-799", "Link")</f>
        <v/>
      </c>
      <c r="L310" s="6">
        <f>HYPERLINK("C:\Projects\Kleinanzeigen-Scraper\offer_images\2872854621", "Link")</f>
        <v/>
      </c>
      <c r="M310" t="inlineStr">
        <is>
          <t>SR</t>
        </is>
      </c>
      <c r="N310" s="6">
        <f>HYPERLINK("https://www.kleinanzeigen.de/s-bestandsliste.html?userId=13740698", "Link")</f>
        <v/>
      </c>
      <c r="O310" s="7" t="n">
        <v>45559.87346064814</v>
      </c>
      <c r="P310" s="3" t="inlineStr">
        <is>
          <t>365.65</t>
        </is>
      </c>
      <c r="Q310" t="inlineStr">
        <is>
          <t>Köln</t>
        </is>
      </c>
    </row>
    <row r="311">
      <c r="A311" t="inlineStr">
        <is>
          <t>381cm x 64cm x 13cm</t>
        </is>
      </c>
      <c r="B311" t="inlineStr">
        <is>
          <t>JP Australia Race Flatwater Festboard</t>
        </is>
      </c>
      <c r="C311" t="inlineStr">
        <is>
          <t>Race</t>
        </is>
      </c>
      <c r="D311" s="3" t="n">
        <v>232</v>
      </c>
      <c r="E311" t="inlineStr"/>
      <c r="F311" s="4" t="inlineStr"/>
      <c r="G311" t="inlineStr">
        <is>
          <t>VB</t>
        </is>
      </c>
      <c r="H311" t="inlineStr">
        <is>
          <t>78464 Baden-Württemberg - Konstanz</t>
        </is>
      </c>
      <c r="I311" s="5" t="n">
        <v>45559</v>
      </c>
      <c r="J311" t="inlineStr"/>
      <c r="K311" s="6">
        <f>HYPERLINK("https://www.kleinanzeigen.de/s-anzeige/jp-australia-race-flatwater-festboard/2873025252-230-9387", "Link")</f>
        <v/>
      </c>
      <c r="L311" s="6">
        <f>HYPERLINK("C:\Projects\Kleinanzeigen-Scraper\offer_images\2873025252", "Link")</f>
        <v/>
      </c>
      <c r="M311" t="inlineStr">
        <is>
          <t>Tine</t>
        </is>
      </c>
      <c r="N311" s="6">
        <f>HYPERLINK("https://www.kleinanzeigen.de/s-bestandsliste.html?userId=34145719", "Link")</f>
        <v/>
      </c>
      <c r="O311" s="7" t="n">
        <v>45559.873125</v>
      </c>
      <c r="P311" s="3" t="inlineStr">
        <is>
          <t>66.23</t>
        </is>
      </c>
      <c r="Q311" t="inlineStr">
        <is>
          <t>Bonndorf</t>
        </is>
      </c>
    </row>
    <row r="312">
      <c r="A312" t="inlineStr"/>
      <c r="B312" t="inlineStr">
        <is>
          <t>Naish One</t>
        </is>
      </c>
      <c r="C312" t="inlineStr"/>
      <c r="D312" s="3" t="inlineStr"/>
      <c r="E312" t="inlineStr">
        <is>
          <t>4</t>
        </is>
      </c>
      <c r="F312" s="4" t="n">
        <v>280</v>
      </c>
      <c r="G312" t="inlineStr">
        <is>
          <t>VB</t>
        </is>
      </c>
      <c r="H312" t="inlineStr">
        <is>
          <t>58710 Nordrhein-Westfalen - Menden</t>
        </is>
      </c>
      <c r="I312" s="5" t="n">
        <v>45558</v>
      </c>
      <c r="J312" t="inlineStr"/>
      <c r="K312" s="6">
        <f>HYPERLINK("https://www.kleinanzeigen.de/s-anzeige/naish-one-isup/2872275787-230-1820", "Link")</f>
        <v/>
      </c>
      <c r="L312" s="6">
        <f>HYPERLINK("C:\Projects\Kleinanzeigen-Scraper\offer_images\2872275787", "Link")</f>
        <v/>
      </c>
      <c r="M312" t="inlineStr">
        <is>
          <t>Michael Berndt</t>
        </is>
      </c>
      <c r="N312" s="6">
        <f>HYPERLINK("https://www.kleinanzeigen.de/s-bestandsliste.html?userId=49301644", "Link")</f>
        <v/>
      </c>
      <c r="O312" s="7" t="n">
        <v>45559.87310185185</v>
      </c>
      <c r="P312" s="3" t="inlineStr">
        <is>
          <t>80.55</t>
        </is>
      </c>
      <c r="Q312" t="inlineStr">
        <is>
          <t>Köln</t>
        </is>
      </c>
    </row>
    <row r="313">
      <c r="A313" t="inlineStr">
        <is>
          <t>329 cm x 81 cm x 15 cm</t>
        </is>
      </c>
      <c r="B313" t="inlineStr">
        <is>
          <t>F2 Sport</t>
        </is>
      </c>
      <c r="C313" t="inlineStr">
        <is>
          <t>Stand Up Paddle Board with Windsurf option</t>
        </is>
      </c>
      <c r="D313" s="3" t="inlineStr"/>
      <c r="E313" t="inlineStr"/>
      <c r="F313" s="4" t="n">
        <v>195</v>
      </c>
      <c r="G313" t="inlineStr"/>
      <c r="H313" t="inlineStr">
        <is>
          <t>24340 Schleswig-Holstein - Eckernförde</t>
        </is>
      </c>
      <c r="I313" s="5" t="n">
        <v>45558</v>
      </c>
      <c r="J313" t="inlineStr"/>
      <c r="K313" s="6">
        <f>HYPERLINK("https://www.kleinanzeigen.de/s-anzeige/f2-sup-board-stand-up-paddle-board-paddel-bord-windsurf/2871783745-230-13234", "Link")</f>
        <v/>
      </c>
      <c r="L313" s="6">
        <f>HYPERLINK("C:\Projects\Kleinanzeigen-Scraper\offer_images\2871783745", "Link")</f>
        <v/>
      </c>
      <c r="M313" t="inlineStr">
        <is>
          <t>WasserSport Lienau</t>
        </is>
      </c>
      <c r="N313" s="6">
        <f>HYPERLINK("https://www.kleinanzeigen.de/s-bestandsliste.html?userId=136524986", "Link")</f>
        <v/>
      </c>
      <c r="O313" s="7" t="n">
        <v>45559.87310185185</v>
      </c>
      <c r="P313" s="3" t="inlineStr">
        <is>
          <t>434.69</t>
        </is>
      </c>
      <c r="Q313" t="inlineStr">
        <is>
          <t>Köln</t>
        </is>
      </c>
    </row>
    <row r="314">
      <c r="A314" t="inlineStr"/>
      <c r="B314" t="inlineStr">
        <is>
          <t>Tabou Rocket 80</t>
        </is>
      </c>
      <c r="C314" t="inlineStr">
        <is>
          <t>Freeride</t>
        </is>
      </c>
      <c r="D314" s="3" t="n">
        <v>150</v>
      </c>
      <c r="E314" t="inlineStr"/>
      <c r="F314" s="4" t="n">
        <v>750</v>
      </c>
      <c r="G314" t="inlineStr"/>
      <c r="H314" t="inlineStr">
        <is>
          <t>22589 Altona - Hamburg Iserbrook</t>
        </is>
      </c>
      <c r="I314" s="5" t="n">
        <v>45558</v>
      </c>
      <c r="J314" t="inlineStr"/>
      <c r="K314" s="6">
        <f>HYPERLINK("https://www.kleinanzeigen.de/s-anzeige/surfboard-tabou-rocket-80-komplett-mit-4-riggs/2872027991-230-9510", "Link")</f>
        <v/>
      </c>
      <c r="L314" s="6">
        <f>HYPERLINK("C:\Projects\Kleinanzeigen-Scraper\offer_images\2872027991", "Link")</f>
        <v/>
      </c>
      <c r="M314" t="inlineStr">
        <is>
          <t>Jochen Heins</t>
        </is>
      </c>
      <c r="N314" s="6">
        <f>HYPERLINK("https://www.kleinanzeigen.de/s-bestandsliste.html?userId=26721403", "Link")</f>
        <v/>
      </c>
      <c r="O314" s="7" t="n">
        <v>45559.87230324074</v>
      </c>
      <c r="P314" s="3" t="inlineStr">
        <is>
          <t>352.31</t>
        </is>
      </c>
      <c r="Q314" t="inlineStr">
        <is>
          <t>Köln</t>
        </is>
      </c>
    </row>
    <row r="315">
      <c r="A315" t="inlineStr">
        <is>
          <t>237x62</t>
        </is>
      </c>
      <c r="B315" t="inlineStr">
        <is>
          <t>Tabou 3S</t>
        </is>
      </c>
      <c r="C315" t="inlineStr">
        <is>
          <t>Freewave</t>
        </is>
      </c>
      <c r="D315" s="3" t="n">
        <v>97</v>
      </c>
      <c r="E315" t="inlineStr"/>
      <c r="F315" s="4" t="n">
        <v>90</v>
      </c>
      <c r="G315" t="inlineStr"/>
      <c r="H315" t="inlineStr">
        <is>
          <t>25336 Schleswig-Holstein - Elmshorn</t>
        </is>
      </c>
      <c r="I315" s="5" t="n">
        <v>45361</v>
      </c>
      <c r="J315" t="inlineStr">
        <is>
          <t>Sold</t>
        </is>
      </c>
      <c r="K315" s="6">
        <f>HYPERLINK("https://www.kleinanzeigen.de/s-anzeige/tabou-3s-97-l-windsurfboard-237x62cm/2702511487-230-19115", "Link")</f>
        <v/>
      </c>
      <c r="L315" s="6">
        <f>HYPERLINK("C:\Projects\Kleinanzeigen-Scraper\offer_images\2702511487", "Link")</f>
        <v/>
      </c>
      <c r="M315" t="inlineStr">
        <is>
          <t>Dirk Kamlah</t>
        </is>
      </c>
      <c r="N315" s="6">
        <f>HYPERLINK("https://www.kleinanzeigen.de/s-bestandsliste.html?userId=12306815", "Link")</f>
        <v/>
      </c>
      <c r="O315" s="7" t="n">
        <v>45559.87224537037</v>
      </c>
      <c r="P315" s="3" t="inlineStr">
        <is>
          <t>361.17</t>
        </is>
      </c>
      <c r="Q315" t="inlineStr">
        <is>
          <t>Köln</t>
        </is>
      </c>
    </row>
    <row r="316">
      <c r="A316" t="inlineStr">
        <is>
          <t>283 x 69</t>
        </is>
      </c>
      <c r="B316" t="inlineStr">
        <is>
          <t>Bic Techno</t>
        </is>
      </c>
      <c r="C316" t="inlineStr">
        <is>
          <t>Freeride Race</t>
        </is>
      </c>
      <c r="D316" s="3" t="n">
        <v>152</v>
      </c>
      <c r="E316" t="inlineStr"/>
      <c r="F316" s="4" t="n">
        <v>130</v>
      </c>
      <c r="G316" t="inlineStr"/>
      <c r="H316" t="inlineStr">
        <is>
          <t>17493 Greifswald</t>
        </is>
      </c>
      <c r="I316" s="5" t="n">
        <v>45558</v>
      </c>
      <c r="J316" t="inlineStr"/>
      <c r="K316" s="6">
        <f>HYPERLINK("https://www.dailydose.de/kleinanzeigen/detail.htm?ai=423071&amp;cf=kk&amp;pg=3&amp;ci=11", "Link")</f>
        <v/>
      </c>
      <c r="L316" s="6">
        <f>HYPERLINK("C:\Projects\Kleinanzeigen-Scraper\offer_images\423071", "Link")</f>
        <v/>
      </c>
      <c r="M316" t="inlineStr">
        <is>
          <t>carsten_17</t>
        </is>
      </c>
      <c r="N316" s="6">
        <f>HYPERLINK("https://www.dailydose.de/kleinanzeigen/user/6151", "Link")</f>
        <v/>
      </c>
      <c r="O316" s="7" t="n">
        <v>45558.74855324074</v>
      </c>
      <c r="P316" s="3" t="inlineStr">
        <is>
          <t>561.43</t>
        </is>
      </c>
      <c r="Q316" t="inlineStr">
        <is>
          <t>Köln</t>
        </is>
      </c>
    </row>
    <row r="317">
      <c r="A317" t="inlineStr">
        <is>
          <t>242 x 64</t>
        </is>
      </c>
      <c r="B317" t="inlineStr">
        <is>
          <t>Tabou Rocket</t>
        </is>
      </c>
      <c r="C317" t="inlineStr">
        <is>
          <t>Freeride</t>
        </is>
      </c>
      <c r="D317" s="3" t="n">
        <v>115</v>
      </c>
      <c r="E317" t="inlineStr"/>
      <c r="F317" s="4" t="n">
        <v>290</v>
      </c>
      <c r="G317" t="inlineStr"/>
      <c r="H317" t="inlineStr">
        <is>
          <t>17493 Greifswald</t>
        </is>
      </c>
      <c r="I317" s="5" t="n">
        <v>45558</v>
      </c>
      <c r="J317" t="inlineStr"/>
      <c r="K317" s="6">
        <f>HYPERLINK("https://www.dailydose.de/kleinanzeigen/detail.htm?ai=423072&amp;cf=kk&amp;pg=3&amp;ci=11", "Link")</f>
        <v/>
      </c>
      <c r="L317" s="6">
        <f>HYPERLINK("C:\Projects\Kleinanzeigen-Scraper\offer_images\423072", "Link")</f>
        <v/>
      </c>
      <c r="M317" t="inlineStr">
        <is>
          <t>carsten_17</t>
        </is>
      </c>
      <c r="N317" s="6">
        <f>HYPERLINK("https://www.dailydose.de/kleinanzeigen/user/6151", "Link")</f>
        <v/>
      </c>
      <c r="O317" s="7" t="n">
        <v>45558.74515046296</v>
      </c>
      <c r="P317" s="3" t="inlineStr">
        <is>
          <t>561.43</t>
        </is>
      </c>
      <c r="Q317" t="inlineStr">
        <is>
          <t>Köln</t>
        </is>
      </c>
    </row>
    <row r="318">
      <c r="A318" t="inlineStr">
        <is>
          <t>242 x 56 cm</t>
        </is>
      </c>
      <c r="B318" t="inlineStr">
        <is>
          <t>Starboard</t>
        </is>
      </c>
      <c r="C318" t="inlineStr">
        <is>
          <t>Wave</t>
        </is>
      </c>
      <c r="D318" s="3" t="n">
        <v>80</v>
      </c>
      <c r="E318" t="inlineStr"/>
      <c r="F318" s="4" t="inlineStr">
        <is>
          <t>Zu verschenken</t>
        </is>
      </c>
      <c r="G318" t="inlineStr"/>
      <c r="H318" t="inlineStr">
        <is>
          <t>45721 Nordrhein-Westfalen - Haltern am See</t>
        </is>
      </c>
      <c r="I318" s="5" t="n">
        <v>45553</v>
      </c>
      <c r="J318" t="inlineStr">
        <is>
          <t>Sold</t>
        </is>
      </c>
      <c r="K318" s="6">
        <f>HYPERLINK("https://www.kleinanzeigen.de/s-anzeige/starboard-80l-windsurfboard-mit-tasche-surfboard-waveboard/2867334930-230-1336", "Link")</f>
        <v/>
      </c>
      <c r="L318" s="6">
        <f>HYPERLINK("C:\Projects\Kleinanzeigen-Scraper\offer_images\2867334930", "Link")</f>
        <v/>
      </c>
      <c r="M318" t="inlineStr">
        <is>
          <t>Alexander</t>
        </is>
      </c>
      <c r="N318" s="6">
        <f>HYPERLINK("https://www.kleinanzeigen.de/s-bestandsliste.html?userId=1171247", "Link")</f>
        <v/>
      </c>
      <c r="O318" s="7" t="n">
        <v>45558.74373842592</v>
      </c>
      <c r="P318" s="3" t="inlineStr">
        <is>
          <t>95.03</t>
        </is>
      </c>
      <c r="Q318" t="inlineStr">
        <is>
          <t>Köln</t>
        </is>
      </c>
    </row>
    <row r="319">
      <c r="A319" t="inlineStr">
        <is>
          <t>343 cm x 68 cm</t>
        </is>
      </c>
      <c r="B319" t="inlineStr">
        <is>
          <t>Fanatic Hot Viper</t>
        </is>
      </c>
      <c r="C319" t="inlineStr">
        <is>
          <t>Allround Fun</t>
        </is>
      </c>
      <c r="D319" s="3" t="n">
        <v>187</v>
      </c>
      <c r="E319" t="inlineStr">
        <is>
          <t>1993</t>
        </is>
      </c>
      <c r="F319" s="4" t="n">
        <v>60</v>
      </c>
      <c r="G319" t="inlineStr">
        <is>
          <t>VB</t>
        </is>
      </c>
      <c r="H319" t="inlineStr">
        <is>
          <t>59399 Nordrhein-Westfalen - Olfen</t>
        </is>
      </c>
      <c r="I319" s="5" t="n">
        <v>45542</v>
      </c>
      <c r="J319" t="inlineStr">
        <is>
          <t>Sold</t>
        </is>
      </c>
      <c r="K319" s="6">
        <f>HYPERLINK("https://www.kleinanzeigen.de/s-anzeige/fanatic-hot-viper-funboard/2856825460-230-1375", "Link")</f>
        <v/>
      </c>
      <c r="L319" s="6">
        <f>HYPERLINK("C:\Projects\Kleinanzeigen-Scraper\offer_images\2856825460", "Link")</f>
        <v/>
      </c>
      <c r="M319" t="inlineStr">
        <is>
          <t>Frank Korte</t>
        </is>
      </c>
      <c r="N319" s="6">
        <f>HYPERLINK("https://www.kleinanzeigen.de/s-bestandsliste.html?userId=6127405", "Link")</f>
        <v/>
      </c>
      <c r="O319" s="7" t="n">
        <v>45558.74311342592</v>
      </c>
      <c r="P319" s="3" t="inlineStr">
        <is>
          <t>91.22</t>
        </is>
      </c>
      <c r="Q319" t="inlineStr">
        <is>
          <t>Köln</t>
        </is>
      </c>
    </row>
    <row r="320">
      <c r="A320" t="inlineStr">
        <is>
          <t>10.9 x 34 x 6</t>
        </is>
      </c>
      <c r="B320" t="inlineStr">
        <is>
          <t>Gaastra IQ Free WS</t>
        </is>
      </c>
      <c r="C320" t="inlineStr">
        <is>
          <t>Wind SUP</t>
        </is>
      </c>
      <c r="D320" s="3" t="n">
        <v>295</v>
      </c>
      <c r="E320" t="inlineStr"/>
      <c r="F320" s="4" t="n">
        <v>444</v>
      </c>
      <c r="G320" t="inlineStr">
        <is>
          <t>VB</t>
        </is>
      </c>
      <c r="H320" t="inlineStr">
        <is>
          <t>70794 Baden-Württemberg - Filderstadt</t>
        </is>
      </c>
      <c r="I320" s="5" t="n">
        <v>45515</v>
      </c>
      <c r="J320" t="inlineStr"/>
      <c r="K320" s="6">
        <f>HYPERLINK("https://www.kleinanzeigen.de/s-anzeige/gaastra-iq-free-ws-10-9-x-34-x-6-wind-sup-mastspur-bei-rostock/2833988191-230-8892", "Link")</f>
        <v/>
      </c>
      <c r="L320" s="6">
        <f>HYPERLINK("C:\Projects\Kleinanzeigen-Scraper\offer_images\2833988191", "Link")</f>
        <v/>
      </c>
      <c r="M320" t="inlineStr">
        <is>
          <t>F. S.</t>
        </is>
      </c>
      <c r="N320" s="6">
        <f>HYPERLINK("https://www.kleinanzeigen.de/s-bestandsliste.html?userId=39748066", "Link")</f>
        <v/>
      </c>
      <c r="O320" s="7" t="n">
        <v>45558.74253472222</v>
      </c>
      <c r="P320" s="3" t="inlineStr">
        <is>
          <t>17.11</t>
        </is>
      </c>
      <c r="Q320" t="inlineStr">
        <is>
          <t>Böblingen</t>
        </is>
      </c>
    </row>
    <row r="321">
      <c r="A321" t="inlineStr">
        <is>
          <t>7'11</t>
        </is>
      </c>
      <c r="B321" t="inlineStr">
        <is>
          <t>Fanatic Allwave ltd</t>
        </is>
      </c>
      <c r="C321" t="inlineStr">
        <is>
          <t>Wave</t>
        </is>
      </c>
      <c r="D321" s="3" t="inlineStr"/>
      <c r="E321" t="inlineStr"/>
      <c r="F321" s="4" t="n">
        <v>499</v>
      </c>
      <c r="G321" t="inlineStr">
        <is>
          <t>VB</t>
        </is>
      </c>
      <c r="H321" t="inlineStr">
        <is>
          <t>24116 Kiel - Schreventeich-Hasseldieksdamm</t>
        </is>
      </c>
      <c r="I321" s="5" t="n">
        <v>45558</v>
      </c>
      <c r="J321" t="inlineStr">
        <is>
          <t>Sold</t>
        </is>
      </c>
      <c r="K321" s="6">
        <f>HYPERLINK("https://www.kleinanzeigen.de/s-anzeige/fanatic-allwave-ltd-7-11-sup-wave-windsurf-option/2871731800-230-703", "Link")</f>
        <v/>
      </c>
      <c r="L321" s="6">
        <f>HYPERLINK("C:\Projects\Kleinanzeigen-Scraper\offer_images\2871731800", "Link")</f>
        <v/>
      </c>
      <c r="M321" t="inlineStr">
        <is>
          <t>Max</t>
        </is>
      </c>
      <c r="N321" s="6">
        <f>HYPERLINK("https://www.kleinanzeigen.de/s-bestandsliste.html?userId=16766553", "Link")</f>
        <v/>
      </c>
      <c r="O321" s="7" t="n">
        <v>45558.74181712963</v>
      </c>
      <c r="P321" s="3" t="inlineStr">
        <is>
          <t>432.62</t>
        </is>
      </c>
      <c r="Q321" t="inlineStr">
        <is>
          <t>Köln</t>
        </is>
      </c>
    </row>
    <row r="322">
      <c r="A322" t="inlineStr">
        <is>
          <t>133x41.5</t>
        </is>
      </c>
      <c r="B322" t="inlineStr">
        <is>
          <t>Gaastra Twintip</t>
        </is>
      </c>
      <c r="C322" t="inlineStr">
        <is>
          <t>Twintip</t>
        </is>
      </c>
      <c r="D322" s="3" t="inlineStr"/>
      <c r="E322" t="inlineStr"/>
      <c r="F322" s="4" t="n">
        <v>100</v>
      </c>
      <c r="G322" t="inlineStr">
        <is>
          <t>VB</t>
        </is>
      </c>
      <c r="H322" t="inlineStr">
        <is>
          <t>24229 Schleswig-Holstein - Schwedeneck</t>
        </is>
      </c>
      <c r="I322" s="5" t="n">
        <v>45123</v>
      </c>
      <c r="J322" t="inlineStr"/>
      <c r="K322" s="6">
        <f>HYPERLINK("https://www.kleinanzeigen.de/s-anzeige/gaastra-twintip-133x41-5-cm-guter-zustand/2494571235-230-17470", "Link")</f>
        <v/>
      </c>
      <c r="L322" s="6">
        <f>HYPERLINK("C:\Projects\Kleinanzeigen-Scraper\offer_images\2494571235", "Link")</f>
        <v/>
      </c>
      <c r="M322" t="inlineStr">
        <is>
          <t>Bernd</t>
        </is>
      </c>
      <c r="N322" s="6">
        <f>HYPERLINK("https://www.kleinanzeigen.de/s-bestandsliste.html?userId=7833787", "Link")</f>
        <v/>
      </c>
      <c r="O322" s="7" t="n">
        <v>45558.74180555555</v>
      </c>
      <c r="P322" s="3" t="inlineStr">
        <is>
          <t>445.58</t>
        </is>
      </c>
      <c r="Q322" t="inlineStr">
        <is>
          <t>Köln</t>
        </is>
      </c>
    </row>
    <row r="323">
      <c r="A323" t="inlineStr">
        <is>
          <t>187 cm x 52 cm</t>
        </is>
      </c>
      <c r="B323" t="inlineStr">
        <is>
          <t>Gaastra Flash</t>
        </is>
      </c>
      <c r="C323" t="inlineStr"/>
      <c r="D323" s="3" t="n">
        <v>34.2</v>
      </c>
      <c r="E323" t="inlineStr"/>
      <c r="F323" s="4" t="n">
        <v>195</v>
      </c>
      <c r="G323" t="inlineStr">
        <is>
          <t>VB</t>
        </is>
      </c>
      <c r="H323" t="inlineStr">
        <is>
          <t>82347 Bayern - Bernried</t>
        </is>
      </c>
      <c r="I323" s="5" t="n">
        <v>45543</v>
      </c>
      <c r="J323" t="inlineStr"/>
      <c r="K323" s="6">
        <f>HYPERLINK("https://www.kleinanzeigen.de/s-anzeige/gaastra-flash-board-6-1/2857325860-230-5544", "Link")</f>
        <v/>
      </c>
      <c r="L323" s="6">
        <f>HYPERLINK("C:\Projects\Kleinanzeigen-Scraper\offer_images\2857325860", "Link")</f>
        <v/>
      </c>
      <c r="M323" t="inlineStr">
        <is>
          <t>Mühlbauer Karl</t>
        </is>
      </c>
      <c r="N323" s="6">
        <f>HYPERLINK("https://www.kleinanzeigen.de/s-bestandsliste.html?userId=37065960", "Link")</f>
        <v/>
      </c>
      <c r="O323" s="7" t="n">
        <v>45558.74150462963</v>
      </c>
      <c r="P323" s="3" t="inlineStr">
        <is>
          <t>38.08</t>
        </is>
      </c>
      <c r="Q323" t="inlineStr">
        <is>
          <t>München</t>
        </is>
      </c>
    </row>
    <row r="324">
      <c r="A324" t="inlineStr">
        <is>
          <t>135x40</t>
        </is>
      </c>
      <c r="B324" t="inlineStr">
        <is>
          <t>Gaastra Pact</t>
        </is>
      </c>
      <c r="C324" t="inlineStr"/>
      <c r="D324" s="3" t="inlineStr"/>
      <c r="E324" t="inlineStr"/>
      <c r="F324" s="4" t="n">
        <v>50</v>
      </c>
      <c r="G324" t="inlineStr">
        <is>
          <t>VB</t>
        </is>
      </c>
      <c r="H324" t="inlineStr">
        <is>
          <t>20255 Eimsbüttel - Hamburg Eimsbüttel (Stadtteil)</t>
        </is>
      </c>
      <c r="I324" s="5" t="n">
        <v>45538</v>
      </c>
      <c r="J324" t="inlineStr"/>
      <c r="K324" s="6">
        <f>HYPERLINK("https://www.kleinanzeigen.de/s-anzeige/gaastra-pact-135x40-prof-repariert/2853392486-230-9428", "Link")</f>
        <v/>
      </c>
      <c r="L324" s="6">
        <f>HYPERLINK("C:\Projects\Kleinanzeigen-Scraper\offer_images\2853392486", "Link")</f>
        <v/>
      </c>
      <c r="M324" t="inlineStr">
        <is>
          <t>Maje85</t>
        </is>
      </c>
      <c r="N324" s="6">
        <f>HYPERLINK("https://www.kleinanzeigen.de/s-bestandsliste.html?userId=143241433", "Link")</f>
        <v/>
      </c>
      <c r="O324" s="7" t="n">
        <v>45558.74086805555</v>
      </c>
      <c r="P324" s="3" t="inlineStr">
        <is>
          <t>357.52</t>
        </is>
      </c>
      <c r="Q324" t="inlineStr">
        <is>
          <t>Köln</t>
        </is>
      </c>
    </row>
    <row r="325">
      <c r="A325" t="inlineStr">
        <is>
          <t>229 x 82.5 cm</t>
        </is>
      </c>
      <c r="B325" t="inlineStr">
        <is>
          <t>Fanatic Freewave STB Edition</t>
        </is>
      </c>
      <c r="C325" t="inlineStr">
        <is>
          <t>Freewave</t>
        </is>
      </c>
      <c r="D325" s="3" t="n">
        <v>105</v>
      </c>
      <c r="E325" t="inlineStr">
        <is>
          <t>2019</t>
        </is>
      </c>
      <c r="F325" s="4" t="n">
        <v>465</v>
      </c>
      <c r="G325" t="inlineStr">
        <is>
          <t>VB</t>
        </is>
      </c>
      <c r="H325" t="inlineStr">
        <is>
          <t>24148 Kiel - Ellerbek-Wellingdorf</t>
        </is>
      </c>
      <c r="I325" s="5" t="n">
        <v>45558</v>
      </c>
      <c r="J325" t="inlineStr">
        <is>
          <t>Sold</t>
        </is>
      </c>
      <c r="K325" s="6">
        <f>HYPERLINK("https://www.kleinanzeigen.de/s-anzeige/fanatic-freewave-stb-edition-105-ltr-2019-gebraucht/2823998896-230-701", "Link")</f>
        <v/>
      </c>
      <c r="L325" s="6">
        <f>HYPERLINK("C:\Projects\Kleinanzeigen-Scraper\offer_images\2823998896", "Link")</f>
        <v/>
      </c>
      <c r="M325" t="inlineStr">
        <is>
          <t>T.Schrebb</t>
        </is>
      </c>
      <c r="N325" s="6">
        <f>HYPERLINK("https://www.kleinanzeigen.de/s-bestandsliste.html?userId=16031472", "Link")</f>
        <v/>
      </c>
      <c r="O325" s="7" t="n">
        <v>45558.74065972222</v>
      </c>
      <c r="P325" s="3" t="inlineStr">
        <is>
          <t>433.89</t>
        </is>
      </c>
      <c r="Q325" t="inlineStr">
        <is>
          <t>Köln</t>
        </is>
      </c>
    </row>
    <row r="326">
      <c r="A326" t="inlineStr">
        <is>
          <t>330 cm x 100 cm</t>
        </is>
      </c>
      <c r="B326" t="inlineStr">
        <is>
          <t>Gaastra Vapor 3</t>
        </is>
      </c>
      <c r="C326" t="inlineStr">
        <is>
          <t>Formula</t>
        </is>
      </c>
      <c r="D326" s="3" t="n">
        <v>178</v>
      </c>
      <c r="E326" t="inlineStr"/>
      <c r="F326" s="4" t="n">
        <v>1.2</v>
      </c>
      <c r="G326" t="inlineStr">
        <is>
          <t>VB</t>
        </is>
      </c>
      <c r="H326" t="inlineStr">
        <is>
          <t>82266 Bayern - Inning am Ammersee</t>
        </is>
      </c>
      <c r="I326" s="5" t="n">
        <v>45369</v>
      </c>
      <c r="J326" t="inlineStr"/>
      <c r="K326" s="6">
        <f>HYPERLINK("https://www.kleinanzeigen.de/s-anzeige/gaastra-vapor-3-formula-bord/2709858816-230-6358", "Link")</f>
        <v/>
      </c>
      <c r="L326" s="6">
        <f>HYPERLINK("C:\Projects\Kleinanzeigen-Scraper\offer_images\2709858816", "Link")</f>
        <v/>
      </c>
      <c r="M326" t="inlineStr">
        <is>
          <t>Bernt</t>
        </is>
      </c>
      <c r="N326" s="6">
        <f>HYPERLINK("https://www.kleinanzeigen.de/s-bestandsliste.html?userId=70900729", "Link")</f>
        <v/>
      </c>
      <c r="O326" s="7" t="n">
        <v>45558.74011574074</v>
      </c>
      <c r="P326" s="3" t="inlineStr">
        <is>
          <t>31.93</t>
        </is>
      </c>
      <c r="Q326" t="inlineStr">
        <is>
          <t>München</t>
        </is>
      </c>
    </row>
    <row r="327">
      <c r="A327" t="inlineStr">
        <is>
          <t>Dimensions not specified</t>
        </is>
      </c>
      <c r="B327" t="inlineStr">
        <is>
          <t>JP Australia Explorer</t>
        </is>
      </c>
      <c r="C327" t="inlineStr">
        <is>
          <t>Freeride</t>
        </is>
      </c>
      <c r="D327" s="3" t="n">
        <v>195</v>
      </c>
      <c r="E327" t="inlineStr"/>
      <c r="F327" s="4" t="n">
        <v>575</v>
      </c>
      <c r="G327" t="inlineStr">
        <is>
          <t>VB</t>
        </is>
      </c>
      <c r="H327" t="inlineStr">
        <is>
          <t>71522 Baden-Württemberg - Backnang</t>
        </is>
      </c>
      <c r="I327" s="5" t="n">
        <v>45558</v>
      </c>
      <c r="J327" t="inlineStr"/>
      <c r="K327" s="6">
        <f>HYPERLINK("https://www.kleinanzeigen.de/s-anzeige/jp-australia-195l-surfboard-surfbrett-windsurfen/2871850716-230-8355", "Link")</f>
        <v/>
      </c>
      <c r="L327" s="6">
        <f>HYPERLINK("C:\Projects\Kleinanzeigen-Scraper\offer_images\2871850716", "Link")</f>
        <v/>
      </c>
      <c r="M327" t="inlineStr">
        <is>
          <t>Constantin V.</t>
        </is>
      </c>
      <c r="N327" s="6">
        <f>HYPERLINK("https://www.kleinanzeigen.de/s-bestandsliste.html?userId=50064354", "Link")</f>
        <v/>
      </c>
      <c r="O327" s="7" t="n">
        <v>45558.73989583334</v>
      </c>
      <c r="P327" s="3" t="inlineStr">
        <is>
          <t>45.09</t>
        </is>
      </c>
      <c r="Q327" t="inlineStr">
        <is>
          <t>Böblingen</t>
        </is>
      </c>
    </row>
    <row r="328">
      <c r="A328" t="inlineStr">
        <is>
          <t>269 cm x 79 cm</t>
        </is>
      </c>
      <c r="B328" t="inlineStr">
        <is>
          <t>Fanatic Shark</t>
        </is>
      </c>
      <c r="C328" t="inlineStr">
        <is>
          <t>Freeride</t>
        </is>
      </c>
      <c r="D328" s="3" t="n">
        <v>155</v>
      </c>
      <c r="E328" t="inlineStr"/>
      <c r="F328" s="4" t="n">
        <v>390</v>
      </c>
      <c r="G328" t="inlineStr">
        <is>
          <t>VB</t>
        </is>
      </c>
      <c r="H328" t="inlineStr">
        <is>
          <t>24536 Schleswig-Holstein - Neumünster</t>
        </is>
      </c>
      <c r="I328" s="5" t="n">
        <v>45558</v>
      </c>
      <c r="J328" t="inlineStr"/>
      <c r="K328" s="6">
        <f>HYPERLINK("https://www.kleinanzeigen.de/s-anzeige/fanatic-shark-155-windsurfboard/2871906649-230-20567", "Link")</f>
        <v/>
      </c>
      <c r="L328" s="6">
        <f>HYPERLINK("C:\Projects\Kleinanzeigen-Scraper\offer_images\2871906649", "Link")</f>
        <v/>
      </c>
      <c r="M328" t="inlineStr">
        <is>
          <t>Simon</t>
        </is>
      </c>
      <c r="N328" s="6">
        <f>HYPERLINK("https://www.kleinanzeigen.de/s-bestandsliste.html?userId=57803447", "Link")</f>
        <v/>
      </c>
      <c r="O328" s="7" t="n">
        <v>45558.73921296297</v>
      </c>
      <c r="P328" s="3" t="inlineStr">
        <is>
          <t>408.57</t>
        </is>
      </c>
      <c r="Q328" t="inlineStr">
        <is>
          <t>Köln</t>
        </is>
      </c>
    </row>
    <row r="329">
      <c r="A329" t="inlineStr"/>
      <c r="B329" t="inlineStr">
        <is>
          <t>Starboard Ultra Kode</t>
        </is>
      </c>
      <c r="C329" t="inlineStr">
        <is>
          <t>Wave</t>
        </is>
      </c>
      <c r="D329" s="3" t="n">
        <v>82</v>
      </c>
      <c r="E329" t="inlineStr">
        <is>
          <t>2021</t>
        </is>
      </c>
      <c r="F329" s="4" t="n">
        <v>999</v>
      </c>
      <c r="G329" t="inlineStr">
        <is>
          <t>VB</t>
        </is>
      </c>
      <c r="H329" t="inlineStr">
        <is>
          <t>45657 Nordrhein-Westfalen - Recklinghausen</t>
        </is>
      </c>
      <c r="I329" s="5" t="n">
        <v>45558</v>
      </c>
      <c r="J329" t="inlineStr"/>
      <c r="K329" s="6">
        <f>HYPERLINK("https://www.kleinanzeigen.de/s-anzeige/starboard-ultra-kode-82l-wave-windsurf-board-2021/2871734931-230-1987", "Link")</f>
        <v/>
      </c>
      <c r="L329" s="6">
        <f>HYPERLINK("C:\Projects\Kleinanzeigen-Scraper\offer_images\2871734931", "Link")</f>
        <v/>
      </c>
      <c r="M329" t="inlineStr">
        <is>
          <t>Privater Nutzer</t>
        </is>
      </c>
      <c r="N329" s="6">
        <f>HYPERLINK("https://www.kleinanzeigen.de/s-bestandsliste.html?userId=17527991", "Link")</f>
        <v/>
      </c>
      <c r="O329" s="7" t="n">
        <v>45558.7389699074</v>
      </c>
      <c r="P329" s="3" t="inlineStr">
        <is>
          <t>77.14</t>
        </is>
      </c>
      <c r="Q329" t="inlineStr">
        <is>
          <t>Köln</t>
        </is>
      </c>
    </row>
    <row r="330">
      <c r="A330" t="inlineStr">
        <is>
          <t>145</t>
        </is>
      </c>
      <c r="B330" t="inlineStr">
        <is>
          <t>JP Australia X Cite Ride</t>
        </is>
      </c>
      <c r="C330" t="inlineStr"/>
      <c r="D330" s="3" t="inlineStr"/>
      <c r="E330" t="inlineStr"/>
      <c r="F330" s="4" t="n">
        <v>260</v>
      </c>
      <c r="G330" t="inlineStr">
        <is>
          <t>VB</t>
        </is>
      </c>
      <c r="H330" t="inlineStr">
        <is>
          <t>31558 Niedersachsen - Hagenburg</t>
        </is>
      </c>
      <c r="I330" s="5" t="n">
        <v>45558</v>
      </c>
      <c r="J330" t="inlineStr">
        <is>
          <t>Sold</t>
        </is>
      </c>
      <c r="K330" s="6">
        <f>HYPERLINK("https://www.kleinanzeigen.de/s-anzeige/jp-australia-x-cite-ride-145-mit-zubehoer/2871788102-230-2928", "Link")</f>
        <v/>
      </c>
      <c r="L330" s="6">
        <f>HYPERLINK("C:\Projects\Kleinanzeigen-Scraper\offer_images\2871788102", "Link")</f>
        <v/>
      </c>
      <c r="M330" t="inlineStr">
        <is>
          <t>Fralou</t>
        </is>
      </c>
      <c r="N330" s="6">
        <f>HYPERLINK("https://www.kleinanzeigen.de/s-bestandsliste.html?userId=144556132", "Link")</f>
        <v/>
      </c>
      <c r="O330" s="7" t="n">
        <v>45558.73793981481</v>
      </c>
      <c r="P330" s="3" t="inlineStr">
        <is>
          <t>232.68</t>
        </is>
      </c>
      <c r="Q330" t="inlineStr">
        <is>
          <t>Köln</t>
        </is>
      </c>
    </row>
    <row r="331">
      <c r="A331" t="inlineStr">
        <is>
          <t>300 x 87 cm</t>
        </is>
      </c>
      <c r="B331" t="inlineStr">
        <is>
          <t>Gaastra Start HD</t>
        </is>
      </c>
      <c r="C331" t="inlineStr"/>
      <c r="D331" s="3" t="n">
        <v>245</v>
      </c>
      <c r="E331" t="inlineStr"/>
      <c r="F331" s="4" t="n">
        <v>999</v>
      </c>
      <c r="G331" t="inlineStr">
        <is>
          <t>VB</t>
        </is>
      </c>
      <c r="H331" t="inlineStr">
        <is>
          <t>13599 Berlin - Spandau</t>
        </is>
      </c>
      <c r="I331" s="5" t="n">
        <v>45544</v>
      </c>
      <c r="J331" t="inlineStr">
        <is>
          <t>Sold</t>
        </is>
      </c>
      <c r="K331" s="6">
        <f>HYPERLINK("https://www.kleinanzeigen.de/s-anzeige/gaastra-start-hd-windsurfboard-surfboard-surfbrett/2809386271-230-3432", "Link")</f>
        <v/>
      </c>
      <c r="L331" s="6">
        <f>HYPERLINK("C:\Projects\Kleinanzeigen-Scraper\offer_images\2809386271", "Link")</f>
        <v/>
      </c>
      <c r="M331" t="inlineStr">
        <is>
          <t>No user name</t>
        </is>
      </c>
      <c r="N331" s="6">
        <f>HYPERLINK("https://www.kleinanzeigen.deNo user link", "Link")</f>
        <v/>
      </c>
      <c r="O331" s="7" t="n">
        <v>45558.73694444444</v>
      </c>
      <c r="P331" s="3" t="inlineStr">
        <is>
          <t>468.07</t>
        </is>
      </c>
      <c r="Q331" t="inlineStr">
        <is>
          <t>Köln</t>
        </is>
      </c>
    </row>
    <row r="332">
      <c r="A332" t="inlineStr"/>
      <c r="B332" t="inlineStr">
        <is>
          <t>Fanatic Sky Style TE</t>
        </is>
      </c>
      <c r="C332" t="inlineStr"/>
      <c r="D332" s="3" t="n">
        <v>55</v>
      </c>
      <c r="E332" t="inlineStr"/>
      <c r="F332" s="4" t="n">
        <v>480</v>
      </c>
      <c r="G332" t="inlineStr">
        <is>
          <t>VB</t>
        </is>
      </c>
      <c r="H332" t="inlineStr">
        <is>
          <t>24217 Schleswig-Holstein - Schönberg / Holm</t>
        </is>
      </c>
      <c r="I332" s="5" t="n">
        <v>45558</v>
      </c>
      <c r="J332" t="inlineStr"/>
      <c r="K332" s="6">
        <f>HYPERLINK("https://www.kleinanzeigen.de/s-anzeige/fanatic-sky-style-te/2871914395-230-19345", "Link")</f>
        <v/>
      </c>
      <c r="L332" s="6">
        <f>HYPERLINK("C:\Projects\Kleinanzeigen-Scraper\offer_images\2871914395", "Link")</f>
        <v/>
      </c>
      <c r="M332" t="inlineStr">
        <is>
          <t>Jörg Vogler</t>
        </is>
      </c>
      <c r="N332" s="6">
        <f>HYPERLINK("https://www.kleinanzeigen.de/s-bestandsliste.html?userId=57685435", "Link")</f>
        <v/>
      </c>
      <c r="O332" s="7" t="n">
        <v>45558.73686342593</v>
      </c>
      <c r="P332" s="3" t="inlineStr">
        <is>
          <t>447.79</t>
        </is>
      </c>
      <c r="Q332" t="inlineStr">
        <is>
          <t>Köln</t>
        </is>
      </c>
    </row>
    <row r="333">
      <c r="A333" t="inlineStr">
        <is>
          <t>228cm</t>
        </is>
      </c>
      <c r="B333" t="inlineStr">
        <is>
          <t>JP FORMULA 100</t>
        </is>
      </c>
      <c r="C333" t="inlineStr">
        <is>
          <t>Formula</t>
        </is>
      </c>
      <c r="D333" s="3" t="n">
        <v>168</v>
      </c>
      <c r="E333" t="inlineStr"/>
      <c r="F333" s="4" t="n">
        <v>300</v>
      </c>
      <c r="G333" t="inlineStr"/>
      <c r="H333" t="inlineStr">
        <is>
          <t>31303 Burgdorf</t>
        </is>
      </c>
      <c r="I333" s="5" t="n">
        <v>45558</v>
      </c>
      <c r="J333" t="inlineStr"/>
      <c r="K333" s="6">
        <f>HYPERLINK("https://www.dailydose.de/kleinanzeigen/detail.htm?ai=423051&amp;cf=kk&amp;pg=4&amp;ci=11", "Link")</f>
        <v/>
      </c>
      <c r="L333" s="6">
        <f>HYPERLINK("C:\Projects\Kleinanzeigen-Scraper\offer_images\423051", "Link")</f>
        <v/>
      </c>
      <c r="M333" t="inlineStr">
        <is>
          <t>J_40</t>
        </is>
      </c>
      <c r="N333" s="6">
        <f>HYPERLINK("https://www.dailydose.de/kleinanzeigen/user/7267", "Link")</f>
        <v/>
      </c>
      <c r="O333" s="7" t="n">
        <v>45558.57554398148</v>
      </c>
      <c r="P333" s="3" t="inlineStr">
        <is>
          <t>271.57</t>
        </is>
      </c>
      <c r="Q333" t="inlineStr">
        <is>
          <t>Köln</t>
        </is>
      </c>
    </row>
    <row r="334">
      <c r="A334" t="inlineStr">
        <is>
          <t>228x62</t>
        </is>
      </c>
      <c r="B334" t="inlineStr">
        <is>
          <t>Freewave Dyno3</t>
        </is>
      </c>
      <c r="C334" t="inlineStr">
        <is>
          <t>Freestyle/Wave</t>
        </is>
      </c>
      <c r="D334" s="3" t="n">
        <v>105</v>
      </c>
      <c r="E334" t="inlineStr"/>
      <c r="F334" s="4" t="n">
        <v>899</v>
      </c>
      <c r="G334" t="inlineStr"/>
      <c r="H334" t="inlineStr">
        <is>
          <t>82547 Eurasburg</t>
        </is>
      </c>
      <c r="I334" s="5" t="n">
        <v>45557</v>
      </c>
      <c r="J334" t="inlineStr">
        <is>
          <t>Sold</t>
        </is>
      </c>
      <c r="K334" s="6">
        <f>HYPERLINK("https://www.dailydose.de/kleinanzeigen/detail.htm?ai=423021&amp;cf=kk&amp;pg=2&amp;ci=11", "Link")</f>
        <v/>
      </c>
      <c r="L334" s="6">
        <f>HYPERLINK("C:\Projects\Kleinanzeigen-Scraper\offer_images\423021", "Link")</f>
        <v/>
      </c>
      <c r="M334" t="inlineStr">
        <is>
          <t>sideshore_80</t>
        </is>
      </c>
      <c r="N334" s="6">
        <f>HYPERLINK("https://www.dailydose.de/kleinanzeigen/user/25341", "Link")</f>
        <v/>
      </c>
      <c r="O334" s="7" t="n">
        <v>45558.57527777777</v>
      </c>
      <c r="P334" s="3" t="inlineStr">
        <is>
          <t>33.53</t>
        </is>
      </c>
      <c r="Q334" t="inlineStr">
        <is>
          <t>München</t>
        </is>
      </c>
    </row>
    <row r="335">
      <c r="A335" t="inlineStr"/>
      <c r="B335" t="inlineStr">
        <is>
          <t>Severne Pyro</t>
        </is>
      </c>
      <c r="C335" t="inlineStr"/>
      <c r="D335" s="3" t="n">
        <v>87</v>
      </c>
      <c r="E335" t="inlineStr">
        <is>
          <t>2023</t>
        </is>
      </c>
      <c r="F335" s="4" t="n">
        <v>800</v>
      </c>
      <c r="G335" t="inlineStr"/>
      <c r="H335" t="inlineStr">
        <is>
          <t>58540 Sauerland -NRW</t>
        </is>
      </c>
      <c r="I335" s="5" t="n">
        <v>45557</v>
      </c>
      <c r="J335" t="inlineStr">
        <is>
          <t>Sold</t>
        </is>
      </c>
      <c r="K335" s="6">
        <f>HYPERLINK("https://www.dailydose.de/kleinanzeigen/detail.htm?ai=423042&amp;cf=kk&amp;pg=1&amp;ci=11", "Link")</f>
        <v/>
      </c>
      <c r="L335" s="6">
        <f>HYPERLINK("C:\Projects\Kleinanzeigen-Scraper\offer_images\423042", "Link")</f>
        <v/>
      </c>
      <c r="M335" t="inlineStr">
        <is>
          <t>tivitac</t>
        </is>
      </c>
      <c r="N335" s="6">
        <f>HYPERLINK("https://www.dailydose.de/kleinanzeigen/user/1938", "Link")</f>
        <v/>
      </c>
      <c r="O335" s="7" t="n">
        <v>45558.57520833334</v>
      </c>
      <c r="P335" s="3" t="inlineStr">
        <is>
          <t>56.25</t>
        </is>
      </c>
      <c r="Q335" t="inlineStr">
        <is>
          <t>Köln</t>
        </is>
      </c>
    </row>
    <row r="336">
      <c r="A336" t="inlineStr">
        <is>
          <t>220x55</t>
        </is>
      </c>
      <c r="B336" t="inlineStr">
        <is>
          <t>Starboard EvilTwin</t>
        </is>
      </c>
      <c r="C336" t="inlineStr">
        <is>
          <t>NewSchool Wave</t>
        </is>
      </c>
      <c r="D336" s="3" t="n">
        <v>70</v>
      </c>
      <c r="E336" t="inlineStr"/>
      <c r="F336" s="4" t="n">
        <v>111</v>
      </c>
      <c r="G336" t="inlineStr"/>
      <c r="H336" t="inlineStr">
        <is>
          <t>31582 Nienburg/Weser</t>
        </is>
      </c>
      <c r="I336" s="5" t="n">
        <v>45557</v>
      </c>
      <c r="J336" t="inlineStr"/>
      <c r="K336" s="6">
        <f>HYPERLINK("https://www.dailydose.de/kleinanzeigen/detail.htm?ai=423038&amp;cf=kk&amp;pg=4&amp;ci=11", "Link")</f>
        <v/>
      </c>
      <c r="L336" s="6">
        <f>HYPERLINK("C:\Projects\Kleinanzeigen-Scraper\offer_images\423038", "Link")</f>
        <v/>
      </c>
      <c r="M336" t="inlineStr">
        <is>
          <t>Helga</t>
        </is>
      </c>
      <c r="N336" s="6">
        <f>HYPERLINK("https://www.dailydose.de/kleinanzeigen/user/2558", "Link")</f>
        <v/>
      </c>
      <c r="O336" s="7" t="n">
        <v>45558.57494212963</v>
      </c>
      <c r="P336" s="3" t="inlineStr">
        <is>
          <t>244.43</t>
        </is>
      </c>
      <c r="Q336" t="inlineStr">
        <is>
          <t>Köln</t>
        </is>
      </c>
    </row>
    <row r="337">
      <c r="A337" t="inlineStr"/>
      <c r="B337" t="inlineStr">
        <is>
          <t>Patrik Airstyle</t>
        </is>
      </c>
      <c r="C337" t="inlineStr">
        <is>
          <t>Freestyle</t>
        </is>
      </c>
      <c r="D337" s="3" t="n">
        <v>98</v>
      </c>
      <c r="E337" t="inlineStr"/>
      <c r="F337" s="4" t="n">
        <v>400</v>
      </c>
      <c r="G337" t="inlineStr"/>
      <c r="H337" t="inlineStr">
        <is>
          <t>24226 Heikendorf</t>
        </is>
      </c>
      <c r="I337" s="5" t="n">
        <v>45557</v>
      </c>
      <c r="J337" t="inlineStr"/>
      <c r="K337" s="6">
        <f>HYPERLINK("https://www.dailydose.de/kleinanzeigen/detail.htm?ai=423017&amp;cf=kk&amp;pg=4&amp;ci=11", "Link")</f>
        <v/>
      </c>
      <c r="L337" s="6">
        <f>HYPERLINK("C:\Projects\Kleinanzeigen-Scraper\offer_images\423017", "Link")</f>
        <v/>
      </c>
      <c r="M337" t="inlineStr">
        <is>
          <t>Arthur</t>
        </is>
      </c>
      <c r="N337" s="6">
        <f>HYPERLINK("https://www.dailydose.de/kleinanzeigen/user/4045", "Link")</f>
        <v/>
      </c>
      <c r="O337" s="7" t="n">
        <v>45558.57491898148</v>
      </c>
      <c r="P337" s="3" t="inlineStr">
        <is>
          <t>441.08</t>
        </is>
      </c>
      <c r="Q337" t="inlineStr">
        <is>
          <t>Köln</t>
        </is>
      </c>
    </row>
    <row r="338">
      <c r="A338" t="inlineStr">
        <is>
          <t>250x65</t>
        </is>
      </c>
      <c r="B338" t="inlineStr">
        <is>
          <t>F2 Stoke</t>
        </is>
      </c>
      <c r="C338" t="inlineStr">
        <is>
          <t>Freeride</t>
        </is>
      </c>
      <c r="D338" s="3" t="n">
        <v>116</v>
      </c>
      <c r="E338" t="inlineStr">
        <is>
          <t>2007</t>
        </is>
      </c>
      <c r="F338" s="4" t="n">
        <v>150</v>
      </c>
      <c r="G338" t="inlineStr">
        <is>
          <t>VB</t>
        </is>
      </c>
      <c r="H338" t="inlineStr">
        <is>
          <t>99099 Erfurt</t>
        </is>
      </c>
      <c r="I338" s="5" t="n">
        <v>45557</v>
      </c>
      <c r="J338" t="inlineStr"/>
      <c r="K338" s="6">
        <f>HYPERLINK("https://www.dailydose.de/kleinanzeigen/detail.htm?ai=423012&amp;cf=kk&amp;pg=4&amp;ci=11", "Link")</f>
        <v/>
      </c>
      <c r="L338" s="6">
        <f>HYPERLINK("C:\Projects\Kleinanzeigen-Scraper\offer_images\423012", "Link")</f>
        <v/>
      </c>
      <c r="M338" t="inlineStr">
        <is>
          <t>flofie</t>
        </is>
      </c>
      <c r="N338" s="6">
        <f>HYPERLINK("https://www.dailydose.de/kleinanzeigen/user/8280", "Link")</f>
        <v/>
      </c>
      <c r="O338" s="7" t="n">
        <v>45558.57475694444</v>
      </c>
      <c r="P338" s="3" t="inlineStr">
        <is>
          <t>288.62</t>
        </is>
      </c>
      <c r="Q338" t="inlineStr">
        <is>
          <t>Köln</t>
        </is>
      </c>
    </row>
    <row r="339">
      <c r="A339" t="inlineStr"/>
      <c r="B339" t="inlineStr">
        <is>
          <t>Tabou Pocket</t>
        </is>
      </c>
      <c r="C339" t="inlineStr">
        <is>
          <t>Freeride</t>
        </is>
      </c>
      <c r="D339" s="3" t="n">
        <v>85</v>
      </c>
      <c r="E339" t="inlineStr"/>
      <c r="F339" s="4" t="inlineStr"/>
      <c r="G339" t="inlineStr">
        <is>
          <t>VB</t>
        </is>
      </c>
      <c r="H339" t="inlineStr">
        <is>
          <t>24114</t>
        </is>
      </c>
      <c r="I339" s="5" t="n">
        <v>45558</v>
      </c>
      <c r="J339" t="inlineStr"/>
      <c r="K339" s="6">
        <f>HYPERLINK("https://www.dailydose.de/kleinanzeigen/detail.htm?ai=423050&amp;cf=kk&amp;pg=4&amp;ci=11", "Link")</f>
        <v/>
      </c>
      <c r="L339" s="6">
        <f>HYPERLINK("C:\Projects\Kleinanzeigen-Scraper\offer_images\423050", "Link")</f>
        <v/>
      </c>
      <c r="M339" t="inlineStr">
        <is>
          <t>Anni_29</t>
        </is>
      </c>
      <c r="N339" s="6">
        <f>HYPERLINK("https://www.dailydose.de/kleinanzeigen/user/16369", "Link")</f>
        <v/>
      </c>
      <c r="O339" s="7" t="n">
        <v>45558.5746875</v>
      </c>
      <c r="P339" s="3" t="inlineStr">
        <is>
          <t>431.59</t>
        </is>
      </c>
      <c r="Q339" t="inlineStr">
        <is>
          <t>Köln</t>
        </is>
      </c>
    </row>
    <row r="340">
      <c r="A340" t="inlineStr">
        <is>
          <t>250 x 76 cm</t>
        </is>
      </c>
      <c r="B340" t="inlineStr">
        <is>
          <t>Tabou Rocket CED</t>
        </is>
      </c>
      <c r="C340" t="inlineStr">
        <is>
          <t>Leichtwindboard</t>
        </is>
      </c>
      <c r="D340" s="3" t="n">
        <v>145</v>
      </c>
      <c r="E340" t="inlineStr">
        <is>
          <t>2017</t>
        </is>
      </c>
      <c r="F340" s="4" t="n">
        <v>475</v>
      </c>
      <c r="G340" t="inlineStr"/>
      <c r="H340" t="inlineStr">
        <is>
          <t>52249 Eschweiler</t>
        </is>
      </c>
      <c r="I340" s="5" t="n">
        <v>45557</v>
      </c>
      <c r="J340" t="inlineStr"/>
      <c r="K340" s="6">
        <f>HYPERLINK("https://www.dailydose.de/kleinanzeigen/detail.htm?ai=423015&amp;cf=kk&amp;pg=4&amp;ci=11", "Link")</f>
        <v/>
      </c>
      <c r="L340" s="6">
        <f>HYPERLINK("C:\Projects\Kleinanzeigen-Scraper\offer_images\423015", "Link")</f>
        <v/>
      </c>
      <c r="M340" t="inlineStr">
        <is>
          <t>Torsten_3</t>
        </is>
      </c>
      <c r="N340" s="6">
        <f>HYPERLINK("https://www.dailydose.de/kleinanzeigen/user/7133", "Link")</f>
        <v/>
      </c>
      <c r="O340" s="7" t="n">
        <v>45558.57452546297</v>
      </c>
      <c r="P340" s="3" t="inlineStr">
        <is>
          <t>50.09</t>
        </is>
      </c>
      <c r="Q340" t="inlineStr">
        <is>
          <t>Köln</t>
        </is>
      </c>
    </row>
    <row r="341">
      <c r="A341" t="inlineStr"/>
      <c r="B341" t="inlineStr">
        <is>
          <t>JP Freestyle Wave</t>
        </is>
      </c>
      <c r="C341" t="inlineStr">
        <is>
          <t>Freestyle Wave</t>
        </is>
      </c>
      <c r="D341" s="3" t="n">
        <v>113</v>
      </c>
      <c r="E341" t="inlineStr">
        <is>
          <t>2020</t>
        </is>
      </c>
      <c r="F341" s="4" t="inlineStr">
        <is>
          <t>EUR 595</t>
        </is>
      </c>
      <c r="G341" t="inlineStr"/>
      <c r="H341" t="inlineStr">
        <is>
          <t>47447 Moers</t>
        </is>
      </c>
      <c r="I341" s="5" t="n">
        <v>45557</v>
      </c>
      <c r="J341" t="inlineStr"/>
      <c r="K341" s="6">
        <f>HYPERLINK("https://www.dailydose.de/kleinanzeigen/detail.htm?ai=423019&amp;cf=kk&amp;pg=4&amp;ci=11", "Link")</f>
        <v/>
      </c>
      <c r="L341" s="6">
        <f>HYPERLINK("C:\Projects\Kleinanzeigen-Scraper\offer_images\423019", "Link")</f>
        <v/>
      </c>
      <c r="M341" t="inlineStr">
        <is>
          <t>Ralf_29</t>
        </is>
      </c>
      <c r="N341" s="6">
        <f>HYPERLINK("https://www.dailydose.de/kleinanzeigen/user/18391", "Link")</f>
        <v/>
      </c>
      <c r="O341" s="7" t="n">
        <v>45558.57436342593</v>
      </c>
      <c r="P341" s="3" t="inlineStr">
        <is>
          <t>58.22</t>
        </is>
      </c>
      <c r="Q341" t="inlineStr">
        <is>
          <t>Köln</t>
        </is>
      </c>
    </row>
    <row r="342">
      <c r="A342" t="inlineStr"/>
      <c r="B342" t="inlineStr">
        <is>
          <t>Mistral</t>
        </is>
      </c>
      <c r="C342" t="inlineStr"/>
      <c r="D342" s="3" t="n">
        <v>105</v>
      </c>
      <c r="E342" t="inlineStr"/>
      <c r="F342" s="4" t="n">
        <v>75</v>
      </c>
      <c r="G342" t="inlineStr">
        <is>
          <t>VB</t>
        </is>
      </c>
      <c r="H342" t="inlineStr">
        <is>
          <t>48155 Münster</t>
        </is>
      </c>
      <c r="I342" s="5" t="n">
        <v>45557</v>
      </c>
      <c r="J342" t="inlineStr"/>
      <c r="K342" s="6">
        <f>HYPERLINK("https://www.dailydose.de/kleinanzeigen/detail.htm?ai=423020&amp;cf=kk&amp;pg=4&amp;ci=11", "Link")</f>
        <v/>
      </c>
      <c r="L342" s="6">
        <f>HYPERLINK("C:\Projects\Kleinanzeigen-Scraper\offer_images\423020", "Link")</f>
        <v/>
      </c>
      <c r="M342" t="inlineStr">
        <is>
          <t>Hendrik_93</t>
        </is>
      </c>
      <c r="N342" s="6">
        <f>HYPERLINK("https://www.dailydose.de/kleinanzeigen/user/26439", "Link")</f>
        <v/>
      </c>
      <c r="O342" s="7" t="n">
        <v>45558.57423611111</v>
      </c>
      <c r="P342" s="3" t="inlineStr">
        <is>
          <t>122.40</t>
        </is>
      </c>
      <c r="Q342" t="inlineStr">
        <is>
          <t>Köln</t>
        </is>
      </c>
    </row>
    <row r="343">
      <c r="A343" t="inlineStr"/>
      <c r="B343" t="inlineStr">
        <is>
          <t>JP Freestyle Wave Pro</t>
        </is>
      </c>
      <c r="C343" t="inlineStr">
        <is>
          <t>Freestyle Wave</t>
        </is>
      </c>
      <c r="D343" s="3" t="n">
        <v>94</v>
      </c>
      <c r="E343" t="inlineStr">
        <is>
          <t>2019</t>
        </is>
      </c>
      <c r="F343" s="4" t="n">
        <v>270</v>
      </c>
      <c r="G343" t="inlineStr"/>
      <c r="H343" t="inlineStr">
        <is>
          <t>23775 Großenbrode</t>
        </is>
      </c>
      <c r="I343" s="5" t="n">
        <v>45557</v>
      </c>
      <c r="J343" t="inlineStr">
        <is>
          <t>Sold</t>
        </is>
      </c>
      <c r="K343" s="6">
        <f>HYPERLINK("https://www.dailydose.de/kleinanzeigen/detail.htm?ai=423010&amp;cf=kk&amp;pg=2&amp;ci=11", "Link")</f>
        <v/>
      </c>
      <c r="L343" s="6">
        <f>HYPERLINK("C:\Projects\Kleinanzeigen-Scraper\offer_images\423010", "Link")</f>
        <v/>
      </c>
      <c r="M343" t="inlineStr">
        <is>
          <t>Holger_156</t>
        </is>
      </c>
      <c r="N343" s="6">
        <f>HYPERLINK("https://www.dailydose.de/kleinanzeigen/user/10571", "Link")</f>
        <v/>
      </c>
      <c r="O343" s="7" t="n">
        <v>45558.5741087963</v>
      </c>
      <c r="P343" s="3" t="inlineStr">
        <is>
          <t>471.97</t>
        </is>
      </c>
      <c r="Q343" t="inlineStr">
        <is>
          <t>Köln</t>
        </is>
      </c>
    </row>
    <row r="344">
      <c r="A344" t="inlineStr">
        <is>
          <t>224.7 x 56.5</t>
        </is>
      </c>
      <c r="B344" t="inlineStr">
        <is>
          <t>Simmer Style Quantum Quad 75</t>
        </is>
      </c>
      <c r="C344" t="inlineStr">
        <is>
          <t>Freeride</t>
        </is>
      </c>
      <c r="D344" s="3" t="inlineStr"/>
      <c r="E344" t="inlineStr"/>
      <c r="F344" s="4" t="n">
        <v>222</v>
      </c>
      <c r="G344" t="inlineStr"/>
      <c r="H344" t="inlineStr">
        <is>
          <t>31582 Nienburg/Weser</t>
        </is>
      </c>
      <c r="I344" s="5" t="n">
        <v>45557</v>
      </c>
      <c r="J344" t="inlineStr"/>
      <c r="K344" s="6">
        <f>HYPERLINK("https://www.dailydose.de/kleinanzeigen/detail.htm?ai=423039&amp;cf=kk&amp;pg=4&amp;ci=11", "Link")</f>
        <v/>
      </c>
      <c r="L344" s="6">
        <f>HYPERLINK("C:\Projects\Kleinanzeigen-Scraper\offer_images\423039", "Link")</f>
        <v/>
      </c>
      <c r="M344" t="inlineStr">
        <is>
          <t>Helga</t>
        </is>
      </c>
      <c r="N344" s="6">
        <f>HYPERLINK("https://www.dailydose.de/kleinanzeigen/user/2558", "Link")</f>
        <v/>
      </c>
      <c r="O344" s="7" t="n">
        <v>45558.5740162037</v>
      </c>
      <c r="P344" s="3" t="inlineStr">
        <is>
          <t>244.43</t>
        </is>
      </c>
      <c r="Q344" t="inlineStr">
        <is>
          <t>Köln</t>
        </is>
      </c>
    </row>
    <row r="345">
      <c r="A345" t="inlineStr"/>
      <c r="B345" t="inlineStr">
        <is>
          <t>Starboard Kode</t>
        </is>
      </c>
      <c r="C345" t="inlineStr">
        <is>
          <t>Freestyle</t>
        </is>
      </c>
      <c r="D345" s="3" t="n">
        <v>94</v>
      </c>
      <c r="E345" t="inlineStr"/>
      <c r="F345" s="4" t="n">
        <v>150</v>
      </c>
      <c r="G345" t="inlineStr"/>
      <c r="H345" t="inlineStr">
        <is>
          <t>70186 Stuttgart</t>
        </is>
      </c>
      <c r="I345" s="5" t="n">
        <v>45558</v>
      </c>
      <c r="J345" t="inlineStr"/>
      <c r="K345" s="6">
        <f>HYPERLINK("https://www.dailydose.de/kleinanzeigen/detail.htm?ai=423053&amp;cf=kk&amp;pg=3&amp;ci=11", "Link")</f>
        <v/>
      </c>
      <c r="L345" s="6">
        <f>HYPERLINK("C:\Projects\Kleinanzeigen-Scraper\offer_images\423053", "Link")</f>
        <v/>
      </c>
      <c r="M345" t="inlineStr">
        <is>
          <t>NikoK</t>
        </is>
      </c>
      <c r="N345" s="6">
        <f>HYPERLINK("https://www.dailydose.de/kleinanzeigen/user/17760", "Link")</f>
        <v/>
      </c>
      <c r="O345" s="7" t="n">
        <v>45558.5733912037</v>
      </c>
      <c r="P345" s="3" t="inlineStr">
        <is>
          <t>19.90</t>
        </is>
      </c>
      <c r="Q345" t="inlineStr">
        <is>
          <t>Böblingen</t>
        </is>
      </c>
    </row>
    <row r="346">
      <c r="A346" t="inlineStr"/>
      <c r="B346" t="inlineStr">
        <is>
          <t>Goya Custom</t>
        </is>
      </c>
      <c r="C346" t="inlineStr">
        <is>
          <t>Thruster</t>
        </is>
      </c>
      <c r="D346" s="3" t="n">
        <v>81</v>
      </c>
      <c r="E346" t="inlineStr"/>
      <c r="F346" s="4" t="n">
        <v>699</v>
      </c>
      <c r="G346" t="inlineStr"/>
      <c r="H346" t="inlineStr">
        <is>
          <t>66450 Bexbach</t>
        </is>
      </c>
      <c r="I346" s="5" t="n">
        <v>45557</v>
      </c>
      <c r="J346" t="inlineStr"/>
      <c r="K346" s="6">
        <f>HYPERLINK("https://www.dailydose.de/kleinanzeigen/detail.htm?ai=423040&amp;cf=kk&amp;pg=4&amp;ci=11", "Link")</f>
        <v/>
      </c>
      <c r="L346" s="6">
        <f>HYPERLINK("C:\Projects\Kleinanzeigen-Scraper\offer_images\423040", "Link")</f>
        <v/>
      </c>
      <c r="M346" t="inlineStr">
        <is>
          <t>Windböe</t>
        </is>
      </c>
      <c r="N346" s="6">
        <f>HYPERLINK("https://www.dailydose.de/kleinanzeigen/user/2833", "Link")</f>
        <v/>
      </c>
      <c r="O346" s="7" t="n">
        <v>45558.57328703703</v>
      </c>
      <c r="P346" s="3" t="inlineStr">
        <is>
          <t>92.12</t>
        </is>
      </c>
      <c r="Q346" t="inlineStr">
        <is>
          <t>Karlsruhe</t>
        </is>
      </c>
    </row>
    <row r="347">
      <c r="A347" t="inlineStr"/>
      <c r="B347" t="inlineStr">
        <is>
          <t>Flikka Freestyle</t>
        </is>
      </c>
      <c r="C347" t="inlineStr">
        <is>
          <t>Freestyle</t>
        </is>
      </c>
      <c r="D347" s="3" t="n">
        <v>95</v>
      </c>
      <c r="E347" t="inlineStr"/>
      <c r="F347" s="4" t="n">
        <v>1100</v>
      </c>
      <c r="G347" t="inlineStr"/>
      <c r="H347" t="inlineStr">
        <is>
          <t>66450 Bexbach</t>
        </is>
      </c>
      <c r="I347" s="5" t="n">
        <v>45557</v>
      </c>
      <c r="J347" t="inlineStr"/>
      <c r="K347" s="6">
        <f>HYPERLINK("https://www.dailydose.de/kleinanzeigen/detail.htm?ai=423041&amp;cf=kk&amp;pg=4&amp;ci=11", "Link")</f>
        <v/>
      </c>
      <c r="L347" s="6">
        <f>HYPERLINK("C:\Projects\Kleinanzeigen-Scraper\offer_images\423041", "Link")</f>
        <v/>
      </c>
      <c r="M347" t="inlineStr">
        <is>
          <t>Windböe</t>
        </is>
      </c>
      <c r="N347" s="6">
        <f>HYPERLINK("https://www.dailydose.de/kleinanzeigen/user/2833", "Link")</f>
        <v/>
      </c>
      <c r="O347" s="7" t="n">
        <v>45558.57223379629</v>
      </c>
      <c r="P347" s="3" t="inlineStr">
        <is>
          <t>92.12</t>
        </is>
      </c>
      <c r="Q347" t="inlineStr">
        <is>
          <t>Karlsruhe</t>
        </is>
      </c>
    </row>
    <row r="348">
      <c r="A348" t="inlineStr">
        <is>
          <t>248 cm x 75 cm</t>
        </is>
      </c>
      <c r="B348" t="inlineStr">
        <is>
          <t>BIC Techno</t>
        </is>
      </c>
      <c r="C348" t="inlineStr">
        <is>
          <t>Freeride</t>
        </is>
      </c>
      <c r="D348" s="3" t="n">
        <v>148</v>
      </c>
      <c r="E348" t="inlineStr"/>
      <c r="F348" s="4" t="n">
        <v>260</v>
      </c>
      <c r="G348" t="inlineStr">
        <is>
          <t>VB</t>
        </is>
      </c>
      <c r="H348" t="inlineStr">
        <is>
          <t>23564 Lübeck</t>
        </is>
      </c>
      <c r="I348" s="5" t="n">
        <v>45557</v>
      </c>
      <c r="J348" t="inlineStr">
        <is>
          <t>Sold</t>
        </is>
      </c>
      <c r="K348" s="6">
        <f>HYPERLINK("https://www.dailydose.de/kleinanzeigen/detail.htm?ai=423011&amp;cf=kk&amp;pg=3&amp;ci=11", "Link")</f>
        <v/>
      </c>
      <c r="L348" s="6">
        <f>HYPERLINK("C:\Projects\Kleinanzeigen-Scraper\offer_images\423011", "Link")</f>
        <v/>
      </c>
      <c r="M348" t="inlineStr">
        <is>
          <t>JakobO_o</t>
        </is>
      </c>
      <c r="N348" s="6">
        <f>HYPERLINK("https://www.dailydose.de/kleinanzeigen/user/26438", "Link")</f>
        <v/>
      </c>
      <c r="O348" s="7" t="n">
        <v>45558.57201388889</v>
      </c>
      <c r="P348" s="3" t="inlineStr">
        <is>
          <t>413.01</t>
        </is>
      </c>
      <c r="Q348" t="inlineStr">
        <is>
          <t>Köln</t>
        </is>
      </c>
    </row>
    <row r="349">
      <c r="A349" t="inlineStr">
        <is>
          <t>Dimensions not provided</t>
        </is>
      </c>
      <c r="B349" t="inlineStr">
        <is>
          <t>Severne DYNO</t>
        </is>
      </c>
      <c r="C349" t="inlineStr">
        <is>
          <t>Freewave</t>
        </is>
      </c>
      <c r="D349" s="3" t="n">
        <v>105</v>
      </c>
      <c r="E349" t="inlineStr">
        <is>
          <t>2023</t>
        </is>
      </c>
      <c r="F349" s="4" t="n">
        <v>850</v>
      </c>
      <c r="G349" t="inlineStr"/>
      <c r="H349" t="inlineStr">
        <is>
          <t>58540 Sauerland -NRW</t>
        </is>
      </c>
      <c r="I349" s="5" t="n">
        <v>45557</v>
      </c>
      <c r="J349" t="inlineStr">
        <is>
          <t>Sold</t>
        </is>
      </c>
      <c r="K349" s="6">
        <f>HYPERLINK("https://www.dailydose.de/kleinanzeigen/detail.htm?ai=423043&amp;cf=kk&amp;pg=1&amp;ci=11", "Link")</f>
        <v/>
      </c>
      <c r="L349" s="6">
        <f>HYPERLINK("C:\Projects\Kleinanzeigen-Scraper\offer_images\423043", "Link")</f>
        <v/>
      </c>
      <c r="M349" t="inlineStr">
        <is>
          <t>tivitac</t>
        </is>
      </c>
      <c r="N349" s="6">
        <f>HYPERLINK("https://www.dailydose.de/kleinanzeigen/user/1938", "Link")</f>
        <v/>
      </c>
      <c r="O349" s="7" t="n">
        <v>45558.57167824074</v>
      </c>
      <c r="P349" s="3" t="inlineStr">
        <is>
          <t>56.25</t>
        </is>
      </c>
      <c r="Q349" t="inlineStr">
        <is>
          <t>Köln</t>
        </is>
      </c>
    </row>
    <row r="350">
      <c r="A350" t="inlineStr"/>
      <c r="B350" t="inlineStr">
        <is>
          <t>Goya Custom</t>
        </is>
      </c>
      <c r="C350" t="inlineStr">
        <is>
          <t>Wave</t>
        </is>
      </c>
      <c r="D350" s="3" t="n">
        <v>118</v>
      </c>
      <c r="E350" t="inlineStr"/>
      <c r="F350" s="4" t="n">
        <v>750</v>
      </c>
      <c r="G350" t="inlineStr">
        <is>
          <t>VB</t>
        </is>
      </c>
      <c r="H350" t="inlineStr">
        <is>
          <t>18057 Rostock</t>
        </is>
      </c>
      <c r="I350" s="5" t="n">
        <v>45557</v>
      </c>
      <c r="J350" t="inlineStr"/>
      <c r="K350" s="6">
        <f>HYPERLINK("https://www.dailydose.de/kleinanzeigen/detail.htm?ai=423030&amp;cf=kk&amp;pg=4&amp;ci=11", "Link")</f>
        <v/>
      </c>
      <c r="L350" s="6">
        <f>HYPERLINK("C:\Projects\Kleinanzeigen-Scraper\offer_images\423030", "Link")</f>
        <v/>
      </c>
      <c r="M350" t="inlineStr">
        <is>
          <t>Mo_20</t>
        </is>
      </c>
      <c r="N350" s="6">
        <f>HYPERLINK("https://www.dailydose.de/kleinanzeigen/user/17037", "Link")</f>
        <v/>
      </c>
      <c r="O350" s="7" t="n">
        <v>45558.57157407407</v>
      </c>
      <c r="P350" s="3" t="inlineStr">
        <is>
          <t>494.07</t>
        </is>
      </c>
      <c r="Q350" t="inlineStr">
        <is>
          <t>Köln</t>
        </is>
      </c>
    </row>
    <row r="351">
      <c r="A351" t="inlineStr"/>
      <c r="B351" t="inlineStr">
        <is>
          <t>RRD</t>
        </is>
      </c>
      <c r="C351" t="inlineStr">
        <is>
          <t>Free Ride</t>
        </is>
      </c>
      <c r="D351" s="3" t="inlineStr"/>
      <c r="E351" t="inlineStr"/>
      <c r="F351" s="4" t="n">
        <v>1.05</v>
      </c>
      <c r="G351" t="inlineStr"/>
      <c r="H351" t="inlineStr">
        <is>
          <t>99085 Thüringen - Erfurt</t>
        </is>
      </c>
      <c r="I351" s="5" t="n">
        <v>45557</v>
      </c>
      <c r="J351" t="inlineStr"/>
      <c r="K351" s="6">
        <f>HYPERLINK("https://www.kleinanzeigen.de/s-anzeige/rrd-windsurfen-sup-free-ride-neu/2870760183-230-3749", "Link")</f>
        <v/>
      </c>
      <c r="L351" s="6">
        <f>HYPERLINK("C:\Projects\Kleinanzeigen-Scraper\offer_images\2870760183", "Link")</f>
        <v/>
      </c>
      <c r="M351" t="inlineStr">
        <is>
          <t>Thomas</t>
        </is>
      </c>
      <c r="N351" s="6">
        <f>HYPERLINK("https://www.kleinanzeigen.de/s-bestandsliste.html?userId=17437571", "Link")</f>
        <v/>
      </c>
      <c r="O351" s="7" t="n">
        <v>45558.57143518519</v>
      </c>
      <c r="P351" s="3" t="inlineStr">
        <is>
          <t>287.24</t>
        </is>
      </c>
      <c r="Q351" t="inlineStr">
        <is>
          <t>Köln</t>
        </is>
      </c>
    </row>
    <row r="352">
      <c r="A352" t="inlineStr">
        <is>
          <t>263 cm x 54.3 cm</t>
        </is>
      </c>
      <c r="B352" t="inlineStr">
        <is>
          <t>Mistral Electron</t>
        </is>
      </c>
      <c r="C352" t="inlineStr"/>
      <c r="D352" s="3" t="n">
        <v>88</v>
      </c>
      <c r="E352" t="inlineStr"/>
      <c r="F352" s="4" t="n">
        <v>50</v>
      </c>
      <c r="G352" t="inlineStr">
        <is>
          <t>VB</t>
        </is>
      </c>
      <c r="H352" t="inlineStr">
        <is>
          <t>49076 Niedersachsen - Osnabrück</t>
        </is>
      </c>
      <c r="I352" s="5" t="n">
        <v>45558</v>
      </c>
      <c r="J352" t="inlineStr"/>
      <c r="K352" s="6">
        <f>HYPERLINK("https://www.kleinanzeigen.de/s-anzeige/surfboard-mistral-electron-88-liter-surfbrett-windsurfen/2871390532-230-3121", "Link")</f>
        <v/>
      </c>
      <c r="L352" s="6">
        <f>HYPERLINK("C:\Projects\Kleinanzeigen-Scraper\offer_images\2871390532", "Link")</f>
        <v/>
      </c>
      <c r="M352" t="inlineStr">
        <is>
          <t>Ralf</t>
        </is>
      </c>
      <c r="N352" s="6">
        <f>HYPERLINK("https://www.kleinanzeigen.de/s-bestandsliste.html?userId=17821218", "Link")</f>
        <v/>
      </c>
      <c r="O352" s="7" t="n">
        <v>45558.57131944445</v>
      </c>
      <c r="P352" s="3" t="inlineStr">
        <is>
          <t>165.71</t>
        </is>
      </c>
      <c r="Q352" t="inlineStr">
        <is>
          <t>Köln</t>
        </is>
      </c>
    </row>
    <row r="353">
      <c r="A353" t="inlineStr">
        <is>
          <t>254cm</t>
        </is>
      </c>
      <c r="B353" t="inlineStr">
        <is>
          <t>Windsurf Cut Back Australia</t>
        </is>
      </c>
      <c r="C353" t="inlineStr">
        <is>
          <t>Freestyle</t>
        </is>
      </c>
      <c r="D353" s="3" t="inlineStr"/>
      <c r="E353" t="inlineStr"/>
      <c r="F353" s="4" t="n">
        <v>290</v>
      </c>
      <c r="G353" t="inlineStr"/>
      <c r="H353" t="inlineStr">
        <is>
          <t>80333 München - Maxvorstadt</t>
        </is>
      </c>
      <c r="I353" s="5" t="n">
        <v>45558</v>
      </c>
      <c r="J353" t="inlineStr"/>
      <c r="K353" s="6">
        <f>HYPERLINK("https://www.kleinanzeigen.de/s-anzeige/windsurf-cut-back-australia-254cm-phenolic-neilpryde-3-4qm/2871508536-230-6441", "Link")</f>
        <v/>
      </c>
      <c r="L353" s="6">
        <f>HYPERLINK("C:\Projects\Kleinanzeigen-Scraper\offer_images\2871508536", "Link")</f>
        <v/>
      </c>
      <c r="M353" t="inlineStr">
        <is>
          <t>Elena</t>
        </is>
      </c>
      <c r="N353" s="6">
        <f>HYPERLINK("https://www.kleinanzeigen.de/s-bestandsliste.html?userId=52410959", "Link")</f>
        <v/>
      </c>
      <c r="O353" s="7" t="n">
        <v>45558.57107638889</v>
      </c>
      <c r="P353" s="3" t="inlineStr">
        <is>
          <t>0.91</t>
        </is>
      </c>
      <c r="Q353" t="inlineStr">
        <is>
          <t>München</t>
        </is>
      </c>
    </row>
    <row r="354">
      <c r="A354" t="inlineStr">
        <is>
          <t>132x39.5 cm</t>
        </is>
      </c>
      <c r="B354" t="inlineStr">
        <is>
          <t>North Select</t>
        </is>
      </c>
      <c r="C354" t="inlineStr"/>
      <c r="D354" s="3" t="inlineStr"/>
      <c r="E354" t="inlineStr"/>
      <c r="F354" s="4" t="n">
        <v>249</v>
      </c>
      <c r="G354" t="inlineStr"/>
      <c r="H354" t="inlineStr">
        <is>
          <t>40549 Düsseldorf - Heerdt</t>
        </is>
      </c>
      <c r="I354" s="5" t="n">
        <v>45557</v>
      </c>
      <c r="J354" t="inlineStr"/>
      <c r="K354" s="6">
        <f>HYPERLINK("https://www.kleinanzeigen.de/s-anzeige/north-select-132x39-5-cm-textreme-carbon-neuwertig/2870718532-230-2069", "Link")</f>
        <v/>
      </c>
      <c r="L354" s="6">
        <f>HYPERLINK("C:\Projects\Kleinanzeigen-Scraper\offer_images\2870718532", "Link")</f>
        <v/>
      </c>
      <c r="M354" t="inlineStr">
        <is>
          <t>Jonas</t>
        </is>
      </c>
      <c r="N354" s="6">
        <f>HYPERLINK("https://www.kleinanzeigen.de/s-bestandsliste.html?userId=144434824", "Link")</f>
        <v/>
      </c>
      <c r="O354" s="7" t="n">
        <v>45558.57103009259</v>
      </c>
      <c r="P354" s="3" t="inlineStr">
        <is>
          <t>36.62</t>
        </is>
      </c>
      <c r="Q354" t="inlineStr">
        <is>
          <t>Köln</t>
        </is>
      </c>
    </row>
    <row r="355">
      <c r="A355" t="inlineStr">
        <is>
          <t>293 cm x 59 cm</t>
        </is>
      </c>
      <c r="B355" t="inlineStr">
        <is>
          <t>Fanatic Falcon</t>
        </is>
      </c>
      <c r="C355" t="inlineStr">
        <is>
          <t>Race</t>
        </is>
      </c>
      <c r="D355" s="3" t="n">
        <v>120</v>
      </c>
      <c r="E355" t="inlineStr"/>
      <c r="F355" s="4" t="inlineStr">
        <is>
          <t>Zu verschenken</t>
        </is>
      </c>
      <c r="G355" t="inlineStr"/>
      <c r="H355" t="inlineStr">
        <is>
          <t>84034 Bayern - Landshut</t>
        </is>
      </c>
      <c r="I355" s="5" t="n">
        <v>45557</v>
      </c>
      <c r="J355" t="inlineStr">
        <is>
          <t>Sold</t>
        </is>
      </c>
      <c r="K355" s="6">
        <f>HYPERLINK("https://www.kleinanzeigen.de/s-anzeige/windsurfboard-fanatic-falcon-zu-verschenken/2871334953-230-6396", "Link")</f>
        <v/>
      </c>
      <c r="L355" s="6">
        <f>HYPERLINK("C:\Projects\Kleinanzeigen-Scraper\offer_images\2871334953", "Link")</f>
        <v/>
      </c>
      <c r="M355" t="inlineStr">
        <is>
          <t>Holger Illmann</t>
        </is>
      </c>
      <c r="N355" s="6">
        <f>HYPERLINK("https://www.kleinanzeigen.de/s-bestandsliste.html?userId=30456626", "Link")</f>
        <v/>
      </c>
      <c r="O355" s="7" t="n">
        <v>45558.57087962963</v>
      </c>
      <c r="P355" s="3" t="inlineStr">
        <is>
          <t>58.35</t>
        </is>
      </c>
      <c r="Q355" t="inlineStr">
        <is>
          <t>München</t>
        </is>
      </c>
    </row>
    <row r="356">
      <c r="A356" t="inlineStr">
        <is>
          <t>14x24</t>
        </is>
      </c>
      <c r="B356" t="inlineStr">
        <is>
          <t>Starboard</t>
        </is>
      </c>
      <c r="C356" t="inlineStr"/>
      <c r="D356" s="3" t="inlineStr"/>
      <c r="E356" t="inlineStr">
        <is>
          <t>2023</t>
        </is>
      </c>
      <c r="F356" s="4" t="n">
        <v>800</v>
      </c>
      <c r="G356" t="inlineStr">
        <is>
          <t>VB</t>
        </is>
      </c>
      <c r="H356" t="inlineStr">
        <is>
          <t>15907 Brandenburg - Lübben</t>
        </is>
      </c>
      <c r="I356" s="5" t="n">
        <v>45558</v>
      </c>
      <c r="J356" t="inlineStr"/>
      <c r="K356" s="6">
        <f>HYPERLINK("https://www.kleinanzeigen.de/s-anzeige/starboard-airline-sprint-14x24/2871439942-230-7806", "Link")</f>
        <v/>
      </c>
      <c r="L356" s="6">
        <f>HYPERLINK("C:\Projects\Kleinanzeigen-Scraper\offer_images\2871439942", "Link")</f>
        <v/>
      </c>
      <c r="M356" t="inlineStr">
        <is>
          <t>Sven Burow</t>
        </is>
      </c>
      <c r="N356" s="6">
        <f>HYPERLINK("https://www.kleinanzeigen.de/s-bestandsliste.html?userId=118645051", "Link")</f>
        <v/>
      </c>
      <c r="O356" s="7" t="n">
        <v>45558.57069444445</v>
      </c>
      <c r="P356" s="3" t="inlineStr">
        <is>
          <t>454.59</t>
        </is>
      </c>
      <c r="Q356" t="inlineStr">
        <is>
          <t>München</t>
        </is>
      </c>
    </row>
    <row r="357">
      <c r="A357" t="inlineStr"/>
      <c r="B357" t="inlineStr">
        <is>
          <t>JP Australia</t>
        </is>
      </c>
      <c r="C357" t="inlineStr">
        <is>
          <t>Wave</t>
        </is>
      </c>
      <c r="D357" s="3" t="n">
        <v>86</v>
      </c>
      <c r="E357" t="inlineStr"/>
      <c r="F357" s="4" t="n">
        <v>110</v>
      </c>
      <c r="G357" t="inlineStr">
        <is>
          <t>VB</t>
        </is>
      </c>
      <c r="H357" t="inlineStr">
        <is>
          <t>82110 Bayern - Germering</t>
        </is>
      </c>
      <c r="I357" s="5" t="n">
        <v>45468</v>
      </c>
      <c r="J357" t="inlineStr"/>
      <c r="K357" s="6">
        <f>HYPERLINK("https://www.kleinanzeigen.de/s-anzeige/jp-australia-josh-stone-waveboard-ca-86l-surfbrett-windsurf/2797261776-230-6326", "Link")</f>
        <v/>
      </c>
      <c r="L357" s="6">
        <f>HYPERLINK("C:\Projects\Kleinanzeigen-Scraper\offer_images\2797261776", "Link")</f>
        <v/>
      </c>
      <c r="M357" t="inlineStr">
        <is>
          <t>Christoph</t>
        </is>
      </c>
      <c r="N357" s="6">
        <f>HYPERLINK("https://www.kleinanzeigen.de/s-bestandsliste.html?userId=26609501", "Link")</f>
        <v/>
      </c>
      <c r="O357" s="7" t="n">
        <v>45558.57010416667</v>
      </c>
      <c r="P357" s="3" t="inlineStr">
        <is>
          <t>16.13</t>
        </is>
      </c>
      <c r="Q357" t="inlineStr">
        <is>
          <t>München</t>
        </is>
      </c>
    </row>
    <row r="358">
      <c r="A358" t="inlineStr">
        <is>
          <t>224.7 x 56.5</t>
        </is>
      </c>
      <c r="B358" t="inlineStr">
        <is>
          <t>Simmer Style Quantum Quad 75</t>
        </is>
      </c>
      <c r="C358" t="inlineStr">
        <is>
          <t>Wave</t>
        </is>
      </c>
      <c r="D358" s="3" t="n">
        <v>75</v>
      </c>
      <c r="E358" t="inlineStr"/>
      <c r="F358" s="4" t="n">
        <v>222</v>
      </c>
      <c r="G358" t="inlineStr"/>
      <c r="H358" t="inlineStr">
        <is>
          <t>31582 Niedersachsen - Nienburg (Weser)</t>
        </is>
      </c>
      <c r="I358" s="5" t="n">
        <v>45557</v>
      </c>
      <c r="J358" t="inlineStr"/>
      <c r="K358" s="6">
        <f>HYPERLINK("https://www.kleinanzeigen.de/s-anzeige/-2-simmer-style-quantum-quad-75-224-7-56-5-/2870909082-230-2534", "Link")</f>
        <v/>
      </c>
      <c r="L358" s="6">
        <f>HYPERLINK("C:\Projects\Kleinanzeigen-Scraper\offer_images\2870909082", "Link")</f>
        <v/>
      </c>
      <c r="M358" t="inlineStr">
        <is>
          <t>Holger</t>
        </is>
      </c>
      <c r="N358" s="6">
        <f>HYPERLINK("https://www.kleinanzeigen.de/s-bestandsliste.html?userId=30530795", "Link")</f>
        <v/>
      </c>
      <c r="O358" s="7" t="n">
        <v>45558.56971064815</v>
      </c>
      <c r="P358" s="3" t="inlineStr">
        <is>
          <t>244.43</t>
        </is>
      </c>
      <c r="Q358" t="inlineStr">
        <is>
          <t>Köln</t>
        </is>
      </c>
    </row>
    <row r="359">
      <c r="A359" t="inlineStr">
        <is>
          <t>250 x 76 cm</t>
        </is>
      </c>
      <c r="B359" t="inlineStr">
        <is>
          <t>Tabou Rocket CED</t>
        </is>
      </c>
      <c r="C359" t="inlineStr">
        <is>
          <t>Leichtwindboard</t>
        </is>
      </c>
      <c r="D359" s="3" t="n">
        <v>145</v>
      </c>
      <c r="E359" t="inlineStr">
        <is>
          <t>2017</t>
        </is>
      </c>
      <c r="F359" s="4" t="n">
        <v>475</v>
      </c>
      <c r="G359" t="inlineStr"/>
      <c r="H359" t="inlineStr">
        <is>
          <t>52249 Nordrhein-Westfalen - Eschweiler</t>
        </is>
      </c>
      <c r="I359" s="5" t="n">
        <v>45557</v>
      </c>
      <c r="J359" t="inlineStr">
        <is>
          <t>Sold</t>
        </is>
      </c>
      <c r="K359" s="6">
        <f>HYPERLINK("https://www.kleinanzeigen.de/s-anzeige/surfboard-tabou-rocket-ced-145l-250-x-76-cm-aus-2017/2871301741-230-1908", "Link")</f>
        <v/>
      </c>
      <c r="L359" s="6">
        <f>HYPERLINK("C:\Projects\Kleinanzeigen-Scraper\offer_images\2871301741", "Link")</f>
        <v/>
      </c>
      <c r="M359" t="inlineStr">
        <is>
          <t>Torsten</t>
        </is>
      </c>
      <c r="N359" s="6">
        <f>HYPERLINK("https://www.kleinanzeigen.de/s-bestandsliste.html?userId=50390446", "Link")</f>
        <v/>
      </c>
      <c r="O359" s="7" t="n">
        <v>45558.56945601852</v>
      </c>
      <c r="P359" s="3" t="inlineStr">
        <is>
          <t>50.09</t>
        </is>
      </c>
      <c r="Q359" t="inlineStr">
        <is>
          <t>Köln</t>
        </is>
      </c>
    </row>
    <row r="360">
      <c r="A360" t="inlineStr">
        <is>
          <t>200 cm</t>
        </is>
      </c>
      <c r="B360" t="inlineStr">
        <is>
          <t>Naish WS</t>
        </is>
      </c>
      <c r="C360" t="inlineStr">
        <is>
          <t>Windfoil</t>
        </is>
      </c>
      <c r="D360" s="3" t="n">
        <v>105</v>
      </c>
      <c r="E360" t="inlineStr"/>
      <c r="F360" s="4" t="n">
        <v>799</v>
      </c>
      <c r="G360" t="inlineStr">
        <is>
          <t>VB</t>
        </is>
      </c>
      <c r="H360" t="inlineStr">
        <is>
          <t>17194 Mecklenburg-Vorpommern - Grabowhöfe</t>
        </is>
      </c>
      <c r="I360" s="5" t="n">
        <v>45558</v>
      </c>
      <c r="J360" t="inlineStr"/>
      <c r="K360" s="6">
        <f>HYPERLINK("https://www.kleinanzeigen.de/s-anzeige/naish-ws-105-liter-neu/2871631286-230-19444", "Link")</f>
        <v/>
      </c>
      <c r="L360" s="6">
        <f>HYPERLINK("C:\Projects\Kleinanzeigen-Scraper\offer_images\2871631286", "Link")</f>
        <v/>
      </c>
      <c r="M360" t="inlineStr">
        <is>
          <t>nicky</t>
        </is>
      </c>
      <c r="N360" s="6">
        <f>HYPERLINK("https://www.kleinanzeigen.de/s-bestandsliste.html?userId=24375528", "Link")</f>
        <v/>
      </c>
      <c r="O360" s="7" t="n">
        <v>45558.56935185185</v>
      </c>
      <c r="P360" s="3" t="inlineStr">
        <is>
          <t>478.72</t>
        </is>
      </c>
      <c r="Q360" t="inlineStr">
        <is>
          <t>Köln</t>
        </is>
      </c>
    </row>
    <row r="361">
      <c r="A361" t="inlineStr"/>
      <c r="B361" t="inlineStr">
        <is>
          <t>JP Australia</t>
        </is>
      </c>
      <c r="C361" t="inlineStr">
        <is>
          <t>Freestyle Wave</t>
        </is>
      </c>
      <c r="D361" s="3" t="n">
        <v>93</v>
      </c>
      <c r="E361" t="inlineStr">
        <is>
          <t>2007</t>
        </is>
      </c>
      <c r="F361" s="4" t="n">
        <v>30</v>
      </c>
      <c r="G361" t="inlineStr">
        <is>
          <t>VB</t>
        </is>
      </c>
      <c r="H361" t="inlineStr">
        <is>
          <t>82327 Bayern - Tutzing</t>
        </is>
      </c>
      <c r="I361" s="5" t="n">
        <v>45557</v>
      </c>
      <c r="J361" t="inlineStr">
        <is>
          <t>Sold</t>
        </is>
      </c>
      <c r="K361" s="6">
        <f>HYPERLINK("https://www.kleinanzeigen.de/s-anzeige/2007-jp-australia-freestyle-wave-93-liter/2870696464-230-5545", "Link")</f>
        <v/>
      </c>
      <c r="L361" s="6">
        <f>HYPERLINK("C:\Projects\Kleinanzeigen-Scraper\offer_images\2870696464", "Link")</f>
        <v/>
      </c>
      <c r="M361" t="inlineStr">
        <is>
          <t>Privat</t>
        </is>
      </c>
      <c r="N361" s="6">
        <f>HYPERLINK("https://www.kleinanzeigen.de/s-bestandsliste.html?userId=29917054", "Link")</f>
        <v/>
      </c>
      <c r="O361" s="7" t="n">
        <v>45558.56891203704</v>
      </c>
      <c r="P361" s="3" t="inlineStr">
        <is>
          <t>35.71</t>
        </is>
      </c>
      <c r="Q361" t="inlineStr">
        <is>
          <t>München</t>
        </is>
      </c>
    </row>
    <row r="362">
      <c r="A362" t="inlineStr">
        <is>
          <t>233 cm x 70 cm</t>
        </is>
      </c>
      <c r="B362" t="inlineStr">
        <is>
          <t>Fanatic Blast HRS</t>
        </is>
      </c>
      <c r="C362" t="inlineStr">
        <is>
          <t>Freeride</t>
        </is>
      </c>
      <c r="D362" s="3" t="n">
        <v>130</v>
      </c>
      <c r="E362" t="inlineStr">
        <is>
          <t>2021</t>
        </is>
      </c>
      <c r="F362" s="4" t="n">
        <v>750</v>
      </c>
      <c r="G362" t="inlineStr">
        <is>
          <t>VB</t>
        </is>
      </c>
      <c r="H362" t="inlineStr">
        <is>
          <t>23562 Schleswig-Holstein - Lübeck</t>
        </is>
      </c>
      <c r="I362" s="5" t="n">
        <v>45557</v>
      </c>
      <c r="J362" t="inlineStr"/>
      <c r="K362" s="6">
        <f>HYPERLINK("https://www.kleinanzeigen.de/s-anzeige/fanatic-blast-hrs-130-l-modell-2021-2-j-gef-top-zustand/2870992846-230-423", "Link")</f>
        <v/>
      </c>
      <c r="L362" s="6">
        <f>HYPERLINK("C:\Projects\Kleinanzeigen-Scraper\offer_images\2870992846", "Link")</f>
        <v/>
      </c>
      <c r="M362" t="inlineStr">
        <is>
          <t>Kling</t>
        </is>
      </c>
      <c r="N362" s="6">
        <f>HYPERLINK("https://www.kleinanzeigen.de/s-bestandsliste.html?userId=66138060", "Link")</f>
        <v/>
      </c>
      <c r="O362" s="7" t="n">
        <v>45558.56858796296</v>
      </c>
      <c r="P362" s="3" t="inlineStr">
        <is>
          <t>410.15</t>
        </is>
      </c>
      <c r="Q362" t="inlineStr">
        <is>
          <t>Köln</t>
        </is>
      </c>
    </row>
    <row r="363">
      <c r="A363" t="inlineStr">
        <is>
          <t>284 cm</t>
        </is>
      </c>
      <c r="B363" t="inlineStr">
        <is>
          <t>FANATIC BEE</t>
        </is>
      </c>
      <c r="C363" t="inlineStr"/>
      <c r="D363" s="3" t="n">
        <v>117</v>
      </c>
      <c r="E363" t="inlineStr"/>
      <c r="F363" s="4" t="n">
        <v>75</v>
      </c>
      <c r="G363" t="inlineStr"/>
      <c r="H363" t="inlineStr">
        <is>
          <t>24146 Kiel - Elmschenhagen-Kroog</t>
        </is>
      </c>
      <c r="I363" s="5" t="n">
        <v>45557</v>
      </c>
      <c r="J363" t="inlineStr"/>
      <c r="K363" s="6">
        <f>HYPERLINK("https://www.kleinanzeigen.de/s-anzeige/surfboard-fanatic-bee-284/2870726936-230-712", "Link")</f>
        <v/>
      </c>
      <c r="L363" s="6">
        <f>HYPERLINK("C:\Projects\Kleinanzeigen-Scraper\offer_images\2870726936", "Link")</f>
        <v/>
      </c>
      <c r="M363" t="inlineStr">
        <is>
          <t>Fam. Rodeck</t>
        </is>
      </c>
      <c r="N363" s="6">
        <f>HYPERLINK("https://www.kleinanzeigen.de/s-bestandsliste.html?userId=28707645", "Link")</f>
        <v/>
      </c>
      <c r="O363" s="7" t="n">
        <v>45558.56855324074</v>
      </c>
      <c r="P363" s="3" t="inlineStr">
        <is>
          <t>431.93</t>
        </is>
      </c>
      <c r="Q363" t="inlineStr">
        <is>
          <t>Köln</t>
        </is>
      </c>
    </row>
    <row r="364">
      <c r="A364" t="inlineStr">
        <is>
          <t>291 cm x 59 cm</t>
        </is>
      </c>
      <c r="B364" t="inlineStr">
        <is>
          <t>Fanatic Shark</t>
        </is>
      </c>
      <c r="C364" t="inlineStr"/>
      <c r="D364" s="3" t="n">
        <v>125</v>
      </c>
      <c r="E364" t="inlineStr"/>
      <c r="F364" s="4" t="n">
        <v>80</v>
      </c>
      <c r="G364" t="inlineStr">
        <is>
          <t>VB</t>
        </is>
      </c>
      <c r="H364" t="inlineStr">
        <is>
          <t>49076 Niedersachsen - Osnabrück</t>
        </is>
      </c>
      <c r="I364" s="5" t="n">
        <v>45558</v>
      </c>
      <c r="J364" t="inlineStr"/>
      <c r="K364" s="6">
        <f>HYPERLINK("https://www.kleinanzeigen.de/s-anzeige/surfboard-fanatic-shark-surfbrett-windsurfen/2871389086-230-3121", "Link")</f>
        <v/>
      </c>
      <c r="L364" s="6">
        <f>HYPERLINK("C:\Projects\Kleinanzeigen-Scraper\offer_images\2871389086", "Link")</f>
        <v/>
      </c>
      <c r="M364" t="inlineStr">
        <is>
          <t>Ralf</t>
        </is>
      </c>
      <c r="N364" s="6">
        <f>HYPERLINK("https://www.kleinanzeigen.de/s-bestandsliste.html?userId=17821218", "Link")</f>
        <v/>
      </c>
      <c r="O364" s="7" t="n">
        <v>45558.56835648148</v>
      </c>
      <c r="P364" s="3" t="inlineStr">
        <is>
          <t>165.71</t>
        </is>
      </c>
      <c r="Q364" t="inlineStr">
        <is>
          <t>Köln</t>
        </is>
      </c>
    </row>
    <row r="365">
      <c r="A365" t="inlineStr">
        <is>
          <t>240 x 62.8</t>
        </is>
      </c>
      <c r="B365" t="inlineStr">
        <is>
          <t>Naish Global</t>
        </is>
      </c>
      <c r="C365" t="inlineStr"/>
      <c r="D365" s="3" t="n">
        <v>98</v>
      </c>
      <c r="E365" t="inlineStr"/>
      <c r="F365" s="4" t="n">
        <v>444</v>
      </c>
      <c r="G365" t="inlineStr">
        <is>
          <t>VB</t>
        </is>
      </c>
      <c r="H365" t="inlineStr">
        <is>
          <t>17194 Mecklenburg-Vorpommern - Grabowhöfe</t>
        </is>
      </c>
      <c r="I365" s="5" t="n">
        <v>45558</v>
      </c>
      <c r="J365" t="inlineStr"/>
      <c r="K365" s="6">
        <f>HYPERLINK("https://www.kleinanzeigen.de/s-anzeige/naish-global-98-liter/2871640340-230-19444", "Link")</f>
        <v/>
      </c>
      <c r="L365" s="6">
        <f>HYPERLINK("C:\Projects\Kleinanzeigen-Scraper\offer_images\2871640340", "Link")</f>
        <v/>
      </c>
      <c r="M365" t="inlineStr">
        <is>
          <t>nicky</t>
        </is>
      </c>
      <c r="N365" s="6">
        <f>HYPERLINK("https://www.kleinanzeigen.de/s-bestandsliste.html?userId=24375528", "Link")</f>
        <v/>
      </c>
      <c r="O365" s="7" t="n">
        <v>45558.56831018518</v>
      </c>
      <c r="P365" s="3" t="inlineStr">
        <is>
          <t>478.72</t>
        </is>
      </c>
      <c r="Q365" t="inlineStr">
        <is>
          <t>Köln</t>
        </is>
      </c>
    </row>
    <row r="366">
      <c r="A366" t="inlineStr">
        <is>
          <t>245x61</t>
        </is>
      </c>
      <c r="B366" t="inlineStr">
        <is>
          <t>Fanatic Freewave</t>
        </is>
      </c>
      <c r="C366" t="inlineStr">
        <is>
          <t>Freestyle</t>
        </is>
      </c>
      <c r="D366" s="3" t="n">
        <v>96</v>
      </c>
      <c r="E366" t="inlineStr"/>
      <c r="F366" s="4" t="n">
        <v>99</v>
      </c>
      <c r="G366" t="inlineStr"/>
      <c r="H366" t="inlineStr">
        <is>
          <t>40549 Düsseldorf - Heerdt</t>
        </is>
      </c>
      <c r="I366" s="5" t="n">
        <v>45557</v>
      </c>
      <c r="J366" t="inlineStr"/>
      <c r="K366" s="6">
        <f>HYPERLINK("https://www.kleinanzeigen.de/s-anzeige/fanatic-freewave-96-neuwertig/2870701658-230-2069", "Link")</f>
        <v/>
      </c>
      <c r="L366" s="6">
        <f>HYPERLINK("C:\Projects\Kleinanzeigen-Scraper\offer_images\2870701658", "Link")</f>
        <v/>
      </c>
      <c r="M366" t="inlineStr">
        <is>
          <t>Jonas</t>
        </is>
      </c>
      <c r="N366" s="6">
        <f>HYPERLINK("https://www.kleinanzeigen.de/s-bestandsliste.html?userId=144434824", "Link")</f>
        <v/>
      </c>
      <c r="O366" s="7" t="n">
        <v>45558.5681712963</v>
      </c>
      <c r="P366" s="3" t="inlineStr">
        <is>
          <t>36.62</t>
        </is>
      </c>
      <c r="Q366" t="inlineStr">
        <is>
          <t>Köln</t>
        </is>
      </c>
    </row>
    <row r="367">
      <c r="A367" t="inlineStr">
        <is>
          <t>L284cm W59cm</t>
        </is>
      </c>
      <c r="B367" t="inlineStr">
        <is>
          <t>FANATIC BEE</t>
        </is>
      </c>
      <c r="C367" t="inlineStr"/>
      <c r="D367" s="3" t="n">
        <v>117</v>
      </c>
      <c r="E367" t="inlineStr"/>
      <c r="F367" s="4" t="n">
        <v>30</v>
      </c>
      <c r="G367" t="inlineStr"/>
      <c r="H367" t="inlineStr">
        <is>
          <t>61440 Hessen - Oberursel (Taunus)</t>
        </is>
      </c>
      <c r="I367" s="5" t="n">
        <v>45557</v>
      </c>
      <c r="J367" t="inlineStr">
        <is>
          <t>Sold</t>
        </is>
      </c>
      <c r="K367" s="6">
        <f>HYPERLINK("https://www.kleinanzeigen.de/s-anzeige/verkaufe-surfboard-fanatic-bee-weiss-l284cm-w59cm-vol117l/2870898727-230-4578", "Link")</f>
        <v/>
      </c>
      <c r="L367" s="6">
        <f>HYPERLINK("C:\Projects\Kleinanzeigen-Scraper\offer_images\2870898727", "Link")</f>
        <v/>
      </c>
      <c r="M367" t="inlineStr">
        <is>
          <t>Oliver</t>
        </is>
      </c>
      <c r="N367" s="6">
        <f>HYPERLINK("https://www.kleinanzeigen.de/s-bestandsliste.html?userId=56945937", "Link")</f>
        <v/>
      </c>
      <c r="O367" s="7" t="n">
        <v>45558.56804398148</v>
      </c>
      <c r="P367" s="3" t="inlineStr">
        <is>
          <t>134.19</t>
        </is>
      </c>
      <c r="Q367" t="inlineStr">
        <is>
          <t>Karlsruhe</t>
        </is>
      </c>
    </row>
    <row r="368">
      <c r="A368" t="inlineStr">
        <is>
          <t>220x55</t>
        </is>
      </c>
      <c r="B368" t="inlineStr">
        <is>
          <t>Starboard EvilTwin</t>
        </is>
      </c>
      <c r="C368" t="inlineStr">
        <is>
          <t>NewSchool Wave</t>
        </is>
      </c>
      <c r="D368" s="3" t="n">
        <v>70</v>
      </c>
      <c r="E368" t="inlineStr"/>
      <c r="F368" s="4" t="n">
        <v>111</v>
      </c>
      <c r="G368" t="inlineStr"/>
      <c r="H368" t="inlineStr">
        <is>
          <t>31582 Niedersachsen - Nienburg (Weser)</t>
        </is>
      </c>
      <c r="I368" s="5" t="n">
        <v>45557</v>
      </c>
      <c r="J368" t="inlineStr"/>
      <c r="K368" s="6">
        <f>HYPERLINK("https://www.kleinanzeigen.de/s-anzeige/-3-starboard-eviltwin-70l-220x55cm-woodcarbon-twinser-bag/2871011256-230-2534", "Link")</f>
        <v/>
      </c>
      <c r="L368" s="6">
        <f>HYPERLINK("C:\Projects\Kleinanzeigen-Scraper\offer_images\2871011256", "Link")</f>
        <v/>
      </c>
      <c r="M368" t="inlineStr">
        <is>
          <t>Holger</t>
        </is>
      </c>
      <c r="N368" s="6">
        <f>HYPERLINK("https://www.kleinanzeigen.de/s-bestandsliste.html?userId=30530795", "Link")</f>
        <v/>
      </c>
      <c r="O368" s="7" t="n">
        <v>45558.56799768518</v>
      </c>
      <c r="P368" s="3" t="inlineStr">
        <is>
          <t>244.43</t>
        </is>
      </c>
      <c r="Q368" t="inlineStr">
        <is>
          <t>Köln</t>
        </is>
      </c>
    </row>
    <row r="369">
      <c r="A369" t="inlineStr">
        <is>
          <t>264x75</t>
        </is>
      </c>
      <c r="B369" t="inlineStr">
        <is>
          <t>BIC Techno</t>
        </is>
      </c>
      <c r="C369" t="inlineStr">
        <is>
          <t>Freeride</t>
        </is>
      </c>
      <c r="D369" s="3" t="n">
        <v>148</v>
      </c>
      <c r="E369" t="inlineStr"/>
      <c r="F369" s="4" t="n">
        <v>230</v>
      </c>
      <c r="G369" t="inlineStr">
        <is>
          <t>VB</t>
        </is>
      </c>
      <c r="H369" t="inlineStr">
        <is>
          <t>23564 Schleswig-Holstein - Lübeck</t>
        </is>
      </c>
      <c r="I369" s="5" t="n">
        <v>45557</v>
      </c>
      <c r="J369" t="inlineStr">
        <is>
          <t>Sold</t>
        </is>
      </c>
      <c r="K369" s="6">
        <f>HYPERLINK("https://www.kleinanzeigen.de/s-anzeige/bic-techno-148l-jetzt-tahe-windsurf-board-surfboard-surfbrett/2870891429-230-420", "Link")</f>
        <v/>
      </c>
      <c r="L369" s="6">
        <f>HYPERLINK("C:\Projects\Kleinanzeigen-Scraper\offer_images\2870891429", "Link")</f>
        <v/>
      </c>
      <c r="M369" t="inlineStr">
        <is>
          <t>Jan Lödige</t>
        </is>
      </c>
      <c r="N369" s="6">
        <f>HYPERLINK("https://www.kleinanzeigen.de/s-bestandsliste.html?userId=23028760", "Link")</f>
        <v/>
      </c>
      <c r="O369" s="7" t="n">
        <v>45558.56788194444</v>
      </c>
      <c r="P369" s="3" t="inlineStr">
        <is>
          <t>413.01</t>
        </is>
      </c>
      <c r="Q369" t="inlineStr">
        <is>
          <t>Köln</t>
        </is>
      </c>
    </row>
    <row r="370">
      <c r="A370" t="inlineStr">
        <is>
          <t>140x43</t>
        </is>
      </c>
      <c r="B370" t="inlineStr">
        <is>
          <t>RRD Placebo</t>
        </is>
      </c>
      <c r="C370" t="inlineStr"/>
      <c r="D370" s="3" t="inlineStr"/>
      <c r="E370" t="inlineStr"/>
      <c r="F370" s="4" t="n">
        <v>125</v>
      </c>
      <c r="G370" t="inlineStr">
        <is>
          <t>VB</t>
        </is>
      </c>
      <c r="H370" t="inlineStr">
        <is>
          <t>86399 Bayern - Bobingen</t>
        </is>
      </c>
      <c r="I370" s="5" t="n">
        <v>45557</v>
      </c>
      <c r="J370" t="inlineStr"/>
      <c r="K370" s="6">
        <f>HYPERLINK("https://www.kleinanzeigen.de/s-anzeige/rrd-board-placebo-140x43/2871318217-230-7129", "Link")</f>
        <v/>
      </c>
      <c r="L370" s="6">
        <f>HYPERLINK("C:\Projects\Kleinanzeigen-Scraper\offer_images\2871318217", "Link")</f>
        <v/>
      </c>
      <c r="M370" t="inlineStr">
        <is>
          <t>Nils Schikora</t>
        </is>
      </c>
      <c r="N370" s="6">
        <f>HYPERLINK("https://www.kleinanzeigen.de/s-bestandsliste.html?userId=37253077", "Link")</f>
        <v/>
      </c>
      <c r="O370" s="7" t="n">
        <v>45558.56753472222</v>
      </c>
      <c r="P370" s="3" t="inlineStr">
        <is>
          <t>60.93</t>
        </is>
      </c>
      <c r="Q370" t="inlineStr">
        <is>
          <t>München</t>
        </is>
      </c>
    </row>
    <row r="371">
      <c r="A371" t="inlineStr"/>
      <c r="B371" t="inlineStr">
        <is>
          <t>Thommen</t>
        </is>
      </c>
      <c r="C371" t="inlineStr">
        <is>
          <t>Speed/Slalom</t>
        </is>
      </c>
      <c r="D371" s="3" t="n">
        <v>90</v>
      </c>
      <c r="E371" t="inlineStr"/>
      <c r="F371" s="4" t="n">
        <v>150</v>
      </c>
      <c r="G371" t="inlineStr"/>
      <c r="H371" t="inlineStr">
        <is>
          <t>24306 Schleswig-Holstein - Plön</t>
        </is>
      </c>
      <c r="I371" s="5" t="n">
        <v>45557</v>
      </c>
      <c r="J371" t="inlineStr"/>
      <c r="K371" s="6">
        <f>HYPERLINK("https://www.kleinanzeigen.de/s-anzeige/thommen-90l-scheunenfund-windsurf-speed-carbon-slalom/2871190444-230-13384", "Link")</f>
        <v/>
      </c>
      <c r="L371" s="6">
        <f>HYPERLINK("C:\Projects\Kleinanzeigen-Scraper\offer_images\2871190444", "Link")</f>
        <v/>
      </c>
      <c r="M371" t="inlineStr">
        <is>
          <t>Steffen Bremerich</t>
        </is>
      </c>
      <c r="N371" s="6">
        <f>HYPERLINK("https://www.kleinanzeigen.de/s-bestandsliste.html?userId=51431186", "Link")</f>
        <v/>
      </c>
      <c r="O371" s="7" t="n">
        <v>45558.56748842593</v>
      </c>
      <c r="P371" s="3" t="inlineStr">
        <is>
          <t>429.16</t>
        </is>
      </c>
      <c r="Q371" t="inlineStr">
        <is>
          <t>Köln</t>
        </is>
      </c>
    </row>
    <row r="372">
      <c r="A372" t="inlineStr">
        <is>
          <t>250x65</t>
        </is>
      </c>
      <c r="B372" t="inlineStr">
        <is>
          <t>F2 Stoke</t>
        </is>
      </c>
      <c r="C372" t="inlineStr">
        <is>
          <t>Freeride</t>
        </is>
      </c>
      <c r="D372" s="3" t="n">
        <v>116</v>
      </c>
      <c r="E372" t="inlineStr"/>
      <c r="F372" s="4" t="n">
        <v>125</v>
      </c>
      <c r="G372" t="inlineStr">
        <is>
          <t>VB</t>
        </is>
      </c>
      <c r="H372" t="inlineStr">
        <is>
          <t>99099 Thüringen - Erfurt</t>
        </is>
      </c>
      <c r="I372" s="5" t="n">
        <v>45557</v>
      </c>
      <c r="J372" t="inlineStr"/>
      <c r="K372" s="6">
        <f>HYPERLINK("https://www.kleinanzeigen.de/s-anzeige/windsurf-board-f2-stoke-116/2870907971-230-3753", "Link")</f>
        <v/>
      </c>
      <c r="L372" s="6">
        <f>HYPERLINK("C:\Projects\Kleinanzeigen-Scraper\offer_images\2870907971", "Link")</f>
        <v/>
      </c>
      <c r="M372" t="inlineStr">
        <is>
          <t>Fiedler</t>
        </is>
      </c>
      <c r="N372" s="6">
        <f>HYPERLINK("https://www.kleinanzeigen.de/s-bestandsliste.html?userId=2143363", "Link")</f>
        <v/>
      </c>
      <c r="O372" s="7" t="n">
        <v>45558.56748842593</v>
      </c>
      <c r="P372" s="3" t="inlineStr">
        <is>
          <t>288.62</t>
        </is>
      </c>
      <c r="Q372" t="inlineStr">
        <is>
          <t>Köln</t>
        </is>
      </c>
    </row>
    <row r="373">
      <c r="A373" t="inlineStr">
        <is>
          <t>335 x 83.5 cm</t>
        </is>
      </c>
      <c r="B373" t="inlineStr">
        <is>
          <t>Fanatic Viper Air</t>
        </is>
      </c>
      <c r="C373" t="inlineStr">
        <is>
          <t>ISUP / WindSUP</t>
        </is>
      </c>
      <c r="D373" s="3" t="n">
        <v>355</v>
      </c>
      <c r="E373" t="inlineStr">
        <is>
          <t>2019</t>
        </is>
      </c>
      <c r="F373" s="4" t="n">
        <v>349</v>
      </c>
      <c r="G373" t="inlineStr"/>
      <c r="H373" t="inlineStr">
        <is>
          <t>65428 Hessen - Rüsselsheim</t>
        </is>
      </c>
      <c r="I373" s="5" t="n">
        <v>45558</v>
      </c>
      <c r="J373" t="inlineStr"/>
      <c r="K373" s="6">
        <f>HYPERLINK("https://www.kleinanzeigen.de/s-anzeige/fanatic-viper-air-windsurf-355l-2019-isup-windsup-gebraucht/2871440291-230-4816", "Link")</f>
        <v/>
      </c>
      <c r="L373" s="6">
        <f>HYPERLINK("C:\Projects\Kleinanzeigen-Scraper\offer_images\2871440291", "Link")</f>
        <v/>
      </c>
      <c r="M373" t="inlineStr">
        <is>
          <t>Schaefer</t>
        </is>
      </c>
      <c r="N373" s="6">
        <f>HYPERLINK("https://www.kleinanzeigen.de/s-bestandsliste.html?userId=35750181", "Link")</f>
        <v/>
      </c>
      <c r="O373" s="7" t="n">
        <v>45558.56744212963</v>
      </c>
      <c r="P373" s="3" t="inlineStr">
        <is>
          <t>109.39</t>
        </is>
      </c>
      <c r="Q373" t="inlineStr">
        <is>
          <t>Karlsruhe</t>
        </is>
      </c>
    </row>
    <row r="374">
      <c r="A374" t="inlineStr">
        <is>
          <t>59cm</t>
        </is>
      </c>
      <c r="B374" t="inlineStr">
        <is>
          <t>WeOne WeRace</t>
        </is>
      </c>
      <c r="C374" t="inlineStr">
        <is>
          <t>Slalom</t>
        </is>
      </c>
      <c r="D374" s="3" t="n">
        <v>94</v>
      </c>
      <c r="E374" t="inlineStr">
        <is>
          <t>2024</t>
        </is>
      </c>
      <c r="F374" s="4" t="n">
        <v>1.6</v>
      </c>
      <c r="G374" t="inlineStr">
        <is>
          <t>VB</t>
        </is>
      </c>
      <c r="H374" t="inlineStr">
        <is>
          <t>24306 Schleswig-Holstein - Plön</t>
        </is>
      </c>
      <c r="I374" s="5" t="n">
        <v>45557</v>
      </c>
      <c r="J374" t="inlineStr"/>
      <c r="K374" s="6">
        <f>HYPERLINK("https://www.kleinanzeigen.de/s-anzeige/2024-weone-werace-59cm-94l-slalom-windsurf-board/2871196244-230-13384", "Link")</f>
        <v/>
      </c>
      <c r="L374" s="6">
        <f>HYPERLINK("C:\Projects\Kleinanzeigen-Scraper\offer_images\2871196244", "Link")</f>
        <v/>
      </c>
      <c r="M374" t="inlineStr">
        <is>
          <t>Steffen Bremerich</t>
        </is>
      </c>
      <c r="N374" s="6">
        <f>HYPERLINK("https://www.kleinanzeigen.de/s-bestandsliste.html?userId=51431186", "Link")</f>
        <v/>
      </c>
      <c r="O374" s="7" t="n">
        <v>45558.56729166667</v>
      </c>
      <c r="P374" s="3" t="inlineStr">
        <is>
          <t>429.16</t>
        </is>
      </c>
      <c r="Q374" t="inlineStr">
        <is>
          <t>Köln</t>
        </is>
      </c>
    </row>
    <row r="375">
      <c r="A375" t="inlineStr"/>
      <c r="B375" t="inlineStr">
        <is>
          <t>RRD Freestylewave FSW LTD</t>
        </is>
      </c>
      <c r="C375" t="inlineStr">
        <is>
          <t>Freestylewave</t>
        </is>
      </c>
      <c r="D375" s="3" t="inlineStr">
        <is>
          <t>95, 115</t>
        </is>
      </c>
      <c r="E375" t="inlineStr"/>
      <c r="F375" s="4" t="n">
        <v>235</v>
      </c>
      <c r="G375" t="inlineStr">
        <is>
          <t>VB</t>
        </is>
      </c>
      <c r="H375" t="inlineStr">
        <is>
          <t>21465 Schleswig-Holstein - Reinbek</t>
        </is>
      </c>
      <c r="I375" s="5" t="n">
        <v>45557</v>
      </c>
      <c r="J375" t="inlineStr"/>
      <c r="K375" s="6">
        <f>HYPERLINK("https://www.kleinanzeigen.de/s-anzeige/rrd-freestylewave-fsw-ltd-in-95-und-115-liter/2870867651-230-13590", "Link")</f>
        <v/>
      </c>
      <c r="L375" s="6">
        <f>HYPERLINK("C:\Projects\Kleinanzeigen-Scraper\offer_images\2870867651", "Link")</f>
        <v/>
      </c>
      <c r="M375" t="inlineStr">
        <is>
          <t>Martin</t>
        </is>
      </c>
      <c r="N375" s="6">
        <f>HYPERLINK("https://www.kleinanzeigen.de/s-bestandsliste.html?userId=58390548", "Link")</f>
        <v/>
      </c>
      <c r="O375" s="7" t="n">
        <v>45558.56701388889</v>
      </c>
      <c r="P375" s="3" t="inlineStr">
        <is>
          <t>366.85</t>
        </is>
      </c>
      <c r="Q375" t="inlineStr">
        <is>
          <t>Köln</t>
        </is>
      </c>
    </row>
    <row r="376">
      <c r="A376" t="inlineStr">
        <is>
          <t>137x41.5</t>
        </is>
      </c>
      <c r="B376" t="inlineStr">
        <is>
          <t>North Select Textreme Carbon</t>
        </is>
      </c>
      <c r="C376" t="inlineStr"/>
      <c r="D376" s="3" t="inlineStr"/>
      <c r="E376" t="inlineStr"/>
      <c r="F376" s="4" t="n">
        <v>249</v>
      </c>
      <c r="G376" t="inlineStr"/>
      <c r="H376" t="inlineStr">
        <is>
          <t>40549 Düsseldorf - Heerdt</t>
        </is>
      </c>
      <c r="I376" s="5" t="n">
        <v>45557</v>
      </c>
      <c r="J376" t="inlineStr"/>
      <c r="K376" s="6">
        <f>HYPERLINK("https://www.kleinanzeigen.de/s-anzeige/north-select-textreme-carbon-137x41-5-ntt/2870727380-230-2069", "Link")</f>
        <v/>
      </c>
      <c r="L376" s="6">
        <f>HYPERLINK("C:\Projects\Kleinanzeigen-Scraper\offer_images\2870727380", "Link")</f>
        <v/>
      </c>
      <c r="M376" t="inlineStr">
        <is>
          <t>Jonas</t>
        </is>
      </c>
      <c r="N376" s="6">
        <f>HYPERLINK("https://www.kleinanzeigen.de/s-bestandsliste.html?userId=144434824", "Link")</f>
        <v/>
      </c>
      <c r="O376" s="7" t="n">
        <v>45558.5669212963</v>
      </c>
      <c r="P376" s="3" t="inlineStr">
        <is>
          <t>36.62</t>
        </is>
      </c>
      <c r="Q376" t="inlineStr">
        <is>
          <t>Köln</t>
        </is>
      </c>
    </row>
    <row r="377">
      <c r="A377" t="inlineStr"/>
      <c r="B377" t="inlineStr">
        <is>
          <t>Fanatic Stingray</t>
        </is>
      </c>
      <c r="C377" t="inlineStr">
        <is>
          <t>Freeride</t>
        </is>
      </c>
      <c r="D377" s="3" t="n">
        <v>145</v>
      </c>
      <c r="E377" t="inlineStr"/>
      <c r="F377" s="4" t="n">
        <v>199</v>
      </c>
      <c r="G377" t="inlineStr">
        <is>
          <t>VB</t>
        </is>
      </c>
      <c r="H377" t="inlineStr">
        <is>
          <t>25355 Kreis Pinneberg - Barmstedt</t>
        </is>
      </c>
      <c r="I377" s="5" t="n">
        <v>45557</v>
      </c>
      <c r="J377" t="inlineStr"/>
      <c r="K377" s="6">
        <f>HYPERLINK("https://www.kleinanzeigen.de/s-anzeige/fanatic-stingray-145-tt-surfboard-surfbrett-no-tabou-jp-duotone/2870803364-230-16677", "Link")</f>
        <v/>
      </c>
      <c r="L377" s="6">
        <f>HYPERLINK("C:\Projects\Kleinanzeigen-Scraper\offer_images\2870803364", "Link")</f>
        <v/>
      </c>
      <c r="M377" t="inlineStr">
        <is>
          <t>Hansi</t>
        </is>
      </c>
      <c r="N377" s="6">
        <f>HYPERLINK("https://www.kleinanzeigen.de/s-bestandsliste.html?userId=73580626", "Link")</f>
        <v/>
      </c>
      <c r="O377" s="7" t="n">
        <v>45558.56677083333</v>
      </c>
      <c r="P377" s="3" t="inlineStr">
        <is>
          <t>371.91</t>
        </is>
      </c>
      <c r="Q377" t="inlineStr">
        <is>
          <t>Köln</t>
        </is>
      </c>
    </row>
    <row r="378">
      <c r="A378" t="inlineStr"/>
      <c r="B378" t="inlineStr">
        <is>
          <t>Fanatic Skate</t>
        </is>
      </c>
      <c r="C378" t="inlineStr">
        <is>
          <t>Freestyle</t>
        </is>
      </c>
      <c r="D378" s="3" t="n">
        <v>112</v>
      </c>
      <c r="E378" t="inlineStr"/>
      <c r="F378" s="4" t="n">
        <v>25</v>
      </c>
      <c r="G378" t="inlineStr">
        <is>
          <t>VB</t>
        </is>
      </c>
      <c r="H378" t="inlineStr">
        <is>
          <t>85764 Kr. München - Oberschleißheim</t>
        </is>
      </c>
      <c r="I378" s="5" t="n">
        <v>45562</v>
      </c>
      <c r="J378" t="inlineStr"/>
      <c r="K378" s="6">
        <f>HYPERLINK("https://www.kleinanzeigen.de/s-anzeige/windsurfboard-fanatic-skate-112/2871276923-230-5517", "Link")</f>
        <v/>
      </c>
      <c r="L378" s="6">
        <f>HYPERLINK("C:\Projects\Kleinanzeigen-Scraper\offer_images\2871276923", "Link")</f>
        <v/>
      </c>
      <c r="M378" t="inlineStr">
        <is>
          <t>Ziegalla (Florian Ziegler)</t>
        </is>
      </c>
      <c r="N378" s="6">
        <f>HYPERLINK("https://www.kleinanzeigen.de/s-bestandsliste.html?userId=23584461", "Link")</f>
        <v/>
      </c>
      <c r="O378" s="7" t="n">
        <v>45558.56650462963</v>
      </c>
      <c r="P378" s="3" t="inlineStr">
        <is>
          <t>12.47</t>
        </is>
      </c>
      <c r="Q378" t="inlineStr">
        <is>
          <t>München</t>
        </is>
      </c>
    </row>
    <row r="379">
      <c r="A379" t="inlineStr">
        <is>
          <t>265 cm x 78 cm</t>
        </is>
      </c>
      <c r="B379" t="inlineStr">
        <is>
          <t>Hifly Matrix</t>
        </is>
      </c>
      <c r="C379" t="inlineStr">
        <is>
          <t>Beginner</t>
        </is>
      </c>
      <c r="D379" s="3" t="n">
        <v>149</v>
      </c>
      <c r="E379" t="inlineStr"/>
      <c r="F379" s="4" t="n">
        <v>349</v>
      </c>
      <c r="G379" t="inlineStr">
        <is>
          <t>VB</t>
        </is>
      </c>
      <c r="H379" t="inlineStr">
        <is>
          <t>19061 Schwerin - Gartenstadt - Ostorf</t>
        </is>
      </c>
      <c r="I379" s="5" t="n">
        <v>45557</v>
      </c>
      <c r="J379" t="inlineStr">
        <is>
          <t>Sold</t>
        </is>
      </c>
      <c r="K379" s="6">
        <f>HYPERLINK("https://www.kleinanzeigen.de/s-anzeige/hifly-matrix-265-windsurfboard-anfaenger-surfboard-windsurfen/2871100064-230-16515", "Link")</f>
        <v/>
      </c>
      <c r="L379" s="6">
        <f>HYPERLINK("C:\Projects\Kleinanzeigen-Scraper\offer_images\2871100064", "Link")</f>
        <v/>
      </c>
      <c r="M379" t="inlineStr">
        <is>
          <t>Tom</t>
        </is>
      </c>
      <c r="N379" s="6">
        <f>HYPERLINK("https://www.kleinanzeigen.de/s-bestandsliste.html?userId=72951356", "Link")</f>
        <v/>
      </c>
      <c r="O379" s="7" t="n">
        <v>45558.56630787037</v>
      </c>
      <c r="P379" s="3" t="inlineStr">
        <is>
          <t>422.22</t>
        </is>
      </c>
      <c r="Q379" t="inlineStr">
        <is>
          <t>Köln</t>
        </is>
      </c>
    </row>
    <row r="380">
      <c r="A380" t="inlineStr">
        <is>
          <t>145</t>
        </is>
      </c>
      <c r="B380" t="inlineStr">
        <is>
          <t>Naish WS</t>
        </is>
      </c>
      <c r="C380" t="inlineStr">
        <is>
          <t>Foilboard</t>
        </is>
      </c>
      <c r="D380" s="3" t="n">
        <v>145</v>
      </c>
      <c r="E380" t="inlineStr"/>
      <c r="F380" s="4" t="n">
        <v>799</v>
      </c>
      <c r="G380" t="inlineStr">
        <is>
          <t>VB</t>
        </is>
      </c>
      <c r="H380" t="inlineStr">
        <is>
          <t>17194 Mecklenburg-Vorpommern - Grabowhöfe</t>
        </is>
      </c>
      <c r="I380" s="5" t="n">
        <v>45558</v>
      </c>
      <c r="J380" t="inlineStr"/>
      <c r="K380" s="6">
        <f>HYPERLINK("https://www.kleinanzeigen.de/s-anzeige/naish-ws-145-neu-foilboard/2871637328-230-19444", "Link")</f>
        <v/>
      </c>
      <c r="L380" s="6">
        <f>HYPERLINK("C:\Projects\Kleinanzeigen-Scraper\offer_images\2871637328", "Link")</f>
        <v/>
      </c>
      <c r="M380" t="inlineStr">
        <is>
          <t>nicky</t>
        </is>
      </c>
      <c r="N380" s="6">
        <f>HYPERLINK("https://www.kleinanzeigen.de/s-bestandsliste.html?userId=24375528", "Link")</f>
        <v/>
      </c>
      <c r="O380" s="7" t="n">
        <v>45558.56594907407</v>
      </c>
      <c r="P380" s="3" t="inlineStr">
        <is>
          <t>478.72</t>
        </is>
      </c>
      <c r="Q380" t="inlineStr">
        <is>
          <t>Köln</t>
        </is>
      </c>
    </row>
    <row r="381">
      <c r="A381" t="inlineStr"/>
      <c r="B381" t="inlineStr">
        <is>
          <t>Fanatic Freewave</t>
        </is>
      </c>
      <c r="C381" t="inlineStr">
        <is>
          <t>Freewave</t>
        </is>
      </c>
      <c r="D381" s="3" t="n">
        <v>85</v>
      </c>
      <c r="E381" t="inlineStr">
        <is>
          <t>2017</t>
        </is>
      </c>
      <c r="F381" s="4" t="n">
        <v>590</v>
      </c>
      <c r="G381" t="inlineStr">
        <is>
          <t>VB</t>
        </is>
      </c>
      <c r="H381" t="inlineStr">
        <is>
          <t>92648 Bayern - Vohenstrauß</t>
        </is>
      </c>
      <c r="I381" s="5" t="n">
        <v>45558</v>
      </c>
      <c r="J381" t="inlineStr"/>
      <c r="K381" s="6">
        <f>HYPERLINK("https://www.kleinanzeigen.de/s-anzeige/surfboard-fanatic-freewave-85-stb-2017/2871492142-230-7396", "Link")</f>
        <v/>
      </c>
      <c r="L381" s="6">
        <f>HYPERLINK("C:\Projects\Kleinanzeigen-Scraper\offer_images\2871492142", "Link")</f>
        <v/>
      </c>
      <c r="M381" t="inlineStr">
        <is>
          <t>Lehner Dietrich</t>
        </is>
      </c>
      <c r="N381" s="6">
        <f>HYPERLINK("https://www.kleinanzeigen.de/s-bestandsliste.html?userId=37103555", "Link")</f>
        <v/>
      </c>
      <c r="O381" s="7" t="n">
        <v>45558.5657175926</v>
      </c>
      <c r="P381" s="3" t="inlineStr">
        <is>
          <t>173.75</t>
        </is>
      </c>
      <c r="Q381" t="inlineStr">
        <is>
          <t>München</t>
        </is>
      </c>
    </row>
    <row r="382">
      <c r="A382" t="inlineStr">
        <is>
          <t>133 L</t>
        </is>
      </c>
      <c r="B382" t="inlineStr">
        <is>
          <t>Tabou Rocket plus MTE</t>
        </is>
      </c>
      <c r="C382" t="inlineStr">
        <is>
          <t>Freeride</t>
        </is>
      </c>
      <c r="D382" s="3" t="n">
        <v>133</v>
      </c>
      <c r="E382" t="inlineStr"/>
      <c r="F382" s="4" t="n">
        <v>550</v>
      </c>
      <c r="G382" t="inlineStr">
        <is>
          <t>VB</t>
        </is>
      </c>
      <c r="H382" t="inlineStr">
        <is>
          <t>28717 Burglesum - Lesum</t>
        </is>
      </c>
      <c r="I382" s="5" t="n">
        <v>45557</v>
      </c>
      <c r="J382" t="inlineStr"/>
      <c r="K382" s="6">
        <f>HYPERLINK("https://www.kleinanzeigen.de/s-anzeige/tabou-rocket-plus-mte-133-l-freeride-board/2870806028-230-8", "Link")</f>
        <v/>
      </c>
      <c r="L382" s="6">
        <f>HYPERLINK("C:\Projects\Kleinanzeigen-Scraper\offer_images\2870806028", "Link")</f>
        <v/>
      </c>
      <c r="M382" t="inlineStr">
        <is>
          <t>Thomas</t>
        </is>
      </c>
      <c r="N382" s="6">
        <f>HYPERLINK("https://www.kleinanzeigen.de/s-bestandsliste.html?userId=48944787", "Link")</f>
        <v/>
      </c>
      <c r="O382" s="7" t="n">
        <v>45558.56559027778</v>
      </c>
      <c r="P382" s="3" t="inlineStr">
        <is>
          <t>275.02</t>
        </is>
      </c>
      <c r="Q382" t="inlineStr">
        <is>
          <t>Köln</t>
        </is>
      </c>
    </row>
    <row r="383">
      <c r="A383" t="inlineStr"/>
      <c r="B383" t="inlineStr">
        <is>
          <t>Mistral Shredder</t>
        </is>
      </c>
      <c r="C383" t="inlineStr"/>
      <c r="D383" s="3" t="n">
        <v>128</v>
      </c>
      <c r="E383" t="inlineStr"/>
      <c r="F383" s="4" t="n">
        <v>45</v>
      </c>
      <c r="G383" t="inlineStr"/>
      <c r="H383" t="inlineStr">
        <is>
          <t>58644 Nordrhein-Westfalen - Iserlohn</t>
        </is>
      </c>
      <c r="I383" s="5" t="n">
        <v>45558</v>
      </c>
      <c r="J383" t="inlineStr"/>
      <c r="K383" s="6">
        <f>HYPERLINK("https://www.kleinanzeigen.de/s-anzeige/windsurf-board-mit-huelle-mistral-128-liter/2871549109-230-1739", "Link")</f>
        <v/>
      </c>
      <c r="L383" s="6">
        <f>HYPERLINK("C:\Projects\Kleinanzeigen-Scraper\offer_images\2871549109", "Link")</f>
        <v/>
      </c>
      <c r="M383" t="inlineStr">
        <is>
          <t>Lena</t>
        </is>
      </c>
      <c r="N383" s="6">
        <f>HYPERLINK("https://www.kleinanzeigen.de/s-bestandsliste.html?userId=136942176", "Link")</f>
        <v/>
      </c>
      <c r="O383" s="7" t="n">
        <v>45558.56554398148</v>
      </c>
      <c r="P383" s="3" t="inlineStr">
        <is>
          <t>68.92</t>
        </is>
      </c>
      <c r="Q383" t="inlineStr">
        <is>
          <t>Köln</t>
        </is>
      </c>
    </row>
    <row r="384">
      <c r="A384" t="inlineStr">
        <is>
          <t>247 cm x 69 cm</t>
        </is>
      </c>
      <c r="B384" t="inlineStr">
        <is>
          <t>F2 VEGAS LTD</t>
        </is>
      </c>
      <c r="C384" t="inlineStr">
        <is>
          <t>Freeride &amp; Freemove</t>
        </is>
      </c>
      <c r="D384" s="3" t="n">
        <v>126</v>
      </c>
      <c r="E384" t="inlineStr">
        <is>
          <t>2022</t>
        </is>
      </c>
      <c r="F384" s="4" t="n">
        <v>200</v>
      </c>
      <c r="G384" t="inlineStr"/>
      <c r="H384" t="inlineStr">
        <is>
          <t>73252 Baden-Württemberg - Lenningen</t>
        </is>
      </c>
      <c r="I384" s="5" t="n">
        <v>45557</v>
      </c>
      <c r="J384" t="inlineStr"/>
      <c r="K384" s="6">
        <f>HYPERLINK("https://www.kleinanzeigen.de/s-anzeige/windsurf-board-f2-vegas-ltd-old-school/2871252359-230-8466", "Link")</f>
        <v/>
      </c>
      <c r="L384" s="6">
        <f>HYPERLINK("C:\Projects\Kleinanzeigen-Scraper\offer_images\2871252359", "Link")</f>
        <v/>
      </c>
      <c r="M384" t="inlineStr">
        <is>
          <t>Andi</t>
        </is>
      </c>
      <c r="N384" s="6">
        <f>HYPERLINK("https://www.kleinanzeigen.de/s-bestandsliste.html?userId=9893215", "Link")</f>
        <v/>
      </c>
      <c r="O384" s="7" t="n">
        <v>45558.56549768519</v>
      </c>
      <c r="P384" s="3" t="inlineStr">
        <is>
          <t>38.52</t>
        </is>
      </c>
      <c r="Q384" t="inlineStr">
        <is>
          <t>Böblingen</t>
        </is>
      </c>
    </row>
    <row r="385">
      <c r="A385" t="inlineStr">
        <is>
          <t>250 cm x 67 cm</t>
        </is>
      </c>
      <c r="B385" t="inlineStr">
        <is>
          <t>NANO</t>
        </is>
      </c>
      <c r="C385" t="inlineStr">
        <is>
          <t>Freeride</t>
        </is>
      </c>
      <c r="D385" s="3" t="n">
        <v>125</v>
      </c>
      <c r="E385" t="inlineStr"/>
      <c r="F385" s="4" t="n">
        <v>350</v>
      </c>
      <c r="G385" t="inlineStr"/>
      <c r="H385" t="inlineStr">
        <is>
          <t>71522 Baden-Württemberg - Backnang</t>
        </is>
      </c>
      <c r="I385" s="5" t="n">
        <v>45557</v>
      </c>
      <c r="J385" t="inlineStr"/>
      <c r="K385" s="6">
        <f>HYPERLINK("https://www.kleinanzeigen.de/s-anzeige/surfbrett-surfboard-starboard-severne-doutone-fanatic/2870997891-230-8355", "Link")</f>
        <v/>
      </c>
      <c r="L385" s="6">
        <f>HYPERLINK("C:\Projects\Kleinanzeigen-Scraper\offer_images\2870997891", "Link")</f>
        <v/>
      </c>
      <c r="M385" t="inlineStr">
        <is>
          <t>Celine Backnang</t>
        </is>
      </c>
      <c r="N385" s="6">
        <f>HYPERLINK("https://www.kleinanzeigen.de/s-bestandsliste.html?userId=141196728", "Link")</f>
        <v/>
      </c>
      <c r="O385" s="7" t="n">
        <v>45558.56539351852</v>
      </c>
      <c r="P385" s="3" t="inlineStr">
        <is>
          <t>45.09</t>
        </is>
      </c>
      <c r="Q385" t="inlineStr">
        <is>
          <t>Böblingen</t>
        </is>
      </c>
    </row>
    <row r="386">
      <c r="A386" t="inlineStr">
        <is>
          <t>6'3"</t>
        </is>
      </c>
      <c r="B386" t="inlineStr">
        <is>
          <t>Mistral Syncro Fish</t>
        </is>
      </c>
      <c r="C386" t="inlineStr">
        <is>
          <t>Freeride</t>
        </is>
      </c>
      <c r="D386" s="3" t="n">
        <v>83</v>
      </c>
      <c r="E386" t="inlineStr"/>
      <c r="F386" s="4" t="n">
        <v>215</v>
      </c>
      <c r="G386" t="inlineStr">
        <is>
          <t>VB</t>
        </is>
      </c>
      <c r="H386" t="inlineStr">
        <is>
          <t>77654 Baden-Württemberg - Offenburg</t>
        </is>
      </c>
      <c r="I386" s="5" t="n">
        <v>45557</v>
      </c>
      <c r="J386" t="inlineStr"/>
      <c r="K386" s="6">
        <f>HYPERLINK("https://www.kleinanzeigen.de/s-anzeige/windsurf-board-mistral-syncro-fish-83l/2870960356-230-9038", "Link")</f>
        <v/>
      </c>
      <c r="L386" s="6">
        <f>HYPERLINK("C:\Projects\Kleinanzeigen-Scraper\offer_images\2870960356", "Link")</f>
        <v/>
      </c>
      <c r="M386" t="inlineStr">
        <is>
          <t>Rein</t>
        </is>
      </c>
      <c r="N386" s="6">
        <f>HYPERLINK("https://www.kleinanzeigen.de/s-bestandsliste.html?userId=122026387", "Link")</f>
        <v/>
      </c>
      <c r="O386" s="7" t="n">
        <v>45558.56502314815</v>
      </c>
      <c r="P386" s="3" t="inlineStr">
        <is>
          <t>66.05</t>
        </is>
      </c>
      <c r="Q386" t="inlineStr">
        <is>
          <t>Karlsruhe</t>
        </is>
      </c>
    </row>
    <row r="387">
      <c r="A387" t="inlineStr"/>
      <c r="B387" t="inlineStr">
        <is>
          <t>Naish WS 125</t>
        </is>
      </c>
      <c r="C387" t="inlineStr">
        <is>
          <t>Windfoil</t>
        </is>
      </c>
      <c r="D387" s="3" t="n">
        <v>125</v>
      </c>
      <c r="E387" t="inlineStr"/>
      <c r="F387" s="4" t="n">
        <v>799</v>
      </c>
      <c r="G387" t="inlineStr">
        <is>
          <t>VB</t>
        </is>
      </c>
      <c r="H387" t="inlineStr">
        <is>
          <t>17194 Mecklenburg-Vorpommern - Grabowhöfe</t>
        </is>
      </c>
      <c r="I387" s="5" t="n">
        <v>45558</v>
      </c>
      <c r="J387" t="inlineStr"/>
      <c r="K387" s="6">
        <f>HYPERLINK("https://www.kleinanzeigen.de/s-anzeige/naish-ws-125-neu/2871634480-230-19444", "Link")</f>
        <v/>
      </c>
      <c r="L387" s="6">
        <f>HYPERLINK("C:\Projects\Kleinanzeigen-Scraper\offer_images\2871634480", "Link")</f>
        <v/>
      </c>
      <c r="M387" t="inlineStr">
        <is>
          <t>nicky</t>
        </is>
      </c>
      <c r="N387" s="6">
        <f>HYPERLINK("https://www.kleinanzeigen.de/s-bestandsliste.html?userId=24375528", "Link")</f>
        <v/>
      </c>
      <c r="O387" s="7" t="n">
        <v>45558.56502314815</v>
      </c>
      <c r="P387" s="3" t="inlineStr">
        <is>
          <t>478.72</t>
        </is>
      </c>
      <c r="Q387" t="inlineStr">
        <is>
          <t>Köln</t>
        </is>
      </c>
    </row>
    <row r="388">
      <c r="A388" t="inlineStr">
        <is>
          <t>173cm x 71.8cm x 12cm</t>
        </is>
      </c>
      <c r="B388" t="inlineStr">
        <is>
          <t>Fanatic Sky Air Premium</t>
        </is>
      </c>
      <c r="C388" t="inlineStr">
        <is>
          <t>Wingfoil</t>
        </is>
      </c>
      <c r="D388" s="3" t="n">
        <v>120</v>
      </c>
      <c r="E388" t="inlineStr"/>
      <c r="F388" s="4" t="n">
        <v>489</v>
      </c>
      <c r="G388" t="inlineStr">
        <is>
          <t>VB</t>
        </is>
      </c>
      <c r="H388" t="inlineStr">
        <is>
          <t>28359 Bremen - Horn</t>
        </is>
      </c>
      <c r="I388" s="5" t="n">
        <v>45557</v>
      </c>
      <c r="J388" t="inlineStr"/>
      <c r="K388" s="6">
        <f>HYPERLINK("https://www.kleinanzeigen.de/s-anzeige/fanatic-sky-air-premium-5-8-120-l/2871125148-230-29", "Link")</f>
        <v/>
      </c>
      <c r="L388" s="6">
        <f>HYPERLINK("C:\Projects\Kleinanzeigen-Scraper\offer_images\2871125148", "Link")</f>
        <v/>
      </c>
      <c r="M388" t="inlineStr">
        <is>
          <t>J.S.</t>
        </is>
      </c>
      <c r="N388" s="6">
        <f>HYPERLINK("https://www.kleinanzeigen.de/s-bestandsliste.html?userId=5689971", "Link")</f>
        <v/>
      </c>
      <c r="O388" s="7" t="n">
        <v>45558.565</v>
      </c>
      <c r="P388" s="3" t="inlineStr">
        <is>
          <t>273.59</t>
        </is>
      </c>
      <c r="Q388" t="inlineStr">
        <is>
          <t>Köln</t>
        </is>
      </c>
    </row>
    <row r="389">
      <c r="A389" t="inlineStr"/>
      <c r="B389" t="inlineStr">
        <is>
          <t>Naish Global</t>
        </is>
      </c>
      <c r="C389" t="inlineStr">
        <is>
          <t>All-Around Performance Wave</t>
        </is>
      </c>
      <c r="D389" s="3" t="n">
        <v>85</v>
      </c>
      <c r="E389" t="inlineStr">
        <is>
          <t>2024</t>
        </is>
      </c>
      <c r="F389" s="4" t="n">
        <v>1.68</v>
      </c>
      <c r="G389" t="inlineStr">
        <is>
          <t>VB</t>
        </is>
      </c>
      <c r="H389" t="inlineStr">
        <is>
          <t>17194 Mecklenburg-Vorpommern - Grabowhöfe</t>
        </is>
      </c>
      <c r="I389" s="5" t="n">
        <v>45558</v>
      </c>
      <c r="J389" t="inlineStr"/>
      <c r="K389" s="6">
        <f>HYPERLINK("https://www.kleinanzeigen.de/s-anzeige/naish-global-2024-85-neu/2871625731-230-19444", "Link")</f>
        <v/>
      </c>
      <c r="L389" s="6">
        <f>HYPERLINK("C:\Projects\Kleinanzeigen-Scraper\offer_images\2871625731", "Link")</f>
        <v/>
      </c>
      <c r="M389" t="inlineStr">
        <is>
          <t>nicky</t>
        </is>
      </c>
      <c r="N389" s="6">
        <f>HYPERLINK("https://www.kleinanzeigen.de/s-bestandsliste.html?userId=24375528", "Link")</f>
        <v/>
      </c>
      <c r="O389" s="7" t="n">
        <v>45558.56476851852</v>
      </c>
      <c r="P389" s="3" t="inlineStr">
        <is>
          <t>478.72</t>
        </is>
      </c>
      <c r="Q389" t="inlineStr">
        <is>
          <t>Köln</t>
        </is>
      </c>
    </row>
    <row r="390">
      <c r="A390" t="inlineStr">
        <is>
          <t>12'6" × 28" (approximately 381 cm × 71 cm)</t>
        </is>
      </c>
      <c r="B390" t="inlineStr">
        <is>
          <t>Starboard Lite Tech</t>
        </is>
      </c>
      <c r="C390" t="inlineStr"/>
      <c r="D390" s="3" t="inlineStr"/>
      <c r="E390" t="inlineStr"/>
      <c r="F390" s="4" t="n">
        <v>790</v>
      </c>
      <c r="G390" t="inlineStr">
        <is>
          <t>VB</t>
        </is>
      </c>
      <c r="H390" t="inlineStr">
        <is>
          <t>15344 Brandenburg - Strausberg</t>
        </is>
      </c>
      <c r="I390" s="5" t="n">
        <v>45557</v>
      </c>
      <c r="J390" t="inlineStr"/>
      <c r="K390" s="6">
        <f>HYPERLINK("https://www.kleinanzeigen.de/s-anzeige/sup-starboard-generation-lite-tech-12-6-28-hardboard-leash-bag/2871341413-230-7853", "Link")</f>
        <v/>
      </c>
      <c r="L390" s="6">
        <f>HYPERLINK("C:\Projects\Kleinanzeigen-Scraper\offer_images\2871341413", "Link")</f>
        <v/>
      </c>
      <c r="M390" t="inlineStr">
        <is>
          <t>Fam. Schulz</t>
        </is>
      </c>
      <c r="N390" s="6">
        <f>HYPERLINK("https://www.kleinanzeigen.de/s-bestandsliste.html?userId=3035343", "Link")</f>
        <v/>
      </c>
      <c r="O390" s="7" t="n">
        <v>45558.56439814815</v>
      </c>
      <c r="P390" s="3" t="inlineStr">
        <is>
          <t>511.35</t>
        </is>
      </c>
      <c r="Q390" t="inlineStr">
        <is>
          <t>Köln</t>
        </is>
      </c>
    </row>
    <row r="391">
      <c r="A391" t="inlineStr">
        <is>
          <t>223 cm x 76 cm</t>
        </is>
      </c>
      <c r="B391" t="inlineStr">
        <is>
          <t>JP</t>
        </is>
      </c>
      <c r="C391" t="inlineStr">
        <is>
          <t>Freestyle</t>
        </is>
      </c>
      <c r="D391" s="3" t="n">
        <v>73</v>
      </c>
      <c r="E391" t="inlineStr"/>
      <c r="F391" s="4" t="n">
        <v>99</v>
      </c>
      <c r="G391" t="inlineStr">
        <is>
          <t>VB</t>
        </is>
      </c>
      <c r="H391" t="inlineStr">
        <is>
          <t>40789 Nordrhein-Westfalen - Monheim am Rhein</t>
        </is>
      </c>
      <c r="I391" s="5" t="n">
        <v>45557</v>
      </c>
      <c r="J391" t="inlineStr"/>
      <c r="K391" s="6">
        <f>HYPERLINK("https://www.kleinanzeigen.de/s-anzeige/jp-thruster-quad-windsurf-board-73l-inkl-boardbag/2871048560-230-1116", "Link")</f>
        <v/>
      </c>
      <c r="L391" s="6">
        <f>HYPERLINK("C:\Projects\Kleinanzeigen-Scraper\offer_images\2871048560", "Link")</f>
        <v/>
      </c>
      <c r="M391" t="inlineStr">
        <is>
          <t>Anne Langenfeld</t>
        </is>
      </c>
      <c r="N391" s="6">
        <f>HYPERLINK("https://www.kleinanzeigen.de/s-bestandsliste.html?userId=34911340", "Link")</f>
        <v/>
      </c>
      <c r="O391" s="7" t="n">
        <v>45558.56422453704</v>
      </c>
      <c r="P391" s="3" t="inlineStr">
        <is>
          <t>18.00</t>
        </is>
      </c>
      <c r="Q391" t="inlineStr">
        <is>
          <t>Köln</t>
        </is>
      </c>
    </row>
    <row r="392">
      <c r="A392" t="inlineStr">
        <is>
          <t>275 cm x 80 cm</t>
        </is>
      </c>
      <c r="B392" t="inlineStr">
        <is>
          <t>HiFly Mambo</t>
        </is>
      </c>
      <c r="C392" t="inlineStr">
        <is>
          <t>Freeride</t>
        </is>
      </c>
      <c r="D392" s="3" t="n">
        <v>175</v>
      </c>
      <c r="E392" t="inlineStr"/>
      <c r="F392" s="4" t="n">
        <v>295</v>
      </c>
      <c r="G392" t="inlineStr">
        <is>
          <t>VB</t>
        </is>
      </c>
      <c r="H392" t="inlineStr">
        <is>
          <t>25355 Kreis Pinneberg - Barmstedt</t>
        </is>
      </c>
      <c r="I392" s="5" t="n">
        <v>45557</v>
      </c>
      <c r="J392" t="inlineStr">
        <is>
          <t>Sold</t>
        </is>
      </c>
      <c r="K392" s="6">
        <f>HYPERLINK("https://www.kleinanzeigen.de/s-anzeige/hifly-mambo-175-l-surfboard-surfbrett-no-tabou-fanatic-jp/2870773095-230-16677", "Link")</f>
        <v/>
      </c>
      <c r="L392" s="6">
        <f>HYPERLINK("C:\Projects\Kleinanzeigen-Scraper\offer_images\2870773095", "Link")</f>
        <v/>
      </c>
      <c r="M392" t="inlineStr">
        <is>
          <t>Hansi</t>
        </is>
      </c>
      <c r="N392" s="6">
        <f>HYPERLINK("https://www.kleinanzeigen.de/s-bestandsliste.html?userId=73580626", "Link")</f>
        <v/>
      </c>
      <c r="O392" s="7" t="n">
        <v>45558.56335648148</v>
      </c>
      <c r="P392" s="3" t="inlineStr">
        <is>
          <t>371.91</t>
        </is>
      </c>
      <c r="Q392" t="inlineStr">
        <is>
          <t>Köln</t>
        </is>
      </c>
    </row>
    <row r="393">
      <c r="A393" t="inlineStr"/>
      <c r="B393" t="inlineStr">
        <is>
          <t>Starboard GEN R</t>
        </is>
      </c>
      <c r="C393" t="inlineStr">
        <is>
          <t>Allround Raceboard</t>
        </is>
      </c>
      <c r="D393" s="3" t="inlineStr"/>
      <c r="E393" t="inlineStr">
        <is>
          <t>2024</t>
        </is>
      </c>
      <c r="F393" s="4" t="n">
        <v>2.4</v>
      </c>
      <c r="G393" t="inlineStr">
        <is>
          <t>VB</t>
        </is>
      </c>
      <c r="H393" t="inlineStr">
        <is>
          <t>24340 Schleswig-Holstein - Eckernförde</t>
        </is>
      </c>
      <c r="I393" s="5" t="n">
        <v>45557</v>
      </c>
      <c r="J393" t="inlineStr"/>
      <c r="K393" s="6">
        <f>HYPERLINK("https://www.kleinanzeigen.de/s-anzeige/starboard-sup-gen-r-blue-carbon-sandwich-2024/2870698088-230-13234", "Link")</f>
        <v/>
      </c>
      <c r="L393" s="6">
        <f>HYPERLINK("C:\Projects\Kleinanzeigen-Scraper\offer_images\2870698088", "Link")</f>
        <v/>
      </c>
      <c r="M393" t="inlineStr">
        <is>
          <t>Heike Anja Groeneveld</t>
        </is>
      </c>
      <c r="N393" s="6">
        <f>HYPERLINK("https://www.kleinanzeigen.de/s-bestandsliste.html?userId=22154640", "Link")</f>
        <v/>
      </c>
      <c r="O393" s="7" t="n">
        <v>45558.56318287037</v>
      </c>
      <c r="P393" s="3" t="inlineStr">
        <is>
          <t>434.69</t>
        </is>
      </c>
      <c r="Q393" t="inlineStr">
        <is>
          <t>Köln</t>
        </is>
      </c>
    </row>
    <row r="394">
      <c r="A394" t="inlineStr">
        <is>
          <t>Dimensions not specified</t>
        </is>
      </c>
      <c r="B394" t="inlineStr">
        <is>
          <t>Naish Starship</t>
        </is>
      </c>
      <c r="C394" t="inlineStr">
        <is>
          <t>Freeride</t>
        </is>
      </c>
      <c r="D394" s="3" t="n">
        <v>115</v>
      </c>
      <c r="E394" t="inlineStr"/>
      <c r="F394" s="4" t="n">
        <v>250</v>
      </c>
      <c r="G394" t="inlineStr"/>
      <c r="H394" t="inlineStr">
        <is>
          <t>23562 Schleswig-Holstein - Lübeck</t>
        </is>
      </c>
      <c r="I394" s="5" t="n">
        <v>45557</v>
      </c>
      <c r="J394" t="inlineStr"/>
      <c r="K394" s="6">
        <f>HYPERLINK("https://www.kleinanzeigen.de/s-anzeige/naish-starship-115l-windsurfen-surfboard/2871032814-230-423", "Link")</f>
        <v/>
      </c>
      <c r="L394" s="6">
        <f>HYPERLINK("C:\Projects\Kleinanzeigen-Scraper\offer_images\2871032814", "Link")</f>
        <v/>
      </c>
      <c r="M394" t="inlineStr">
        <is>
          <t>Olaf Kühnert</t>
        </is>
      </c>
      <c r="N394" s="6">
        <f>HYPERLINK("https://www.kleinanzeigen.de/s-bestandsliste.html?userId=14979628", "Link")</f>
        <v/>
      </c>
      <c r="O394" s="7" t="n">
        <v>45558.56311342592</v>
      </c>
      <c r="P394" s="3" t="inlineStr">
        <is>
          <t>410.15</t>
        </is>
      </c>
      <c r="Q394" t="inlineStr">
        <is>
          <t>Köln</t>
        </is>
      </c>
    </row>
    <row r="395">
      <c r="A395" t="inlineStr">
        <is>
          <t>69</t>
        </is>
      </c>
      <c r="B395" t="inlineStr">
        <is>
          <t>Tabou Rocket</t>
        </is>
      </c>
      <c r="C395" t="inlineStr">
        <is>
          <t>Freeride</t>
        </is>
      </c>
      <c r="D395" s="3" t="n">
        <v>125</v>
      </c>
      <c r="E395" t="inlineStr"/>
      <c r="F395" s="4" t="n">
        <v>650</v>
      </c>
      <c r="G395" t="inlineStr">
        <is>
          <t>VB</t>
        </is>
      </c>
      <c r="H395" t="inlineStr">
        <is>
          <t>04288 Leipzig - Liebertwolkwitz</t>
        </is>
      </c>
      <c r="I395" s="5" t="n">
        <v>45343</v>
      </c>
      <c r="J395" t="inlineStr"/>
      <c r="K395" s="6">
        <f>HYPERLINK("https://www.kleinanzeigen.de/s-anzeige/tabou-rocket-69-125l/2686101428-230-4263", "Link")</f>
        <v/>
      </c>
      <c r="L395" s="6">
        <f>HYPERLINK("C:\Projects\Kleinanzeigen-Scraper\offer_images\2686101428", "Link")</f>
        <v/>
      </c>
      <c r="M395" t="inlineStr">
        <is>
          <t>Müller</t>
        </is>
      </c>
      <c r="N395" s="6">
        <f>HYPERLINK("https://www.kleinanzeigen.de/s-bestandsliste.html?userId=16635220", "Link")</f>
        <v/>
      </c>
      <c r="O395" s="7" t="n">
        <v>45558.56268518518</v>
      </c>
      <c r="P395" s="3" t="inlineStr">
        <is>
          <t>356.81</t>
        </is>
      </c>
      <c r="Q395" t="inlineStr">
        <is>
          <t>München</t>
        </is>
      </c>
    </row>
    <row r="396">
      <c r="A396" t="inlineStr"/>
      <c r="B396" t="inlineStr">
        <is>
          <t>Exocet Nano 155</t>
        </is>
      </c>
      <c r="C396" t="inlineStr">
        <is>
          <t>Freeride</t>
        </is>
      </c>
      <c r="D396" s="3" t="n">
        <v>155</v>
      </c>
      <c r="E396" t="inlineStr"/>
      <c r="F396" s="4" t="n">
        <v>450</v>
      </c>
      <c r="G396" t="inlineStr">
        <is>
          <t>VB</t>
        </is>
      </c>
      <c r="H396" t="inlineStr">
        <is>
          <t>58708 Nordrhein-Westfalen - Menden</t>
        </is>
      </c>
      <c r="I396" s="5" t="n">
        <v>45557</v>
      </c>
      <c r="J396" t="inlineStr"/>
      <c r="K396" s="6">
        <f>HYPERLINK("https://www.kleinanzeigen.de/s-anzeige/exocet-nano-155-windsurfboard-windsurfbrett-windsurfen/2871139120-230-1818", "Link")</f>
        <v/>
      </c>
      <c r="L396" s="6">
        <f>HYPERLINK("C:\Projects\Kleinanzeigen-Scraper\offer_images\2871139120", "Link")</f>
        <v/>
      </c>
      <c r="M396" t="inlineStr">
        <is>
          <t>Peter Radtke</t>
        </is>
      </c>
      <c r="N396" s="6">
        <f>HYPERLINK("https://www.kleinanzeigen.de/s-bestandsliste.html?userId=130051279", "Link")</f>
        <v/>
      </c>
      <c r="O396" s="7" t="n">
        <v>45558.56266203704</v>
      </c>
      <c r="P396" s="3" t="inlineStr">
        <is>
          <t>82.95</t>
        </is>
      </c>
      <c r="Q396" t="inlineStr">
        <is>
          <t>Köln</t>
        </is>
      </c>
    </row>
    <row r="397">
      <c r="A397" t="inlineStr">
        <is>
          <t>85</t>
        </is>
      </c>
      <c r="B397" t="inlineStr">
        <is>
          <t>RRD FreeStyle Wave</t>
        </is>
      </c>
      <c r="C397" t="inlineStr">
        <is>
          <t>Freestyle Wave</t>
        </is>
      </c>
      <c r="D397" s="3" t="inlineStr"/>
      <c r="E397" t="inlineStr">
        <is>
          <t>Limited Edition</t>
        </is>
      </c>
      <c r="F397" s="4" t="n">
        <v>350</v>
      </c>
      <c r="G397" t="inlineStr">
        <is>
          <t>VB</t>
        </is>
      </c>
      <c r="H397" t="inlineStr">
        <is>
          <t>58802 Nordrhein-Westfalen - Balve</t>
        </is>
      </c>
      <c r="I397" s="5" t="n">
        <v>45524</v>
      </c>
      <c r="J397" t="inlineStr"/>
      <c r="K397" s="6">
        <f>HYPERLINK("https://www.kleinanzeigen.de/s-anzeige/rrd-freestyle-wave-85-limited-edition/2841667394-230-1414", "Link")</f>
        <v/>
      </c>
      <c r="L397" s="6">
        <f>HYPERLINK("C:\Projects\Kleinanzeigen-Scraper\offer_images\2841667394", "Link")</f>
        <v/>
      </c>
      <c r="M397" t="inlineStr">
        <is>
          <t>Heinz Theodor Vogel</t>
        </is>
      </c>
      <c r="N397" s="6">
        <f>HYPERLINK("https://www.kleinanzeigen.de/s-bestandsliste.html?userId=29149293", "Link")</f>
        <v/>
      </c>
      <c r="O397" s="7" t="n">
        <v>45558.56252314815</v>
      </c>
      <c r="P397" s="3" t="inlineStr">
        <is>
          <t>76.54</t>
        </is>
      </c>
      <c r="Q397" t="inlineStr">
        <is>
          <t>Köln</t>
        </is>
      </c>
    </row>
    <row r="398">
      <c r="A398" t="inlineStr"/>
      <c r="B398" t="inlineStr">
        <is>
          <t>Fanatic quad team edition</t>
        </is>
      </c>
      <c r="C398" t="inlineStr">
        <is>
          <t>Wave</t>
        </is>
      </c>
      <c r="D398" s="3" t="n">
        <v>72</v>
      </c>
      <c r="E398" t="inlineStr"/>
      <c r="F398" s="4" t="n">
        <v>100</v>
      </c>
      <c r="G398" t="inlineStr">
        <is>
          <t>VB</t>
        </is>
      </c>
      <c r="H398" t="inlineStr">
        <is>
          <t>40885 Nordrhein-Westfalen - Ratingen</t>
        </is>
      </c>
      <c r="I398" s="5" t="n">
        <v>45557</v>
      </c>
      <c r="J398" t="inlineStr"/>
      <c r="K398" s="6">
        <f>HYPERLINK("https://www.kleinanzeigen.de/s-anzeige/fanatic-quad-team-edition-72-l/2871099974-230-1777", "Link")</f>
        <v/>
      </c>
      <c r="L398" s="6">
        <f>HYPERLINK("C:\Projects\Kleinanzeigen-Scraper\offer_images\2871099974", "Link")</f>
        <v/>
      </c>
      <c r="M398" t="inlineStr">
        <is>
          <t>E. Stinson</t>
        </is>
      </c>
      <c r="N398" s="6">
        <f>HYPERLINK("https://www.kleinanzeigen.de/s-bestandsliste.html?userId=80522385", "Link")</f>
        <v/>
      </c>
      <c r="O398" s="7" t="n">
        <v>45558.5624537037</v>
      </c>
      <c r="P398" s="3" t="inlineStr">
        <is>
          <t>45.32</t>
        </is>
      </c>
      <c r="Q398" t="inlineStr">
        <is>
          <t>Köln</t>
        </is>
      </c>
    </row>
    <row r="399">
      <c r="A399" t="inlineStr">
        <is>
          <t xml:space="preserve">Dimensions </t>
        </is>
      </c>
      <c r="B399" t="inlineStr">
        <is>
          <t>Goya Quad Custom 4</t>
        </is>
      </c>
      <c r="C399" t="inlineStr">
        <is>
          <t>Freestyle</t>
        </is>
      </c>
      <c r="D399" s="3" t="n">
        <v>74</v>
      </c>
      <c r="E399" t="inlineStr">
        <is>
          <t>2022/2023</t>
        </is>
      </c>
      <c r="F399" s="4" t="n">
        <v>1190</v>
      </c>
      <c r="G399" t="inlineStr"/>
      <c r="H399" t="inlineStr">
        <is>
          <t>Kiel</t>
        </is>
      </c>
      <c r="I399" s="5" t="n">
        <v>45556</v>
      </c>
      <c r="J399" t="inlineStr"/>
      <c r="K399" s="6">
        <f>HYPERLINK("https://www.dailydose.de/kleinanzeigen/detail.htm?ai=422977&amp;cf=kk&amp;pg=4&amp;ci=11", "Link")</f>
        <v/>
      </c>
      <c r="L399" s="6">
        <f>HYPERLINK("C:\Projects\Kleinanzeigen-Scraper\offer_images\422977", "Link")</f>
        <v/>
      </c>
      <c r="M399" t="inlineStr">
        <is>
          <t>sybille</t>
        </is>
      </c>
      <c r="N399" s="6">
        <f>HYPERLINK("https://www.dailydose.de/kleinanzeigen/user/22818", "Link")</f>
        <v/>
      </c>
      <c r="O399" s="7" t="n">
        <v>45557.56604166667</v>
      </c>
      <c r="P399" s="3" t="inlineStr">
        <is>
          <t>433.14</t>
        </is>
      </c>
      <c r="Q399" t="inlineStr">
        <is>
          <t>Köln</t>
        </is>
      </c>
    </row>
    <row r="400">
      <c r="A400" t="inlineStr"/>
      <c r="B400" t="inlineStr">
        <is>
          <t>JP Formula Racing</t>
        </is>
      </c>
      <c r="C400" t="inlineStr">
        <is>
          <t>Racing</t>
        </is>
      </c>
      <c r="D400" s="3" t="n">
        <v>100</v>
      </c>
      <c r="E400" t="inlineStr"/>
      <c r="F400" s="4" t="n">
        <v>400</v>
      </c>
      <c r="G400" t="inlineStr">
        <is>
          <t>VB</t>
        </is>
      </c>
      <c r="H400" t="inlineStr">
        <is>
          <t>88250 Weingarten</t>
        </is>
      </c>
      <c r="I400" s="5" t="n">
        <v>45557</v>
      </c>
      <c r="J400" t="inlineStr"/>
      <c r="K400" s="6">
        <f>HYPERLINK("https://www.dailydose.de/kleinanzeigen/detail.htm?ai=422995&amp;cf=kk&amp;pg=4&amp;ci=11", "Link")</f>
        <v/>
      </c>
      <c r="L400" s="6">
        <f>HYPERLINK("C:\Projects\Kleinanzeigen-Scraper\offer_images\422995", "Link")</f>
        <v/>
      </c>
      <c r="M400" t="inlineStr">
        <is>
          <t>Marki</t>
        </is>
      </c>
      <c r="N400" s="6">
        <f>HYPERLINK("https://www.dailydose.de/kleinanzeigen/user/26421", "Link")</f>
        <v/>
      </c>
      <c r="O400" s="7" t="n">
        <v>45557.56418981482</v>
      </c>
      <c r="P400" s="3" t="inlineStr">
        <is>
          <t>97.39</t>
        </is>
      </c>
      <c r="Q400" t="inlineStr">
        <is>
          <t>Bonndorf</t>
        </is>
      </c>
    </row>
    <row r="401">
      <c r="A401" t="inlineStr"/>
      <c r="B401" t="inlineStr">
        <is>
          <t>Tabou Freestyle</t>
        </is>
      </c>
      <c r="C401" t="inlineStr">
        <is>
          <t>Freestyle</t>
        </is>
      </c>
      <c r="D401" s="3" t="n">
        <v>90</v>
      </c>
      <c r="E401" t="inlineStr"/>
      <c r="F401" s="4" t="n">
        <v>280</v>
      </c>
      <c r="G401" t="inlineStr">
        <is>
          <t>VB</t>
        </is>
      </c>
      <c r="H401" t="inlineStr">
        <is>
          <t>16540 Brandenburg - Hohen Neuendorf</t>
        </is>
      </c>
      <c r="I401" s="5" t="n">
        <v>45557</v>
      </c>
      <c r="J401" t="inlineStr"/>
      <c r="K401" s="6">
        <f>HYPERLINK("https://www.kleinanzeigen.de/s-anzeige/tabou-freestyle-90l-team-edition/2870495001-230-7777", "Link")</f>
        <v/>
      </c>
      <c r="L401" s="6">
        <f>HYPERLINK("C:\Projects\Kleinanzeigen-Scraper\offer_images\2870495001", "Link")</f>
        <v/>
      </c>
      <c r="M401" t="inlineStr">
        <is>
          <t>Patrick</t>
        </is>
      </c>
      <c r="N401" s="6">
        <f>HYPERLINK("https://www.kleinanzeigen.de/s-bestandsliste.html?userId=1463507", "Link")</f>
        <v/>
      </c>
      <c r="O401" s="7" t="n">
        <v>45557.56285879629</v>
      </c>
      <c r="P401" s="3" t="inlineStr">
        <is>
          <t>474.32</t>
        </is>
      </c>
      <c r="Q401" t="inlineStr">
        <is>
          <t>Köln</t>
        </is>
      </c>
    </row>
    <row r="402">
      <c r="A402" t="inlineStr">
        <is>
          <t>284x63</t>
        </is>
      </c>
      <c r="B402" t="inlineStr">
        <is>
          <t>Fanatic Bee</t>
        </is>
      </c>
      <c r="C402" t="inlineStr"/>
      <c r="D402" s="3" t="n">
        <v>124</v>
      </c>
      <c r="E402" t="inlineStr"/>
      <c r="F402" s="4" t="n">
        <v>150</v>
      </c>
      <c r="G402" t="inlineStr">
        <is>
          <t>VB</t>
        </is>
      </c>
      <c r="H402" t="inlineStr">
        <is>
          <t>85417 Bayern - Marzling</t>
        </is>
      </c>
      <c r="I402" s="5" t="n">
        <v>45556</v>
      </c>
      <c r="J402" t="inlineStr"/>
      <c r="K402" s="6">
        <f>HYPERLINK("https://www.kleinanzeigen.de/s-anzeige/fanatic-bee-ltd-124l-284x63cm-/2870207973-230-6263", "Link")</f>
        <v/>
      </c>
      <c r="L402" s="6">
        <f>HYPERLINK("C:\Projects\Kleinanzeigen-Scraper\offer_images\2870207973", "Link")</f>
        <v/>
      </c>
      <c r="M402" t="inlineStr">
        <is>
          <t>Monika und Dragan</t>
        </is>
      </c>
      <c r="N402" s="6">
        <f>HYPERLINK("https://www.kleinanzeigen.de/s-bestandsliste.html?userId=22990217", "Link")</f>
        <v/>
      </c>
      <c r="O402" s="7" t="n">
        <v>45557.56112268518</v>
      </c>
      <c r="P402" s="3" t="inlineStr">
        <is>
          <t>34.58</t>
        </is>
      </c>
      <c r="Q402" t="inlineStr">
        <is>
          <t>München</t>
        </is>
      </c>
    </row>
    <row r="403">
      <c r="A403" t="inlineStr"/>
      <c r="B403" t="inlineStr">
        <is>
          <t>Naish Hover</t>
        </is>
      </c>
      <c r="C403" t="inlineStr">
        <is>
          <t>Freeride</t>
        </is>
      </c>
      <c r="D403" s="3" t="n">
        <v>125</v>
      </c>
      <c r="E403" t="inlineStr">
        <is>
          <t>2020</t>
        </is>
      </c>
      <c r="F403" s="4" t="n">
        <v>400</v>
      </c>
      <c r="G403" t="inlineStr">
        <is>
          <t>VB</t>
        </is>
      </c>
      <c r="H403" t="inlineStr">
        <is>
          <t>23669 Kreis Ostholstein - Timmendorfer Strand</t>
        </is>
      </c>
      <c r="I403" s="5" t="n">
        <v>45555</v>
      </c>
      <c r="J403" t="inlineStr">
        <is>
          <t>Sold</t>
        </is>
      </c>
      <c r="K403" s="6">
        <f>HYPERLINK("https://www.kleinanzeigen.de/s-anzeige/naish-hover-125l-2020/2868981378-230-442", "Link")</f>
        <v/>
      </c>
      <c r="L403" s="6">
        <f>HYPERLINK("C:\Projects\Kleinanzeigen-Scraper\offer_images\2868981378", "Link")</f>
        <v/>
      </c>
      <c r="M403" t="inlineStr">
        <is>
          <t>Niclas</t>
        </is>
      </c>
      <c r="N403" s="6">
        <f>HYPERLINK("https://www.kleinanzeigen.de/s-bestandsliste.html?userId=89824006", "Link")</f>
        <v/>
      </c>
      <c r="O403" s="7" t="n">
        <v>45557.56050925926</v>
      </c>
      <c r="P403" s="3" t="inlineStr">
        <is>
          <t>425.88</t>
        </is>
      </c>
      <c r="Q403" t="inlineStr">
        <is>
          <t>Köln</t>
        </is>
      </c>
    </row>
    <row r="404">
      <c r="A404" t="inlineStr">
        <is>
          <t>2.32x0.71 m</t>
        </is>
      </c>
      <c r="B404" t="inlineStr">
        <is>
          <t>RRD Crossfire</t>
        </is>
      </c>
      <c r="C404" t="inlineStr">
        <is>
          <t>Foil</t>
        </is>
      </c>
      <c r="D404" s="3" t="n">
        <v>114</v>
      </c>
      <c r="E404" t="inlineStr"/>
      <c r="F404" s="4" t="n">
        <v>1.49</v>
      </c>
      <c r="G404" t="inlineStr">
        <is>
          <t>VB</t>
        </is>
      </c>
      <c r="H404" t="inlineStr">
        <is>
          <t>40549 Düsseldorf - Heerdt</t>
        </is>
      </c>
      <c r="I404" s="5" t="n">
        <v>45557</v>
      </c>
      <c r="J404" t="inlineStr">
        <is>
          <t>Sold</t>
        </is>
      </c>
      <c r="K404" s="6">
        <f>HYPERLINK("https://www.kleinanzeigen.de/s-anzeige/rrd-crossfire-mit-foil-und-finne-neuwertig/2870594058-230-2069", "Link")</f>
        <v/>
      </c>
      <c r="L404" s="6">
        <f>HYPERLINK("C:\Projects\Kleinanzeigen-Scraper\offer_images\2870594058", "Link")</f>
        <v/>
      </c>
      <c r="M404" t="inlineStr">
        <is>
          <t>Jonas</t>
        </is>
      </c>
      <c r="N404" s="6">
        <f>HYPERLINK("https://www.kleinanzeigen.de/s-bestandsliste.html?userId=144434824", "Link")</f>
        <v/>
      </c>
      <c r="O404" s="7" t="n">
        <v>45557.56019675926</v>
      </c>
      <c r="P404" s="3" t="inlineStr">
        <is>
          <t>36.62</t>
        </is>
      </c>
      <c r="Q404" t="inlineStr">
        <is>
          <t>Köln</t>
        </is>
      </c>
    </row>
    <row r="405">
      <c r="A405" t="inlineStr">
        <is>
          <t>249 x 69 cm</t>
        </is>
      </c>
      <c r="B405" t="inlineStr">
        <is>
          <t>Fanatic Shark HRS</t>
        </is>
      </c>
      <c r="C405" t="inlineStr">
        <is>
          <t>FreeRide</t>
        </is>
      </c>
      <c r="D405" s="3" t="n">
        <v>125</v>
      </c>
      <c r="E405" t="inlineStr"/>
      <c r="F405" s="4" t="n">
        <v>450</v>
      </c>
      <c r="G405" t="inlineStr"/>
      <c r="H405" t="inlineStr">
        <is>
          <t>12527 Berlin - Köpenick</t>
        </is>
      </c>
      <c r="I405" s="5" t="n">
        <v>45557</v>
      </c>
      <c r="J405" t="inlineStr">
        <is>
          <t>Sold</t>
        </is>
      </c>
      <c r="K405" s="6">
        <f>HYPERLINK("https://www.kleinanzeigen.de/s-anzeige/fanatic-shark-125-freeride-surfbrett-surfausruestung-surfmaterial/2870319729-230-3370", "Link")</f>
        <v/>
      </c>
      <c r="L405" s="6">
        <f>HYPERLINK("C:\Projects\Kleinanzeigen-Scraper\offer_images\2870319729", "Link")</f>
        <v/>
      </c>
      <c r="M405" t="inlineStr">
        <is>
          <t>ste</t>
        </is>
      </c>
      <c r="N405" s="6">
        <f>HYPERLINK("https://www.kleinanzeigen.de/s-bestandsliste.html?userId=27311742", "Link")</f>
        <v/>
      </c>
      <c r="O405" s="7" t="n">
        <v>45557.55995370371</v>
      </c>
      <c r="P405" s="3" t="inlineStr">
        <is>
          <t>487.71</t>
        </is>
      </c>
      <c r="Q405" t="inlineStr">
        <is>
          <t>Köln</t>
        </is>
      </c>
    </row>
    <row r="406">
      <c r="A406" t="inlineStr">
        <is>
          <t>249 x 64</t>
        </is>
      </c>
      <c r="B406" t="inlineStr">
        <is>
          <t>Fanatic Hawk</t>
        </is>
      </c>
      <c r="C406" t="inlineStr">
        <is>
          <t>Freeride</t>
        </is>
      </c>
      <c r="D406" s="3" t="n">
        <v>110</v>
      </c>
      <c r="E406" t="inlineStr"/>
      <c r="F406" s="4" t="n">
        <v>150</v>
      </c>
      <c r="G406" t="inlineStr">
        <is>
          <t>VB</t>
        </is>
      </c>
      <c r="H406" t="inlineStr">
        <is>
          <t>28205 Östliche Vorstadt - Peterswerder</t>
        </is>
      </c>
      <c r="I406" s="5" t="n">
        <v>45557</v>
      </c>
      <c r="J406" t="inlineStr"/>
      <c r="K406" s="6">
        <f>HYPERLINK("https://www.kleinanzeigen.de/s-anzeige/fanatic-hawk-110l/2870529880-230-13512", "Link")</f>
        <v/>
      </c>
      <c r="L406" s="6">
        <f>HYPERLINK("C:\Projects\Kleinanzeigen-Scraper\offer_images\2870529880", "Link")</f>
        <v/>
      </c>
      <c r="M406" t="inlineStr">
        <is>
          <t>Axel Sandner</t>
        </is>
      </c>
      <c r="N406" s="6">
        <f>HYPERLINK("https://www.kleinanzeigen.de/s-bestandsliste.html?userId=44864054", "Link")</f>
        <v/>
      </c>
      <c r="O406" s="7" t="n">
        <v>45557.55990740741</v>
      </c>
      <c r="P406" s="3" t="inlineStr">
        <is>
          <t>269.99</t>
        </is>
      </c>
      <c r="Q406" t="inlineStr">
        <is>
          <t>Köln</t>
        </is>
      </c>
    </row>
    <row r="407">
      <c r="A407" t="inlineStr">
        <is>
          <t>Dimensions not provided</t>
        </is>
      </c>
      <c r="B407" t="inlineStr">
        <is>
          <t>Tabou Rocket</t>
        </is>
      </c>
      <c r="C407" t="inlineStr">
        <is>
          <t>Freeride</t>
        </is>
      </c>
      <c r="D407" s="3" t="n">
        <v>105</v>
      </c>
      <c r="E407" t="inlineStr">
        <is>
          <t>2009</t>
        </is>
      </c>
      <c r="F407" s="4" t="n">
        <v>299</v>
      </c>
      <c r="G407" t="inlineStr">
        <is>
          <t>VB</t>
        </is>
      </c>
      <c r="H407" t="inlineStr">
        <is>
          <t>47239 Duisburg - Rumeln-Kaldenhausen</t>
        </is>
      </c>
      <c r="I407" s="5" t="n">
        <v>45557</v>
      </c>
      <c r="J407" t="inlineStr"/>
      <c r="K407" s="6">
        <f>HYPERLINK("https://www.kleinanzeigen.de/s-anzeige/tabou-rocket-105-61-ltd-carbon/2870378119-230-2137", "Link")</f>
        <v/>
      </c>
      <c r="L407" s="6">
        <f>HYPERLINK("C:\Projects\Kleinanzeigen-Scraper\offer_images\2870378119", "Link")</f>
        <v/>
      </c>
      <c r="M407" t="inlineStr">
        <is>
          <t>MB</t>
        </is>
      </c>
      <c r="N407" s="6">
        <f>HYPERLINK("https://www.kleinanzeigen.de/s-bestandsliste.html?userId=1864376", "Link")</f>
        <v/>
      </c>
      <c r="O407" s="7" t="n">
        <v>45557.55975694444</v>
      </c>
      <c r="P407" s="3" t="inlineStr">
        <is>
          <t>54.92</t>
        </is>
      </c>
      <c r="Q407" t="inlineStr">
        <is>
          <t>Köln</t>
        </is>
      </c>
    </row>
    <row r="408">
      <c r="A408" t="inlineStr">
        <is>
          <t>9.5'</t>
        </is>
      </c>
      <c r="B408" t="inlineStr">
        <is>
          <t>Starboard IGo</t>
        </is>
      </c>
      <c r="C408" t="inlineStr">
        <is>
          <t>Allrounder</t>
        </is>
      </c>
      <c r="D408" s="3" t="n">
        <v>222</v>
      </c>
      <c r="E408" t="inlineStr">
        <is>
          <t>2022</t>
        </is>
      </c>
      <c r="F408" s="4" t="n">
        <v>300</v>
      </c>
      <c r="G408" t="inlineStr">
        <is>
          <t>VB</t>
        </is>
      </c>
      <c r="H408" t="inlineStr">
        <is>
          <t>04416 Sachsen - Markkleeberg</t>
        </is>
      </c>
      <c r="I408" s="5" t="n">
        <v>45557</v>
      </c>
      <c r="J408" t="inlineStr"/>
      <c r="K408" s="6">
        <f>HYPERLINK("https://www.kleinanzeigen.de/s-anzeige/stand-up-paddle-board-starboard-igo-9-5-aufblasbar-/2870296990-230-3911", "Link")</f>
        <v/>
      </c>
      <c r="L408" s="6">
        <f>HYPERLINK("C:\Projects\Kleinanzeigen-Scraper\offer_images\2870296990", "Link")</f>
        <v/>
      </c>
      <c r="M408" t="inlineStr">
        <is>
          <t>ALL-on-SEA</t>
        </is>
      </c>
      <c r="N408" s="6">
        <f>HYPERLINK("https://www.kleinanzeigen.de/s-bestandsliste.html?userId=67056706", "Link")</f>
        <v/>
      </c>
      <c r="O408" s="7" t="n">
        <v>45557.55888888889</v>
      </c>
      <c r="P408" s="3" t="inlineStr">
        <is>
          <t>353.27</t>
        </is>
      </c>
      <c r="Q408" t="inlineStr">
        <is>
          <t>München</t>
        </is>
      </c>
    </row>
    <row r="409">
      <c r="A409" t="inlineStr">
        <is>
          <t>230 x 81 cm</t>
        </is>
      </c>
      <c r="B409" t="inlineStr">
        <is>
          <t>Fanatic Falcon</t>
        </is>
      </c>
      <c r="C409" t="inlineStr">
        <is>
          <t>Slalom</t>
        </is>
      </c>
      <c r="D409" s="3" t="n">
        <v>132</v>
      </c>
      <c r="E409" t="inlineStr"/>
      <c r="F409" s="4" t="n">
        <v>500</v>
      </c>
      <c r="G409" t="inlineStr"/>
      <c r="H409" t="inlineStr">
        <is>
          <t>65239 Hessen - Hochheim am Main</t>
        </is>
      </c>
      <c r="I409" s="5" t="n">
        <v>45557</v>
      </c>
      <c r="J409" t="inlineStr"/>
      <c r="K409" s="6">
        <f>HYPERLINK("https://www.kleinanzeigen.de/s-anzeige/fanatic-falcon-windsurf-slalom-board-132l-carbon-light/2870468037-230-4445", "Link")</f>
        <v/>
      </c>
      <c r="L409" s="6">
        <f>HYPERLINK("C:\Projects\Kleinanzeigen-Scraper\offer_images\2870468037", "Link")</f>
        <v/>
      </c>
      <c r="M409" t="inlineStr">
        <is>
          <t>Regin</t>
        </is>
      </c>
      <c r="N409" s="6">
        <f>HYPERLINK("https://www.kleinanzeigen.de/s-bestandsliste.html?userId=7308194", "Link")</f>
        <v/>
      </c>
      <c r="O409" s="7" t="n">
        <v>45557.55621527778</v>
      </c>
      <c r="P409" s="3" t="inlineStr">
        <is>
          <t>112.87</t>
        </is>
      </c>
      <c r="Q409" t="inlineStr">
        <is>
          <t>Karlsruhe</t>
        </is>
      </c>
    </row>
    <row r="410">
      <c r="A410" t="inlineStr"/>
      <c r="B410" t="inlineStr">
        <is>
          <t>JP Australia Super X</t>
        </is>
      </c>
      <c r="C410" t="inlineStr">
        <is>
          <t>Slalom-Freestyle</t>
        </is>
      </c>
      <c r="D410" s="3" t="n">
        <v>96</v>
      </c>
      <c r="E410" t="inlineStr">
        <is>
          <t>2005</t>
        </is>
      </c>
      <c r="F410" s="4" t="n">
        <v>200</v>
      </c>
      <c r="G410" t="inlineStr"/>
      <c r="H410" t="inlineStr">
        <is>
          <t>04442 Sachsen - Zwenkau</t>
        </is>
      </c>
      <c r="I410" s="5" t="n">
        <v>45557</v>
      </c>
      <c r="J410" t="inlineStr"/>
      <c r="K410" s="6">
        <f>HYPERLINK("https://www.kleinanzeigen.de/s-anzeige/jp-australia-super-x-windsurf-board-96l/2870634882-230-3918", "Link")</f>
        <v/>
      </c>
      <c r="L410" s="6">
        <f>HYPERLINK("C:\Projects\Kleinanzeigen-Scraper\offer_images\2870634882", "Link")</f>
        <v/>
      </c>
      <c r="M410" t="inlineStr">
        <is>
          <t>Anita Kriebel</t>
        </is>
      </c>
      <c r="N410" s="6">
        <f>HYPERLINK("https://www.kleinanzeigen.de/s-bestandsliste.html?userId=14797334", "Link")</f>
        <v/>
      </c>
      <c r="O410" s="7" t="n">
        <v>45557.55612268519</v>
      </c>
      <c r="P410" s="3" t="inlineStr">
        <is>
          <t>346.28</t>
        </is>
      </c>
      <c r="Q410" t="inlineStr">
        <is>
          <t>München</t>
        </is>
      </c>
    </row>
    <row r="411">
      <c r="A411" t="inlineStr">
        <is>
          <t>232 cm x 56.5 cm</t>
        </is>
      </c>
      <c r="B411" t="inlineStr">
        <is>
          <t>Fanatic Allwave</t>
        </is>
      </c>
      <c r="C411" t="inlineStr">
        <is>
          <t>Wave</t>
        </is>
      </c>
      <c r="D411" s="3" t="n">
        <v>75</v>
      </c>
      <c r="E411" t="inlineStr"/>
      <c r="F411" s="4" t="n">
        <v>174</v>
      </c>
      <c r="G411" t="inlineStr"/>
      <c r="H411" t="inlineStr">
        <is>
          <t>51519 Nordrhein-Westfalen - Odenthal</t>
        </is>
      </c>
      <c r="I411" s="5" t="n">
        <v>45557</v>
      </c>
      <c r="J411" t="inlineStr"/>
      <c r="K411" s="6">
        <f>HYPERLINK("https://www.kleinanzeigen.de/s-anzeige/surfbrett-fanatic-allwave-75/2870535957-230-1114", "Link")</f>
        <v/>
      </c>
      <c r="L411" s="6">
        <f>HYPERLINK("C:\Projects\Kleinanzeigen-Scraper\offer_images\2870535957", "Link")</f>
        <v/>
      </c>
      <c r="M411" t="inlineStr">
        <is>
          <t>Olaf Herrmann</t>
        </is>
      </c>
      <c r="N411" s="6">
        <f>HYPERLINK("https://www.kleinanzeigen.de/s-bestandsliste.html?userId=20733006", "Link")</f>
        <v/>
      </c>
      <c r="O411" s="7" t="n">
        <v>45557.55545138889</v>
      </c>
      <c r="P411" s="3" t="inlineStr">
        <is>
          <t>15.82</t>
        </is>
      </c>
      <c r="Q411" t="inlineStr">
        <is>
          <t>Köln</t>
        </is>
      </c>
    </row>
    <row r="412">
      <c r="A412" t="inlineStr">
        <is>
          <t>270 x 66</t>
        </is>
      </c>
      <c r="B412" t="inlineStr">
        <is>
          <t>Fanatic X Ray</t>
        </is>
      </c>
      <c r="C412" t="inlineStr"/>
      <c r="D412" s="3" t="n">
        <v>130</v>
      </c>
      <c r="E412" t="inlineStr"/>
      <c r="F412" s="4" t="n">
        <v>300</v>
      </c>
      <c r="G412" t="inlineStr"/>
      <c r="H412" t="inlineStr">
        <is>
          <t>44357 Dortmund - Bodelschwingh</t>
        </is>
      </c>
      <c r="I412" s="5" t="n">
        <v>45536</v>
      </c>
      <c r="J412" t="inlineStr">
        <is>
          <t>Sold</t>
        </is>
      </c>
      <c r="K412" s="6">
        <f>HYPERLINK("https://www.kleinanzeigen.de/s-anzeige/surfboard-fanatic-x-ray-130-liter/2852124372-230-1104", "Link")</f>
        <v/>
      </c>
      <c r="L412" s="6">
        <f>HYPERLINK("C:\Projects\Kleinanzeigen-Scraper\offer_images\2852124372", "Link")</f>
        <v/>
      </c>
      <c r="M412" t="inlineStr">
        <is>
          <t>Rainer Kandel</t>
        </is>
      </c>
      <c r="N412" s="6">
        <f>HYPERLINK("https://www.kleinanzeigen.de/s-bestandsliste.html?userId=5633941", "Link")</f>
        <v/>
      </c>
      <c r="O412" s="7" t="n">
        <v>45557.55542824074</v>
      </c>
      <c r="P412" s="3" t="inlineStr">
        <is>
          <t>74.02</t>
        </is>
      </c>
      <c r="Q412" t="inlineStr">
        <is>
          <t>Köln</t>
        </is>
      </c>
    </row>
    <row r="413">
      <c r="A413" t="inlineStr">
        <is>
          <t>250cm x 83cm</t>
        </is>
      </c>
      <c r="B413" t="inlineStr">
        <is>
          <t>Fanatic Gecko</t>
        </is>
      </c>
      <c r="C413" t="inlineStr">
        <is>
          <t>Freeride</t>
        </is>
      </c>
      <c r="D413" s="3" t="n">
        <v>146</v>
      </c>
      <c r="E413" t="inlineStr">
        <is>
          <t>2018</t>
        </is>
      </c>
      <c r="F413" s="4" t="n">
        <v>530</v>
      </c>
      <c r="G413" t="inlineStr">
        <is>
          <t>VB</t>
        </is>
      </c>
      <c r="H413" t="inlineStr">
        <is>
          <t>52134 Nordrhein-Westfalen - Herzogenrath</t>
        </is>
      </c>
      <c r="I413" s="5" t="n">
        <v>45537</v>
      </c>
      <c r="J413" t="inlineStr">
        <is>
          <t>Sold</t>
        </is>
      </c>
      <c r="K413" s="6">
        <f>HYPERLINK("https://www.kleinanzeigen.de/s-anzeige/fanatic-gecko-hsr-146l-2018/2852239288-230-1712", "Link")</f>
        <v/>
      </c>
      <c r="L413" s="6">
        <f>HYPERLINK("C:\Projects\Kleinanzeigen-Scraper\offer_images\2852239288", "Link")</f>
        <v/>
      </c>
      <c r="M413" t="inlineStr">
        <is>
          <t>Alex</t>
        </is>
      </c>
      <c r="N413" s="6">
        <f>HYPERLINK("https://www.kleinanzeigen.de/s-bestandsliste.html?userId=16109160", "Link")</f>
        <v/>
      </c>
      <c r="O413" s="7" t="n">
        <v>45557.55466435185</v>
      </c>
      <c r="P413" s="3" t="inlineStr">
        <is>
          <t>59.57</t>
        </is>
      </c>
      <c r="Q413" t="inlineStr">
        <is>
          <t>Köln</t>
        </is>
      </c>
    </row>
    <row r="414">
      <c r="A414" t="inlineStr">
        <is>
          <t>272 cm x 81 cm</t>
        </is>
      </c>
      <c r="B414" t="inlineStr">
        <is>
          <t>Mistral Radar</t>
        </is>
      </c>
      <c r="C414" t="inlineStr">
        <is>
          <t>Freeride</t>
        </is>
      </c>
      <c r="D414" s="3" t="n">
        <v>140</v>
      </c>
      <c r="E414" t="inlineStr"/>
      <c r="F414" s="4" t="n">
        <v>300</v>
      </c>
      <c r="G414" t="inlineStr"/>
      <c r="H414" t="inlineStr">
        <is>
          <t>10315 Berlin - Friedrichsfelde</t>
        </is>
      </c>
      <c r="I414" s="5" t="n">
        <v>45557</v>
      </c>
      <c r="J414" t="inlineStr">
        <is>
          <t>Sold</t>
        </is>
      </c>
      <c r="K414" s="6">
        <f>HYPERLINK("https://www.kleinanzeigen.de/s-anzeige/mistral-140l-surfbrett-surfboard-radar-freeride-windsurf/2870510597-230-25913", "Link")</f>
        <v/>
      </c>
      <c r="L414" s="6">
        <f>HYPERLINK("C:\Projects\Kleinanzeigen-Scraper\offer_images\2870510597", "Link")</f>
        <v/>
      </c>
      <c r="M414" t="inlineStr">
        <is>
          <t>Dustin</t>
        </is>
      </c>
      <c r="N414" s="6">
        <f>HYPERLINK("https://www.kleinanzeigen.de/s-bestandsliste.html?userId=10295704", "Link")</f>
        <v/>
      </c>
      <c r="O414" s="7" t="n">
        <v>45557.55387731481</v>
      </c>
      <c r="P414" s="3" t="inlineStr">
        <is>
          <t>484.47</t>
        </is>
      </c>
      <c r="Q414" t="inlineStr">
        <is>
          <t>Köln</t>
        </is>
      </c>
    </row>
    <row r="415">
      <c r="A415" t="inlineStr">
        <is>
          <t>230 x 56</t>
        </is>
      </c>
      <c r="B415" t="inlineStr">
        <is>
          <t>Horney</t>
        </is>
      </c>
      <c r="C415" t="inlineStr">
        <is>
          <t>Wave</t>
        </is>
      </c>
      <c r="D415" s="3" t="n">
        <v>85</v>
      </c>
      <c r="E415" t="inlineStr"/>
      <c r="F415" s="4" t="n">
        <v>600</v>
      </c>
      <c r="G415" t="inlineStr"/>
      <c r="H415" t="inlineStr">
        <is>
          <t>4322cg Scharendijke  Holland</t>
        </is>
      </c>
      <c r="I415" s="5" t="n">
        <v>45555</v>
      </c>
      <c r="J415" t="inlineStr">
        <is>
          <t>Sold</t>
        </is>
      </c>
      <c r="K415" s="6">
        <f>HYPERLINK("https://www.dailydose.de/kleinanzeigen/detail.htm?ai=422912&amp;cf=kk&amp;pg=3&amp;ci=11", "Link")</f>
        <v/>
      </c>
      <c r="L415" s="6">
        <f>HYPERLINK("C:\Projects\Kleinanzeigen-Scraper\offer_images\422912", "Link")</f>
        <v/>
      </c>
      <c r="M415" t="inlineStr">
        <is>
          <t>leosurfer</t>
        </is>
      </c>
      <c r="N415" s="6">
        <f>HYPERLINK("https://www.dailydose.de/kleinanzeigen/user/13966", "Link")</f>
        <v/>
      </c>
      <c r="O415" s="7" t="n">
        <v>45556.94796296296</v>
      </c>
      <c r="P415" s="3" t="inlineStr">
        <is>
          <t>233.35</t>
        </is>
      </c>
      <c r="Q415" t="inlineStr">
        <is>
          <t>Köln</t>
        </is>
      </c>
    </row>
    <row r="416">
      <c r="A416" t="inlineStr">
        <is>
          <t>245 cm x 68 cm</t>
        </is>
      </c>
      <c r="B416" t="inlineStr">
        <is>
          <t>Fanatic Hawk</t>
        </is>
      </c>
      <c r="C416" t="inlineStr">
        <is>
          <t>Freerace</t>
        </is>
      </c>
      <c r="D416" s="3" t="n">
        <v>120</v>
      </c>
      <c r="E416" t="inlineStr"/>
      <c r="F416" s="4" t="n">
        <v>490</v>
      </c>
      <c r="G416" t="inlineStr">
        <is>
          <t>VB</t>
        </is>
      </c>
      <c r="H416" t="inlineStr">
        <is>
          <t>21149 Hamburg</t>
        </is>
      </c>
      <c r="I416" s="5" t="n">
        <v>45556</v>
      </c>
      <c r="J416" t="inlineStr"/>
      <c r="K416" s="6">
        <f>HYPERLINK("https://www.dailydose.de/kleinanzeigen/detail.htm?ai=422960&amp;cf=kk&amp;pg=4&amp;ci=11", "Link")</f>
        <v/>
      </c>
      <c r="L416" s="6">
        <f>HYPERLINK("C:\Projects\Kleinanzeigen-Scraper\offer_images\422960", "Link")</f>
        <v/>
      </c>
      <c r="M416" t="inlineStr">
        <is>
          <t>KRav</t>
        </is>
      </c>
      <c r="N416" s="6">
        <f>HYPERLINK("https://www.dailydose.de/kleinanzeigen/user/19732", "Link")</f>
        <v/>
      </c>
      <c r="O416" s="7" t="n">
        <v>45556.9477662037</v>
      </c>
      <c r="P416" s="3" t="inlineStr">
        <is>
          <t>342.48</t>
        </is>
      </c>
      <c r="Q416" t="inlineStr">
        <is>
          <t>Köln</t>
        </is>
      </c>
    </row>
    <row r="417">
      <c r="A417" t="inlineStr"/>
      <c r="B417" t="inlineStr">
        <is>
          <t>Quatro Sphere</t>
        </is>
      </c>
      <c r="C417" t="inlineStr">
        <is>
          <t>Wave</t>
        </is>
      </c>
      <c r="D417" s="3" t="n">
        <v>105</v>
      </c>
      <c r="E417" t="inlineStr">
        <is>
          <t>2015</t>
        </is>
      </c>
      <c r="F417" s="4" t="n">
        <v>490</v>
      </c>
      <c r="G417" t="inlineStr">
        <is>
          <t>VB</t>
        </is>
      </c>
      <c r="H417" t="inlineStr">
        <is>
          <t>22609 Hamburg</t>
        </is>
      </c>
      <c r="I417" s="5" t="n">
        <v>45556</v>
      </c>
      <c r="J417" t="inlineStr"/>
      <c r="K417" s="6">
        <f>HYPERLINK("https://www.dailydose.de/kleinanzeigen/detail.htm?ai=422945&amp;cf=kk&amp;pg=4&amp;ci=11", "Link")</f>
        <v/>
      </c>
      <c r="L417" s="6">
        <f>HYPERLINK("C:\Projects\Kleinanzeigen-Scraper\offer_images\422945", "Link")</f>
        <v/>
      </c>
      <c r="M417" t="inlineStr">
        <is>
          <t>Henrik_23</t>
        </is>
      </c>
      <c r="N417" s="6">
        <f>HYPERLINK("https://www.dailydose.de/kleinanzeigen/user/10069", "Link")</f>
        <v/>
      </c>
      <c r="O417" s="7" t="n">
        <v>45556.94774305556</v>
      </c>
      <c r="P417" s="3" t="inlineStr">
        <is>
          <t>351.06</t>
        </is>
      </c>
      <c r="Q417" t="inlineStr">
        <is>
          <t>Köln</t>
        </is>
      </c>
    </row>
    <row r="418">
      <c r="A418" t="inlineStr"/>
      <c r="B418" t="inlineStr">
        <is>
          <t>Airinside</t>
        </is>
      </c>
      <c r="C418" t="inlineStr"/>
      <c r="D418" s="3" t="inlineStr"/>
      <c r="E418" t="inlineStr"/>
      <c r="F418" s="4" t="inlineStr">
        <is>
          <t>290E</t>
        </is>
      </c>
      <c r="G418" t="inlineStr">
        <is>
          <t>VB</t>
        </is>
      </c>
      <c r="H418" t="inlineStr">
        <is>
          <t>24232 Dobersdorf</t>
        </is>
      </c>
      <c r="I418" s="5" t="n">
        <v>45556</v>
      </c>
      <c r="J418" t="inlineStr"/>
      <c r="K418" s="6">
        <f>HYPERLINK("https://www.dailydose.de/kleinanzeigen/detail.htm?ai=422939&amp;cf=kk&amp;pg=4&amp;ci=11", "Link")</f>
        <v/>
      </c>
      <c r="L418" s="6">
        <f>HYPERLINK("C:\Projects\Kleinanzeigen-Scraper\offer_images\422939", "Link")</f>
        <v/>
      </c>
      <c r="M418" t="inlineStr">
        <is>
          <t>Christian G.</t>
        </is>
      </c>
      <c r="N418" s="6">
        <f>HYPERLINK("https://www.dailydose.de/kleinanzeigen/user/5351", "Link")</f>
        <v/>
      </c>
      <c r="O418" s="7" t="n">
        <v>45556.94723379629</v>
      </c>
      <c r="P418" s="3" t="inlineStr">
        <is>
          <t>437.64</t>
        </is>
      </c>
      <c r="Q418" t="inlineStr">
        <is>
          <t>Köln</t>
        </is>
      </c>
    </row>
    <row r="419">
      <c r="A419" t="inlineStr">
        <is>
          <t>Length 215 cm, Width 86 cm</t>
        </is>
      </c>
      <c r="B419" t="inlineStr">
        <is>
          <t>JP Australia Pro Edition</t>
        </is>
      </c>
      <c r="C419" t="inlineStr">
        <is>
          <t>Foilboard</t>
        </is>
      </c>
      <c r="D419" s="3" t="n">
        <v>135</v>
      </c>
      <c r="E419" t="inlineStr"/>
      <c r="F419" s="4" t="n">
        <v>680</v>
      </c>
      <c r="G419" t="inlineStr">
        <is>
          <t>VB</t>
        </is>
      </c>
      <c r="H419" t="inlineStr">
        <is>
          <t>24232 Dobersdorf</t>
        </is>
      </c>
      <c r="I419" s="5" t="n">
        <v>45556</v>
      </c>
      <c r="J419" t="inlineStr"/>
      <c r="K419" s="6">
        <f>HYPERLINK("https://www.dailydose.de/kleinanzeigen/detail.htm?ai=422935&amp;cf=kk&amp;pg=4&amp;ci=11", "Link")</f>
        <v/>
      </c>
      <c r="L419" s="6">
        <f>HYPERLINK("C:\Projects\Kleinanzeigen-Scraper\offer_images\422935", "Link")</f>
        <v/>
      </c>
      <c r="M419" t="inlineStr">
        <is>
          <t>Christian G.</t>
        </is>
      </c>
      <c r="N419" s="6">
        <f>HYPERLINK("https://www.dailydose.de/kleinanzeigen/user/5351", "Link")</f>
        <v/>
      </c>
      <c r="O419" s="7" t="n">
        <v>45556.94681712963</v>
      </c>
      <c r="P419" s="3" t="inlineStr">
        <is>
          <t>437.64</t>
        </is>
      </c>
      <c r="Q419" t="inlineStr">
        <is>
          <t>Köln</t>
        </is>
      </c>
    </row>
    <row r="420">
      <c r="A420" t="inlineStr">
        <is>
          <t>90</t>
        </is>
      </c>
      <c r="B420" t="inlineStr">
        <is>
          <t>Duotone Falcon</t>
        </is>
      </c>
      <c r="C420" t="inlineStr"/>
      <c r="D420" s="3" t="inlineStr"/>
      <c r="E420" t="inlineStr">
        <is>
          <t>2024</t>
        </is>
      </c>
      <c r="F420" s="4" t="n">
        <v>1290</v>
      </c>
      <c r="G420" t="inlineStr"/>
      <c r="H420" t="inlineStr">
        <is>
          <t>33758 Schloß Holte</t>
        </is>
      </c>
      <c r="I420" s="5" t="n">
        <v>45556</v>
      </c>
      <c r="J420" t="inlineStr"/>
      <c r="K420" s="6">
        <f>HYPERLINK("https://www.dailydose.de/kleinanzeigen/detail.htm?ai=422940&amp;cf=kk&amp;pg=4&amp;ci=11", "Link")</f>
        <v/>
      </c>
      <c r="L420" s="6">
        <f>HYPERLINK("C:\Projects\Kleinanzeigen-Scraper\offer_images\422940", "Link")</f>
        <v/>
      </c>
      <c r="M420" t="inlineStr">
        <is>
          <t>table__top</t>
        </is>
      </c>
      <c r="N420" s="6">
        <f>HYPERLINK("https://www.dailydose.de/kleinanzeigen/user/808", "Link")</f>
        <v/>
      </c>
      <c r="O420" s="7" t="n">
        <v>45556.94668981482</v>
      </c>
      <c r="P420" s="3" t="inlineStr">
        <is>
          <t>158.29</t>
        </is>
      </c>
      <c r="Q420" t="inlineStr">
        <is>
          <t>Köln</t>
        </is>
      </c>
    </row>
    <row r="421">
      <c r="A421" t="inlineStr">
        <is>
          <t>99</t>
        </is>
      </c>
      <c r="B421" t="inlineStr">
        <is>
          <t>Fanatic Skate</t>
        </is>
      </c>
      <c r="C421" t="inlineStr">
        <is>
          <t>Freestyle</t>
        </is>
      </c>
      <c r="D421" s="3" t="inlineStr"/>
      <c r="E421" t="inlineStr">
        <is>
          <t>2013</t>
        </is>
      </c>
      <c r="F421" s="4" t="n">
        <v>430</v>
      </c>
      <c r="G421" t="inlineStr">
        <is>
          <t>VB</t>
        </is>
      </c>
      <c r="H421" t="inlineStr">
        <is>
          <t>38154 Königslutter</t>
        </is>
      </c>
      <c r="I421" s="5" t="n">
        <v>45556</v>
      </c>
      <c r="J421" t="inlineStr">
        <is>
          <t>Sold</t>
        </is>
      </c>
      <c r="K421" s="6">
        <f>HYPERLINK("https://www.dailydose.de/kleinanzeigen/detail.htm?ai=422955&amp;cf=kk&amp;pg=1&amp;ci=11", "Link")</f>
        <v/>
      </c>
      <c r="L421" s="6">
        <f>HYPERLINK("C:\Projects\Kleinanzeigen-Scraper\offer_images\422955", "Link")</f>
        <v/>
      </c>
      <c r="M421" t="inlineStr">
        <is>
          <t>Micha_113</t>
        </is>
      </c>
      <c r="N421" s="6">
        <f>HYPERLINK("https://www.dailydose.de/kleinanzeigen/user/16554", "Link")</f>
        <v/>
      </c>
      <c r="O421" s="7" t="n">
        <v>45556.94643518519</v>
      </c>
      <c r="P421" s="3" t="inlineStr">
        <is>
          <t>303.77</t>
        </is>
      </c>
      <c r="Q421" t="inlineStr">
        <is>
          <t>Köln</t>
        </is>
      </c>
    </row>
    <row r="422">
      <c r="A422" t="inlineStr">
        <is>
          <t>125</t>
        </is>
      </c>
      <c r="B422" t="inlineStr">
        <is>
          <t>RRD FireRide LTE V2</t>
        </is>
      </c>
      <c r="C422" t="inlineStr">
        <is>
          <t>Freeride</t>
        </is>
      </c>
      <c r="D422" s="3" t="n">
        <v>125</v>
      </c>
      <c r="E422" t="inlineStr">
        <is>
          <t>2019</t>
        </is>
      </c>
      <c r="F422" s="4" t="inlineStr">
        <is>
          <t>690 EUR</t>
        </is>
      </c>
      <c r="G422" t="inlineStr">
        <is>
          <t>VB</t>
        </is>
      </c>
      <c r="H422" t="inlineStr">
        <is>
          <t>76185 Karlsruhe</t>
        </is>
      </c>
      <c r="I422" s="5" t="n">
        <v>45556</v>
      </c>
      <c r="J422" t="inlineStr"/>
      <c r="K422" s="6">
        <f>HYPERLINK("https://www.dailydose.de/kleinanzeigen/detail.htm?ai=422947&amp;cf=kk&amp;pg=4&amp;ci=11", "Link")</f>
        <v/>
      </c>
      <c r="L422" s="6">
        <f>HYPERLINK("C:\Projects\Kleinanzeigen-Scraper\offer_images\422947", "Link")</f>
        <v/>
      </c>
      <c r="M422" t="inlineStr">
        <is>
          <t>Goetz</t>
        </is>
      </c>
      <c r="N422" s="6">
        <f>HYPERLINK("https://www.dailydose.de/kleinanzeigen/user/2597", "Link")</f>
        <v/>
      </c>
      <c r="O422" s="7" t="n">
        <v>45556.94640046296</v>
      </c>
      <c r="P422" s="3" t="inlineStr">
        <is>
          <t>3.01</t>
        </is>
      </c>
      <c r="Q422" t="inlineStr">
        <is>
          <t>Karlsruhe</t>
        </is>
      </c>
    </row>
    <row r="423">
      <c r="A423" t="inlineStr">
        <is>
          <t>283 cm</t>
        </is>
      </c>
      <c r="B423" t="inlineStr">
        <is>
          <t>Bic Techno</t>
        </is>
      </c>
      <c r="C423" t="inlineStr">
        <is>
          <t>Freeride</t>
        </is>
      </c>
      <c r="D423" s="3" t="n">
        <v>150</v>
      </c>
      <c r="E423" t="inlineStr"/>
      <c r="F423" s="4" t="n">
        <v>350</v>
      </c>
      <c r="G423" t="inlineStr">
        <is>
          <t>VB</t>
        </is>
      </c>
      <c r="H423" t="inlineStr">
        <is>
          <t>21149 Hamburg</t>
        </is>
      </c>
      <c r="I423" s="5" t="n">
        <v>45556</v>
      </c>
      <c r="J423" t="inlineStr"/>
      <c r="K423" s="6">
        <f>HYPERLINK("https://www.dailydose.de/kleinanzeigen/detail.htm?ai=422959&amp;cf=kk&amp;pg=4&amp;ci=11", "Link")</f>
        <v/>
      </c>
      <c r="L423" s="6">
        <f>HYPERLINK("C:\Projects\Kleinanzeigen-Scraper\offer_images\422959", "Link")</f>
        <v/>
      </c>
      <c r="M423" t="inlineStr">
        <is>
          <t>KRav</t>
        </is>
      </c>
      <c r="N423" s="6">
        <f>HYPERLINK("https://www.dailydose.de/kleinanzeigen/user/19732", "Link")</f>
        <v/>
      </c>
      <c r="O423" s="7" t="n">
        <v>45556.94598379629</v>
      </c>
      <c r="P423" s="3" t="inlineStr">
        <is>
          <t>342.48</t>
        </is>
      </c>
      <c r="Q423" t="inlineStr">
        <is>
          <t>Köln</t>
        </is>
      </c>
    </row>
    <row r="424">
      <c r="A424" t="inlineStr"/>
      <c r="B424" t="inlineStr">
        <is>
          <t>Severne DYNO 3</t>
        </is>
      </c>
      <c r="C424" t="inlineStr">
        <is>
          <t>Freewave</t>
        </is>
      </c>
      <c r="D424" s="3" t="n">
        <v>105</v>
      </c>
      <c r="E424" t="inlineStr">
        <is>
          <t>2023</t>
        </is>
      </c>
      <c r="F424" s="4" t="n">
        <v>850</v>
      </c>
      <c r="G424" t="inlineStr"/>
      <c r="H424" t="inlineStr">
        <is>
          <t>58540 Sauerland -NRW</t>
        </is>
      </c>
      <c r="I424" s="5" t="n">
        <v>45556</v>
      </c>
      <c r="J424" t="inlineStr">
        <is>
          <t>Sold</t>
        </is>
      </c>
      <c r="K424" s="6">
        <f>HYPERLINK("https://www.dailydose.de/kleinanzeigen/detail.htm?ai=422976&amp;cf=kk&amp;pg=1&amp;ci=11", "Link")</f>
        <v/>
      </c>
      <c r="L424" s="6">
        <f>HYPERLINK("C:\Projects\Kleinanzeigen-Scraper\offer_images\422976", "Link")</f>
        <v/>
      </c>
      <c r="M424" t="inlineStr">
        <is>
          <t>tivitac</t>
        </is>
      </c>
      <c r="N424" s="6">
        <f>HYPERLINK("https://www.dailydose.de/kleinanzeigen/user/1938", "Link")</f>
        <v/>
      </c>
      <c r="O424" s="7" t="n">
        <v>45556.94594907408</v>
      </c>
      <c r="P424" s="3" t="inlineStr">
        <is>
          <t>56.25</t>
        </is>
      </c>
      <c r="Q424" t="inlineStr">
        <is>
          <t>Köln</t>
        </is>
      </c>
    </row>
    <row r="425">
      <c r="A425" t="inlineStr">
        <is>
          <t>246 cm x 68 cm</t>
        </is>
      </c>
      <c r="B425" t="inlineStr">
        <is>
          <t>Horney Crossover</t>
        </is>
      </c>
      <c r="C425" t="inlineStr">
        <is>
          <t>Freemove</t>
        </is>
      </c>
      <c r="D425" s="3" t="n">
        <v>120</v>
      </c>
      <c r="E425" t="inlineStr"/>
      <c r="F425" s="4" t="n">
        <v>500</v>
      </c>
      <c r="G425" t="inlineStr"/>
      <c r="H425" t="inlineStr">
        <is>
          <t>4322cg Scharendijke  Holland</t>
        </is>
      </c>
      <c r="I425" s="5" t="n">
        <v>45555</v>
      </c>
      <c r="J425" t="inlineStr"/>
      <c r="K425" s="6">
        <f>HYPERLINK("https://www.dailydose.de/kleinanzeigen/detail.htm?ai=422914&amp;cf=kk&amp;pg=4&amp;ci=11", "Link")</f>
        <v/>
      </c>
      <c r="L425" s="6">
        <f>HYPERLINK("C:\Projects\Kleinanzeigen-Scraper\offer_images\422914", "Link")</f>
        <v/>
      </c>
      <c r="M425" t="inlineStr">
        <is>
          <t>leosurfer</t>
        </is>
      </c>
      <c r="N425" s="6">
        <f>HYPERLINK("https://www.dailydose.de/kleinanzeigen/user/13966", "Link")</f>
        <v/>
      </c>
      <c r="O425" s="7" t="n">
        <v>45556.94585648148</v>
      </c>
      <c r="P425" s="3" t="inlineStr">
        <is>
          <t>233.35</t>
        </is>
      </c>
      <c r="Q425" t="inlineStr">
        <is>
          <t>Köln</t>
        </is>
      </c>
    </row>
    <row r="426">
      <c r="A426" t="inlineStr"/>
      <c r="B426" t="inlineStr">
        <is>
          <t>Slingshot Wizard</t>
        </is>
      </c>
      <c r="C426" t="inlineStr">
        <is>
          <t>Freeride</t>
        </is>
      </c>
      <c r="D426" s="3" t="n">
        <v>114</v>
      </c>
      <c r="E426" t="inlineStr"/>
      <c r="F426" s="4" t="n">
        <v>660</v>
      </c>
      <c r="G426" t="inlineStr"/>
      <c r="H426" t="inlineStr">
        <is>
          <t>24232 Dobersdorf</t>
        </is>
      </c>
      <c r="I426" s="5" t="n">
        <v>45556</v>
      </c>
      <c r="J426" t="inlineStr"/>
      <c r="K426" s="6">
        <f>HYPERLINK("https://www.dailydose.de/kleinanzeigen/detail.htm?ai=422936&amp;cf=kk&amp;pg=4&amp;ci=11", "Link")</f>
        <v/>
      </c>
      <c r="L426" s="6">
        <f>HYPERLINK("C:\Projects\Kleinanzeigen-Scraper\offer_images\422936", "Link")</f>
        <v/>
      </c>
      <c r="M426" t="inlineStr">
        <is>
          <t>Christian G.</t>
        </is>
      </c>
      <c r="N426" s="6">
        <f>HYPERLINK("https://www.dailydose.de/kleinanzeigen/user/5351", "Link")</f>
        <v/>
      </c>
      <c r="O426" s="7" t="n">
        <v>45556.94575231482</v>
      </c>
      <c r="P426" s="3" t="inlineStr">
        <is>
          <t>437.64</t>
        </is>
      </c>
      <c r="Q426" t="inlineStr">
        <is>
          <t>Köln</t>
        </is>
      </c>
    </row>
    <row r="427">
      <c r="A427" t="inlineStr"/>
      <c r="B427" t="inlineStr">
        <is>
          <t>Tabou Pocket Wave</t>
        </is>
      </c>
      <c r="C427" t="inlineStr">
        <is>
          <t>Wave</t>
        </is>
      </c>
      <c r="D427" s="3" t="n">
        <v>97</v>
      </c>
      <c r="E427" t="inlineStr">
        <is>
          <t>2018</t>
        </is>
      </c>
      <c r="F427" s="4" t="n">
        <v>300</v>
      </c>
      <c r="G427" t="inlineStr"/>
      <c r="H427" t="inlineStr">
        <is>
          <t>23775 Großenbrode</t>
        </is>
      </c>
      <c r="I427" s="5" t="n">
        <v>45556</v>
      </c>
      <c r="J427" t="inlineStr">
        <is>
          <t>Sold</t>
        </is>
      </c>
      <c r="K427" s="6">
        <f>HYPERLINK("https://www.dailydose.de/kleinanzeigen/detail.htm?ai=422929&amp;cf=kk&amp;pg=2&amp;ci=11", "Link")</f>
        <v/>
      </c>
      <c r="L427" s="6">
        <f>HYPERLINK("C:\Projects\Kleinanzeigen-Scraper\offer_images\422929", "Link")</f>
        <v/>
      </c>
      <c r="M427" t="inlineStr">
        <is>
          <t>Holger_156</t>
        </is>
      </c>
      <c r="N427" s="6">
        <f>HYPERLINK("https://www.dailydose.de/kleinanzeigen/user/10571", "Link")</f>
        <v/>
      </c>
      <c r="O427" s="7" t="n">
        <v>45556.94559027778</v>
      </c>
      <c r="P427" s="3" t="inlineStr">
        <is>
          <t>471.97</t>
        </is>
      </c>
      <c r="Q427" t="inlineStr">
        <is>
          <t>Köln</t>
        </is>
      </c>
    </row>
    <row r="428">
      <c r="A428" t="inlineStr">
        <is>
          <t>239 x 52.5</t>
        </is>
      </c>
      <c r="B428" t="inlineStr">
        <is>
          <t>Tabou Da Curve</t>
        </is>
      </c>
      <c r="C428" t="inlineStr">
        <is>
          <t>Wave</t>
        </is>
      </c>
      <c r="D428" s="3" t="n">
        <v>73</v>
      </c>
      <c r="E428" t="inlineStr"/>
      <c r="F428" s="4" t="n">
        <v>180</v>
      </c>
      <c r="G428" t="inlineStr"/>
      <c r="H428" t="inlineStr">
        <is>
          <t>12527 Berlin</t>
        </is>
      </c>
      <c r="I428" s="5" t="n">
        <v>45555</v>
      </c>
      <c r="J428" t="inlineStr">
        <is>
          <t>Sold</t>
        </is>
      </c>
      <c r="K428" s="6">
        <f>HYPERLINK("https://www.dailydose.de/kleinanzeigen/detail.htm?ai=422911&amp;cf=kk&amp;pg=3&amp;ci=11", "Link")</f>
        <v/>
      </c>
      <c r="L428" s="6">
        <f>HYPERLINK("C:\Projects\Kleinanzeigen-Scraper\offer_images\422911", "Link")</f>
        <v/>
      </c>
      <c r="M428" t="inlineStr">
        <is>
          <t>newt3</t>
        </is>
      </c>
      <c r="N428" s="6">
        <f>HYPERLINK("https://www.dailydose.de/kleinanzeigen/user/22148", "Link")</f>
        <v/>
      </c>
      <c r="O428" s="7" t="n">
        <v>45556.94508101852</v>
      </c>
      <c r="P428" s="3" t="inlineStr">
        <is>
          <t>487.71</t>
        </is>
      </c>
      <c r="Q428" t="inlineStr">
        <is>
          <t>Köln</t>
        </is>
      </c>
    </row>
    <row r="429">
      <c r="A429" t="inlineStr">
        <is>
          <t>260cm</t>
        </is>
      </c>
      <c r="B429" t="inlineStr">
        <is>
          <t>F2 Xantos</t>
        </is>
      </c>
      <c r="C429" t="inlineStr">
        <is>
          <t>FreeRide</t>
        </is>
      </c>
      <c r="D429" s="3" t="n">
        <v>124</v>
      </c>
      <c r="E429" t="inlineStr"/>
      <c r="F429" s="4" t="n">
        <v>400</v>
      </c>
      <c r="G429" t="inlineStr"/>
      <c r="H429" t="inlineStr">
        <is>
          <t>12527 Berlin</t>
        </is>
      </c>
      <c r="I429" s="5" t="n">
        <v>45555</v>
      </c>
      <c r="J429" t="inlineStr"/>
      <c r="K429" s="6">
        <f>HYPERLINK("https://www.dailydose.de/kleinanzeigen/detail.htm?ai=422910&amp;cf=kk&amp;pg=4&amp;ci=11", "Link")</f>
        <v/>
      </c>
      <c r="L429" s="6">
        <f>HYPERLINK("C:\Projects\Kleinanzeigen-Scraper\offer_images\422910", "Link")</f>
        <v/>
      </c>
      <c r="M429" t="inlineStr">
        <is>
          <t>stg</t>
        </is>
      </c>
      <c r="N429" s="6">
        <f>HYPERLINK("https://www.dailydose.de/kleinanzeigen/user/22114", "Link")</f>
        <v/>
      </c>
      <c r="O429" s="7" t="n">
        <v>45556.94497685185</v>
      </c>
      <c r="P429" s="3" t="inlineStr">
        <is>
          <t>487.71</t>
        </is>
      </c>
      <c r="Q429" t="inlineStr">
        <is>
          <t>Köln</t>
        </is>
      </c>
    </row>
    <row r="430">
      <c r="A430" t="inlineStr">
        <is>
          <t>235 x 82</t>
        </is>
      </c>
      <c r="B430" t="inlineStr">
        <is>
          <t>Fanatic Jag Limited Edition</t>
        </is>
      </c>
      <c r="C430" t="inlineStr">
        <is>
          <t>Freerace</t>
        </is>
      </c>
      <c r="D430" s="3" t="n">
        <v>135</v>
      </c>
      <c r="E430" t="inlineStr">
        <is>
          <t>2019</t>
        </is>
      </c>
      <c r="F430" s="4" t="n">
        <v>850</v>
      </c>
      <c r="G430" t="inlineStr">
        <is>
          <t>VB</t>
        </is>
      </c>
      <c r="H430" t="inlineStr">
        <is>
          <t>27568 Bremerhaven</t>
        </is>
      </c>
      <c r="I430" s="5" t="n">
        <v>45556</v>
      </c>
      <c r="J430" t="inlineStr"/>
      <c r="K430" s="6">
        <f>HYPERLINK("https://www.dailydose.de/kleinanzeigen/detail.htm?ai=422937&amp;cf=kk&amp;pg=4&amp;ci=11", "Link")</f>
        <v/>
      </c>
      <c r="L430" s="6">
        <f>HYPERLINK("C:\Projects\Kleinanzeigen-Scraper\offer_images\422937", "Link")</f>
        <v/>
      </c>
      <c r="M430" t="inlineStr">
        <is>
          <t>stone</t>
        </is>
      </c>
      <c r="N430" s="6">
        <f>HYPERLINK("https://www.dailydose.de/kleinanzeigen/user/6979", "Link")</f>
        <v/>
      </c>
      <c r="O430" s="7" t="n">
        <v>45556.94450231481</v>
      </c>
      <c r="P430" s="3" t="inlineStr">
        <is>
          <t>312.07</t>
        </is>
      </c>
      <c r="Q430" t="inlineStr">
        <is>
          <t>Köln</t>
        </is>
      </c>
    </row>
    <row r="431">
      <c r="A431" t="inlineStr">
        <is>
          <t>Length 215 cm, Width 86 cm</t>
        </is>
      </c>
      <c r="B431" t="inlineStr">
        <is>
          <t>JP Australia Pro Edition</t>
        </is>
      </c>
      <c r="C431" t="inlineStr">
        <is>
          <t>Foilboard</t>
        </is>
      </c>
      <c r="D431" s="3" t="n">
        <v>135</v>
      </c>
      <c r="E431" t="inlineStr"/>
      <c r="F431" s="4" t="n">
        <v>680</v>
      </c>
      <c r="G431" t="inlineStr">
        <is>
          <t>VB</t>
        </is>
      </c>
      <c r="H431" t="inlineStr">
        <is>
          <t>24232 Dobersdorf</t>
        </is>
      </c>
      <c r="I431" s="5" t="n">
        <v>45556</v>
      </c>
      <c r="J431" t="inlineStr"/>
      <c r="K431" s="6">
        <f>HYPERLINK("https://www.dailydose.de/kleinanzeigen/detail.htm?ai=422934&amp;cf=kk&amp;pg=4&amp;ci=11", "Link")</f>
        <v/>
      </c>
      <c r="L431" s="6">
        <f>HYPERLINK("C:\Projects\Kleinanzeigen-Scraper\offer_images\422934", "Link")</f>
        <v/>
      </c>
      <c r="M431" t="inlineStr">
        <is>
          <t>Christian G.</t>
        </is>
      </c>
      <c r="N431" s="6">
        <f>HYPERLINK("https://www.dailydose.de/kleinanzeigen/user/5351", "Link")</f>
        <v/>
      </c>
      <c r="O431" s="7" t="n">
        <v>45556.94436342592</v>
      </c>
      <c r="P431" s="3" t="inlineStr">
        <is>
          <t>437.64</t>
        </is>
      </c>
      <c r="Q431" t="inlineStr">
        <is>
          <t>Köln</t>
        </is>
      </c>
    </row>
    <row r="432">
      <c r="A432" t="inlineStr"/>
      <c r="B432" t="inlineStr">
        <is>
          <t>JP Ultimate Wave Pro</t>
        </is>
      </c>
      <c r="C432" t="inlineStr">
        <is>
          <t>Wave</t>
        </is>
      </c>
      <c r="D432" s="3" t="inlineStr"/>
      <c r="E432" t="inlineStr">
        <is>
          <t>2023</t>
        </is>
      </c>
      <c r="F432" s="4" t="n">
        <v>700</v>
      </c>
      <c r="G432" t="inlineStr"/>
      <c r="H432" t="inlineStr">
        <is>
          <t>24229 Schwedeneck</t>
        </is>
      </c>
      <c r="I432" s="5" t="n">
        <v>45555</v>
      </c>
      <c r="J432" t="inlineStr"/>
      <c r="K432" s="6">
        <f>HYPERLINK("https://www.dailydose.de/kleinanzeigen/detail.htm?ai=422904&amp;cf=kk&amp;pg=5&amp;ci=11", "Link")</f>
        <v/>
      </c>
      <c r="L432" s="6">
        <f>HYPERLINK("C:\Projects\Kleinanzeigen-Scraper\offer_images\422904", "Link")</f>
        <v/>
      </c>
      <c r="M432" t="inlineStr">
        <is>
          <t>Erik</t>
        </is>
      </c>
      <c r="N432" s="6">
        <f>HYPERLINK("https://www.dailydose.de/kleinanzeigen/user/2507", "Link")</f>
        <v/>
      </c>
      <c r="O432" s="7" t="n">
        <v>45556.9441087963</v>
      </c>
      <c r="P432" s="3" t="inlineStr">
        <is>
          <t>445.58</t>
        </is>
      </c>
      <c r="Q432" t="inlineStr">
        <is>
          <t>Köln</t>
        </is>
      </c>
    </row>
    <row r="433">
      <c r="A433" t="inlineStr">
        <is>
          <t>240 x 110</t>
        </is>
      </c>
      <c r="B433" t="inlineStr">
        <is>
          <t>Tabou Rocket Wide LTD Edition</t>
        </is>
      </c>
      <c r="C433" t="inlineStr">
        <is>
          <t>Freeride</t>
        </is>
      </c>
      <c r="D433" s="3" t="inlineStr"/>
      <c r="E433" t="inlineStr"/>
      <c r="F433" s="4" t="n">
        <v>700</v>
      </c>
      <c r="G433" t="inlineStr"/>
      <c r="H433" t="inlineStr">
        <is>
          <t>23775 Großenbrode</t>
        </is>
      </c>
      <c r="I433" s="5" t="n">
        <v>45556</v>
      </c>
      <c r="J433" t="inlineStr"/>
      <c r="K433" s="6">
        <f>HYPERLINK("https://www.dailydose.de/kleinanzeigen/detail.htm?ai=422932&amp;cf=kk&amp;pg=4&amp;ci=11", "Link")</f>
        <v/>
      </c>
      <c r="L433" s="6">
        <f>HYPERLINK("C:\Projects\Kleinanzeigen-Scraper\offer_images\422932", "Link")</f>
        <v/>
      </c>
      <c r="M433" t="inlineStr">
        <is>
          <t>Holger_156</t>
        </is>
      </c>
      <c r="N433" s="6">
        <f>HYPERLINK("https://www.dailydose.de/kleinanzeigen/user/10571", "Link")</f>
        <v/>
      </c>
      <c r="O433" s="7" t="n">
        <v>45556.94409722222</v>
      </c>
      <c r="P433" s="3" t="inlineStr">
        <is>
          <t>471.97</t>
        </is>
      </c>
      <c r="Q433" t="inlineStr">
        <is>
          <t>Köln</t>
        </is>
      </c>
    </row>
    <row r="434">
      <c r="A434" t="inlineStr">
        <is>
          <t>233 x 75</t>
        </is>
      </c>
      <c r="B434" t="inlineStr">
        <is>
          <t>Tabou Manta FR</t>
        </is>
      </c>
      <c r="C434" t="inlineStr">
        <is>
          <t>Freeride</t>
        </is>
      </c>
      <c r="D434" s="3" t="n">
        <v>115</v>
      </c>
      <c r="E434" t="inlineStr"/>
      <c r="F434" s="4" t="n">
        <v>450</v>
      </c>
      <c r="G434" t="inlineStr">
        <is>
          <t>VB</t>
        </is>
      </c>
      <c r="H434" t="inlineStr">
        <is>
          <t>24223 Schleswig-Holstein - Raisdorf</t>
        </is>
      </c>
      <c r="I434" s="5" t="n">
        <v>45555</v>
      </c>
      <c r="J434" t="inlineStr"/>
      <c r="K434" s="6">
        <f>HYPERLINK("https://www.kleinanzeigen.de/s-anzeige/windsurfboard-tabou-manta-fr-75/2868819325-230-474", "Link")</f>
        <v/>
      </c>
      <c r="L434" s="6">
        <f>HYPERLINK("C:\Projects\Kleinanzeigen-Scraper\offer_images\2868819325", "Link")</f>
        <v/>
      </c>
      <c r="M434" t="inlineStr">
        <is>
          <t>hudler</t>
        </is>
      </c>
      <c r="N434" s="6">
        <f>HYPERLINK("https://www.kleinanzeigen.de/s-bestandsliste.html?userId=9942763", "Link")</f>
        <v/>
      </c>
      <c r="O434" s="7" t="n">
        <v>45556.94365740741</v>
      </c>
      <c r="P434" s="3" t="inlineStr">
        <is>
          <t>432.98</t>
        </is>
      </c>
      <c r="Q434" t="inlineStr">
        <is>
          <t>Köln</t>
        </is>
      </c>
    </row>
    <row r="435">
      <c r="A435" t="inlineStr"/>
      <c r="B435" t="inlineStr">
        <is>
          <t>Fanatic Viper</t>
        </is>
      </c>
      <c r="C435" t="inlineStr"/>
      <c r="D435" s="3" t="inlineStr"/>
      <c r="E435" t="inlineStr"/>
      <c r="F435" s="4" t="n">
        <v>80</v>
      </c>
      <c r="G435" t="inlineStr">
        <is>
          <t>VB</t>
        </is>
      </c>
      <c r="H435" t="inlineStr">
        <is>
          <t>46509 Nordrhein-Westfalen - Xanten</t>
        </is>
      </c>
      <c r="I435" s="5" t="n">
        <v>45556</v>
      </c>
      <c r="J435" t="inlineStr"/>
      <c r="K435" s="6">
        <f>HYPERLINK("https://www.kleinanzeigen.de/s-anzeige/surfbrett-fanatic-viper/2870149436-230-1403", "Link")</f>
        <v/>
      </c>
      <c r="L435" s="6">
        <f>HYPERLINK("C:\Projects\Kleinanzeigen-Scraper\offer_images\2870149436", "Link")</f>
        <v/>
      </c>
      <c r="M435" t="inlineStr">
        <is>
          <t>Susanne Schröck</t>
        </is>
      </c>
      <c r="N435" s="6">
        <f>HYPERLINK("https://www.kleinanzeigen.de/s-bestandsliste.html?userId=20089549", "Link")</f>
        <v/>
      </c>
      <c r="O435" s="7" t="n">
        <v>45556.94363425926</v>
      </c>
      <c r="P435" s="3" t="inlineStr">
        <is>
          <t>88.27</t>
        </is>
      </c>
      <c r="Q435" t="inlineStr">
        <is>
          <t>Köln</t>
        </is>
      </c>
    </row>
    <row r="436">
      <c r="A436" t="inlineStr">
        <is>
          <t>270 cm x 68 cm</t>
        </is>
      </c>
      <c r="B436" t="inlineStr">
        <is>
          <t>Fanatic E Ray</t>
        </is>
      </c>
      <c r="C436" t="inlineStr"/>
      <c r="D436" s="3" t="n">
        <v>130</v>
      </c>
      <c r="E436" t="inlineStr"/>
      <c r="F436" s="4" t="n">
        <v>180</v>
      </c>
      <c r="G436" t="inlineStr">
        <is>
          <t>VB</t>
        </is>
      </c>
      <c r="H436" t="inlineStr">
        <is>
          <t>48653 Nordrhein-Westfalen - Coesfeld</t>
        </is>
      </c>
      <c r="I436" s="5" t="n">
        <v>45555</v>
      </c>
      <c r="J436" t="inlineStr"/>
      <c r="K436" s="6">
        <f>HYPERLINK("https://www.kleinanzeigen.de/s-anzeige/surfboard-fanatic-e-ray-130l/2868984133-230-1173", "Link")</f>
        <v/>
      </c>
      <c r="L436" s="6">
        <f>HYPERLINK("C:\Projects\Kleinanzeigen-Scraper\offer_images\2868984133", "Link")</f>
        <v/>
      </c>
      <c r="M436" t="inlineStr">
        <is>
          <t>Marvin</t>
        </is>
      </c>
      <c r="N436" s="6">
        <f>HYPERLINK("https://www.kleinanzeigen.de/s-bestandsliste.html?userId=7238612", "Link")</f>
        <v/>
      </c>
      <c r="O436" s="7" t="n">
        <v>45556.94349537037</v>
      </c>
      <c r="P436" s="3" t="inlineStr">
        <is>
          <t>108.96</t>
        </is>
      </c>
      <c r="Q436" t="inlineStr">
        <is>
          <t>Köln</t>
        </is>
      </c>
    </row>
    <row r="437">
      <c r="A437" t="inlineStr">
        <is>
          <t>250x63.5 cm</t>
        </is>
      </c>
      <c r="B437" t="inlineStr">
        <is>
          <t>JP Australia FunRide</t>
        </is>
      </c>
      <c r="C437" t="inlineStr">
        <is>
          <t>Freeride</t>
        </is>
      </c>
      <c r="D437" s="3" t="n">
        <v>100</v>
      </c>
      <c r="E437" t="inlineStr"/>
      <c r="F437" s="4" t="n">
        <v>155</v>
      </c>
      <c r="G437" t="inlineStr">
        <is>
          <t>VB</t>
        </is>
      </c>
      <c r="H437" t="inlineStr">
        <is>
          <t>33129 Nordrhein-Westfalen - Delbrück</t>
        </is>
      </c>
      <c r="I437" s="5" t="n">
        <v>45556</v>
      </c>
      <c r="J437" t="inlineStr"/>
      <c r="K437" s="6">
        <f>HYPERLINK("https://www.kleinanzeigen.de/s-anzeige/jp-australia-funride-100-surfbrett-surfboard-mit-noseprotector/2869656647-230-1264", "Link")</f>
        <v/>
      </c>
      <c r="L437" s="6">
        <f>HYPERLINK("C:\Projects\Kleinanzeigen-Scraper\offer_images\2869656647", "Link")</f>
        <v/>
      </c>
      <c r="M437" t="inlineStr">
        <is>
          <t>A.M.</t>
        </is>
      </c>
      <c r="N437" s="6">
        <f>HYPERLINK("https://www.kleinanzeigen.de/s-bestandsliste.html?userId=1432701", "Link")</f>
        <v/>
      </c>
      <c r="O437" s="7" t="n">
        <v>45556.94329861111</v>
      </c>
      <c r="P437" s="3" t="inlineStr">
        <is>
          <t>145.00</t>
        </is>
      </c>
      <c r="Q437" t="inlineStr">
        <is>
          <t>Köln</t>
        </is>
      </c>
    </row>
    <row r="438">
      <c r="A438" t="inlineStr">
        <is>
          <t>250cm x 54cm</t>
        </is>
      </c>
      <c r="B438" t="inlineStr">
        <is>
          <t>Fanatic Goya</t>
        </is>
      </c>
      <c r="C438" t="inlineStr">
        <is>
          <t>Wave</t>
        </is>
      </c>
      <c r="D438" s="3" t="n">
        <v>80</v>
      </c>
      <c r="E438" t="inlineStr"/>
      <c r="F438" s="4" t="n">
        <v>49</v>
      </c>
      <c r="G438" t="inlineStr">
        <is>
          <t>VB</t>
        </is>
      </c>
      <c r="H438" t="inlineStr">
        <is>
          <t>16552 Brandenburg - Schildow</t>
        </is>
      </c>
      <c r="I438" s="5" t="n">
        <v>45403</v>
      </c>
      <c r="J438" t="inlineStr"/>
      <c r="K438" s="6">
        <f>HYPERLINK("https://www.kleinanzeigen.de/s-anzeige/fanatic-goya-80-windsurf-wave-board/2741283504-230-7782", "Link")</f>
        <v/>
      </c>
      <c r="L438" s="6">
        <f>HYPERLINK("C:\Projects\Kleinanzeigen-Scraper\offer_images\2741283504", "Link")</f>
        <v/>
      </c>
      <c r="M438" t="inlineStr">
        <is>
          <t>Martin</t>
        </is>
      </c>
      <c r="N438" s="6">
        <f>HYPERLINK("https://www.kleinanzeigen.de/s-bestandsliste.html?userId=11064228", "Link")</f>
        <v/>
      </c>
      <c r="O438" s="7" t="n">
        <v>45556.94322916667</v>
      </c>
      <c r="P438" s="3" t="inlineStr">
        <is>
          <t>479.99</t>
        </is>
      </c>
      <c r="Q438" t="inlineStr">
        <is>
          <t>Köln</t>
        </is>
      </c>
    </row>
    <row r="439">
      <c r="A439" t="inlineStr">
        <is>
          <t>308cm x 81cm</t>
        </is>
      </c>
      <c r="B439" t="inlineStr">
        <is>
          <t>Starboard Rio M</t>
        </is>
      </c>
      <c r="C439" t="inlineStr">
        <is>
          <t>Freeride</t>
        </is>
      </c>
      <c r="D439" s="3" t="n">
        <v>219</v>
      </c>
      <c r="E439" t="inlineStr"/>
      <c r="F439" s="4" t="n">
        <v>100</v>
      </c>
      <c r="G439" t="inlineStr"/>
      <c r="H439" t="inlineStr">
        <is>
          <t>83250 Bayern - Marquartstein</t>
        </is>
      </c>
      <c r="I439" s="5" t="n">
        <v>45556</v>
      </c>
      <c r="J439" t="inlineStr">
        <is>
          <t>Sold</t>
        </is>
      </c>
      <c r="K439" s="6">
        <f>HYPERLINK("https://www.kleinanzeigen.de/s-anzeige/windsurf-board/2869638777-230-5736", "Link")</f>
        <v/>
      </c>
      <c r="L439" s="6">
        <f>HYPERLINK("C:\Projects\Kleinanzeigen-Scraper\offer_images\2869638777", "Link")</f>
        <v/>
      </c>
      <c r="M439" t="inlineStr">
        <is>
          <t>Martin Schöllner</t>
        </is>
      </c>
      <c r="N439" s="6">
        <f>HYPERLINK("https://www.kleinanzeigen.de/s-bestandsliste.html?userId=48792650", "Link")</f>
        <v/>
      </c>
      <c r="O439" s="7" t="n">
        <v>45556.94320601852</v>
      </c>
      <c r="P439" s="3" t="inlineStr">
        <is>
          <t>78.42</t>
        </is>
      </c>
      <c r="Q439" t="inlineStr">
        <is>
          <t>München</t>
        </is>
      </c>
    </row>
    <row r="440">
      <c r="A440" t="inlineStr"/>
      <c r="B440" t="inlineStr">
        <is>
          <t>Naish</t>
        </is>
      </c>
      <c r="C440" t="inlineStr"/>
      <c r="D440" s="3" t="n">
        <v>140</v>
      </c>
      <c r="E440" t="inlineStr"/>
      <c r="F440" s="4" t="n">
        <v>399</v>
      </c>
      <c r="G440" t="inlineStr"/>
      <c r="H440" t="inlineStr">
        <is>
          <t>09111 Sachsen - Chemnitz</t>
        </is>
      </c>
      <c r="I440" s="5" t="n">
        <v>45555</v>
      </c>
      <c r="J440" t="inlineStr"/>
      <c r="K440" s="6">
        <f>HYPERLINK("https://www.kleinanzeigen.de/s-anzeige/windsurf-board-mit-bag-naish-140l-volumen/2868830199-230-3886", "Link")</f>
        <v/>
      </c>
      <c r="L440" s="6">
        <f>HYPERLINK("C:\Projects\Kleinanzeigen-Scraper\offer_images\2868830199", "Link")</f>
        <v/>
      </c>
      <c r="M440" t="inlineStr">
        <is>
          <t>olaf</t>
        </is>
      </c>
      <c r="N440" s="6">
        <f>HYPERLINK("https://www.kleinanzeigen.de/s-bestandsliste.html?userId=8857923", "Link")</f>
        <v/>
      </c>
      <c r="O440" s="7" t="n">
        <v>45556.94320601852</v>
      </c>
      <c r="P440" s="3" t="inlineStr">
        <is>
          <t>315.71</t>
        </is>
      </c>
      <c r="Q440" t="inlineStr">
        <is>
          <t>München</t>
        </is>
      </c>
    </row>
    <row r="441">
      <c r="A441" t="inlineStr">
        <is>
          <t>280cm</t>
        </is>
      </c>
      <c r="B441" t="inlineStr">
        <is>
          <t>Fanatic Ultra Rat</t>
        </is>
      </c>
      <c r="C441" t="inlineStr"/>
      <c r="D441" s="3" t="n">
        <v>105</v>
      </c>
      <c r="E441" t="inlineStr"/>
      <c r="F441" s="4" t="n">
        <v>70</v>
      </c>
      <c r="G441" t="inlineStr"/>
      <c r="H441" t="inlineStr">
        <is>
          <t>12527 Berlin - Köpenick</t>
        </is>
      </c>
      <c r="I441" s="5" t="n">
        <v>45556</v>
      </c>
      <c r="J441" t="inlineStr">
        <is>
          <t>Sold</t>
        </is>
      </c>
      <c r="K441" s="6">
        <f>HYPERLINK("https://www.kleinanzeigen.de/s-anzeige/105-l-fanatic-ultra-rat-surfbrett-surfmaterial-surfausruestung/2869509631-230-3370", "Link")</f>
        <v/>
      </c>
      <c r="L441" s="6">
        <f>HYPERLINK("C:\Projects\Kleinanzeigen-Scraper\offer_images\2869509631", "Link")</f>
        <v/>
      </c>
      <c r="M441" t="inlineStr">
        <is>
          <t>ste</t>
        </is>
      </c>
      <c r="N441" s="6">
        <f>HYPERLINK("https://www.kleinanzeigen.de/s-bestandsliste.html?userId=27311742", "Link")</f>
        <v/>
      </c>
      <c r="O441" s="7" t="n">
        <v>45556.9425</v>
      </c>
      <c r="P441" s="3" t="inlineStr">
        <is>
          <t>487.71</t>
        </is>
      </c>
      <c r="Q441" t="inlineStr">
        <is>
          <t>Köln</t>
        </is>
      </c>
    </row>
    <row r="442">
      <c r="A442" t="inlineStr"/>
      <c r="B442" t="inlineStr">
        <is>
          <t>Severne Nuevo</t>
        </is>
      </c>
      <c r="C442" t="inlineStr">
        <is>
          <t>Freeride</t>
        </is>
      </c>
      <c r="D442" s="3" t="n">
        <v>120</v>
      </c>
      <c r="E442" t="inlineStr"/>
      <c r="F442" s="4" t="n">
        <v>1.1</v>
      </c>
      <c r="G442" t="inlineStr"/>
      <c r="H442" t="inlineStr">
        <is>
          <t>71549 Baden-Württemberg - Auenwald</t>
        </is>
      </c>
      <c r="I442" s="5" t="n">
        <v>45543</v>
      </c>
      <c r="J442" t="inlineStr">
        <is>
          <t>Sold</t>
        </is>
      </c>
      <c r="K442" s="6">
        <f>HYPERLINK("https://www.kleinanzeigen.de/s-anzeige/severne-nuevo-120-l-windsurfbrett-surfbrett/2857522357-230-20234", "Link")</f>
        <v/>
      </c>
      <c r="L442" s="6">
        <f>HYPERLINK("C:\Projects\Kleinanzeigen-Scraper\offer_images\2857522357", "Link")</f>
        <v/>
      </c>
      <c r="M442" t="inlineStr">
        <is>
          <t>Sam</t>
        </is>
      </c>
      <c r="N442" s="6">
        <f>HYPERLINK("https://www.kleinanzeigen.de/s-bestandsliste.html?userId=91227219", "Link")</f>
        <v/>
      </c>
      <c r="O442" s="7" t="n">
        <v>45556.94248842593</v>
      </c>
      <c r="P442" s="3" t="inlineStr">
        <is>
          <t>49.16</t>
        </is>
      </c>
      <c r="Q442" t="inlineStr">
        <is>
          <t>Böblingen</t>
        </is>
      </c>
    </row>
    <row r="443">
      <c r="A443" t="inlineStr"/>
      <c r="B443" t="inlineStr">
        <is>
          <t>JP Australia</t>
        </is>
      </c>
      <c r="C443" t="inlineStr">
        <is>
          <t>Freeride</t>
        </is>
      </c>
      <c r="D443" s="3" t="n">
        <v>105</v>
      </c>
      <c r="E443" t="inlineStr"/>
      <c r="F443" s="4" t="n">
        <v>15</v>
      </c>
      <c r="G443" t="inlineStr">
        <is>
          <t>VB</t>
        </is>
      </c>
      <c r="H443" t="inlineStr">
        <is>
          <t>25421 Kreis Pinneberg - Pinneberg</t>
        </is>
      </c>
      <c r="I443" s="5" t="n">
        <v>45556</v>
      </c>
      <c r="J443" t="inlineStr">
        <is>
          <t>Sold</t>
        </is>
      </c>
      <c r="K443" s="6">
        <f>HYPERLINK("https://www.kleinanzeigen.de/s-anzeige/jp-australia-105-freeride/2869897130-230-786", "Link")</f>
        <v/>
      </c>
      <c r="L443" s="6">
        <f>HYPERLINK("C:\Projects\Kleinanzeigen-Scraper\offer_images\2869897130", "Link")</f>
        <v/>
      </c>
      <c r="M443" t="inlineStr">
        <is>
          <t>Avé- Lallemant</t>
        </is>
      </c>
      <c r="N443" s="6">
        <f>HYPERLINK("https://www.kleinanzeigen.de/s-bestandsliste.html?userId=71416844", "Link")</f>
        <v/>
      </c>
      <c r="O443" s="7" t="n">
        <v>45556.94244212963</v>
      </c>
      <c r="P443" s="3" t="inlineStr">
        <is>
          <t>345.15</t>
        </is>
      </c>
      <c r="Q443" t="inlineStr">
        <is>
          <t>Köln</t>
        </is>
      </c>
    </row>
    <row r="444">
      <c r="A444" t="inlineStr"/>
      <c r="B444" t="inlineStr">
        <is>
          <t>Lorch</t>
        </is>
      </c>
      <c r="C444" t="inlineStr"/>
      <c r="D444" s="3" t="n">
        <v>150</v>
      </c>
      <c r="E444" t="inlineStr"/>
      <c r="F444" s="4" t="n">
        <v>599</v>
      </c>
      <c r="G444" t="inlineStr"/>
      <c r="H444" t="inlineStr">
        <is>
          <t>09111 Sachsen - Chemnitz</t>
        </is>
      </c>
      <c r="I444" s="5" t="n">
        <v>45555</v>
      </c>
      <c r="J444" t="inlineStr"/>
      <c r="K444" s="6">
        <f>HYPERLINK("https://www.kleinanzeigen.de/s-anzeige/windsurf-board-lorch-150liter-volumen-ab-90kg-boardbag/2869036128-230-3886", "Link")</f>
        <v/>
      </c>
      <c r="L444" s="6">
        <f>HYPERLINK("C:\Projects\Kleinanzeigen-Scraper\offer_images\2869036128", "Link")</f>
        <v/>
      </c>
      <c r="M444" t="inlineStr">
        <is>
          <t>olaf</t>
        </is>
      </c>
      <c r="N444" s="6">
        <f>HYPERLINK("https://www.kleinanzeigen.de/s-bestandsliste.html?userId=8857923", "Link")</f>
        <v/>
      </c>
      <c r="O444" s="7" t="n">
        <v>45556.94243055556</v>
      </c>
      <c r="P444" s="3" t="inlineStr">
        <is>
          <t>315.71</t>
        </is>
      </c>
      <c r="Q444" t="inlineStr">
        <is>
          <t>München</t>
        </is>
      </c>
    </row>
    <row r="445">
      <c r="A445" t="inlineStr">
        <is>
          <t>250cm x 76cm</t>
        </is>
      </c>
      <c r="B445" t="inlineStr">
        <is>
          <t>Tabou Rocket 135</t>
        </is>
      </c>
      <c r="C445" t="inlineStr">
        <is>
          <t>Freeride</t>
        </is>
      </c>
      <c r="D445" s="3" t="n">
        <v>135</v>
      </c>
      <c r="E445" t="inlineStr">
        <is>
          <t>2018</t>
        </is>
      </c>
      <c r="F445" s="4" t="n">
        <v>500</v>
      </c>
      <c r="G445" t="inlineStr">
        <is>
          <t>VB</t>
        </is>
      </c>
      <c r="H445" t="inlineStr">
        <is>
          <t>84524 Kr. Altötting - Neuötting</t>
        </is>
      </c>
      <c r="I445" s="5" t="n">
        <v>45546</v>
      </c>
      <c r="J445" t="inlineStr">
        <is>
          <t>Sold</t>
        </is>
      </c>
      <c r="K445" s="6">
        <f>HYPERLINK("https://www.kleinanzeigen.de/s-anzeige/tabou-rocket-135-ltd-carbon-freeride-windsurfboard/2860689630-230-6629", "Link")</f>
        <v/>
      </c>
      <c r="L445" s="6">
        <f>HYPERLINK("C:\Projects\Kleinanzeigen-Scraper\offer_images\2860689630", "Link")</f>
        <v/>
      </c>
      <c r="M445" t="inlineStr">
        <is>
          <t>Julian Hoffmann</t>
        </is>
      </c>
      <c r="N445" s="6">
        <f>HYPERLINK("https://www.kleinanzeigen.de/s-bestandsliste.html?userId=39765534", "Link")</f>
        <v/>
      </c>
      <c r="O445" s="7" t="n">
        <v>45556.94233796297</v>
      </c>
      <c r="P445" s="3" t="inlineStr">
        <is>
          <t>87.16</t>
        </is>
      </c>
      <c r="Q445" t="inlineStr">
        <is>
          <t>München</t>
        </is>
      </c>
    </row>
    <row r="446">
      <c r="A446" t="inlineStr">
        <is>
          <t>96</t>
        </is>
      </c>
      <c r="B446" t="inlineStr">
        <is>
          <t>RRD Freestyle Wave LTE V5</t>
        </is>
      </c>
      <c r="C446" t="inlineStr">
        <is>
          <t>Freestyle Wave</t>
        </is>
      </c>
      <c r="D446" s="3" t="inlineStr"/>
      <c r="E446" t="inlineStr"/>
      <c r="F446" s="4" t="n">
        <v>720</v>
      </c>
      <c r="G446" t="inlineStr">
        <is>
          <t>VB</t>
        </is>
      </c>
      <c r="H446" t="inlineStr">
        <is>
          <t>87549 Bayern - Rettenberg</t>
        </is>
      </c>
      <c r="I446" s="5" t="n">
        <v>45556</v>
      </c>
      <c r="J446" t="inlineStr"/>
      <c r="K446" s="6">
        <f>HYPERLINK("https://www.kleinanzeigen.de/s-anzeige/rrd-freestyle-wave-96-lte-v5-windsurfboard/2869898639-230-5531", "Link")</f>
        <v/>
      </c>
      <c r="L446" s="6">
        <f>HYPERLINK("C:\Projects\Kleinanzeigen-Scraper\offer_images\2869898639", "Link")</f>
        <v/>
      </c>
      <c r="M446" t="inlineStr">
        <is>
          <t>Marc</t>
        </is>
      </c>
      <c r="N446" s="6">
        <f>HYPERLINK("https://www.kleinanzeigen.de/s-bestandsliste.html?userId=11413798", "Link")</f>
        <v/>
      </c>
      <c r="O446" s="7" t="n">
        <v>45556.94229166667</v>
      </c>
      <c r="P446" s="3" t="inlineStr">
        <is>
          <t>114.30</t>
        </is>
      </c>
      <c r="Q446" t="inlineStr">
        <is>
          <t>München</t>
        </is>
      </c>
    </row>
    <row r="447">
      <c r="A447" t="inlineStr"/>
      <c r="B447" t="inlineStr">
        <is>
          <t>Tabou Rocket</t>
        </is>
      </c>
      <c r="C447" t="inlineStr">
        <is>
          <t>Freeride</t>
        </is>
      </c>
      <c r="D447" s="3" t="n">
        <v>123</v>
      </c>
      <c r="E447" t="inlineStr">
        <is>
          <t>2021/2022</t>
        </is>
      </c>
      <c r="F447" s="4" t="n">
        <v>950</v>
      </c>
      <c r="G447" t="inlineStr"/>
      <c r="H447" t="inlineStr">
        <is>
          <t>31535 Niedersachsen - Neustadt am Rübenberge</t>
        </is>
      </c>
      <c r="I447" s="5" t="n">
        <v>45555</v>
      </c>
      <c r="J447" t="inlineStr">
        <is>
          <t>Sold</t>
        </is>
      </c>
      <c r="K447" s="6">
        <f>HYPERLINK("https://www.kleinanzeigen.de/s-anzeige/tabou-rocket-123l-team-edition/2869169941-230-2912", "Link")</f>
        <v/>
      </c>
      <c r="L447" s="6">
        <f>HYPERLINK("C:\Projects\Kleinanzeigen-Scraper\offer_images\2869169941", "Link")</f>
        <v/>
      </c>
      <c r="M447" t="inlineStr">
        <is>
          <t>Helmut Kinzel</t>
        </is>
      </c>
      <c r="N447" s="6">
        <f>HYPERLINK("https://www.kleinanzeigen.de/s-bestandsliste.html?userId=1951583", "Link")</f>
        <v/>
      </c>
      <c r="O447" s="7" t="n">
        <v>45556.94215277778</v>
      </c>
      <c r="P447" s="3" t="inlineStr">
        <is>
          <t>248.74</t>
        </is>
      </c>
      <c r="Q447" t="inlineStr">
        <is>
          <t>Köln</t>
        </is>
      </c>
    </row>
    <row r="448">
      <c r="A448" t="inlineStr">
        <is>
          <t>284x63</t>
        </is>
      </c>
      <c r="B448" t="inlineStr">
        <is>
          <t>Fanatic Bee</t>
        </is>
      </c>
      <c r="C448" t="inlineStr"/>
      <c r="D448" s="3" t="n">
        <v>124</v>
      </c>
      <c r="E448" t="inlineStr"/>
      <c r="F448" s="4" t="n">
        <v>190</v>
      </c>
      <c r="G448" t="inlineStr">
        <is>
          <t>VB</t>
        </is>
      </c>
      <c r="H448" t="inlineStr">
        <is>
          <t>85417 Bayern - Marzling</t>
        </is>
      </c>
      <c r="I448" s="5" t="n">
        <v>45556</v>
      </c>
      <c r="J448" t="inlineStr">
        <is>
          <t>Sold</t>
        </is>
      </c>
      <c r="K448" s="6">
        <f>HYPERLINK("https://www.kleinanzeigen.de/s-anzeige/fanatic-bee-ltd-124l-284x63cm-/2870145529-230-6263", "Link")</f>
        <v/>
      </c>
      <c r="L448" s="6">
        <f>HYPERLINK("C:\Projects\Kleinanzeigen-Scraper\offer_images\2870145529", "Link")</f>
        <v/>
      </c>
      <c r="M448" t="inlineStr">
        <is>
          <t>Monika und Dragan</t>
        </is>
      </c>
      <c r="N448" s="6">
        <f>HYPERLINK("https://www.kleinanzeigen.de/s-bestandsliste.html?userId=22990217", "Link")</f>
        <v/>
      </c>
      <c r="O448" s="7" t="n">
        <v>45556.9419212963</v>
      </c>
      <c r="P448" s="3" t="inlineStr">
        <is>
          <t>34.58</t>
        </is>
      </c>
      <c r="Q448" t="inlineStr">
        <is>
          <t>München</t>
        </is>
      </c>
    </row>
    <row r="449">
      <c r="A449" t="inlineStr">
        <is>
          <t>10'8" x 35" x 6" / 325 x 89 x 15 cm</t>
        </is>
      </c>
      <c r="B449" t="inlineStr">
        <is>
          <t>RRD Airfit V1</t>
        </is>
      </c>
      <c r="C449" t="inlineStr">
        <is>
          <t>Fitness &amp; Yoga</t>
        </is>
      </c>
      <c r="D449" s="3" t="n">
        <v>340</v>
      </c>
      <c r="E449" t="inlineStr"/>
      <c r="F449" s="4" t="n">
        <v>720</v>
      </c>
      <c r="G449" t="inlineStr"/>
      <c r="H449" t="inlineStr">
        <is>
          <t>20259 Eimsbüttel - Hamburg Eimsbüttel (Stadtteil)</t>
        </is>
      </c>
      <c r="I449" s="5" t="n">
        <v>45523</v>
      </c>
      <c r="J449" t="inlineStr"/>
      <c r="K449" s="6">
        <f>HYPERLINK("https://www.kleinanzeigen.de/s-anzeige/sup-board-rrd-airfit-fitness-yoga-aufblasbar/2841341877-230-9427", "Link")</f>
        <v/>
      </c>
      <c r="L449" s="6">
        <f>HYPERLINK("C:\Projects\Kleinanzeigen-Scraper\offer_images\2841341877", "Link")</f>
        <v/>
      </c>
      <c r="M449" t="inlineStr">
        <is>
          <t>Matthias</t>
        </is>
      </c>
      <c r="N449" s="6">
        <f>HYPERLINK("https://www.kleinanzeigen.de/s-bestandsliste.html?userId=7929043", "Link")</f>
        <v/>
      </c>
      <c r="O449" s="7" t="n">
        <v>45556.94184027778</v>
      </c>
      <c r="P449" s="3" t="inlineStr">
        <is>
          <t>356.92</t>
        </is>
      </c>
      <c r="Q449" t="inlineStr">
        <is>
          <t>Köln</t>
        </is>
      </c>
    </row>
    <row r="450">
      <c r="A450" t="inlineStr"/>
      <c r="B450" t="inlineStr">
        <is>
          <t>Tabou 3S</t>
        </is>
      </c>
      <c r="C450" t="inlineStr">
        <is>
          <t>Freestyle</t>
        </is>
      </c>
      <c r="D450" s="3" t="n">
        <v>106</v>
      </c>
      <c r="E450" t="inlineStr"/>
      <c r="F450" s="4" t="n">
        <v>850</v>
      </c>
      <c r="G450" t="inlineStr">
        <is>
          <t>VB</t>
        </is>
      </c>
      <c r="H450" t="inlineStr">
        <is>
          <t>17207 Müritz - Landkreis - Röbel</t>
        </is>
      </c>
      <c r="I450" s="5" t="n">
        <v>45545</v>
      </c>
      <c r="J450" t="inlineStr">
        <is>
          <t>Sold</t>
        </is>
      </c>
      <c r="K450" s="6">
        <f>HYPERLINK("https://www.kleinanzeigen.de/s-anzeige/tabou-3s-board/2859722526-230-78", "Link")</f>
        <v/>
      </c>
      <c r="L450" s="6">
        <f>HYPERLINK("C:\Projects\Kleinanzeigen-Scraper\offer_images\2859722526", "Link")</f>
        <v/>
      </c>
      <c r="M450" t="inlineStr">
        <is>
          <t>Ralf</t>
        </is>
      </c>
      <c r="N450" s="6">
        <f>HYPERLINK("https://www.kleinanzeigen.de/s-bestandsliste.html?userId=15085176", "Link")</f>
        <v/>
      </c>
      <c r="O450" s="7" t="n">
        <v>45556.94177083333</v>
      </c>
      <c r="P450" s="3" t="inlineStr">
        <is>
          <t>470.71</t>
        </is>
      </c>
      <c r="Q450" t="inlineStr">
        <is>
          <t>Köln</t>
        </is>
      </c>
    </row>
    <row r="451">
      <c r="A451" t="inlineStr"/>
      <c r="B451" t="inlineStr">
        <is>
          <t>Tabou 3S Ltd</t>
        </is>
      </c>
      <c r="C451" t="inlineStr">
        <is>
          <t>Freeride</t>
        </is>
      </c>
      <c r="D451" s="3" t="n">
        <v>97</v>
      </c>
      <c r="E451" t="inlineStr"/>
      <c r="F451" s="4" t="n">
        <v>799</v>
      </c>
      <c r="G451" t="inlineStr"/>
      <c r="H451" t="inlineStr">
        <is>
          <t>24257 Schleswig-Holstein - Köhn</t>
        </is>
      </c>
      <c r="I451" s="5" t="n">
        <v>45546</v>
      </c>
      <c r="J451" t="inlineStr">
        <is>
          <t>Sold</t>
        </is>
      </c>
      <c r="K451" s="6">
        <f>HYPERLINK("https://www.kleinanzeigen.de/s-anzeige/tabou-3s-mit-97-liter-und-neuwertig/2859941569-230-27759", "Link")</f>
        <v/>
      </c>
      <c r="L451" s="6">
        <f>HYPERLINK("C:\Projects\Kleinanzeigen-Scraper\offer_images\2859941569", "Link")</f>
        <v/>
      </c>
      <c r="M451" t="inlineStr">
        <is>
          <t>M.Hardebusch</t>
        </is>
      </c>
      <c r="N451" s="6">
        <f>HYPERLINK("https://www.kleinanzeigen.de/s-bestandsliste.html?userId=4383097", "Link")</f>
        <v/>
      </c>
      <c r="O451" s="7" t="n">
        <v>45556.9416087963</v>
      </c>
      <c r="P451" s="3" t="inlineStr">
        <is>
          <t>448.33</t>
        </is>
      </c>
      <c r="Q451" t="inlineStr">
        <is>
          <t>Köln</t>
        </is>
      </c>
    </row>
    <row r="452">
      <c r="A452" t="inlineStr">
        <is>
          <t>230 x 44</t>
        </is>
      </c>
      <c r="B452" t="inlineStr">
        <is>
          <t>RRD Freestyle Wave</t>
        </is>
      </c>
      <c r="C452" t="inlineStr">
        <is>
          <t>Freestyle Wave</t>
        </is>
      </c>
      <c r="D452" s="3" t="n">
        <v>114</v>
      </c>
      <c r="E452" t="inlineStr">
        <is>
          <t>Y25</t>
        </is>
      </c>
      <c r="F452" s="4" t="n">
        <v>890</v>
      </c>
      <c r="G452" t="inlineStr">
        <is>
          <t>VB</t>
        </is>
      </c>
      <c r="H452" t="inlineStr">
        <is>
          <t>87549 Bayern - Rettenberg</t>
        </is>
      </c>
      <c r="I452" s="5" t="n">
        <v>45556</v>
      </c>
      <c r="J452" t="inlineStr"/>
      <c r="K452" s="6">
        <f>HYPERLINK("https://www.kleinanzeigen.de/s-anzeige/rrd-freestyle-wave-114-ltd-y25-windsurfboard/2869901453-230-5531", "Link")</f>
        <v/>
      </c>
      <c r="L452" s="6">
        <f>HYPERLINK("C:\Projects\Kleinanzeigen-Scraper\offer_images\2869901453", "Link")</f>
        <v/>
      </c>
      <c r="M452" t="inlineStr">
        <is>
          <t>Marc</t>
        </is>
      </c>
      <c r="N452" s="6">
        <f>HYPERLINK("https://www.kleinanzeigen.de/s-bestandsliste.html?userId=11413798", "Link")</f>
        <v/>
      </c>
      <c r="O452" s="7" t="n">
        <v>45556.9412962963</v>
      </c>
      <c r="P452" s="3" t="inlineStr">
        <is>
          <t>114.30</t>
        </is>
      </c>
      <c r="Q452" t="inlineStr">
        <is>
          <t>München</t>
        </is>
      </c>
    </row>
    <row r="453">
      <c r="A453" t="inlineStr">
        <is>
          <t>245 x 73</t>
        </is>
      </c>
      <c r="B453" t="inlineStr">
        <is>
          <t>Fanatic Shark</t>
        </is>
      </c>
      <c r="C453" t="inlineStr">
        <is>
          <t>Freeride</t>
        </is>
      </c>
      <c r="D453" s="3" t="n">
        <v>135</v>
      </c>
      <c r="E453" t="inlineStr"/>
      <c r="F453" s="4" t="n">
        <v>320</v>
      </c>
      <c r="G453" t="inlineStr">
        <is>
          <t>VB</t>
        </is>
      </c>
      <c r="H453" t="inlineStr">
        <is>
          <t>59423 Nordrhein-Westfalen - Unna</t>
        </is>
      </c>
      <c r="I453" s="5" t="n">
        <v>45556</v>
      </c>
      <c r="J453" t="inlineStr">
        <is>
          <t>Sold</t>
        </is>
      </c>
      <c r="K453" s="6">
        <f>HYPERLINK("https://www.kleinanzeigen.de/s-anzeige/fanatic-shark-surfboard-135-liter/2869818602-230-1838", "Link")</f>
        <v/>
      </c>
      <c r="L453" s="6">
        <f>HYPERLINK("C:\Projects\Kleinanzeigen-Scraper\offer_images\2869818602", "Link")</f>
        <v/>
      </c>
      <c r="M453" t="inlineStr">
        <is>
          <t>Dirk</t>
        </is>
      </c>
      <c r="N453" s="6">
        <f>HYPERLINK("https://www.kleinanzeigen.de/s-bestandsliste.html?userId=28506989", "Link")</f>
        <v/>
      </c>
      <c r="O453" s="7" t="n">
        <v>45556.94074074074</v>
      </c>
      <c r="P453" s="3" t="inlineStr">
        <is>
          <t>83.73</t>
        </is>
      </c>
      <c r="Q453" t="inlineStr">
        <is>
          <t>Köln</t>
        </is>
      </c>
    </row>
    <row r="454">
      <c r="A454" t="inlineStr"/>
      <c r="B454" t="inlineStr">
        <is>
          <t>Starboard Formula</t>
        </is>
      </c>
      <c r="C454" t="inlineStr">
        <is>
          <t>Formula</t>
        </is>
      </c>
      <c r="D454" s="3" t="n">
        <v>162</v>
      </c>
      <c r="E454" t="inlineStr"/>
      <c r="F454" s="4" t="n">
        <v>400</v>
      </c>
      <c r="G454" t="inlineStr">
        <is>
          <t>VB</t>
        </is>
      </c>
      <c r="H454" t="inlineStr">
        <is>
          <t>30900 Niedersachsen - Wedemark</t>
        </is>
      </c>
      <c r="I454" s="5" t="n">
        <v>45556</v>
      </c>
      <c r="J454" t="inlineStr"/>
      <c r="K454" s="6">
        <f>HYPERLINK("https://www.kleinanzeigen.de/s-anzeige/starboard-formula-gaastra-vapor-12qm-gabelbaum/2869896524-230-2918", "Link")</f>
        <v/>
      </c>
      <c r="L454" s="6">
        <f>HYPERLINK("C:\Projects\Kleinanzeigen-Scraper\offer_images\2869896524", "Link")</f>
        <v/>
      </c>
      <c r="M454" t="inlineStr">
        <is>
          <t>Matthias</t>
        </is>
      </c>
      <c r="N454" s="6">
        <f>HYPERLINK("https://www.kleinanzeigen.de/s-bestandsliste.html?userId=10542032", "Link")</f>
        <v/>
      </c>
      <c r="O454" s="7" t="n">
        <v>45556.94055555556</v>
      </c>
      <c r="P454" s="3" t="inlineStr">
        <is>
          <t>260.77</t>
        </is>
      </c>
      <c r="Q454" t="inlineStr">
        <is>
          <t>Köln</t>
        </is>
      </c>
    </row>
    <row r="455">
      <c r="A455" t="inlineStr">
        <is>
          <t>175cm x 76cm</t>
        </is>
      </c>
      <c r="B455" t="inlineStr">
        <is>
          <t>RRD Beluga</t>
        </is>
      </c>
      <c r="C455" t="inlineStr">
        <is>
          <t>Foilboard</t>
        </is>
      </c>
      <c r="D455" s="3" t="n">
        <v>125</v>
      </c>
      <c r="E455" t="inlineStr"/>
      <c r="F455" s="4" t="n">
        <v>999</v>
      </c>
      <c r="G455" t="inlineStr"/>
      <c r="H455" t="inlineStr">
        <is>
          <t>74626 Baden-Württemberg - Bretzfeld</t>
        </is>
      </c>
      <c r="I455" s="5" t="n">
        <v>45522</v>
      </c>
      <c r="J455" t="inlineStr">
        <is>
          <t>Sold</t>
        </is>
      </c>
      <c r="K455" s="6">
        <f>HYPERLINK("https://www.kleinanzeigen.de/s-anzeige/foilboard-rrd-beluga-175lte-ak-treck-foil-2000/2840168643-230-8375", "Link")</f>
        <v/>
      </c>
      <c r="L455" s="6">
        <f>HYPERLINK("C:\Projects\Kleinanzeigen-Scraper\offer_images\2840168643", "Link")</f>
        <v/>
      </c>
      <c r="M455" t="inlineStr">
        <is>
          <t>Richie</t>
        </is>
      </c>
      <c r="N455" s="6">
        <f>HYPERLINK("https://www.kleinanzeigen.de/s-bestandsliste.html?userId=142401648", "Link")</f>
        <v/>
      </c>
      <c r="O455" s="7" t="n">
        <v>45556.94034722223</v>
      </c>
      <c r="P455" s="3" t="inlineStr">
        <is>
          <t>64.42</t>
        </is>
      </c>
      <c r="Q455" t="inlineStr">
        <is>
          <t>Böblingen</t>
        </is>
      </c>
    </row>
    <row r="456">
      <c r="A456" t="inlineStr">
        <is>
          <t>245 cm x 63 cm</t>
        </is>
      </c>
      <c r="B456" t="inlineStr">
        <is>
          <t>Fanatic SHARK</t>
        </is>
      </c>
      <c r="C456" t="inlineStr">
        <is>
          <t>Freeride</t>
        </is>
      </c>
      <c r="D456" s="3" t="n">
        <v>100</v>
      </c>
      <c r="E456" t="inlineStr"/>
      <c r="F456" s="4" t="n">
        <v>222</v>
      </c>
      <c r="G456" t="inlineStr">
        <is>
          <t>VB</t>
        </is>
      </c>
      <c r="H456" t="inlineStr">
        <is>
          <t>23909 Herzogtum Lauenburg - Ratzeburg</t>
        </is>
      </c>
      <c r="I456" s="5" t="n">
        <v>45556</v>
      </c>
      <c r="J456" t="inlineStr">
        <is>
          <t>Sold</t>
        </is>
      </c>
      <c r="K456" s="6">
        <f>HYPERLINK("https://www.kleinanzeigen.de/s-anzeige/fanatic-shark-100-top-freerider-mit-100-l/2869596327-230-811", "Link")</f>
        <v/>
      </c>
      <c r="L456" s="6">
        <f>HYPERLINK("C:\Projects\Kleinanzeigen-Scraper\offer_images\2869596327", "Link")</f>
        <v/>
      </c>
      <c r="M456" t="inlineStr">
        <is>
          <t>Silvia S.</t>
        </is>
      </c>
      <c r="N456" s="6">
        <f>HYPERLINK("https://www.kleinanzeigen.de/s-bestandsliste.html?userId=86555296", "Link")</f>
        <v/>
      </c>
      <c r="O456" s="7" t="n">
        <v>45556.94025462963</v>
      </c>
      <c r="P456" s="3" t="inlineStr">
        <is>
          <t>401.75</t>
        </is>
      </c>
      <c r="Q456" t="inlineStr">
        <is>
          <t>Köln</t>
        </is>
      </c>
    </row>
    <row r="457">
      <c r="A457" t="inlineStr"/>
      <c r="B457" t="inlineStr">
        <is>
          <t>Tabou / F2 / Angulo</t>
        </is>
      </c>
      <c r="C457" t="inlineStr"/>
      <c r="D457" s="3" t="inlineStr"/>
      <c r="E457" t="inlineStr"/>
      <c r="F457" s="4" t="n">
        <v>1</v>
      </c>
      <c r="G457" t="inlineStr">
        <is>
          <t>VB</t>
        </is>
      </c>
      <c r="H457" t="inlineStr">
        <is>
          <t>59505 Nordrhein-Westfalen - Bad Sassendorf</t>
        </is>
      </c>
      <c r="I457" s="5" t="n">
        <v>45556</v>
      </c>
      <c r="J457" t="inlineStr"/>
      <c r="K457" s="6">
        <f>HYPERLINK("https://www.kleinanzeigen.de/s-anzeige/windsurfboard-tabou-f2-angulo/2870073732-230-1453", "Link")</f>
        <v/>
      </c>
      <c r="L457" s="6">
        <f>HYPERLINK("C:\Projects\Kleinanzeigen-Scraper\offer_images\2870073732", "Link")</f>
        <v/>
      </c>
      <c r="M457" t="inlineStr">
        <is>
          <t>Fred</t>
        </is>
      </c>
      <c r="N457" s="6">
        <f>HYPERLINK("https://www.kleinanzeigen.de/s-bestandsliste.html?userId=131522303", "Link")</f>
        <v/>
      </c>
      <c r="O457" s="7" t="n">
        <v>45556.93989583333</v>
      </c>
      <c r="P457" s="3" t="inlineStr">
        <is>
          <t>111.08</t>
        </is>
      </c>
      <c r="Q457" t="inlineStr">
        <is>
          <t>Köln</t>
        </is>
      </c>
    </row>
    <row r="458">
      <c r="A458" t="inlineStr">
        <is>
          <t>Dimensions not specified</t>
        </is>
      </c>
      <c r="B458" t="inlineStr">
        <is>
          <t>RRD FireRide LTE V2</t>
        </is>
      </c>
      <c r="C458" t="inlineStr">
        <is>
          <t>Freeride</t>
        </is>
      </c>
      <c r="D458" s="3" t="n">
        <v>125</v>
      </c>
      <c r="E458" t="inlineStr">
        <is>
          <t>2019</t>
        </is>
      </c>
      <c r="F458" s="4" t="n">
        <v>690</v>
      </c>
      <c r="G458" t="inlineStr">
        <is>
          <t>VB</t>
        </is>
      </c>
      <c r="H458" t="inlineStr">
        <is>
          <t>76185 Baden-Württemberg - Karlsruhe</t>
        </is>
      </c>
      <c r="I458" s="5" t="n">
        <v>45556</v>
      </c>
      <c r="J458" t="inlineStr"/>
      <c r="K458" s="6">
        <f>HYPERLINK("https://www.kleinanzeigen.de/s-anzeige/rrd-fireride-lte-v2-125-2019-mit-foilbox/2869525130-230-9187", "Link")</f>
        <v/>
      </c>
      <c r="L458" s="6">
        <f>HYPERLINK("C:\Projects\Kleinanzeigen-Scraper\offer_images\2869525130", "Link")</f>
        <v/>
      </c>
      <c r="M458" t="inlineStr">
        <is>
          <t>Goetz</t>
        </is>
      </c>
      <c r="N458" s="6">
        <f>HYPERLINK("https://www.kleinanzeigen.de/s-bestandsliste.html?userId=13509738", "Link")</f>
        <v/>
      </c>
      <c r="O458" s="7" t="n">
        <v>45556.93947916666</v>
      </c>
      <c r="P458" s="3" t="inlineStr">
        <is>
          <t>3.01</t>
        </is>
      </c>
      <c r="Q458" t="inlineStr">
        <is>
          <t>Karlsruhe</t>
        </is>
      </c>
    </row>
    <row r="459">
      <c r="A459" t="inlineStr">
        <is>
          <t>209cm x 76cm</t>
        </is>
      </c>
      <c r="B459" t="inlineStr">
        <is>
          <t>Starboard</t>
        </is>
      </c>
      <c r="C459" t="inlineStr">
        <is>
          <t>Freeride</t>
        </is>
      </c>
      <c r="D459" s="3" t="n">
        <v>125</v>
      </c>
      <c r="E459" t="inlineStr"/>
      <c r="F459" s="4" t="n">
        <v>600</v>
      </c>
      <c r="G459" t="inlineStr">
        <is>
          <t>VB</t>
        </is>
      </c>
      <c r="H459" t="inlineStr">
        <is>
          <t>12203 Berlin - Steglitz</t>
        </is>
      </c>
      <c r="I459" s="5" t="n">
        <v>45556</v>
      </c>
      <c r="J459" t="inlineStr"/>
      <c r="K459" s="6">
        <f>HYPERLINK("https://www.kleinanzeigen.de/s-anzeige/starboard-freeride-125l-foilboard-kein-fnatic-jp-severne/2869404481-230-3416", "Link")</f>
        <v/>
      </c>
      <c r="L459" s="6">
        <f>HYPERLINK("C:\Projects\Kleinanzeigen-Scraper\offer_images\2869404481", "Link")</f>
        <v/>
      </c>
      <c r="M459" t="inlineStr">
        <is>
          <t>Viktor Brandt</t>
        </is>
      </c>
      <c r="N459" s="6">
        <f>HYPERLINK("https://www.kleinanzeigen.de/s-bestandsliste.html?userId=68128218", "Link")</f>
        <v/>
      </c>
      <c r="O459" s="7" t="n">
        <v>45556.939375</v>
      </c>
      <c r="P459" s="3" t="inlineStr">
        <is>
          <t>468.79</t>
        </is>
      </c>
      <c r="Q459" t="inlineStr">
        <is>
          <t>Köln</t>
        </is>
      </c>
    </row>
    <row r="460">
      <c r="A460" t="inlineStr">
        <is>
          <t xml:space="preserve">Dimensions </t>
        </is>
      </c>
      <c r="B460" t="inlineStr">
        <is>
          <t>Tabou 3S LTD</t>
        </is>
      </c>
      <c r="C460" t="inlineStr">
        <is>
          <t>Freemove</t>
        </is>
      </c>
      <c r="D460" s="3" t="n">
        <v>115</v>
      </c>
      <c r="E460" t="inlineStr"/>
      <c r="F460" s="4" t="n">
        <v>499</v>
      </c>
      <c r="G460" t="inlineStr"/>
      <c r="H460" t="inlineStr">
        <is>
          <t>36399 Hessen - Freiensteinau</t>
        </is>
      </c>
      <c r="I460" s="5" t="n">
        <v>45556</v>
      </c>
      <c r="J460" t="inlineStr"/>
      <c r="K460" s="6">
        <f>HYPERLINK("https://www.kleinanzeigen.de/s-anzeige/tabou-3s-ltd-115-freemove/2869898790-230-4601", "Link")</f>
        <v/>
      </c>
      <c r="L460" s="6">
        <f>HYPERLINK("C:\Projects\Kleinanzeigen-Scraper\offer_images\2869898790", "Link")</f>
        <v/>
      </c>
      <c r="M460" t="inlineStr">
        <is>
          <t>Surfsport Vogelsberg</t>
        </is>
      </c>
      <c r="N460" s="6">
        <f>HYPERLINK("https://www.kleinanzeigen.de/s-bestandsliste.html?userId=135179091", "Link")</f>
        <v/>
      </c>
      <c r="O460" s="7" t="n">
        <v>45556.93923611111</v>
      </c>
      <c r="P460" s="3" t="inlineStr">
        <is>
          <t>173.52</t>
        </is>
      </c>
      <c r="Q460" t="inlineStr">
        <is>
          <t>Karlsruhe</t>
        </is>
      </c>
    </row>
    <row r="461">
      <c r="A461" t="inlineStr">
        <is>
          <t>10'4 x 33'' x 5.5''</t>
        </is>
      </c>
      <c r="B461" t="inlineStr">
        <is>
          <t>Fanatic Fly Air Premium</t>
        </is>
      </c>
      <c r="C461" t="inlineStr"/>
      <c r="D461" s="3" t="inlineStr"/>
      <c r="E461" t="inlineStr"/>
      <c r="F461" s="4" t="n">
        <v>450</v>
      </c>
      <c r="G461" t="inlineStr">
        <is>
          <t>VB</t>
        </is>
      </c>
      <c r="H461" t="inlineStr">
        <is>
          <t>79111 Baden-Württemberg - Freiburg im Breisgau</t>
        </is>
      </c>
      <c r="I461" s="5" t="n">
        <v>45550</v>
      </c>
      <c r="J461" t="inlineStr">
        <is>
          <t>Sold</t>
        </is>
      </c>
      <c r="K461" s="6">
        <f>HYPERLINK("https://www.kleinanzeigen.de/s-anzeige/sup-stand-up-paddle-board-fanatic-fly-air-premium-10-4/2864950957-230-9361", "Link")</f>
        <v/>
      </c>
      <c r="L461" s="6">
        <f>HYPERLINK("C:\Projects\Kleinanzeigen-Scraper\offer_images\2864950957", "Link")</f>
        <v/>
      </c>
      <c r="M461" t="inlineStr">
        <is>
          <t>Sanja</t>
        </is>
      </c>
      <c r="N461" s="6">
        <f>HYPERLINK("https://www.kleinanzeigen.de/s-bestandsliste.html?userId=43836332", "Link")</f>
        <v/>
      </c>
      <c r="O461" s="7" t="n">
        <v>45556.93871527778</v>
      </c>
      <c r="P461" s="3" t="inlineStr">
        <is>
          <t>46.18</t>
        </is>
      </c>
      <c r="Q461" t="inlineStr">
        <is>
          <t>Bonndorf</t>
        </is>
      </c>
    </row>
    <row r="462">
      <c r="A462" t="inlineStr"/>
      <c r="B462" t="inlineStr">
        <is>
          <t>RRD Freestyle Wave LTD</t>
        </is>
      </c>
      <c r="C462" t="inlineStr">
        <is>
          <t>Freestyle Wave</t>
        </is>
      </c>
      <c r="D462" s="3" t="n">
        <v>91</v>
      </c>
      <c r="E462" t="inlineStr"/>
      <c r="F462" s="4" t="n">
        <v>300</v>
      </c>
      <c r="G462" t="inlineStr">
        <is>
          <t>VB</t>
        </is>
      </c>
      <c r="H462" t="inlineStr">
        <is>
          <t>18057 Rostock - Kröpeliner-Tor-Vorstadt</t>
        </is>
      </c>
      <c r="I462" s="5" t="n">
        <v>45522</v>
      </c>
      <c r="J462" t="inlineStr"/>
      <c r="K462" s="6">
        <f>HYPERLINK("https://www.kleinanzeigen.de/s-anzeige/rrd-freestyle-wave-ltd-91l-windsurfboard-surfbrett/2839840354-230-156", "Link")</f>
        <v/>
      </c>
      <c r="L462" s="6">
        <f>HYPERLINK("C:\Projects\Kleinanzeigen-Scraper\offer_images\2839840354", "Link")</f>
        <v/>
      </c>
      <c r="M462" t="inlineStr">
        <is>
          <t>Niklas</t>
        </is>
      </c>
      <c r="N462" s="6">
        <f>HYPERLINK("https://www.kleinanzeigen.de/s-bestandsliste.html?userId=49878948", "Link")</f>
        <v/>
      </c>
      <c r="O462" s="7" t="n">
        <v>45556.93864583333</v>
      </c>
      <c r="P462" s="3" t="inlineStr">
        <is>
          <t>494.07</t>
        </is>
      </c>
      <c r="Q462" t="inlineStr">
        <is>
          <t>Köln</t>
        </is>
      </c>
    </row>
    <row r="463">
      <c r="A463" t="inlineStr">
        <is>
          <t>85</t>
        </is>
      </c>
      <c r="B463" t="inlineStr">
        <is>
          <t>Fanatic Freewave</t>
        </is>
      </c>
      <c r="C463" t="inlineStr">
        <is>
          <t>Freeride</t>
        </is>
      </c>
      <c r="D463" s="3" t="inlineStr"/>
      <c r="E463" t="inlineStr">
        <is>
          <t>2023</t>
        </is>
      </c>
      <c r="F463" s="4" t="n">
        <v>1.6</v>
      </c>
      <c r="G463" t="inlineStr">
        <is>
          <t>VB</t>
        </is>
      </c>
      <c r="H463" t="inlineStr">
        <is>
          <t>22453 Eimsbüttel - Hamburg Niendorf</t>
        </is>
      </c>
      <c r="I463" s="5" t="n">
        <v>45555</v>
      </c>
      <c r="J463" t="inlineStr"/>
      <c r="K463" s="6">
        <f>HYPERLINK("https://www.kleinanzeigen.de/s-anzeige/2023-fanatic-freewave-85-te-duotone-sls-/2868925052-230-9493", "Link")</f>
        <v/>
      </c>
      <c r="L463" s="6">
        <f>HYPERLINK("C:\Projects\Kleinanzeigen-Scraper\offer_images\2868925052", "Link")</f>
        <v/>
      </c>
      <c r="M463" t="inlineStr">
        <is>
          <t>f bauer</t>
        </is>
      </c>
      <c r="N463" s="6">
        <f>HYPERLINK("https://www.kleinanzeigen.de/s-bestandsliste.html?userId=10176911", "Link")</f>
        <v/>
      </c>
      <c r="O463" s="7" t="n">
        <v>45556.93862268519</v>
      </c>
      <c r="P463" s="3" t="inlineStr">
        <is>
          <t>361.03</t>
        </is>
      </c>
      <c r="Q463" t="inlineStr">
        <is>
          <t>Köln</t>
        </is>
      </c>
    </row>
    <row r="464">
      <c r="A464" t="inlineStr"/>
      <c r="B464" t="inlineStr">
        <is>
          <t>Naish</t>
        </is>
      </c>
      <c r="C464" t="inlineStr"/>
      <c r="D464" s="3" t="n">
        <v>250</v>
      </c>
      <c r="E464" t="inlineStr"/>
      <c r="F464" s="4" t="inlineStr">
        <is>
          <t>Zu verschenken</t>
        </is>
      </c>
      <c r="G464" t="inlineStr"/>
      <c r="H464" t="inlineStr">
        <is>
          <t>17033 Mecklenburg-Vorpommern - Neubrandenburg</t>
        </is>
      </c>
      <c r="I464" s="5" t="n">
        <v>45556</v>
      </c>
      <c r="J464" t="inlineStr">
        <is>
          <t>Sold</t>
        </is>
      </c>
      <c r="K464" s="6">
        <f>HYPERLINK("https://www.kleinanzeigen.de/s-anzeige/naish-kailua-sup-bzw-windsurftet/2869738506-230-253", "Link")</f>
        <v/>
      </c>
      <c r="L464" s="6">
        <f>HYPERLINK("C:\Projects\Kleinanzeigen-Scraper\offer_images\2869738506", "Link")</f>
        <v/>
      </c>
      <c r="M464" t="inlineStr">
        <is>
          <t>Frank</t>
        </is>
      </c>
      <c r="N464" s="6">
        <f>HYPERLINK("https://www.kleinanzeigen.de/s-bestandsliste.html?userId=14559309", "Link")</f>
        <v/>
      </c>
      <c r="O464" s="7" t="n">
        <v>45556.93855324074</v>
      </c>
      <c r="P464" s="3" t="inlineStr">
        <is>
          <t>517.16</t>
        </is>
      </c>
      <c r="Q464" t="inlineStr">
        <is>
          <t>Köln</t>
        </is>
      </c>
    </row>
    <row r="465">
      <c r="A465" t="inlineStr"/>
      <c r="B465" t="inlineStr">
        <is>
          <t>Tabou DaCurve</t>
        </is>
      </c>
      <c r="C465" t="inlineStr">
        <is>
          <t>Freestyle</t>
        </is>
      </c>
      <c r="D465" s="3" t="n">
        <v>74</v>
      </c>
      <c r="E465" t="inlineStr"/>
      <c r="F465" s="4" t="n">
        <v>250</v>
      </c>
      <c r="G465" t="inlineStr">
        <is>
          <t>VB</t>
        </is>
      </c>
      <c r="H465" t="inlineStr">
        <is>
          <t>71384 Baden-Württemberg - Weinstadt</t>
        </is>
      </c>
      <c r="I465" s="5" t="n">
        <v>45545</v>
      </c>
      <c r="J465" t="inlineStr">
        <is>
          <t>Sold</t>
        </is>
      </c>
      <c r="K465" s="6">
        <f>HYPERLINK("https://www.kleinanzeigen.de/s-anzeige/tabou-dacurve-da-curve-74-liter-quatro-finns/2859679036-230-8386", "Link")</f>
        <v/>
      </c>
      <c r="L465" s="6">
        <f>HYPERLINK("C:\Projects\Kleinanzeigen-Scraper\offer_images\2859679036", "Link")</f>
        <v/>
      </c>
      <c r="M465" t="inlineStr">
        <is>
          <t>Frank</t>
        </is>
      </c>
      <c r="N465" s="6">
        <f>HYPERLINK("https://www.kleinanzeigen.de/s-bestandsliste.html?userId=5342134", "Link")</f>
        <v/>
      </c>
      <c r="O465" s="7" t="n">
        <v>45556.93784722222</v>
      </c>
      <c r="P465" s="3" t="inlineStr">
        <is>
          <t>33.53</t>
        </is>
      </c>
      <c r="Q465" t="inlineStr">
        <is>
          <t>Böblingen</t>
        </is>
      </c>
    </row>
    <row r="466">
      <c r="A466" t="inlineStr">
        <is>
          <t>292cm x 79cm</t>
        </is>
      </c>
      <c r="B466" t="inlineStr">
        <is>
          <t>BIC Techno 293</t>
        </is>
      </c>
      <c r="C466" t="inlineStr">
        <is>
          <t>Twin Fin</t>
        </is>
      </c>
      <c r="D466" s="3" t="n">
        <v>205</v>
      </c>
      <c r="E466" t="inlineStr"/>
      <c r="F466" s="4" t="n">
        <v>250</v>
      </c>
      <c r="G466" t="inlineStr">
        <is>
          <t>VB</t>
        </is>
      </c>
      <c r="H466" t="inlineStr">
        <is>
          <t>95119 Bayern - Naila</t>
        </is>
      </c>
      <c r="I466" s="5" t="n">
        <v>45556</v>
      </c>
      <c r="J466" t="inlineStr">
        <is>
          <t>Sold</t>
        </is>
      </c>
      <c r="K466" s="6">
        <f>HYPERLINK("https://www.kleinanzeigen.de/s-anzeige/bic-techno-293-windsurf-board-twin-fin/2869955942-230-7227", "Link")</f>
        <v/>
      </c>
      <c r="L466" s="6">
        <f>HYPERLINK("C:\Projects\Kleinanzeigen-Scraper\offer_images\2869955942", "Link")</f>
        <v/>
      </c>
      <c r="M466" t="inlineStr">
        <is>
          <t>Uli</t>
        </is>
      </c>
      <c r="N466" s="6">
        <f>HYPERLINK("https://www.kleinanzeigen.de/s-bestandsliste.html?userId=9697657", "Link")</f>
        <v/>
      </c>
      <c r="O466" s="7" t="n">
        <v>45556.93770833333</v>
      </c>
      <c r="P466" s="3" t="inlineStr">
        <is>
          <t>244.09</t>
        </is>
      </c>
      <c r="Q466" t="inlineStr">
        <is>
          <t>München</t>
        </is>
      </c>
    </row>
    <row r="467">
      <c r="A467" t="inlineStr">
        <is>
          <t>207 x 85 cm</t>
        </is>
      </c>
      <c r="B467" t="inlineStr">
        <is>
          <t>Starboard Foil Freeride Starlite Carbon</t>
        </is>
      </c>
      <c r="C467" t="inlineStr">
        <is>
          <t>Freeride</t>
        </is>
      </c>
      <c r="D467" s="3" t="n">
        <v>150</v>
      </c>
      <c r="E467" t="inlineStr">
        <is>
          <t>2023</t>
        </is>
      </c>
      <c r="F467" s="4" t="n">
        <v>800</v>
      </c>
      <c r="G467" t="inlineStr">
        <is>
          <t>VB</t>
        </is>
      </c>
      <c r="H467" t="inlineStr">
        <is>
          <t>24248 Schleswig-Holstein - Mönkeberg</t>
        </is>
      </c>
      <c r="I467" s="5" t="n">
        <v>45555</v>
      </c>
      <c r="J467" t="inlineStr"/>
      <c r="K467" s="6">
        <f>HYPERLINK("https://www.kleinanzeigen.de/s-anzeige/starboard-foil-freeride-starlite-carbon-150-2023/2869194042-230-666", "Link")</f>
        <v/>
      </c>
      <c r="L467" s="6">
        <f>HYPERLINK("C:\Projects\Kleinanzeigen-Scraper\offer_images\2869194042", "Link")</f>
        <v/>
      </c>
      <c r="M467" t="inlineStr">
        <is>
          <t>Olaf Köhler</t>
        </is>
      </c>
      <c r="N467" s="6">
        <f>HYPERLINK("https://www.kleinanzeigen.de/s-bestandsliste.html?userId=1030264", "Link")</f>
        <v/>
      </c>
      <c r="O467" s="7" t="n">
        <v>45556.93766203704</v>
      </c>
      <c r="P467" s="3" t="inlineStr">
        <is>
          <t>437.31</t>
        </is>
      </c>
      <c r="Q467" t="inlineStr">
        <is>
          <t>Köln</t>
        </is>
      </c>
    </row>
    <row r="468">
      <c r="A468" t="inlineStr">
        <is>
          <t>125</t>
        </is>
      </c>
      <c r="B468" t="inlineStr">
        <is>
          <t>Patrik F-Ride</t>
        </is>
      </c>
      <c r="C468" t="inlineStr">
        <is>
          <t>Foil Ready</t>
        </is>
      </c>
      <c r="D468" s="3" t="inlineStr"/>
      <c r="E468" t="inlineStr"/>
      <c r="F468" s="4" t="n">
        <v>700</v>
      </c>
      <c r="G468" t="inlineStr"/>
      <c r="H468" t="inlineStr">
        <is>
          <t>24105 Schleswig-Holstein - Kiel</t>
        </is>
      </c>
      <c r="I468" s="5" t="n">
        <v>45556</v>
      </c>
      <c r="J468" t="inlineStr">
        <is>
          <t>Sold</t>
        </is>
      </c>
      <c r="K468" s="6">
        <f>HYPERLINK("https://www.kleinanzeigen.de/s-anzeige/windsurf-board-patrik-f-ride-foil-ready/2869346817-230-708", "Link")</f>
        <v/>
      </c>
      <c r="L468" s="6">
        <f>HYPERLINK("C:\Projects\Kleinanzeigen-Scraper\offer_images\2869346817", "Link")</f>
        <v/>
      </c>
      <c r="M468" t="inlineStr">
        <is>
          <t>Hendrik</t>
        </is>
      </c>
      <c r="N468" s="6">
        <f>HYPERLINK("https://www.kleinanzeigen.de/s-bestandsliste.html?userId=19444237", "Link")</f>
        <v/>
      </c>
      <c r="O468" s="7" t="n">
        <v>45556.93756944445</v>
      </c>
      <c r="P468" s="3" t="inlineStr">
        <is>
          <t>435.05</t>
        </is>
      </c>
      <c r="Q468" t="inlineStr">
        <is>
          <t>Köln</t>
        </is>
      </c>
    </row>
    <row r="469">
      <c r="A469" t="inlineStr">
        <is>
          <t xml:space="preserve">Dimensions </t>
        </is>
      </c>
      <c r="B469" t="inlineStr">
        <is>
          <t>Rrd Freestylewave</t>
        </is>
      </c>
      <c r="C469" t="inlineStr">
        <is>
          <t>Freestyle Wave</t>
        </is>
      </c>
      <c r="D469" s="3" t="n">
        <v>85</v>
      </c>
      <c r="E469" t="inlineStr"/>
      <c r="F469" s="4" t="n">
        <v>85</v>
      </c>
      <c r="G469" t="inlineStr"/>
      <c r="H469" t="inlineStr">
        <is>
          <t>22880 Kreis Pinneberg - Wedel</t>
        </is>
      </c>
      <c r="I469" s="5" t="n">
        <v>45556</v>
      </c>
      <c r="J469" t="inlineStr"/>
      <c r="K469" s="6">
        <f>HYPERLINK("https://www.kleinanzeigen.de/s-anzeige/surfboard-surfbrett-rrd-freestylewave-85l-windsurfen-alround/2869974112-230-756", "Link")</f>
        <v/>
      </c>
      <c r="L469" s="6">
        <f>HYPERLINK("C:\Projects\Kleinanzeigen-Scraper\offer_images\2869974112", "Link")</f>
        <v/>
      </c>
      <c r="M469" t="inlineStr">
        <is>
          <t>Nicolas</t>
        </is>
      </c>
      <c r="N469" s="6">
        <f>HYPERLINK("https://www.kleinanzeigen.de/s-bestandsliste.html?userId=10623807", "Link")</f>
        <v/>
      </c>
      <c r="O469" s="7" t="n">
        <v>45556.93747685185</v>
      </c>
      <c r="P469" s="3" t="inlineStr">
        <is>
          <t>349.30</t>
        </is>
      </c>
      <c r="Q469" t="inlineStr">
        <is>
          <t>Köln</t>
        </is>
      </c>
    </row>
    <row r="470">
      <c r="A470" t="inlineStr"/>
      <c r="B470" t="inlineStr">
        <is>
          <t>RRD Freestyle Wave V2 Ltd</t>
        </is>
      </c>
      <c r="C470" t="inlineStr">
        <is>
          <t>Freestyle Wave</t>
        </is>
      </c>
      <c r="D470" s="3" t="n">
        <v>90</v>
      </c>
      <c r="E470" t="inlineStr"/>
      <c r="F470" s="4" t="n">
        <v>390</v>
      </c>
      <c r="G470" t="inlineStr">
        <is>
          <t>VB</t>
        </is>
      </c>
      <c r="H470" t="inlineStr">
        <is>
          <t>86399 Bayern - Bobingen</t>
        </is>
      </c>
      <c r="I470" s="5" t="n">
        <v>45523</v>
      </c>
      <c r="J470" t="inlineStr"/>
      <c r="K470" s="6">
        <f>HYPERLINK("https://www.kleinanzeigen.de/s-anzeige/rrd-fsw-freestyle-wave-90l-ltd-windsurfboard-windsurfbrett/2841065853-230-7129", "Link")</f>
        <v/>
      </c>
      <c r="L470" s="6">
        <f>HYPERLINK("C:\Projects\Kleinanzeigen-Scraper\offer_images\2841065853", "Link")</f>
        <v/>
      </c>
      <c r="M470" t="inlineStr">
        <is>
          <t>Alwin</t>
        </is>
      </c>
      <c r="N470" s="6">
        <f>HYPERLINK("https://www.kleinanzeigen.de/s-bestandsliste.html?userId=10369032", "Link")</f>
        <v/>
      </c>
      <c r="O470" s="7" t="n">
        <v>45556.93731481482</v>
      </c>
      <c r="P470" s="3" t="inlineStr">
        <is>
          <t>60.93</t>
        </is>
      </c>
      <c r="Q470" t="inlineStr">
        <is>
          <t>München</t>
        </is>
      </c>
    </row>
    <row r="471">
      <c r="A471" t="inlineStr"/>
      <c r="B471" t="inlineStr">
        <is>
          <t>Tabou 3Style</t>
        </is>
      </c>
      <c r="C471" t="inlineStr">
        <is>
          <t>Allrounder</t>
        </is>
      </c>
      <c r="D471" s="3" t="n">
        <v>86</v>
      </c>
      <c r="E471" t="inlineStr"/>
      <c r="F471" s="4" t="n">
        <v>199</v>
      </c>
      <c r="G471" t="inlineStr">
        <is>
          <t>VB</t>
        </is>
      </c>
      <c r="H471" t="inlineStr">
        <is>
          <t>59505 Nordrhein-Westfalen - Bad Sassendorf</t>
        </is>
      </c>
      <c r="I471" s="5" t="n">
        <v>45556</v>
      </c>
      <c r="J471" t="inlineStr"/>
      <c r="K471" s="6">
        <f>HYPERLINK("https://www.kleinanzeigen.de/s-anzeige/windsurfboard-tabou-3style-86ltr/2870075242-230-1453", "Link")</f>
        <v/>
      </c>
      <c r="L471" s="6">
        <f>HYPERLINK("C:\Projects\Kleinanzeigen-Scraper\offer_images\2870075242", "Link")</f>
        <v/>
      </c>
      <c r="M471" t="inlineStr">
        <is>
          <t>Fred</t>
        </is>
      </c>
      <c r="N471" s="6">
        <f>HYPERLINK("https://www.kleinanzeigen.de/s-bestandsliste.html?userId=131522303", "Link")</f>
        <v/>
      </c>
      <c r="O471" s="7" t="n">
        <v>45556.93721064815</v>
      </c>
      <c r="P471" s="3" t="inlineStr">
        <is>
          <t>111.08</t>
        </is>
      </c>
      <c r="Q471" t="inlineStr">
        <is>
          <t>Köln</t>
        </is>
      </c>
    </row>
    <row r="472">
      <c r="A472" t="inlineStr"/>
      <c r="B472" t="inlineStr">
        <is>
          <t>Fanatic Skate</t>
        </is>
      </c>
      <c r="C472" t="inlineStr">
        <is>
          <t>Allround</t>
        </is>
      </c>
      <c r="D472" s="3" t="n">
        <v>110</v>
      </c>
      <c r="E472" t="inlineStr"/>
      <c r="F472" s="4" t="n">
        <v>300</v>
      </c>
      <c r="G472" t="inlineStr"/>
      <c r="H472" t="inlineStr">
        <is>
          <t>10999 Friedrichshain-Kreuzberg - Kreuzberg</t>
        </is>
      </c>
      <c r="I472" s="5" t="n">
        <v>45556</v>
      </c>
      <c r="J472" t="inlineStr"/>
      <c r="K472" s="6">
        <f>HYPERLINK("https://www.kleinanzeigen.de/s-anzeige/fanatic-skate-110-liter/2869685076-230-9629", "Link")</f>
        <v/>
      </c>
      <c r="L472" s="6">
        <f>HYPERLINK("C:\Projects\Kleinanzeigen-Scraper\offer_images\2869685076", "Link")</f>
        <v/>
      </c>
      <c r="M472" t="inlineStr">
        <is>
          <t>Jan</t>
        </is>
      </c>
      <c r="N472" s="6">
        <f>HYPERLINK("https://www.kleinanzeigen.de/s-bestandsliste.html?userId=8219375", "Link")</f>
        <v/>
      </c>
      <c r="O472" s="7" t="n">
        <v>45556.93700231481</v>
      </c>
      <c r="P472" s="3" t="inlineStr">
        <is>
          <t>478.17</t>
        </is>
      </c>
      <c r="Q472" t="inlineStr">
        <is>
          <t>Köln</t>
        </is>
      </c>
    </row>
    <row r="473">
      <c r="A473" t="inlineStr"/>
      <c r="B473" t="inlineStr">
        <is>
          <t>Fanatic Hot Rabbit</t>
        </is>
      </c>
      <c r="C473" t="inlineStr"/>
      <c r="D473" s="3" t="inlineStr"/>
      <c r="E473" t="inlineStr"/>
      <c r="F473" s="4" t="n">
        <v>50</v>
      </c>
      <c r="G473" t="inlineStr">
        <is>
          <t>VB</t>
        </is>
      </c>
      <c r="H473" t="inlineStr">
        <is>
          <t>46509 Nordrhein-Westfalen - Xanten</t>
        </is>
      </c>
      <c r="I473" s="5" t="n">
        <v>45556</v>
      </c>
      <c r="J473" t="inlineStr">
        <is>
          <t>Sold</t>
        </is>
      </c>
      <c r="K473" s="6">
        <f>HYPERLINK("https://www.kleinanzeigen.de/s-anzeige/fanatic-hot-rabbit-surfbrett/2870155203-230-1403", "Link")</f>
        <v/>
      </c>
      <c r="L473" s="6">
        <f>HYPERLINK("C:\Projects\Kleinanzeigen-Scraper\offer_images\2870155203", "Link")</f>
        <v/>
      </c>
      <c r="M473" t="inlineStr">
        <is>
          <t>Susanne Schröck</t>
        </is>
      </c>
      <c r="N473" s="6">
        <f>HYPERLINK("https://www.kleinanzeigen.de/s-bestandsliste.html?userId=20089549", "Link")</f>
        <v/>
      </c>
      <c r="O473" s="7" t="n">
        <v>45556.93697916667</v>
      </c>
      <c r="P473" s="3" t="inlineStr">
        <is>
          <t>88.27</t>
        </is>
      </c>
      <c r="Q473" t="inlineStr">
        <is>
          <t>Köln</t>
        </is>
      </c>
    </row>
    <row r="474">
      <c r="A474" t="inlineStr">
        <is>
          <t>247cm</t>
        </is>
      </c>
      <c r="B474" t="inlineStr">
        <is>
          <t>Fanatic Eagle</t>
        </is>
      </c>
      <c r="C474" t="inlineStr">
        <is>
          <t>Freeride</t>
        </is>
      </c>
      <c r="D474" s="3" t="n">
        <v>113</v>
      </c>
      <c r="E474" t="inlineStr"/>
      <c r="F474" s="4" t="n">
        <v>215</v>
      </c>
      <c r="G474" t="inlineStr">
        <is>
          <t>VB</t>
        </is>
      </c>
      <c r="H474" t="inlineStr">
        <is>
          <t>48147 Münster (Westfalen) - Centrum</t>
        </is>
      </c>
      <c r="I474" s="5" t="n">
        <v>45556</v>
      </c>
      <c r="J474" t="inlineStr"/>
      <c r="K474" s="6">
        <f>HYPERLINK("https://www.kleinanzeigen.de/s-anzeige/surfbrett-fanatic-eagle-113-windsurf/2870157897-230-931", "Link")</f>
        <v/>
      </c>
      <c r="L474" s="6">
        <f>HYPERLINK("C:\Projects\Kleinanzeigen-Scraper\offer_images\2870157897", "Link")</f>
        <v/>
      </c>
      <c r="M474" t="inlineStr">
        <is>
          <t>Matthias</t>
        </is>
      </c>
      <c r="N474" s="6">
        <f>HYPERLINK("https://www.kleinanzeigen.de/s-bestandsliste.html?userId=15313343", "Link")</f>
        <v/>
      </c>
      <c r="O474" s="7" t="n">
        <v>45556.93686342592</v>
      </c>
      <c r="P474" s="3" t="inlineStr">
        <is>
          <t>124.93</t>
        </is>
      </c>
      <c r="Q474" t="inlineStr">
        <is>
          <t>Köln</t>
        </is>
      </c>
    </row>
    <row r="475">
      <c r="A475" t="inlineStr"/>
      <c r="B475" t="inlineStr">
        <is>
          <t>TABOU Pocket AIR TEAM</t>
        </is>
      </c>
      <c r="C475" t="inlineStr"/>
      <c r="D475" s="3" t="n">
        <v>87</v>
      </c>
      <c r="E475" t="inlineStr"/>
      <c r="F475" s="4" t="n">
        <v>450</v>
      </c>
      <c r="G475" t="inlineStr"/>
      <c r="H475" t="inlineStr">
        <is>
          <t>40237 Düsseldorf - Flingern Nord</t>
        </is>
      </c>
      <c r="I475" s="5" t="n">
        <v>45556</v>
      </c>
      <c r="J475" t="inlineStr"/>
      <c r="K475" s="6">
        <f>HYPERLINK("https://www.kleinanzeigen.de/s-anzeige/tabou-pocket-air-team-87l/2869917854-230-16741", "Link")</f>
        <v/>
      </c>
      <c r="L475" s="6">
        <f>HYPERLINK("C:\Projects\Kleinanzeigen-Scraper\offer_images\2869917854", "Link")</f>
        <v/>
      </c>
      <c r="M475" t="inlineStr">
        <is>
          <t>Artimeta</t>
        </is>
      </c>
      <c r="N475" s="6">
        <f>HYPERLINK("https://www.kleinanzeigen.de/s-bestandsliste.html?userId=11222611", "Link")</f>
        <v/>
      </c>
      <c r="O475" s="7" t="n">
        <v>45556.93678240741</v>
      </c>
      <c r="P475" s="3" t="inlineStr">
        <is>
          <t>34.55</t>
        </is>
      </c>
      <c r="Q475" t="inlineStr">
        <is>
          <t>Köln</t>
        </is>
      </c>
    </row>
    <row r="476">
      <c r="A476" t="inlineStr"/>
      <c r="B476" t="inlineStr">
        <is>
          <t>Fanatic Gecko</t>
        </is>
      </c>
      <c r="C476" t="inlineStr"/>
      <c r="D476" s="3" t="inlineStr"/>
      <c r="E476" t="inlineStr"/>
      <c r="F476" s="4" t="n">
        <v>100</v>
      </c>
      <c r="G476" t="inlineStr"/>
      <c r="H476" t="inlineStr">
        <is>
          <t>46509 Nordrhein-Westfalen - Xanten</t>
        </is>
      </c>
      <c r="I476" s="5" t="n">
        <v>45556</v>
      </c>
      <c r="J476" t="inlineStr"/>
      <c r="K476" s="6">
        <f>HYPERLINK("https://www.kleinanzeigen.de/s-anzeige/fanatic-gecko-surfbrett/2870163854-230-1403", "Link")</f>
        <v/>
      </c>
      <c r="L476" s="6">
        <f>HYPERLINK("C:\Projects\Kleinanzeigen-Scraper\offer_images\2870163854", "Link")</f>
        <v/>
      </c>
      <c r="M476" t="inlineStr">
        <is>
          <t>Susanne Schröck</t>
        </is>
      </c>
      <c r="N476" s="6">
        <f>HYPERLINK("https://www.kleinanzeigen.de/s-bestandsliste.html?userId=20089549", "Link")</f>
        <v/>
      </c>
      <c r="O476" s="7" t="n">
        <v>45556.93671296296</v>
      </c>
      <c r="P476" s="3" t="inlineStr">
        <is>
          <t>88.27</t>
        </is>
      </c>
      <c r="Q476" t="inlineStr">
        <is>
          <t>Köln</t>
        </is>
      </c>
    </row>
    <row r="477">
      <c r="A477" t="inlineStr">
        <is>
          <t>234 cm x 61 cm</t>
        </is>
      </c>
      <c r="B477" t="inlineStr">
        <is>
          <t>Starboard Kode 94</t>
        </is>
      </c>
      <c r="C477" t="inlineStr">
        <is>
          <t>Freeride</t>
        </is>
      </c>
      <c r="D477" s="3" t="n">
        <v>94</v>
      </c>
      <c r="E477" t="inlineStr"/>
      <c r="F477" s="4" t="n">
        <v>320</v>
      </c>
      <c r="G477" t="inlineStr"/>
      <c r="H477" t="inlineStr">
        <is>
          <t>22415 Hamburg-Nord - Hamburg Langenhorn</t>
        </is>
      </c>
      <c r="I477" s="5" t="n">
        <v>45556</v>
      </c>
      <c r="J477" t="inlineStr"/>
      <c r="K477" s="6">
        <f>HYPERLINK("https://www.kleinanzeigen.de/s-anzeige/angeboten-wird-ein-windsurf-board-starboard-kode-94/2869339752-230-9488", "Link")</f>
        <v/>
      </c>
      <c r="L477" s="6">
        <f>HYPERLINK("C:\Projects\Kleinanzeigen-Scraper\offer_images\2869339752", "Link")</f>
        <v/>
      </c>
      <c r="M477" t="inlineStr">
        <is>
          <t>Stefan</t>
        </is>
      </c>
      <c r="N477" s="6">
        <f>HYPERLINK("https://www.kleinanzeigen.de/s-bestandsliste.html?userId=25316905", "Link")</f>
        <v/>
      </c>
      <c r="O477" s="7" t="n">
        <v>45556.93668981481</v>
      </c>
      <c r="P477" s="3" t="inlineStr">
        <is>
          <t>366.01</t>
        </is>
      </c>
      <c r="Q477" t="inlineStr">
        <is>
          <t>Köln</t>
        </is>
      </c>
    </row>
    <row r="478">
      <c r="A478" t="inlineStr">
        <is>
          <t>158x44</t>
        </is>
      </c>
      <c r="B478" t="inlineStr">
        <is>
          <t>RRD Toxic 2</t>
        </is>
      </c>
      <c r="C478" t="inlineStr">
        <is>
          <t>Wave</t>
        </is>
      </c>
      <c r="D478" s="3" t="inlineStr"/>
      <c r="E478" t="inlineStr"/>
      <c r="F478" s="4" t="n">
        <v>200</v>
      </c>
      <c r="G478" t="inlineStr">
        <is>
          <t>VB</t>
        </is>
      </c>
      <c r="H478" t="inlineStr">
        <is>
          <t>37085 Niedersachsen - Göttingen</t>
        </is>
      </c>
      <c r="I478" s="5" t="n">
        <v>45556</v>
      </c>
      <c r="J478" t="inlineStr"/>
      <c r="K478" s="6">
        <f>HYPERLINK("https://www.kleinanzeigen.de/s-anzeige/rrd-toxic-2-waveboard-158x44cm/2869604157-230-3139", "Link")</f>
        <v/>
      </c>
      <c r="L478" s="6">
        <f>HYPERLINK("C:\Projects\Kleinanzeigen-Scraper\offer_images\2869604157", "Link")</f>
        <v/>
      </c>
      <c r="M478" t="inlineStr">
        <is>
          <t>Henryk</t>
        </is>
      </c>
      <c r="N478" s="6">
        <f>HYPERLINK("https://www.kleinanzeigen.de/s-bestandsliste.html?userId=14771058", "Link")</f>
        <v/>
      </c>
      <c r="O478" s="7" t="n">
        <v>45556.9366087963</v>
      </c>
      <c r="P478" s="3" t="inlineStr">
        <is>
          <t>219.69</t>
        </is>
      </c>
      <c r="Q478" t="inlineStr">
        <is>
          <t>Köln</t>
        </is>
      </c>
    </row>
    <row r="479">
      <c r="A479" t="inlineStr">
        <is>
          <t>200x70</t>
        </is>
      </c>
      <c r="B479" t="inlineStr">
        <is>
          <t>Severne Alian</t>
        </is>
      </c>
      <c r="C479" t="inlineStr">
        <is>
          <t>Foilboard</t>
        </is>
      </c>
      <c r="D479" s="3" t="n">
        <v>115</v>
      </c>
      <c r="E479" t="inlineStr"/>
      <c r="F479" s="4" t="n">
        <v>600</v>
      </c>
      <c r="G479" t="inlineStr"/>
      <c r="H479" t="inlineStr">
        <is>
          <t>08304 Sachsen - Schönheide</t>
        </is>
      </c>
      <c r="I479" s="5" t="n">
        <v>45556</v>
      </c>
      <c r="J479" t="inlineStr"/>
      <c r="K479" s="6">
        <f>HYPERLINK("https://www.kleinanzeigen.de/s-anzeige/severne-alian-foilboard-115-l/2857926364-230-4148", "Link")</f>
        <v/>
      </c>
      <c r="L479" s="6">
        <f>HYPERLINK("C:\Projects\Kleinanzeigen-Scraper\offer_images\2857926364", "Link")</f>
        <v/>
      </c>
      <c r="M479" t="inlineStr">
        <is>
          <t>Rico</t>
        </is>
      </c>
      <c r="N479" s="6">
        <f>HYPERLINK("https://www.kleinanzeigen.de/s-bestandsliste.html?userId=17849630", "Link")</f>
        <v/>
      </c>
      <c r="O479" s="7" t="n">
        <v>45556.93655092592</v>
      </c>
      <c r="P479" s="3" t="inlineStr">
        <is>
          <t>271.01</t>
        </is>
      </c>
      <c r="Q479" t="inlineStr">
        <is>
          <t>München</t>
        </is>
      </c>
    </row>
    <row r="480">
      <c r="A480" t="inlineStr">
        <is>
          <t>245 cm x 68 cm</t>
        </is>
      </c>
      <c r="B480" t="inlineStr">
        <is>
          <t>Fanatic Hawk</t>
        </is>
      </c>
      <c r="C480" t="inlineStr">
        <is>
          <t>Freerace</t>
        </is>
      </c>
      <c r="D480" s="3" t="n">
        <v>120</v>
      </c>
      <c r="E480" t="inlineStr"/>
      <c r="F480" s="4" t="n">
        <v>490</v>
      </c>
      <c r="G480" t="inlineStr">
        <is>
          <t>VB</t>
        </is>
      </c>
      <c r="H480" t="inlineStr">
        <is>
          <t>21149 Harburg - Hamburg Fischbek</t>
        </is>
      </c>
      <c r="I480" s="5" t="n">
        <v>45556</v>
      </c>
      <c r="J480" t="inlineStr"/>
      <c r="K480" s="6">
        <f>HYPERLINK("https://www.kleinanzeigen.de/s-anzeige/windsurfboard-fanatic-hawk-120-liter-2-finnen-boardbag/2869770445-230-15763", "Link")</f>
        <v/>
      </c>
      <c r="L480" s="6">
        <f>HYPERLINK("C:\Projects\Kleinanzeigen-Scraper\offer_images\2869770445", "Link")</f>
        <v/>
      </c>
      <c r="M480" t="inlineStr">
        <is>
          <t>K.Ravesloot</t>
        </is>
      </c>
      <c r="N480" s="6">
        <f>HYPERLINK("https://www.kleinanzeigen.de/s-bestandsliste.html?userId=92756630", "Link")</f>
        <v/>
      </c>
      <c r="O480" s="7" t="n">
        <v>45556.93655092592</v>
      </c>
      <c r="P480" s="3" t="inlineStr">
        <is>
          <t>342.48</t>
        </is>
      </c>
      <c r="Q480" t="inlineStr">
        <is>
          <t>Köln</t>
        </is>
      </c>
    </row>
    <row r="481">
      <c r="A481" t="inlineStr">
        <is>
          <t>2.28m</t>
        </is>
      </c>
      <c r="B481" t="inlineStr">
        <is>
          <t>Tabou Airride 81</t>
        </is>
      </c>
      <c r="C481" t="inlineStr">
        <is>
          <t>Foilboard</t>
        </is>
      </c>
      <c r="D481" s="3" t="n">
        <v>145</v>
      </c>
      <c r="E481" t="inlineStr"/>
      <c r="F481" s="4" t="n">
        <v>595</v>
      </c>
      <c r="G481" t="inlineStr"/>
      <c r="H481" t="inlineStr">
        <is>
          <t>75334 Baden-Württemberg - Straubenhardt</t>
        </is>
      </c>
      <c r="I481" s="5" t="n">
        <v>45547</v>
      </c>
      <c r="J481" t="inlineStr">
        <is>
          <t>Sold</t>
        </is>
      </c>
      <c r="K481" s="6">
        <f>HYPERLINK("https://www.kleinanzeigen.de/s-anzeige/tabou-airride-81-foil-board-in-ltd-carbon-ausfuehrung/2861216372-230-8117", "Link")</f>
        <v/>
      </c>
      <c r="L481" s="6">
        <f>HYPERLINK("C:\Projects\Kleinanzeigen-Scraper\offer_images\2861216372", "Link")</f>
        <v/>
      </c>
      <c r="M481" t="inlineStr">
        <is>
          <t>Björn</t>
        </is>
      </c>
      <c r="N481" s="6">
        <f>HYPERLINK("https://www.kleinanzeigen.de/s-bestandsliste.html?userId=29930593", "Link")</f>
        <v/>
      </c>
      <c r="O481" s="7" t="n">
        <v>45556.93626157408</v>
      </c>
      <c r="P481" s="3" t="inlineStr">
        <is>
          <t>21.11</t>
        </is>
      </c>
      <c r="Q481" t="inlineStr">
        <is>
          <t>Karlsruhe</t>
        </is>
      </c>
    </row>
    <row r="482">
      <c r="A482" t="inlineStr">
        <is>
          <t>Dimensions not specified</t>
        </is>
      </c>
      <c r="B482" t="inlineStr">
        <is>
          <t>Tabou Rocket LTD</t>
        </is>
      </c>
      <c r="C482" t="inlineStr">
        <is>
          <t>Freeride</t>
        </is>
      </c>
      <c r="D482" s="3" t="n">
        <v>125</v>
      </c>
      <c r="E482" t="inlineStr"/>
      <c r="F482" s="4" t="n">
        <v>750</v>
      </c>
      <c r="G482" t="inlineStr"/>
      <c r="H482" t="inlineStr">
        <is>
          <t>87480 Bayern - Weitnau</t>
        </is>
      </c>
      <c r="I482" s="5" t="n">
        <v>45545</v>
      </c>
      <c r="J482" t="inlineStr">
        <is>
          <t>Sold</t>
        </is>
      </c>
      <c r="K482" s="6">
        <f>HYPERLINK("https://www.kleinanzeigen.de/s-anzeige/tabou-rocket-ltd-125/2859680904-230-7628", "Link")</f>
        <v/>
      </c>
      <c r="L482" s="6">
        <f>HYPERLINK("C:\Projects\Kleinanzeigen-Scraper\offer_images\2859680904", "Link")</f>
        <v/>
      </c>
      <c r="M482" t="inlineStr">
        <is>
          <t>Silvan</t>
        </is>
      </c>
      <c r="N482" s="6">
        <f>HYPERLINK("https://www.kleinanzeigen.de/s-bestandsliste.html?userId=81631153", "Link")</f>
        <v/>
      </c>
      <c r="O482" s="7" t="n">
        <v>45556.93601851852</v>
      </c>
      <c r="P482" s="3" t="inlineStr">
        <is>
          <t>121.15</t>
        </is>
      </c>
      <c r="Q482" t="inlineStr">
        <is>
          <t>München</t>
        </is>
      </c>
    </row>
    <row r="483">
      <c r="A483" t="inlineStr"/>
      <c r="B483" t="inlineStr">
        <is>
          <t>Fanatic</t>
        </is>
      </c>
      <c r="C483" t="inlineStr"/>
      <c r="D483" s="3" t="inlineStr"/>
      <c r="E483" t="inlineStr"/>
      <c r="F483" s="4" t="inlineStr">
        <is>
          <t>Zu verschenken</t>
        </is>
      </c>
      <c r="G483" t="inlineStr"/>
      <c r="H483" t="inlineStr">
        <is>
          <t>57072 Nordrhein-Westfalen - Siegen</t>
        </is>
      </c>
      <c r="I483" s="5" t="n">
        <v>45556</v>
      </c>
      <c r="J483" t="inlineStr">
        <is>
          <t>Sold</t>
        </is>
      </c>
      <c r="K483" s="6">
        <f>HYPERLINK("https://www.kleinanzeigen.de/s-anzeige/fanatic-windsurfboard/2869707537-230-1028", "Link")</f>
        <v/>
      </c>
      <c r="L483" s="6">
        <f>HYPERLINK("C:\Projects\Kleinanzeigen-Scraper\offer_images\2869707537", "Link")</f>
        <v/>
      </c>
      <c r="M483" t="inlineStr">
        <is>
          <t>julijan</t>
        </is>
      </c>
      <c r="N483" s="6">
        <f>HYPERLINK("https://www.kleinanzeigen.de/s-bestandsliste.html?userId=40465526", "Link")</f>
        <v/>
      </c>
      <c r="O483" s="7" t="n">
        <v>45556.93599537037</v>
      </c>
      <c r="P483" s="3" t="inlineStr">
        <is>
          <t>72.55</t>
        </is>
      </c>
      <c r="Q483" t="inlineStr">
        <is>
          <t>Köln</t>
        </is>
      </c>
    </row>
    <row r="484">
      <c r="A484" t="inlineStr"/>
      <c r="B484" t="inlineStr">
        <is>
          <t>JP</t>
        </is>
      </c>
      <c r="C484" t="inlineStr">
        <is>
          <t>Freeride</t>
        </is>
      </c>
      <c r="D484" s="3" t="n">
        <v>124</v>
      </c>
      <c r="E484" t="inlineStr">
        <is>
          <t>2019</t>
        </is>
      </c>
      <c r="F484" s="4" t="n">
        <v>750</v>
      </c>
      <c r="G484" t="inlineStr"/>
      <c r="H484" t="inlineStr">
        <is>
          <t>10779 Berlin - Schöneberg</t>
        </is>
      </c>
      <c r="I484" s="5" t="n">
        <v>45556</v>
      </c>
      <c r="J484" t="inlineStr">
        <is>
          <t>Sold</t>
        </is>
      </c>
      <c r="K484" s="6">
        <f>HYPERLINK("https://www.kleinanzeigen.de/s-anzeige/jp-super-ride-pro-edition-124l-surfbrett-surfboard-windsurf-board/2869570835-230-9645", "Link")</f>
        <v/>
      </c>
      <c r="L484" s="6">
        <f>HYPERLINK("C:\Projects\Kleinanzeigen-Scraper\offer_images\2869570835", "Link")</f>
        <v/>
      </c>
      <c r="M484" t="inlineStr">
        <is>
          <t>Oliver</t>
        </is>
      </c>
      <c r="N484" s="6">
        <f>HYPERLINK("https://www.kleinanzeigen.de/s-bestandsliste.html?userId=1701622", "Link")</f>
        <v/>
      </c>
      <c r="O484" s="7" t="n">
        <v>45556.93587962963</v>
      </c>
      <c r="P484" s="3" t="inlineStr">
        <is>
          <t>472.47</t>
        </is>
      </c>
      <c r="Q484" t="inlineStr">
        <is>
          <t>Köln</t>
        </is>
      </c>
    </row>
    <row r="485">
      <c r="A485" t="inlineStr">
        <is>
          <t>252 cm x 69 cm</t>
        </is>
      </c>
      <c r="B485" t="inlineStr">
        <is>
          <t>RRD</t>
        </is>
      </c>
      <c r="C485" t="inlineStr"/>
      <c r="D485" s="3" t="n">
        <v>133</v>
      </c>
      <c r="E485" t="inlineStr"/>
      <c r="F485" s="4" t="n">
        <v>300</v>
      </c>
      <c r="G485" t="inlineStr"/>
      <c r="H485" t="inlineStr">
        <is>
          <t>26215 Niedersachsen - Wiefelstede</t>
        </is>
      </c>
      <c r="I485" s="5" t="n">
        <v>45555</v>
      </c>
      <c r="J485" t="inlineStr">
        <is>
          <t>Sold</t>
        </is>
      </c>
      <c r="K485" s="6">
        <f>HYPERLINK("https://www.kleinanzeigen.de/s-anzeige/surfboard-windsurfboard-rrd-133-ltr/2869060255-230-2576", "Link")</f>
        <v/>
      </c>
      <c r="L485" s="6">
        <f>HYPERLINK("C:\Projects\Kleinanzeigen-Scraper\offer_images\2869060255", "Link")</f>
        <v/>
      </c>
      <c r="M485" t="inlineStr">
        <is>
          <t>Stefan</t>
        </is>
      </c>
      <c r="N485" s="6">
        <f>HYPERLINK("https://www.kleinanzeigen.de/s-bestandsliste.html?userId=3661130", "Link")</f>
        <v/>
      </c>
      <c r="O485" s="7" t="n">
        <v>45556.93587962963</v>
      </c>
      <c r="P485" s="3" t="inlineStr">
        <is>
          <t>269.48</t>
        </is>
      </c>
      <c r="Q485" t="inlineStr">
        <is>
          <t>Köln</t>
        </is>
      </c>
    </row>
    <row r="486">
      <c r="A486" t="inlineStr">
        <is>
          <t>237 x 58</t>
        </is>
      </c>
      <c r="B486" t="inlineStr">
        <is>
          <t>Tabou 3s Ltd</t>
        </is>
      </c>
      <c r="C486" t="inlineStr">
        <is>
          <t>Freestyle</t>
        </is>
      </c>
      <c r="D486" s="3" t="n">
        <v>87</v>
      </c>
      <c r="E486" t="inlineStr"/>
      <c r="F486" s="4" t="n">
        <v>111</v>
      </c>
      <c r="G486" t="inlineStr">
        <is>
          <t>VB</t>
        </is>
      </c>
      <c r="H486" t="inlineStr">
        <is>
          <t>25421 Kreis Pinneberg - Pinneberg</t>
        </is>
      </c>
      <c r="I486" s="5" t="n">
        <v>45556</v>
      </c>
      <c r="J486" t="inlineStr"/>
      <c r="K486" s="6">
        <f>HYPERLINK("https://www.kleinanzeigen.de/s-anzeige/tabou-3s-ltd/2869889590-230-786", "Link")</f>
        <v/>
      </c>
      <c r="L486" s="6">
        <f>HYPERLINK("C:\Projects\Kleinanzeigen-Scraper\offer_images\2869889590", "Link")</f>
        <v/>
      </c>
      <c r="M486" t="inlineStr">
        <is>
          <t>Avé- Lallemant</t>
        </is>
      </c>
      <c r="N486" s="6">
        <f>HYPERLINK("https://www.kleinanzeigen.de/s-bestandsliste.html?userId=71416844", "Link")</f>
        <v/>
      </c>
      <c r="O486" s="7" t="n">
        <v>45556.93575231481</v>
      </c>
      <c r="P486" s="3" t="inlineStr">
        <is>
          <t>345.15</t>
        </is>
      </c>
      <c r="Q486" t="inlineStr">
        <is>
          <t>Köln</t>
        </is>
      </c>
    </row>
    <row r="487">
      <c r="A487" t="inlineStr">
        <is>
          <t>245 x 62 cm</t>
        </is>
      </c>
      <c r="B487" t="inlineStr">
        <is>
          <t>Starboard Futura</t>
        </is>
      </c>
      <c r="C487" t="inlineStr">
        <is>
          <t>Freeride/Freerace</t>
        </is>
      </c>
      <c r="D487" s="3" t="n">
        <v>122</v>
      </c>
      <c r="E487" t="inlineStr"/>
      <c r="F487" s="4" t="n">
        <v>370</v>
      </c>
      <c r="G487" t="inlineStr">
        <is>
          <t>VB</t>
        </is>
      </c>
      <c r="H487" t="inlineStr">
        <is>
          <t>88090 Baden-Württemberg - Immenstaad</t>
        </is>
      </c>
      <c r="I487" s="5" t="n">
        <v>45556</v>
      </c>
      <c r="J487" t="inlineStr"/>
      <c r="K487" s="6">
        <f>HYPERLINK("https://www.kleinanzeigen.de/s-anzeige/starboard-futura-122-liter-windsurfboard-freeride-freerace/2869581144-230-9216", "Link")</f>
        <v/>
      </c>
      <c r="L487" s="6">
        <f>HYPERLINK("C:\Projects\Kleinanzeigen-Scraper\offer_images\2869581144", "Link")</f>
        <v/>
      </c>
      <c r="M487" t="inlineStr">
        <is>
          <t>Erik F.</t>
        </is>
      </c>
      <c r="N487" s="6">
        <f>HYPERLINK("https://www.kleinanzeigen.de/s-bestandsliste.html?userId=38592861", "Link")</f>
        <v/>
      </c>
      <c r="O487" s="7" t="n">
        <v>45556.9353587963</v>
      </c>
      <c r="P487" s="3" t="inlineStr">
        <is>
          <t>78.43</t>
        </is>
      </c>
      <c r="Q487" t="inlineStr">
        <is>
          <t>Bonndorf</t>
        </is>
      </c>
    </row>
    <row r="488">
      <c r="A488" t="inlineStr"/>
      <c r="B488" t="inlineStr">
        <is>
          <t>Fanatic Falcon</t>
        </is>
      </c>
      <c r="C488" t="inlineStr">
        <is>
          <t>Slalom</t>
        </is>
      </c>
      <c r="D488" s="3" t="n">
        <v>105</v>
      </c>
      <c r="E488" t="inlineStr"/>
      <c r="F488" s="4" t="n">
        <v>450</v>
      </c>
      <c r="G488" t="inlineStr">
        <is>
          <t>VB</t>
        </is>
      </c>
      <c r="H488" t="inlineStr">
        <is>
          <t>25421 Kreis Pinneberg - Pinneberg</t>
        </is>
      </c>
      <c r="I488" s="5" t="n">
        <v>45556</v>
      </c>
      <c r="J488" t="inlineStr"/>
      <c r="K488" s="6">
        <f>HYPERLINK("https://www.kleinanzeigen.de/s-anzeige/fanatic-falcon-105/2869893071-230-786", "Link")</f>
        <v/>
      </c>
      <c r="L488" s="6">
        <f>HYPERLINK("C:\Projects\Kleinanzeigen-Scraper\offer_images\2869893071", "Link")</f>
        <v/>
      </c>
      <c r="M488" t="inlineStr">
        <is>
          <t>Avé- Lallemant</t>
        </is>
      </c>
      <c r="N488" s="6">
        <f>HYPERLINK("https://www.kleinanzeigen.de/s-bestandsliste.html?userId=71416844", "Link")</f>
        <v/>
      </c>
      <c r="O488" s="7" t="n">
        <v>45556.93505787037</v>
      </c>
      <c r="P488" s="3" t="inlineStr">
        <is>
          <t>345.15</t>
        </is>
      </c>
      <c r="Q488" t="inlineStr">
        <is>
          <t>Köln</t>
        </is>
      </c>
    </row>
    <row r="489">
      <c r="A489" t="inlineStr"/>
      <c r="B489" t="inlineStr">
        <is>
          <t>Tabou Rocket 61</t>
        </is>
      </c>
      <c r="C489" t="inlineStr">
        <is>
          <t>Freeride</t>
        </is>
      </c>
      <c r="D489" s="3" t="n">
        <v>105</v>
      </c>
      <c r="E489" t="inlineStr">
        <is>
          <t>2009</t>
        </is>
      </c>
      <c r="F489" s="4" t="n">
        <v>299</v>
      </c>
      <c r="G489" t="inlineStr">
        <is>
          <t>VB</t>
        </is>
      </c>
      <c r="H489" t="inlineStr">
        <is>
          <t>47239 Duisburg - Rumeln-Kaldenhausen</t>
        </is>
      </c>
      <c r="I489" s="5" t="n">
        <v>45556</v>
      </c>
      <c r="J489" t="inlineStr"/>
      <c r="K489" s="6">
        <f>HYPERLINK("https://www.kleinanzeigen.de/s-anzeige/tabou-rocket-61-105-ltd-carbon/2869772976-230-2137", "Link")</f>
        <v/>
      </c>
      <c r="L489" s="6">
        <f>HYPERLINK("C:\Projects\Kleinanzeigen-Scraper\offer_images\2869772976", "Link")</f>
        <v/>
      </c>
      <c r="M489" t="inlineStr">
        <is>
          <t>MB</t>
        </is>
      </c>
      <c r="N489" s="6">
        <f>HYPERLINK("https://www.kleinanzeigen.de/s-bestandsliste.html?userId=1864376", "Link")</f>
        <v/>
      </c>
      <c r="O489" s="7" t="n">
        <v>45556.935</v>
      </c>
      <c r="P489" s="3" t="inlineStr">
        <is>
          <t>54.92</t>
        </is>
      </c>
      <c r="Q489" t="inlineStr">
        <is>
          <t>Köln</t>
        </is>
      </c>
    </row>
    <row r="490">
      <c r="A490" t="inlineStr">
        <is>
          <t>231 cm</t>
        </is>
      </c>
      <c r="B490" t="inlineStr">
        <is>
          <t>FANATIC FREEWAVE TEXTREME</t>
        </is>
      </c>
      <c r="C490" t="inlineStr">
        <is>
          <t>Freeride</t>
        </is>
      </c>
      <c r="D490" s="3" t="n">
        <v>105</v>
      </c>
      <c r="E490" t="inlineStr">
        <is>
          <t>2023</t>
        </is>
      </c>
      <c r="F490" s="4" t="inlineStr"/>
      <c r="G490" t="inlineStr">
        <is>
          <t>VB</t>
        </is>
      </c>
      <c r="H490" t="inlineStr">
        <is>
          <t>24955 Schleswig-Holstein - Harrislee</t>
        </is>
      </c>
      <c r="I490" s="5" t="n">
        <v>45556</v>
      </c>
      <c r="J490" t="inlineStr"/>
      <c r="K490" s="6">
        <f>HYPERLINK("https://www.kleinanzeigen.de/s-anzeige/windsurfboard-fanatic-freewave-textreme-2023-105l-duotone/2870105296-230-734", "Link")</f>
        <v/>
      </c>
      <c r="L490" s="6">
        <f>HYPERLINK("C:\Projects\Kleinanzeigen-Scraper\offer_images\2870105296", "Link")</f>
        <v/>
      </c>
      <c r="M490" t="inlineStr">
        <is>
          <t>Joshua</t>
        </is>
      </c>
      <c r="N490" s="6">
        <f>HYPERLINK("https://www.kleinanzeigen.de/s-bestandsliste.html?userId=41267512", "Link")</f>
        <v/>
      </c>
      <c r="O490" s="7" t="n">
        <v>45556.93493055556</v>
      </c>
      <c r="P490" s="3" t="inlineStr">
        <is>
          <t>459.37</t>
        </is>
      </c>
      <c r="Q490" t="inlineStr">
        <is>
          <t>Köln</t>
        </is>
      </c>
    </row>
    <row r="491">
      <c r="A491" t="inlineStr">
        <is>
          <t>140</t>
        </is>
      </c>
      <c r="B491" t="inlineStr">
        <is>
          <t>Naish RPT</t>
        </is>
      </c>
      <c r="C491" t="inlineStr"/>
      <c r="D491" s="3" t="inlineStr"/>
      <c r="E491" t="inlineStr">
        <is>
          <t>2024</t>
        </is>
      </c>
      <c r="F491" s="4" t="n">
        <v>329</v>
      </c>
      <c r="G491" t="inlineStr"/>
      <c r="H491" t="inlineStr">
        <is>
          <t>85521 Kr. München - Ottobrunn</t>
        </is>
      </c>
      <c r="I491" s="5" t="n">
        <v>45529</v>
      </c>
      <c r="J491" t="inlineStr">
        <is>
          <t>Sold</t>
        </is>
      </c>
      <c r="K491" s="6">
        <f>HYPERLINK("https://www.kleinanzeigen.de/s-anzeige/naish-rpt-140-2024-neu/2845416193-230-15597", "Link")</f>
        <v/>
      </c>
      <c r="L491" s="6">
        <f>HYPERLINK("C:\Projects\Kleinanzeigen-Scraper\offer_images\2845416193", "Link")</f>
        <v/>
      </c>
      <c r="M491" t="inlineStr">
        <is>
          <t>Dieter Raditsch</t>
        </is>
      </c>
      <c r="N491" s="6">
        <f>HYPERLINK("https://www.kleinanzeigen.de/s-bestandsliste.html?userId=123269547", "Link")</f>
        <v/>
      </c>
      <c r="O491" s="7" t="n">
        <v>45556.93471064815</v>
      </c>
      <c r="P491" s="3" t="inlineStr">
        <is>
          <t>11.05</t>
        </is>
      </c>
      <c r="Q491" t="inlineStr">
        <is>
          <t>München</t>
        </is>
      </c>
    </row>
    <row r="492">
      <c r="A492" t="inlineStr"/>
      <c r="B492" t="inlineStr">
        <is>
          <t>Fanatic Grip</t>
        </is>
      </c>
      <c r="C492" t="inlineStr">
        <is>
          <t>Wave</t>
        </is>
      </c>
      <c r="D492" s="3" t="n">
        <v>75</v>
      </c>
      <c r="E492" t="inlineStr"/>
      <c r="F492" s="4" t="inlineStr"/>
      <c r="G492" t="inlineStr">
        <is>
          <t>VB</t>
        </is>
      </c>
      <c r="H492" t="inlineStr">
        <is>
          <t>31515 Wunstorf</t>
        </is>
      </c>
      <c r="I492" s="5" t="n">
        <v>45553</v>
      </c>
      <c r="J492" t="inlineStr"/>
      <c r="K492" s="6">
        <f>HYPERLINK("https://www.dailydose.de/kleinanzeigen/detail.htm?ai=422823&amp;cf=kk&amp;pg=5&amp;ci=11", "Link")</f>
        <v/>
      </c>
      <c r="L492" s="6">
        <f>HYPERLINK("C:\Projects\Kleinanzeigen-Scraper\offer_images\422823", "Link")</f>
        <v/>
      </c>
      <c r="M492" t="inlineStr">
        <is>
          <t>sli</t>
        </is>
      </c>
      <c r="N492" s="6">
        <f>HYPERLINK("https://www.dailydose.de/kleinanzeigen/user/1312", "Link")</f>
        <v/>
      </c>
      <c r="O492" s="7" t="n">
        <v>45555.56931712963</v>
      </c>
      <c r="P492" s="3" t="inlineStr">
        <is>
          <t>236.47</t>
        </is>
      </c>
      <c r="Q492" t="inlineStr">
        <is>
          <t>Köln</t>
        </is>
      </c>
    </row>
    <row r="493">
      <c r="A493" t="inlineStr">
        <is>
          <t>226 x 57.5</t>
        </is>
      </c>
      <c r="B493" t="inlineStr">
        <is>
          <t>Fanatic Quad</t>
        </is>
      </c>
      <c r="C493" t="inlineStr">
        <is>
          <t>Freestyle</t>
        </is>
      </c>
      <c r="D493" s="3" t="n">
        <v>81</v>
      </c>
      <c r="E493" t="inlineStr"/>
      <c r="F493" s="4" t="n">
        <v>300</v>
      </c>
      <c r="G493" t="inlineStr"/>
      <c r="H493" t="inlineStr">
        <is>
          <t>24159 Kiel</t>
        </is>
      </c>
      <c r="I493" s="5" t="n">
        <v>45553</v>
      </c>
      <c r="J493" t="inlineStr"/>
      <c r="K493" s="6">
        <f>HYPERLINK("https://www.dailydose.de/kleinanzeigen/detail.htm?ai=422804&amp;cf=kk&amp;pg=5&amp;ci=11", "Link")</f>
        <v/>
      </c>
      <c r="L493" s="6">
        <f>HYPERLINK("C:\Projects\Kleinanzeigen-Scraper\offer_images\422804", "Link")</f>
        <v/>
      </c>
      <c r="M493" t="inlineStr">
        <is>
          <t>anatom007</t>
        </is>
      </c>
      <c r="N493" s="6">
        <f>HYPERLINK("https://www.dailydose.de/kleinanzeigen/user/2692", "Link")</f>
        <v/>
      </c>
      <c r="O493" s="7" t="n">
        <v>45555.56928240741</v>
      </c>
      <c r="P493" s="3" t="inlineStr">
        <is>
          <t>440.84</t>
        </is>
      </c>
      <c r="Q493" t="inlineStr">
        <is>
          <t>Köln</t>
        </is>
      </c>
    </row>
    <row r="494">
      <c r="A494" t="inlineStr"/>
      <c r="B494" t="inlineStr">
        <is>
          <t>Fanatic Gecko</t>
        </is>
      </c>
      <c r="C494" t="inlineStr">
        <is>
          <t>Freeride</t>
        </is>
      </c>
      <c r="D494" s="3" t="n">
        <v>120</v>
      </c>
      <c r="E494" t="inlineStr">
        <is>
          <t>2019</t>
        </is>
      </c>
      <c r="F494" s="4" t="n">
        <v>670</v>
      </c>
      <c r="G494" t="inlineStr">
        <is>
          <t>VB</t>
        </is>
      </c>
      <c r="H494" t="inlineStr">
        <is>
          <t>15526 Bad Saarow</t>
        </is>
      </c>
      <c r="I494" s="5" t="n">
        <v>45553</v>
      </c>
      <c r="J494" t="inlineStr">
        <is>
          <t>Sold</t>
        </is>
      </c>
      <c r="K494" s="6">
        <f>HYPERLINK("https://www.dailydose.de/kleinanzeigen/detail.htm?ai=422782&amp;cf=kk&amp;pg=5&amp;ci=11", "Link")</f>
        <v/>
      </c>
      <c r="L494" s="6">
        <f>HYPERLINK("C:\Projects\Kleinanzeigen-Scraper\offer_images\422782", "Link")</f>
        <v/>
      </c>
      <c r="M494" t="inlineStr">
        <is>
          <t>Tatjana_S</t>
        </is>
      </c>
      <c r="N494" s="6">
        <f>HYPERLINK("https://www.dailydose.de/kleinanzeigen/user/26422", "Link")</f>
        <v/>
      </c>
      <c r="O494" s="7" t="n">
        <v>45555.56922453704</v>
      </c>
      <c r="P494" s="3" t="inlineStr">
        <is>
          <t>491.09</t>
        </is>
      </c>
      <c r="Q494" t="inlineStr">
        <is>
          <t>München</t>
        </is>
      </c>
    </row>
    <row r="495">
      <c r="A495" t="inlineStr">
        <is>
          <t>76</t>
        </is>
      </c>
      <c r="B495" t="inlineStr">
        <is>
          <t>Tabou Da Curve</t>
        </is>
      </c>
      <c r="C495" t="inlineStr"/>
      <c r="D495" s="3" t="inlineStr"/>
      <c r="E495" t="inlineStr">
        <is>
          <t>2024</t>
        </is>
      </c>
      <c r="F495" s="4" t="n">
        <v>1.199</v>
      </c>
      <c r="G495" t="inlineStr">
        <is>
          <t>VB</t>
        </is>
      </c>
      <c r="H495" t="inlineStr">
        <is>
          <t>47877 Willich, Düsseldorf</t>
        </is>
      </c>
      <c r="I495" s="5" t="n">
        <v>45553</v>
      </c>
      <c r="J495" t="inlineStr">
        <is>
          <t>Sold</t>
        </is>
      </c>
      <c r="K495" s="6">
        <f>HYPERLINK("https://www.dailydose.de/kleinanzeigen/detail.htm?ai=422817&amp;cf=kk&amp;pg=3&amp;ci=11", "Link")</f>
        <v/>
      </c>
      <c r="L495" s="6">
        <f>HYPERLINK("C:\Projects\Kleinanzeigen-Scraper\offer_images\422817", "Link")</f>
        <v/>
      </c>
      <c r="M495" t="inlineStr">
        <is>
          <t>Guido</t>
        </is>
      </c>
      <c r="N495" s="6">
        <f>HYPERLINK("https://www.dailydose.de/kleinanzeigen/user/778", "Link")</f>
        <v/>
      </c>
      <c r="O495" s="7" t="n">
        <v>45555.56913194444</v>
      </c>
      <c r="P495" s="3" t="inlineStr">
        <is>
          <t>47.48</t>
        </is>
      </c>
      <c r="Q495" t="inlineStr">
        <is>
          <t>Köln</t>
        </is>
      </c>
    </row>
    <row r="496">
      <c r="A496" t="inlineStr">
        <is>
          <t>100 cm x 229 cm</t>
        </is>
      </c>
      <c r="B496" t="inlineStr">
        <is>
          <t>Gaastra Formula</t>
        </is>
      </c>
      <c r="C496" t="inlineStr">
        <is>
          <t>Freeride</t>
        </is>
      </c>
      <c r="D496" s="3" t="n">
        <v>178</v>
      </c>
      <c r="E496" t="inlineStr"/>
      <c r="F496" s="4" t="inlineStr">
        <is>
          <t>350.00 EUR</t>
        </is>
      </c>
      <c r="G496" t="inlineStr">
        <is>
          <t>VB</t>
        </is>
      </c>
      <c r="H496" t="inlineStr">
        <is>
          <t>93309 Kelheim</t>
        </is>
      </c>
      <c r="I496" s="5" t="n">
        <v>45553</v>
      </c>
      <c r="J496" t="inlineStr"/>
      <c r="K496" s="6">
        <f>HYPERLINK("https://www.dailydose.de/kleinanzeigen/detail.htm?ai=422829&amp;cf=kk&amp;pg=5&amp;ci=11", "Link")</f>
        <v/>
      </c>
      <c r="L496" s="6">
        <f>HYPERLINK("C:\Projects\Kleinanzeigen-Scraper\offer_images\422829", "Link")</f>
        <v/>
      </c>
      <c r="M496" t="inlineStr">
        <is>
          <t>Drachensurf</t>
        </is>
      </c>
      <c r="N496" s="6">
        <f>HYPERLINK("https://www.dailydose.de/kleinanzeigen/user/7286", "Link")</f>
        <v/>
      </c>
      <c r="O496" s="7" t="n">
        <v>45555.56893518518</v>
      </c>
      <c r="P496" s="3" t="inlineStr">
        <is>
          <t>88.18</t>
        </is>
      </c>
      <c r="Q496" t="inlineStr">
        <is>
          <t>München</t>
        </is>
      </c>
    </row>
    <row r="497">
      <c r="A497" t="inlineStr">
        <is>
          <t>72 cm</t>
        </is>
      </c>
      <c r="B497" t="inlineStr">
        <is>
          <t>JP Slalom Pro</t>
        </is>
      </c>
      <c r="C497" t="inlineStr">
        <is>
          <t>Slalom</t>
        </is>
      </c>
      <c r="D497" s="3" t="n">
        <v>117</v>
      </c>
      <c r="E497" t="inlineStr">
        <is>
          <t>2022</t>
        </is>
      </c>
      <c r="F497" s="4" t="n">
        <v>900</v>
      </c>
      <c r="G497" t="inlineStr"/>
      <c r="H497" t="inlineStr">
        <is>
          <t>A-6020 Innsbruck</t>
        </is>
      </c>
      <c r="I497" s="5" t="n">
        <v>45553</v>
      </c>
      <c r="J497" t="inlineStr"/>
      <c r="K497" s="6">
        <f>HYPERLINK("https://www.dailydose.de/kleinanzeigen/detail.htm?ai=422813&amp;cf=kk&amp;pg=5&amp;ci=11", "Link")</f>
        <v/>
      </c>
      <c r="L497" s="6">
        <f>HYPERLINK("C:\Projects\Kleinanzeigen-Scraper\offer_images\422813", "Link")</f>
        <v/>
      </c>
      <c r="M497" t="inlineStr">
        <is>
          <t>markus tauber</t>
        </is>
      </c>
      <c r="N497" s="6">
        <f>HYPERLINK("https://www.dailydose.de/kleinanzeigen/user/23019", "Link")</f>
        <v/>
      </c>
      <c r="O497" s="7" t="n">
        <v>45555.56880787037</v>
      </c>
      <c r="P497" s="3" t="inlineStr">
        <is>
          <t>97.27</t>
        </is>
      </c>
      <c r="Q497" t="inlineStr">
        <is>
          <t>München</t>
        </is>
      </c>
    </row>
    <row r="498">
      <c r="A498" t="inlineStr"/>
      <c r="B498" t="inlineStr">
        <is>
          <t>Quatro Tetra Thruster</t>
        </is>
      </c>
      <c r="C498" t="inlineStr">
        <is>
          <t>Freewave</t>
        </is>
      </c>
      <c r="D498" s="3" t="n">
        <v>109</v>
      </c>
      <c r="E498" t="inlineStr"/>
      <c r="F498" s="4" t="n">
        <v>499</v>
      </c>
      <c r="G498" t="inlineStr"/>
      <c r="H498" t="inlineStr">
        <is>
          <t>24159 Kiel</t>
        </is>
      </c>
      <c r="I498" s="5" t="n">
        <v>45552</v>
      </c>
      <c r="J498" t="inlineStr">
        <is>
          <t>Sold</t>
        </is>
      </c>
      <c r="K498" s="6">
        <f>HYPERLINK("https://www.dailydose.de/kleinanzeigen/detail.htm?ai=422771&amp;cf=kk&amp;pg=3&amp;ci=11", "Link")</f>
        <v/>
      </c>
      <c r="L498" s="6">
        <f>HYPERLINK("C:\Projects\Kleinanzeigen-Scraper\offer_images\422771", "Link")</f>
        <v/>
      </c>
      <c r="M498" t="inlineStr">
        <is>
          <t>mbitze_10</t>
        </is>
      </c>
      <c r="N498" s="6">
        <f>HYPERLINK("https://www.dailydose.de/kleinanzeigen/user/4890", "Link")</f>
        <v/>
      </c>
      <c r="O498" s="7" t="n">
        <v>45555.56868055555</v>
      </c>
      <c r="P498" s="3" t="inlineStr">
        <is>
          <t>440.84</t>
        </is>
      </c>
      <c r="Q498" t="inlineStr">
        <is>
          <t>Köln</t>
        </is>
      </c>
    </row>
    <row r="499">
      <c r="A499" t="inlineStr"/>
      <c r="B499" t="inlineStr">
        <is>
          <t>JP</t>
        </is>
      </c>
      <c r="C499" t="inlineStr">
        <is>
          <t>Freestyle</t>
        </is>
      </c>
      <c r="D499" s="3" t="n">
        <v>92</v>
      </c>
      <c r="E499" t="inlineStr">
        <is>
          <t>2018</t>
        </is>
      </c>
      <c r="F499" s="4" t="n">
        <v>750</v>
      </c>
      <c r="G499" t="inlineStr"/>
      <c r="H499" t="inlineStr">
        <is>
          <t>Imst/Innsbruck/Gardasee</t>
        </is>
      </c>
      <c r="I499" s="5" t="n">
        <v>45553</v>
      </c>
      <c r="J499" t="inlineStr"/>
      <c r="K499" s="6">
        <f>HYPERLINK("https://www.dailydose.de/kleinanzeigen/detail.htm?ai=422795&amp;cf=kk&amp;pg=5&amp;ci=11", "Link")</f>
        <v/>
      </c>
      <c r="L499" s="6">
        <f>HYPERLINK("C:\Projects\Kleinanzeigen-Scraper\offer_images\422795", "Link")</f>
        <v/>
      </c>
      <c r="M499" t="inlineStr">
        <is>
          <t>Maria_68</t>
        </is>
      </c>
      <c r="N499" s="6">
        <f>HYPERLINK("https://www.dailydose.de/kleinanzeigen/user/25461", "Link")</f>
        <v/>
      </c>
      <c r="O499" s="7" t="n">
        <v>45555.56855324074</v>
      </c>
      <c r="P499" s="3" t="inlineStr">
        <is>
          <t>117.54</t>
        </is>
      </c>
      <c r="Q499" t="inlineStr">
        <is>
          <t>München</t>
        </is>
      </c>
    </row>
    <row r="500">
      <c r="A500" t="inlineStr"/>
      <c r="B500" t="inlineStr">
        <is>
          <t>Severne DYNO 3</t>
        </is>
      </c>
      <c r="C500" t="inlineStr">
        <is>
          <t>Freewave</t>
        </is>
      </c>
      <c r="D500" s="3" t="n">
        <v>105</v>
      </c>
      <c r="E500" t="inlineStr">
        <is>
          <t>2023</t>
        </is>
      </c>
      <c r="F500" s="4" t="n">
        <v>850</v>
      </c>
      <c r="G500" t="inlineStr"/>
      <c r="H500" t="inlineStr">
        <is>
          <t>58540 Sauerland -NRW</t>
        </is>
      </c>
      <c r="I500" s="5" t="n">
        <v>45554</v>
      </c>
      <c r="J500" t="inlineStr">
        <is>
          <t>Sold</t>
        </is>
      </c>
      <c r="K500" s="6">
        <f>HYPERLINK("https://www.dailydose.de/kleinanzeigen/detail.htm?ai=422866&amp;cf=kk&amp;pg=1&amp;ci=11", "Link")</f>
        <v/>
      </c>
      <c r="L500" s="6">
        <f>HYPERLINK("C:\Projects\Kleinanzeigen-Scraper\offer_images\422866", "Link")</f>
        <v/>
      </c>
      <c r="M500" t="inlineStr">
        <is>
          <t>tivitac</t>
        </is>
      </c>
      <c r="N500" s="6">
        <f>HYPERLINK("https://www.dailydose.de/kleinanzeigen/user/1938", "Link")</f>
        <v/>
      </c>
      <c r="O500" s="7" t="n">
        <v>45555.5684837963</v>
      </c>
      <c r="P500" s="3" t="inlineStr">
        <is>
          <t>56.25</t>
        </is>
      </c>
      <c r="Q500" t="inlineStr">
        <is>
          <t>Köln</t>
        </is>
      </c>
    </row>
    <row r="501">
      <c r="A501" t="inlineStr"/>
      <c r="B501" t="inlineStr">
        <is>
          <t>Duotone Grip 4 SLS</t>
        </is>
      </c>
      <c r="C501" t="inlineStr"/>
      <c r="D501" s="3" t="n">
        <v>69</v>
      </c>
      <c r="E501" t="inlineStr">
        <is>
          <t>2024</t>
        </is>
      </c>
      <c r="F501" s="4" t="n">
        <v>700</v>
      </c>
      <c r="G501" t="inlineStr"/>
      <c r="H501" t="inlineStr">
        <is>
          <t>23617 Lübeck</t>
        </is>
      </c>
      <c r="I501" s="5" t="n">
        <v>45553</v>
      </c>
      <c r="J501" t="inlineStr">
        <is>
          <t>Sold</t>
        </is>
      </c>
      <c r="K501" s="6">
        <f>HYPERLINK("https://www.dailydose.de/kleinanzeigen/detail.htm?ai=422784&amp;cf=kk&amp;pg=5&amp;ci=11", "Link")</f>
        <v/>
      </c>
      <c r="L501" s="6">
        <f>HYPERLINK("C:\Projects\Kleinanzeigen-Scraper\offer_images\422784", "Link")</f>
        <v/>
      </c>
      <c r="M501" t="inlineStr">
        <is>
          <t>Maria Behrens</t>
        </is>
      </c>
      <c r="N501" s="6">
        <f>HYPERLINK("https://www.dailydose.de/kleinanzeigen/user/2506", "Link")</f>
        <v/>
      </c>
      <c r="O501" s="7" t="n">
        <v>45555.56813657407</v>
      </c>
      <c r="P501" s="3" t="inlineStr">
        <is>
          <t>415.17</t>
        </is>
      </c>
      <c r="Q501" t="inlineStr">
        <is>
          <t>Köln</t>
        </is>
      </c>
    </row>
    <row r="502">
      <c r="A502" t="inlineStr"/>
      <c r="B502" t="inlineStr">
        <is>
          <t>JP</t>
        </is>
      </c>
      <c r="C502" t="inlineStr">
        <is>
          <t>Freestyle</t>
        </is>
      </c>
      <c r="D502" s="3" t="n">
        <v>89</v>
      </c>
      <c r="E502" t="inlineStr"/>
      <c r="F502" s="4" t="n">
        <v>485</v>
      </c>
      <c r="G502" t="inlineStr"/>
      <c r="H502" t="inlineStr">
        <is>
          <t>67346 Speyer</t>
        </is>
      </c>
      <c r="I502" s="5" t="n">
        <v>45554</v>
      </c>
      <c r="J502" t="inlineStr"/>
      <c r="K502" s="6">
        <f>HYPERLINK("https://www.dailydose.de/kleinanzeigen/detail.htm?ai=422873&amp;cf=kk&amp;pg=5&amp;ci=11", "Link")</f>
        <v/>
      </c>
      <c r="L502" s="6">
        <f>HYPERLINK("C:\Projects\Kleinanzeigen-Scraper\offer_images\422873", "Link")</f>
        <v/>
      </c>
      <c r="M502" t="inlineStr">
        <is>
          <t>Didi_65</t>
        </is>
      </c>
      <c r="N502" s="6">
        <f>HYPERLINK("https://www.dailydose.de/kleinanzeigen/user/6981", "Link")</f>
        <v/>
      </c>
      <c r="O502" s="7" t="n">
        <v>45555.56798611111</v>
      </c>
      <c r="P502" s="3" t="inlineStr">
        <is>
          <t>35.76</t>
        </is>
      </c>
      <c r="Q502" t="inlineStr">
        <is>
          <t>Karlsruhe</t>
        </is>
      </c>
    </row>
    <row r="503">
      <c r="A503" t="inlineStr"/>
      <c r="B503" t="inlineStr">
        <is>
          <t>BIC Freeride</t>
        </is>
      </c>
      <c r="C503" t="inlineStr">
        <is>
          <t>Freeride</t>
        </is>
      </c>
      <c r="D503" s="3" t="n">
        <v>130</v>
      </c>
      <c r="E503" t="inlineStr"/>
      <c r="F503" s="4" t="n">
        <v>200</v>
      </c>
      <c r="G503" t="inlineStr"/>
      <c r="H503" t="inlineStr">
        <is>
          <t>30966 Hemmingen</t>
        </is>
      </c>
      <c r="I503" s="5" t="n">
        <v>45554</v>
      </c>
      <c r="J503" t="inlineStr"/>
      <c r="K503" s="6">
        <f>HYPERLINK("https://www.dailydose.de/kleinanzeigen/detail.htm?ai=422874&amp;cf=kk&amp;pg=5&amp;ci=11", "Link")</f>
        <v/>
      </c>
      <c r="L503" s="6">
        <f>HYPERLINK("C:\Projects\Kleinanzeigen-Scraper\offer_images\422874", "Link")</f>
        <v/>
      </c>
      <c r="M503" t="inlineStr">
        <is>
          <t>Peter183</t>
        </is>
      </c>
      <c r="N503" s="6">
        <f>HYPERLINK("https://www.dailydose.de/kleinanzeigen/user/18474", "Link")</f>
        <v/>
      </c>
      <c r="O503" s="7" t="n">
        <v>45555.56788194444</v>
      </c>
      <c r="P503" s="3" t="inlineStr">
        <is>
          <t>244.01</t>
        </is>
      </c>
      <c r="Q503" t="inlineStr">
        <is>
          <t>Köln</t>
        </is>
      </c>
    </row>
    <row r="504">
      <c r="A504" t="inlineStr">
        <is>
          <t>234 cm x 64 cm</t>
        </is>
      </c>
      <c r="B504" t="inlineStr">
        <is>
          <t>JP Freestyle Wave</t>
        </is>
      </c>
      <c r="C504" t="inlineStr">
        <is>
          <t>Freestyle Wave</t>
        </is>
      </c>
      <c r="D504" s="3" t="n">
        <v>111</v>
      </c>
      <c r="E504" t="inlineStr"/>
      <c r="F504" s="4" t="n">
        <v>500</v>
      </c>
      <c r="G504" t="inlineStr">
        <is>
          <t>VB</t>
        </is>
      </c>
      <c r="H504" t="inlineStr">
        <is>
          <t>67071 Ludwigshafen</t>
        </is>
      </c>
      <c r="I504" s="5" t="n">
        <v>45554</v>
      </c>
      <c r="J504" t="inlineStr">
        <is>
          <t>Sold</t>
        </is>
      </c>
      <c r="K504" s="6">
        <f>HYPERLINK("https://www.dailydose.de/kleinanzeigen/detail.htm?ai=422848&amp;cf=kk&amp;pg=2&amp;ci=11", "Link")</f>
        <v/>
      </c>
      <c r="L504" s="6">
        <f>HYPERLINK("C:\Projects\Kleinanzeigen-Scraper\offer_images\422848", "Link")</f>
        <v/>
      </c>
      <c r="M504" t="inlineStr">
        <is>
          <t>windsun</t>
        </is>
      </c>
      <c r="N504" s="6">
        <f>HYPERLINK("https://www.dailydose.de/kleinanzeigen/user/25093", "Link")</f>
        <v/>
      </c>
      <c r="O504" s="7" t="n">
        <v>45555.56788194444</v>
      </c>
      <c r="P504" s="3" t="inlineStr">
        <is>
          <t>52.34</t>
        </is>
      </c>
      <c r="Q504" t="inlineStr">
        <is>
          <t>Karlsruhe</t>
        </is>
      </c>
    </row>
    <row r="505">
      <c r="A505" t="inlineStr"/>
      <c r="B505" t="inlineStr">
        <is>
          <t>Patrik Slalom 110 V4</t>
        </is>
      </c>
      <c r="C505" t="inlineStr">
        <is>
          <t>Slalom</t>
        </is>
      </c>
      <c r="D505" s="3" t="n">
        <v>110</v>
      </c>
      <c r="E505" t="inlineStr">
        <is>
          <t>2019</t>
        </is>
      </c>
      <c r="F505" s="4" t="n">
        <v>600</v>
      </c>
      <c r="G505" t="inlineStr"/>
      <c r="H505" t="inlineStr">
        <is>
          <t>24105 Kiel / Hamburg</t>
        </is>
      </c>
      <c r="I505" s="5" t="n">
        <v>45551</v>
      </c>
      <c r="J505" t="inlineStr">
        <is>
          <t>Sold</t>
        </is>
      </c>
      <c r="K505" s="6">
        <f>HYPERLINK("https://www.dailydose.de/kleinanzeigen/detail.htm?ai=422739&amp;cf=kk&amp;pg=5&amp;ci=11", "Link")</f>
        <v/>
      </c>
      <c r="L505" s="6">
        <f>HYPERLINK("C:\Projects\Kleinanzeigen-Scraper\offer_images\422739", "Link")</f>
        <v/>
      </c>
      <c r="M505" t="inlineStr">
        <is>
          <t>Tjark Henkensiefken</t>
        </is>
      </c>
      <c r="N505" s="6">
        <f>HYPERLINK("https://www.dailydose.de/kleinanzeigen/user/22889", "Link")</f>
        <v/>
      </c>
      <c r="O505" s="7" t="n">
        <v>45555.5678587963</v>
      </c>
      <c r="P505" s="3" t="inlineStr">
        <is>
          <t>435.05</t>
        </is>
      </c>
      <c r="Q505" t="inlineStr">
        <is>
          <t>Köln</t>
        </is>
      </c>
    </row>
    <row r="506">
      <c r="A506" t="inlineStr">
        <is>
          <t>380</t>
        </is>
      </c>
      <c r="B506" t="inlineStr">
        <is>
          <t>Fanatic MEGA CAT</t>
        </is>
      </c>
      <c r="C506" t="inlineStr"/>
      <c r="D506" s="3" t="n">
        <v>250</v>
      </c>
      <c r="E506" t="inlineStr"/>
      <c r="F506" s="4" t="n">
        <v>295</v>
      </c>
      <c r="G506" t="inlineStr"/>
      <c r="H506" t="inlineStr">
        <is>
          <t>12526 Berlin</t>
        </is>
      </c>
      <c r="I506" s="5" t="n">
        <v>45553</v>
      </c>
      <c r="J506" t="inlineStr"/>
      <c r="K506" s="6">
        <f>HYPERLINK("https://www.dailydose.de/kleinanzeigen/detail.htm?ai=422789&amp;cf=kk&amp;pg=5&amp;ci=11", "Link")</f>
        <v/>
      </c>
      <c r="L506" s="6">
        <f>HYPERLINK("C:\Projects\Kleinanzeigen-Scraper\offer_images\422789", "Link")</f>
        <v/>
      </c>
      <c r="M506" t="inlineStr">
        <is>
          <t>Rasmus 1</t>
        </is>
      </c>
      <c r="N506" s="6">
        <f>HYPERLINK("https://www.dailydose.de/kleinanzeigen/user/17567", "Link")</f>
        <v/>
      </c>
      <c r="O506" s="7" t="n">
        <v>45555.56773148148</v>
      </c>
      <c r="P506" s="3" t="inlineStr">
        <is>
          <t>484.42</t>
        </is>
      </c>
      <c r="Q506" t="inlineStr">
        <is>
          <t>Köln</t>
        </is>
      </c>
    </row>
    <row r="507">
      <c r="A507" t="inlineStr">
        <is>
          <t>101 L</t>
        </is>
      </c>
      <c r="B507" t="inlineStr">
        <is>
          <t>JP Freestyle Wave</t>
        </is>
      </c>
      <c r="C507" t="inlineStr">
        <is>
          <t>Freestyle Wave</t>
        </is>
      </c>
      <c r="D507" s="3" t="n">
        <v>101</v>
      </c>
      <c r="E507" t="inlineStr"/>
      <c r="F507" s="4" t="n">
        <v>200</v>
      </c>
      <c r="G507" t="inlineStr"/>
      <c r="H507" t="inlineStr">
        <is>
          <t>63067 Offenbach am Main</t>
        </is>
      </c>
      <c r="I507" s="5" t="n">
        <v>45553</v>
      </c>
      <c r="J507" t="inlineStr"/>
      <c r="K507" s="6">
        <f>HYPERLINK("https://www.dailydose.de/kleinanzeigen/detail.htm?ai=422808&amp;cf=kk&amp;pg=5&amp;ci=11", "Link")</f>
        <v/>
      </c>
      <c r="L507" s="6">
        <f>HYPERLINK("C:\Projects\Kleinanzeigen-Scraper\offer_images\422808", "Link")</f>
        <v/>
      </c>
      <c r="M507" t="inlineStr">
        <is>
          <t>monnem_65</t>
        </is>
      </c>
      <c r="N507" s="6">
        <f>HYPERLINK("https://www.dailydose.de/kleinanzeigen/user/3381", "Link")</f>
        <v/>
      </c>
      <c r="O507" s="7" t="n">
        <v>45555.56767361111</v>
      </c>
      <c r="P507" s="3" t="inlineStr">
        <is>
          <t>125.21</t>
        </is>
      </c>
      <c r="Q507" t="inlineStr">
        <is>
          <t>Karlsruhe</t>
        </is>
      </c>
    </row>
    <row r="508">
      <c r="A508" t="inlineStr">
        <is>
          <t>227 x 95.5</t>
        </is>
      </c>
      <c r="B508" t="inlineStr">
        <is>
          <t>Fanatic Quad</t>
        </is>
      </c>
      <c r="C508" t="inlineStr">
        <is>
          <t>Freestyle</t>
        </is>
      </c>
      <c r="D508" s="3" t="n">
        <v>90</v>
      </c>
      <c r="E508" t="inlineStr"/>
      <c r="F508" s="4" t="n">
        <v>400</v>
      </c>
      <c r="G508" t="inlineStr"/>
      <c r="H508" t="inlineStr">
        <is>
          <t>24159  Kiel</t>
        </is>
      </c>
      <c r="I508" s="5" t="n">
        <v>45553</v>
      </c>
      <c r="J508" t="inlineStr"/>
      <c r="K508" s="6">
        <f>HYPERLINK("https://www.dailydose.de/kleinanzeigen/detail.htm?ai=422803&amp;cf=kk&amp;pg=5&amp;ci=11", "Link")</f>
        <v/>
      </c>
      <c r="L508" s="6">
        <f>HYPERLINK("C:\Projects\Kleinanzeigen-Scraper\offer_images\422803", "Link")</f>
        <v/>
      </c>
      <c r="M508" t="inlineStr">
        <is>
          <t>anatom007</t>
        </is>
      </c>
      <c r="N508" s="6">
        <f>HYPERLINK("https://www.dailydose.de/kleinanzeigen/user/2692", "Link")</f>
        <v/>
      </c>
      <c r="O508" s="7" t="n">
        <v>45555.56756944444</v>
      </c>
      <c r="P508" s="3" t="inlineStr">
        <is>
          <t>440.84</t>
        </is>
      </c>
      <c r="Q508" t="inlineStr">
        <is>
          <t>Köln</t>
        </is>
      </c>
    </row>
    <row r="509">
      <c r="A509" t="inlineStr">
        <is>
          <t xml:space="preserve">Dimensions </t>
        </is>
      </c>
      <c r="B509" t="inlineStr">
        <is>
          <t>JP Magic Ride LXT</t>
        </is>
      </c>
      <c r="C509" t="inlineStr">
        <is>
          <t>Freeride</t>
        </is>
      </c>
      <c r="D509" s="3" t="n">
        <v>119</v>
      </c>
      <c r="E509" t="inlineStr">
        <is>
          <t>2023</t>
        </is>
      </c>
      <c r="F509" s="4" t="n">
        <v>1090</v>
      </c>
      <c r="G509" t="inlineStr"/>
      <c r="H509" t="inlineStr">
        <is>
          <t>83236 Übersee</t>
        </is>
      </c>
      <c r="I509" s="5" t="n">
        <v>45554</v>
      </c>
      <c r="J509" t="inlineStr">
        <is>
          <t>Sold</t>
        </is>
      </c>
      <c r="K509" s="6">
        <f>HYPERLINK("https://www.dailydose.de/kleinanzeigen/detail.htm?ai=422835&amp;cf=kk&amp;pg=3&amp;ci=11", "Link")</f>
        <v/>
      </c>
      <c r="L509" s="6">
        <f>HYPERLINK("C:\Projects\Kleinanzeigen-Scraper\offer_images\422835", "Link")</f>
        <v/>
      </c>
      <c r="M509" t="inlineStr">
        <is>
          <t>toros_locos</t>
        </is>
      </c>
      <c r="N509" s="6">
        <f>HYPERLINK("https://www.dailydose.de/kleinanzeigen/user/20991", "Link")</f>
        <v/>
      </c>
      <c r="O509" s="7" t="n">
        <v>45555.56753472222</v>
      </c>
      <c r="P509" s="3" t="inlineStr">
        <is>
          <t>76.24</t>
        </is>
      </c>
      <c r="Q509" t="inlineStr">
        <is>
          <t>München</t>
        </is>
      </c>
    </row>
    <row r="510">
      <c r="A510" t="inlineStr">
        <is>
          <t>80</t>
        </is>
      </c>
      <c r="B510" t="inlineStr">
        <is>
          <t>Tabou Da Curve</t>
        </is>
      </c>
      <c r="C510" t="inlineStr">
        <is>
          <t>Freestyle</t>
        </is>
      </c>
      <c r="D510" s="3" t="inlineStr"/>
      <c r="E510" t="inlineStr"/>
      <c r="F510" s="4" t="n">
        <v>330</v>
      </c>
      <c r="G510" t="inlineStr">
        <is>
          <t>VB</t>
        </is>
      </c>
      <c r="H510" t="inlineStr">
        <is>
          <t>53844 Troisdorf (Bonn/Köln)</t>
        </is>
      </c>
      <c r="I510" s="5" t="n">
        <v>45552</v>
      </c>
      <c r="J510" t="inlineStr">
        <is>
          <t>Sold</t>
        </is>
      </c>
      <c r="K510" s="6">
        <f>HYPERLINK("https://www.dailydose.de/kleinanzeigen/detail.htm?ai=422778&amp;cf=kk&amp;pg=5&amp;ci=11", "Link")</f>
        <v/>
      </c>
      <c r="L510" s="6">
        <f>HYPERLINK("C:\Projects\Kleinanzeigen-Scraper\offer_images\422778", "Link")</f>
        <v/>
      </c>
      <c r="M510" t="inlineStr">
        <is>
          <t>GK</t>
        </is>
      </c>
      <c r="N510" s="6">
        <f>HYPERLINK("https://www.dailydose.de/kleinanzeigen/user/13476", "Link")</f>
        <v/>
      </c>
      <c r="O510" s="7" t="n">
        <v>45555.5674074074</v>
      </c>
      <c r="P510" s="3" t="inlineStr">
        <is>
          <t>19.95</t>
        </is>
      </c>
      <c r="Q510" t="inlineStr">
        <is>
          <t>Köln</t>
        </is>
      </c>
    </row>
    <row r="511">
      <c r="A511" t="inlineStr">
        <is>
          <t>10 x</t>
        </is>
      </c>
      <c r="B511" t="inlineStr">
        <is>
          <t>Quatro Pyramid</t>
        </is>
      </c>
      <c r="C511" t="inlineStr">
        <is>
          <t>Wave</t>
        </is>
      </c>
      <c r="D511" s="3" t="n">
        <v>87</v>
      </c>
      <c r="E511" t="inlineStr"/>
      <c r="F511" s="4" t="n">
        <v>650</v>
      </c>
      <c r="G511" t="inlineStr"/>
      <c r="H511" t="inlineStr">
        <is>
          <t>26725 Emden</t>
        </is>
      </c>
      <c r="I511" s="5" t="n">
        <v>45552</v>
      </c>
      <c r="J511" t="inlineStr">
        <is>
          <t>Sold</t>
        </is>
      </c>
      <c r="K511" s="6">
        <f>HYPERLINK("https://www.dailydose.de/kleinanzeigen/detail.htm?ai=422776&amp;cf=kk&amp;pg=3&amp;ci=11", "Link")</f>
        <v/>
      </c>
      <c r="L511" s="6">
        <f>HYPERLINK("C:\Projects\Kleinanzeigen-Scraper\offer_images\422776", "Link")</f>
        <v/>
      </c>
      <c r="M511" t="inlineStr">
        <is>
          <t>Emsrider</t>
        </is>
      </c>
      <c r="N511" s="6">
        <f>HYPERLINK("https://www.dailydose.de/kleinanzeigen/user/5703", "Link")</f>
        <v/>
      </c>
      <c r="O511" s="7" t="n">
        <v>45555.56731481481</v>
      </c>
      <c r="P511" s="3" t="inlineStr">
        <is>
          <t>269.38</t>
        </is>
      </c>
      <c r="Q511" t="inlineStr">
        <is>
          <t>Köln</t>
        </is>
      </c>
    </row>
    <row r="512">
      <c r="A512" t="inlineStr">
        <is>
          <t>237 cm x 81 cm</t>
        </is>
      </c>
      <c r="B512" t="inlineStr">
        <is>
          <t>Tabou Rocket Plus Team</t>
        </is>
      </c>
      <c r="C512" t="inlineStr">
        <is>
          <t>Freeride</t>
        </is>
      </c>
      <c r="D512" s="3" t="n">
        <v>133</v>
      </c>
      <c r="E512" t="inlineStr"/>
      <c r="F512" s="4" t="n">
        <v>1400</v>
      </c>
      <c r="G512" t="inlineStr">
        <is>
          <t>VB</t>
        </is>
      </c>
      <c r="H512" t="inlineStr">
        <is>
          <t>67071 Ludwigshafen</t>
        </is>
      </c>
      <c r="I512" s="5" t="n">
        <v>45554</v>
      </c>
      <c r="J512" t="inlineStr"/>
      <c r="K512" s="6">
        <f>HYPERLINK("https://www.dailydose.de/kleinanzeigen/detail.htm?ai=422847&amp;cf=kk&amp;pg=5&amp;ci=11", "Link")</f>
        <v/>
      </c>
      <c r="L512" s="6">
        <f>HYPERLINK("C:\Projects\Kleinanzeigen-Scraper\offer_images\422847", "Link")</f>
        <v/>
      </c>
      <c r="M512" t="inlineStr">
        <is>
          <t>windsun</t>
        </is>
      </c>
      <c r="N512" s="6">
        <f>HYPERLINK("https://www.dailydose.de/kleinanzeigen/user/25093", "Link")</f>
        <v/>
      </c>
      <c r="O512" s="7" t="n">
        <v>45555.56728009259</v>
      </c>
      <c r="P512" s="3" t="inlineStr">
        <is>
          <t>52.34</t>
        </is>
      </c>
      <c r="Q512" t="inlineStr">
        <is>
          <t>Karlsruhe</t>
        </is>
      </c>
    </row>
    <row r="513">
      <c r="A513" t="inlineStr">
        <is>
          <t>Length: , Width: 62.5 cm</t>
        </is>
      </c>
      <c r="B513" t="inlineStr">
        <is>
          <t>JP Slalom Pro</t>
        </is>
      </c>
      <c r="C513" t="inlineStr">
        <is>
          <t>Slalom</t>
        </is>
      </c>
      <c r="D513" s="3" t="n">
        <v>97</v>
      </c>
      <c r="E513" t="inlineStr">
        <is>
          <t>2024</t>
        </is>
      </c>
      <c r="F513" s="4" t="n">
        <v>900</v>
      </c>
      <c r="G513" t="inlineStr"/>
      <c r="H513" t="inlineStr">
        <is>
          <t>A-6020 Innsbruck</t>
        </is>
      </c>
      <c r="I513" s="5" t="n">
        <v>45553</v>
      </c>
      <c r="J513" t="inlineStr"/>
      <c r="K513" s="6">
        <f>HYPERLINK("https://www.dailydose.de/kleinanzeigen/detail.htm?ai=422814&amp;cf=kk&amp;pg=5&amp;ci=11", "Link")</f>
        <v/>
      </c>
      <c r="L513" s="6">
        <f>HYPERLINK("C:\Projects\Kleinanzeigen-Scraper\offer_images\422814", "Link")</f>
        <v/>
      </c>
      <c r="M513" t="inlineStr">
        <is>
          <t>markus tauber</t>
        </is>
      </c>
      <c r="N513" s="6">
        <f>HYPERLINK("https://www.dailydose.de/kleinanzeigen/user/23019", "Link")</f>
        <v/>
      </c>
      <c r="O513" s="7" t="n">
        <v>45555.56722222222</v>
      </c>
      <c r="P513" s="3" t="inlineStr">
        <is>
          <t>97.27</t>
        </is>
      </c>
      <c r="Q513" t="inlineStr">
        <is>
          <t>München</t>
        </is>
      </c>
    </row>
    <row r="514">
      <c r="A514" t="inlineStr">
        <is>
          <t>258 cm x 57 cm</t>
        </is>
      </c>
      <c r="B514" t="inlineStr">
        <is>
          <t>ON Wave</t>
        </is>
      </c>
      <c r="C514" t="inlineStr">
        <is>
          <t>Wave</t>
        </is>
      </c>
      <c r="D514" s="3" t="n">
        <v>85</v>
      </c>
      <c r="E514" t="inlineStr"/>
      <c r="F514" s="4" t="n">
        <v>200</v>
      </c>
      <c r="G514" t="inlineStr"/>
      <c r="H514" t="inlineStr">
        <is>
          <t>30966 Hemmingen</t>
        </is>
      </c>
      <c r="I514" s="5" t="n">
        <v>45554</v>
      </c>
      <c r="J514" t="inlineStr"/>
      <c r="K514" s="6">
        <f>HYPERLINK("https://www.dailydose.de/kleinanzeigen/detail.htm?ai=422875&amp;cf=kk&amp;pg=5&amp;ci=11", "Link")</f>
        <v/>
      </c>
      <c r="L514" s="6">
        <f>HYPERLINK("C:\Projects\Kleinanzeigen-Scraper\offer_images\422875", "Link")</f>
        <v/>
      </c>
      <c r="M514" t="inlineStr">
        <is>
          <t>Peter183</t>
        </is>
      </c>
      <c r="N514" s="6">
        <f>HYPERLINK("https://www.dailydose.de/kleinanzeigen/user/18474", "Link")</f>
        <v/>
      </c>
      <c r="O514" s="7" t="n">
        <v>45555.56722222222</v>
      </c>
      <c r="P514" s="3" t="inlineStr">
        <is>
          <t>244.01</t>
        </is>
      </c>
      <c r="Q514" t="inlineStr">
        <is>
          <t>Köln</t>
        </is>
      </c>
    </row>
    <row r="515">
      <c r="A515" t="inlineStr">
        <is>
          <t>Length: , Width: 62.5 cm</t>
        </is>
      </c>
      <c r="B515" t="inlineStr">
        <is>
          <t>JP Slalom Pro</t>
        </is>
      </c>
      <c r="C515" t="inlineStr">
        <is>
          <t>Slalom</t>
        </is>
      </c>
      <c r="D515" s="3" t="n">
        <v>95</v>
      </c>
      <c r="E515" t="inlineStr">
        <is>
          <t>2022</t>
        </is>
      </c>
      <c r="F515" s="4" t="n">
        <v>900</v>
      </c>
      <c r="G515" t="inlineStr"/>
      <c r="H515" t="inlineStr">
        <is>
          <t>A-6020 Innsbruck</t>
        </is>
      </c>
      <c r="I515" s="5" t="n">
        <v>45553</v>
      </c>
      <c r="J515" t="inlineStr"/>
      <c r="K515" s="6">
        <f>HYPERLINK("https://www.dailydose.de/kleinanzeigen/detail.htm?ai=422812&amp;cf=kk&amp;pg=5&amp;ci=11", "Link")</f>
        <v/>
      </c>
      <c r="L515" s="6">
        <f>HYPERLINK("C:\Projects\Kleinanzeigen-Scraper\offer_images\422812", "Link")</f>
        <v/>
      </c>
      <c r="M515" t="inlineStr">
        <is>
          <t>markus tauber</t>
        </is>
      </c>
      <c r="N515" s="6">
        <f>HYPERLINK("https://www.dailydose.de/kleinanzeigen/user/23019", "Link")</f>
        <v/>
      </c>
      <c r="O515" s="7" t="n">
        <v>45555.5671875</v>
      </c>
      <c r="P515" s="3" t="inlineStr">
        <is>
          <t>97.27</t>
        </is>
      </c>
      <c r="Q515" t="inlineStr">
        <is>
          <t>München</t>
        </is>
      </c>
    </row>
    <row r="516">
      <c r="A516" t="inlineStr">
        <is>
          <t>246 x 68</t>
        </is>
      </c>
      <c r="B516" t="inlineStr">
        <is>
          <t>Horney Freewave Crosover</t>
        </is>
      </c>
      <c r="C516" t="inlineStr">
        <is>
          <t>Freeride</t>
        </is>
      </c>
      <c r="D516" s="3" t="n">
        <v>120</v>
      </c>
      <c r="E516" t="inlineStr"/>
      <c r="F516" s="4" t="n">
        <v>1200</v>
      </c>
      <c r="G516" t="inlineStr"/>
      <c r="H516" t="inlineStr">
        <is>
          <t>4322cg Scharendijke Holland</t>
        </is>
      </c>
      <c r="I516" s="5" t="n">
        <v>45551</v>
      </c>
      <c r="J516" t="inlineStr">
        <is>
          <t>Sold</t>
        </is>
      </c>
      <c r="K516" s="6">
        <f>HYPERLINK("https://www.dailydose.de/kleinanzeigen/detail.htm?ai=422737&amp;cf=kk&amp;pg=3&amp;ci=11", "Link")</f>
        <v/>
      </c>
      <c r="L516" s="6">
        <f>HYPERLINK("C:\Projects\Kleinanzeigen-Scraper\offer_images\422737", "Link")</f>
        <v/>
      </c>
      <c r="M516" t="inlineStr">
        <is>
          <t>leosurfer</t>
        </is>
      </c>
      <c r="N516" s="6">
        <f>HYPERLINK("https://www.dailydose.de/kleinanzeigen/user/13966", "Link")</f>
        <v/>
      </c>
      <c r="O516" s="7" t="n">
        <v>45555.5670949074</v>
      </c>
      <c r="P516" s="3" t="inlineStr">
        <is>
          <t>233.35</t>
        </is>
      </c>
      <c r="Q516" t="inlineStr">
        <is>
          <t>Köln</t>
        </is>
      </c>
    </row>
    <row r="517">
      <c r="A517" t="inlineStr"/>
      <c r="B517" t="inlineStr">
        <is>
          <t>JP Thruster Quad</t>
        </is>
      </c>
      <c r="C517" t="inlineStr">
        <is>
          <t>Freestyle</t>
        </is>
      </c>
      <c r="D517" s="3" t="n">
        <v>84</v>
      </c>
      <c r="E517" t="inlineStr"/>
      <c r="F517" s="4" t="n">
        <v>450</v>
      </c>
      <c r="G517" t="inlineStr"/>
      <c r="H517" t="inlineStr">
        <is>
          <t>24159 Kiel</t>
        </is>
      </c>
      <c r="I517" s="5" t="n">
        <v>45552</v>
      </c>
      <c r="J517" t="inlineStr">
        <is>
          <t>Sold</t>
        </is>
      </c>
      <c r="K517" s="6">
        <f>HYPERLINK("https://www.dailydose.de/kleinanzeigen/detail.htm?ai=422772&amp;cf=kk&amp;pg=5&amp;ci=11", "Link")</f>
        <v/>
      </c>
      <c r="L517" s="6">
        <f>HYPERLINK("C:\Projects\Kleinanzeigen-Scraper\offer_images\422772", "Link")</f>
        <v/>
      </c>
      <c r="M517" t="inlineStr">
        <is>
          <t>mbitze_10</t>
        </is>
      </c>
      <c r="N517" s="6">
        <f>HYPERLINK("https://www.dailydose.de/kleinanzeigen/user/4890", "Link")</f>
        <v/>
      </c>
      <c r="O517" s="7" t="n">
        <v>45555.56702546297</v>
      </c>
      <c r="P517" s="3" t="inlineStr">
        <is>
          <t>440.84</t>
        </is>
      </c>
      <c r="Q517" t="inlineStr">
        <is>
          <t>Köln</t>
        </is>
      </c>
    </row>
    <row r="518">
      <c r="A518" t="inlineStr"/>
      <c r="B518" t="inlineStr">
        <is>
          <t>RRD</t>
        </is>
      </c>
      <c r="C518" t="inlineStr"/>
      <c r="D518" s="3" t="n">
        <v>125</v>
      </c>
      <c r="E518" t="inlineStr">
        <is>
          <t>2023</t>
        </is>
      </c>
      <c r="F518" s="4" t="n">
        <v>890</v>
      </c>
      <c r="G518" t="inlineStr"/>
      <c r="H518" t="inlineStr">
        <is>
          <t>75 181 PFORZHEIM</t>
        </is>
      </c>
      <c r="I518" s="5" t="n">
        <v>45554</v>
      </c>
      <c r="J518" t="inlineStr"/>
      <c r="K518" s="6">
        <f>HYPERLINK("https://www.dailydose.de/kleinanzeigen/detail.htm?ai=422854&amp;cf=kk&amp;pg=5&amp;ci=11", "Link")</f>
        <v/>
      </c>
      <c r="L518" s="6">
        <f>HYPERLINK("C:\Projects\Kleinanzeigen-Scraper\offer_images\422854", "Link")</f>
        <v/>
      </c>
      <c r="M518" t="inlineStr">
        <is>
          <t>Boardverkauf</t>
        </is>
      </c>
      <c r="N518" s="6">
        <f>HYPERLINK("https://www.dailydose.de/kleinanzeigen/user/26426", "Link")</f>
        <v/>
      </c>
      <c r="O518" s="7" t="n">
        <v>45555.56700231481</v>
      </c>
      <c r="P518" s="3" t="inlineStr">
        <is>
          <t>25.99</t>
        </is>
      </c>
      <c r="Q518" t="inlineStr">
        <is>
          <t>Karlsruhe</t>
        </is>
      </c>
    </row>
    <row r="519">
      <c r="A519" t="inlineStr">
        <is>
          <t>230 x 72 cm</t>
        </is>
      </c>
      <c r="B519" t="inlineStr">
        <is>
          <t>Mojo Thunder</t>
        </is>
      </c>
      <c r="C519" t="inlineStr">
        <is>
          <t>Freerace</t>
        </is>
      </c>
      <c r="D519" s="3" t="n">
        <v>120</v>
      </c>
      <c r="E519" t="inlineStr">
        <is>
          <t>2024</t>
        </is>
      </c>
      <c r="F519" s="4" t="n">
        <v>1500</v>
      </c>
      <c r="G519" t="inlineStr"/>
      <c r="H519" t="inlineStr">
        <is>
          <t>NL4421 Zeeland, Holland</t>
        </is>
      </c>
      <c r="I519" s="5" t="n">
        <v>45555</v>
      </c>
      <c r="J519" t="inlineStr"/>
      <c r="K519" s="6">
        <f>HYPERLINK("https://www.dailydose.de/kleinanzeigen/detail.htm?ai=422879&amp;cf=kk&amp;pg=5&amp;ci=11", "Link")</f>
        <v/>
      </c>
      <c r="L519" s="6">
        <f>HYPERLINK("C:\Projects\Kleinanzeigen-Scraper\offer_images\422879", "Link")</f>
        <v/>
      </c>
      <c r="M519" t="inlineStr">
        <is>
          <t>Rob12370</t>
        </is>
      </c>
      <c r="N519" s="6">
        <f>HYPERLINK("https://www.dailydose.de/kleinanzeigen/user/25795", "Link")</f>
        <v/>
      </c>
      <c r="O519" s="7" t="n">
        <v>45555.56690972222</v>
      </c>
      <c r="P519" s="3" t="inlineStr">
        <is>
          <t>227.06</t>
        </is>
      </c>
      <c r="Q519" t="inlineStr">
        <is>
          <t>Köln</t>
        </is>
      </c>
    </row>
    <row r="520">
      <c r="A520" t="inlineStr"/>
      <c r="B520" t="inlineStr">
        <is>
          <t>Duotone Grip 4 SLS</t>
        </is>
      </c>
      <c r="C520" t="inlineStr"/>
      <c r="D520" s="3" t="n">
        <v>76</v>
      </c>
      <c r="E520" t="inlineStr">
        <is>
          <t>2024</t>
        </is>
      </c>
      <c r="F520" s="4" t="n">
        <v>1300</v>
      </c>
      <c r="G520" t="inlineStr"/>
      <c r="H520" t="inlineStr">
        <is>
          <t>23617 Lübeck</t>
        </is>
      </c>
      <c r="I520" s="5" t="n">
        <v>45553</v>
      </c>
      <c r="J520" t="inlineStr">
        <is>
          <t>Sold</t>
        </is>
      </c>
      <c r="K520" s="6">
        <f>HYPERLINK("https://www.dailydose.de/kleinanzeigen/detail.htm?ai=422783&amp;cf=kk&amp;pg=2&amp;ci=11", "Link")</f>
        <v/>
      </c>
      <c r="L520" s="6">
        <f>HYPERLINK("C:\Projects\Kleinanzeigen-Scraper\offer_images\422783", "Link")</f>
        <v/>
      </c>
      <c r="M520" t="inlineStr">
        <is>
          <t>Maria Behrens</t>
        </is>
      </c>
      <c r="N520" s="6">
        <f>HYPERLINK("https://www.dailydose.de/kleinanzeigen/user/2506", "Link")</f>
        <v/>
      </c>
      <c r="O520" s="7" t="n">
        <v>45555.56684027778</v>
      </c>
      <c r="P520" s="3" t="inlineStr">
        <is>
          <t>415.17</t>
        </is>
      </c>
      <c r="Q520" t="inlineStr">
        <is>
          <t>Köln</t>
        </is>
      </c>
    </row>
    <row r="521">
      <c r="A521" t="inlineStr">
        <is>
          <t>240cm x 64.5cm</t>
        </is>
      </c>
      <c r="B521" t="inlineStr">
        <is>
          <t>Tabou 3S</t>
        </is>
      </c>
      <c r="C521" t="inlineStr">
        <is>
          <t>Freeride</t>
        </is>
      </c>
      <c r="D521" s="3" t="n">
        <v>110</v>
      </c>
      <c r="E521" t="inlineStr"/>
      <c r="F521" s="4" t="n">
        <v>390</v>
      </c>
      <c r="G521" t="inlineStr"/>
      <c r="H521" t="inlineStr">
        <is>
          <t>22761 Hamburg</t>
        </is>
      </c>
      <c r="I521" s="5" t="n">
        <v>45551</v>
      </c>
      <c r="J521" t="inlineStr">
        <is>
          <t>Sold</t>
        </is>
      </c>
      <c r="K521" s="6">
        <f>HYPERLINK("https://www.dailydose.de/kleinanzeigen/detail.htm?ai=422734&amp;cf=kk&amp;pg=5&amp;ci=11", "Link")</f>
        <v/>
      </c>
      <c r="L521" s="6">
        <f>HYPERLINK("C:\Projects\Kleinanzeigen-Scraper\offer_images\422734", "Link")</f>
        <v/>
      </c>
      <c r="M521" t="inlineStr">
        <is>
          <t>ph</t>
        </is>
      </c>
      <c r="N521" s="6">
        <f>HYPERLINK("https://www.dailydose.de/kleinanzeigen/user/15096", "Link")</f>
        <v/>
      </c>
      <c r="O521" s="7" t="n">
        <v>45555.5666550926</v>
      </c>
      <c r="P521" s="3" t="inlineStr">
        <is>
          <t>354.92</t>
        </is>
      </c>
      <c r="Q521" t="inlineStr">
        <is>
          <t>Köln</t>
        </is>
      </c>
    </row>
    <row r="522">
      <c r="A522" t="inlineStr">
        <is>
          <t>242 cm x 66 cm</t>
        </is>
      </c>
      <c r="B522" t="inlineStr">
        <is>
          <t>Tabou Rocket</t>
        </is>
      </c>
      <c r="C522" t="inlineStr">
        <is>
          <t>Freeride</t>
        </is>
      </c>
      <c r="D522" s="3" t="n">
        <v>115</v>
      </c>
      <c r="E522" t="inlineStr"/>
      <c r="F522" s="4" t="n">
        <v>250</v>
      </c>
      <c r="G522" t="inlineStr"/>
      <c r="H522" t="inlineStr">
        <is>
          <t>01558 Großenhain</t>
        </is>
      </c>
      <c r="I522" s="5" t="n">
        <v>45551</v>
      </c>
      <c r="J522" t="inlineStr">
        <is>
          <t>Sold</t>
        </is>
      </c>
      <c r="K522" s="6">
        <f>HYPERLINK("https://www.dailydose.de/kleinanzeigen/detail.htm?ai=422731&amp;cf=kk&amp;pg=5&amp;ci=11", "Link")</f>
        <v/>
      </c>
      <c r="L522" s="6">
        <f>HYPERLINK("C:\Projects\Kleinanzeigen-Scraper\offer_images\422731", "Link")</f>
        <v/>
      </c>
      <c r="M522" t="inlineStr">
        <is>
          <t>Sven Engwicht</t>
        </is>
      </c>
      <c r="N522" s="6">
        <f>HYPERLINK("https://www.dailydose.de/kleinanzeigen/user/9768", "Link")</f>
        <v/>
      </c>
      <c r="O522" s="7" t="n">
        <v>45555.56649305556</v>
      </c>
      <c r="P522" s="3" t="inlineStr">
        <is>
          <t>378.05</t>
        </is>
      </c>
      <c r="Q522" t="inlineStr">
        <is>
          <t>München</t>
        </is>
      </c>
    </row>
    <row r="523">
      <c r="A523" t="inlineStr">
        <is>
          <t>97</t>
        </is>
      </c>
      <c r="B523" t="inlineStr">
        <is>
          <t>Tabou Pocket Wave</t>
        </is>
      </c>
      <c r="C523" t="inlineStr">
        <is>
          <t>Wave</t>
        </is>
      </c>
      <c r="D523" s="3" t="inlineStr"/>
      <c r="E523" t="inlineStr">
        <is>
          <t>2018</t>
        </is>
      </c>
      <c r="F523" s="4" t="n">
        <v>380</v>
      </c>
      <c r="G523" t="inlineStr"/>
      <c r="H523" t="inlineStr">
        <is>
          <t>23775 Großenbrode</t>
        </is>
      </c>
      <c r="I523" s="5" t="n">
        <v>45554</v>
      </c>
      <c r="J523" t="inlineStr">
        <is>
          <t>Sold</t>
        </is>
      </c>
      <c r="K523" s="6">
        <f>HYPERLINK("https://www.dailydose.de/kleinanzeigen/detail.htm?ai=422832&amp;cf=kk&amp;pg=1&amp;ci=11", "Link")</f>
        <v/>
      </c>
      <c r="L523" s="6">
        <f>HYPERLINK("C:\Projects\Kleinanzeigen-Scraper\offer_images\422832", "Link")</f>
        <v/>
      </c>
      <c r="M523" t="inlineStr">
        <is>
          <t>Holger_156</t>
        </is>
      </c>
      <c r="N523" s="6">
        <f>HYPERLINK("https://www.dailydose.de/kleinanzeigen/user/10571", "Link")</f>
        <v/>
      </c>
      <c r="O523" s="7" t="n">
        <v>45555.56636574074</v>
      </c>
      <c r="P523" s="3" t="inlineStr">
        <is>
          <t>471.97</t>
        </is>
      </c>
      <c r="Q523" t="inlineStr">
        <is>
          <t>Köln</t>
        </is>
      </c>
    </row>
    <row r="524">
      <c r="A524" t="inlineStr">
        <is>
          <t>82 Liter</t>
        </is>
      </c>
      <c r="B524" t="inlineStr">
        <is>
          <t>Quatro Cube Pro</t>
        </is>
      </c>
      <c r="C524" t="inlineStr">
        <is>
          <t>Wave</t>
        </is>
      </c>
      <c r="D524" s="3" t="n">
        <v>82</v>
      </c>
      <c r="E524" t="inlineStr"/>
      <c r="F524" s="4" t="n">
        <v>890</v>
      </c>
      <c r="G524" t="inlineStr"/>
      <c r="H524" t="inlineStr">
        <is>
          <t>40885 Ratingen/Renesse</t>
        </is>
      </c>
      <c r="I524" s="5" t="n">
        <v>45551</v>
      </c>
      <c r="J524" t="inlineStr">
        <is>
          <t>Sold</t>
        </is>
      </c>
      <c r="K524" s="6">
        <f>HYPERLINK("https://www.dailydose.de/kleinanzeigen/detail.htm?ai=422732&amp;cf=kk&amp;pg=2&amp;ci=11", "Link")</f>
        <v/>
      </c>
      <c r="L524" s="6">
        <f>HYPERLINK("C:\Projects\Kleinanzeigen-Scraper\offer_images\422732", "Link")</f>
        <v/>
      </c>
      <c r="M524" t="inlineStr">
        <is>
          <t>Peter_4</t>
        </is>
      </c>
      <c r="N524" s="6">
        <f>HYPERLINK("https://www.dailydose.de/kleinanzeigen/user/11360", "Link")</f>
        <v/>
      </c>
      <c r="O524" s="7" t="n">
        <v>45555.56636574074</v>
      </c>
      <c r="P524" s="3" t="inlineStr">
        <is>
          <t>45.32</t>
        </is>
      </c>
      <c r="Q524" t="inlineStr">
        <is>
          <t>Köln</t>
        </is>
      </c>
    </row>
    <row r="525">
      <c r="A525" t="inlineStr">
        <is>
          <t>244 x 64</t>
        </is>
      </c>
      <c r="B525" t="inlineStr">
        <is>
          <t>Naish Alterain</t>
        </is>
      </c>
      <c r="C525" t="inlineStr">
        <is>
          <t>Freeride</t>
        </is>
      </c>
      <c r="D525" s="3" t="n">
        <v>104</v>
      </c>
      <c r="E525" t="inlineStr"/>
      <c r="F525" s="4" t="n">
        <v>150</v>
      </c>
      <c r="G525" t="inlineStr">
        <is>
          <t>VB</t>
        </is>
      </c>
      <c r="H525" t="inlineStr">
        <is>
          <t>22175 Hamburg</t>
        </is>
      </c>
      <c r="I525" s="5" t="n">
        <v>45553</v>
      </c>
      <c r="J525" t="inlineStr"/>
      <c r="K525" s="6">
        <f>HYPERLINK("https://www.dailydose.de/kleinanzeigen/detail.htm?ai=422819&amp;cf=kk&amp;pg=5&amp;ci=11", "Link")</f>
        <v/>
      </c>
      <c r="L525" s="6">
        <f>HYPERLINK("C:\Projects\Kleinanzeigen-Scraper\offer_images\422819", "Link")</f>
        <v/>
      </c>
      <c r="M525" t="inlineStr">
        <is>
          <t>Commander3</t>
        </is>
      </c>
      <c r="N525" s="6">
        <f>HYPERLINK("https://www.dailydose.de/kleinanzeigen/user/26387", "Link")</f>
        <v/>
      </c>
      <c r="O525" s="7" t="n">
        <v>45555.5662962963</v>
      </c>
      <c r="P525" s="3" t="inlineStr">
        <is>
          <t>367.43</t>
        </is>
      </c>
      <c r="Q525" t="inlineStr">
        <is>
          <t>Köln</t>
        </is>
      </c>
    </row>
    <row r="526">
      <c r="A526" t="inlineStr">
        <is>
          <t>225 x 5.7</t>
        </is>
      </c>
      <c r="B526" t="inlineStr">
        <is>
          <t>Fanatic Freewave STB</t>
        </is>
      </c>
      <c r="C526" t="inlineStr">
        <is>
          <t>Freeride</t>
        </is>
      </c>
      <c r="D526" s="3" t="n">
        <v>85</v>
      </c>
      <c r="E526" t="inlineStr">
        <is>
          <t>2017</t>
        </is>
      </c>
      <c r="F526" s="4" t="inlineStr">
        <is>
          <t>590 .</t>
        </is>
      </c>
      <c r="G526" t="inlineStr">
        <is>
          <t>VB</t>
        </is>
      </c>
      <c r="H526" t="inlineStr">
        <is>
          <t>92648 VOHENSTRAUSS</t>
        </is>
      </c>
      <c r="I526" s="5" t="n">
        <v>45554</v>
      </c>
      <c r="J526" t="inlineStr"/>
      <c r="K526" s="6">
        <f>HYPERLINK("https://www.dailydose.de/kleinanzeigen/detail.htm?ai=422845&amp;cf=kk&amp;pg=5&amp;ci=11", "Link")</f>
        <v/>
      </c>
      <c r="L526" s="6">
        <f>HYPERLINK("C:\Projects\Kleinanzeigen-Scraper\offer_images\422845", "Link")</f>
        <v/>
      </c>
      <c r="M526" t="inlineStr">
        <is>
          <t>Campaniola</t>
        </is>
      </c>
      <c r="N526" s="6">
        <f>HYPERLINK("https://www.dailydose.de/kleinanzeigen/user/26425", "Link")</f>
        <v/>
      </c>
      <c r="O526" s="7" t="n">
        <v>45555.56607638889</v>
      </c>
      <c r="P526" s="3" t="inlineStr">
        <is>
          <t>173.75</t>
        </is>
      </c>
      <c r="Q526" t="inlineStr">
        <is>
          <t>München</t>
        </is>
      </c>
    </row>
    <row r="527">
      <c r="A527" t="inlineStr">
        <is>
          <t>123 l</t>
        </is>
      </c>
      <c r="B527" t="inlineStr">
        <is>
          <t>Tabou Rocket</t>
        </is>
      </c>
      <c r="C527" t="inlineStr">
        <is>
          <t>Freeride</t>
        </is>
      </c>
      <c r="D527" s="3" t="n">
        <v>123</v>
      </c>
      <c r="E527" t="inlineStr">
        <is>
          <t>2021/2022</t>
        </is>
      </c>
      <c r="F527" s="4" t="n">
        <v>950</v>
      </c>
      <c r="G527" t="inlineStr"/>
      <c r="H527" t="inlineStr">
        <is>
          <t>31535 Neustadt am Rübenberge</t>
        </is>
      </c>
      <c r="I527" s="5" t="n">
        <v>45554</v>
      </c>
      <c r="J527" t="inlineStr"/>
      <c r="K527" s="6">
        <f>HYPERLINK("https://www.dailydose.de/kleinanzeigen/detail.htm?ai=422856&amp;cf=kk&amp;pg=5&amp;ci=11", "Link")</f>
        <v/>
      </c>
      <c r="L527" s="6">
        <f>HYPERLINK("C:\Projects\Kleinanzeigen-Scraper\offer_images\422856", "Link")</f>
        <v/>
      </c>
      <c r="M527" t="inlineStr">
        <is>
          <t>Helle_162</t>
        </is>
      </c>
      <c r="N527" s="6">
        <f>HYPERLINK("https://www.dailydose.de/kleinanzeigen/user/13403", "Link")</f>
        <v/>
      </c>
      <c r="O527" s="7" t="n">
        <v>45555.56600694444</v>
      </c>
      <c r="P527" s="3" t="inlineStr">
        <is>
          <t>248.74</t>
        </is>
      </c>
      <c r="Q527" t="inlineStr">
        <is>
          <t>Köln</t>
        </is>
      </c>
    </row>
    <row r="528">
      <c r="A528" t="inlineStr">
        <is>
          <t>223 x 61</t>
        </is>
      </c>
      <c r="B528" t="inlineStr">
        <is>
          <t>JP Freestyle Wave</t>
        </is>
      </c>
      <c r="C528" t="inlineStr">
        <is>
          <t>Freestyle Wave</t>
        </is>
      </c>
      <c r="D528" s="3" t="n">
        <v>94</v>
      </c>
      <c r="E528" t="inlineStr">
        <is>
          <t>2022</t>
        </is>
      </c>
      <c r="F528" s="4" t="n">
        <v>725</v>
      </c>
      <c r="G528" t="inlineStr">
        <is>
          <t>VB</t>
        </is>
      </c>
      <c r="H528" t="inlineStr">
        <is>
          <t>23568 Lübeck</t>
        </is>
      </c>
      <c r="I528" s="5" t="n">
        <v>45553</v>
      </c>
      <c r="J528" t="inlineStr">
        <is>
          <t>Sold</t>
        </is>
      </c>
      <c r="K528" s="6">
        <f>HYPERLINK("https://www.dailydose.de/kleinanzeigen/detail.htm?ai=422790&amp;cf=kk&amp;pg=3&amp;ci=11", "Link")</f>
        <v/>
      </c>
      <c r="L528" s="6">
        <f>HYPERLINK("C:\Projects\Kleinanzeigen-Scraper\offer_images\422790", "Link")</f>
        <v/>
      </c>
      <c r="M528" t="inlineStr">
        <is>
          <t>Bernd_57</t>
        </is>
      </c>
      <c r="N528" s="6">
        <f>HYPERLINK("https://www.dailydose.de/kleinanzeigen/user/9325", "Link")</f>
        <v/>
      </c>
      <c r="O528" s="7" t="n">
        <v>45555.56584490741</v>
      </c>
      <c r="P528" s="3" t="inlineStr">
        <is>
          <t>418.25</t>
        </is>
      </c>
      <c r="Q528" t="inlineStr">
        <is>
          <t>Köln</t>
        </is>
      </c>
    </row>
    <row r="529">
      <c r="A529" t="inlineStr">
        <is>
          <t>71</t>
        </is>
      </c>
      <c r="B529" t="inlineStr">
        <is>
          <t>JP</t>
        </is>
      </c>
      <c r="C529" t="inlineStr">
        <is>
          <t>Slalom</t>
        </is>
      </c>
      <c r="D529" s="3" t="n">
        <v>111</v>
      </c>
      <c r="E529" t="inlineStr">
        <is>
          <t>2021</t>
        </is>
      </c>
      <c r="F529" s="4" t="n">
        <v>780</v>
      </c>
      <c r="G529" t="inlineStr"/>
      <c r="H529" t="inlineStr">
        <is>
          <t>58540 Sauerland -NRW</t>
        </is>
      </c>
      <c r="I529" s="5" t="n">
        <v>45554</v>
      </c>
      <c r="J529" t="inlineStr">
        <is>
          <t>Sold</t>
        </is>
      </c>
      <c r="K529" s="6">
        <f>HYPERLINK("https://www.dailydose.de/kleinanzeigen/detail.htm?ai=422870&amp;cf=kk&amp;pg=3&amp;ci=11", "Link")</f>
        <v/>
      </c>
      <c r="L529" s="6">
        <f>HYPERLINK("C:\Projects\Kleinanzeigen-Scraper\offer_images\422870", "Link")</f>
        <v/>
      </c>
      <c r="M529" t="inlineStr">
        <is>
          <t>tivitac</t>
        </is>
      </c>
      <c r="N529" s="6">
        <f>HYPERLINK("https://www.dailydose.de/kleinanzeigen/user/1938", "Link")</f>
        <v/>
      </c>
      <c r="O529" s="7" t="n">
        <v>45555.56578703703</v>
      </c>
      <c r="P529" s="3" t="inlineStr">
        <is>
          <t>56.25</t>
        </is>
      </c>
      <c r="Q529" t="inlineStr">
        <is>
          <t>Köln</t>
        </is>
      </c>
    </row>
    <row r="530">
      <c r="A530" t="inlineStr">
        <is>
          <t>238 x 68.8 cm</t>
        </is>
      </c>
      <c r="B530" t="inlineStr">
        <is>
          <t>Patrik Diethelm Slalom</t>
        </is>
      </c>
      <c r="C530" t="inlineStr">
        <is>
          <t>Slalom</t>
        </is>
      </c>
      <c r="D530" s="3" t="n">
        <v>110</v>
      </c>
      <c r="E530" t="inlineStr"/>
      <c r="F530" s="4" t="n">
        <v>300</v>
      </c>
      <c r="G530" t="inlineStr"/>
      <c r="H530" t="inlineStr">
        <is>
          <t>34295 Edermünde</t>
        </is>
      </c>
      <c r="I530" s="5" t="n">
        <v>45552</v>
      </c>
      <c r="J530" t="inlineStr">
        <is>
          <t>Sold</t>
        </is>
      </c>
      <c r="K530" s="6">
        <f>HYPERLINK("https://www.dailydose.de/kleinanzeigen/detail.htm?ai=422775&amp;cf=kk&amp;pg=5&amp;ci=11", "Link")</f>
        <v/>
      </c>
      <c r="L530" s="6">
        <f>HYPERLINK("C:\Projects\Kleinanzeigen-Scraper\offer_images\422775", "Link")</f>
        <v/>
      </c>
      <c r="M530" t="inlineStr">
        <is>
          <t>Wolfgang Schierer</t>
        </is>
      </c>
      <c r="N530" s="6">
        <f>HYPERLINK("https://www.dailydose.de/kleinanzeigen/user/25346", "Link")</f>
        <v/>
      </c>
      <c r="O530" s="7" t="n">
        <v>45555.5657175926</v>
      </c>
      <c r="P530" s="3" t="inlineStr">
        <is>
          <t>172.77</t>
        </is>
      </c>
      <c r="Q530" t="inlineStr">
        <is>
          <t>Köln</t>
        </is>
      </c>
    </row>
    <row r="531">
      <c r="A531" t="inlineStr">
        <is>
          <t>112 L</t>
        </is>
      </c>
      <c r="B531" t="inlineStr">
        <is>
          <t>JP Freestyle Wave</t>
        </is>
      </c>
      <c r="C531" t="inlineStr">
        <is>
          <t>Freestyle Wave</t>
        </is>
      </c>
      <c r="D531" s="3" t="n">
        <v>112</v>
      </c>
      <c r="E531" t="inlineStr"/>
      <c r="F531" s="4" t="n">
        <v>600</v>
      </c>
      <c r="G531" t="inlineStr"/>
      <c r="H531" t="inlineStr">
        <is>
          <t>63067 Offenbach am Main</t>
        </is>
      </c>
      <c r="I531" s="5" t="n">
        <v>45553</v>
      </c>
      <c r="J531" t="inlineStr"/>
      <c r="K531" s="6">
        <f>HYPERLINK("https://www.dailydose.de/kleinanzeigen/detail.htm?ai=422809&amp;cf=kk&amp;pg=5&amp;ci=11", "Link")</f>
        <v/>
      </c>
      <c r="L531" s="6">
        <f>HYPERLINK("C:\Projects\Kleinanzeigen-Scraper\offer_images\422809", "Link")</f>
        <v/>
      </c>
      <c r="M531" t="inlineStr">
        <is>
          <t>monnem_65</t>
        </is>
      </c>
      <c r="N531" s="6">
        <f>HYPERLINK("https://www.dailydose.de/kleinanzeigen/user/3381", "Link")</f>
        <v/>
      </c>
      <c r="O531" s="7" t="n">
        <v>45555.56569444444</v>
      </c>
      <c r="P531" s="3" t="inlineStr">
        <is>
          <t>125.21</t>
        </is>
      </c>
      <c r="Q531" t="inlineStr">
        <is>
          <t>Karlsruhe</t>
        </is>
      </c>
    </row>
    <row r="532">
      <c r="A532" t="inlineStr"/>
      <c r="B532" t="inlineStr">
        <is>
          <t>Fanatic Gecko HRS</t>
        </is>
      </c>
      <c r="C532" t="inlineStr">
        <is>
          <t>Freeride</t>
        </is>
      </c>
      <c r="D532" s="3" t="n">
        <v>112</v>
      </c>
      <c r="E532" t="inlineStr">
        <is>
          <t>2018</t>
        </is>
      </c>
      <c r="F532" s="4" t="n">
        <v>699</v>
      </c>
      <c r="G532" t="inlineStr"/>
      <c r="H532" t="inlineStr">
        <is>
          <t>30451 Hannover</t>
        </is>
      </c>
      <c r="I532" s="5" t="n">
        <v>45553</v>
      </c>
      <c r="J532" t="inlineStr">
        <is>
          <t>Sold</t>
        </is>
      </c>
      <c r="K532" s="6">
        <f>HYPERLINK("https://www.dailydose.de/kleinanzeigen/detail.htm?ai=422785&amp;cf=kk&amp;pg=5&amp;ci=11", "Link")</f>
        <v/>
      </c>
      <c r="L532" s="6">
        <f>HYPERLINK("C:\Projects\Kleinanzeigen-Scraper\offer_images\422785", "Link")</f>
        <v/>
      </c>
      <c r="M532" t="inlineStr">
        <is>
          <t>Matti</t>
        </is>
      </c>
      <c r="N532" s="6">
        <f>HYPERLINK("https://www.dailydose.de/kleinanzeigen/user/16149", "Link")</f>
        <v/>
      </c>
      <c r="O532" s="7" t="n">
        <v>45555.565625</v>
      </c>
      <c r="P532" s="3" t="inlineStr">
        <is>
          <t>248.08</t>
        </is>
      </c>
      <c r="Q532" t="inlineStr">
        <is>
          <t>Köln</t>
        </is>
      </c>
    </row>
    <row r="533">
      <c r="A533" t="inlineStr">
        <is>
          <t>228 cm x 85 cm</t>
        </is>
      </c>
      <c r="B533" t="inlineStr">
        <is>
          <t>JP Australia</t>
        </is>
      </c>
      <c r="C533" t="inlineStr">
        <is>
          <t>Slalom/Racing</t>
        </is>
      </c>
      <c r="D533" s="3" t="n">
        <v>131</v>
      </c>
      <c r="E533" t="inlineStr"/>
      <c r="F533" s="4" t="n">
        <v>565</v>
      </c>
      <c r="G533" t="inlineStr">
        <is>
          <t>VB</t>
        </is>
      </c>
      <c r="H533" t="inlineStr">
        <is>
          <t>27568 Bremerhaven</t>
        </is>
      </c>
      <c r="I533" s="5" t="n">
        <v>45552</v>
      </c>
      <c r="J533" t="inlineStr">
        <is>
          <t>Sold</t>
        </is>
      </c>
      <c r="K533" s="6">
        <f>HYPERLINK("https://www.dailydose.de/kleinanzeigen/detail.htm?ai=422759&amp;cf=kk&amp;pg=5&amp;ci=11", "Link")</f>
        <v/>
      </c>
      <c r="L533" s="6">
        <f>HYPERLINK("C:\Projects\Kleinanzeigen-Scraper\offer_images\422759", "Link")</f>
        <v/>
      </c>
      <c r="M533" t="inlineStr">
        <is>
          <t>stone</t>
        </is>
      </c>
      <c r="N533" s="6">
        <f>HYPERLINK("https://www.dailydose.de/kleinanzeigen/user/6979", "Link")</f>
        <v/>
      </c>
      <c r="O533" s="7" t="n">
        <v>45555.565625</v>
      </c>
      <c r="P533" s="3" t="inlineStr">
        <is>
          <t>312.07</t>
        </is>
      </c>
      <c r="Q533" t="inlineStr">
        <is>
          <t>Köln</t>
        </is>
      </c>
    </row>
    <row r="534">
      <c r="A534" t="inlineStr">
        <is>
          <t>229x58</t>
        </is>
      </c>
      <c r="B534" t="inlineStr">
        <is>
          <t>Starboard Kode 83 Carbon Wave Edition</t>
        </is>
      </c>
      <c r="C534" t="inlineStr">
        <is>
          <t>Wave</t>
        </is>
      </c>
      <c r="D534" s="3" t="n">
        <v>83</v>
      </c>
      <c r="E534" t="inlineStr"/>
      <c r="F534" s="4" t="inlineStr"/>
      <c r="G534" t="inlineStr">
        <is>
          <t>VB</t>
        </is>
      </c>
      <c r="H534" t="inlineStr">
        <is>
          <t>18057 Rostock</t>
        </is>
      </c>
      <c r="I534" s="5" t="n">
        <v>45552</v>
      </c>
      <c r="J534" t="inlineStr">
        <is>
          <t>Sold</t>
        </is>
      </c>
      <c r="K534" s="6">
        <f>HYPERLINK("https://www.dailydose.de/kleinanzeigen/detail.htm?ai=422774&amp;cf=kk&amp;pg=5&amp;ci=11", "Link")</f>
        <v/>
      </c>
      <c r="L534" s="6">
        <f>HYPERLINK("C:\Projects\Kleinanzeigen-Scraper\offer_images\422774", "Link")</f>
        <v/>
      </c>
      <c r="M534" t="inlineStr">
        <is>
          <t>Marko333</t>
        </is>
      </c>
      <c r="N534" s="6">
        <f>HYPERLINK("https://www.dailydose.de/kleinanzeigen/user/26327", "Link")</f>
        <v/>
      </c>
      <c r="O534" s="7" t="n">
        <v>45555.56559027778</v>
      </c>
      <c r="P534" s="3" t="inlineStr">
        <is>
          <t>494.07</t>
        </is>
      </c>
      <c r="Q534" t="inlineStr">
        <is>
          <t>Köln</t>
        </is>
      </c>
    </row>
    <row r="535">
      <c r="A535" t="inlineStr">
        <is>
          <t>85 L</t>
        </is>
      </c>
      <c r="B535" t="inlineStr">
        <is>
          <t>Fanatic Freewave TE</t>
        </is>
      </c>
      <c r="C535" t="inlineStr">
        <is>
          <t>Freeride</t>
        </is>
      </c>
      <c r="D535" s="3" t="n">
        <v>85</v>
      </c>
      <c r="E535" t="inlineStr">
        <is>
          <t>2023</t>
        </is>
      </c>
      <c r="F535" s="4" t="n">
        <v>1600</v>
      </c>
      <c r="G535" t="inlineStr">
        <is>
          <t>VB</t>
        </is>
      </c>
      <c r="H535" t="inlineStr">
        <is>
          <t>22453 Hamburg</t>
        </is>
      </c>
      <c r="I535" s="5" t="n">
        <v>45555</v>
      </c>
      <c r="J535" t="inlineStr"/>
      <c r="K535" s="6">
        <f>HYPERLINK("https://www.dailydose.de/kleinanzeigen/detail.htm?ai=422891&amp;cf=kk&amp;pg=5&amp;ci=11", "Link")</f>
        <v/>
      </c>
      <c r="L535" s="6">
        <f>HYPERLINK("C:\Projects\Kleinanzeigen-Scraper\offer_images\422891", "Link")</f>
        <v/>
      </c>
      <c r="M535" t="inlineStr">
        <is>
          <t>Frank_160</t>
        </is>
      </c>
      <c r="N535" s="6">
        <f>HYPERLINK("https://www.dailydose.de/kleinanzeigen/user/19839", "Link")</f>
        <v/>
      </c>
      <c r="O535" s="7" t="n">
        <v>45555.56556712963</v>
      </c>
      <c r="P535" s="3" t="inlineStr">
        <is>
          <t>361.03</t>
        </is>
      </c>
      <c r="Q535" t="inlineStr">
        <is>
          <t>Köln</t>
        </is>
      </c>
    </row>
    <row r="536">
      <c r="A536" t="inlineStr">
        <is>
          <t>3.10 m</t>
        </is>
      </c>
      <c r="B536" t="inlineStr">
        <is>
          <t>Fanatic Ultra</t>
        </is>
      </c>
      <c r="C536" t="inlineStr"/>
      <c r="D536" s="3" t="inlineStr"/>
      <c r="E536" t="inlineStr"/>
      <c r="F536" s="4" t="n">
        <v>210</v>
      </c>
      <c r="G536" t="inlineStr">
        <is>
          <t>VB</t>
        </is>
      </c>
      <c r="H536" t="inlineStr">
        <is>
          <t>39116 Sachsen-Anhalt - Magdeburg</t>
        </is>
      </c>
      <c r="I536" s="5" t="n">
        <v>45562</v>
      </c>
      <c r="J536" t="inlineStr"/>
      <c r="K536" s="6">
        <f>HYPERLINK("https://www.kleinanzeigen.de/s-anzeige/surfbrett-fanatic-ultra-310/2867418681-230-2234", "Link")</f>
        <v/>
      </c>
      <c r="L536" s="6">
        <f>HYPERLINK("C:\Projects\Kleinanzeigen-Scraper\offer_images\2867418681", "Link")</f>
        <v/>
      </c>
      <c r="M536" t="inlineStr">
        <is>
          <t>Eve Marie Malter</t>
        </is>
      </c>
      <c r="N536" s="6">
        <f>HYPERLINK("https://www.kleinanzeigen.de/s-bestandsliste.html?userId=2259530", "Link")</f>
        <v/>
      </c>
      <c r="O536" s="7" t="n">
        <v>45555.56549768519</v>
      </c>
      <c r="P536" s="3" t="inlineStr">
        <is>
          <t>342.84</t>
        </is>
      </c>
      <c r="Q536" t="inlineStr">
        <is>
          <t>Köln</t>
        </is>
      </c>
    </row>
    <row r="537">
      <c r="A537" t="inlineStr">
        <is>
          <t>3.0m x 0.83m</t>
        </is>
      </c>
      <c r="B537" t="inlineStr">
        <is>
          <t>Naish Mana Air</t>
        </is>
      </c>
      <c r="C537" t="inlineStr">
        <is>
          <t>SUP</t>
        </is>
      </c>
      <c r="D537" s="3" t="inlineStr"/>
      <c r="E537" t="inlineStr">
        <is>
          <t>2014</t>
        </is>
      </c>
      <c r="F537" s="4" t="n">
        <v>210</v>
      </c>
      <c r="G537" t="inlineStr">
        <is>
          <t>VB</t>
        </is>
      </c>
      <c r="H537" t="inlineStr">
        <is>
          <t>22301 Hamburg-Nord - Hamburg Winterhude</t>
        </is>
      </c>
      <c r="I537" s="5" t="n">
        <v>45552</v>
      </c>
      <c r="J537" t="inlineStr">
        <is>
          <t>Sold</t>
        </is>
      </c>
      <c r="K537" s="6">
        <f>HYPERLINK("https://www.kleinanzeigen.de/s-anzeige/sup-board-naish-mana-air-10-paddel/2866186346-230-9483", "Link")</f>
        <v/>
      </c>
      <c r="L537" s="6">
        <f>HYPERLINK("C:\Projects\Kleinanzeigen-Scraper\offer_images\2866186346", "Link")</f>
        <v/>
      </c>
      <c r="M537" t="inlineStr">
        <is>
          <t>Steffen Gottschling</t>
        </is>
      </c>
      <c r="N537" s="6">
        <f>HYPERLINK("https://www.kleinanzeigen.de/s-bestandsliste.html?userId=6306196", "Link")</f>
        <v/>
      </c>
      <c r="O537" s="7" t="n">
        <v>45555.56545138889</v>
      </c>
      <c r="P537" s="3" t="inlineStr">
        <is>
          <t>245.76</t>
        </is>
      </c>
      <c r="Q537" t="inlineStr">
        <is>
          <t>Köln</t>
        </is>
      </c>
    </row>
    <row r="538">
      <c r="A538" t="inlineStr">
        <is>
          <t>225cm x 63cm</t>
        </is>
      </c>
      <c r="B538" t="inlineStr">
        <is>
          <t>Starboard Futura</t>
        </is>
      </c>
      <c r="C538" t="inlineStr">
        <is>
          <t>Freeride</t>
        </is>
      </c>
      <c r="D538" s="3" t="n">
        <v>99</v>
      </c>
      <c r="E538" t="inlineStr">
        <is>
          <t>2022</t>
        </is>
      </c>
      <c r="F538" s="4" t="n">
        <v>1.1</v>
      </c>
      <c r="G538" t="inlineStr"/>
      <c r="H538" t="inlineStr">
        <is>
          <t>51107 Köln - Vingst</t>
        </is>
      </c>
      <c r="I538" s="5" t="n">
        <v>45458</v>
      </c>
      <c r="J538" t="inlineStr"/>
      <c r="K538" s="6">
        <f>HYPERLINK("https://www.kleinanzeigen.de/s-anzeige/starboard-futura-wood-sandwich-2022/2788426900-230-21015", "Link")</f>
        <v/>
      </c>
      <c r="L538" s="6">
        <f>HYPERLINK("C:\Projects\Kleinanzeigen-Scraper\offer_images\2788426900", "Link")</f>
        <v/>
      </c>
      <c r="M538" t="inlineStr">
        <is>
          <t>JP</t>
        </is>
      </c>
      <c r="N538" s="6">
        <f>HYPERLINK("https://www.kleinanzeigen.de/s-bestandsliste.html?userId=963688", "Link")</f>
        <v/>
      </c>
      <c r="O538" s="7" t="n">
        <v>45555.56542824074</v>
      </c>
      <c r="P538" s="3" t="inlineStr">
        <is>
          <t>9.85</t>
        </is>
      </c>
      <c r="Q538" t="inlineStr">
        <is>
          <t>Köln</t>
        </is>
      </c>
    </row>
    <row r="539">
      <c r="A539" t="inlineStr">
        <is>
          <t>12.6</t>
        </is>
      </c>
      <c r="B539" t="inlineStr">
        <is>
          <t>Starboard</t>
        </is>
      </c>
      <c r="C539" t="inlineStr"/>
      <c r="D539" s="3" t="inlineStr"/>
      <c r="E539" t="inlineStr"/>
      <c r="F539" s="4" t="n">
        <v>800</v>
      </c>
      <c r="G539" t="inlineStr"/>
      <c r="H539" t="inlineStr">
        <is>
          <t>90429 Nürnberg (Mittelfr) - Mitte</t>
        </is>
      </c>
      <c r="I539" s="5" t="n">
        <v>45555</v>
      </c>
      <c r="J539" t="inlineStr"/>
      <c r="K539" s="6">
        <f>HYPERLINK("https://www.kleinanzeigen.de/s-anzeige/starboard-12-6-lux-windsurf-sup-board/2868771602-230-6831", "Link")</f>
        <v/>
      </c>
      <c r="L539" s="6">
        <f>HYPERLINK("C:\Projects\Kleinanzeigen-Scraper\offer_images\2868771602", "Link")</f>
        <v/>
      </c>
      <c r="M539" t="inlineStr">
        <is>
          <t>Alesia</t>
        </is>
      </c>
      <c r="N539" s="6">
        <f>HYPERLINK("https://www.kleinanzeigen.de/s-bestandsliste.html?userId=133777662", "Link")</f>
        <v/>
      </c>
      <c r="O539" s="7" t="n">
        <v>45555.5654050926</v>
      </c>
      <c r="P539" s="3" t="inlineStr">
        <is>
          <t>151.10</t>
        </is>
      </c>
      <c r="Q539" t="inlineStr">
        <is>
          <t>München</t>
        </is>
      </c>
    </row>
    <row r="540">
      <c r="A540" t="inlineStr"/>
      <c r="B540" t="inlineStr">
        <is>
          <t>Starboard</t>
        </is>
      </c>
      <c r="C540" t="inlineStr">
        <is>
          <t>Foil</t>
        </is>
      </c>
      <c r="D540" s="3" t="n">
        <v>125</v>
      </c>
      <c r="E540" t="inlineStr"/>
      <c r="F540" s="4" t="n">
        <v>600</v>
      </c>
      <c r="G540" t="inlineStr">
        <is>
          <t>VB</t>
        </is>
      </c>
      <c r="H540" t="inlineStr">
        <is>
          <t>71522 Baden-Württemberg - Backnang</t>
        </is>
      </c>
      <c r="I540" s="5" t="n">
        <v>45441</v>
      </c>
      <c r="J540" t="inlineStr"/>
      <c r="K540" s="6">
        <f>HYPERLINK("https://www.kleinanzeigen.de/s-anzeige/foil-brett-windsurfbrett-surfbrett-starboard/2774315289-230-8355", "Link")</f>
        <v/>
      </c>
      <c r="L540" s="6">
        <f>HYPERLINK("C:\Projects\Kleinanzeigen-Scraper\offer_images\2774315289", "Link")</f>
        <v/>
      </c>
      <c r="M540" t="inlineStr">
        <is>
          <t>Celine Backnang</t>
        </is>
      </c>
      <c r="N540" s="6">
        <f>HYPERLINK("https://www.kleinanzeigen.de/s-bestandsliste.html?userId=141196728", "Link")</f>
        <v/>
      </c>
      <c r="O540" s="7" t="n">
        <v>45555.56539351852</v>
      </c>
      <c r="P540" s="3" t="inlineStr">
        <is>
          <t>45.09</t>
        </is>
      </c>
      <c r="Q540" t="inlineStr">
        <is>
          <t>Böblingen</t>
        </is>
      </c>
    </row>
    <row r="541">
      <c r="A541" t="inlineStr">
        <is>
          <t>5'3"</t>
        </is>
      </c>
      <c r="B541" t="inlineStr">
        <is>
          <t>Duotone Whip D/Lab</t>
        </is>
      </c>
      <c r="C541" t="inlineStr"/>
      <c r="D541" s="3" t="inlineStr"/>
      <c r="E541" t="inlineStr">
        <is>
          <t>2022</t>
        </is>
      </c>
      <c r="F541" s="4" t="n">
        <v>690</v>
      </c>
      <c r="G541" t="inlineStr"/>
      <c r="H541" t="inlineStr">
        <is>
          <t>10115 Berlin - Mitte</t>
        </is>
      </c>
      <c r="I541" s="5" t="n">
        <v>45554</v>
      </c>
      <c r="J541" t="inlineStr">
        <is>
          <t>Sold</t>
        </is>
      </c>
      <c r="K541" s="6">
        <f>HYPERLINK("https://www.kleinanzeigen.de/s-anzeige/duotone-whip-d-lab-5-3-/2868422797-230-9668", "Link")</f>
        <v/>
      </c>
      <c r="L541" s="6">
        <f>HYPERLINK("C:\Projects\Kleinanzeigen-Scraper\offer_images\2868422797", "Link")</f>
        <v/>
      </c>
      <c r="M541" t="inlineStr">
        <is>
          <t>Axel</t>
        </is>
      </c>
      <c r="N541" s="6">
        <f>HYPERLINK("https://www.kleinanzeigen.de/s-bestandsliste.html?userId=14650113", "Link")</f>
        <v/>
      </c>
      <c r="O541" s="7" t="n">
        <v>45555.56538194444</v>
      </c>
      <c r="P541" s="3" t="inlineStr">
        <is>
          <t>476.33</t>
        </is>
      </c>
      <c r="Q541" t="inlineStr">
        <is>
          <t>Köln</t>
        </is>
      </c>
    </row>
    <row r="542">
      <c r="A542" t="inlineStr"/>
      <c r="B542" t="inlineStr">
        <is>
          <t>Fanatic</t>
        </is>
      </c>
      <c r="C542" t="inlineStr"/>
      <c r="D542" s="3" t="n">
        <v>124</v>
      </c>
      <c r="E542" t="inlineStr"/>
      <c r="F542" s="4" t="n">
        <v>300</v>
      </c>
      <c r="G542" t="inlineStr"/>
      <c r="H542" t="inlineStr">
        <is>
          <t>16928 Brandenburg - Pritzwalk</t>
        </is>
      </c>
      <c r="I542" s="5" t="n">
        <v>45555</v>
      </c>
      <c r="J542" t="inlineStr"/>
      <c r="K542" s="6">
        <f>HYPERLINK("https://www.kleinanzeigen.de/s-anzeige/wind-surfboard-fanatic-124l-sehr-guter-zustand-mit-boardbag/2868630139-230-20825", "Link")</f>
        <v/>
      </c>
      <c r="L542" s="6">
        <f>HYPERLINK("C:\Projects\Kleinanzeigen-Scraper\offer_images\2868630139", "Link")</f>
        <v/>
      </c>
      <c r="M542" t="inlineStr">
        <is>
          <t>KK</t>
        </is>
      </c>
      <c r="N542" s="6">
        <f>HYPERLINK("https://www.kleinanzeigen.de/s-bestandsliste.html?userId=144487833", "Link")</f>
        <v/>
      </c>
      <c r="O542" s="7" t="n">
        <v>45555.56520833333</v>
      </c>
      <c r="P542" s="3" t="inlineStr">
        <is>
          <t>432.77</t>
        </is>
      </c>
      <c r="Q542" t="inlineStr">
        <is>
          <t>Köln</t>
        </is>
      </c>
    </row>
    <row r="543">
      <c r="A543" t="inlineStr">
        <is>
          <t>8'7" (262cm) x 53cm</t>
        </is>
      </c>
      <c r="B543" t="inlineStr">
        <is>
          <t>Mistral Naish Hawaii Floater</t>
        </is>
      </c>
      <c r="C543" t="inlineStr">
        <is>
          <t>Freeride Wave</t>
        </is>
      </c>
      <c r="D543" s="3" t="n">
        <v>90</v>
      </c>
      <c r="E543" t="inlineStr">
        <is>
          <t>1999</t>
        </is>
      </c>
      <c r="F543" s="4" t="n">
        <v>60</v>
      </c>
      <c r="G543" t="inlineStr"/>
      <c r="H543" t="inlineStr">
        <is>
          <t>24106 Schleswig-Holstein - Kiel</t>
        </is>
      </c>
      <c r="I543" s="5" t="n">
        <v>45553</v>
      </c>
      <c r="J543" t="inlineStr"/>
      <c r="K543" s="6">
        <f>HYPERLINK("https://www.kleinanzeigen.de/s-anzeige/mistral-naish-hawaii-floater-windsurfboard-freeride-surfbrett-90l/2867647216-230-707", "Link")</f>
        <v/>
      </c>
      <c r="L543" s="6">
        <f>HYPERLINK("C:\Projects\Kleinanzeigen-Scraper\offer_images\2867647216", "Link")</f>
        <v/>
      </c>
      <c r="M543" t="inlineStr">
        <is>
          <t>Leon Kruse</t>
        </is>
      </c>
      <c r="N543" s="6">
        <f>HYPERLINK("https://www.kleinanzeigen.de/s-bestandsliste.html?userId=11331343", "Link")</f>
        <v/>
      </c>
      <c r="O543" s="7" t="n">
        <v>45555.56518518519</v>
      </c>
      <c r="P543" s="3" t="inlineStr">
        <is>
          <t>436.03</t>
        </is>
      </c>
      <c r="Q543" t="inlineStr">
        <is>
          <t>Köln</t>
        </is>
      </c>
    </row>
    <row r="544">
      <c r="A544" t="inlineStr">
        <is>
          <t>130/138/142/151 cm</t>
        </is>
      </c>
      <c r="B544" t="inlineStr">
        <is>
          <t>Duotone Gonzales</t>
        </is>
      </c>
      <c r="C544" t="inlineStr"/>
      <c r="D544" s="3" t="inlineStr"/>
      <c r="E544" t="inlineStr">
        <is>
          <t>2023</t>
        </is>
      </c>
      <c r="F544" s="4" t="n">
        <v>380</v>
      </c>
      <c r="G544" t="inlineStr"/>
      <c r="H544" t="inlineStr">
        <is>
          <t>90451 Nürnberg (Mittelfr) - Aussenstadt-Sued</t>
        </is>
      </c>
      <c r="I544" s="5" t="n">
        <v>45552</v>
      </c>
      <c r="J544" t="inlineStr">
        <is>
          <t>Sold</t>
        </is>
      </c>
      <c r="K544" s="6">
        <f>HYPERLINK("https://www.kleinanzeigen.de/s-anzeige/duotone-gonzales-2023/2684813244-230-6836", "Link")</f>
        <v/>
      </c>
      <c r="L544" s="6">
        <f>HYPERLINK("C:\Projects\Kleinanzeigen-Scraper\offer_images\2684813244", "Link")</f>
        <v/>
      </c>
      <c r="M544" t="inlineStr">
        <is>
          <t>No user name</t>
        </is>
      </c>
      <c r="N544" s="6">
        <f>HYPERLINK("https://www.kleinanzeigen.deNo user link", "Link")</f>
        <v/>
      </c>
      <c r="O544" s="7" t="n">
        <v>45555.56513888889</v>
      </c>
      <c r="P544" s="3" t="inlineStr">
        <is>
          <t>145.92</t>
        </is>
      </c>
      <c r="Q544" t="inlineStr">
        <is>
          <t>München</t>
        </is>
      </c>
    </row>
    <row r="545">
      <c r="A545" t="inlineStr"/>
      <c r="B545" t="inlineStr">
        <is>
          <t>Severne Dyno</t>
        </is>
      </c>
      <c r="C545" t="inlineStr"/>
      <c r="D545" s="3" t="n">
        <v>105</v>
      </c>
      <c r="E545" t="inlineStr"/>
      <c r="F545" s="4" t="n">
        <v>460</v>
      </c>
      <c r="G545" t="inlineStr">
        <is>
          <t>VB</t>
        </is>
      </c>
      <c r="H545" t="inlineStr">
        <is>
          <t>25524 Schleswig-Holstein - Oelixdorf</t>
        </is>
      </c>
      <c r="I545" s="5" t="n">
        <v>45552</v>
      </c>
      <c r="J545" t="inlineStr"/>
      <c r="K545" s="6">
        <f>HYPERLINK("https://www.kleinanzeigen.de/s-anzeige/severne-dyno-105-liter/2865983135-230-823", "Link")</f>
        <v/>
      </c>
      <c r="L545" s="6">
        <f>HYPERLINK("C:\Projects\Kleinanzeigen-Scraper\offer_images\2865983135", "Link")</f>
        <v/>
      </c>
      <c r="M545" t="inlineStr">
        <is>
          <t>Volcom</t>
        </is>
      </c>
      <c r="N545" s="6">
        <f>HYPERLINK("https://www.kleinanzeigen.de/s-bestandsliste.html?userId=82841000", "Link")</f>
        <v/>
      </c>
      <c r="O545" s="7" t="n">
        <v>45555.56505787037</v>
      </c>
      <c r="P545" s="3" t="inlineStr">
        <is>
          <t>375.94</t>
        </is>
      </c>
      <c r="Q545" t="inlineStr">
        <is>
          <t>Köln</t>
        </is>
      </c>
    </row>
    <row r="546">
      <c r="A546" t="inlineStr">
        <is>
          <t>177.8 x 73.7 x 10.9</t>
        </is>
      </c>
      <c r="B546" t="inlineStr">
        <is>
          <t>Naish-Hover</t>
        </is>
      </c>
      <c r="C546" t="inlineStr">
        <is>
          <t>Foilboard</t>
        </is>
      </c>
      <c r="D546" s="3" t="n">
        <v>110</v>
      </c>
      <c r="E546" t="inlineStr">
        <is>
          <t>2024</t>
        </is>
      </c>
      <c r="F546" s="4" t="n">
        <v>1.3</v>
      </c>
      <c r="G546" t="inlineStr"/>
      <c r="H546" t="inlineStr">
        <is>
          <t>87435 Bayern - Kempten</t>
        </is>
      </c>
      <c r="I546" s="5" t="n">
        <v>45553</v>
      </c>
      <c r="J546" t="inlineStr"/>
      <c r="K546" s="6">
        <f>HYPERLINK("https://www.kleinanzeigen.de/s-anzeige/naish-hover-foilboard-110l/2867587928-230-7619", "Link")</f>
        <v/>
      </c>
      <c r="L546" s="6">
        <f>HYPERLINK("C:\Projects\Kleinanzeigen-Scraper\offer_images\2867587928", "Link")</f>
        <v/>
      </c>
      <c r="M546" t="inlineStr">
        <is>
          <t>HSi</t>
        </is>
      </c>
      <c r="N546" s="6">
        <f>HYPERLINK("https://www.kleinanzeigen.de/s-bestandsliste.html?userId=39622961", "Link")</f>
        <v/>
      </c>
      <c r="O546" s="7" t="n">
        <v>45555.56501157407</v>
      </c>
      <c r="P546" s="3" t="inlineStr">
        <is>
          <t>104.77</t>
        </is>
      </c>
      <c r="Q546" t="inlineStr">
        <is>
          <t>München</t>
        </is>
      </c>
    </row>
    <row r="547">
      <c r="A547" t="inlineStr">
        <is>
          <t>Length: 238 cm, Width: 81 cm</t>
        </is>
      </c>
      <c r="B547" t="inlineStr">
        <is>
          <t>JP Magic Ride</t>
        </is>
      </c>
      <c r="C547" t="inlineStr">
        <is>
          <t>Freeride</t>
        </is>
      </c>
      <c r="D547" s="3" t="n">
        <v>139</v>
      </c>
      <c r="E547" t="inlineStr">
        <is>
          <t>2 years old</t>
        </is>
      </c>
      <c r="F547" s="4" t="n">
        <v>700</v>
      </c>
      <c r="G547" t="inlineStr">
        <is>
          <t>VB</t>
        </is>
      </c>
      <c r="H547" t="inlineStr">
        <is>
          <t>38640 Niedersachsen - Goslar</t>
        </is>
      </c>
      <c r="I547" s="5" t="n">
        <v>45551</v>
      </c>
      <c r="J547" t="inlineStr">
        <is>
          <t>Sold</t>
        </is>
      </c>
      <c r="K547" s="6">
        <f>HYPERLINK("https://www.kleinanzeigen.de/s-anzeige/windsurf-board-jp-magic-ride-139/2865820359-230-2694", "Link")</f>
        <v/>
      </c>
      <c r="L547" s="6">
        <f>HYPERLINK("C:\Projects\Kleinanzeigen-Scraper\offer_images\2865820359", "Link")</f>
        <v/>
      </c>
      <c r="M547" t="inlineStr">
        <is>
          <t>Andreas Melcher</t>
        </is>
      </c>
      <c r="N547" s="6">
        <f>HYPERLINK("https://www.kleinanzeigen.de/s-bestandsliste.html?userId=8437548", "Link")</f>
        <v/>
      </c>
      <c r="O547" s="7" t="n">
        <v>45555.56488425926</v>
      </c>
      <c r="P547" s="3" t="inlineStr">
        <is>
          <t>264.65</t>
        </is>
      </c>
      <c r="Q547" t="inlineStr">
        <is>
          <t>Köln</t>
        </is>
      </c>
    </row>
    <row r="548">
      <c r="A548" t="inlineStr">
        <is>
          <t>8'3" x 32"</t>
        </is>
      </c>
      <c r="B548" t="inlineStr">
        <is>
          <t>Fanatic ALLWAVE</t>
        </is>
      </c>
      <c r="C548" t="inlineStr">
        <is>
          <t>Wave</t>
        </is>
      </c>
      <c r="D548" s="3" t="n">
        <v>120</v>
      </c>
      <c r="E548" t="inlineStr"/>
      <c r="F548" s="4" t="n">
        <v>249</v>
      </c>
      <c r="G548" t="inlineStr">
        <is>
          <t>VB</t>
        </is>
      </c>
      <c r="H548" t="inlineStr">
        <is>
          <t>50968 Köln - Raderthal</t>
        </is>
      </c>
      <c r="I548" s="5" t="n">
        <v>45554</v>
      </c>
      <c r="J548" t="inlineStr"/>
      <c r="K548" s="6">
        <f>HYPERLINK("https://www.kleinanzeigen.de/s-anzeige/sup-fanatic-allwave-8-3-standup-waveboard/2867910086-230-955", "Link")</f>
        <v/>
      </c>
      <c r="L548" s="6">
        <f>HYPERLINK("C:\Projects\Kleinanzeigen-Scraper\offer_images\2867910086", "Link")</f>
        <v/>
      </c>
      <c r="M548" t="inlineStr">
        <is>
          <t>Pohl, Philipp</t>
        </is>
      </c>
      <c r="N548" s="6">
        <f>HYPERLINK("https://www.kleinanzeigen.de/s-bestandsliste.html?userId=2437054", "Link")</f>
        <v/>
      </c>
      <c r="O548" s="7" t="n">
        <v>45555.56482638889</v>
      </c>
      <c r="P548" s="3" t="inlineStr">
        <is>
          <t>4.01</t>
        </is>
      </c>
      <c r="Q548" t="inlineStr">
        <is>
          <t>Köln</t>
        </is>
      </c>
    </row>
    <row r="549">
      <c r="A549" t="inlineStr">
        <is>
          <t>236 x 58</t>
        </is>
      </c>
      <c r="B549" t="inlineStr">
        <is>
          <t>F2 SX</t>
        </is>
      </c>
      <c r="C549" t="inlineStr"/>
      <c r="D549" s="3" t="n">
        <v>91</v>
      </c>
      <c r="E549" t="inlineStr"/>
      <c r="F549" s="4" t="n">
        <v>300</v>
      </c>
      <c r="G549" t="inlineStr"/>
      <c r="H549" t="inlineStr">
        <is>
          <t>48161 Münster (Westfalen) - Roxel</t>
        </is>
      </c>
      <c r="I549" s="5" t="n">
        <v>45553</v>
      </c>
      <c r="J549" t="inlineStr"/>
      <c r="K549" s="6">
        <f>HYPERLINK("https://www.kleinanzeigen.de/s-anzeige/f2-sx-58-91-liter-surfbrett-windsurfen/2867317292-230-16792", "Link")</f>
        <v/>
      </c>
      <c r="L549" s="6">
        <f>HYPERLINK("C:\Projects\Kleinanzeigen-Scraper\offer_images\2867317292", "Link")</f>
        <v/>
      </c>
      <c r="M549" t="inlineStr">
        <is>
          <t>Dreisbach</t>
        </is>
      </c>
      <c r="N549" s="6">
        <f>HYPERLINK("https://www.kleinanzeigen.de/s-bestandsliste.html?userId=45159683", "Link")</f>
        <v/>
      </c>
      <c r="O549" s="7" t="n">
        <v>45555.56473379629</v>
      </c>
      <c r="P549" s="3" t="inlineStr">
        <is>
          <t>120.79</t>
        </is>
      </c>
      <c r="Q549" t="inlineStr">
        <is>
          <t>Köln</t>
        </is>
      </c>
    </row>
    <row r="550">
      <c r="A550" t="inlineStr">
        <is>
          <t>132x38</t>
        </is>
      </c>
      <c r="B550" t="inlineStr">
        <is>
          <t>Duotone Soleil</t>
        </is>
      </c>
      <c r="C550" t="inlineStr"/>
      <c r="D550" s="3" t="inlineStr"/>
      <c r="E550" t="inlineStr"/>
      <c r="F550" s="4" t="n">
        <v>600</v>
      </c>
      <c r="G550" t="inlineStr"/>
      <c r="H550" t="inlineStr">
        <is>
          <t>24893 Schleswig-Holstein - Taarstedt</t>
        </is>
      </c>
      <c r="I550" s="5" t="n">
        <v>45554</v>
      </c>
      <c r="J550" t="inlineStr">
        <is>
          <t>Sold</t>
        </is>
      </c>
      <c r="K550" s="6">
        <f>HYPERLINK("https://www.kleinanzeigen.de/s-anzeige/duotone-soleil-inkl-pads-wie-neu-/2867696721-230-532", "Link")</f>
        <v/>
      </c>
      <c r="L550" s="6">
        <f>HYPERLINK("C:\Projects\Kleinanzeigen-Scraper\offer_images\2867696721", "Link")</f>
        <v/>
      </c>
      <c r="M550" t="inlineStr">
        <is>
          <t>Daniela Stade</t>
        </is>
      </c>
      <c r="N550" s="6">
        <f>HYPERLINK("https://www.kleinanzeigen.de/s-bestandsliste.html?userId=33699896", "Link")</f>
        <v/>
      </c>
      <c r="O550" s="7" t="n">
        <v>45555.56471064815</v>
      </c>
      <c r="P550" s="3" t="inlineStr">
        <is>
          <t>443.49</t>
        </is>
      </c>
      <c r="Q550" t="inlineStr">
        <is>
          <t>Köln</t>
        </is>
      </c>
    </row>
    <row r="551">
      <c r="A551" t="inlineStr">
        <is>
          <t>245 x 54 cm</t>
        </is>
      </c>
      <c r="B551" t="inlineStr">
        <is>
          <t>Naish Supercross</t>
        </is>
      </c>
      <c r="C551" t="inlineStr">
        <is>
          <t>Wave</t>
        </is>
      </c>
      <c r="D551" s="3" t="n">
        <v>75</v>
      </c>
      <c r="E551" t="inlineStr"/>
      <c r="F551" s="4" t="n">
        <v>80</v>
      </c>
      <c r="G551" t="inlineStr"/>
      <c r="H551" t="inlineStr">
        <is>
          <t>79100 Freiburg im Breisgau - Wiehre</t>
        </is>
      </c>
      <c r="I551" s="5" t="n">
        <v>45554</v>
      </c>
      <c r="J551" t="inlineStr">
        <is>
          <t>Sold</t>
        </is>
      </c>
      <c r="K551" s="6">
        <f>HYPERLINK("https://www.kleinanzeigen.de/s-anzeige/naish-supercross-windsurfbrett-fast-neu-mit-boardbag-und-finne/2867857352-230-9368", "Link")</f>
        <v/>
      </c>
      <c r="L551" s="6">
        <f>HYPERLINK("C:\Projects\Kleinanzeigen-Scraper\offer_images\2867857352", "Link")</f>
        <v/>
      </c>
      <c r="M551" t="inlineStr">
        <is>
          <t>MLF</t>
        </is>
      </c>
      <c r="N551" s="6">
        <f>HYPERLINK("https://www.kleinanzeigen.de/s-bestandsliste.html?userId=15574759", "Link")</f>
        <v/>
      </c>
      <c r="O551" s="7" t="n">
        <v>45555.56460648148</v>
      </c>
      <c r="P551" s="3" t="inlineStr">
        <is>
          <t>39.95</t>
        </is>
      </c>
      <c r="Q551" t="inlineStr">
        <is>
          <t>Bonndorf</t>
        </is>
      </c>
    </row>
    <row r="552">
      <c r="A552" t="inlineStr">
        <is>
          <t>132/38</t>
        </is>
      </c>
      <c r="B552" t="inlineStr">
        <is>
          <t>Duotone Soleil Concept Blue</t>
        </is>
      </c>
      <c r="C552" t="inlineStr"/>
      <c r="D552" s="3" t="inlineStr"/>
      <c r="E552" t="inlineStr">
        <is>
          <t>2024</t>
        </is>
      </c>
      <c r="F552" s="4" t="n">
        <v>499</v>
      </c>
      <c r="G552" t="inlineStr"/>
      <c r="H552" t="inlineStr">
        <is>
          <t>83737 Bayern - Irschenberg</t>
        </is>
      </c>
      <c r="I552" s="5" t="n">
        <v>45551</v>
      </c>
      <c r="J552" t="inlineStr">
        <is>
          <t>Sold</t>
        </is>
      </c>
      <c r="K552" s="6">
        <f>HYPERLINK("https://www.kleinanzeigen.de/s-anzeige/duotone-soleil-concept-blue-2024-132-38-2-mal-benutzt-top/2865745396-230-5900", "Link")</f>
        <v/>
      </c>
      <c r="L552" s="6">
        <f>HYPERLINK("C:\Projects\Kleinanzeigen-Scraper\offer_images\2865745396", "Link")</f>
        <v/>
      </c>
      <c r="M552" t="inlineStr">
        <is>
          <t>Lena</t>
        </is>
      </c>
      <c r="N552" s="6">
        <f>HYPERLINK("https://www.kleinanzeigen.de/s-bestandsliste.html?userId=22335978", "Link")</f>
        <v/>
      </c>
      <c r="O552" s="7" t="n">
        <v>45555.56459490741</v>
      </c>
      <c r="P552" s="3" t="inlineStr">
        <is>
          <t>43.62</t>
        </is>
      </c>
      <c r="Q552" t="inlineStr">
        <is>
          <t>München</t>
        </is>
      </c>
    </row>
    <row r="553">
      <c r="A553" t="inlineStr">
        <is>
          <t>228 x 77</t>
        </is>
      </c>
      <c r="B553" t="inlineStr">
        <is>
          <t>Starboard Futura</t>
        </is>
      </c>
      <c r="C553" t="inlineStr">
        <is>
          <t>Freerace</t>
        </is>
      </c>
      <c r="D553" s="3" t="n">
        <v>117</v>
      </c>
      <c r="E553" t="inlineStr"/>
      <c r="F553" s="4" t="n">
        <v>280</v>
      </c>
      <c r="G553" t="inlineStr">
        <is>
          <t>VB</t>
        </is>
      </c>
      <c r="H553" t="inlineStr">
        <is>
          <t>41539 Nordrhein-Westfalen - Dormagen</t>
        </is>
      </c>
      <c r="I553" s="5" t="n">
        <v>45551</v>
      </c>
      <c r="J553" t="inlineStr"/>
      <c r="K553" s="6">
        <f>HYPERLINK("https://www.kleinanzeigen.de/s-anzeige/starboard-futura-117-liter-surfboard/2865903490-230-1879", "Link")</f>
        <v/>
      </c>
      <c r="L553" s="6">
        <f>HYPERLINK("C:\Projects\Kleinanzeigen-Scraper\offer_images\2865903490", "Link")</f>
        <v/>
      </c>
      <c r="M553" t="inlineStr">
        <is>
          <t>Rudolf Schreiber</t>
        </is>
      </c>
      <c r="N553" s="6">
        <f>HYPERLINK("https://www.kleinanzeigen.de/s-bestandsliste.html?userId=82662296", "Link")</f>
        <v/>
      </c>
      <c r="O553" s="7" t="n">
        <v>45555.56458333333</v>
      </c>
      <c r="P553" s="3" t="inlineStr">
        <is>
          <t>19.45</t>
        </is>
      </c>
      <c r="Q553" t="inlineStr">
        <is>
          <t>Köln</t>
        </is>
      </c>
    </row>
    <row r="554">
      <c r="A554" t="inlineStr"/>
      <c r="B554" t="inlineStr"/>
      <c r="C554" t="inlineStr">
        <is>
          <t>SUP</t>
        </is>
      </c>
      <c r="D554" s="3" t="inlineStr"/>
      <c r="E554" t="inlineStr"/>
      <c r="F554" s="4" t="inlineStr"/>
      <c r="G554" t="inlineStr">
        <is>
          <t>VB</t>
        </is>
      </c>
      <c r="H554" t="inlineStr">
        <is>
          <t>26197 Niedersachsen - Großenkneten</t>
        </is>
      </c>
      <c r="I554" s="5" t="n">
        <v>45554</v>
      </c>
      <c r="J554" t="inlineStr"/>
      <c r="K554" s="6">
        <f>HYPERLINK("https://www.kleinanzeigen.de/s-anzeige/windsurf-sup-board-guenstig-abzugeben/2868079539-230-2635", "Link")</f>
        <v/>
      </c>
      <c r="L554" s="6">
        <f>HYPERLINK("C:\Projects\Kleinanzeigen-Scraper\offer_images\2868079539", "Link")</f>
        <v/>
      </c>
      <c r="M554" t="inlineStr">
        <is>
          <t>Petra</t>
        </is>
      </c>
      <c r="N554" s="6">
        <f>HYPERLINK("https://www.kleinanzeigen.de/s-bestandsliste.html?userId=17728622", "Link")</f>
        <v/>
      </c>
      <c r="O554" s="7" t="n">
        <v>45555.56442129629</v>
      </c>
      <c r="P554" s="3" t="inlineStr">
        <is>
          <t>240.81</t>
        </is>
      </c>
      <c r="Q554" t="inlineStr">
        <is>
          <t>Köln</t>
        </is>
      </c>
    </row>
    <row r="555">
      <c r="A555" t="inlineStr">
        <is>
          <t>325</t>
        </is>
      </c>
      <c r="B555" t="inlineStr">
        <is>
          <t>Fanatic Lite Bat</t>
        </is>
      </c>
      <c r="C555" t="inlineStr"/>
      <c r="D555" s="3" t="inlineStr"/>
      <c r="E555" t="inlineStr"/>
      <c r="F555" s="4" t="n">
        <v>40</v>
      </c>
      <c r="G555" t="inlineStr"/>
      <c r="H555" t="inlineStr">
        <is>
          <t>99438 Thüringen - Bad Berka</t>
        </is>
      </c>
      <c r="I555" s="5" t="n">
        <v>45551</v>
      </c>
      <c r="J555" t="inlineStr">
        <is>
          <t>Sold</t>
        </is>
      </c>
      <c r="K555" s="6">
        <f>HYPERLINK("https://www.kleinanzeigen.de/s-anzeige/surfboard-fanatic-lite-bat-325/2865879157-230-12341", "Link")</f>
        <v/>
      </c>
      <c r="L555" s="6">
        <f>HYPERLINK("C:\Projects\Kleinanzeigen-Scraper\offer_images\2865879157", "Link")</f>
        <v/>
      </c>
      <c r="M555" t="inlineStr">
        <is>
          <t>Werner Heinrich</t>
        </is>
      </c>
      <c r="N555" s="6">
        <f>HYPERLINK("https://www.kleinanzeigen.de/s-bestandsliste.html?userId=3824935", "Link")</f>
        <v/>
      </c>
      <c r="O555" s="7" t="n">
        <v>45555.56430555556</v>
      </c>
      <c r="P555" s="3" t="inlineStr">
        <is>
          <t>293.98</t>
        </is>
      </c>
      <c r="Q555" t="inlineStr">
        <is>
          <t>Karlsruhe</t>
        </is>
      </c>
    </row>
    <row r="556">
      <c r="A556" t="inlineStr">
        <is>
          <t>237 cm x 81 cm</t>
        </is>
      </c>
      <c r="B556" t="inlineStr">
        <is>
          <t>Tabou Rocket Plus Team</t>
        </is>
      </c>
      <c r="C556" t="inlineStr">
        <is>
          <t>Freeride</t>
        </is>
      </c>
      <c r="D556" s="3" t="n">
        <v>133</v>
      </c>
      <c r="E556" t="inlineStr"/>
      <c r="F556" s="4" t="n">
        <v>1.4</v>
      </c>
      <c r="G556" t="inlineStr">
        <is>
          <t>VB</t>
        </is>
      </c>
      <c r="H556" t="inlineStr">
        <is>
          <t>67071 Rheinland-Pfalz - Ludwigshafen</t>
        </is>
      </c>
      <c r="I556" s="5" t="n">
        <v>45554</v>
      </c>
      <c r="J556" t="inlineStr"/>
      <c r="K556" s="6">
        <f>HYPERLINK("https://www.kleinanzeigen.de/s-anzeige/surfboard-tabou-rocket-plus-team-133-carbon-flex/2867964701-230-5191", "Link")</f>
        <v/>
      </c>
      <c r="L556" s="6">
        <f>HYPERLINK("C:\Projects\Kleinanzeigen-Scraper\offer_images\2867964701", "Link")</f>
        <v/>
      </c>
      <c r="M556" t="inlineStr">
        <is>
          <t>Peter</t>
        </is>
      </c>
      <c r="N556" s="6">
        <f>HYPERLINK("https://www.kleinanzeigen.de/s-bestandsliste.html?userId=35224675", "Link")</f>
        <v/>
      </c>
      <c r="O556" s="7" t="n">
        <v>45555.56428240741</v>
      </c>
      <c r="P556" s="3" t="inlineStr">
        <is>
          <t>52.34</t>
        </is>
      </c>
      <c r="Q556" t="inlineStr">
        <is>
          <t>Karlsruhe</t>
        </is>
      </c>
    </row>
    <row r="557">
      <c r="A557" t="inlineStr">
        <is>
          <t>139 cm</t>
        </is>
      </c>
      <c r="B557" t="inlineStr">
        <is>
          <t>Duotone Jaime SLS</t>
        </is>
      </c>
      <c r="C557" t="inlineStr"/>
      <c r="D557" s="3" t="inlineStr"/>
      <c r="E557" t="inlineStr">
        <is>
          <t>2023/2024</t>
        </is>
      </c>
      <c r="F557" s="4" t="n">
        <v>950</v>
      </c>
      <c r="G557" t="inlineStr"/>
      <c r="H557" t="inlineStr">
        <is>
          <t>85646 Bayern - Anzing</t>
        </is>
      </c>
      <c r="I557" s="5" t="n">
        <v>45553</v>
      </c>
      <c r="J557" t="inlineStr">
        <is>
          <t>Sold</t>
        </is>
      </c>
      <c r="K557" s="6">
        <f>HYPERLINK("https://www.kleinanzeigen.de/s-anzeige/duotone-jaime-sls-139-cm-2023-2024-ntt-bindung-neuwertig/2867180677-230-18212", "Link")</f>
        <v/>
      </c>
      <c r="L557" s="6">
        <f>HYPERLINK("C:\Projects\Kleinanzeigen-Scraper\offer_images\2867180677", "Link")</f>
        <v/>
      </c>
      <c r="M557" t="inlineStr">
        <is>
          <t>Tim M.</t>
        </is>
      </c>
      <c r="N557" s="6">
        <f>HYPERLINK("https://www.kleinanzeigen.de/s-bestandsliste.html?userId=29570779", "Link")</f>
        <v/>
      </c>
      <c r="O557" s="7" t="n">
        <v>45555.56423611111</v>
      </c>
      <c r="P557" s="3" t="inlineStr">
        <is>
          <t>20.77</t>
        </is>
      </c>
      <c r="Q557" t="inlineStr">
        <is>
          <t>München</t>
        </is>
      </c>
    </row>
    <row r="558">
      <c r="A558" t="inlineStr">
        <is>
          <t>Dimensions not specified</t>
        </is>
      </c>
      <c r="B558" t="inlineStr">
        <is>
          <t>Surfline Munich Madd</t>
        </is>
      </c>
      <c r="C558" t="inlineStr">
        <is>
          <t>Twinser</t>
        </is>
      </c>
      <c r="D558" s="3" t="inlineStr"/>
      <c r="E558" t="inlineStr"/>
      <c r="F558" s="4" t="n">
        <v>260</v>
      </c>
      <c r="G558" t="inlineStr">
        <is>
          <t>VB</t>
        </is>
      </c>
      <c r="H558" t="inlineStr">
        <is>
          <t>87437 Bayern - Kempten</t>
        </is>
      </c>
      <c r="I558" s="5" t="n">
        <v>45551</v>
      </c>
      <c r="J558" t="inlineStr">
        <is>
          <t>Sold</t>
        </is>
      </c>
      <c r="K558" s="6">
        <f>HYPERLINK("https://www.kleinanzeigen.de/s-anzeige/surfline-munich-madd-windsurf-board-leichtbau/2865878470-187-7620", "Link")</f>
        <v/>
      </c>
      <c r="L558" s="6">
        <f>HYPERLINK("C:\Projects\Kleinanzeigen-Scraper\offer_images\2865878470", "Link")</f>
        <v/>
      </c>
      <c r="M558" t="inlineStr">
        <is>
          <t>kiefert petra</t>
        </is>
      </c>
      <c r="N558" s="6">
        <f>HYPERLINK("https://www.kleinanzeigen.de/s-bestandsliste.html?userId=74090294", "Link")</f>
        <v/>
      </c>
      <c r="O558" s="7" t="n">
        <v>45555.56421296296</v>
      </c>
      <c r="P558" s="3" t="inlineStr">
        <is>
          <t>101.34</t>
        </is>
      </c>
      <c r="Q558" t="inlineStr">
        <is>
          <t>München</t>
        </is>
      </c>
    </row>
    <row r="559">
      <c r="A559" t="inlineStr">
        <is>
          <t>11.6</t>
        </is>
      </c>
      <c r="B559" t="inlineStr">
        <is>
          <t>JP Australia</t>
        </is>
      </c>
      <c r="C559" t="inlineStr">
        <is>
          <t>Longboard</t>
        </is>
      </c>
      <c r="D559" s="3" t="inlineStr"/>
      <c r="E559" t="inlineStr">
        <is>
          <t>2021</t>
        </is>
      </c>
      <c r="F559" s="4" t="n">
        <v>800</v>
      </c>
      <c r="G559" t="inlineStr"/>
      <c r="H559" t="inlineStr">
        <is>
          <t>81371 München - Sendling</t>
        </is>
      </c>
      <c r="I559" s="5" t="n">
        <v>45555</v>
      </c>
      <c r="J559" t="inlineStr"/>
      <c r="K559" s="6">
        <f>HYPERLINK("https://www.kleinanzeigen.de/s-anzeige/sup-board-composite-jp-australia/2867643089-230-6416", "Link")</f>
        <v/>
      </c>
      <c r="L559" s="6">
        <f>HYPERLINK("C:\Projects\Kleinanzeigen-Scraper\offer_images\2867643089", "Link")</f>
        <v/>
      </c>
      <c r="M559" t="inlineStr">
        <is>
          <t>Philipp</t>
        </is>
      </c>
      <c r="N559" s="6">
        <f>HYPERLINK("https://www.kleinanzeigen.de/s-bestandsliste.html?userId=42654784", "Link")</f>
        <v/>
      </c>
      <c r="O559" s="7" t="n">
        <v>45555.56417824074</v>
      </c>
      <c r="P559" s="3" t="inlineStr">
        <is>
          <t>2.76</t>
        </is>
      </c>
      <c r="Q559" t="inlineStr">
        <is>
          <t>München</t>
        </is>
      </c>
    </row>
    <row r="560">
      <c r="A560" t="inlineStr">
        <is>
          <t>7'6" x 21 1/2" x 2 3/4"</t>
        </is>
      </c>
      <c r="B560" t="inlineStr">
        <is>
          <t>Fanatic McKee Bamboo Edition</t>
        </is>
      </c>
      <c r="C560" t="inlineStr">
        <is>
          <t>Mini Malibu</t>
        </is>
      </c>
      <c r="D560" s="3" t="n">
        <v>55</v>
      </c>
      <c r="E560" t="inlineStr"/>
      <c r="F560" s="4" t="n">
        <v>500</v>
      </c>
      <c r="G560" t="inlineStr">
        <is>
          <t>VB</t>
        </is>
      </c>
      <c r="H560" t="inlineStr">
        <is>
          <t>24537 Schleswig-Holstein - Neumünster</t>
        </is>
      </c>
      <c r="I560" s="5" t="n">
        <v>45551</v>
      </c>
      <c r="J560" t="inlineStr">
        <is>
          <t>Sold</t>
        </is>
      </c>
      <c r="K560" s="6">
        <f>HYPERLINK("https://www.kleinanzeigen.de/s-anzeige/surfboard-mini-malibu-fanatic-mckee-bamboo-edition-7-6-mit-bag/2865141012-230-646", "Link")</f>
        <v/>
      </c>
      <c r="L560" s="6">
        <f>HYPERLINK("C:\Projects\Kleinanzeigen-Scraper\offer_images\2865141012", "Link")</f>
        <v/>
      </c>
      <c r="M560" t="inlineStr">
        <is>
          <t>TS</t>
        </is>
      </c>
      <c r="N560" s="6">
        <f>HYPERLINK("https://www.kleinanzeigen.de/s-bestandsliste.html?userId=3608717", "Link")</f>
        <v/>
      </c>
      <c r="O560" s="7" t="n">
        <v>45555.56416666666</v>
      </c>
      <c r="P560" s="3" t="inlineStr">
        <is>
          <t>403.96</t>
        </is>
      </c>
      <c r="Q560" t="inlineStr">
        <is>
          <t>Köln</t>
        </is>
      </c>
    </row>
    <row r="561">
      <c r="A561" t="inlineStr">
        <is>
          <t>263 x 75</t>
        </is>
      </c>
      <c r="B561" t="inlineStr">
        <is>
          <t>Fanatic Shark</t>
        </is>
      </c>
      <c r="C561" t="inlineStr">
        <is>
          <t>Freeride</t>
        </is>
      </c>
      <c r="D561" s="3" t="n">
        <v>145</v>
      </c>
      <c r="E561" t="inlineStr"/>
      <c r="F561" s="4" t="n">
        <v>300</v>
      </c>
      <c r="G561" t="inlineStr"/>
      <c r="H561" t="inlineStr">
        <is>
          <t>38350 Niedersachsen - Helmstedt</t>
        </is>
      </c>
      <c r="I561" s="5" t="n">
        <v>45553</v>
      </c>
      <c r="J561" t="inlineStr"/>
      <c r="K561" s="6">
        <f>HYPERLINK("https://www.kleinanzeigen.de/s-anzeige/fanatic-shark-145-mit-boardbag-wie-gecko-x-ride/2866950944-230-14238", "Link")</f>
        <v/>
      </c>
      <c r="L561" s="6">
        <f>HYPERLINK("C:\Projects\Kleinanzeigen-Scraper\offer_images\2866950944", "Link")</f>
        <v/>
      </c>
      <c r="M561" t="inlineStr">
        <is>
          <t>Liebing</t>
        </is>
      </c>
      <c r="N561" s="6">
        <f>HYPERLINK("https://www.kleinanzeigen.de/s-bestandsliste.html?userId=11767375", "Link")</f>
        <v/>
      </c>
      <c r="O561" s="7" t="n">
        <v>45555.56410879629</v>
      </c>
      <c r="P561" s="3" t="inlineStr">
        <is>
          <t>314.95</t>
        </is>
      </c>
      <c r="Q561" t="inlineStr">
        <is>
          <t>Köln</t>
        </is>
      </c>
    </row>
    <row r="562">
      <c r="A562" t="inlineStr">
        <is>
          <t>Tabou Manta 61 Pro Team 2022</t>
        </is>
      </c>
      <c r="B562" t="inlineStr">
        <is>
          <t>Tabou</t>
        </is>
      </c>
      <c r="C562" t="inlineStr">
        <is>
          <t>Freeride</t>
        </is>
      </c>
      <c r="D562" s="3" t="n">
        <v>98</v>
      </c>
      <c r="E562" t="inlineStr">
        <is>
          <t>2022</t>
        </is>
      </c>
      <c r="F562" s="4" t="n">
        <v>850</v>
      </c>
      <c r="G562" t="inlineStr"/>
      <c r="H562" t="inlineStr">
        <is>
          <t>24943 Schleswig-Holstein - Flensburg</t>
        </is>
      </c>
      <c r="I562" s="5" t="n">
        <v>45551</v>
      </c>
      <c r="J562" t="inlineStr"/>
      <c r="K562" s="6">
        <f>HYPERLINK("https://www.kleinanzeigen.de/s-anzeige/windsurfboard-tabou-manta-61-pro-team-2022/2865822611-230-17392", "Link")</f>
        <v/>
      </c>
      <c r="L562" s="6">
        <f>HYPERLINK("C:\Projects\Kleinanzeigen-Scraper\offer_images\2865822611", "Link")</f>
        <v/>
      </c>
      <c r="M562" t="inlineStr">
        <is>
          <t>T.Studt</t>
        </is>
      </c>
      <c r="N562" s="6">
        <f>HYPERLINK("https://www.kleinanzeigen.de/s-bestandsliste.html?userId=79204106", "Link")</f>
        <v/>
      </c>
      <c r="O562" s="7" t="n">
        <v>45555.56405092592</v>
      </c>
      <c r="P562" s="3" t="inlineStr">
        <is>
          <t>459.78</t>
        </is>
      </c>
      <c r="Q562" t="inlineStr">
        <is>
          <t>Köln</t>
        </is>
      </c>
    </row>
    <row r="563">
      <c r="A563" t="inlineStr">
        <is>
          <t>245 x 59 cm</t>
        </is>
      </c>
      <c r="B563" t="inlineStr">
        <is>
          <t>Starboard Pure Acid</t>
        </is>
      </c>
      <c r="C563" t="inlineStr">
        <is>
          <t>Freestyle</t>
        </is>
      </c>
      <c r="D563" s="3" t="n">
        <v>86</v>
      </c>
      <c r="E563" t="inlineStr"/>
      <c r="F563" s="4" t="n">
        <v>250</v>
      </c>
      <c r="G563" t="inlineStr">
        <is>
          <t>VB</t>
        </is>
      </c>
      <c r="H563" t="inlineStr">
        <is>
          <t>81369 München - Sendling</t>
        </is>
      </c>
      <c r="I563" s="5" t="n">
        <v>45449</v>
      </c>
      <c r="J563" t="inlineStr"/>
      <c r="K563" s="6">
        <f>HYPERLINK("https://www.kleinanzeigen.de/s-anzeige/starboard-pure-acid-86-ltr/2781628018-230-16382", "Link")</f>
        <v/>
      </c>
      <c r="L563" s="6">
        <f>HYPERLINK("C:\Projects\Kleinanzeigen-Scraper\offer_images\2781628018", "Link")</f>
        <v/>
      </c>
      <c r="M563" t="inlineStr">
        <is>
          <t>Stefan Vogl</t>
        </is>
      </c>
      <c r="N563" s="6">
        <f>HYPERLINK("https://www.kleinanzeigen.de/s-bestandsliste.html?userId=19020768", "Link")</f>
        <v/>
      </c>
      <c r="O563" s="7" t="n">
        <v>45555.56398148148</v>
      </c>
      <c r="P563" s="3" t="inlineStr">
        <is>
          <t>4.53</t>
        </is>
      </c>
      <c r="Q563" t="inlineStr">
        <is>
          <t>München</t>
        </is>
      </c>
    </row>
    <row r="564">
      <c r="A564" t="inlineStr"/>
      <c r="B564" t="inlineStr">
        <is>
          <t>North Team Series</t>
        </is>
      </c>
      <c r="C564" t="inlineStr"/>
      <c r="D564" s="3" t="inlineStr"/>
      <c r="E564" t="inlineStr">
        <is>
          <t>2015</t>
        </is>
      </c>
      <c r="F564" s="4" t="n">
        <v>200</v>
      </c>
      <c r="G564" t="inlineStr"/>
      <c r="H564" t="inlineStr">
        <is>
          <t>22769 Altona - Hamburg Altona-Nord</t>
        </is>
      </c>
      <c r="I564" s="5" t="n">
        <v>45552</v>
      </c>
      <c r="J564" t="inlineStr"/>
      <c r="K564" s="6">
        <f>HYPERLINK("https://www.kleinanzeigen.de/s-anzeige/north-team-series-2015/2865994819-230-26480", "Link")</f>
        <v/>
      </c>
      <c r="L564" s="6">
        <f>HYPERLINK("C:\Projects\Kleinanzeigen-Scraper\offer_images\2865994819", "Link")</f>
        <v/>
      </c>
      <c r="M564" t="inlineStr">
        <is>
          <t>Philipp Sudbrack</t>
        </is>
      </c>
      <c r="N564" s="6">
        <f>HYPERLINK("https://www.kleinanzeigen.de/s-bestandsliste.html?userId=26128046", "Link")</f>
        <v/>
      </c>
      <c r="O564" s="7" t="n">
        <v>45555.56398148148</v>
      </c>
      <c r="P564" s="3" t="inlineStr">
        <is>
          <t>356.14</t>
        </is>
      </c>
      <c r="Q564" t="inlineStr">
        <is>
          <t>Köln</t>
        </is>
      </c>
    </row>
    <row r="565">
      <c r="A565" t="inlineStr">
        <is>
          <t>250x65</t>
        </is>
      </c>
      <c r="B565" t="inlineStr">
        <is>
          <t>Starboard Carve 151</t>
        </is>
      </c>
      <c r="C565" t="inlineStr">
        <is>
          <t>Freeride</t>
        </is>
      </c>
      <c r="D565" s="3" t="n">
        <v>151</v>
      </c>
      <c r="E565" t="inlineStr"/>
      <c r="F565" s="4" t="n">
        <v>420</v>
      </c>
      <c r="G565" t="inlineStr"/>
      <c r="H565" t="inlineStr">
        <is>
          <t>24816 Schleswig-Holstein - Brinjahe</t>
        </is>
      </c>
      <c r="I565" s="5" t="n">
        <v>45445</v>
      </c>
      <c r="J565" t="inlineStr"/>
      <c r="K565" s="6">
        <f>HYPERLINK("https://www.kleinanzeigen.de/s-anzeige/surfbrett-surfboard-starboard-carve-151/2778321455-230-25799", "Link")</f>
        <v/>
      </c>
      <c r="L565" s="6">
        <f>HYPERLINK("C:\Projects\Kleinanzeigen-Scraper\offer_images\2778321455", "Link")</f>
        <v/>
      </c>
      <c r="M565" t="inlineStr">
        <is>
          <t>Ja</t>
        </is>
      </c>
      <c r="N565" s="6">
        <f>HYPERLINK("https://www.kleinanzeigen.de/s-bestandsliste.html?userId=140536860", "Link")</f>
        <v/>
      </c>
      <c r="O565" s="7" t="n">
        <v>45555.56388888889</v>
      </c>
      <c r="P565" s="3" t="inlineStr">
        <is>
          <t>403.29</t>
        </is>
      </c>
      <c r="Q565" t="inlineStr">
        <is>
          <t>Köln</t>
        </is>
      </c>
    </row>
    <row r="566">
      <c r="A566" t="inlineStr">
        <is>
          <t>225cm x 65cm</t>
        </is>
      </c>
      <c r="B566" t="inlineStr">
        <is>
          <t>Fanatic Skate TE</t>
        </is>
      </c>
      <c r="C566" t="inlineStr">
        <is>
          <t>Freestyle</t>
        </is>
      </c>
      <c r="D566" s="3" t="n">
        <v>99</v>
      </c>
      <c r="E566" t="inlineStr">
        <is>
          <t>2022</t>
        </is>
      </c>
      <c r="F566" s="4" t="n">
        <v>1.15</v>
      </c>
      <c r="G566" t="inlineStr">
        <is>
          <t>VB</t>
        </is>
      </c>
      <c r="H566" t="inlineStr">
        <is>
          <t>48143 Münster (Westfalen) - Centrum</t>
        </is>
      </c>
      <c r="I566" s="5" t="n">
        <v>45551</v>
      </c>
      <c r="J566" t="inlineStr">
        <is>
          <t>Sold</t>
        </is>
      </c>
      <c r="K566" s="6">
        <f>HYPERLINK("https://www.kleinanzeigen.de/s-anzeige/gut-erhaltenes-fanatic-skate-te-99-liter-von-2022/2865396116-230-933", "Link")</f>
        <v/>
      </c>
      <c r="L566" s="6">
        <f>HYPERLINK("C:\Projects\Kleinanzeigen-Scraper\offer_images\2865396116", "Link")</f>
        <v/>
      </c>
      <c r="M566" t="inlineStr">
        <is>
          <t>Christian Elpert</t>
        </is>
      </c>
      <c r="N566" s="6">
        <f>HYPERLINK("https://www.kleinanzeigen.de/s-bestandsliste.html?userId=18284904", "Link")</f>
        <v/>
      </c>
      <c r="O566" s="7" t="n">
        <v>45555.56373842592</v>
      </c>
      <c r="P566" s="3" t="inlineStr">
        <is>
          <t>123.08</t>
        </is>
      </c>
      <c r="Q566" t="inlineStr">
        <is>
          <t>Köln</t>
        </is>
      </c>
    </row>
    <row r="567">
      <c r="A567" t="inlineStr"/>
      <c r="B567" t="inlineStr">
        <is>
          <t>RRD Z-ride</t>
        </is>
      </c>
      <c r="C567" t="inlineStr">
        <is>
          <t>Freeride</t>
        </is>
      </c>
      <c r="D567" s="3" t="n">
        <v>120</v>
      </c>
      <c r="E567" t="inlineStr"/>
      <c r="F567" s="4" t="n">
        <v>50</v>
      </c>
      <c r="G567" t="inlineStr">
        <is>
          <t>VB</t>
        </is>
      </c>
      <c r="H567" t="inlineStr">
        <is>
          <t>83254 Bayern - Breitbrunn am Chiemsee</t>
        </is>
      </c>
      <c r="I567" s="5" t="n">
        <v>45552</v>
      </c>
      <c r="J567" t="inlineStr">
        <is>
          <t>Sold</t>
        </is>
      </c>
      <c r="K567" s="6">
        <f>HYPERLINK("https://www.kleinanzeigen.de/s-anzeige/surfboard-rrd-z-ride-120/2866066660-230-5713", "Link")</f>
        <v/>
      </c>
      <c r="L567" s="6">
        <f>HYPERLINK("C:\Projects\Kleinanzeigen-Scraper\offer_images\2866066660", "Link")</f>
        <v/>
      </c>
      <c r="M567" t="inlineStr">
        <is>
          <t>Jürgen</t>
        </is>
      </c>
      <c r="N567" s="6">
        <f>HYPERLINK("https://www.kleinanzeigen.de/s-bestandsliste.html?userId=136269537", "Link")</f>
        <v/>
      </c>
      <c r="O567" s="7" t="n">
        <v>45555.5637037037</v>
      </c>
      <c r="P567" s="3" t="inlineStr">
        <is>
          <t>67.20</t>
        </is>
      </c>
      <c r="Q567" t="inlineStr">
        <is>
          <t>München</t>
        </is>
      </c>
    </row>
    <row r="568">
      <c r="A568" t="inlineStr">
        <is>
          <t>233 x 78</t>
        </is>
      </c>
      <c r="B568" t="inlineStr">
        <is>
          <t>Fanatic Bee</t>
        </is>
      </c>
      <c r="C568" t="inlineStr">
        <is>
          <t>Crossover</t>
        </is>
      </c>
      <c r="D568" s="3" t="n">
        <v>120</v>
      </c>
      <c r="E568" t="inlineStr">
        <is>
          <t>2022</t>
        </is>
      </c>
      <c r="F568" s="4" t="n">
        <v>700</v>
      </c>
      <c r="G568" t="inlineStr">
        <is>
          <t>VB</t>
        </is>
      </c>
      <c r="H568" t="inlineStr">
        <is>
          <t>22159 Wandsbek - Hamburg Farmsen-Berne</t>
        </is>
      </c>
      <c r="I568" s="5" t="n">
        <v>45554</v>
      </c>
      <c r="J568" t="inlineStr">
        <is>
          <t>Sold</t>
        </is>
      </c>
      <c r="K568" s="6">
        <f>HYPERLINK("https://www.kleinanzeigen.de/s-anzeige/fanatic-bee-7-8-crossoverboard-fuer-sup-und-foil/2868008125-230-9454", "Link")</f>
        <v/>
      </c>
      <c r="L568" s="6">
        <f>HYPERLINK("C:\Projects\Kleinanzeigen-Scraper\offer_images\2868008125", "Link")</f>
        <v/>
      </c>
      <c r="M568" t="inlineStr">
        <is>
          <t>Bernd</t>
        </is>
      </c>
      <c r="N568" s="6">
        <f>HYPERLINK("https://www.kleinanzeigen.de/s-bestandsliste.html?userId=65695089", "Link")</f>
        <v/>
      </c>
      <c r="O568" s="7" t="n">
        <v>45555.56351851852</v>
      </c>
      <c r="P568" s="3" t="inlineStr">
        <is>
          <t>367.33</t>
        </is>
      </c>
      <c r="Q568" t="inlineStr">
        <is>
          <t>Köln</t>
        </is>
      </c>
    </row>
    <row r="569">
      <c r="A569" t="inlineStr">
        <is>
          <t>250 x 76</t>
        </is>
      </c>
      <c r="B569" t="inlineStr">
        <is>
          <t>Starboard Carve</t>
        </is>
      </c>
      <c r="C569" t="inlineStr">
        <is>
          <t>Freeride</t>
        </is>
      </c>
      <c r="D569" s="3" t="n">
        <v>121</v>
      </c>
      <c r="E569" t="inlineStr"/>
      <c r="F569" s="4" t="n">
        <v>390</v>
      </c>
      <c r="G569" t="inlineStr">
        <is>
          <t>VB</t>
        </is>
      </c>
      <c r="H569" t="inlineStr">
        <is>
          <t>86919 Bayern - Utting</t>
        </is>
      </c>
      <c r="I569" s="5" t="n">
        <v>45553</v>
      </c>
      <c r="J569" t="inlineStr">
        <is>
          <t>Sold</t>
        </is>
      </c>
      <c r="K569" s="6">
        <f>HYPERLINK("https://www.kleinanzeigen.de/s-anzeige/windsurf-board-starboard-carve/2867355685-230-7094", "Link")</f>
        <v/>
      </c>
      <c r="L569" s="6">
        <f>HYPERLINK("C:\Projects\Kleinanzeigen-Scraper\offer_images\2867355685", "Link")</f>
        <v/>
      </c>
      <c r="M569" t="inlineStr">
        <is>
          <t>Roland</t>
        </is>
      </c>
      <c r="N569" s="6">
        <f>HYPERLINK("https://www.kleinanzeigen.de/s-bestandsliste.html?userId=18411214", "Link")</f>
        <v/>
      </c>
      <c r="O569" s="7" t="n">
        <v>45555.56326388889</v>
      </c>
      <c r="P569" s="3" t="inlineStr">
        <is>
          <t>39.93</t>
        </is>
      </c>
      <c r="Q569" t="inlineStr">
        <is>
          <t>München</t>
        </is>
      </c>
    </row>
    <row r="570">
      <c r="A570" t="inlineStr">
        <is>
          <t>139 x 41.5</t>
        </is>
      </c>
      <c r="B570" t="inlineStr">
        <is>
          <t>North X-Ride</t>
        </is>
      </c>
      <c r="C570" t="inlineStr"/>
      <c r="D570" s="3" t="inlineStr"/>
      <c r="E570" t="inlineStr"/>
      <c r="F570" s="4" t="n">
        <v>200</v>
      </c>
      <c r="G570" t="inlineStr"/>
      <c r="H570" t="inlineStr">
        <is>
          <t>26847 Niedersachsen - Detern</t>
        </is>
      </c>
      <c r="I570" s="5" t="n">
        <v>45552</v>
      </c>
      <c r="J570" t="inlineStr"/>
      <c r="K570" s="6">
        <f>HYPERLINK("https://www.kleinanzeigen.de/s-anzeige/north-x-ride-139-x-41-5-inkl-boardbag/2866063258-230-2764", "Link")</f>
        <v/>
      </c>
      <c r="L570" s="6">
        <f>HYPERLINK("C:\Projects\Kleinanzeigen-Scraper\offer_images\2866063258", "Link")</f>
        <v/>
      </c>
      <c r="M570" t="inlineStr">
        <is>
          <t>Privat</t>
        </is>
      </c>
      <c r="N570" s="6">
        <f>HYPERLINK("https://www.kleinanzeigen.de/s-bestandsliste.html?userId=13368011", "Link")</f>
        <v/>
      </c>
      <c r="O570" s="7" t="n">
        <v>45555.56322916667</v>
      </c>
      <c r="P570" s="3" t="inlineStr">
        <is>
          <t>257.59</t>
        </is>
      </c>
      <c r="Q570" t="inlineStr">
        <is>
          <t>Köln</t>
        </is>
      </c>
    </row>
    <row r="571">
      <c r="A571" t="inlineStr">
        <is>
          <t>259 x 64 cm</t>
        </is>
      </c>
      <c r="B571" t="inlineStr">
        <is>
          <t>Starboard Carve 111</t>
        </is>
      </c>
      <c r="C571" t="inlineStr">
        <is>
          <t>Freeride</t>
        </is>
      </c>
      <c r="D571" s="3" t="n">
        <v>111</v>
      </c>
      <c r="E571" t="inlineStr"/>
      <c r="F571" s="4" t="n">
        <v>225</v>
      </c>
      <c r="G571" t="inlineStr"/>
      <c r="H571" t="inlineStr">
        <is>
          <t>85055 Bayern - Ingolstadt</t>
        </is>
      </c>
      <c r="I571" s="5" t="n">
        <v>45550</v>
      </c>
      <c r="J571" t="inlineStr">
        <is>
          <t>Sold</t>
        </is>
      </c>
      <c r="K571" s="6">
        <f>HYPERLINK("https://www.kleinanzeigen.de/s-anzeige/starboard-carve-111-mit-boardbag-surfboard/2863856015-230-7613", "Link")</f>
        <v/>
      </c>
      <c r="L571" s="6">
        <f>HYPERLINK("C:\Projects\Kleinanzeigen-Scraper\offer_images\2863856015", "Link")</f>
        <v/>
      </c>
      <c r="M571" t="inlineStr">
        <is>
          <t>Erwin E.</t>
        </is>
      </c>
      <c r="N571" s="6">
        <f>HYPERLINK("https://www.kleinanzeigen.de/s-bestandsliste.html?userId=7749088", "Link")</f>
        <v/>
      </c>
      <c r="O571" s="7" t="n">
        <v>45555.56304398148</v>
      </c>
      <c r="P571" s="3" t="inlineStr">
        <is>
          <t>73.53</t>
        </is>
      </c>
      <c r="Q571" t="inlineStr">
        <is>
          <t>München</t>
        </is>
      </c>
    </row>
    <row r="572">
      <c r="A572" t="inlineStr">
        <is>
          <t>231x60.5</t>
        </is>
      </c>
      <c r="B572" t="inlineStr">
        <is>
          <t>Starboard Quad IQ</t>
        </is>
      </c>
      <c r="C572" t="inlineStr"/>
      <c r="D572" s="3" t="n">
        <v>100</v>
      </c>
      <c r="E572" t="inlineStr"/>
      <c r="F572" s="4" t="n">
        <v>60</v>
      </c>
      <c r="G572" t="inlineStr">
        <is>
          <t>VB</t>
        </is>
      </c>
      <c r="H572" t="inlineStr">
        <is>
          <t>47589 Nordrhein-Westfalen - Uedem</t>
        </is>
      </c>
      <c r="I572" s="5" t="n">
        <v>45552</v>
      </c>
      <c r="J572" t="inlineStr"/>
      <c r="K572" s="6">
        <f>HYPERLINK("https://www.kleinanzeigen.de/s-anzeige/starboard-quad-iq-100-windsurfboard/2866298616-230-1148", "Link")</f>
        <v/>
      </c>
      <c r="L572" s="6">
        <f>HYPERLINK("C:\Projects\Kleinanzeigen-Scraper\offer_images\2866298616", "Link")</f>
        <v/>
      </c>
      <c r="M572" t="inlineStr">
        <is>
          <t>Dennis</t>
        </is>
      </c>
      <c r="N572" s="6">
        <f>HYPERLINK("https://www.kleinanzeigen.de/s-bestandsliste.html?userId=62393000", "Link")</f>
        <v/>
      </c>
      <c r="O572" s="7" t="n">
        <v>45555.56291666667</v>
      </c>
      <c r="P572" s="3" t="inlineStr">
        <is>
          <t>94.07</t>
        </is>
      </c>
      <c r="Q572" t="inlineStr">
        <is>
          <t>Köln</t>
        </is>
      </c>
    </row>
    <row r="573">
      <c r="A573" t="inlineStr">
        <is>
          <t>231 x 59</t>
        </is>
      </c>
      <c r="B573" t="inlineStr">
        <is>
          <t>Starboard Isonic</t>
        </is>
      </c>
      <c r="C573" t="inlineStr">
        <is>
          <t>Slalom</t>
        </is>
      </c>
      <c r="D573" s="3" t="n">
        <v>80</v>
      </c>
      <c r="E573" t="inlineStr">
        <is>
          <t>2017</t>
        </is>
      </c>
      <c r="F573" s="4" t="n">
        <v>520</v>
      </c>
      <c r="G573" t="inlineStr"/>
      <c r="H573" t="inlineStr">
        <is>
          <t>31515 Niedersachsen - Wunstorf</t>
        </is>
      </c>
      <c r="I573" s="5" t="n">
        <v>45461</v>
      </c>
      <c r="J573" t="inlineStr"/>
      <c r="K573" s="6">
        <f>HYPERLINK("https://www.kleinanzeigen.de/s-anzeige/starboard-isonic-59-mit-80l/2791597241-230-2930", "Link")</f>
        <v/>
      </c>
      <c r="L573" s="6">
        <f>HYPERLINK("C:\Projects\Kleinanzeigen-Scraper\offer_images\2791597241", "Link")</f>
        <v/>
      </c>
      <c r="M573" t="inlineStr">
        <is>
          <t>G.Steinbacher</t>
        </is>
      </c>
      <c r="N573" s="6">
        <f>HYPERLINK("https://www.kleinanzeigen.de/s-bestandsliste.html?userId=18292726", "Link")</f>
        <v/>
      </c>
      <c r="O573" s="7" t="n">
        <v>45555.56283564815</v>
      </c>
      <c r="P573" s="3" t="inlineStr">
        <is>
          <t>236.47</t>
        </is>
      </c>
      <c r="Q573" t="inlineStr">
        <is>
          <t>Köln</t>
        </is>
      </c>
    </row>
    <row r="574">
      <c r="A574" t="inlineStr"/>
      <c r="B574" t="inlineStr">
        <is>
          <t>Duotone Sky Free</t>
        </is>
      </c>
      <c r="C574" t="inlineStr"/>
      <c r="D574" s="3" t="n">
        <v>115</v>
      </c>
      <c r="E574" t="inlineStr"/>
      <c r="F574" s="4" t="n">
        <v>850</v>
      </c>
      <c r="G574" t="inlineStr"/>
      <c r="H574" t="inlineStr">
        <is>
          <t>66625 Saarland - Nohfelden</t>
        </is>
      </c>
      <c r="I574" s="5" t="n">
        <v>45554</v>
      </c>
      <c r="J574" t="inlineStr">
        <is>
          <t>Sold</t>
        </is>
      </c>
      <c r="K574" s="6">
        <f>HYPERLINK("https://www.kleinanzeigen.de/s-anzeige/duotone-sky-free-115-liter-wie-neu/2867854163-230-317", "Link")</f>
        <v/>
      </c>
      <c r="L574" s="6">
        <f>HYPERLINK("C:\Projects\Kleinanzeigen-Scraper\offer_images\2867854163", "Link")</f>
        <v/>
      </c>
      <c r="M574" t="inlineStr">
        <is>
          <t>Zadach</t>
        </is>
      </c>
      <c r="N574" s="6">
        <f>HYPERLINK("https://www.kleinanzeigen.de/s-bestandsliste.html?userId=7415040", "Link")</f>
        <v/>
      </c>
      <c r="O574" s="7" t="n">
        <v>45555.56273148148</v>
      </c>
      <c r="P574" s="3" t="inlineStr">
        <is>
          <t>113.60</t>
        </is>
      </c>
      <c r="Q574" t="inlineStr">
        <is>
          <t>Karlsruhe</t>
        </is>
      </c>
    </row>
    <row r="575">
      <c r="A575" t="inlineStr">
        <is>
          <t>216 x 52</t>
        </is>
      </c>
      <c r="B575" t="inlineStr">
        <is>
          <t>Goya Custom</t>
        </is>
      </c>
      <c r="C575" t="inlineStr">
        <is>
          <t>Wave</t>
        </is>
      </c>
      <c r="D575" s="3" t="n">
        <v>68</v>
      </c>
      <c r="E575" t="inlineStr">
        <is>
          <t>2023</t>
        </is>
      </c>
      <c r="F575" s="4" t="n">
        <v>850</v>
      </c>
      <c r="G575" t="inlineStr"/>
      <c r="H575" t="inlineStr">
        <is>
          <t>80799 München - Schwabing-West</t>
        </is>
      </c>
      <c r="I575" s="5" t="n">
        <v>45527</v>
      </c>
      <c r="J575" t="inlineStr"/>
      <c r="K575" s="6">
        <f>HYPERLINK("https://www.kleinanzeigen.de/s-anzeige/goya-custom-quad-68l/2844425496-230-16375", "Link")</f>
        <v/>
      </c>
      <c r="L575" s="6">
        <f>HYPERLINK("C:\Projects\Kleinanzeigen-Scraper\offer_images\2844425496", "Link")</f>
        <v/>
      </c>
      <c r="M575" t="inlineStr">
        <is>
          <t>PB</t>
        </is>
      </c>
      <c r="N575" s="6">
        <f>HYPERLINK("https://www.kleinanzeigen.de/s-bestandsliste.html?userId=11059575", "Link")</f>
        <v/>
      </c>
      <c r="O575" s="7" t="n">
        <v>45555.56253472222</v>
      </c>
      <c r="P575" s="3" t="inlineStr">
        <is>
          <t>1.66</t>
        </is>
      </c>
      <c r="Q575" t="inlineStr">
        <is>
          <t>München</t>
        </is>
      </c>
    </row>
    <row r="576">
      <c r="A576" t="inlineStr"/>
      <c r="B576" t="inlineStr">
        <is>
          <t>Fanatic Ultra Mosquito</t>
        </is>
      </c>
      <c r="C576" t="inlineStr"/>
      <c r="D576" s="3" t="inlineStr"/>
      <c r="E576" t="inlineStr"/>
      <c r="F576" s="4" t="n">
        <v>145</v>
      </c>
      <c r="G576" t="inlineStr">
        <is>
          <t>VB</t>
        </is>
      </c>
      <c r="H576" t="inlineStr">
        <is>
          <t>75233 Baden-Württemberg - Tiefenbronn</t>
        </is>
      </c>
      <c r="I576" s="5" t="n">
        <v>45551</v>
      </c>
      <c r="J576" t="inlineStr">
        <is>
          <t>Sold</t>
        </is>
      </c>
      <c r="K576" s="6">
        <f>HYPERLINK("https://www.kleinanzeigen.de/s-anzeige/fanatic-ultra-mosquito/2865819879-230-9276", "Link")</f>
        <v/>
      </c>
      <c r="L576" s="6">
        <f>HYPERLINK("C:\Projects\Kleinanzeigen-Scraper\offer_images\2865819879", "Link")</f>
        <v/>
      </c>
      <c r="M576" t="inlineStr">
        <is>
          <t>Oliver</t>
        </is>
      </c>
      <c r="N576" s="6">
        <f>HYPERLINK("https://www.kleinanzeigen.de/s-bestandsliste.html?userId=124770291", "Link")</f>
        <v/>
      </c>
      <c r="O576" s="7" t="n">
        <v>45555.56238425926</v>
      </c>
      <c r="P576" s="3" t="inlineStr">
        <is>
          <t>19.79</t>
        </is>
      </c>
      <c r="Q576" t="inlineStr">
        <is>
          <t>Böblingen</t>
        </is>
      </c>
    </row>
    <row r="577">
      <c r="A577" t="inlineStr"/>
      <c r="B577" t="inlineStr">
        <is>
          <t>Duotone</t>
        </is>
      </c>
      <c r="C577" t="inlineStr">
        <is>
          <t>Freeride</t>
        </is>
      </c>
      <c r="D577" s="3" t="inlineStr"/>
      <c r="E577" t="inlineStr"/>
      <c r="F577" s="4" t="n">
        <v>1.75</v>
      </c>
      <c r="G577" t="inlineStr">
        <is>
          <t>VB</t>
        </is>
      </c>
      <c r="H577" t="inlineStr">
        <is>
          <t>25980 Sylt - Westerland</t>
        </is>
      </c>
      <c r="I577" s="5" t="n">
        <v>45553</v>
      </c>
      <c r="J577" t="inlineStr">
        <is>
          <t>Sold</t>
        </is>
      </c>
      <c r="K577" s="6">
        <f>HYPERLINK("https://www.kleinanzeigen.de/s-anzeige/duotone-foil-voll-carbon-sls/2867483422-230-634", "Link")</f>
        <v/>
      </c>
      <c r="L577" s="6">
        <f>HYPERLINK("C:\Projects\Kleinanzeigen-Scraper\offer_images\2867483422", "Link")</f>
        <v/>
      </c>
      <c r="M577" t="inlineStr">
        <is>
          <t>Lenny kite</t>
        </is>
      </c>
      <c r="N577" s="6">
        <f>HYPERLINK("https://www.kleinanzeigen.de/s-bestandsliste.html?userId=14530034", "Link")</f>
        <v/>
      </c>
      <c r="O577" s="7" t="n">
        <v>45555.56225694445</v>
      </c>
      <c r="P577" s="3" t="inlineStr">
        <is>
          <t>448.30</t>
        </is>
      </c>
      <c r="Q577" t="inlineStr">
        <is>
          <t>Köln</t>
        </is>
      </c>
    </row>
    <row r="578">
      <c r="A578" t="inlineStr">
        <is>
          <t>237 x 62</t>
        </is>
      </c>
      <c r="B578" t="inlineStr">
        <is>
          <t>Tabou 3S</t>
        </is>
      </c>
      <c r="C578" t="inlineStr">
        <is>
          <t>Freestyle</t>
        </is>
      </c>
      <c r="D578" s="3" t="n">
        <v>97</v>
      </c>
      <c r="E578" t="inlineStr">
        <is>
          <t>2010</t>
        </is>
      </c>
      <c r="F578" s="4" t="n">
        <v>125</v>
      </c>
      <c r="G578" t="inlineStr">
        <is>
          <t>VB</t>
        </is>
      </c>
      <c r="H578" t="inlineStr">
        <is>
          <t>44789 Bochum - Bochum-Süd</t>
        </is>
      </c>
      <c r="I578" s="5" t="n">
        <v>45553</v>
      </c>
      <c r="J578" t="inlineStr">
        <is>
          <t>Sold</t>
        </is>
      </c>
      <c r="K578" s="6">
        <f>HYPERLINK("https://www.kleinanzeigen.de/s-anzeige/tabou-3s-97-windsurf-board/2867295553-230-1945", "Link")</f>
        <v/>
      </c>
      <c r="L578" s="6">
        <f>HYPERLINK("C:\Projects\Kleinanzeigen-Scraper\offer_images\2867295553", "Link")</f>
        <v/>
      </c>
      <c r="M578" t="inlineStr">
        <is>
          <t>Chris</t>
        </is>
      </c>
      <c r="N578" s="6">
        <f>HYPERLINK("https://www.kleinanzeigen.de/s-bestandsliste.html?userId=14084867", "Link")</f>
        <v/>
      </c>
      <c r="O578" s="7" t="n">
        <v>45555.56215277778</v>
      </c>
      <c r="P578" s="3" t="inlineStr">
        <is>
          <t>61.88</t>
        </is>
      </c>
      <c r="Q578" t="inlineStr">
        <is>
          <t>Köln</t>
        </is>
      </c>
    </row>
    <row r="579">
      <c r="A579" t="inlineStr">
        <is>
          <t>153 cm</t>
        </is>
      </c>
      <c r="B579" t="inlineStr">
        <is>
          <t>Duotone Spike</t>
        </is>
      </c>
      <c r="C579" t="inlineStr">
        <is>
          <t>Leichtwindboard</t>
        </is>
      </c>
      <c r="D579" s="3" t="inlineStr"/>
      <c r="E579" t="inlineStr">
        <is>
          <t>2023</t>
        </is>
      </c>
      <c r="F579" s="4" t="n">
        <v>700</v>
      </c>
      <c r="G579" t="inlineStr"/>
      <c r="H579" t="inlineStr">
        <is>
          <t>90451 Nürnberg (Mittelfr) - Aussenstadt-Sued</t>
        </is>
      </c>
      <c r="I579" s="5" t="n">
        <v>45552</v>
      </c>
      <c r="J579" t="inlineStr">
        <is>
          <t>Sold</t>
        </is>
      </c>
      <c r="K579" s="6">
        <f>HYPERLINK("https://www.kleinanzeigen.de/s-anzeige/duotone-spike-153-cm-2023-leichtwindboard/2684808688-230-6836", "Link")</f>
        <v/>
      </c>
      <c r="L579" s="6">
        <f>HYPERLINK("C:\Projects\Kleinanzeigen-Scraper\offer_images\2684808688", "Link")</f>
        <v/>
      </c>
      <c r="M579" t="inlineStr">
        <is>
          <t>No user name</t>
        </is>
      </c>
      <c r="N579" s="6">
        <f>HYPERLINK("https://www.kleinanzeigen.deNo user link", "Link")</f>
        <v/>
      </c>
      <c r="O579" s="7" t="n">
        <v>45555.56196759259</v>
      </c>
      <c r="P579" s="3" t="inlineStr">
        <is>
          <t>145.92</t>
        </is>
      </c>
      <c r="Q579" t="inlineStr">
        <is>
          <t>München</t>
        </is>
      </c>
    </row>
    <row r="580">
      <c r="A580" t="inlineStr">
        <is>
          <t>226cm x 58cm</t>
        </is>
      </c>
      <c r="B580" t="inlineStr">
        <is>
          <t>WE ONE WE STYLE WAVE</t>
        </is>
      </c>
      <c r="C580" t="inlineStr">
        <is>
          <t>Wave</t>
        </is>
      </c>
      <c r="D580" s="3" t="n">
        <v>85</v>
      </c>
      <c r="E580" t="inlineStr"/>
      <c r="F580" s="4" t="n">
        <v>990</v>
      </c>
      <c r="G580" t="inlineStr">
        <is>
          <t>VB</t>
        </is>
      </c>
      <c r="H580" t="inlineStr">
        <is>
          <t>82319 Bayern - Starnberg</t>
        </is>
      </c>
      <c r="I580" s="5" t="n">
        <v>45554</v>
      </c>
      <c r="J580" t="inlineStr"/>
      <c r="K580" s="6">
        <f>HYPERLINK("https://www.kleinanzeigen.de/s-anzeige/we-one-we-style-wave-85-liter-windsurf-testboards/2427681803-230-5525", "Link")</f>
        <v/>
      </c>
      <c r="L580" s="6">
        <f>HYPERLINK("C:\Projects\Kleinanzeigen-Scraper\offer_images\2427681803", "Link")</f>
        <v/>
      </c>
      <c r="M580" t="inlineStr">
        <is>
          <t>No user name</t>
        </is>
      </c>
      <c r="N580" s="6">
        <f>HYPERLINK("https://www.kleinanzeigen.deNo user link", "Link")</f>
        <v/>
      </c>
      <c r="O580" s="7" t="n">
        <v>45555.56195601852</v>
      </c>
      <c r="P580" s="3" t="inlineStr">
        <is>
          <t>23.17</t>
        </is>
      </c>
      <c r="Q580" t="inlineStr">
        <is>
          <t>München</t>
        </is>
      </c>
    </row>
    <row r="581">
      <c r="A581" t="inlineStr">
        <is>
          <t>9'10'' (299.7 cm x 83.8 cm)</t>
        </is>
      </c>
      <c r="B581" t="inlineStr">
        <is>
          <t>Fanatic AllWave</t>
        </is>
      </c>
      <c r="C581" t="inlineStr"/>
      <c r="D581" s="3" t="n">
        <v>191</v>
      </c>
      <c r="E581" t="inlineStr"/>
      <c r="F581" s="4" t="n">
        <v>380</v>
      </c>
      <c r="G581" t="inlineStr">
        <is>
          <t>VB</t>
        </is>
      </c>
      <c r="H581" t="inlineStr">
        <is>
          <t>72555 Baden-Württemberg - Metzingen</t>
        </is>
      </c>
      <c r="I581" s="5" t="n">
        <v>45536</v>
      </c>
      <c r="J581" t="inlineStr">
        <is>
          <t>Sold</t>
        </is>
      </c>
      <c r="K581" s="6">
        <f>HYPERLINK("https://www.kleinanzeigen.de/s-anzeige/sup-fanatic-allwave-9-10-hardboard/2851883631-230-7995", "Link")</f>
        <v/>
      </c>
      <c r="L581" s="6">
        <f>HYPERLINK("C:\Projects\Kleinanzeigen-Scraper\offer_images\2851883631", "Link")</f>
        <v/>
      </c>
      <c r="M581" t="inlineStr">
        <is>
          <t>Markus Kern</t>
        </is>
      </c>
      <c r="N581" s="6">
        <f>HYPERLINK("https://www.kleinanzeigen.de/s-bestandsliste.html?userId=18775591", "Link")</f>
        <v/>
      </c>
      <c r="O581" s="7" t="n">
        <v>45555.56188657408</v>
      </c>
      <c r="P581" s="3" t="inlineStr">
        <is>
          <t>28.19</t>
        </is>
      </c>
      <c r="Q581" t="inlineStr">
        <is>
          <t>Böblingen</t>
        </is>
      </c>
    </row>
    <row r="582">
      <c r="A582" t="inlineStr">
        <is>
          <t xml:space="preserve">2.43m x </t>
        </is>
      </c>
      <c r="B582" t="inlineStr">
        <is>
          <t>Starboard Hypernut</t>
        </is>
      </c>
      <c r="C582" t="inlineStr">
        <is>
          <t>Foil, SUP, Windsurf</t>
        </is>
      </c>
      <c r="D582" s="3" t="inlineStr"/>
      <c r="E582" t="inlineStr"/>
      <c r="F582" s="4" t="n">
        <v>620</v>
      </c>
      <c r="G582" t="inlineStr">
        <is>
          <t>VB</t>
        </is>
      </c>
      <c r="H582" t="inlineStr">
        <is>
          <t>32107 Nordrhein-Westfalen - Bad Salzuflen</t>
        </is>
      </c>
      <c r="I582" s="5" t="n">
        <v>45525</v>
      </c>
      <c r="J582" t="inlineStr">
        <is>
          <t>Sold</t>
        </is>
      </c>
      <c r="K582" s="6">
        <f>HYPERLINK("https://www.kleinanzeigen.de/s-anzeige/starboard-hypernut-8-0-blue-carbon-4-in-1/2842301118-230-1901", "Link")</f>
        <v/>
      </c>
      <c r="L582" s="6">
        <f>HYPERLINK("C:\Projects\Kleinanzeigen-Scraper\offer_images\2842301118", "Link")</f>
        <v/>
      </c>
      <c r="M582" t="inlineStr">
        <is>
          <t>Lohaus</t>
        </is>
      </c>
      <c r="N582" s="6">
        <f>HYPERLINK("https://www.kleinanzeigen.de/s-bestandsliste.html?userId=1626544", "Link")</f>
        <v/>
      </c>
      <c r="O582" s="7" t="n">
        <v>45555.56167824074</v>
      </c>
      <c r="P582" s="3" t="inlineStr">
        <is>
          <t>174.34</t>
        </is>
      </c>
      <c r="Q582" t="inlineStr">
        <is>
          <t>Köln</t>
        </is>
      </c>
    </row>
    <row r="583">
      <c r="A583" t="inlineStr">
        <is>
          <t>79</t>
        </is>
      </c>
      <c r="B583" t="inlineStr">
        <is>
          <t>Starboard Foil X15</t>
        </is>
      </c>
      <c r="C583" t="inlineStr"/>
      <c r="D583" s="3" t="inlineStr"/>
      <c r="E583" t="inlineStr">
        <is>
          <t>2024</t>
        </is>
      </c>
      <c r="F583" s="4" t="n">
        <v>1.111</v>
      </c>
      <c r="G583" t="inlineStr"/>
      <c r="H583" t="inlineStr">
        <is>
          <t>04626 Thüringen - Schmoelln</t>
        </is>
      </c>
      <c r="I583" s="5" t="n">
        <v>45555</v>
      </c>
      <c r="J583" t="inlineStr">
        <is>
          <t>Sold</t>
        </is>
      </c>
      <c r="K583" s="6">
        <f>HYPERLINK("https://www.kleinanzeigen.de/s-anzeige/starboard-foil-x15-79-2024-neu/2868708967-230-4176", "Link")</f>
        <v/>
      </c>
      <c r="L583" s="6">
        <f>HYPERLINK("C:\Projects\Kleinanzeigen-Scraper\offer_images\2868708967", "Link")</f>
        <v/>
      </c>
      <c r="M583" t="inlineStr">
        <is>
          <t>Fritz</t>
        </is>
      </c>
      <c r="N583" s="6">
        <f>HYPERLINK("https://www.kleinanzeigen.de/s-bestandsliste.html?userId=9166072", "Link")</f>
        <v/>
      </c>
      <c r="O583" s="7" t="n">
        <v>45555.56159722222</v>
      </c>
      <c r="P583" s="3" t="inlineStr">
        <is>
          <t>310.28</t>
        </is>
      </c>
      <c r="Q583" t="inlineStr">
        <is>
          <t>München</t>
        </is>
      </c>
    </row>
    <row r="584">
      <c r="A584" t="inlineStr">
        <is>
          <t>139 cm x 57.15 cm</t>
        </is>
      </c>
      <c r="B584" t="inlineStr">
        <is>
          <t>Duotone Sky Style SLS</t>
        </is>
      </c>
      <c r="C584" t="inlineStr">
        <is>
          <t>foil</t>
        </is>
      </c>
      <c r="D584" s="3" t="n">
        <v>55</v>
      </c>
      <c r="E584" t="inlineStr">
        <is>
          <t>2024</t>
        </is>
      </c>
      <c r="F584" s="4" t="n">
        <v>960</v>
      </c>
      <c r="G584" t="inlineStr"/>
      <c r="H584" t="inlineStr">
        <is>
          <t>81829 München - Trudering-Riem</t>
        </is>
      </c>
      <c r="I584" s="5" t="n">
        <v>45555</v>
      </c>
      <c r="J584" t="inlineStr">
        <is>
          <t>Sold</t>
        </is>
      </c>
      <c r="K584" s="6">
        <f>HYPERLINK("https://www.kleinanzeigen.de/s-anzeige/duotone-sky-style-sls-4-7-2024-/2868669159-230-6482", "Link")</f>
        <v/>
      </c>
      <c r="L584" s="6">
        <f>HYPERLINK("C:\Projects\Kleinanzeigen-Scraper\offer_images\2868669159", "Link")</f>
        <v/>
      </c>
      <c r="M584" t="inlineStr">
        <is>
          <t>Aleks Ristic</t>
        </is>
      </c>
      <c r="N584" s="6">
        <f>HYPERLINK("https://www.kleinanzeigen.de/s-bestandsliste.html?userId=24754286", "Link")</f>
        <v/>
      </c>
      <c r="O584" s="7" t="n">
        <v>45555.56157407408</v>
      </c>
      <c r="P584" s="3" t="inlineStr">
        <is>
          <t>8.51</t>
        </is>
      </c>
      <c r="Q584" t="inlineStr">
        <is>
          <t>München</t>
        </is>
      </c>
    </row>
    <row r="585">
      <c r="A585" t="inlineStr"/>
      <c r="B585" t="inlineStr">
        <is>
          <t>JP Freestyle Wave</t>
        </is>
      </c>
      <c r="C585" t="inlineStr">
        <is>
          <t>Freestyle Wave</t>
        </is>
      </c>
      <c r="D585" s="3" t="n">
        <v>112</v>
      </c>
      <c r="E585" t="inlineStr"/>
      <c r="F585" s="4" t="n">
        <v>600</v>
      </c>
      <c r="G585" t="inlineStr"/>
      <c r="H585" t="inlineStr">
        <is>
          <t>63067 Hessen - Offenbach</t>
        </is>
      </c>
      <c r="I585" s="5" t="n">
        <v>45554</v>
      </c>
      <c r="J585" t="inlineStr"/>
      <c r="K585" s="6">
        <f>HYPERLINK("https://www.kleinanzeigen.de/s-anzeige/jp-freestyle-wave-112-l-windsurf-board/2867689725-230-4354", "Link")</f>
        <v/>
      </c>
      <c r="L585" s="6">
        <f>HYPERLINK("C:\Projects\Kleinanzeigen-Scraper\offer_images\2867689725", "Link")</f>
        <v/>
      </c>
      <c r="M585" t="inlineStr">
        <is>
          <t>A.M.</t>
        </is>
      </c>
      <c r="N585" s="6">
        <f>HYPERLINK("https://www.kleinanzeigen.de/s-bestandsliste.html?userId=24478795", "Link")</f>
        <v/>
      </c>
      <c r="O585" s="7" t="n">
        <v>45555.56155092592</v>
      </c>
      <c r="P585" s="3" t="inlineStr">
        <is>
          <t>125.21</t>
        </is>
      </c>
      <c r="Q585" t="inlineStr">
        <is>
          <t>Karlsruhe</t>
        </is>
      </c>
    </row>
    <row r="586">
      <c r="A586" t="inlineStr"/>
      <c r="B586" t="inlineStr">
        <is>
          <t>Windsurfer LT</t>
        </is>
      </c>
      <c r="C586" t="inlineStr"/>
      <c r="D586" s="3" t="inlineStr"/>
      <c r="E586" t="inlineStr"/>
      <c r="F586" s="4" t="n">
        <v>650</v>
      </c>
      <c r="G586" t="inlineStr"/>
      <c r="H586" t="inlineStr">
        <is>
          <t>32427 Nordrhein-Westfalen - Minden</t>
        </is>
      </c>
      <c r="I586" s="5" t="n">
        <v>45553</v>
      </c>
      <c r="J586" t="inlineStr">
        <is>
          <t>Sold</t>
        </is>
      </c>
      <c r="K586" s="6">
        <f>HYPERLINK("https://www.kleinanzeigen.de/s-anzeige/windsurfer-lt-mit-boardbag/2867382492-230-1762", "Link")</f>
        <v/>
      </c>
      <c r="L586" s="6">
        <f>HYPERLINK("C:\Projects\Kleinanzeigen-Scraper\offer_images\2867382492", "Link")</f>
        <v/>
      </c>
      <c r="M586" t="inlineStr">
        <is>
          <t>Günter Vosen</t>
        </is>
      </c>
      <c r="N586" s="6">
        <f>HYPERLINK("https://www.kleinanzeigen.de/s-bestandsliste.html?userId=17303205", "Link")</f>
        <v/>
      </c>
      <c r="O586" s="7" t="n">
        <v>45555.56152777778</v>
      </c>
      <c r="P586" s="3" t="inlineStr">
        <is>
          <t>201.04</t>
        </is>
      </c>
      <c r="Q586" t="inlineStr">
        <is>
          <t>Köln</t>
        </is>
      </c>
    </row>
    <row r="587">
      <c r="A587" t="inlineStr"/>
      <c r="B587" t="inlineStr">
        <is>
          <t>Fanatic Hot Rabbit</t>
        </is>
      </c>
      <c r="C587" t="inlineStr"/>
      <c r="D587" s="3" t="inlineStr"/>
      <c r="E587" t="inlineStr"/>
      <c r="F587" s="4" t="n">
        <v>100</v>
      </c>
      <c r="G587" t="inlineStr">
        <is>
          <t>VB</t>
        </is>
      </c>
      <c r="H587" t="inlineStr">
        <is>
          <t>86916 Bayern - Kaufering</t>
        </is>
      </c>
      <c r="I587" s="5" t="n">
        <v>45555</v>
      </c>
      <c r="J587" t="inlineStr"/>
      <c r="K587" s="6">
        <f>HYPERLINK("https://www.kleinanzeigen.de/s-anzeige/windsurfboard-fanatic-hot-rabbit/2868794214-230-7095", "Link")</f>
        <v/>
      </c>
      <c r="L587" s="6">
        <f>HYPERLINK("C:\Projects\Kleinanzeigen-Scraper\offer_images\2868794214", "Link")</f>
        <v/>
      </c>
      <c r="M587" t="inlineStr">
        <is>
          <t>Andreas</t>
        </is>
      </c>
      <c r="N587" s="6">
        <f>HYPERLINK("https://www.kleinanzeigen.de/s-bestandsliste.html?userId=13416913", "Link")</f>
        <v/>
      </c>
      <c r="O587" s="7" t="n">
        <v>45555.56142361111</v>
      </c>
      <c r="P587" s="3" t="inlineStr">
        <is>
          <t>52.17</t>
        </is>
      </c>
      <c r="Q587" t="inlineStr">
        <is>
          <t>München</t>
        </is>
      </c>
    </row>
    <row r="588">
      <c r="A588" t="inlineStr"/>
      <c r="B588" t="inlineStr">
        <is>
          <t>Fanatic Skate</t>
        </is>
      </c>
      <c r="C588" t="inlineStr">
        <is>
          <t>Freestyle</t>
        </is>
      </c>
      <c r="D588" s="3" t="n">
        <v>110</v>
      </c>
      <c r="E588" t="inlineStr"/>
      <c r="F588" s="4" t="n">
        <v>300</v>
      </c>
      <c r="G588" t="inlineStr">
        <is>
          <t>VB</t>
        </is>
      </c>
      <c r="H588" t="inlineStr">
        <is>
          <t>88048 Baden-Württemberg - Friedrichshafen</t>
        </is>
      </c>
      <c r="I588" s="5" t="n">
        <v>45551</v>
      </c>
      <c r="J588" t="inlineStr">
        <is>
          <t>Sold</t>
        </is>
      </c>
      <c r="K588" s="6">
        <f>HYPERLINK("https://www.kleinanzeigen.de/s-anzeige/fanatic-skate-110-l-inkl-zwei-original-finnen-und-boardbag/2865337479-230-9212", "Link")</f>
        <v/>
      </c>
      <c r="L588" s="6">
        <f>HYPERLINK("C:\Projects\Kleinanzeigen-Scraper\offer_images\2865337479", "Link")</f>
        <v/>
      </c>
      <c r="M588" t="inlineStr">
        <is>
          <t>Niko</t>
        </is>
      </c>
      <c r="N588" s="6">
        <f>HYPERLINK("https://www.kleinanzeigen.de/s-bestandsliste.html?userId=14298532", "Link")</f>
        <v/>
      </c>
      <c r="O588" s="7" t="n">
        <v>45555.56122685185</v>
      </c>
      <c r="P588" s="3" t="inlineStr">
        <is>
          <t>87.69</t>
        </is>
      </c>
      <c r="Q588" t="inlineStr">
        <is>
          <t>Bonndorf</t>
        </is>
      </c>
    </row>
    <row r="589">
      <c r="A589" t="inlineStr"/>
      <c r="B589" t="inlineStr">
        <is>
          <t>Naish Vector Freemove 104</t>
        </is>
      </c>
      <c r="C589" t="inlineStr">
        <is>
          <t>Freemove</t>
        </is>
      </c>
      <c r="D589" s="3" t="n">
        <v>104</v>
      </c>
      <c r="E589" t="inlineStr"/>
      <c r="F589" s="4" t="n">
        <v>150</v>
      </c>
      <c r="G589" t="inlineStr">
        <is>
          <t>VB</t>
        </is>
      </c>
      <c r="H589" t="inlineStr">
        <is>
          <t>60438 Frankfurt am Main - Kalbach</t>
        </is>
      </c>
      <c r="I589" s="5" t="n">
        <v>45508</v>
      </c>
      <c r="J589" t="inlineStr">
        <is>
          <t>Sold</t>
        </is>
      </c>
      <c r="K589" s="6">
        <f>HYPERLINK("https://www.kleinanzeigen.de/s-anzeige/windsurf-brett-board-inkl-windsegel-vector-freemove-104-naish/2828401987-230-4330", "Link")</f>
        <v/>
      </c>
      <c r="L589" s="6">
        <f>HYPERLINK("C:\Projects\Kleinanzeigen-Scraper\offer_images\2828401987", "Link")</f>
        <v/>
      </c>
      <c r="M589" t="inlineStr">
        <is>
          <t>Lien Annette Pham-Dao</t>
        </is>
      </c>
      <c r="N589" s="6">
        <f>HYPERLINK("https://www.kleinanzeigen.de/s-bestandsliste.html?userId=35689723", "Link")</f>
        <v/>
      </c>
      <c r="O589" s="7" t="n">
        <v>45555.56112268518</v>
      </c>
      <c r="P589" s="3" t="inlineStr">
        <is>
          <t>131.22</t>
        </is>
      </c>
      <c r="Q589" t="inlineStr">
        <is>
          <t>Karlsruhe</t>
        </is>
      </c>
    </row>
    <row r="590">
      <c r="A590" t="inlineStr">
        <is>
          <t>67</t>
        </is>
      </c>
      <c r="B590" t="inlineStr">
        <is>
          <t>Starboard Futura</t>
        </is>
      </c>
      <c r="C590" t="inlineStr">
        <is>
          <t>Freerace</t>
        </is>
      </c>
      <c r="D590" s="3" t="inlineStr"/>
      <c r="E590" t="inlineStr"/>
      <c r="F590" s="4" t="n">
        <v>899</v>
      </c>
      <c r="G590" t="inlineStr">
        <is>
          <t>VB</t>
        </is>
      </c>
      <c r="H590" t="inlineStr">
        <is>
          <t>77654 Baden-Württemberg - Offenburg</t>
        </is>
      </c>
      <c r="I590" s="5" t="n">
        <v>45553</v>
      </c>
      <c r="J590" t="inlineStr"/>
      <c r="K590" s="6">
        <f>HYPERLINK("https://www.kleinanzeigen.de/s-anzeige/starboard-futura-windsurf-board-inkl-finne-neuwertig/2867117174-230-9038", "Link")</f>
        <v/>
      </c>
      <c r="L590" s="6">
        <f>HYPERLINK("C:\Projects\Kleinanzeigen-Scraper\offer_images\2867117174", "Link")</f>
        <v/>
      </c>
      <c r="M590" t="inlineStr">
        <is>
          <t>Christian</t>
        </is>
      </c>
      <c r="N590" s="6">
        <f>HYPERLINK("https://www.kleinanzeigen.de/s-bestandsliste.html?userId=15934602", "Link")</f>
        <v/>
      </c>
      <c r="O590" s="7" t="n">
        <v>45555.56109953704</v>
      </c>
      <c r="P590" s="3" t="inlineStr">
        <is>
          <t>66.05</t>
        </is>
      </c>
      <c r="Q590" t="inlineStr">
        <is>
          <t>Karlsruhe</t>
        </is>
      </c>
    </row>
    <row r="591">
      <c r="A591" t="inlineStr">
        <is>
          <t>228x85 cm</t>
        </is>
      </c>
      <c r="B591" t="inlineStr">
        <is>
          <t>Starboard isonic</t>
        </is>
      </c>
      <c r="C591" t="inlineStr">
        <is>
          <t>Foil</t>
        </is>
      </c>
      <c r="D591" s="3" t="n">
        <v>137</v>
      </c>
      <c r="E591" t="inlineStr"/>
      <c r="F591" s="4" t="n">
        <v>850</v>
      </c>
      <c r="G591" t="inlineStr"/>
      <c r="H591" t="inlineStr">
        <is>
          <t>46242 Nordrhein-Westfalen - Bottrop</t>
        </is>
      </c>
      <c r="I591" s="5" t="n">
        <v>45550</v>
      </c>
      <c r="J591" t="inlineStr">
        <is>
          <t>Sold</t>
        </is>
      </c>
      <c r="K591" s="6">
        <f>HYPERLINK("https://www.kleinanzeigen.de/s-anzeige/surfboard-starboard-isonic-228x85-cm-137-l-foil/2863772185-230-1954", "Link")</f>
        <v/>
      </c>
      <c r="L591" s="6">
        <f>HYPERLINK("C:\Projects\Kleinanzeigen-Scraper\offer_images\2863772185", "Link")</f>
        <v/>
      </c>
      <c r="M591" t="inlineStr">
        <is>
          <t>Commander</t>
        </is>
      </c>
      <c r="N591" s="6">
        <f>HYPERLINK("https://www.kleinanzeigen.de/s-bestandsliste.html?userId=3160023", "Link")</f>
        <v/>
      </c>
      <c r="O591" s="7" t="n">
        <v>45555.56089120371</v>
      </c>
      <c r="P591" s="3" t="inlineStr">
        <is>
          <t>65.36</t>
        </is>
      </c>
      <c r="Q591" t="inlineStr">
        <is>
          <t>Köln</t>
        </is>
      </c>
    </row>
    <row r="592">
      <c r="A592" t="inlineStr">
        <is>
          <t>95</t>
        </is>
      </c>
      <c r="B592" t="inlineStr">
        <is>
          <t>Fanatic Freewave</t>
        </is>
      </c>
      <c r="C592" t="inlineStr">
        <is>
          <t>Freestyle</t>
        </is>
      </c>
      <c r="D592" s="3" t="inlineStr"/>
      <c r="E592" t="inlineStr"/>
      <c r="F592" s="4" t="n">
        <v>25</v>
      </c>
      <c r="G592" t="inlineStr"/>
      <c r="H592" t="inlineStr">
        <is>
          <t>50825 Köln - Ehrenfeld</t>
        </is>
      </c>
      <c r="I592" s="5" t="n">
        <v>45551</v>
      </c>
      <c r="J592" t="inlineStr"/>
      <c r="K592" s="6">
        <f>HYPERLINK("https://www.kleinanzeigen.de/s-anzeige/fanatic-freewave-goya-95/2865734706-230-951", "Link")</f>
        <v/>
      </c>
      <c r="L592" s="6">
        <f>HYPERLINK("C:\Projects\Kleinanzeigen-Scraper\offer_images\2865734706", "Link")</f>
        <v/>
      </c>
      <c r="M592" t="inlineStr">
        <is>
          <t>Burghard</t>
        </is>
      </c>
      <c r="N592" s="6">
        <f>HYPERLINK("https://www.kleinanzeigen.de/s-bestandsliste.html?userId=47778135", "Link")</f>
        <v/>
      </c>
      <c r="O592" s="7" t="n">
        <v>45555.56086805555</v>
      </c>
      <c r="P592" s="3" t="inlineStr">
        <is>
          <t>3.33</t>
        </is>
      </c>
      <c r="Q592" t="inlineStr">
        <is>
          <t>Köln</t>
        </is>
      </c>
    </row>
    <row r="593">
      <c r="A593" t="inlineStr"/>
      <c r="B593" t="inlineStr">
        <is>
          <t>Fanatic Lite Bat</t>
        </is>
      </c>
      <c r="C593" t="inlineStr"/>
      <c r="D593" s="3" t="inlineStr"/>
      <c r="E593" t="inlineStr"/>
      <c r="F593" s="4" t="n">
        <v>40</v>
      </c>
      <c r="G593" t="inlineStr"/>
      <c r="H593" t="inlineStr">
        <is>
          <t>23626 Kreis Ostholstein - Ratekau</t>
        </is>
      </c>
      <c r="I593" s="5" t="n">
        <v>45538</v>
      </c>
      <c r="J593" t="inlineStr">
        <is>
          <t>Sold</t>
        </is>
      </c>
      <c r="K593" s="6">
        <f>HYPERLINK("https://www.kleinanzeigen.de/s-anzeige/surfboard-fanatic-lite-bat-mit-schwert-ohne-finne/2853436730-230-439", "Link")</f>
        <v/>
      </c>
      <c r="L593" s="6">
        <f>HYPERLINK("C:\Projects\Kleinanzeigen-Scraper\offer_images\2853436730", "Link")</f>
        <v/>
      </c>
      <c r="M593" t="inlineStr">
        <is>
          <t>Privatanbieter</t>
        </is>
      </c>
      <c r="N593" s="6">
        <f>HYPERLINK("https://www.kleinanzeigen.de/s-bestandsliste.html?userId=21642563", "Link")</f>
        <v/>
      </c>
      <c r="O593" s="7" t="n">
        <v>45555.56079861111</v>
      </c>
      <c r="P593" s="3" t="inlineStr">
        <is>
          <t>421.31</t>
        </is>
      </c>
      <c r="Q593" t="inlineStr">
        <is>
          <t>Köln</t>
        </is>
      </c>
    </row>
    <row r="594">
      <c r="A594" t="inlineStr"/>
      <c r="B594" t="inlineStr">
        <is>
          <t>Starboard S-Type</t>
        </is>
      </c>
      <c r="C594" t="inlineStr">
        <is>
          <t>Freerace Freeride</t>
        </is>
      </c>
      <c r="D594" s="3" t="n">
        <v>126</v>
      </c>
      <c r="E594" t="inlineStr"/>
      <c r="F594" s="4" t="n">
        <v>500</v>
      </c>
      <c r="G594" t="inlineStr">
        <is>
          <t>VB</t>
        </is>
      </c>
      <c r="H594" t="inlineStr">
        <is>
          <t>85395 Bayern - Attenkirchen</t>
        </is>
      </c>
      <c r="I594" s="5" t="n">
        <v>45554</v>
      </c>
      <c r="J594" t="inlineStr"/>
      <c r="K594" s="6">
        <f>HYPERLINK("https://www.kleinanzeigen.de/s-anzeige/starboard-s-type-126-freerace-freeride-windsurf-board/2867764534-230-21987", "Link")</f>
        <v/>
      </c>
      <c r="L594" s="6">
        <f>HYPERLINK("C:\Projects\Kleinanzeigen-Scraper\offer_images\2867764534", "Link")</f>
        <v/>
      </c>
      <c r="M594" t="inlineStr">
        <is>
          <t>Armin</t>
        </is>
      </c>
      <c r="N594" s="6">
        <f>HYPERLINK("https://www.kleinanzeigen.de/s-bestandsliste.html?userId=15364114", "Link")</f>
        <v/>
      </c>
      <c r="O594" s="7" t="n">
        <v>45555.56078703704</v>
      </c>
      <c r="P594" s="3" t="inlineStr">
        <is>
          <t>41.34</t>
        </is>
      </c>
      <c r="Q594" t="inlineStr">
        <is>
          <t>München</t>
        </is>
      </c>
    </row>
    <row r="595">
      <c r="A595" t="inlineStr">
        <is>
          <t>240 cm x 79 cm</t>
        </is>
      </c>
      <c r="B595" t="inlineStr">
        <is>
          <t>Fanatic Falcon Slalom</t>
        </is>
      </c>
      <c r="C595" t="inlineStr">
        <is>
          <t>Slalom</t>
        </is>
      </c>
      <c r="D595" s="3" t="n">
        <v>140</v>
      </c>
      <c r="E595" t="inlineStr"/>
      <c r="F595" s="4" t="n">
        <v>450</v>
      </c>
      <c r="G595" t="inlineStr">
        <is>
          <t>VB</t>
        </is>
      </c>
      <c r="H595" t="inlineStr">
        <is>
          <t>02826 Sachsen - Görlitz</t>
        </is>
      </c>
      <c r="I595" s="5" t="n">
        <v>45552</v>
      </c>
      <c r="J595" t="inlineStr"/>
      <c r="K595" s="6">
        <f>HYPERLINK("https://www.kleinanzeigen.de/s-anzeige/windsurfboard-fanatic-falcon-slalom-140-ltr-carbon-mit-3-finnen/2866308001-230-3813", "Link")</f>
        <v/>
      </c>
      <c r="L595" s="6">
        <f>HYPERLINK("C:\Projects\Kleinanzeigen-Scraper\offer_images\2866308001", "Link")</f>
        <v/>
      </c>
      <c r="M595" t="inlineStr">
        <is>
          <t>Stefan</t>
        </is>
      </c>
      <c r="N595" s="6">
        <f>HYPERLINK("https://www.kleinanzeigen.de/s-bestandsliste.html?userId=4013397", "Link")</f>
        <v/>
      </c>
      <c r="O595" s="7" t="n">
        <v>45555.56076388889</v>
      </c>
      <c r="P595" s="3" t="inlineStr">
        <is>
          <t>414.86</t>
        </is>
      </c>
      <c r="Q595" t="inlineStr">
        <is>
          <t>München</t>
        </is>
      </c>
    </row>
    <row r="596">
      <c r="A596" t="inlineStr"/>
      <c r="B596" t="inlineStr">
        <is>
          <t>Naish Wave</t>
        </is>
      </c>
      <c r="C596" t="inlineStr">
        <is>
          <t>Wave</t>
        </is>
      </c>
      <c r="D596" s="3" t="n">
        <v>80</v>
      </c>
      <c r="E596" t="inlineStr"/>
      <c r="F596" s="4" t="n">
        <v>120</v>
      </c>
      <c r="G596" t="inlineStr">
        <is>
          <t>VB</t>
        </is>
      </c>
      <c r="H596" t="inlineStr">
        <is>
          <t>85395 Bayern - Attenkirchen</t>
        </is>
      </c>
      <c r="I596" s="5" t="n">
        <v>45554</v>
      </c>
      <c r="J596" t="inlineStr"/>
      <c r="K596" s="6">
        <f>HYPERLINK("https://www.kleinanzeigen.de/s-anzeige/naish-wave-80-windsurf-board/2867774067-230-21987", "Link")</f>
        <v/>
      </c>
      <c r="L596" s="6">
        <f>HYPERLINK("C:\Projects\Kleinanzeigen-Scraper\offer_images\2867774067", "Link")</f>
        <v/>
      </c>
      <c r="M596" t="inlineStr">
        <is>
          <t>Armin</t>
        </is>
      </c>
      <c r="N596" s="6">
        <f>HYPERLINK("https://www.kleinanzeigen.de/s-bestandsliste.html?userId=15364114", "Link")</f>
        <v/>
      </c>
      <c r="O596" s="7" t="n">
        <v>45555.56060185185</v>
      </c>
      <c r="P596" s="3" t="inlineStr">
        <is>
          <t>41.34</t>
        </is>
      </c>
      <c r="Q596" t="inlineStr">
        <is>
          <t>München</t>
        </is>
      </c>
    </row>
    <row r="597">
      <c r="A597" t="inlineStr"/>
      <c r="B597" t="inlineStr">
        <is>
          <t>Fanatic Blast</t>
        </is>
      </c>
      <c r="C597" t="inlineStr">
        <is>
          <t>Freeride</t>
        </is>
      </c>
      <c r="D597" s="3" t="inlineStr"/>
      <c r="E597" t="inlineStr"/>
      <c r="F597" s="4" t="n">
        <v>889</v>
      </c>
      <c r="G597" t="inlineStr">
        <is>
          <t>VB</t>
        </is>
      </c>
      <c r="H597" t="inlineStr">
        <is>
          <t>74423 Baden-Württemberg - Obersontheim</t>
        </is>
      </c>
      <c r="I597" s="5" t="n">
        <v>45536</v>
      </c>
      <c r="J597" t="inlineStr">
        <is>
          <t>Sold</t>
        </is>
      </c>
      <c r="K597" s="6">
        <f>HYPERLINK("https://www.kleinanzeigen.de/s-anzeige/fanatic-blast/2851703162-230-9154", "Link")</f>
        <v/>
      </c>
      <c r="L597" s="6">
        <f>HYPERLINK("C:\Projects\Kleinanzeigen-Scraper\offer_images\2851703162", "Link")</f>
        <v/>
      </c>
      <c r="M597" t="inlineStr">
        <is>
          <t>Marcel</t>
        </is>
      </c>
      <c r="N597" s="6">
        <f>HYPERLINK("https://www.kleinanzeigen.de/s-bestandsliste.html?userId=22775485", "Link")</f>
        <v/>
      </c>
      <c r="O597" s="7" t="n">
        <v>45555.56052083334</v>
      </c>
      <c r="P597" s="3" t="inlineStr">
        <is>
          <t>77.18</t>
        </is>
      </c>
      <c r="Q597" t="inlineStr">
        <is>
          <t>Böblingen</t>
        </is>
      </c>
    </row>
    <row r="598">
      <c r="A598" t="inlineStr">
        <is>
          <t>136x41</t>
        </is>
      </c>
      <c r="B598" t="inlineStr">
        <is>
          <t>Duotone Jaime SLS</t>
        </is>
      </c>
      <c r="C598" t="inlineStr"/>
      <c r="D598" s="3" t="inlineStr"/>
      <c r="E598" t="inlineStr">
        <is>
          <t>2024</t>
        </is>
      </c>
      <c r="F598" s="4" t="n">
        <v>800</v>
      </c>
      <c r="G598" t="inlineStr">
        <is>
          <t>VB</t>
        </is>
      </c>
      <c r="H598" t="inlineStr">
        <is>
          <t>24939 Schleswig-Holstein - Flensburg</t>
        </is>
      </c>
      <c r="I598" s="5" t="n">
        <v>45554</v>
      </c>
      <c r="J598" t="inlineStr">
        <is>
          <t>Sold</t>
        </is>
      </c>
      <c r="K598" s="6">
        <f>HYPERLINK("https://www.kleinanzeigen.de/s-anzeige/duotone-jaime-sls-2024-136-41/2867756464-230-717", "Link")</f>
        <v/>
      </c>
      <c r="L598" s="6">
        <f>HYPERLINK("C:\Projects\Kleinanzeigen-Scraper\offer_images\2867756464", "Link")</f>
        <v/>
      </c>
      <c r="M598" t="inlineStr">
        <is>
          <t>Henri</t>
        </is>
      </c>
      <c r="N598" s="6">
        <f>HYPERLINK("https://www.kleinanzeigen.de/s-bestandsliste.html?userId=60259529", "Link")</f>
        <v/>
      </c>
      <c r="O598" s="7" t="n">
        <v>45555.56042824074</v>
      </c>
      <c r="P598" s="3" t="inlineStr">
        <is>
          <t>460.36</t>
        </is>
      </c>
      <c r="Q598" t="inlineStr">
        <is>
          <t>Köln</t>
        </is>
      </c>
    </row>
    <row r="599">
      <c r="A599" t="inlineStr">
        <is>
          <t>242 cm x 76 cm</t>
        </is>
      </c>
      <c r="B599" t="inlineStr">
        <is>
          <t>Fanatic Gecko</t>
        </is>
      </c>
      <c r="C599" t="inlineStr">
        <is>
          <t>Freeride</t>
        </is>
      </c>
      <c r="D599" s="3" t="n">
        <v>120</v>
      </c>
      <c r="E599" t="inlineStr">
        <is>
          <t>2019</t>
        </is>
      </c>
      <c r="F599" s="4" t="n">
        <v>670</v>
      </c>
      <c r="G599" t="inlineStr">
        <is>
          <t>VB</t>
        </is>
      </c>
      <c r="H599" t="inlineStr">
        <is>
          <t>15526 Brandenburg - Bad Saarow</t>
        </is>
      </c>
      <c r="I599" s="5" t="n">
        <v>45552</v>
      </c>
      <c r="J599" t="inlineStr">
        <is>
          <t>Sold</t>
        </is>
      </c>
      <c r="K599" s="6">
        <f>HYPERLINK("https://www.kleinanzeigen.de/s-anzeige/windsurfboard-fanatic-gecko-120l-zubehoer/2866556730-230-19642", "Link")</f>
        <v/>
      </c>
      <c r="L599" s="6">
        <f>HYPERLINK("C:\Projects\Kleinanzeigen-Scraper\offer_images\2866556730", "Link")</f>
        <v/>
      </c>
      <c r="M599" t="inlineStr">
        <is>
          <t>Tatjana S.</t>
        </is>
      </c>
      <c r="N599" s="6">
        <f>HYPERLINK("https://www.kleinanzeigen.de/s-bestandsliste.html?userId=23482648", "Link")</f>
        <v/>
      </c>
      <c r="O599" s="7" t="n">
        <v>45555.56032407407</v>
      </c>
      <c r="P599" s="3" t="inlineStr">
        <is>
          <t>491.09</t>
        </is>
      </c>
      <c r="Q599" t="inlineStr">
        <is>
          <t>München</t>
        </is>
      </c>
    </row>
    <row r="600">
      <c r="A600" t="inlineStr">
        <is>
          <t>1200</t>
        </is>
      </c>
      <c r="B600" t="inlineStr">
        <is>
          <t>Starboard S-Type</t>
        </is>
      </c>
      <c r="C600" t="inlineStr">
        <is>
          <t>Foil</t>
        </is>
      </c>
      <c r="D600" s="3" t="inlineStr"/>
      <c r="E600" t="inlineStr"/>
      <c r="F600" s="4" t="n">
        <v>180</v>
      </c>
      <c r="G600" t="inlineStr"/>
      <c r="H600" t="inlineStr">
        <is>
          <t>32107 Nordrhein-Westfalen - Bad Salzuflen</t>
        </is>
      </c>
      <c r="I600" s="5" t="n">
        <v>45517</v>
      </c>
      <c r="J600" t="inlineStr"/>
      <c r="K600" s="6">
        <f>HYPERLINK("https://www.kleinanzeigen.de/s-anzeige/starboard-s-type-1200-foil-g100-ql-ii/2836192945-230-1901", "Link")</f>
        <v/>
      </c>
      <c r="L600" s="6">
        <f>HYPERLINK("C:\Projects\Kleinanzeigen-Scraper\offer_images\2836192945", "Link")</f>
        <v/>
      </c>
      <c r="M600" t="inlineStr">
        <is>
          <t>Lohaus</t>
        </is>
      </c>
      <c r="N600" s="6">
        <f>HYPERLINK("https://www.kleinanzeigen.de/s-bestandsliste.html?userId=1626544", "Link")</f>
        <v/>
      </c>
      <c r="O600" s="7" t="n">
        <v>45555.56025462963</v>
      </c>
      <c r="P600" s="3" t="inlineStr">
        <is>
          <t>174.34</t>
        </is>
      </c>
      <c r="Q600" t="inlineStr">
        <is>
          <t>Köln</t>
        </is>
      </c>
    </row>
    <row r="601">
      <c r="A601" t="inlineStr">
        <is>
          <t>345</t>
        </is>
      </c>
      <c r="B601" t="inlineStr">
        <is>
          <t>HiFly Spirit</t>
        </is>
      </c>
      <c r="C601" t="inlineStr"/>
      <c r="D601" s="3" t="inlineStr"/>
      <c r="E601" t="inlineStr"/>
      <c r="F601" s="4" t="n">
        <v>75</v>
      </c>
      <c r="G601" t="inlineStr"/>
      <c r="H601" t="inlineStr">
        <is>
          <t>28832 Niedersachsen - Achim</t>
        </is>
      </c>
      <c r="I601" s="5" t="n">
        <v>45555</v>
      </c>
      <c r="J601" t="inlineStr">
        <is>
          <t>Sold</t>
        </is>
      </c>
      <c r="K601" s="6">
        <f>HYPERLINK("https://www.kleinanzeigen.de/s-anzeige/windsurfer-hifly-spirit-345-surfbrett-mit-segel/2868656749-230-2658", "Link")</f>
        <v/>
      </c>
      <c r="L601" s="6">
        <f>HYPERLINK("C:\Projects\Kleinanzeigen-Scraper\offer_images\2868656749", "Link")</f>
        <v/>
      </c>
      <c r="M601" t="inlineStr">
        <is>
          <t>Fin</t>
        </is>
      </c>
      <c r="N601" s="6">
        <f>HYPERLINK("https://www.kleinanzeigen.de/s-bestandsliste.html?userId=2275523", "Link")</f>
        <v/>
      </c>
      <c r="O601" s="7" t="n">
        <v>45555.56015046296</v>
      </c>
      <c r="P601" s="3" t="inlineStr">
        <is>
          <t>273.42</t>
        </is>
      </c>
      <c r="Q601" t="inlineStr">
        <is>
          <t>Köln</t>
        </is>
      </c>
    </row>
    <row r="602">
      <c r="A602" t="inlineStr">
        <is>
          <t>251 x 67.5</t>
        </is>
      </c>
      <c r="B602" t="inlineStr">
        <is>
          <t>Patrik F-Ride</t>
        </is>
      </c>
      <c r="C602" t="inlineStr">
        <is>
          <t>Freeride</t>
        </is>
      </c>
      <c r="D602" s="3" t="n">
        <v>125</v>
      </c>
      <c r="E602" t="inlineStr"/>
      <c r="F602" s="4" t="n">
        <v>407</v>
      </c>
      <c r="G602" t="inlineStr">
        <is>
          <t>VB</t>
        </is>
      </c>
      <c r="H602" t="inlineStr">
        <is>
          <t>24119 Kiel - Kronshagen</t>
        </is>
      </c>
      <c r="I602" s="5" t="n">
        <v>45552</v>
      </c>
      <c r="J602" t="inlineStr">
        <is>
          <t>Sold</t>
        </is>
      </c>
      <c r="K602" s="6">
        <f>HYPERLINK("https://www.kleinanzeigen.de/s-anzeige/patrik-f-ride-125-windsurf-brett-board-freeride/2866178042-230-705", "Link")</f>
        <v/>
      </c>
      <c r="L602" s="6">
        <f>HYPERLINK("C:\Projects\Kleinanzeigen-Scraper\offer_images\2866178042", "Link")</f>
        <v/>
      </c>
      <c r="M602" t="inlineStr">
        <is>
          <t>Denis</t>
        </is>
      </c>
      <c r="N602" s="6">
        <f>HYPERLINK("https://www.kleinanzeigen.de/s-bestandsliste.html?userId=14237400", "Link")</f>
        <v/>
      </c>
      <c r="O602" s="7" t="n">
        <v>45555.56012731481</v>
      </c>
      <c r="P602" s="3" t="inlineStr">
        <is>
          <t>432.46</t>
        </is>
      </c>
      <c r="Q602" t="inlineStr">
        <is>
          <t>Köln</t>
        </is>
      </c>
    </row>
    <row r="603">
      <c r="A603" t="inlineStr"/>
      <c r="B603" t="inlineStr">
        <is>
          <t>BIC Tabou</t>
        </is>
      </c>
      <c r="C603" t="inlineStr">
        <is>
          <t>Wave</t>
        </is>
      </c>
      <c r="D603" s="3" t="n">
        <v>90</v>
      </c>
      <c r="E603" t="inlineStr"/>
      <c r="F603" s="4" t="n">
        <v>125</v>
      </c>
      <c r="G603" t="inlineStr">
        <is>
          <t>VB</t>
        </is>
      </c>
      <c r="H603" t="inlineStr">
        <is>
          <t>24975 Schleswig-Holstein - Maasbüll</t>
        </is>
      </c>
      <c r="I603" s="5" t="n">
        <v>45554</v>
      </c>
      <c r="J603" t="inlineStr">
        <is>
          <t>Sold</t>
        </is>
      </c>
      <c r="K603" s="6">
        <f>HYPERLINK("https://www.kleinanzeigen.de/s-anzeige/surfbrett-bic-tabou-90-liter/2867770972-230-725", "Link")</f>
        <v/>
      </c>
      <c r="L603" s="6">
        <f>HYPERLINK("C:\Projects\Kleinanzeigen-Scraper\offer_images\2867770972", "Link")</f>
        <v/>
      </c>
      <c r="M603" t="inlineStr">
        <is>
          <t>Tom Swane</t>
        </is>
      </c>
      <c r="N603" s="6">
        <f>HYPERLINK("https://www.kleinanzeigen.de/s-bestandsliste.html?userId=8423221", "Link")</f>
        <v/>
      </c>
      <c r="O603" s="7" t="n">
        <v>45555.55990740741</v>
      </c>
      <c r="P603" s="3" t="inlineStr">
        <is>
          <t>458.46</t>
        </is>
      </c>
      <c r="Q603" t="inlineStr">
        <is>
          <t>Köln</t>
        </is>
      </c>
    </row>
    <row r="604">
      <c r="A604" t="inlineStr"/>
      <c r="B604" t="inlineStr">
        <is>
          <t>Starboard evo 92 mi</t>
        </is>
      </c>
      <c r="C604" t="inlineStr"/>
      <c r="D604" s="3" t="inlineStr"/>
      <c r="E604" t="inlineStr"/>
      <c r="F604" s="4" t="n">
        <v>100</v>
      </c>
      <c r="G604" t="inlineStr"/>
      <c r="H604" t="inlineStr">
        <is>
          <t>26931 Niedersachsen - Elsfleth</t>
        </is>
      </c>
      <c r="I604" s="5" t="n">
        <v>45553</v>
      </c>
      <c r="J604" t="inlineStr"/>
      <c r="K604" s="6">
        <f>HYPERLINK("https://www.kleinanzeigen.de/s-anzeige/starboard-evo-92-mi/2867317513-230-2738", "Link")</f>
        <v/>
      </c>
      <c r="L604" s="6">
        <f>HYPERLINK("C:\Projects\Kleinanzeigen-Scraper\offer_images\2867317513", "Link")</f>
        <v/>
      </c>
      <c r="M604" t="inlineStr">
        <is>
          <t>Axel</t>
        </is>
      </c>
      <c r="N604" s="6">
        <f>HYPERLINK("https://www.kleinanzeigen.de/s-bestandsliste.html?userId=1716428", "Link")</f>
        <v/>
      </c>
      <c r="O604" s="7" t="n">
        <v>45555.55990740741</v>
      </c>
      <c r="P604" s="3" t="inlineStr">
        <is>
          <t>269.98</t>
        </is>
      </c>
      <c r="Q604" t="inlineStr">
        <is>
          <t>Köln</t>
        </is>
      </c>
    </row>
    <row r="605">
      <c r="A605" t="inlineStr">
        <is>
          <t>232cm x 66cm</t>
        </is>
      </c>
      <c r="B605" t="inlineStr">
        <is>
          <t>Fanatic Blast</t>
        </is>
      </c>
      <c r="C605" t="inlineStr">
        <is>
          <t>Freeride</t>
        </is>
      </c>
      <c r="D605" s="3" t="n">
        <v>115</v>
      </c>
      <c r="E605" t="inlineStr"/>
      <c r="F605" s="4" t="n">
        <v>830</v>
      </c>
      <c r="G605" t="inlineStr">
        <is>
          <t>VB</t>
        </is>
      </c>
      <c r="H605" t="inlineStr">
        <is>
          <t>66125 Saarbrücken-Dudweiler - Dudweiler</t>
        </is>
      </c>
      <c r="I605" s="5" t="n">
        <v>45536</v>
      </c>
      <c r="J605" t="inlineStr">
        <is>
          <t>Sold</t>
        </is>
      </c>
      <c r="K605" s="6">
        <f>HYPERLINK("https://www.kleinanzeigen.de/s-anzeige/fanatic-blast-115l-txtr/2851928384-230-390", "Link")</f>
        <v/>
      </c>
      <c r="L605" s="6">
        <f>HYPERLINK("C:\Projects\Kleinanzeigen-Scraper\offer_images\2851928384", "Link")</f>
        <v/>
      </c>
      <c r="M605" t="inlineStr">
        <is>
          <t>Martin</t>
        </is>
      </c>
      <c r="N605" s="6">
        <f>HYPERLINK("https://www.kleinanzeigen.de/s-bestandsliste.html?userId=23615260", "Link")</f>
        <v/>
      </c>
      <c r="O605" s="7" t="n">
        <v>45555.55982638889</v>
      </c>
      <c r="P605" s="3" t="inlineStr">
        <is>
          <t>104.07</t>
        </is>
      </c>
      <c r="Q605" t="inlineStr">
        <is>
          <t>Karlsruhe</t>
        </is>
      </c>
    </row>
    <row r="606">
      <c r="A606" t="inlineStr">
        <is>
          <t>320cm x 81.3cm x 15.2cm</t>
        </is>
      </c>
      <c r="B606" t="inlineStr">
        <is>
          <t>Naish Nalu</t>
        </is>
      </c>
      <c r="C606" t="inlineStr">
        <is>
          <t>Allround</t>
        </is>
      </c>
      <c r="D606" s="3" t="inlineStr"/>
      <c r="E606" t="inlineStr"/>
      <c r="F606" s="4" t="n">
        <v>399</v>
      </c>
      <c r="G606" t="inlineStr">
        <is>
          <t>VB</t>
        </is>
      </c>
      <c r="H606" t="inlineStr">
        <is>
          <t>57489 Nordrhein-Westfalen - Drolshagen</t>
        </is>
      </c>
      <c r="I606" s="5" t="n">
        <v>45551</v>
      </c>
      <c r="J606" t="inlineStr">
        <is>
          <t>Sold</t>
        </is>
      </c>
      <c r="K606" s="6">
        <f>HYPERLINK("https://www.kleinanzeigen.de/s-anzeige/lagerverkauf-naish-nalu-10-6-x-32-sup-board/2865895051-230-1530", "Link")</f>
        <v/>
      </c>
      <c r="L606" s="6">
        <f>HYPERLINK("C:\Projects\Kleinanzeigen-Scraper\offer_images\2865895051", "Link")</f>
        <v/>
      </c>
      <c r="M606" t="inlineStr">
        <is>
          <t>key2fun</t>
        </is>
      </c>
      <c r="N606" s="6">
        <f>HYPERLINK("https://www.kleinanzeigen.de/s-bestandsliste.html?userId=68821592", "Link")</f>
        <v/>
      </c>
      <c r="O606" s="7" t="n">
        <v>45555.55981481481</v>
      </c>
      <c r="P606" s="3" t="inlineStr">
        <is>
          <t>58.85</t>
        </is>
      </c>
      <c r="Q606" t="inlineStr">
        <is>
          <t>Köln</t>
        </is>
      </c>
    </row>
    <row r="607">
      <c r="A607" t="inlineStr"/>
      <c r="B607" t="inlineStr">
        <is>
          <t>RRD WH ALU</t>
        </is>
      </c>
      <c r="C607" t="inlineStr">
        <is>
          <t>Slalom/Freestyle</t>
        </is>
      </c>
      <c r="D607" s="3" t="inlineStr"/>
      <c r="E607" t="inlineStr"/>
      <c r="F607" s="4" t="n">
        <v>500</v>
      </c>
      <c r="G607" t="inlineStr">
        <is>
          <t>VB</t>
        </is>
      </c>
      <c r="H607" t="inlineStr">
        <is>
          <t>57489 Nordrhein-Westfalen - Drolshagen</t>
        </is>
      </c>
      <c r="I607" s="5" t="n">
        <v>45552</v>
      </c>
      <c r="J607" t="inlineStr"/>
      <c r="K607" s="6">
        <f>HYPERLINK("https://www.kleinanzeigen.de/s-anzeige/kombi-brett-foil-zum-windfoilen-rrd-wh-alu-85/2866612862-230-1530", "Link")</f>
        <v/>
      </c>
      <c r="L607" s="6">
        <f>HYPERLINK("C:\Projects\Kleinanzeigen-Scraper\offer_images\2866612862", "Link")</f>
        <v/>
      </c>
      <c r="M607" t="inlineStr">
        <is>
          <t>Matthias</t>
        </is>
      </c>
      <c r="N607" s="6">
        <f>HYPERLINK("https://www.kleinanzeigen.de/s-bestandsliste.html?userId=24016153", "Link")</f>
        <v/>
      </c>
      <c r="O607" s="7" t="n">
        <v>45555.55979166667</v>
      </c>
      <c r="P607" s="3" t="inlineStr">
        <is>
          <t>58.85</t>
        </is>
      </c>
      <c r="Q607" t="inlineStr">
        <is>
          <t>Köln</t>
        </is>
      </c>
    </row>
    <row r="608">
      <c r="A608" t="inlineStr">
        <is>
          <t>253 x 66</t>
        </is>
      </c>
      <c r="B608" t="inlineStr">
        <is>
          <t>RRD Firewave</t>
        </is>
      </c>
      <c r="C608" t="inlineStr">
        <is>
          <t>Freestylewave</t>
        </is>
      </c>
      <c r="D608" s="3" t="n">
        <v>110</v>
      </c>
      <c r="E608" t="inlineStr"/>
      <c r="F608" s="4" t="n">
        <v>360</v>
      </c>
      <c r="G608" t="inlineStr">
        <is>
          <t>VB</t>
        </is>
      </c>
      <c r="H608" t="inlineStr">
        <is>
          <t>29614 Niedersachsen - Soltau</t>
        </is>
      </c>
      <c r="I608" s="5" t="n">
        <v>45553</v>
      </c>
      <c r="J608" t="inlineStr"/>
      <c r="K608" s="6">
        <f>HYPERLINK("https://www.kleinanzeigen.de/s-anzeige/rrd-firewave-110-freestylewave-waveboard/2866872561-230-3257", "Link")</f>
        <v/>
      </c>
      <c r="L608" s="6">
        <f>HYPERLINK("C:\Projects\Kleinanzeigen-Scraper\offer_images\2866872561", "Link")</f>
        <v/>
      </c>
      <c r="M608" t="inlineStr">
        <is>
          <t>Anna</t>
        </is>
      </c>
      <c r="N608" s="6">
        <f>HYPERLINK("https://www.kleinanzeigen.de/s-bestandsliste.html?userId=2364080", "Link")</f>
        <v/>
      </c>
      <c r="O608" s="7" t="n">
        <v>45555.55976851852</v>
      </c>
      <c r="P608" s="3" t="inlineStr">
        <is>
          <t>302.72</t>
        </is>
      </c>
      <c r="Q608" t="inlineStr">
        <is>
          <t>Köln</t>
        </is>
      </c>
    </row>
    <row r="609">
      <c r="A609" t="inlineStr">
        <is>
          <t>136.139</t>
        </is>
      </c>
      <c r="B609" t="inlineStr">
        <is>
          <t>Duotone Jamie SLS</t>
        </is>
      </c>
      <c r="C609" t="inlineStr"/>
      <c r="D609" s="3" t="inlineStr"/>
      <c r="E609" t="inlineStr">
        <is>
          <t>2025</t>
        </is>
      </c>
      <c r="F609" s="4" t="n">
        <v>1.448</v>
      </c>
      <c r="G609" t="inlineStr">
        <is>
          <t>VB</t>
        </is>
      </c>
      <c r="H609" t="inlineStr">
        <is>
          <t>23769 Fehmarn - Westfehmarn</t>
        </is>
      </c>
      <c r="I609" s="5" t="n">
        <v>45553</v>
      </c>
      <c r="J609" t="inlineStr">
        <is>
          <t>Sold</t>
        </is>
      </c>
      <c r="K609" s="6">
        <f>HYPERLINK("https://www.kleinanzeigen.de/s-anzeige/duotone-jamie-sls-2025-136-139/2867065988-230-430", "Link")</f>
        <v/>
      </c>
      <c r="L609" s="6">
        <f>HYPERLINK("C:\Projects\Kleinanzeigen-Scraper\offer_images\2867065988", "Link")</f>
        <v/>
      </c>
      <c r="M609" t="inlineStr">
        <is>
          <t>No user name</t>
        </is>
      </c>
      <c r="N609" s="6">
        <f>HYPERLINK("https://www.kleinanzeigen.deNo user link", "Link")</f>
        <v/>
      </c>
      <c r="O609" s="7" t="n">
        <v>45555.55974537037</v>
      </c>
      <c r="P609" s="3" t="inlineStr">
        <is>
          <t>483.01</t>
        </is>
      </c>
      <c r="Q609" t="inlineStr">
        <is>
          <t>Köln</t>
        </is>
      </c>
    </row>
    <row r="610">
      <c r="A610" t="inlineStr">
        <is>
          <t>74-156 Liter</t>
        </is>
      </c>
      <c r="B610" t="inlineStr">
        <is>
          <t>STARBOARD</t>
        </is>
      </c>
      <c r="C610" t="inlineStr">
        <is>
          <t>Foil</t>
        </is>
      </c>
      <c r="D610" s="3" t="inlineStr">
        <is>
          <t>74-156</t>
        </is>
      </c>
      <c r="E610" t="inlineStr">
        <is>
          <t>2024</t>
        </is>
      </c>
      <c r="F610" s="4" t="n">
        <v>914</v>
      </c>
      <c r="G610" t="inlineStr"/>
      <c r="H610" t="inlineStr">
        <is>
          <t>80333 München - Maxvorstadt</t>
        </is>
      </c>
      <c r="I610" s="5" t="n">
        <v>45453</v>
      </c>
      <c r="J610" t="inlineStr"/>
      <c r="K610" s="6">
        <f>HYPERLINK("https://www.kleinanzeigen.de/s-anzeige/foil-board-starboard-2024-inflatable-air-foil-zen-sc-74-156-liter/2784851121-230-6441", "Link")</f>
        <v/>
      </c>
      <c r="L610" s="6">
        <f>HYPERLINK("C:\Projects\Kleinanzeigen-Scraper\offer_images\2784851121", "Link")</f>
        <v/>
      </c>
      <c r="M610" t="inlineStr">
        <is>
          <t>BORAVENT Sport und Freizeit UG</t>
        </is>
      </c>
      <c r="N610" s="6">
        <f>HYPERLINK("https://www.kleinanzeigen.de/s-bestandsliste.html?userId=55973585", "Link")</f>
        <v/>
      </c>
      <c r="O610" s="7" t="n">
        <v>45555.55966435185</v>
      </c>
      <c r="P610" s="3" t="inlineStr">
        <is>
          <t>0.91</t>
        </is>
      </c>
      <c r="Q610" t="inlineStr">
        <is>
          <t>München</t>
        </is>
      </c>
    </row>
    <row r="611">
      <c r="A611" t="inlineStr">
        <is>
          <t>58.5/229 cm</t>
        </is>
      </c>
      <c r="B611" t="inlineStr">
        <is>
          <t>Fanatic Freewave 85 TE</t>
        </is>
      </c>
      <c r="C611" t="inlineStr">
        <is>
          <t>Freestyle/Wave</t>
        </is>
      </c>
      <c r="D611" s="3" t="n">
        <v>85</v>
      </c>
      <c r="E611" t="inlineStr">
        <is>
          <t>2020</t>
        </is>
      </c>
      <c r="F611" s="4" t="n">
        <v>799</v>
      </c>
      <c r="G611" t="inlineStr"/>
      <c r="H611" t="inlineStr">
        <is>
          <t>13357 Mitte - Wedding</t>
        </is>
      </c>
      <c r="I611" s="5" t="n">
        <v>45551</v>
      </c>
      <c r="J611" t="inlineStr">
        <is>
          <t>Sold</t>
        </is>
      </c>
      <c r="K611" s="6">
        <f>HYPERLINK("https://www.kleinanzeigen.de/s-anzeige/fanatic-freewave-85-team-edition-fast-neuwertiger-zustand/2865623275-230-3506", "Link")</f>
        <v/>
      </c>
      <c r="L611" s="6">
        <f>HYPERLINK("C:\Projects\Kleinanzeigen-Scraper\offer_images\2865623275", "Link")</f>
        <v/>
      </c>
      <c r="M611" t="inlineStr">
        <is>
          <t>Johannes Diederich</t>
        </is>
      </c>
      <c r="N611" s="6">
        <f>HYPERLINK("https://www.kleinanzeigen.de/s-bestandsliste.html?userId=39049826", "Link")</f>
        <v/>
      </c>
      <c r="O611" s="7" t="n">
        <v>45555.5596412037</v>
      </c>
      <c r="P611" s="3" t="inlineStr">
        <is>
          <t>477.06</t>
        </is>
      </c>
      <c r="Q611" t="inlineStr">
        <is>
          <t>Köln</t>
        </is>
      </c>
    </row>
    <row r="612">
      <c r="A612" t="inlineStr">
        <is>
          <t>10'6"x25"</t>
        </is>
      </c>
      <c r="B612" t="inlineStr">
        <is>
          <t>Starboard Astro Junior</t>
        </is>
      </c>
      <c r="C612" t="inlineStr">
        <is>
          <t>Touring</t>
        </is>
      </c>
      <c r="D612" s="3" t="n">
        <v>143</v>
      </c>
      <c r="E612" t="inlineStr"/>
      <c r="F612" s="4" t="n">
        <v>230</v>
      </c>
      <c r="G612" t="inlineStr"/>
      <c r="H612" t="inlineStr">
        <is>
          <t>45478 Nordrhein-Westfalen - Mülheim (Ruhr)</t>
        </is>
      </c>
      <c r="I612" s="5" t="n">
        <v>45445</v>
      </c>
      <c r="J612" t="inlineStr"/>
      <c r="K612" s="6">
        <f>HYPERLINK("https://www.kleinanzeigen.de/s-anzeige/starboard-astro-junior-10-6-x25-/2778461631-230-2064", "Link")</f>
        <v/>
      </c>
      <c r="L612" s="6">
        <f>HYPERLINK("C:\Projects\Kleinanzeigen-Scraper\offer_images\2778461631", "Link")</f>
        <v/>
      </c>
      <c r="M612" t="inlineStr">
        <is>
          <t>Thorsten Donisch</t>
        </is>
      </c>
      <c r="N612" s="6">
        <f>HYPERLINK("https://www.kleinanzeigen.de/s-bestandsliste.html?userId=9226583", "Link")</f>
        <v/>
      </c>
      <c r="O612" s="7" t="n">
        <v>45555.55957175926</v>
      </c>
      <c r="P612" s="3" t="inlineStr">
        <is>
          <t>56.03</t>
        </is>
      </c>
      <c r="Q612" t="inlineStr">
        <is>
          <t>Köln</t>
        </is>
      </c>
    </row>
    <row r="613">
      <c r="A613" t="inlineStr"/>
      <c r="B613" t="inlineStr">
        <is>
          <t>Starboard iSonic97 IQ</t>
        </is>
      </c>
      <c r="C613" t="inlineStr"/>
      <c r="D613" s="3" t="inlineStr"/>
      <c r="E613" t="inlineStr"/>
      <c r="F613" s="4" t="n">
        <v>265</v>
      </c>
      <c r="G613" t="inlineStr">
        <is>
          <t>VB</t>
        </is>
      </c>
      <c r="H613" t="inlineStr">
        <is>
          <t>10245 Friedrichshain-Kreuzberg - Friedrichshain</t>
        </is>
      </c>
      <c r="I613" s="5" t="n">
        <v>45553</v>
      </c>
      <c r="J613" t="inlineStr"/>
      <c r="K613" s="6">
        <f>HYPERLINK("https://www.kleinanzeigen.de/s-anzeige/windsurfboard-isonic97-iq-starboard/2867173527-230-3352", "Link")</f>
        <v/>
      </c>
      <c r="L613" s="6">
        <f>HYPERLINK("C:\Projects\Kleinanzeigen-Scraper\offer_images\2867173527", "Link")</f>
        <v/>
      </c>
      <c r="M613" t="inlineStr">
        <is>
          <t>Andrej</t>
        </is>
      </c>
      <c r="N613" s="6">
        <f>HYPERLINK("https://www.kleinanzeigen.de/s-bestandsliste.html?userId=7418705", "Link")</f>
        <v/>
      </c>
      <c r="O613" s="7" t="n">
        <v>45555.55952546297</v>
      </c>
      <c r="P613" s="3" t="inlineStr">
        <is>
          <t>480.20</t>
        </is>
      </c>
      <c r="Q613" t="inlineStr">
        <is>
          <t>Köln</t>
        </is>
      </c>
    </row>
    <row r="614">
      <c r="A614" t="inlineStr">
        <is>
          <t>79</t>
        </is>
      </c>
      <c r="B614" t="inlineStr">
        <is>
          <t>Tabou DaCurve</t>
        </is>
      </c>
      <c r="C614" t="inlineStr">
        <is>
          <t>Wave</t>
        </is>
      </c>
      <c r="D614" s="3" t="inlineStr"/>
      <c r="E614" t="inlineStr"/>
      <c r="F614" s="4" t="n">
        <v>95</v>
      </c>
      <c r="G614" t="inlineStr">
        <is>
          <t>VB</t>
        </is>
      </c>
      <c r="H614" t="inlineStr">
        <is>
          <t>22391 Wandsbek - Hamburg Wellingsbüttel</t>
        </is>
      </c>
      <c r="I614" s="5" t="n">
        <v>45553</v>
      </c>
      <c r="J614" t="inlineStr">
        <is>
          <t>Sold</t>
        </is>
      </c>
      <c r="K614" s="6">
        <f>HYPERLINK("https://www.kleinanzeigen.de/s-anzeige/surfboard-waveboard-tabou-dacurve-79-boardbag-finne/2867653784-230-9469", "Link")</f>
        <v/>
      </c>
      <c r="L614" s="6">
        <f>HYPERLINK("C:\Projects\Kleinanzeigen-Scraper\offer_images\2867653784", "Link")</f>
        <v/>
      </c>
      <c r="M614" t="inlineStr">
        <is>
          <t>Birger</t>
        </is>
      </c>
      <c r="N614" s="6">
        <f>HYPERLINK("https://www.kleinanzeigen.de/s-bestandsliste.html?userId=4119564", "Link")</f>
        <v/>
      </c>
      <c r="O614" s="7" t="n">
        <v>45555.55950231481</v>
      </c>
      <c r="P614" s="3" t="inlineStr">
        <is>
          <t>368.10</t>
        </is>
      </c>
      <c r="Q614" t="inlineStr">
        <is>
          <t>Köln</t>
        </is>
      </c>
    </row>
    <row r="615">
      <c r="A615" t="inlineStr">
        <is>
          <t>4'11" / 149 cm</t>
        </is>
      </c>
      <c r="B615" t="inlineStr">
        <is>
          <t>DUOTONE SKY STYLE</t>
        </is>
      </c>
      <c r="C615" t="inlineStr"/>
      <c r="D615" s="3" t="n">
        <v>75</v>
      </c>
      <c r="E615" t="inlineStr">
        <is>
          <t>2024</t>
        </is>
      </c>
      <c r="F615" s="4" t="n">
        <v>799</v>
      </c>
      <c r="G615" t="inlineStr"/>
      <c r="H615" t="inlineStr">
        <is>
          <t>20355 Hamburg-Mitte - Hamburg Neustadt</t>
        </is>
      </c>
      <c r="I615" s="5" t="n">
        <v>45551</v>
      </c>
      <c r="J615" t="inlineStr">
        <is>
          <t>Sold</t>
        </is>
      </c>
      <c r="K615" s="6">
        <f>HYPERLINK("https://www.kleinanzeigen.de/s-anzeige/duotone-sky-style-4-11-2024/2865752820-230-9419", "Link")</f>
        <v/>
      </c>
      <c r="L615" s="6">
        <f>HYPERLINK("C:\Projects\Kleinanzeigen-Scraper\offer_images\2865752820", "Link")</f>
        <v/>
      </c>
      <c r="M615" t="inlineStr">
        <is>
          <t>Jan</t>
        </is>
      </c>
      <c r="N615" s="6">
        <f>HYPERLINK("https://www.kleinanzeigen.de/s-bestandsliste.html?userId=17196134", "Link")</f>
        <v/>
      </c>
      <c r="O615" s="7" t="n">
        <v>45555.55947916667</v>
      </c>
      <c r="P615" s="3" t="inlineStr">
        <is>
          <t>356.47</t>
        </is>
      </c>
      <c r="Q615" t="inlineStr">
        <is>
          <t>Köln</t>
        </is>
      </c>
    </row>
    <row r="616">
      <c r="A616" t="inlineStr">
        <is>
          <t>141x41 cm</t>
        </is>
      </c>
      <c r="B616" t="inlineStr">
        <is>
          <t>Duotone Select SLS</t>
        </is>
      </c>
      <c r="C616" t="inlineStr"/>
      <c r="D616" s="3" t="inlineStr"/>
      <c r="E616" t="inlineStr">
        <is>
          <t>2024</t>
        </is>
      </c>
      <c r="F616" s="4" t="n">
        <v>870</v>
      </c>
      <c r="G616" t="inlineStr">
        <is>
          <t>VB</t>
        </is>
      </c>
      <c r="H616" t="inlineStr">
        <is>
          <t>21423 Niedersachsen - Winsen (Luhe)</t>
        </is>
      </c>
      <c r="I616" s="5" t="n">
        <v>45553</v>
      </c>
      <c r="J616" t="inlineStr">
        <is>
          <t>Sold</t>
        </is>
      </c>
      <c r="K616" s="6">
        <f>HYPERLINK("https://www.kleinanzeigen.de/s-anzeige/duotone-select-sls-2024-141x41cm-inkl-ntt-l/2840922198-230-3223", "Link")</f>
        <v/>
      </c>
      <c r="L616" s="6">
        <f>HYPERLINK("C:\Projects\Kleinanzeigen-Scraper\offer_images\2840922198", "Link")</f>
        <v/>
      </c>
      <c r="M616" t="inlineStr">
        <is>
          <t>No user name</t>
        </is>
      </c>
      <c r="N616" s="6">
        <f>HYPERLINK("https://www.kleinanzeigen.deNo user link", "Link")</f>
        <v/>
      </c>
      <c r="O616" s="7" t="n">
        <v>45555.55943287037</v>
      </c>
      <c r="P616" s="3" t="inlineStr">
        <is>
          <t>349.14</t>
        </is>
      </c>
      <c r="Q616" t="inlineStr">
        <is>
          <t>Köln</t>
        </is>
      </c>
    </row>
    <row r="617">
      <c r="A617" t="inlineStr">
        <is>
          <t>132 cm</t>
        </is>
      </c>
      <c r="B617" t="inlineStr">
        <is>
          <t>Duotone Soleil SLS</t>
        </is>
      </c>
      <c r="C617" t="inlineStr"/>
      <c r="D617" s="3" t="inlineStr"/>
      <c r="E617" t="inlineStr">
        <is>
          <t>2023/2024</t>
        </is>
      </c>
      <c r="F617" s="4" t="n">
        <v>950</v>
      </c>
      <c r="G617" t="inlineStr"/>
      <c r="H617" t="inlineStr">
        <is>
          <t>85646 Bayern - Anzing</t>
        </is>
      </c>
      <c r="I617" s="5" t="n">
        <v>45553</v>
      </c>
      <c r="J617" t="inlineStr">
        <is>
          <t>Sold</t>
        </is>
      </c>
      <c r="K617" s="6">
        <f>HYPERLINK("https://www.kleinanzeigen.de/s-anzeige/duotone-soleil-sls-132-cm-2023-2024-ntt-bindung-neuwertig/2867182097-230-18212", "Link")</f>
        <v/>
      </c>
      <c r="L617" s="6">
        <f>HYPERLINK("C:\Projects\Kleinanzeigen-Scraper\offer_images\2867182097", "Link")</f>
        <v/>
      </c>
      <c r="M617" t="inlineStr">
        <is>
          <t>Tim M.</t>
        </is>
      </c>
      <c r="N617" s="6">
        <f>HYPERLINK("https://www.kleinanzeigen.de/s-bestandsliste.html?userId=29570779", "Link")</f>
        <v/>
      </c>
      <c r="O617" s="7" t="n">
        <v>45555.559375</v>
      </c>
      <c r="P617" s="3" t="inlineStr">
        <is>
          <t>20.77</t>
        </is>
      </c>
      <c r="Q617" t="inlineStr">
        <is>
          <t>München</t>
        </is>
      </c>
    </row>
    <row r="618">
      <c r="A618" t="inlineStr"/>
      <c r="B618" t="inlineStr">
        <is>
          <t>Duotone WHIP D/LAB</t>
        </is>
      </c>
      <c r="C618" t="inlineStr"/>
      <c r="D618" s="3" t="inlineStr"/>
      <c r="E618" t="inlineStr">
        <is>
          <t>2024</t>
        </is>
      </c>
      <c r="F618" s="4" t="n">
        <v>650</v>
      </c>
      <c r="G618" t="inlineStr"/>
      <c r="H618" t="inlineStr">
        <is>
          <t>83233 Bayern - Bernau am Chiemsee</t>
        </is>
      </c>
      <c r="I618" s="5" t="n">
        <v>45551</v>
      </c>
      <c r="J618" t="inlineStr">
        <is>
          <t>Sold</t>
        </is>
      </c>
      <c r="K618" s="6">
        <f>HYPERLINK("https://www.kleinanzeigen.de/s-anzeige/duotone-whip-d-lab-5-3-duotone-traction-pad-pro-2024-/2865276871-230-7563", "Link")</f>
        <v/>
      </c>
      <c r="L618" s="6">
        <f>HYPERLINK("C:\Projects\Kleinanzeigen-Scraper\offer_images\2865276871", "Link")</f>
        <v/>
      </c>
      <c r="M618" t="inlineStr">
        <is>
          <t>georg</t>
        </is>
      </c>
      <c r="N618" s="6">
        <f>HYPERLINK("https://www.kleinanzeigen.de/s-bestandsliste.html?userId=55654800", "Link")</f>
        <v/>
      </c>
      <c r="O618" s="7" t="n">
        <v>45555.55925925926</v>
      </c>
      <c r="P618" s="3" t="inlineStr">
        <is>
          <t>69.52</t>
        </is>
      </c>
      <c r="Q618" t="inlineStr">
        <is>
          <t>München</t>
        </is>
      </c>
    </row>
    <row r="619">
      <c r="A619" t="inlineStr">
        <is>
          <t>136 x 40 cm, 138 x 41 cm</t>
        </is>
      </c>
      <c r="B619" t="inlineStr">
        <is>
          <t>North Sails Atmos PRO</t>
        </is>
      </c>
      <c r="C619" t="inlineStr">
        <is>
          <t>Freeride</t>
        </is>
      </c>
      <c r="D619" s="3" t="inlineStr"/>
      <c r="E619" t="inlineStr">
        <is>
          <t>2024</t>
        </is>
      </c>
      <c r="F619" s="4" t="n">
        <v>899</v>
      </c>
      <c r="G619" t="inlineStr"/>
      <c r="H619" t="inlineStr">
        <is>
          <t>46569 Nordrhein-Westfalen - Hünxe</t>
        </is>
      </c>
      <c r="I619" s="5" t="n">
        <v>45554</v>
      </c>
      <c r="J619" t="inlineStr"/>
      <c r="K619" s="6">
        <f>HYPERLINK("https://www.kleinanzeigen.de/s-anzeige/north-sails-atmos-pro-tt-board-2024/2503983734-230-1383", "Link")</f>
        <v/>
      </c>
      <c r="L619" s="6">
        <f>HYPERLINK("C:\Projects\Kleinanzeigen-Scraper\offer_images\2503983734", "Link")</f>
        <v/>
      </c>
      <c r="M619" t="inlineStr">
        <is>
          <t>No user name</t>
        </is>
      </c>
      <c r="N619" s="6">
        <f>HYPERLINK("https://www.kleinanzeigen.deNo user link", "Link")</f>
        <v/>
      </c>
      <c r="O619" s="7" t="n">
        <v>45555.55923611111</v>
      </c>
      <c r="P619" s="3" t="inlineStr">
        <is>
          <t>78.61</t>
        </is>
      </c>
      <c r="Q619" t="inlineStr">
        <is>
          <t>Köln</t>
        </is>
      </c>
    </row>
    <row r="620">
      <c r="A620" t="inlineStr">
        <is>
          <t>233 cm x 63 cm</t>
        </is>
      </c>
      <c r="B620" t="inlineStr">
        <is>
          <t>JP Freestyle Wave ES</t>
        </is>
      </c>
      <c r="C620" t="inlineStr">
        <is>
          <t>Freestyle Wave</t>
        </is>
      </c>
      <c r="D620" s="3" t="n">
        <v>104</v>
      </c>
      <c r="E620" t="inlineStr">
        <is>
          <t>2023</t>
        </is>
      </c>
      <c r="F620" s="4" t="n">
        <v>950</v>
      </c>
      <c r="G620" t="inlineStr"/>
      <c r="H620" t="inlineStr">
        <is>
          <t>18528 Rügen - Zirkow</t>
        </is>
      </c>
      <c r="I620" s="5" t="n">
        <v>45551</v>
      </c>
      <c r="J620" t="inlineStr">
        <is>
          <t>Sold</t>
        </is>
      </c>
      <c r="K620" s="6">
        <f>HYPERLINK("https://www.kleinanzeigen.de/s-anzeige/-jp-windsurf-board-freestyle-wave-es-2023-104l-top-zustand-/2865553341-230-116", "Link")</f>
        <v/>
      </c>
      <c r="L620" s="6">
        <f>HYPERLINK("C:\Projects\Kleinanzeigen-Scraper\offer_images\2865553341", "Link")</f>
        <v/>
      </c>
      <c r="M620" t="inlineStr">
        <is>
          <t>Manfred</t>
        </is>
      </c>
      <c r="N620" s="6">
        <f>HYPERLINK("https://www.kleinanzeigen.de/s-bestandsliste.html?userId=47031965", "Link")</f>
        <v/>
      </c>
      <c r="O620" s="7" t="n">
        <v>45555.55918981481</v>
      </c>
      <c r="P620" s="3" t="inlineStr">
        <is>
          <t>582.28</t>
        </is>
      </c>
      <c r="Q620" t="inlineStr">
        <is>
          <t>Köln</t>
        </is>
      </c>
    </row>
    <row r="621">
      <c r="A621" t="inlineStr">
        <is>
          <t>136x39cm</t>
        </is>
      </c>
      <c r="B621" t="inlineStr">
        <is>
          <t>Duotone Soleil Concept Blue</t>
        </is>
      </c>
      <c r="C621" t="inlineStr"/>
      <c r="D621" s="3" t="inlineStr"/>
      <c r="E621" t="inlineStr">
        <is>
          <t>2024</t>
        </is>
      </c>
      <c r="F621" s="4" t="n">
        <v>610</v>
      </c>
      <c r="G621" t="inlineStr">
        <is>
          <t>VB</t>
        </is>
      </c>
      <c r="H621" t="inlineStr">
        <is>
          <t>21423 Niedersachsen - Winsen (Luhe)</t>
        </is>
      </c>
      <c r="I621" s="5" t="n">
        <v>45553</v>
      </c>
      <c r="J621" t="inlineStr">
        <is>
          <t>Sold</t>
        </is>
      </c>
      <c r="K621" s="6">
        <f>HYPERLINK("https://www.kleinanzeigen.de/s-anzeige/duotone-soleil-concept-blue-2024-136x39cm-inkl-ntt-s/2840923318-230-3223", "Link")</f>
        <v/>
      </c>
      <c r="L621" s="6">
        <f>HYPERLINK("C:\Projects\Kleinanzeigen-Scraper\offer_images\2840923318", "Link")</f>
        <v/>
      </c>
      <c r="M621" t="inlineStr">
        <is>
          <t>No user name</t>
        </is>
      </c>
      <c r="N621" s="6">
        <f>HYPERLINK("https://www.kleinanzeigen.deNo user link", "Link")</f>
        <v/>
      </c>
      <c r="O621" s="7" t="n">
        <v>45555.55914351852</v>
      </c>
      <c r="P621" s="3" t="inlineStr">
        <is>
          <t>349.14</t>
        </is>
      </c>
      <c r="Q621" t="inlineStr">
        <is>
          <t>Köln</t>
        </is>
      </c>
    </row>
    <row r="622">
      <c r="A622" t="inlineStr">
        <is>
          <t>L:234 x W:57.5</t>
        </is>
      </c>
      <c r="B622" t="inlineStr">
        <is>
          <t>Fanatic Newwave Twin TE</t>
        </is>
      </c>
      <c r="C622" t="inlineStr">
        <is>
          <t>Twinser</t>
        </is>
      </c>
      <c r="D622" s="3" t="n">
        <v>86</v>
      </c>
      <c r="E622" t="inlineStr"/>
      <c r="F622" s="4" t="n">
        <v>50</v>
      </c>
      <c r="G622" t="inlineStr"/>
      <c r="H622" t="inlineStr">
        <is>
          <t>23775 Kreis Ostholstein - Großenbrode</t>
        </is>
      </c>
      <c r="I622" s="5" t="n">
        <v>45550</v>
      </c>
      <c r="J622" t="inlineStr">
        <is>
          <t>Sold</t>
        </is>
      </c>
      <c r="K622" s="6">
        <f>HYPERLINK("https://www.kleinanzeigen.de/s-anzeige/windsurfboard-fanatic-newwave-twin-te-86l/2864567740-230-429", "Link")</f>
        <v/>
      </c>
      <c r="L622" s="6">
        <f>HYPERLINK("C:\Projects\Kleinanzeigen-Scraper\offer_images\2864567740", "Link")</f>
        <v/>
      </c>
      <c r="M622" t="inlineStr">
        <is>
          <t>Florian Wollmann</t>
        </is>
      </c>
      <c r="N622" s="6">
        <f>HYPERLINK("https://www.kleinanzeigen.de/s-bestandsliste.html?userId=5033803", "Link")</f>
        <v/>
      </c>
      <c r="O622" s="7" t="n">
        <v>45555.55909722222</v>
      </c>
      <c r="P622" s="3" t="inlineStr">
        <is>
          <t>471.97</t>
        </is>
      </c>
      <c r="Q622" t="inlineStr">
        <is>
          <t>Köln</t>
        </is>
      </c>
    </row>
    <row r="623">
      <c r="A623" t="inlineStr">
        <is>
          <t>245 cm x 70 cm</t>
        </is>
      </c>
      <c r="B623" t="inlineStr">
        <is>
          <t>Duotone Eagle</t>
        </is>
      </c>
      <c r="C623" t="inlineStr">
        <is>
          <t>Freeride</t>
        </is>
      </c>
      <c r="D623" s="3" t="n">
        <v>120</v>
      </c>
      <c r="E623" t="inlineStr">
        <is>
          <t>2024</t>
        </is>
      </c>
      <c r="F623" s="4" t="n">
        <v>750</v>
      </c>
      <c r="G623" t="inlineStr">
        <is>
          <t>VB</t>
        </is>
      </c>
      <c r="H623" t="inlineStr">
        <is>
          <t>25917 Schleswig-Holstein - Achtrup</t>
        </is>
      </c>
      <c r="I623" s="5" t="n">
        <v>45551</v>
      </c>
      <c r="J623" t="inlineStr">
        <is>
          <t>Sold</t>
        </is>
      </c>
      <c r="K623" s="6">
        <f>HYPERLINK("https://www.kleinanzeigen.de/s-anzeige/duotone-eagle-120l-aus-2024/2865514867-230-18118", "Link")</f>
        <v/>
      </c>
      <c r="L623" s="6">
        <f>HYPERLINK("C:\Projects\Kleinanzeigen-Scraper\offer_images\2865514867", "Link")</f>
        <v/>
      </c>
      <c r="M623" t="inlineStr">
        <is>
          <t>Bjørn</t>
        </is>
      </c>
      <c r="N623" s="6">
        <f>HYPERLINK("https://www.kleinanzeigen.de/s-bestandsliste.html?userId=10080735", "Link")</f>
        <v/>
      </c>
      <c r="O623" s="7" t="n">
        <v>45555.55895833333</v>
      </c>
      <c r="P623" s="3" t="inlineStr">
        <is>
          <t>447.80</t>
        </is>
      </c>
      <c r="Q623" t="inlineStr">
        <is>
          <t>Köln</t>
        </is>
      </c>
    </row>
    <row r="624">
      <c r="A624" t="inlineStr">
        <is>
          <t>280cm</t>
        </is>
      </c>
      <c r="B624" t="inlineStr">
        <is>
          <t>Fanatic Ultra Rat</t>
        </is>
      </c>
      <c r="C624" t="inlineStr"/>
      <c r="D624" s="3" t="n">
        <v>105</v>
      </c>
      <c r="E624" t="inlineStr"/>
      <c r="F624" s="4" t="n">
        <v>70</v>
      </c>
      <c r="G624" t="inlineStr"/>
      <c r="H624" t="inlineStr">
        <is>
          <t>12527 Berlin - Köpenick</t>
        </is>
      </c>
      <c r="I624" s="5" t="n">
        <v>45552</v>
      </c>
      <c r="J624" t="inlineStr">
        <is>
          <t>Sold</t>
        </is>
      </c>
      <c r="K624" s="6">
        <f>HYPERLINK("https://www.kleinanzeigen.de/s-anzeige/105-l-fanatic-ultra-rat-surfbrett-surfmaterial-surfausruestung/2866215953-230-3370", "Link")</f>
        <v/>
      </c>
      <c r="L624" s="6">
        <f>HYPERLINK("C:\Projects\Kleinanzeigen-Scraper\offer_images\2866215953", "Link")</f>
        <v/>
      </c>
      <c r="M624" t="inlineStr">
        <is>
          <t>ste</t>
        </is>
      </c>
      <c r="N624" s="6">
        <f>HYPERLINK("https://www.kleinanzeigen.de/s-bestandsliste.html?userId=27311742", "Link")</f>
        <v/>
      </c>
      <c r="O624" s="7" t="n">
        <v>45555.5587962963</v>
      </c>
      <c r="P624" s="3" t="inlineStr">
        <is>
          <t>487.71</t>
        </is>
      </c>
      <c r="Q624" t="inlineStr">
        <is>
          <t>Köln</t>
        </is>
      </c>
    </row>
    <row r="625">
      <c r="A625" t="inlineStr">
        <is>
          <t>277 cm x 56 cm</t>
        </is>
      </c>
      <c r="B625" t="inlineStr">
        <is>
          <t>Mistral</t>
        </is>
      </c>
      <c r="C625" t="inlineStr"/>
      <c r="D625" s="3" t="n">
        <v>103</v>
      </c>
      <c r="E625" t="inlineStr"/>
      <c r="F625" s="4" t="n">
        <v>100</v>
      </c>
      <c r="G625" t="inlineStr"/>
      <c r="H625" t="inlineStr">
        <is>
          <t>45659 Nordrhein-Westfalen - Recklinghausen</t>
        </is>
      </c>
      <c r="I625" s="5" t="n">
        <v>45554</v>
      </c>
      <c r="J625" t="inlineStr"/>
      <c r="K625" s="6">
        <f>HYPERLINK("https://www.kleinanzeigen.de/s-anzeige/surfboard-windsurfen/2867898259-230-1988", "Link")</f>
        <v/>
      </c>
      <c r="L625" s="6">
        <f>HYPERLINK("C:\Projects\Kleinanzeigen-Scraper\offer_images\2867898259", "Link")</f>
        <v/>
      </c>
      <c r="M625" t="inlineStr">
        <is>
          <t>Chris</t>
        </is>
      </c>
      <c r="N625" s="6">
        <f>HYPERLINK("https://www.kleinanzeigen.de/s-bestandsliste.html?userId=123570975", "Link")</f>
        <v/>
      </c>
      <c r="O625" s="7" t="n">
        <v>45555.5587962963</v>
      </c>
      <c r="P625" s="3" t="inlineStr">
        <is>
          <t>79.38</t>
        </is>
      </c>
      <c r="Q625" t="inlineStr">
        <is>
          <t>Köln</t>
        </is>
      </c>
    </row>
    <row r="626">
      <c r="A626" t="inlineStr">
        <is>
          <t>260</t>
        </is>
      </c>
      <c r="B626" t="inlineStr">
        <is>
          <t>Fanatic</t>
        </is>
      </c>
      <c r="C626" t="inlineStr"/>
      <c r="D626" s="3" t="inlineStr"/>
      <c r="E626" t="inlineStr"/>
      <c r="F626" s="4" t="inlineStr">
        <is>
          <t>Zu verschenken</t>
        </is>
      </c>
      <c r="G626" t="inlineStr"/>
      <c r="H626" t="inlineStr">
        <is>
          <t>49326 Niedersachsen - Melle</t>
        </is>
      </c>
      <c r="I626" s="5" t="n">
        <v>45552</v>
      </c>
      <c r="J626" t="inlineStr">
        <is>
          <t>Sold</t>
        </is>
      </c>
      <c r="K626" s="6">
        <f>HYPERLINK("https://www.kleinanzeigen.de/s-anzeige/surfbrett-fanatic-260/2866381015-230-2553", "Link")</f>
        <v/>
      </c>
      <c r="L626" s="6">
        <f>HYPERLINK("C:\Projects\Kleinanzeigen-Scraper\offer_images\2866381015", "Link")</f>
        <v/>
      </c>
      <c r="M626" t="inlineStr">
        <is>
          <t>A. Krämer</t>
        </is>
      </c>
      <c r="N626" s="6">
        <f>HYPERLINK("https://www.kleinanzeigen.de/s-bestandsliste.html?userId=35168633", "Link")</f>
        <v/>
      </c>
      <c r="O626" s="7" t="n">
        <v>45555.55869212963</v>
      </c>
      <c r="P626" s="3" t="inlineStr">
        <is>
          <t>164.24</t>
        </is>
      </c>
      <c r="Q626" t="inlineStr">
        <is>
          <t>Köln</t>
        </is>
      </c>
    </row>
    <row r="627">
      <c r="A627" t="inlineStr"/>
      <c r="B627" t="inlineStr">
        <is>
          <t>Fanatic Viper</t>
        </is>
      </c>
      <c r="C627" t="inlineStr">
        <is>
          <t>Freeride</t>
        </is>
      </c>
      <c r="D627" s="3" t="n">
        <v>80</v>
      </c>
      <c r="E627" t="inlineStr"/>
      <c r="F627" s="4" t="n">
        <v>199</v>
      </c>
      <c r="G627" t="inlineStr">
        <is>
          <t>VB</t>
        </is>
      </c>
      <c r="H627" t="inlineStr">
        <is>
          <t>18211 Bad Doberan - Landkreis - Bargeshagen</t>
        </is>
      </c>
      <c r="I627" s="5" t="n">
        <v>45551</v>
      </c>
      <c r="J627" t="inlineStr">
        <is>
          <t>Sold</t>
        </is>
      </c>
      <c r="K627" s="6">
        <f>HYPERLINK("https://www.kleinanzeigen.de/s-anzeige/surfboard-fanatic/2865239428-230-16583", "Link")</f>
        <v/>
      </c>
      <c r="L627" s="6">
        <f>HYPERLINK("C:\Projects\Kleinanzeigen-Scraper\offer_images\2865239428", "Link")</f>
        <v/>
      </c>
      <c r="M627" t="inlineStr">
        <is>
          <t>Rüchel</t>
        </is>
      </c>
      <c r="N627" s="6">
        <f>HYPERLINK("https://www.kleinanzeigen.de/s-bestandsliste.html?userId=51374637", "Link")</f>
        <v/>
      </c>
      <c r="O627" s="7" t="n">
        <v>45555.55866898148</v>
      </c>
      <c r="P627" s="3" t="inlineStr">
        <is>
          <t>490.50</t>
        </is>
      </c>
      <c r="Q627" t="inlineStr">
        <is>
          <t>Köln</t>
        </is>
      </c>
    </row>
    <row r="628">
      <c r="A628" t="inlineStr">
        <is>
          <t>5'4"</t>
        </is>
      </c>
      <c r="B628" t="inlineStr">
        <is>
          <t>Duotone Volt SLS</t>
        </is>
      </c>
      <c r="C628" t="inlineStr"/>
      <c r="D628" s="3" t="inlineStr"/>
      <c r="E628" t="inlineStr">
        <is>
          <t>2024</t>
        </is>
      </c>
      <c r="F628" s="4" t="n">
        <v>850</v>
      </c>
      <c r="G628" t="inlineStr">
        <is>
          <t>VB</t>
        </is>
      </c>
      <c r="H628" t="inlineStr">
        <is>
          <t>24229 Schleswig-Holstein - Schwedeneck</t>
        </is>
      </c>
      <c r="I628" s="5" t="n">
        <v>45553</v>
      </c>
      <c r="J628" t="inlineStr">
        <is>
          <t>Sold</t>
        </is>
      </c>
      <c r="K628" s="6">
        <f>HYPERLINK("https://www.kleinanzeigen.de/s-anzeige/duotone-volt-sls-5-4-neu-2024/2867315099-230-17470", "Link")</f>
        <v/>
      </c>
      <c r="L628" s="6">
        <f>HYPERLINK("C:\Projects\Kleinanzeigen-Scraper\offer_images\2867315099", "Link")</f>
        <v/>
      </c>
      <c r="M628" t="inlineStr">
        <is>
          <t>Bernd</t>
        </is>
      </c>
      <c r="N628" s="6">
        <f>HYPERLINK("https://www.kleinanzeigen.de/s-bestandsliste.html?userId=7833787", "Link")</f>
        <v/>
      </c>
      <c r="O628" s="7" t="n">
        <v>45555.55864583333</v>
      </c>
      <c r="P628" s="3" t="inlineStr">
        <is>
          <t>445.58</t>
        </is>
      </c>
      <c r="Q628" t="inlineStr">
        <is>
          <t>Köln</t>
        </is>
      </c>
    </row>
    <row r="629">
      <c r="A629" t="inlineStr">
        <is>
          <t>250 cm</t>
        </is>
      </c>
      <c r="B629" t="inlineStr">
        <is>
          <t>Naish Supercross</t>
        </is>
      </c>
      <c r="C629" t="inlineStr"/>
      <c r="D629" s="3" t="n">
        <v>85</v>
      </c>
      <c r="E629" t="inlineStr"/>
      <c r="F629" s="4" t="n">
        <v>70</v>
      </c>
      <c r="G629" t="inlineStr">
        <is>
          <t>VB</t>
        </is>
      </c>
      <c r="H629" t="inlineStr">
        <is>
          <t>23730 Kreis Ostholstein - Neustadt in Holstein</t>
        </is>
      </c>
      <c r="I629" s="5" t="n">
        <v>45553</v>
      </c>
      <c r="J629" t="inlineStr">
        <is>
          <t>Sold</t>
        </is>
      </c>
      <c r="K629" s="6">
        <f>HYPERLINK("https://www.kleinanzeigen.de/s-anzeige/surfboard-naish-supercross-250/2866871754-230-13579", "Link")</f>
        <v/>
      </c>
      <c r="L629" s="6">
        <f>HYPERLINK("C:\Projects\Kleinanzeigen-Scraper\offer_images\2866871754", "Link")</f>
        <v/>
      </c>
      <c r="M629" t="inlineStr">
        <is>
          <t>Frank</t>
        </is>
      </c>
      <c r="N629" s="6">
        <f>HYPERLINK("https://www.kleinanzeigen.de/s-bestandsliste.html?userId=24834991", "Link")</f>
        <v/>
      </c>
      <c r="O629" s="7" t="n">
        <v>45555.55861111111</v>
      </c>
      <c r="P629" s="3" t="inlineStr">
        <is>
          <t>441.08</t>
        </is>
      </c>
      <c r="Q629" t="inlineStr">
        <is>
          <t>Köln</t>
        </is>
      </c>
    </row>
    <row r="630">
      <c r="A630" t="inlineStr">
        <is>
          <t>14 x 25</t>
        </is>
      </c>
      <c r="B630" t="inlineStr">
        <is>
          <t>Starboard</t>
        </is>
      </c>
      <c r="C630" t="inlineStr"/>
      <c r="D630" s="3" t="inlineStr"/>
      <c r="E630" t="inlineStr"/>
      <c r="F630" s="4" t="n">
        <v>670</v>
      </c>
      <c r="G630" t="inlineStr"/>
      <c r="H630" t="inlineStr">
        <is>
          <t>98544 Thüringen - Zella-Mehlis</t>
        </is>
      </c>
      <c r="I630" s="5" t="n">
        <v>45461</v>
      </c>
      <c r="J630" t="inlineStr"/>
      <c r="K630" s="6">
        <f>HYPERLINK("https://www.kleinanzeigen.de/s-anzeige/sup-starboard-hardboard-board/2791710254-230-3731", "Link")</f>
        <v/>
      </c>
      <c r="L630" s="6">
        <f>HYPERLINK("C:\Projects\Kleinanzeigen-Scraper\offer_images\2791710254", "Link")</f>
        <v/>
      </c>
      <c r="M630" t="inlineStr">
        <is>
          <t>KL</t>
        </is>
      </c>
      <c r="N630" s="6">
        <f>HYPERLINK("https://www.kleinanzeigen.de/s-bestandsliste.html?userId=134760434", "Link")</f>
        <v/>
      </c>
      <c r="O630" s="7" t="n">
        <v>45555.55850694444</v>
      </c>
      <c r="P630" s="3" t="inlineStr">
        <is>
          <t>245.62</t>
        </is>
      </c>
      <c r="Q630" t="inlineStr">
        <is>
          <t>Karlsruhe</t>
        </is>
      </c>
    </row>
    <row r="631">
      <c r="A631" t="inlineStr">
        <is>
          <t>142x43 cm</t>
        </is>
      </c>
      <c r="B631" t="inlineStr">
        <is>
          <t>Duotone Jaime</t>
        </is>
      </c>
      <c r="C631" t="inlineStr"/>
      <c r="D631" s="3" t="inlineStr"/>
      <c r="E631" t="inlineStr">
        <is>
          <t>2024</t>
        </is>
      </c>
      <c r="F631" s="4" t="n">
        <v>770</v>
      </c>
      <c r="G631" t="inlineStr">
        <is>
          <t>VB</t>
        </is>
      </c>
      <c r="H631" t="inlineStr">
        <is>
          <t>21423 Niedersachsen - Winsen (Luhe)</t>
        </is>
      </c>
      <c r="I631" s="5" t="n">
        <v>45553</v>
      </c>
      <c r="J631" t="inlineStr">
        <is>
          <t>Sold</t>
        </is>
      </c>
      <c r="K631" s="6">
        <f>HYPERLINK("https://www.kleinanzeigen.de/s-anzeige/duotone-jaime-2024-142x43cm-inkl-ntt-l/2840921149-230-3223", "Link")</f>
        <v/>
      </c>
      <c r="L631" s="6">
        <f>HYPERLINK("C:\Projects\Kleinanzeigen-Scraper\offer_images\2840921149", "Link")</f>
        <v/>
      </c>
      <c r="M631" t="inlineStr">
        <is>
          <t>No user name</t>
        </is>
      </c>
      <c r="N631" s="6">
        <f>HYPERLINK("https://www.kleinanzeigen.deNo user link", "Link")</f>
        <v/>
      </c>
      <c r="O631" s="7" t="n">
        <v>45555.55846064815</v>
      </c>
      <c r="P631" s="3" t="inlineStr">
        <is>
          <t>349.14</t>
        </is>
      </c>
      <c r="Q631" t="inlineStr">
        <is>
          <t>Köln</t>
        </is>
      </c>
    </row>
    <row r="632">
      <c r="A632" t="inlineStr">
        <is>
          <t>5.1</t>
        </is>
      </c>
      <c r="B632" t="inlineStr">
        <is>
          <t>Duotone Sky Style Team Edition</t>
        </is>
      </c>
      <c r="C632" t="inlineStr"/>
      <c r="D632" s="3" t="inlineStr"/>
      <c r="E632" t="inlineStr">
        <is>
          <t>2023</t>
        </is>
      </c>
      <c r="F632" s="4" t="n">
        <v>790</v>
      </c>
      <c r="G632" t="inlineStr">
        <is>
          <t>VB</t>
        </is>
      </c>
      <c r="H632" t="inlineStr">
        <is>
          <t>22763 Altona - Hamburg Ottensen</t>
        </is>
      </c>
      <c r="I632" s="5" t="n">
        <v>45553</v>
      </c>
      <c r="J632" t="inlineStr">
        <is>
          <t>Sold</t>
        </is>
      </c>
      <c r="K632" s="6">
        <f>HYPERLINK("https://www.kleinanzeigen.de/s-anzeige/duotone-sky-style-team-edition-5-1/2867610178-230-9505", "Link")</f>
        <v/>
      </c>
      <c r="L632" s="6">
        <f>HYPERLINK("C:\Projects\Kleinanzeigen-Scraper\offer_images\2867610178", "Link")</f>
        <v/>
      </c>
      <c r="M632" t="inlineStr">
        <is>
          <t>Stendel</t>
        </is>
      </c>
      <c r="N632" s="6">
        <f>HYPERLINK("https://www.kleinanzeigen.de/s-bestandsliste.html?userId=19058327", "Link")</f>
        <v/>
      </c>
      <c r="O632" s="7" t="n">
        <v>45555.55846064815</v>
      </c>
      <c r="P632" s="3" t="inlineStr">
        <is>
          <t>354.04</t>
        </is>
      </c>
      <c r="Q632" t="inlineStr">
        <is>
          <t>Köln</t>
        </is>
      </c>
    </row>
    <row r="633">
      <c r="A633" t="inlineStr">
        <is>
          <t>5.3</t>
        </is>
      </c>
      <c r="B633" t="inlineStr">
        <is>
          <t>Duotone Whip DLAB</t>
        </is>
      </c>
      <c r="C633" t="inlineStr">
        <is>
          <t>Freestyle</t>
        </is>
      </c>
      <c r="D633" s="3" t="inlineStr"/>
      <c r="E633" t="inlineStr">
        <is>
          <t>2022</t>
        </is>
      </c>
      <c r="F633" s="4" t="n">
        <v>499</v>
      </c>
      <c r="G633" t="inlineStr"/>
      <c r="H633" t="inlineStr">
        <is>
          <t>88090 Baden-Württemberg - Immenstaad</t>
        </is>
      </c>
      <c r="I633" s="5" t="n">
        <v>45555</v>
      </c>
      <c r="J633" t="inlineStr">
        <is>
          <t>Sold</t>
        </is>
      </c>
      <c r="K633" s="6">
        <f>HYPERLINK("https://www.kleinanzeigen.de/s-anzeige/duotone-whip-5-3-dlab-2022-mit-tasche/2868524740-230-9216", "Link")</f>
        <v/>
      </c>
      <c r="L633" s="6">
        <f>HYPERLINK("C:\Projects\Kleinanzeigen-Scraper\offer_images\2868524740", "Link")</f>
        <v/>
      </c>
      <c r="M633" t="inlineStr">
        <is>
          <t>Stefan von der Nüll</t>
        </is>
      </c>
      <c r="N633" s="6">
        <f>HYPERLINK("https://www.kleinanzeigen.de/s-bestandsliste.html?userId=9767526", "Link")</f>
        <v/>
      </c>
      <c r="O633" s="7" t="n">
        <v>45555.55842592593</v>
      </c>
      <c r="P633" s="3" t="inlineStr">
        <is>
          <t>78.43</t>
        </is>
      </c>
      <c r="Q633" t="inlineStr">
        <is>
          <t>Bonndorf</t>
        </is>
      </c>
    </row>
    <row r="634">
      <c r="A634" t="inlineStr">
        <is>
          <t>8'2</t>
        </is>
      </c>
      <c r="B634" t="inlineStr">
        <is>
          <t>AHD Maui Force</t>
        </is>
      </c>
      <c r="C634" t="inlineStr">
        <is>
          <t>Wave</t>
        </is>
      </c>
      <c r="D634" s="3" t="n">
        <v>76</v>
      </c>
      <c r="E634" t="inlineStr"/>
      <c r="F634" s="4" t="n">
        <v>49</v>
      </c>
      <c r="G634" t="inlineStr"/>
      <c r="H634" t="inlineStr">
        <is>
          <t>13357 Mitte - Wedding</t>
        </is>
      </c>
      <c r="I634" s="5" t="n">
        <v>45551</v>
      </c>
      <c r="J634" t="inlineStr">
        <is>
          <t>Sold</t>
        </is>
      </c>
      <c r="K634" s="6">
        <f>HYPERLINK("https://www.kleinanzeigen.de/s-anzeige/ahd-maui-force-8-2-76-liter-windsurf-waveboard/2865645102-230-3506", "Link")</f>
        <v/>
      </c>
      <c r="L634" s="6">
        <f>HYPERLINK("C:\Projects\Kleinanzeigen-Scraper\offer_images\2865645102", "Link")</f>
        <v/>
      </c>
      <c r="M634" t="inlineStr">
        <is>
          <t>Johannes</t>
        </is>
      </c>
      <c r="N634" s="6">
        <f>HYPERLINK("https://www.kleinanzeigen.de/s-bestandsliste.html?userId=39049826", "Link")</f>
        <v/>
      </c>
      <c r="O634" s="7" t="n">
        <v>45555.55833333333</v>
      </c>
      <c r="P634" s="3" t="inlineStr">
        <is>
          <t>477.06</t>
        </is>
      </c>
      <c r="Q634" t="inlineStr">
        <is>
          <t>Köln</t>
        </is>
      </c>
    </row>
    <row r="635">
      <c r="A635" t="inlineStr"/>
      <c r="B635" t="inlineStr">
        <is>
          <t>Tabou Rocket</t>
        </is>
      </c>
      <c r="C635" t="inlineStr">
        <is>
          <t>Freeride</t>
        </is>
      </c>
      <c r="D635" s="3" t="inlineStr"/>
      <c r="E635" t="inlineStr"/>
      <c r="F635" s="4" t="n">
        <v>880</v>
      </c>
      <c r="G635" t="inlineStr">
        <is>
          <t>VB</t>
        </is>
      </c>
      <c r="H635" t="inlineStr">
        <is>
          <t>87437 Bayern - Kempten</t>
        </is>
      </c>
      <c r="I635" s="5" t="n">
        <v>45551</v>
      </c>
      <c r="J635" t="inlineStr">
        <is>
          <t>Sold</t>
        </is>
      </c>
      <c r="K635" s="6">
        <f>HYPERLINK("https://www.kleinanzeigen.de/s-anzeige/tabu-rocket-windsurf-board-leichtbau/2865848976-230-7620", "Link")</f>
        <v/>
      </c>
      <c r="L635" s="6">
        <f>HYPERLINK("C:\Projects\Kleinanzeigen-Scraper\offer_images\2865848976", "Link")</f>
        <v/>
      </c>
      <c r="M635" t="inlineStr">
        <is>
          <t>kiefert petra</t>
        </is>
      </c>
      <c r="N635" s="6">
        <f>HYPERLINK("https://www.kleinanzeigen.de/s-bestandsliste.html?userId=74090294", "Link")</f>
        <v/>
      </c>
      <c r="O635" s="7" t="n">
        <v>45555.55831018519</v>
      </c>
      <c r="P635" s="3" t="inlineStr">
        <is>
          <t>101.34</t>
        </is>
      </c>
      <c r="Q635" t="inlineStr">
        <is>
          <t>München</t>
        </is>
      </c>
    </row>
    <row r="636">
      <c r="A636" t="inlineStr">
        <is>
          <t>229 x 58.5</t>
        </is>
      </c>
      <c r="B636" t="inlineStr">
        <is>
          <t>Starboard Kode 83 Carbon Wave Edition</t>
        </is>
      </c>
      <c r="C636" t="inlineStr">
        <is>
          <t>Wave</t>
        </is>
      </c>
      <c r="D636" s="3" t="inlineStr"/>
      <c r="E636" t="inlineStr"/>
      <c r="F636" s="4" t="n">
        <v>440</v>
      </c>
      <c r="G636" t="inlineStr">
        <is>
          <t>VB</t>
        </is>
      </c>
      <c r="H636" t="inlineStr">
        <is>
          <t>18057 Rostock - Kröpeliner-Tor-Vorstadt</t>
        </is>
      </c>
      <c r="I636" s="5" t="n">
        <v>45553</v>
      </c>
      <c r="J636" t="inlineStr"/>
      <c r="K636" s="6">
        <f>HYPERLINK("https://www.kleinanzeigen.de/s-anzeige/starboard-kode-83-carbon-wave-edition/2867107553-230-156", "Link")</f>
        <v/>
      </c>
      <c r="L636" s="6">
        <f>HYPERLINK("C:\Projects\Kleinanzeigen-Scraper\offer_images\2867107553", "Link")</f>
        <v/>
      </c>
      <c r="M636" t="inlineStr">
        <is>
          <t>Marko</t>
        </is>
      </c>
      <c r="N636" s="6">
        <f>HYPERLINK("https://www.kleinanzeigen.de/s-bestandsliste.html?userId=67116264", "Link")</f>
        <v/>
      </c>
      <c r="O636" s="7" t="n">
        <v>45555.5580787037</v>
      </c>
      <c r="P636" s="3" t="inlineStr">
        <is>
          <t>494.07</t>
        </is>
      </c>
      <c r="Q636" t="inlineStr">
        <is>
          <t>Köln</t>
        </is>
      </c>
    </row>
    <row r="637">
      <c r="A637" t="inlineStr">
        <is>
          <t>236x68</t>
        </is>
      </c>
      <c r="B637" t="inlineStr">
        <is>
          <t>Goya X1 Airseries</t>
        </is>
      </c>
      <c r="C637" t="inlineStr">
        <is>
          <t>Freestyle Wave</t>
        </is>
      </c>
      <c r="D637" s="3" t="n">
        <v>115</v>
      </c>
      <c r="E637" t="inlineStr"/>
      <c r="F637" s="4" t="n">
        <v>350</v>
      </c>
      <c r="G637" t="inlineStr"/>
      <c r="H637" t="inlineStr">
        <is>
          <t>24306 Schleswig-Holstein - Plön</t>
        </is>
      </c>
      <c r="I637" s="5" t="n">
        <v>45555</v>
      </c>
      <c r="J637" t="inlineStr"/>
      <c r="K637" s="6">
        <f>HYPERLINK("https://www.kleinanzeigen.de/s-anzeige/goya-x1-airseries-115l-freestyle-wave-windsurf-board/2868734551-230-13384", "Link")</f>
        <v/>
      </c>
      <c r="L637" s="6">
        <f>HYPERLINK("C:\Projects\Kleinanzeigen-Scraper\offer_images\2868734551", "Link")</f>
        <v/>
      </c>
      <c r="M637" t="inlineStr">
        <is>
          <t>Andy Save Seller</t>
        </is>
      </c>
      <c r="N637" s="6">
        <f>HYPERLINK("https://www.kleinanzeigen.de/s-bestandsliste.html?userId=6132138", "Link")</f>
        <v/>
      </c>
      <c r="O637" s="7" t="n">
        <v>45555.55800925926</v>
      </c>
      <c r="P637" s="3" t="inlineStr">
        <is>
          <t>429.16</t>
        </is>
      </c>
      <c r="Q637" t="inlineStr">
        <is>
          <t>Köln</t>
        </is>
      </c>
    </row>
    <row r="638">
      <c r="A638" t="inlineStr"/>
      <c r="B638" t="inlineStr">
        <is>
          <t>Starboard Windfoil</t>
        </is>
      </c>
      <c r="C638" t="inlineStr">
        <is>
          <t>Foil</t>
        </is>
      </c>
      <c r="D638" s="3" t="n">
        <v>122</v>
      </c>
      <c r="E638" t="inlineStr"/>
      <c r="F638" s="4" t="n">
        <v>575</v>
      </c>
      <c r="G638" t="inlineStr"/>
      <c r="H638" t="inlineStr">
        <is>
          <t>06120 Sachsen-Anhalt - Lieskau</t>
        </is>
      </c>
      <c r="I638" s="5" t="n">
        <v>45441</v>
      </c>
      <c r="J638" t="inlineStr"/>
      <c r="K638" s="6">
        <f>HYPERLINK("https://www.kleinanzeigen.de/s-anzeige/starboard-windfoil-board-122-liter-wie-neu-/2511887365-230-2426", "Link")</f>
        <v/>
      </c>
      <c r="L638" s="6">
        <f>HYPERLINK("C:\Projects\Kleinanzeigen-Scraper\offer_images\2511887365", "Link")</f>
        <v/>
      </c>
      <c r="M638" t="inlineStr">
        <is>
          <t>Pit</t>
        </is>
      </c>
      <c r="N638" s="6">
        <f>HYPERLINK("https://www.kleinanzeigen.de/s-bestandsliste.html?userId=20569200", "Link")</f>
        <v/>
      </c>
      <c r="O638" s="7" t="n">
        <v>45555.5579050926</v>
      </c>
      <c r="P638" s="3" t="inlineStr">
        <is>
          <t>350.29</t>
        </is>
      </c>
      <c r="Q638" t="inlineStr">
        <is>
          <t>Köln</t>
        </is>
      </c>
    </row>
    <row r="639">
      <c r="A639" t="inlineStr"/>
      <c r="B639" t="inlineStr">
        <is>
          <t>Fanatic Skate</t>
        </is>
      </c>
      <c r="C639" t="inlineStr">
        <is>
          <t>Freestyle</t>
        </is>
      </c>
      <c r="D639" s="3" t="n">
        <v>108</v>
      </c>
      <c r="E639" t="inlineStr"/>
      <c r="F639" s="4" t="n">
        <v>720</v>
      </c>
      <c r="G639" t="inlineStr"/>
      <c r="H639" t="inlineStr">
        <is>
          <t>10437 Pankow - Prenzlauer Berg</t>
        </is>
      </c>
      <c r="I639" s="5" t="n">
        <v>45554</v>
      </c>
      <c r="J639" t="inlineStr"/>
      <c r="K639" s="6">
        <f>HYPERLINK("https://www.kleinanzeigen.de/s-anzeige/windsurf-freestyle-board-fanatic-skate-108-ltr/2868053248-230-3491", "Link")</f>
        <v/>
      </c>
      <c r="L639" s="6">
        <f>HYPERLINK("C:\Projects\Kleinanzeigen-Scraper\offer_images\2868053248", "Link")</f>
        <v/>
      </c>
      <c r="M639" t="inlineStr">
        <is>
          <t>Georg</t>
        </is>
      </c>
      <c r="N639" s="6">
        <f>HYPERLINK("https://www.kleinanzeigen.de/s-bestandsliste.html?userId=4724622", "Link")</f>
        <v/>
      </c>
      <c r="O639" s="7" t="n">
        <v>45555.55788194444</v>
      </c>
      <c r="P639" s="3" t="inlineStr">
        <is>
          <t>478.70</t>
        </is>
      </c>
      <c r="Q639" t="inlineStr">
        <is>
          <t>Köln</t>
        </is>
      </c>
    </row>
    <row r="640">
      <c r="A640" t="inlineStr">
        <is>
          <t>11'6 x 29</t>
        </is>
      </c>
      <c r="B640" t="inlineStr">
        <is>
          <t>Starboard</t>
        </is>
      </c>
      <c r="C640" t="inlineStr">
        <is>
          <t>Touring</t>
        </is>
      </c>
      <c r="D640" s="3" t="n">
        <v>236</v>
      </c>
      <c r="E640" t="inlineStr"/>
      <c r="F640" s="4" t="n">
        <v>555</v>
      </c>
      <c r="G640" t="inlineStr">
        <is>
          <t>VB</t>
        </is>
      </c>
      <c r="H640" t="inlineStr">
        <is>
          <t>76534 Baden-Württemberg - Baden-Baden</t>
        </is>
      </c>
      <c r="I640" s="5" t="n">
        <v>45441</v>
      </c>
      <c r="J640" t="inlineStr"/>
      <c r="K640" s="6">
        <f>HYPERLINK("https://www.kleinanzeigen.de/s-anzeige/starboard-touring-sup-board/2774490759-230-9047", "Link")</f>
        <v/>
      </c>
      <c r="L640" s="6">
        <f>HYPERLINK("C:\Projects\Kleinanzeigen-Scraper\offer_images\2774490759", "Link")</f>
        <v/>
      </c>
      <c r="M640" t="inlineStr">
        <is>
          <t>Birgit Schmitz</t>
        </is>
      </c>
      <c r="N640" s="6">
        <f>HYPERLINK("https://www.kleinanzeigen.de/s-bestandsliste.html?userId=18117946", "Link")</f>
        <v/>
      </c>
      <c r="O640" s="7" t="n">
        <v>45555.5578125</v>
      </c>
      <c r="P640" s="3" t="inlineStr">
        <is>
          <t>34.26</t>
        </is>
      </c>
      <c r="Q640" t="inlineStr">
        <is>
          <t>Karlsruhe</t>
        </is>
      </c>
    </row>
    <row r="641">
      <c r="A641" t="inlineStr">
        <is>
          <t>14 x 24.5</t>
        </is>
      </c>
      <c r="B641" t="inlineStr">
        <is>
          <t>Starboard Allstar</t>
        </is>
      </c>
      <c r="C641" t="inlineStr">
        <is>
          <t>Race</t>
        </is>
      </c>
      <c r="D641" s="3" t="inlineStr"/>
      <c r="E641" t="inlineStr">
        <is>
          <t>2022</t>
        </is>
      </c>
      <c r="F641" s="4" t="n">
        <v>1.65</v>
      </c>
      <c r="G641" t="inlineStr">
        <is>
          <t>VB</t>
        </is>
      </c>
      <c r="H641" t="inlineStr">
        <is>
          <t>24340 Schleswig-Holstein - Eckernförde</t>
        </is>
      </c>
      <c r="I641" s="5" t="n">
        <v>45553</v>
      </c>
      <c r="J641" t="inlineStr"/>
      <c r="K641" s="6">
        <f>HYPERLINK("https://www.kleinanzeigen.de/s-anzeige/starboard-allstar-carbon-sandwich-14-x-24-5-modell-2022/2866950965-230-13234", "Link")</f>
        <v/>
      </c>
      <c r="L641" s="6">
        <f>HYPERLINK("C:\Projects\Kleinanzeigen-Scraper\offer_images\2866950965", "Link")</f>
        <v/>
      </c>
      <c r="M641" t="inlineStr">
        <is>
          <t>Tanja Miranda</t>
        </is>
      </c>
      <c r="N641" s="6">
        <f>HYPERLINK("https://www.kleinanzeigen.de/s-bestandsliste.html?userId=77431213", "Link")</f>
        <v/>
      </c>
      <c r="O641" s="7" t="n">
        <v>45555.55777777778</v>
      </c>
      <c r="P641" s="3" t="inlineStr">
        <is>
          <t>434.69</t>
        </is>
      </c>
      <c r="Q641" t="inlineStr">
        <is>
          <t>Köln</t>
        </is>
      </c>
    </row>
    <row r="642">
      <c r="A642" t="inlineStr">
        <is>
          <t>14'0" x 28"</t>
        </is>
      </c>
      <c r="B642" t="inlineStr">
        <is>
          <t>Starboard Waterline</t>
        </is>
      </c>
      <c r="C642" t="inlineStr">
        <is>
          <t>Touring</t>
        </is>
      </c>
      <c r="D642" s="3" t="n">
        <v>259</v>
      </c>
      <c r="E642" t="inlineStr">
        <is>
          <t>2020</t>
        </is>
      </c>
      <c r="F642" s="4" t="n">
        <v>900</v>
      </c>
      <c r="G642" t="inlineStr"/>
      <c r="H642" t="inlineStr">
        <is>
          <t>40235 Düsseldorf - Grafenberg</t>
        </is>
      </c>
      <c r="I642" s="5" t="n">
        <v>45450</v>
      </c>
      <c r="J642" t="inlineStr"/>
      <c r="K642" s="6">
        <f>HYPERLINK("https://www.kleinanzeigen.de/s-anzeige/sup-board-starboard-waterline-14-0-x-28-2020-modell/2782226249-230-16745", "Link")</f>
        <v/>
      </c>
      <c r="L642" s="6">
        <f>HYPERLINK("C:\Projects\Kleinanzeigen-Scraper\offer_images\2782226249", "Link")</f>
        <v/>
      </c>
      <c r="M642" t="inlineStr">
        <is>
          <t>Almute Kraus</t>
        </is>
      </c>
      <c r="N642" s="6">
        <f>HYPERLINK("https://www.kleinanzeigen.de/s-bestandsliste.html?userId=1973069", "Link")</f>
        <v/>
      </c>
      <c r="O642" s="7" t="n">
        <v>45555.55775462963</v>
      </c>
      <c r="P642" s="3" t="inlineStr">
        <is>
          <t>33.51</t>
        </is>
      </c>
      <c r="Q642" t="inlineStr">
        <is>
          <t>Köln</t>
        </is>
      </c>
    </row>
    <row r="643">
      <c r="A643" t="inlineStr">
        <is>
          <t>239 cm x 59 cm</t>
        </is>
      </c>
      <c r="B643" t="inlineStr">
        <is>
          <t>Exocet Cross</t>
        </is>
      </c>
      <c r="C643" t="inlineStr">
        <is>
          <t>Freeride</t>
        </is>
      </c>
      <c r="D643" s="3" t="n">
        <v>94</v>
      </c>
      <c r="E643" t="inlineStr">
        <is>
          <t>2008</t>
        </is>
      </c>
      <c r="F643" s="4" t="n">
        <v>149</v>
      </c>
      <c r="G643" t="inlineStr"/>
      <c r="H643" t="inlineStr">
        <is>
          <t>18528 Rügen - Zirkow</t>
        </is>
      </c>
      <c r="I643" s="5" t="n">
        <v>45551</v>
      </c>
      <c r="J643" t="inlineStr">
        <is>
          <t>Sold</t>
        </is>
      </c>
      <c r="K643" s="6">
        <f>HYPERLINK("https://www.kleinanzeigen.de/s-anzeige/-exocet-cross-windsurf-board-94-l-/2865574685-230-116", "Link")</f>
        <v/>
      </c>
      <c r="L643" s="6">
        <f>HYPERLINK("C:\Projects\Kleinanzeigen-Scraper\offer_images\2865574685", "Link")</f>
        <v/>
      </c>
      <c r="M643" t="inlineStr">
        <is>
          <t>Manfred</t>
        </is>
      </c>
      <c r="N643" s="6">
        <f>HYPERLINK("https://www.kleinanzeigen.de/s-bestandsliste.html?userId=47031965", "Link")</f>
        <v/>
      </c>
      <c r="O643" s="7" t="n">
        <v>45555.55775462963</v>
      </c>
      <c r="P643" s="3" t="inlineStr">
        <is>
          <t>582.28</t>
        </is>
      </c>
      <c r="Q643" t="inlineStr">
        <is>
          <t>Köln</t>
        </is>
      </c>
    </row>
    <row r="644">
      <c r="A644" t="inlineStr">
        <is>
          <t>165/47.5</t>
        </is>
      </c>
      <c r="B644" t="inlineStr">
        <is>
          <t>Duotone Ultra Spike</t>
        </is>
      </c>
      <c r="C644" t="inlineStr"/>
      <c r="D644" s="3" t="inlineStr"/>
      <c r="E644" t="inlineStr"/>
      <c r="F644" s="4" t="n">
        <v>430</v>
      </c>
      <c r="G644" t="inlineStr"/>
      <c r="H644" t="inlineStr">
        <is>
          <t>26487 Niedersachsen - Blomberg</t>
        </is>
      </c>
      <c r="I644" s="5" t="n">
        <v>45552</v>
      </c>
      <c r="J644" t="inlineStr">
        <is>
          <t>Sold</t>
        </is>
      </c>
      <c r="K644" s="6">
        <f>HYPERLINK("https://www.kleinanzeigen.de/s-anzeige/duotone-ultra-spike-door-extrem-leichtwind-165-47-5/2866437915-230-17702", "Link")</f>
        <v/>
      </c>
      <c r="L644" s="6">
        <f>HYPERLINK("C:\Projects\Kleinanzeigen-Scraper\offer_images\2866437915", "Link")</f>
        <v/>
      </c>
      <c r="M644" t="inlineStr">
        <is>
          <t>RK</t>
        </is>
      </c>
      <c r="N644" s="6">
        <f>HYPERLINK("https://www.kleinanzeigen.de/s-bestandsliste.html?userId=8465476", "Link")</f>
        <v/>
      </c>
      <c r="O644" s="7" t="n">
        <v>45555.55768518519</v>
      </c>
      <c r="P644" s="3" t="inlineStr">
        <is>
          <t>295.28</t>
        </is>
      </c>
      <c r="Q644" t="inlineStr">
        <is>
          <t>Köln</t>
        </is>
      </c>
    </row>
    <row r="645">
      <c r="A645" t="inlineStr">
        <is>
          <t>132,136</t>
        </is>
      </c>
      <c r="B645" t="inlineStr">
        <is>
          <t>Duotone Solei</t>
        </is>
      </c>
      <c r="C645" t="inlineStr"/>
      <c r="D645" s="3" t="inlineStr"/>
      <c r="E645" t="inlineStr">
        <is>
          <t>2025</t>
        </is>
      </c>
      <c r="F645" s="4" t="n">
        <v>1.018</v>
      </c>
      <c r="G645" t="inlineStr">
        <is>
          <t>VB</t>
        </is>
      </c>
      <c r="H645" t="inlineStr">
        <is>
          <t>23769 Fehmarn - Westfehmarn</t>
        </is>
      </c>
      <c r="I645" s="5" t="n">
        <v>45553</v>
      </c>
      <c r="J645" t="inlineStr">
        <is>
          <t>Sold</t>
        </is>
      </c>
      <c r="K645" s="6">
        <f>HYPERLINK("https://www.kleinanzeigen.de/s-anzeige/duotone-solei-132-136-2025/2867100483-230-430", "Link")</f>
        <v/>
      </c>
      <c r="L645" s="6">
        <f>HYPERLINK("C:\Projects\Kleinanzeigen-Scraper\offer_images\2867100483", "Link")</f>
        <v/>
      </c>
      <c r="M645" t="inlineStr">
        <is>
          <t>No user name</t>
        </is>
      </c>
      <c r="N645" s="6">
        <f>HYPERLINK("https://www.kleinanzeigen.deNo user link", "Link")</f>
        <v/>
      </c>
      <c r="O645" s="7" t="n">
        <v>45555.55768518519</v>
      </c>
      <c r="P645" s="3" t="inlineStr">
        <is>
          <t>483.01</t>
        </is>
      </c>
      <c r="Q645" t="inlineStr">
        <is>
          <t>Köln</t>
        </is>
      </c>
    </row>
    <row r="646">
      <c r="A646" t="inlineStr">
        <is>
          <t>Length ca. 340 cm</t>
        </is>
      </c>
      <c r="B646" t="inlineStr">
        <is>
          <t>Fanatic Viper</t>
        </is>
      </c>
      <c r="C646" t="inlineStr"/>
      <c r="D646" s="3" t="n">
        <v>188</v>
      </c>
      <c r="E646" t="inlineStr"/>
      <c r="F646" s="4" t="n">
        <v>100</v>
      </c>
      <c r="G646" t="inlineStr">
        <is>
          <t>VB</t>
        </is>
      </c>
      <c r="H646" t="inlineStr">
        <is>
          <t>33758 Nordrhein-Westfalen - Schloß Holte-Stukenbrock</t>
        </is>
      </c>
      <c r="I646" s="5" t="n">
        <v>45538</v>
      </c>
      <c r="J646" t="inlineStr">
        <is>
          <t>Sold</t>
        </is>
      </c>
      <c r="K646" s="6">
        <f>HYPERLINK("https://www.kleinanzeigen.de/s-anzeige/surfboard-fanatic-viper/2853395711-230-1646", "Link")</f>
        <v/>
      </c>
      <c r="L646" s="6">
        <f>HYPERLINK("C:\Projects\Kleinanzeigen-Scraper\offer_images\2853395711", "Link")</f>
        <v/>
      </c>
      <c r="M646" t="inlineStr">
        <is>
          <t>Flar Naizob</t>
        </is>
      </c>
      <c r="N646" s="6">
        <f>HYPERLINK("https://www.kleinanzeigen.de/s-bestandsliste.html?userId=135546347", "Link")</f>
        <v/>
      </c>
      <c r="O646" s="7" t="n">
        <v>45555.55761574074</v>
      </c>
      <c r="P646" s="3" t="inlineStr">
        <is>
          <t>158.29</t>
        </is>
      </c>
      <c r="Q646" t="inlineStr">
        <is>
          <t>Köln</t>
        </is>
      </c>
    </row>
    <row r="647">
      <c r="A647" t="inlineStr"/>
      <c r="B647" t="inlineStr">
        <is>
          <t>Starboard</t>
        </is>
      </c>
      <c r="C647" t="inlineStr"/>
      <c r="D647" s="3" t="inlineStr"/>
      <c r="E647" t="inlineStr"/>
      <c r="F647" s="4" t="n">
        <v>1.15</v>
      </c>
      <c r="G647" t="inlineStr"/>
      <c r="H647" t="inlineStr">
        <is>
          <t>65812 Hessen - Bad Soden am Taunus</t>
        </is>
      </c>
      <c r="I647" s="5" t="n">
        <v>45552</v>
      </c>
      <c r="J647" t="inlineStr">
        <is>
          <t>Sold</t>
        </is>
      </c>
      <c r="K647" s="6">
        <f>HYPERLINK("https://www.kleinanzeigen.de/s-anzeige/starboard-board-incl-board-bag-severne-iq-foil-mast-base/2866802856-230-4544", "Link")</f>
        <v/>
      </c>
      <c r="L647" s="6">
        <f>HYPERLINK("C:\Projects\Kleinanzeigen-Scraper\offer_images\2866802856", "Link")</f>
        <v/>
      </c>
      <c r="M647" t="inlineStr">
        <is>
          <t>Yaman</t>
        </is>
      </c>
      <c r="N647" s="6">
        <f>HYPERLINK("https://www.kleinanzeigen.de/s-bestandsliste.html?userId=135459781", "Link")</f>
        <v/>
      </c>
      <c r="O647" s="7" t="n">
        <v>45555.5575</v>
      </c>
      <c r="P647" s="3" t="inlineStr">
        <is>
          <t>128.06</t>
        </is>
      </c>
      <c r="Q647" t="inlineStr">
        <is>
          <t>Karlsruhe</t>
        </is>
      </c>
    </row>
    <row r="648">
      <c r="A648" t="inlineStr">
        <is>
          <t>138x41</t>
        </is>
      </c>
      <c r="B648" t="inlineStr">
        <is>
          <t>Duotone Select</t>
        </is>
      </c>
      <c r="C648" t="inlineStr">
        <is>
          <t>Freeride</t>
        </is>
      </c>
      <c r="D648" s="3" t="inlineStr"/>
      <c r="E648" t="inlineStr">
        <is>
          <t>2025</t>
        </is>
      </c>
      <c r="F648" s="4" t="n">
        <v>1.018</v>
      </c>
      <c r="G648" t="inlineStr">
        <is>
          <t>VB</t>
        </is>
      </c>
      <c r="H648" t="inlineStr">
        <is>
          <t>23769 Fehmarn - Westfehmarn</t>
        </is>
      </c>
      <c r="I648" s="5" t="n">
        <v>45553</v>
      </c>
      <c r="J648" t="inlineStr">
        <is>
          <t>Sold</t>
        </is>
      </c>
      <c r="K648" s="6">
        <f>HYPERLINK("https://www.kleinanzeigen.de/s-anzeige/duotone-select-2025/2867077843-230-430", "Link")</f>
        <v/>
      </c>
      <c r="L648" s="6">
        <f>HYPERLINK("C:\Projects\Kleinanzeigen-Scraper\offer_images\2867077843", "Link")</f>
        <v/>
      </c>
      <c r="M648" t="inlineStr">
        <is>
          <t>No user name</t>
        </is>
      </c>
      <c r="N648" s="6">
        <f>HYPERLINK("https://www.kleinanzeigen.deNo user link", "Link")</f>
        <v/>
      </c>
      <c r="O648" s="7" t="n">
        <v>45555.55739583333</v>
      </c>
      <c r="P648" s="3" t="inlineStr">
        <is>
          <t>483.01</t>
        </is>
      </c>
      <c r="Q648" t="inlineStr">
        <is>
          <t>Köln</t>
        </is>
      </c>
    </row>
    <row r="649">
      <c r="A649" t="inlineStr"/>
      <c r="B649" t="inlineStr">
        <is>
          <t>RRD WaveCult</t>
        </is>
      </c>
      <c r="C649" t="inlineStr">
        <is>
          <t>Wave</t>
        </is>
      </c>
      <c r="D649" s="3" t="n">
        <v>70</v>
      </c>
      <c r="E649" t="inlineStr">
        <is>
          <t>2010</t>
        </is>
      </c>
      <c r="F649" s="4" t="n">
        <v>240</v>
      </c>
      <c r="G649" t="inlineStr"/>
      <c r="H649" t="inlineStr">
        <is>
          <t>40474 Düsseldorf - Lohausen</t>
        </is>
      </c>
      <c r="I649" s="5" t="n">
        <v>45553</v>
      </c>
      <c r="J649" t="inlineStr"/>
      <c r="K649" s="6">
        <f>HYPERLINK("https://www.kleinanzeigen.de/s-anzeige/rrd-wavecult-2010-hardcore-xtech-70-liter-bag-finne/2867625644-230-29972", "Link")</f>
        <v/>
      </c>
      <c r="L649" s="6">
        <f>HYPERLINK("C:\Projects\Kleinanzeigen-Scraper\offer_images\2867625644", "Link")</f>
        <v/>
      </c>
      <c r="M649" t="inlineStr">
        <is>
          <t>Siri</t>
        </is>
      </c>
      <c r="N649" s="6">
        <f>HYPERLINK("https://www.kleinanzeigen.de/s-bestandsliste.html?userId=141035834", "Link")</f>
        <v/>
      </c>
      <c r="O649" s="7" t="n">
        <v>45555.55737268519</v>
      </c>
      <c r="P649" s="3" t="inlineStr">
        <is>
          <t>40.09</t>
        </is>
      </c>
      <c r="Q649" t="inlineStr">
        <is>
          <t>Köln</t>
        </is>
      </c>
    </row>
    <row r="650">
      <c r="A650" t="inlineStr">
        <is>
          <t>Dimensions not specified</t>
        </is>
      </c>
      <c r="B650" t="inlineStr">
        <is>
          <t>Fanatic Mega Hawk</t>
        </is>
      </c>
      <c r="C650" t="inlineStr">
        <is>
          <t>Freeride</t>
        </is>
      </c>
      <c r="D650" s="3" t="n">
        <v>85</v>
      </c>
      <c r="E650" t="inlineStr"/>
      <c r="F650" s="4" t="n">
        <v>80</v>
      </c>
      <c r="G650" t="inlineStr">
        <is>
          <t>VB</t>
        </is>
      </c>
      <c r="H650" t="inlineStr">
        <is>
          <t>25469 Kreis Pinneberg - Halstenbek</t>
        </is>
      </c>
      <c r="I650" s="5" t="n">
        <v>45536</v>
      </c>
      <c r="J650" t="inlineStr">
        <is>
          <t>Sold</t>
        </is>
      </c>
      <c r="K650" s="6">
        <f>HYPERLINK("https://www.kleinanzeigen.de/s-anzeige/fanatic-mega-hawk-85l-wind-surfboard/2851738752-230-617", "Link")</f>
        <v/>
      </c>
      <c r="L650" s="6">
        <f>HYPERLINK("C:\Projects\Kleinanzeigen-Scraper\offer_images\2851738752", "Link")</f>
        <v/>
      </c>
      <c r="M650" t="inlineStr">
        <is>
          <t>Stephan</t>
        </is>
      </c>
      <c r="N650" s="6">
        <f>HYPERLINK("https://www.kleinanzeigen.de/s-bestandsliste.html?userId=29277367", "Link")</f>
        <v/>
      </c>
      <c r="O650" s="7" t="n">
        <v>45555.55728009259</v>
      </c>
      <c r="P650" s="3" t="inlineStr">
        <is>
          <t>356.43</t>
        </is>
      </c>
      <c r="Q650" t="inlineStr">
        <is>
          <t>Köln</t>
        </is>
      </c>
    </row>
    <row r="651">
      <c r="A651" t="inlineStr">
        <is>
          <t>101 L</t>
        </is>
      </c>
      <c r="B651" t="inlineStr">
        <is>
          <t>JP Freestyle Wave</t>
        </is>
      </c>
      <c r="C651" t="inlineStr">
        <is>
          <t>Freestyle Wave</t>
        </is>
      </c>
      <c r="D651" s="3" t="n">
        <v>101</v>
      </c>
      <c r="E651" t="inlineStr"/>
      <c r="F651" s="4" t="n">
        <v>200</v>
      </c>
      <c r="G651" t="inlineStr"/>
      <c r="H651" t="inlineStr">
        <is>
          <t>63067 Hessen - Offenbach</t>
        </is>
      </c>
      <c r="I651" s="5" t="n">
        <v>45554</v>
      </c>
      <c r="J651" t="inlineStr"/>
      <c r="K651" s="6">
        <f>HYPERLINK("https://www.kleinanzeigen.de/s-anzeige/jp-freestyle-wave-101-l-windsurf-board/2867689756-230-4354", "Link")</f>
        <v/>
      </c>
      <c r="L651" s="6">
        <f>HYPERLINK("C:\Projects\Kleinanzeigen-Scraper\offer_images\2867689756", "Link")</f>
        <v/>
      </c>
      <c r="M651" t="inlineStr">
        <is>
          <t>A.M.</t>
        </is>
      </c>
      <c r="N651" s="6">
        <f>HYPERLINK("https://www.kleinanzeigen.de/s-bestandsliste.html?userId=24478795", "Link")</f>
        <v/>
      </c>
      <c r="O651" s="7" t="n">
        <v>45555.55725694444</v>
      </c>
      <c r="P651" s="3" t="inlineStr">
        <is>
          <t>125.21</t>
        </is>
      </c>
      <c r="Q651" t="inlineStr">
        <is>
          <t>Karlsruhe</t>
        </is>
      </c>
    </row>
    <row r="652">
      <c r="A652" t="inlineStr">
        <is>
          <t>8' x 28" x 4"</t>
        </is>
      </c>
      <c r="B652" t="inlineStr">
        <is>
          <t>STX Hybrid Cruiser Junior</t>
        </is>
      </c>
      <c r="C652" t="inlineStr">
        <is>
          <t>Freeride</t>
        </is>
      </c>
      <c r="D652" s="3" t="n">
        <v>135</v>
      </c>
      <c r="E652" t="inlineStr">
        <is>
          <t>2022</t>
        </is>
      </c>
      <c r="F652" s="4" t="n">
        <v>499</v>
      </c>
      <c r="G652" t="inlineStr">
        <is>
          <t>VB</t>
        </is>
      </c>
      <c r="H652" t="inlineStr">
        <is>
          <t>18586 Mecklenburg-Vorpommern - Mönchgut, Ostseebad</t>
        </is>
      </c>
      <c r="I652" s="5" t="n">
        <v>45552</v>
      </c>
      <c r="J652" t="inlineStr">
        <is>
          <t>Sold</t>
        </is>
      </c>
      <c r="K652" s="6">
        <f>HYPERLINK("https://www.kleinanzeigen.de/s-anzeige/stx-hybrid-cruiser-junior-8-x-28-x-4-135l-junior-windsurf-sup/1563907820-230-120", "Link")</f>
        <v/>
      </c>
      <c r="L652" s="6">
        <f>HYPERLINK("C:\Projects\Kleinanzeigen-Scraper\offer_images\1563907820", "Link")</f>
        <v/>
      </c>
      <c r="M652" t="inlineStr">
        <is>
          <t>No user name</t>
        </is>
      </c>
      <c r="N652" s="6">
        <f>HYPERLINK("https://www.kleinanzeigen.deNo user link", "Link")</f>
        <v/>
      </c>
      <c r="O652" s="7" t="n">
        <v>45555.55724537037</v>
      </c>
      <c r="P652" s="3" t="inlineStr">
        <is>
          <t>591.22</t>
        </is>
      </c>
      <c r="Q652" t="inlineStr">
        <is>
          <t>Köln</t>
        </is>
      </c>
    </row>
    <row r="653">
      <c r="A653" t="inlineStr">
        <is>
          <t>136 cm x 41 cm</t>
        </is>
      </c>
      <c r="B653" t="inlineStr">
        <is>
          <t>Duotone Jaime SLS</t>
        </is>
      </c>
      <c r="C653" t="inlineStr"/>
      <c r="D653" s="3" t="inlineStr"/>
      <c r="E653" t="inlineStr">
        <is>
          <t>2024</t>
        </is>
      </c>
      <c r="F653" s="4" t="n">
        <v>750</v>
      </c>
      <c r="G653" t="inlineStr">
        <is>
          <t>VB</t>
        </is>
      </c>
      <c r="H653" t="inlineStr">
        <is>
          <t>24147 Kiel - Elmschenhagen-Nord</t>
        </is>
      </c>
      <c r="I653" s="5" t="n">
        <v>45553</v>
      </c>
      <c r="J653" t="inlineStr">
        <is>
          <t>Sold</t>
        </is>
      </c>
      <c r="K653" s="6">
        <f>HYPERLINK("https://www.kleinanzeigen.de/s-anzeige/duotone-jaime-sls-2024-136cm-inklusive-ntt-bindung-l/2867264912-230-17344", "Link")</f>
        <v/>
      </c>
      <c r="L653" s="6">
        <f>HYPERLINK("C:\Projects\Kleinanzeigen-Scraper\offer_images\2867264912", "Link")</f>
        <v/>
      </c>
      <c r="M653" t="inlineStr">
        <is>
          <t>Tim</t>
        </is>
      </c>
      <c r="N653" s="6">
        <f>HYPERLINK("https://www.kleinanzeigen.de/s-bestandsliste.html?userId=48545416", "Link")</f>
        <v/>
      </c>
      <c r="O653" s="7" t="n">
        <v>45555.55722222223</v>
      </c>
      <c r="P653" s="3" t="inlineStr">
        <is>
          <t>432.93</t>
        </is>
      </c>
      <c r="Q653" t="inlineStr">
        <is>
          <t>Köln</t>
        </is>
      </c>
    </row>
    <row r="654">
      <c r="A654" t="inlineStr"/>
      <c r="B654" t="inlineStr"/>
      <c r="C654" t="inlineStr"/>
      <c r="D654" s="3" t="inlineStr"/>
      <c r="E654" t="inlineStr"/>
      <c r="F654" s="4" t="n">
        <v>150</v>
      </c>
      <c r="G654" t="inlineStr">
        <is>
          <t>VB</t>
        </is>
      </c>
      <c r="H654" t="inlineStr">
        <is>
          <t>40699 Nordrhein-Westfalen - Erkrath</t>
        </is>
      </c>
      <c r="I654" s="5" t="n">
        <v>45555</v>
      </c>
      <c r="J654" t="inlineStr"/>
      <c r="K654" s="6">
        <f>HYPERLINK("https://www.kleinanzeigen.de/s-anzeige/windsurf-board/2868531617-230-1401", "Link")</f>
        <v/>
      </c>
      <c r="L654" s="6">
        <f>HYPERLINK("C:\Projects\Kleinanzeigen-Scraper\offer_images\2868531617", "Link")</f>
        <v/>
      </c>
      <c r="M654" t="inlineStr">
        <is>
          <t>Vivien Münze</t>
        </is>
      </c>
      <c r="N654" s="6">
        <f>HYPERLINK("https://www.kleinanzeigen.de/s-bestandsliste.html?userId=132385720", "Link")</f>
        <v/>
      </c>
      <c r="O654" s="7" t="n">
        <v>45555.55717592593</v>
      </c>
      <c r="P654" s="3" t="inlineStr">
        <is>
          <t>31.43</t>
        </is>
      </c>
      <c r="Q654" t="inlineStr">
        <is>
          <t>Köln</t>
        </is>
      </c>
    </row>
    <row r="655">
      <c r="A655" t="inlineStr">
        <is>
          <t>243x56</t>
        </is>
      </c>
      <c r="B655" t="inlineStr">
        <is>
          <t>Starboard Trance</t>
        </is>
      </c>
      <c r="C655" t="inlineStr">
        <is>
          <t>Wave</t>
        </is>
      </c>
      <c r="D655" s="3" t="n">
        <v>84</v>
      </c>
      <c r="E655" t="inlineStr"/>
      <c r="F655" s="4" t="n">
        <v>125</v>
      </c>
      <c r="G655" t="inlineStr">
        <is>
          <t>VB</t>
        </is>
      </c>
      <c r="H655" t="inlineStr">
        <is>
          <t>33607 Bielefeld - Bielefeld (Innenstadt)</t>
        </is>
      </c>
      <c r="I655" s="5" t="n">
        <v>45459</v>
      </c>
      <c r="J655" t="inlineStr"/>
      <c r="K655" s="6">
        <f>HYPERLINK("https://www.kleinanzeigen.de/s-anzeige/starboard-trance-84-surfboard-unbenutzt-mit-neuen-fussschlaufen/2789529447-230-1069", "Link")</f>
        <v/>
      </c>
      <c r="L655" s="6">
        <f>HYPERLINK("C:\Projects\Kleinanzeigen-Scraper\offer_images\2789529447", "Link")</f>
        <v/>
      </c>
      <c r="M655" t="inlineStr">
        <is>
          <t>Horst</t>
        </is>
      </c>
      <c r="N655" s="6">
        <f>HYPERLINK("https://www.kleinanzeigen.de/s-bestandsliste.html?userId=18007600", "Link")</f>
        <v/>
      </c>
      <c r="O655" s="7" t="n">
        <v>45555.55704861111</v>
      </c>
      <c r="P655" s="3" t="inlineStr">
        <is>
          <t>164.50</t>
        </is>
      </c>
      <c r="Q655" t="inlineStr">
        <is>
          <t>Köln</t>
        </is>
      </c>
    </row>
    <row r="656">
      <c r="A656" t="inlineStr"/>
      <c r="B656" t="inlineStr">
        <is>
          <t>Naish</t>
        </is>
      </c>
      <c r="C656" t="inlineStr"/>
      <c r="D656" s="3" t="inlineStr"/>
      <c r="E656" t="inlineStr"/>
      <c r="F656" s="4" t="n">
        <v>1</v>
      </c>
      <c r="G656" t="inlineStr"/>
      <c r="H656" t="inlineStr">
        <is>
          <t>79589 Baden-Württemberg - Binzen</t>
        </is>
      </c>
      <c r="I656" s="5" t="n">
        <v>45555</v>
      </c>
      <c r="J656" t="inlineStr">
        <is>
          <t>Sold</t>
        </is>
      </c>
      <c r="K656" s="6">
        <f>HYPERLINK("https://www.kleinanzeigen.de/s-anzeige/naish-surfbrett-zu-verschenken/2868729711-242-8079", "Link")</f>
        <v/>
      </c>
      <c r="L656" s="6">
        <f>HYPERLINK("C:\Projects\Kleinanzeigen-Scraper\offer_images\2868729711", "Link")</f>
        <v/>
      </c>
      <c r="M656" t="inlineStr">
        <is>
          <t>Martina Raedler</t>
        </is>
      </c>
      <c r="N656" s="6">
        <f>HYPERLINK("https://www.kleinanzeigen.de/s-bestandsliste.html?userId=51376531", "Link")</f>
        <v/>
      </c>
      <c r="O656" s="7" t="n">
        <v>45555.55704861111</v>
      </c>
      <c r="P656" s="3" t="inlineStr">
        <is>
          <t>57.47</t>
        </is>
      </c>
      <c r="Q656" t="inlineStr">
        <is>
          <t>Bonndorf</t>
        </is>
      </c>
    </row>
    <row r="657">
      <c r="A657" t="inlineStr"/>
      <c r="B657" t="inlineStr">
        <is>
          <t>Tabou Pocket</t>
        </is>
      </c>
      <c r="C657" t="inlineStr">
        <is>
          <t>Freeride</t>
        </is>
      </c>
      <c r="D657" s="3" t="n">
        <v>85</v>
      </c>
      <c r="E657" t="inlineStr"/>
      <c r="F657" s="4" t="inlineStr"/>
      <c r="G657" t="inlineStr">
        <is>
          <t>VB</t>
        </is>
      </c>
      <c r="H657" t="inlineStr">
        <is>
          <t>24114 Schleswig-Holstein - Kiel</t>
        </is>
      </c>
      <c r="I657" s="5" t="n">
        <v>45555</v>
      </c>
      <c r="J657" t="inlineStr"/>
      <c r="K657" s="6">
        <f>HYPERLINK("https://www.kleinanzeigen.de/s-anzeige/tabou-pocket-85-l/2868696764-230-697", "Link")</f>
        <v/>
      </c>
      <c r="L657" s="6">
        <f>HYPERLINK("C:\Projects\Kleinanzeigen-Scraper\offer_images\2868696764", "Link")</f>
        <v/>
      </c>
      <c r="M657" t="inlineStr">
        <is>
          <t>Anni</t>
        </is>
      </c>
      <c r="N657" s="6">
        <f>HYPERLINK("https://www.kleinanzeigen.de/s-bestandsliste.html?userId=129527219", "Link")</f>
        <v/>
      </c>
      <c r="O657" s="7" t="n">
        <v>45555.55695601852</v>
      </c>
      <c r="P657" s="3" t="inlineStr">
        <is>
          <t>431.59</t>
        </is>
      </c>
      <c r="Q657" t="inlineStr">
        <is>
          <t>Köln</t>
        </is>
      </c>
    </row>
    <row r="658">
      <c r="A658" t="inlineStr">
        <is>
          <t>232 cm x 55.5 cm</t>
        </is>
      </c>
      <c r="B658" t="inlineStr">
        <is>
          <t>Fanatic TriWave</t>
        </is>
      </c>
      <c r="C658" t="inlineStr">
        <is>
          <t>Wave</t>
        </is>
      </c>
      <c r="D658" s="3" t="n">
        <v>79</v>
      </c>
      <c r="E658" t="inlineStr"/>
      <c r="F658" s="4" t="n">
        <v>150</v>
      </c>
      <c r="G658" t="inlineStr">
        <is>
          <t>VB</t>
        </is>
      </c>
      <c r="H658" t="inlineStr">
        <is>
          <t>74206 Baden-Württemberg - Bad Wimpfen</t>
        </is>
      </c>
      <c r="I658" s="5" t="n">
        <v>45553</v>
      </c>
      <c r="J658" t="inlineStr"/>
      <c r="K658" s="6">
        <f>HYPERLINK("https://www.kleinanzeigen.de/s-anzeige/fanatic-triwave-79l-in-gutem-zustand/2867606871-230-8659", "Link")</f>
        <v/>
      </c>
      <c r="L658" s="6">
        <f>HYPERLINK("C:\Projects\Kleinanzeigen-Scraper\offer_images\2867606871", "Link")</f>
        <v/>
      </c>
      <c r="M658" t="inlineStr">
        <is>
          <t>Jörg K.</t>
        </is>
      </c>
      <c r="N658" s="6">
        <f>HYPERLINK("https://www.kleinanzeigen.de/s-bestandsliste.html?userId=55768316", "Link")</f>
        <v/>
      </c>
      <c r="O658" s="7" t="n">
        <v>45555.55694444444</v>
      </c>
      <c r="P658" s="3" t="inlineStr">
        <is>
          <t>60.17</t>
        </is>
      </c>
      <c r="Q658" t="inlineStr">
        <is>
          <t>Karlsruhe</t>
        </is>
      </c>
    </row>
    <row r="659">
      <c r="A659" t="inlineStr">
        <is>
          <t>7.11</t>
        </is>
      </c>
      <c r="B659" t="inlineStr">
        <is>
          <t>F-One Rocket Air</t>
        </is>
      </c>
      <c r="C659" t="inlineStr">
        <is>
          <t>Foilboard</t>
        </is>
      </c>
      <c r="D659" s="3" t="n">
        <v>185</v>
      </c>
      <c r="E659" t="inlineStr"/>
      <c r="F659" s="4" t="n">
        <v>349</v>
      </c>
      <c r="G659" t="inlineStr">
        <is>
          <t>VB</t>
        </is>
      </c>
      <c r="H659" t="inlineStr">
        <is>
          <t>58456 Nordrhein-Westfalen - Witten</t>
        </is>
      </c>
      <c r="I659" s="5" t="n">
        <v>45552</v>
      </c>
      <c r="J659" t="inlineStr">
        <is>
          <t>Sold</t>
        </is>
      </c>
      <c r="K659" s="6">
        <f>HYPERLINK("https://www.kleinanzeigen.de/s-anzeige/f-one-rocket-air-7-11-foilboard-inflatable-windsurf/2866103030-230-1019", "Link")</f>
        <v/>
      </c>
      <c r="L659" s="6">
        <f>HYPERLINK("C:\Projects\Kleinanzeigen-Scraper\offer_images\2866103030", "Link")</f>
        <v/>
      </c>
      <c r="M659" t="inlineStr">
        <is>
          <t>Andreas Jacob</t>
        </is>
      </c>
      <c r="N659" s="6">
        <f>HYPERLINK("https://www.kleinanzeigen.de/s-bestandsliste.html?userId=24606983", "Link")</f>
        <v/>
      </c>
      <c r="O659" s="7" t="n">
        <v>45555.55693287037</v>
      </c>
      <c r="P659" s="3" t="inlineStr">
        <is>
          <t>56.10</t>
        </is>
      </c>
      <c r="Q659" t="inlineStr">
        <is>
          <t>Köln</t>
        </is>
      </c>
    </row>
    <row r="660">
      <c r="A660" t="inlineStr">
        <is>
          <t>5'2" x 21" x 2 3/8"</t>
        </is>
      </c>
      <c r="B660" t="inlineStr">
        <is>
          <t>North Nugget</t>
        </is>
      </c>
      <c r="C660" t="inlineStr">
        <is>
          <t>Wave</t>
        </is>
      </c>
      <c r="D660" s="3" t="n">
        <v>28.9</v>
      </c>
      <c r="E660" t="inlineStr"/>
      <c r="F660" s="4" t="n">
        <v>190</v>
      </c>
      <c r="G660" t="inlineStr"/>
      <c r="H660" t="inlineStr">
        <is>
          <t>23611 Kreis Ostholstein - Bad Schwartau</t>
        </is>
      </c>
      <c r="I660" s="5" t="n">
        <v>45555</v>
      </c>
      <c r="J660" t="inlineStr">
        <is>
          <t>Sold</t>
        </is>
      </c>
      <c r="K660" s="6">
        <f>HYPERLINK("https://www.kleinanzeigen.de/s-anzeige/north-nugget-5-2-duotone/2868779576-230-464", "Link")</f>
        <v/>
      </c>
      <c r="L660" s="6">
        <f>HYPERLINK("C:\Projects\Kleinanzeigen-Scraper\offer_images\2868779576", "Link")</f>
        <v/>
      </c>
      <c r="M660" t="inlineStr">
        <is>
          <t>Olaf Seegers</t>
        </is>
      </c>
      <c r="N660" s="6">
        <f>HYPERLINK("https://www.kleinanzeigen.de/s-bestandsliste.html?userId=11140016", "Link")</f>
        <v/>
      </c>
      <c r="O660" s="7" t="n">
        <v>45555.55689814815</v>
      </c>
      <c r="P660" s="3" t="inlineStr">
        <is>
          <t>417.93</t>
        </is>
      </c>
      <c r="Q660" t="inlineStr">
        <is>
          <t>Köln</t>
        </is>
      </c>
    </row>
    <row r="661">
      <c r="A661" t="inlineStr">
        <is>
          <t>141 x 41</t>
        </is>
      </c>
      <c r="B661" t="inlineStr">
        <is>
          <t>Duotone Select SLS</t>
        </is>
      </c>
      <c r="C661" t="inlineStr">
        <is>
          <t>Twintip</t>
        </is>
      </c>
      <c r="D661" s="3" t="inlineStr"/>
      <c r="E661" t="inlineStr">
        <is>
          <t>2023</t>
        </is>
      </c>
      <c r="F661" s="4" t="n">
        <v>749</v>
      </c>
      <c r="G661" t="inlineStr">
        <is>
          <t>VB</t>
        </is>
      </c>
      <c r="H661" t="inlineStr">
        <is>
          <t>23923 Nordwestmecklenburg - Landkreis - Selmsdorf</t>
        </is>
      </c>
      <c r="I661" s="5" t="n">
        <v>45552</v>
      </c>
      <c r="J661" t="inlineStr">
        <is>
          <t>Sold</t>
        </is>
      </c>
      <c r="K661" s="6">
        <f>HYPERLINK("https://www.kleinanzeigen.de/s-anzeige/duotone-select-twintip-141-entity-ergo-bindung/2866517139-230-424", "Link")</f>
        <v/>
      </c>
      <c r="L661" s="6">
        <f>HYPERLINK("C:\Projects\Kleinanzeigen-Scraper\offer_images\2866517139", "Link")</f>
        <v/>
      </c>
      <c r="M661" t="inlineStr">
        <is>
          <t>Johannes</t>
        </is>
      </c>
      <c r="N661" s="6">
        <f>HYPERLINK("https://www.kleinanzeigen.de/s-bestandsliste.html?userId=30719599", "Link")</f>
        <v/>
      </c>
      <c r="O661" s="7" t="n">
        <v>45555.5568287037</v>
      </c>
      <c r="P661" s="3" t="inlineStr">
        <is>
          <t>417.23</t>
        </is>
      </c>
      <c r="Q661" t="inlineStr">
        <is>
          <t>Köln</t>
        </is>
      </c>
    </row>
    <row r="662">
      <c r="A662" t="inlineStr"/>
      <c r="B662" t="inlineStr">
        <is>
          <t>Starboard Kode</t>
        </is>
      </c>
      <c r="C662" t="inlineStr"/>
      <c r="D662" s="3" t="n">
        <v>94</v>
      </c>
      <c r="E662" t="inlineStr"/>
      <c r="F662" s="4" t="n">
        <v>95</v>
      </c>
      <c r="G662" t="inlineStr">
        <is>
          <t>VB</t>
        </is>
      </c>
      <c r="H662" t="inlineStr">
        <is>
          <t>70186 Stuttgart - Stuttgart-Ost</t>
        </is>
      </c>
      <c r="I662" s="5" t="n">
        <v>45554</v>
      </c>
      <c r="J662" t="inlineStr"/>
      <c r="K662" s="6">
        <f>HYPERLINK("https://www.kleinanzeigen.de/s-anzeige/starboard-kode-carbon-94l/2868025587-230-9285", "Link")</f>
        <v/>
      </c>
      <c r="L662" s="6">
        <f>HYPERLINK("C:\Projects\Kleinanzeigen-Scraper\offer_images\2868025587", "Link")</f>
        <v/>
      </c>
      <c r="M662" t="inlineStr">
        <is>
          <t>Niko</t>
        </is>
      </c>
      <c r="N662" s="6">
        <f>HYPERLINK("https://www.kleinanzeigen.de/s-bestandsliste.html?userId=52023756", "Link")</f>
        <v/>
      </c>
      <c r="O662" s="7" t="n">
        <v>45555.55675925926</v>
      </c>
      <c r="P662" s="3" t="inlineStr">
        <is>
          <t>19.90</t>
        </is>
      </c>
      <c r="Q662" t="inlineStr">
        <is>
          <t>Böblingen</t>
        </is>
      </c>
    </row>
    <row r="663">
      <c r="A663" t="inlineStr"/>
      <c r="B663" t="inlineStr">
        <is>
          <t>STARBOARD</t>
        </is>
      </c>
      <c r="C663" t="inlineStr"/>
      <c r="D663" s="3" t="n">
        <v>121</v>
      </c>
      <c r="E663" t="inlineStr"/>
      <c r="F663" s="4" t="n">
        <v>300</v>
      </c>
      <c r="G663" t="inlineStr">
        <is>
          <t>VB</t>
        </is>
      </c>
      <c r="H663" t="inlineStr">
        <is>
          <t>03172 Brandenburg - Guben</t>
        </is>
      </c>
      <c r="I663" s="5" t="n">
        <v>45445</v>
      </c>
      <c r="J663" t="inlineStr"/>
      <c r="K663" s="6">
        <f>HYPERLINK("https://www.kleinanzeigen.de/s-anzeige/starboard-surfbrett/2778311871-230-7770", "Link")</f>
        <v/>
      </c>
      <c r="L663" s="6">
        <f>HYPERLINK("C:\Projects\Kleinanzeigen-Scraper\offer_images\2778311871", "Link")</f>
        <v/>
      </c>
      <c r="M663" t="inlineStr">
        <is>
          <t>W Wystrach</t>
        </is>
      </c>
      <c r="N663" s="6">
        <f>HYPERLINK("https://www.kleinanzeigen.de/s-bestandsliste.html?userId=12560713", "Link")</f>
        <v/>
      </c>
      <c r="O663" s="7" t="n">
        <v>45555.55672453704</v>
      </c>
      <c r="P663" s="3" t="inlineStr">
        <is>
          <t>474.65</t>
        </is>
      </c>
      <c r="Q663" t="inlineStr">
        <is>
          <t>München</t>
        </is>
      </c>
    </row>
    <row r="664">
      <c r="A664" t="inlineStr">
        <is>
          <t>75 l, 83 l, 91 l</t>
        </is>
      </c>
      <c r="B664" t="inlineStr">
        <is>
          <t>F2 Rebel</t>
        </is>
      </c>
      <c r="C664" t="inlineStr"/>
      <c r="D664" s="3" t="inlineStr">
        <is>
          <t>75, 83, 91</t>
        </is>
      </c>
      <c r="E664" t="inlineStr"/>
      <c r="F664" s="4" t="n">
        <v>360</v>
      </c>
      <c r="G664" t="inlineStr">
        <is>
          <t>VB</t>
        </is>
      </c>
      <c r="H664" t="inlineStr">
        <is>
          <t>18556 Mecklenburg-Vorpommern - Wiek</t>
        </is>
      </c>
      <c r="I664" s="5" t="n">
        <v>45552</v>
      </c>
      <c r="J664" t="inlineStr">
        <is>
          <t>Sold</t>
        </is>
      </c>
      <c r="K664" s="6">
        <f>HYPERLINK("https://www.kleinanzeigen.de/s-anzeige/windsurf-board-rebel-von-f2/2865968973-230-118", "Link")</f>
        <v/>
      </c>
      <c r="L664" s="6">
        <f>HYPERLINK("C:\Projects\Kleinanzeigen-Scraper\offer_images\2865968973", "Link")</f>
        <v/>
      </c>
      <c r="M664" t="inlineStr">
        <is>
          <t>Mario Müller</t>
        </is>
      </c>
      <c r="N664" s="6">
        <f>HYPERLINK("https://www.kleinanzeigen.de/s-bestandsliste.html?userId=8057059", "Link")</f>
        <v/>
      </c>
      <c r="O664" s="7" t="n">
        <v>45555.55663194445</v>
      </c>
      <c r="P664" s="3" t="inlineStr">
        <is>
          <t>594.93</t>
        </is>
      </c>
      <c r="Q664" t="inlineStr">
        <is>
          <t>Köln</t>
        </is>
      </c>
    </row>
    <row r="665">
      <c r="A665" t="inlineStr">
        <is>
          <t>3.60m</t>
        </is>
      </c>
      <c r="B665" t="inlineStr"/>
      <c r="C665" t="inlineStr"/>
      <c r="D665" s="3" t="inlineStr"/>
      <c r="E665" t="inlineStr"/>
      <c r="F665" s="4" t="n">
        <v>50</v>
      </c>
      <c r="G665" t="inlineStr">
        <is>
          <t>VB</t>
        </is>
      </c>
      <c r="H665" t="inlineStr">
        <is>
          <t>80805 München - Schwabing-Freimann</t>
        </is>
      </c>
      <c r="I665" s="5" t="n">
        <v>45554</v>
      </c>
      <c r="J665" t="inlineStr"/>
      <c r="K665" s="6">
        <f>HYPERLINK("https://www.kleinanzeigen.de/s-anzeige/surfbrett-windsurf-3-60m-ohne-zubehoer/2867894694-230-6466", "Link")</f>
        <v/>
      </c>
      <c r="L665" s="6">
        <f>HYPERLINK("C:\Projects\Kleinanzeigen-Scraper\offer_images\2867894694", "Link")</f>
        <v/>
      </c>
      <c r="M665" t="inlineStr">
        <is>
          <t>Sarah</t>
        </is>
      </c>
      <c r="N665" s="6">
        <f>HYPERLINK("https://www.kleinanzeigen.de/s-bestandsliste.html?userId=81626161", "Link")</f>
        <v/>
      </c>
      <c r="O665" s="7" t="n">
        <v>45555.55637731482</v>
      </c>
      <c r="P665" s="3" t="inlineStr">
        <is>
          <t>5.28</t>
        </is>
      </c>
      <c r="Q665" t="inlineStr">
        <is>
          <t>München</t>
        </is>
      </c>
    </row>
    <row r="666">
      <c r="A666" t="inlineStr">
        <is>
          <t>295 cm x 60 cm</t>
        </is>
      </c>
      <c r="B666" t="inlineStr">
        <is>
          <t>Mistral</t>
        </is>
      </c>
      <c r="C666" t="inlineStr"/>
      <c r="D666" s="3" t="n">
        <v>130</v>
      </c>
      <c r="E666" t="inlineStr"/>
      <c r="F666" s="4" t="inlineStr"/>
      <c r="G666" t="inlineStr">
        <is>
          <t>VB</t>
        </is>
      </c>
      <c r="H666" t="inlineStr">
        <is>
          <t>78467 Baden-Württemberg - Konstanz</t>
        </is>
      </c>
      <c r="I666" s="5" t="n">
        <v>45553</v>
      </c>
      <c r="J666" t="inlineStr"/>
      <c r="K666" s="6">
        <f>HYPERLINK("https://www.kleinanzeigen.de/s-anzeige/mistral-surfboard-windsurfen-segel/2867210406-230-9389", "Link")</f>
        <v/>
      </c>
      <c r="L666" s="6">
        <f>HYPERLINK("C:\Projects\Kleinanzeigen-Scraper\offer_images\2867210406", "Link")</f>
        <v/>
      </c>
      <c r="M666" t="inlineStr">
        <is>
          <t>Erik</t>
        </is>
      </c>
      <c r="N666" s="6">
        <f>HYPERLINK("https://www.kleinanzeigen.de/s-bestandsliste.html?userId=47587788", "Link")</f>
        <v/>
      </c>
      <c r="O666" s="7" t="n">
        <v>45555.55609953704</v>
      </c>
      <c r="P666" s="3" t="inlineStr">
        <is>
          <t>62.51</t>
        </is>
      </c>
      <c r="Q666" t="inlineStr">
        <is>
          <t>Bonndorf</t>
        </is>
      </c>
    </row>
    <row r="667">
      <c r="A667" t="inlineStr">
        <is>
          <t>4'11" x 24"</t>
        </is>
      </c>
      <c r="B667" t="inlineStr">
        <is>
          <t>DUOTONE SKY STYLE</t>
        </is>
      </c>
      <c r="C667" t="inlineStr"/>
      <c r="D667" s="3" t="n">
        <v>76</v>
      </c>
      <c r="E667" t="inlineStr">
        <is>
          <t>2024</t>
        </is>
      </c>
      <c r="F667" s="4" t="n">
        <v>760</v>
      </c>
      <c r="G667" t="inlineStr"/>
      <c r="H667" t="inlineStr">
        <is>
          <t>80993 München - Moosach</t>
        </is>
      </c>
      <c r="I667" s="5" t="n">
        <v>45553</v>
      </c>
      <c r="J667" t="inlineStr">
        <is>
          <t>Sold</t>
        </is>
      </c>
      <c r="K667" s="6">
        <f>HYPERLINK("https://www.kleinanzeigen.de/s-anzeige/duotone-sky-style-4-11-2024/2866932566-230-6446", "Link")</f>
        <v/>
      </c>
      <c r="L667" s="6">
        <f>HYPERLINK("C:\Projects\Kleinanzeigen-Scraper\offer_images\2866932566", "Link")</f>
        <v/>
      </c>
      <c r="M667" t="inlineStr">
        <is>
          <t>Magnus</t>
        </is>
      </c>
      <c r="N667" s="6">
        <f>HYPERLINK("https://www.kleinanzeigen.de/s-bestandsliste.html?userId=86472404", "Link")</f>
        <v/>
      </c>
      <c r="O667" s="7" t="n">
        <v>45555.55597222222</v>
      </c>
      <c r="P667" s="3" t="inlineStr">
        <is>
          <t>6.77</t>
        </is>
      </c>
      <c r="Q667" t="inlineStr">
        <is>
          <t>München</t>
        </is>
      </c>
    </row>
    <row r="668">
      <c r="A668" t="inlineStr">
        <is>
          <t>265 x 51</t>
        </is>
      </c>
      <c r="B668" t="inlineStr">
        <is>
          <t>AHD Exocet</t>
        </is>
      </c>
      <c r="C668" t="inlineStr">
        <is>
          <t>Slalom</t>
        </is>
      </c>
      <c r="D668" s="3" t="n">
        <v>75</v>
      </c>
      <c r="E668" t="inlineStr"/>
      <c r="F668" s="4" t="n">
        <v>350</v>
      </c>
      <c r="G668" t="inlineStr">
        <is>
          <t>VB</t>
        </is>
      </c>
      <c r="H668" t="inlineStr">
        <is>
          <t>65193 Hessen - Wiesbaden</t>
        </is>
      </c>
      <c r="I668" s="5" t="n">
        <v>45550</v>
      </c>
      <c r="J668" t="inlineStr">
        <is>
          <t>Sold</t>
        </is>
      </c>
      <c r="K668" s="6">
        <f>HYPERLINK("https://www.kleinanzeigen.de/s-anzeige/ahd-exocet-top-high-wind-slalom-board-limited-edition-windsurf/2864940318-230-4909", "Link")</f>
        <v/>
      </c>
      <c r="L668" s="6">
        <f>HYPERLINK("C:\Projects\Kleinanzeigen-Scraper\offer_images\2864940318", "Link")</f>
        <v/>
      </c>
      <c r="M668" t="inlineStr">
        <is>
          <t>Chris</t>
        </is>
      </c>
      <c r="N668" s="6">
        <f>HYPERLINK("https://www.kleinanzeigen.de/s-bestandsliste.html?userId=84691925", "Link")</f>
        <v/>
      </c>
      <c r="O668" s="7" t="n">
        <v>45555.55590277778</v>
      </c>
      <c r="P668" s="3" t="inlineStr">
        <is>
          <t>121.83</t>
        </is>
      </c>
      <c r="Q668" t="inlineStr">
        <is>
          <t>Karlsruhe</t>
        </is>
      </c>
    </row>
    <row r="669">
      <c r="A669" t="inlineStr"/>
      <c r="B669" t="inlineStr">
        <is>
          <t>Fanatic Skate</t>
        </is>
      </c>
      <c r="C669" t="inlineStr">
        <is>
          <t>Freestyle</t>
        </is>
      </c>
      <c r="D669" s="3" t="n">
        <v>100</v>
      </c>
      <c r="E669" t="inlineStr"/>
      <c r="F669" s="4" t="n">
        <v>350</v>
      </c>
      <c r="G669" t="inlineStr"/>
      <c r="H669" t="inlineStr">
        <is>
          <t>18375 Darß - Born am Darß</t>
        </is>
      </c>
      <c r="I669" s="5" t="n">
        <v>45551</v>
      </c>
      <c r="J669" t="inlineStr">
        <is>
          <t>Sold</t>
        </is>
      </c>
      <c r="K669" s="6">
        <f>HYPERLINK("https://www.kleinanzeigen.de/s-anzeige/windsurfboard-fanatic-skate-100l/2865510071-230-13567", "Link")</f>
        <v/>
      </c>
      <c r="L669" s="6">
        <f>HYPERLINK("C:\Projects\Kleinanzeigen-Scraper\offer_images\2865510071", "Link")</f>
        <v/>
      </c>
      <c r="M669" t="inlineStr">
        <is>
          <t>Dierk Heinlein</t>
        </is>
      </c>
      <c r="N669" s="6">
        <f>HYPERLINK("https://www.kleinanzeigen.de/s-bestandsliste.html?userId=47500154", "Link")</f>
        <v/>
      </c>
      <c r="O669" s="7" t="n">
        <v>45555.55577546296</v>
      </c>
      <c r="P669" s="3" t="inlineStr">
        <is>
          <t>538.88</t>
        </is>
      </c>
      <c r="Q669" t="inlineStr">
        <is>
          <t>Köln</t>
        </is>
      </c>
    </row>
    <row r="670">
      <c r="A670" t="inlineStr"/>
      <c r="B670" t="inlineStr">
        <is>
          <t>Rrd</t>
        </is>
      </c>
      <c r="C670" t="inlineStr">
        <is>
          <t>Freewave</t>
        </is>
      </c>
      <c r="D670" s="3" t="n">
        <v>100</v>
      </c>
      <c r="E670" t="inlineStr"/>
      <c r="F670" s="4" t="n">
        <v>50</v>
      </c>
      <c r="G670" t="inlineStr">
        <is>
          <t>VB</t>
        </is>
      </c>
      <c r="H670" t="inlineStr">
        <is>
          <t>20259 Eimsbüttel - Hamburg Eimsbüttel (Stadtteil)</t>
        </is>
      </c>
      <c r="I670" s="5" t="n">
        <v>45553</v>
      </c>
      <c r="J670" t="inlineStr"/>
      <c r="K670" s="6">
        <f>HYPERLINK("https://www.kleinanzeigen.de/s-anzeige/rrd-wave-windsurfboard-top-inkl-wave-finne-und-f-schlaufen/2867057761-230-9427", "Link")</f>
        <v/>
      </c>
      <c r="L670" s="6">
        <f>HYPERLINK("C:\Projects\Kleinanzeigen-Scraper\offer_images\2867057761", "Link")</f>
        <v/>
      </c>
      <c r="M670" t="inlineStr">
        <is>
          <t>AnnaSas</t>
        </is>
      </c>
      <c r="N670" s="6">
        <f>HYPERLINK("https://www.kleinanzeigen.de/s-bestandsliste.html?userId=140552053", "Link")</f>
        <v/>
      </c>
      <c r="O670" s="7" t="n">
        <v>45555.55564814815</v>
      </c>
      <c r="P670" s="3" t="inlineStr">
        <is>
          <t>356.92</t>
        </is>
      </c>
      <c r="Q670" t="inlineStr">
        <is>
          <t>Köln</t>
        </is>
      </c>
    </row>
    <row r="671">
      <c r="A671" t="inlineStr"/>
      <c r="B671" t="inlineStr">
        <is>
          <t>Fanatic Hawk</t>
        </is>
      </c>
      <c r="C671" t="inlineStr">
        <is>
          <t>Freeride</t>
        </is>
      </c>
      <c r="D671" s="3" t="n">
        <v>125</v>
      </c>
      <c r="E671" t="inlineStr"/>
      <c r="F671" s="4" t="n">
        <v>370</v>
      </c>
      <c r="G671" t="inlineStr"/>
      <c r="H671" t="inlineStr">
        <is>
          <t>23775 Kreis Ostholstein - Großenbrode</t>
        </is>
      </c>
      <c r="I671" s="5" t="n">
        <v>45552</v>
      </c>
      <c r="J671" t="inlineStr">
        <is>
          <t>Sold</t>
        </is>
      </c>
      <c r="K671" s="6">
        <f>HYPERLINK("https://www.kleinanzeigen.de/s-anzeige/fanatic-hawk-125-wood-sandwich-/2866367467-230-429", "Link")</f>
        <v/>
      </c>
      <c r="L671" s="6">
        <f>HYPERLINK("C:\Projects\Kleinanzeigen-Scraper\offer_images\2866367467", "Link")</f>
        <v/>
      </c>
      <c r="M671" t="inlineStr">
        <is>
          <t>heiligenhafen</t>
        </is>
      </c>
      <c r="N671" s="6">
        <f>HYPERLINK("https://www.kleinanzeigen.de/s-bestandsliste.html?userId=21083285", "Link")</f>
        <v/>
      </c>
      <c r="O671" s="7" t="n">
        <v>45555.55548611111</v>
      </c>
      <c r="P671" s="3" t="inlineStr">
        <is>
          <t>471.97</t>
        </is>
      </c>
      <c r="Q671" t="inlineStr">
        <is>
          <t>Köln</t>
        </is>
      </c>
    </row>
    <row r="672">
      <c r="A672" t="inlineStr">
        <is>
          <t>250 x 84 x 15 cm</t>
        </is>
      </c>
      <c r="B672" t="inlineStr">
        <is>
          <t>STX 250 WS Freeride</t>
        </is>
      </c>
      <c r="C672" t="inlineStr">
        <is>
          <t>Freeride</t>
        </is>
      </c>
      <c r="D672" s="3" t="n">
        <v>250</v>
      </c>
      <c r="E672" t="inlineStr"/>
      <c r="F672" s="4" t="n">
        <v>480</v>
      </c>
      <c r="G672" t="inlineStr">
        <is>
          <t>VB</t>
        </is>
      </c>
      <c r="H672" t="inlineStr">
        <is>
          <t>79639 Baden-Württemberg - Grenzach-Wyhlen</t>
        </is>
      </c>
      <c r="I672" s="5" t="n">
        <v>45553</v>
      </c>
      <c r="J672" t="inlineStr"/>
      <c r="K672" s="6">
        <f>HYPERLINK("https://www.kleinanzeigen.de/s-anzeige/stx-250-ws-freeride-inflatable-windsurf-board-sup/2867481608-230-8328", "Link")</f>
        <v/>
      </c>
      <c r="L672" s="6">
        <f>HYPERLINK("C:\Projects\Kleinanzeigen-Scraper\offer_images\2867481608", "Link")</f>
        <v/>
      </c>
      <c r="M672" t="inlineStr">
        <is>
          <t>Marcel</t>
        </is>
      </c>
      <c r="N672" s="6">
        <f>HYPERLINK("https://www.kleinanzeigen.de/s-bestandsliste.html?userId=26130970", "Link")</f>
        <v/>
      </c>
      <c r="O672" s="7" t="n">
        <v>45555.55547453704</v>
      </c>
      <c r="P672" s="3" t="inlineStr">
        <is>
          <t>57.37</t>
        </is>
      </c>
      <c r="Q672" t="inlineStr">
        <is>
          <t>Bonndorf</t>
        </is>
      </c>
    </row>
    <row r="673">
      <c r="A673" t="inlineStr">
        <is>
          <t>277 cm</t>
        </is>
      </c>
      <c r="B673" t="inlineStr">
        <is>
          <t>Mistral Screamer CGI</t>
        </is>
      </c>
      <c r="C673" t="inlineStr">
        <is>
          <t>Slalom</t>
        </is>
      </c>
      <c r="D673" s="3" t="n">
        <v>103</v>
      </c>
      <c r="E673" t="inlineStr"/>
      <c r="F673" s="4" t="n">
        <v>150</v>
      </c>
      <c r="G673" t="inlineStr"/>
      <c r="H673" t="inlineStr">
        <is>
          <t>67067 Rheinland-Pfalz - Ludwigshafen</t>
        </is>
      </c>
      <c r="I673" s="5" t="n">
        <v>45554</v>
      </c>
      <c r="J673" t="inlineStr"/>
      <c r="K673" s="6">
        <f>HYPERLINK("https://www.kleinanzeigen.de/s-anzeige/mistral-screamer-cgi-windsurf-board/2868437274-230-5384", "Link")</f>
        <v/>
      </c>
      <c r="L673" s="6">
        <f>HYPERLINK("C:\Projects\Kleinanzeigen-Scraper\offer_images\2868437274", "Link")</f>
        <v/>
      </c>
      <c r="M673" t="inlineStr">
        <is>
          <t>GPfeiffer</t>
        </is>
      </c>
      <c r="N673" s="6">
        <f>HYPERLINK("https://www.kleinanzeigen.de/s-bestandsliste.html?userId=38525979", "Link")</f>
        <v/>
      </c>
      <c r="O673" s="7" t="n">
        <v>45555.55545138889</v>
      </c>
      <c r="P673" s="3" t="inlineStr">
        <is>
          <t>50.44</t>
        </is>
      </c>
      <c r="Q673" t="inlineStr">
        <is>
          <t>Karlsruhe</t>
        </is>
      </c>
    </row>
    <row r="674">
      <c r="A674" t="inlineStr"/>
      <c r="B674" t="inlineStr">
        <is>
          <t>BIC</t>
        </is>
      </c>
      <c r="C674" t="inlineStr"/>
      <c r="D674" s="3" t="n">
        <v>130</v>
      </c>
      <c r="E674" t="inlineStr"/>
      <c r="F674" s="4" t="n">
        <v>50</v>
      </c>
      <c r="G674" t="inlineStr"/>
      <c r="H674" t="inlineStr">
        <is>
          <t>24251 Schleswig-Holstein - Osdorf</t>
        </is>
      </c>
      <c r="I674" s="5" t="n">
        <v>45553</v>
      </c>
      <c r="J674" t="inlineStr"/>
      <c r="K674" s="6">
        <f>HYPERLINK("https://www.kleinanzeigen.de/s-anzeige/einsteiger-windsurf-brett/2866970235-230-528", "Link")</f>
        <v/>
      </c>
      <c r="L674" s="6">
        <f>HYPERLINK("C:\Projects\Kleinanzeigen-Scraper\offer_images\2866970235", "Link")</f>
        <v/>
      </c>
      <c r="M674" t="inlineStr">
        <is>
          <t>Niklas Lange</t>
        </is>
      </c>
      <c r="N674" s="6">
        <f>HYPERLINK("https://www.kleinanzeigen.de/s-bestandsliste.html?userId=7188080", "Link")</f>
        <v/>
      </c>
      <c r="O674" s="7" t="n">
        <v>45555.55538194445</v>
      </c>
      <c r="P674" s="3" t="inlineStr">
        <is>
          <t>439.53</t>
        </is>
      </c>
      <c r="Q674" t="inlineStr">
        <is>
          <t>Köln</t>
        </is>
      </c>
    </row>
    <row r="675">
      <c r="A675" t="inlineStr">
        <is>
          <t>9'5</t>
        </is>
      </c>
      <c r="B675" t="inlineStr">
        <is>
          <t>Naish</t>
        </is>
      </c>
      <c r="C675" t="inlineStr">
        <is>
          <t>Surf-SUP</t>
        </is>
      </c>
      <c r="D675" s="3" t="inlineStr"/>
      <c r="E675" t="inlineStr"/>
      <c r="F675" s="4" t="n">
        <v>400</v>
      </c>
      <c r="G675" t="inlineStr"/>
      <c r="H675" t="inlineStr">
        <is>
          <t>53115 Bonn - Bonn-Zentrum</t>
        </is>
      </c>
      <c r="I675" s="5" t="n">
        <v>45555</v>
      </c>
      <c r="J675" t="inlineStr">
        <is>
          <t>Sold</t>
        </is>
      </c>
      <c r="K675" s="6">
        <f>HYPERLINK("https://www.kleinanzeigen.de/s-anzeige/naish-mana-9-5-sup-surfboard/2868696751-230-23685", "Link")</f>
        <v/>
      </c>
      <c r="L675" s="6">
        <f>HYPERLINK("C:\Projects\Kleinanzeigen-Scraper\offer_images\2868696751", "Link")</f>
        <v/>
      </c>
      <c r="M675" t="inlineStr">
        <is>
          <t>Jonas Nettekoven</t>
        </is>
      </c>
      <c r="N675" s="6">
        <f>HYPERLINK("https://www.kleinanzeigen.de/s-bestandsliste.html?userId=1958880", "Link")</f>
        <v/>
      </c>
      <c r="O675" s="7" t="n">
        <v>45555.5553125</v>
      </c>
      <c r="P675" s="3" t="inlineStr">
        <is>
          <t>25.98</t>
        </is>
      </c>
      <c r="Q675" t="inlineStr">
        <is>
          <t>Köln</t>
        </is>
      </c>
    </row>
    <row r="676">
      <c r="A676" t="inlineStr">
        <is>
          <t>136.139</t>
        </is>
      </c>
      <c r="B676" t="inlineStr">
        <is>
          <t>Duotone Jamie</t>
        </is>
      </c>
      <c r="C676" t="inlineStr"/>
      <c r="D676" s="3" t="inlineStr"/>
      <c r="E676" t="inlineStr">
        <is>
          <t>2025</t>
        </is>
      </c>
      <c r="F676" s="4" t="n">
        <v>1.038</v>
      </c>
      <c r="G676" t="inlineStr">
        <is>
          <t>VB</t>
        </is>
      </c>
      <c r="H676" t="inlineStr">
        <is>
          <t>23769 Fehmarn - Westfehmarn</t>
        </is>
      </c>
      <c r="I676" s="5" t="n">
        <v>45553</v>
      </c>
      <c r="J676" t="inlineStr">
        <is>
          <t>Sold</t>
        </is>
      </c>
      <c r="K676" s="6">
        <f>HYPERLINK("https://www.kleinanzeigen.de/s-anzeige/duotone-jamie-2025-136-139/2867128868-230-430", "Link")</f>
        <v/>
      </c>
      <c r="L676" s="6">
        <f>HYPERLINK("C:\Projects\Kleinanzeigen-Scraper\offer_images\2867128868", "Link")</f>
        <v/>
      </c>
      <c r="M676" t="inlineStr">
        <is>
          <t>No user name</t>
        </is>
      </c>
      <c r="N676" s="6">
        <f>HYPERLINK("https://www.kleinanzeigen.deNo user link", "Link")</f>
        <v/>
      </c>
      <c r="O676" s="7" t="n">
        <v>45555.55528935185</v>
      </c>
      <c r="P676" s="3" t="inlineStr">
        <is>
          <t>483.01</t>
        </is>
      </c>
      <c r="Q676" t="inlineStr">
        <is>
          <t>Köln</t>
        </is>
      </c>
    </row>
    <row r="677">
      <c r="A677" t="inlineStr"/>
      <c r="B677" t="inlineStr">
        <is>
          <t>Starboard Foil Slalom</t>
        </is>
      </c>
      <c r="C677" t="inlineStr">
        <is>
          <t>Slalom</t>
        </is>
      </c>
      <c r="D677" s="3" t="inlineStr"/>
      <c r="E677" t="inlineStr"/>
      <c r="F677" s="4" t="n">
        <v>799</v>
      </c>
      <c r="G677" t="inlineStr"/>
      <c r="H677" t="inlineStr">
        <is>
          <t>24943 Schleswig-Holstein - Flensburg</t>
        </is>
      </c>
      <c r="I677" s="5" t="n">
        <v>45550</v>
      </c>
      <c r="J677" t="inlineStr">
        <is>
          <t>Sold</t>
        </is>
      </c>
      <c r="K677" s="6">
        <f>HYPERLINK("https://www.kleinanzeigen.de/s-anzeige/windsurfbrett-starboard-foil-slalom-91/2864114210-230-17392", "Link")</f>
        <v/>
      </c>
      <c r="L677" s="6">
        <f>HYPERLINK("C:\Projects\Kleinanzeigen-Scraper\offer_images\2864114210", "Link")</f>
        <v/>
      </c>
      <c r="M677" t="inlineStr">
        <is>
          <t>Studt</t>
        </is>
      </c>
      <c r="N677" s="6">
        <f>HYPERLINK("https://www.kleinanzeigen.de/s-bestandsliste.html?userId=51870016", "Link")</f>
        <v/>
      </c>
      <c r="O677" s="7" t="n">
        <v>45555.55512731482</v>
      </c>
      <c r="P677" s="3" t="inlineStr">
        <is>
          <t>459.78</t>
        </is>
      </c>
      <c r="Q677" t="inlineStr">
        <is>
          <t>Köln</t>
        </is>
      </c>
    </row>
    <row r="678">
      <c r="A678" t="inlineStr">
        <is>
          <t>298 cm x 64 cm</t>
        </is>
      </c>
      <c r="B678" t="inlineStr">
        <is>
          <t>Fanatic Ultra Rabbit</t>
        </is>
      </c>
      <c r="C678" t="inlineStr">
        <is>
          <t>Slalom</t>
        </is>
      </c>
      <c r="D678" s="3" t="n">
        <v>130</v>
      </c>
      <c r="E678" t="inlineStr"/>
      <c r="F678" s="4" t="n">
        <v>65</v>
      </c>
      <c r="G678" t="inlineStr"/>
      <c r="H678" t="inlineStr">
        <is>
          <t>86343 Bayern - Königsbrunn</t>
        </is>
      </c>
      <c r="I678" s="5" t="n">
        <v>45512</v>
      </c>
      <c r="J678" t="inlineStr">
        <is>
          <t>Sold</t>
        </is>
      </c>
      <c r="K678" s="6">
        <f>HYPERLINK("https://www.kleinanzeigen.de/s-anzeige/windsurfboard-surfbrett-fanatic-ultra-rabbit/2832118792-230-7034", "Link")</f>
        <v/>
      </c>
      <c r="L678" s="6">
        <f>HYPERLINK("C:\Projects\Kleinanzeigen-Scraper\offer_images\2832118792", "Link")</f>
        <v/>
      </c>
      <c r="M678" t="inlineStr">
        <is>
          <t>Siggi</t>
        </is>
      </c>
      <c r="N678" s="6">
        <f>HYPERLINK("https://www.kleinanzeigen.de/s-bestandsliste.html?userId=70516758", "Link")</f>
        <v/>
      </c>
      <c r="O678" s="7" t="n">
        <v>45555.55508101852</v>
      </c>
      <c r="P678" s="3" t="inlineStr">
        <is>
          <t>52.97</t>
        </is>
      </c>
      <c r="Q678" t="inlineStr">
        <is>
          <t>München</t>
        </is>
      </c>
    </row>
    <row r="679">
      <c r="A679" t="inlineStr">
        <is>
          <t>139cm</t>
        </is>
      </c>
      <c r="B679" t="inlineStr">
        <is>
          <t>North (Duotone) Jaime</t>
        </is>
      </c>
      <c r="C679" t="inlineStr"/>
      <c r="D679" s="3" t="inlineStr"/>
      <c r="E679" t="inlineStr"/>
      <c r="F679" s="4" t="n">
        <v>329</v>
      </c>
      <c r="G679" t="inlineStr">
        <is>
          <t>VB</t>
        </is>
      </c>
      <c r="H679" t="inlineStr">
        <is>
          <t>20249 Hamburg-Nord - Hamburg Eppendorf</t>
        </is>
      </c>
      <c r="I679" s="5" t="n">
        <v>45552</v>
      </c>
      <c r="J679" t="inlineStr"/>
      <c r="K679" s="6">
        <f>HYPERLINK("https://www.kleinanzeigen.de/s-anzeige/north-duotone-jaime-139cm/2866532125-230-9476", "Link")</f>
        <v/>
      </c>
      <c r="L679" s="6">
        <f>HYPERLINK("C:\Projects\Kleinanzeigen-Scraper\offer_images\2866532125", "Link")</f>
        <v/>
      </c>
      <c r="M679" t="inlineStr">
        <is>
          <t>Tobias Stricker</t>
        </is>
      </c>
      <c r="N679" s="6">
        <f>HYPERLINK("https://www.kleinanzeigen.de/s-bestandsliste.html?userId=12041575", "Link")</f>
        <v/>
      </c>
      <c r="O679" s="7" t="n">
        <v>45555.55502314815</v>
      </c>
      <c r="P679" s="3" t="inlineStr">
        <is>
          <t>359.93</t>
        </is>
      </c>
      <c r="Q679" t="inlineStr">
        <is>
          <t>Köln</t>
        </is>
      </c>
    </row>
    <row r="680">
      <c r="A680" t="inlineStr"/>
      <c r="B680" t="inlineStr">
        <is>
          <t>JP</t>
        </is>
      </c>
      <c r="C680" t="inlineStr">
        <is>
          <t>Foil</t>
        </is>
      </c>
      <c r="D680" s="3" t="inlineStr"/>
      <c r="E680" t="inlineStr"/>
      <c r="F680" s="4" t="n">
        <v>760</v>
      </c>
      <c r="G680" t="inlineStr">
        <is>
          <t>VB</t>
        </is>
      </c>
      <c r="H680" t="inlineStr">
        <is>
          <t>24116 Kiel - Schreventeich-Hasseldieksdamm</t>
        </is>
      </c>
      <c r="I680" s="5" t="n">
        <v>45552</v>
      </c>
      <c r="J680" t="inlineStr">
        <is>
          <t>Sold</t>
        </is>
      </c>
      <c r="K680" s="6">
        <f>HYPERLINK("https://www.kleinanzeigen.de/s-anzeige/jp-foil-board-windsurf-naish-foil-schlaufen-reduziert/2866119801-230-703", "Link")</f>
        <v/>
      </c>
      <c r="L680" s="6">
        <f>HYPERLINK("C:\Projects\Kleinanzeigen-Scraper\offer_images\2866119801", "Link")</f>
        <v/>
      </c>
      <c r="M680" t="inlineStr">
        <is>
          <t>Lennart</t>
        </is>
      </c>
      <c r="N680" s="6">
        <f>HYPERLINK("https://www.kleinanzeigen.de/s-bestandsliste.html?userId=46281442", "Link")</f>
        <v/>
      </c>
      <c r="O680" s="7" t="n">
        <v>45555.55497685185</v>
      </c>
      <c r="P680" s="3" t="inlineStr">
        <is>
          <t>432.62</t>
        </is>
      </c>
      <c r="Q680" t="inlineStr">
        <is>
          <t>Köln</t>
        </is>
      </c>
    </row>
    <row r="681">
      <c r="A681" t="inlineStr">
        <is>
          <t>136 x 41</t>
        </is>
      </c>
      <c r="B681" t="inlineStr">
        <is>
          <t>North Jaime Textreme (Duotone SLS)</t>
        </is>
      </c>
      <c r="C681" t="inlineStr"/>
      <c r="D681" s="3" t="inlineStr"/>
      <c r="E681" t="inlineStr"/>
      <c r="F681" s="4" t="n">
        <v>480</v>
      </c>
      <c r="G681" t="inlineStr">
        <is>
          <t>VB</t>
        </is>
      </c>
      <c r="H681" t="inlineStr">
        <is>
          <t>12055 Berlin - Neukölln</t>
        </is>
      </c>
      <c r="I681" s="5" t="n">
        <v>45552</v>
      </c>
      <c r="J681" t="inlineStr"/>
      <c r="K681" s="6">
        <f>HYPERLINK("https://www.kleinanzeigen.de/s-anzeige/north-jaime-textreme-carbon-board-duotone-sls-136-x-41/2866754619-230-3392", "Link")</f>
        <v/>
      </c>
      <c r="L681" s="6">
        <f>HYPERLINK("C:\Projects\Kleinanzeigen-Scraper\offer_images\2866754619", "Link")</f>
        <v/>
      </c>
      <c r="M681" t="inlineStr">
        <is>
          <t>_Jo_</t>
        </is>
      </c>
      <c r="N681" s="6">
        <f>HYPERLINK("https://www.kleinanzeigen.de/s-bestandsliste.html?userId=20011468", "Link")</f>
        <v/>
      </c>
      <c r="O681" s="7" t="n">
        <v>45555.55489583333</v>
      </c>
      <c r="P681" s="3" t="inlineStr">
        <is>
          <t>478.77</t>
        </is>
      </c>
      <c r="Q681" t="inlineStr">
        <is>
          <t>Köln</t>
        </is>
      </c>
    </row>
    <row r="682">
      <c r="A682" t="inlineStr">
        <is>
          <t>12'6 x 25.5</t>
        </is>
      </c>
      <c r="B682" t="inlineStr">
        <is>
          <t>Starboard Allstar Airline</t>
        </is>
      </c>
      <c r="C682" t="inlineStr"/>
      <c r="D682" s="3" t="inlineStr"/>
      <c r="E682" t="inlineStr"/>
      <c r="F682" s="4" t="n">
        <v>550</v>
      </c>
      <c r="G682" t="inlineStr"/>
      <c r="H682" t="inlineStr">
        <is>
          <t>24340 Schleswig-Holstein - Eckernförde</t>
        </is>
      </c>
      <c r="I682" s="5" t="n">
        <v>45554</v>
      </c>
      <c r="J682" t="inlineStr"/>
      <c r="K682" s="6">
        <f>HYPERLINK("https://www.kleinanzeigen.de/s-anzeige/starboard-allstar-airline-12-6-x25-5/2868098115-230-13234", "Link")</f>
        <v/>
      </c>
      <c r="L682" s="6">
        <f>HYPERLINK("C:\Projects\Kleinanzeigen-Scraper\offer_images\2868098115", "Link")</f>
        <v/>
      </c>
      <c r="M682" t="inlineStr">
        <is>
          <t>Tanja Miranda</t>
        </is>
      </c>
      <c r="N682" s="6">
        <f>HYPERLINK("https://www.kleinanzeigen.de/s-bestandsliste.html?userId=77431213", "Link")</f>
        <v/>
      </c>
      <c r="O682" s="7" t="n">
        <v>45555.55476851852</v>
      </c>
      <c r="P682" s="3" t="inlineStr">
        <is>
          <t>434.69</t>
        </is>
      </c>
      <c r="Q682" t="inlineStr">
        <is>
          <t>Köln</t>
        </is>
      </c>
    </row>
    <row r="683">
      <c r="A683" t="inlineStr">
        <is>
          <t>233 cm x 70 cm</t>
        </is>
      </c>
      <c r="B683" t="inlineStr">
        <is>
          <t>Fanatic Blast LTD</t>
        </is>
      </c>
      <c r="C683" t="inlineStr">
        <is>
          <t>Freeride</t>
        </is>
      </c>
      <c r="D683" s="3" t="n">
        <v>130</v>
      </c>
      <c r="E683" t="inlineStr"/>
      <c r="F683" s="4" t="n">
        <v>665</v>
      </c>
      <c r="G683" t="inlineStr"/>
      <c r="H683" t="inlineStr">
        <is>
          <t>39116 Sachsen-Anhalt - Magdeburg</t>
        </is>
      </c>
      <c r="I683" s="5" t="n">
        <v>45553</v>
      </c>
      <c r="J683" t="inlineStr"/>
      <c r="K683" s="6">
        <f>HYPERLINK("https://www.kleinanzeigen.de/s-anzeige/fanatic-blast-ltd-130-liter/2867184887-230-2234", "Link")</f>
        <v/>
      </c>
      <c r="L683" s="6">
        <f>HYPERLINK("C:\Projects\Kleinanzeigen-Scraper\offer_images\2867184887", "Link")</f>
        <v/>
      </c>
      <c r="M683" t="inlineStr">
        <is>
          <t>Vlasits</t>
        </is>
      </c>
      <c r="N683" s="6">
        <f>HYPERLINK("https://www.kleinanzeigen.de/s-bestandsliste.html?userId=33409096", "Link")</f>
        <v/>
      </c>
      <c r="O683" s="7" t="n">
        <v>45555.55466435185</v>
      </c>
      <c r="P683" s="3" t="inlineStr">
        <is>
          <t>342.84</t>
        </is>
      </c>
      <c r="Q683" t="inlineStr">
        <is>
          <t>Köln</t>
        </is>
      </c>
    </row>
    <row r="684">
      <c r="A684" t="inlineStr"/>
      <c r="B684" t="inlineStr">
        <is>
          <t>Fanatic Falcon</t>
        </is>
      </c>
      <c r="C684" t="inlineStr">
        <is>
          <t>Slalom/Windfoil</t>
        </is>
      </c>
      <c r="D684" s="3" t="n">
        <v>140</v>
      </c>
      <c r="E684" t="inlineStr"/>
      <c r="F684" s="4" t="n">
        <v>120</v>
      </c>
      <c r="G684" t="inlineStr"/>
      <c r="H684" t="inlineStr">
        <is>
          <t>24251 Schleswig-Holstein - Osdorf</t>
        </is>
      </c>
      <c r="I684" s="5" t="n">
        <v>45553</v>
      </c>
      <c r="J684" t="inlineStr"/>
      <c r="K684" s="6">
        <f>HYPERLINK("https://www.kleinanzeigen.de/s-anzeige/windfoil-slalom-board-fanatic-falcon-140-l/2866966222-230-528", "Link")</f>
        <v/>
      </c>
      <c r="L684" s="6">
        <f>HYPERLINK("C:\Projects\Kleinanzeigen-Scraper\offer_images\2866966222", "Link")</f>
        <v/>
      </c>
      <c r="M684" t="inlineStr">
        <is>
          <t>Niklas Lange</t>
        </is>
      </c>
      <c r="N684" s="6">
        <f>HYPERLINK("https://www.kleinanzeigen.de/s-bestandsliste.html?userId=7188080", "Link")</f>
        <v/>
      </c>
      <c r="O684" s="7" t="n">
        <v>45555.55445601852</v>
      </c>
      <c r="P684" s="3" t="inlineStr">
        <is>
          <t>439.53</t>
        </is>
      </c>
      <c r="Q684" t="inlineStr">
        <is>
          <t>Köln</t>
        </is>
      </c>
    </row>
    <row r="685">
      <c r="A685" t="inlineStr">
        <is>
          <t>280 x 94 cm</t>
        </is>
      </c>
      <c r="B685" t="inlineStr">
        <is>
          <t>Starboard Start</t>
        </is>
      </c>
      <c r="C685" t="inlineStr">
        <is>
          <t>Beginner</t>
        </is>
      </c>
      <c r="D685" s="3" t="n">
        <v>220</v>
      </c>
      <c r="E685" t="inlineStr"/>
      <c r="F685" s="4" t="n">
        <v>400</v>
      </c>
      <c r="G685" t="inlineStr"/>
      <c r="H685" t="inlineStr">
        <is>
          <t>12527 Berlin - Köpenick</t>
        </is>
      </c>
      <c r="I685" s="5" t="n">
        <v>45552</v>
      </c>
      <c r="J685" t="inlineStr">
        <is>
          <t>Sold</t>
        </is>
      </c>
      <c r="K685" s="6">
        <f>HYPERLINK("https://www.kleinanzeigen.de/s-anzeige/starboard-start-220l-anfaenger-surfbrett-surfboard-surfausruestung/2866232646-230-3370", "Link")</f>
        <v/>
      </c>
      <c r="L685" s="6">
        <f>HYPERLINK("C:\Projects\Kleinanzeigen-Scraper\offer_images\2866232646", "Link")</f>
        <v/>
      </c>
      <c r="M685" t="inlineStr">
        <is>
          <t>ste</t>
        </is>
      </c>
      <c r="N685" s="6">
        <f>HYPERLINK("https://www.kleinanzeigen.de/s-bestandsliste.html?userId=27311742", "Link")</f>
        <v/>
      </c>
      <c r="O685" s="7" t="n">
        <v>45555.55440972222</v>
      </c>
      <c r="P685" s="3" t="inlineStr">
        <is>
          <t>487.71</t>
        </is>
      </c>
      <c r="Q685" t="inlineStr">
        <is>
          <t>Köln</t>
        </is>
      </c>
    </row>
    <row r="686">
      <c r="A686" t="inlineStr">
        <is>
          <t>267x80</t>
        </is>
      </c>
      <c r="B686" t="inlineStr">
        <is>
          <t>Lorch Bird 165 Black Edition</t>
        </is>
      </c>
      <c r="C686" t="inlineStr">
        <is>
          <t>Freerace</t>
        </is>
      </c>
      <c r="D686" s="3" t="n">
        <v>165</v>
      </c>
      <c r="E686" t="inlineStr">
        <is>
          <t>2021</t>
        </is>
      </c>
      <c r="F686" s="4" t="n">
        <v>1.399</v>
      </c>
      <c r="G686" t="inlineStr"/>
      <c r="H686" t="inlineStr">
        <is>
          <t>85368 Wang (bei Moosburg a. d. Isar)</t>
        </is>
      </c>
      <c r="I686" s="5" t="n">
        <v>45551</v>
      </c>
      <c r="J686" t="inlineStr">
        <is>
          <t>Sold</t>
        </is>
      </c>
      <c r="K686" s="6">
        <f>HYPERLINK("https://www.dailydose.de/kleinanzeigen/detail.htm?ai=422703&amp;cf=kk&amp;pg=5&amp;ci=11", "Link")</f>
        <v/>
      </c>
      <c r="L686" s="6">
        <f>HYPERLINK("C:\Projects\Kleinanzeigen-Scraper\offer_images\422703", "Link")</f>
        <v/>
      </c>
      <c r="M686" t="inlineStr">
        <is>
          <t>Chris_1</t>
        </is>
      </c>
      <c r="N686" s="6">
        <f>HYPERLINK("https://www.dailydose.de/kleinanzeigen/user/5806", "Link")</f>
        <v/>
      </c>
      <c r="O686" s="7" t="n">
        <v>45551.60395833333</v>
      </c>
      <c r="P686" s="3" t="inlineStr">
        <is>
          <t>46.07</t>
        </is>
      </c>
      <c r="Q686" t="inlineStr">
        <is>
          <t>München</t>
        </is>
      </c>
    </row>
    <row r="687">
      <c r="A687" t="inlineStr"/>
      <c r="B687" t="inlineStr">
        <is>
          <t>Starboard Kode</t>
        </is>
      </c>
      <c r="C687" t="inlineStr">
        <is>
          <t>Freeride</t>
        </is>
      </c>
      <c r="D687" s="3" t="n">
        <v>103</v>
      </c>
      <c r="E687" t="inlineStr">
        <is>
          <t>2016</t>
        </is>
      </c>
      <c r="F687" s="4" t="n">
        <v>549</v>
      </c>
      <c r="G687" t="inlineStr"/>
      <c r="H687" t="inlineStr">
        <is>
          <t>04158 Leipzig</t>
        </is>
      </c>
      <c r="I687" s="5" t="n">
        <v>45551</v>
      </c>
      <c r="J687" t="inlineStr">
        <is>
          <t>Sold</t>
        </is>
      </c>
      <c r="K687" s="6">
        <f>HYPERLINK("https://www.dailydose.de/kleinanzeigen/detail.htm?ai=422720&amp;cf=kk&amp;pg=4&amp;ci=11", "Link")</f>
        <v/>
      </c>
      <c r="L687" s="6">
        <f>HYPERLINK("C:\Projects\Kleinanzeigen-Scraper\offer_images\422720", "Link")</f>
        <v/>
      </c>
      <c r="M687" t="inlineStr">
        <is>
          <t>lippmdan</t>
        </is>
      </c>
      <c r="N687" s="6">
        <f>HYPERLINK("https://www.dailydose.de/kleinanzeigen/user/6528", "Link")</f>
        <v/>
      </c>
      <c r="O687" s="7" t="n">
        <v>45551.6024537037</v>
      </c>
      <c r="P687" s="3" t="inlineStr">
        <is>
          <t>367.32</t>
        </is>
      </c>
      <c r="Q687" t="inlineStr">
        <is>
          <t>München</t>
        </is>
      </c>
    </row>
    <row r="688">
      <c r="A688" t="inlineStr">
        <is>
          <t>228 cm x 67 cm</t>
        </is>
      </c>
      <c r="B688" t="inlineStr">
        <is>
          <t>Starboard Futura</t>
        </is>
      </c>
      <c r="C688" t="inlineStr">
        <is>
          <t>Slalom</t>
        </is>
      </c>
      <c r="D688" s="3" t="n">
        <v>106</v>
      </c>
      <c r="E688" t="inlineStr">
        <is>
          <t>2022</t>
        </is>
      </c>
      <c r="F688" s="4" t="n">
        <v>990</v>
      </c>
      <c r="G688" t="inlineStr"/>
      <c r="H688" t="inlineStr">
        <is>
          <t>21217 Seevetal GT Meckelfeld</t>
        </is>
      </c>
      <c r="I688" s="5" t="n">
        <v>45551</v>
      </c>
      <c r="J688" t="inlineStr">
        <is>
          <t>Sold</t>
        </is>
      </c>
      <c r="K688" s="6">
        <f>HYPERLINK("https://www.dailydose.de/kleinanzeigen/detail.htm?ai=422709&amp;cf=kk&amp;pg=5&amp;ci=11", "Link")</f>
        <v/>
      </c>
      <c r="L688" s="6">
        <f>HYPERLINK("C:\Projects\Kleinanzeigen-Scraper\offer_images\422709", "Link")</f>
        <v/>
      </c>
      <c r="M688" t="inlineStr">
        <is>
          <t>joey</t>
        </is>
      </c>
      <c r="N688" s="6">
        <f>HYPERLINK("https://www.dailydose.de/kleinanzeigen/user/12288", "Link")</f>
        <v/>
      </c>
      <c r="O688" s="7" t="n">
        <v>45551.60162037037</v>
      </c>
      <c r="P688" s="3" t="inlineStr">
        <is>
          <t>348.89</t>
        </is>
      </c>
      <c r="Q688" t="inlineStr">
        <is>
          <t>Köln</t>
        </is>
      </c>
    </row>
    <row r="689">
      <c r="A689" t="inlineStr">
        <is>
          <t>236 cm x 61 cm</t>
        </is>
      </c>
      <c r="B689" t="inlineStr">
        <is>
          <t>Naish Koncept</t>
        </is>
      </c>
      <c r="C689" t="inlineStr">
        <is>
          <t>Freestyle Wave</t>
        </is>
      </c>
      <c r="D689" s="3" t="n">
        <v>90</v>
      </c>
      <c r="E689" t="inlineStr">
        <is>
          <t>2012</t>
        </is>
      </c>
      <c r="F689" s="4" t="n">
        <v>187</v>
      </c>
      <c r="G689" t="inlineStr">
        <is>
          <t>VB</t>
        </is>
      </c>
      <c r="H689" t="inlineStr">
        <is>
          <t>10961 Berlin</t>
        </is>
      </c>
      <c r="I689" s="5" t="n">
        <v>45551</v>
      </c>
      <c r="J689" t="inlineStr">
        <is>
          <t>Sold</t>
        </is>
      </c>
      <c r="K689" s="6">
        <f>HYPERLINK("https://www.dailydose.de/kleinanzeigen/detail.htm?ai=422718&amp;cf=kk&amp;pg=5&amp;ci=11", "Link")</f>
        <v/>
      </c>
      <c r="L689" s="6">
        <f>HYPERLINK("C:\Projects\Kleinanzeigen-Scraper\offer_images\422718", "Link")</f>
        <v/>
      </c>
      <c r="M689" t="inlineStr">
        <is>
          <t>Surfpunk</t>
        </is>
      </c>
      <c r="N689" s="6">
        <f>HYPERLINK("https://www.dailydose.de/kleinanzeigen/user/14556", "Link")</f>
        <v/>
      </c>
      <c r="O689" s="7" t="n">
        <v>45551.60039351852</v>
      </c>
      <c r="P689" s="3" t="inlineStr">
        <is>
          <t>476.13</t>
        </is>
      </c>
      <c r="Q689" t="inlineStr">
        <is>
          <t>Köln</t>
        </is>
      </c>
    </row>
    <row r="690">
      <c r="A690" t="inlineStr">
        <is>
          <t>Dimensions not specified</t>
        </is>
      </c>
      <c r="B690" t="inlineStr">
        <is>
          <t>Fanatic Triwave</t>
        </is>
      </c>
      <c r="C690" t="inlineStr">
        <is>
          <t>Wave</t>
        </is>
      </c>
      <c r="D690" s="3" t="n">
        <v>82</v>
      </c>
      <c r="E690" t="inlineStr"/>
      <c r="F690" s="4" t="n">
        <v>505</v>
      </c>
      <c r="G690" t="inlineStr">
        <is>
          <t>VB</t>
        </is>
      </c>
      <c r="H690" t="inlineStr">
        <is>
          <t>25541 Dithmarschen - Brunsbuettel</t>
        </is>
      </c>
      <c r="I690" s="5" t="n">
        <v>45536</v>
      </c>
      <c r="J690" t="inlineStr">
        <is>
          <t>Sold</t>
        </is>
      </c>
      <c r="K690" s="6">
        <f>HYPERLINK("https://www.kleinanzeigen.de/s-anzeige/fanatic-triwave-82/2760683530-230-780", "Link")</f>
        <v/>
      </c>
      <c r="L690" s="6">
        <f>HYPERLINK("C:\Projects\Kleinanzeigen-Scraper\offer_images\2760683530", "Link")</f>
        <v/>
      </c>
      <c r="M690" t="inlineStr">
        <is>
          <t>Surfer</t>
        </is>
      </c>
      <c r="N690" s="6">
        <f>HYPERLINK("https://www.kleinanzeigen.de/s-bestandsliste.html?userId=12820408", "Link")</f>
        <v/>
      </c>
      <c r="O690" s="7" t="n">
        <v>45551.59994212963</v>
      </c>
      <c r="P690" s="3" t="inlineStr">
        <is>
          <t>360.64</t>
        </is>
      </c>
      <c r="Q690" t="inlineStr">
        <is>
          <t>Köln</t>
        </is>
      </c>
    </row>
    <row r="691">
      <c r="A691" t="inlineStr">
        <is>
          <t xml:space="preserve">Dimensions </t>
        </is>
      </c>
      <c r="B691" t="inlineStr">
        <is>
          <t>Goya One</t>
        </is>
      </c>
      <c r="C691" t="inlineStr">
        <is>
          <t>Thruster</t>
        </is>
      </c>
      <c r="D691" s="3" t="n">
        <v>105</v>
      </c>
      <c r="E691" t="inlineStr"/>
      <c r="F691" s="4" t="n">
        <v>630</v>
      </c>
      <c r="G691" t="inlineStr"/>
      <c r="H691" t="inlineStr">
        <is>
          <t>47809 Nordrhein-Westfalen - Krefeld</t>
        </is>
      </c>
      <c r="I691" s="5" t="n">
        <v>45551</v>
      </c>
      <c r="J691" t="inlineStr">
        <is>
          <t>Sold</t>
        </is>
      </c>
      <c r="K691" s="6">
        <f>HYPERLINK("https://www.kleinanzeigen.de/s-anzeige/goya-one-105-liter-thruster/2865363261-230-1979", "Link")</f>
        <v/>
      </c>
      <c r="L691" s="6">
        <f>HYPERLINK("C:\Projects\Kleinanzeigen-Scraper\offer_images\2865363261", "Link")</f>
        <v/>
      </c>
      <c r="M691" t="inlineStr">
        <is>
          <t>Paul Neukirchen</t>
        </is>
      </c>
      <c r="N691" s="6">
        <f>HYPERLINK("https://www.kleinanzeigen.de/s-bestandsliste.html?userId=5345982", "Link")</f>
        <v/>
      </c>
      <c r="O691" s="7" t="n">
        <v>45551.59974537037</v>
      </c>
      <c r="P691" s="3" t="inlineStr">
        <is>
          <t>48.58</t>
        </is>
      </c>
      <c r="Q691" t="inlineStr">
        <is>
          <t>Köln</t>
        </is>
      </c>
    </row>
    <row r="692">
      <c r="A692" t="inlineStr"/>
      <c r="B692" t="inlineStr">
        <is>
          <t>Duotone Downwinder Air</t>
        </is>
      </c>
      <c r="C692" t="inlineStr">
        <is>
          <t>Foilboard</t>
        </is>
      </c>
      <c r="D692" s="3" t="inlineStr"/>
      <c r="E692" t="inlineStr">
        <is>
          <t>2024</t>
        </is>
      </c>
      <c r="F692" s="4" t="n">
        <v>720</v>
      </c>
      <c r="G692" t="inlineStr">
        <is>
          <t>VB</t>
        </is>
      </c>
      <c r="H692" t="inlineStr">
        <is>
          <t>23560 Schleswig-Holstein - Lübeck</t>
        </is>
      </c>
      <c r="I692" s="5" t="n">
        <v>45551</v>
      </c>
      <c r="J692" t="inlineStr">
        <is>
          <t>Sold</t>
        </is>
      </c>
      <c r="K692" s="6">
        <f>HYPERLINK("https://www.kleinanzeigen.de/s-anzeige/duotone-downwinder-air-2024-foilboard-pumpfoil/2865305355-230-422", "Link")</f>
        <v/>
      </c>
      <c r="L692" s="6">
        <f>HYPERLINK("C:\Projects\Kleinanzeigen-Scraper\offer_images\2865305355", "Link")</f>
        <v/>
      </c>
      <c r="M692" t="inlineStr">
        <is>
          <t>Wiebke</t>
        </is>
      </c>
      <c r="N692" s="6">
        <f>HYPERLINK("https://www.kleinanzeigen.de/s-bestandsliste.html?userId=8921556", "Link")</f>
        <v/>
      </c>
      <c r="O692" s="7" t="n">
        <v>45551.59965277778</v>
      </c>
      <c r="P692" s="3" t="inlineStr">
        <is>
          <t>406.24</t>
        </is>
      </c>
      <c r="Q692" t="inlineStr">
        <is>
          <t>Köln</t>
        </is>
      </c>
    </row>
    <row r="693">
      <c r="A693" t="inlineStr"/>
      <c r="B693" t="inlineStr">
        <is>
          <t>Tabou Twister</t>
        </is>
      </c>
      <c r="C693" t="inlineStr"/>
      <c r="D693" s="3" t="n">
        <v>90</v>
      </c>
      <c r="E693" t="inlineStr">
        <is>
          <t>2020</t>
        </is>
      </c>
      <c r="F693" s="4" t="n">
        <v>450</v>
      </c>
      <c r="G693" t="inlineStr">
        <is>
          <t>VB</t>
        </is>
      </c>
      <c r="H693" t="inlineStr">
        <is>
          <t>22607 Altona - Hamburg Groß Flottbek</t>
        </is>
      </c>
      <c r="I693" s="5" t="n">
        <v>45551</v>
      </c>
      <c r="J693" t="inlineStr"/>
      <c r="K693" s="6">
        <f>HYPERLINK("https://www.kleinanzeigen.de/s-anzeige/tabou-twister-90l-2020/2865244550-230-9500", "Link")</f>
        <v/>
      </c>
      <c r="L693" s="6">
        <f>HYPERLINK("C:\Projects\Kleinanzeigen-Scraper\offer_images\2865244550", "Link")</f>
        <v/>
      </c>
      <c r="M693" t="inlineStr">
        <is>
          <t>Arne</t>
        </is>
      </c>
      <c r="N693" s="6">
        <f>HYPERLINK("https://www.kleinanzeigen.de/s-bestandsliste.html?userId=92328429", "Link")</f>
        <v/>
      </c>
      <c r="O693" s="7" t="n">
        <v>45551.59818287037</v>
      </c>
      <c r="P693" s="3" t="inlineStr">
        <is>
          <t>354.01</t>
        </is>
      </c>
      <c r="Q693" t="inlineStr">
        <is>
          <t>Köln</t>
        </is>
      </c>
    </row>
    <row r="694">
      <c r="A694" t="inlineStr">
        <is>
          <t>228 cm x 67 cm</t>
        </is>
      </c>
      <c r="B694" t="inlineStr">
        <is>
          <t>Starboard Futura</t>
        </is>
      </c>
      <c r="C694" t="inlineStr">
        <is>
          <t>Slalom</t>
        </is>
      </c>
      <c r="D694" s="3" t="n">
        <v>106</v>
      </c>
      <c r="E694" t="inlineStr">
        <is>
          <t>2022</t>
        </is>
      </c>
      <c r="F694" s="4" t="n">
        <v>990</v>
      </c>
      <c r="G694" t="inlineStr">
        <is>
          <t>VB</t>
        </is>
      </c>
      <c r="H694" t="inlineStr">
        <is>
          <t>21217 Niedersachsen - Seevetal</t>
        </is>
      </c>
      <c r="I694" s="5" t="n">
        <v>45551</v>
      </c>
      <c r="J694" t="inlineStr">
        <is>
          <t>Sold</t>
        </is>
      </c>
      <c r="K694" s="6">
        <f>HYPERLINK("https://www.kleinanzeigen.de/s-anzeige/freeraceboard-starboard-futura/2865157435-230-2812", "Link")</f>
        <v/>
      </c>
      <c r="L694" s="6">
        <f>HYPERLINK("C:\Projects\Kleinanzeigen-Scraper\offer_images\2865157435", "Link")</f>
        <v/>
      </c>
      <c r="M694" t="inlineStr">
        <is>
          <t>Joachim Flügge</t>
        </is>
      </c>
      <c r="N694" s="6">
        <f>HYPERLINK("https://www.kleinanzeigen.de/s-bestandsliste.html?userId=546571", "Link")</f>
        <v/>
      </c>
      <c r="O694" s="7" t="n">
        <v>45551.59805555556</v>
      </c>
      <c r="P694" s="3" t="inlineStr">
        <is>
          <t>348.89</t>
        </is>
      </c>
      <c r="Q694" t="inlineStr">
        <is>
          <t>Köln</t>
        </is>
      </c>
    </row>
    <row r="695">
      <c r="A695" t="inlineStr">
        <is>
          <t>320 cm</t>
        </is>
      </c>
      <c r="B695" t="inlineStr">
        <is>
          <t>Fanatic</t>
        </is>
      </c>
      <c r="C695" t="inlineStr">
        <is>
          <t>Freeride</t>
        </is>
      </c>
      <c r="D695" s="3" t="inlineStr"/>
      <c r="E695" t="inlineStr"/>
      <c r="F695" s="4" t="inlineStr">
        <is>
          <t>Zu verschenken</t>
        </is>
      </c>
      <c r="G695" t="inlineStr"/>
      <c r="H695" t="inlineStr">
        <is>
          <t>53604 Nordrhein-Westfalen - Bad Honnef</t>
        </is>
      </c>
      <c r="I695" s="5" t="n">
        <v>45550</v>
      </c>
      <c r="J695" t="inlineStr">
        <is>
          <t>Sold</t>
        </is>
      </c>
      <c r="K695" s="6">
        <f>HYPERLINK("https://www.kleinanzeigen.de/s-anzeige/serfbrett-fanatic-320-mit-takelage/2864355065-187-1629", "Link")</f>
        <v/>
      </c>
      <c r="L695" s="6">
        <f>HYPERLINK("C:\Projects\Kleinanzeigen-Scraper\offer_images\2864355065", "Link")</f>
        <v/>
      </c>
      <c r="M695" t="inlineStr">
        <is>
          <t>Annamaria Wagner</t>
        </is>
      </c>
      <c r="N695" s="6">
        <f>HYPERLINK("https://www.kleinanzeigen.de/s-bestandsliste.html?userId=18226420", "Link")</f>
        <v/>
      </c>
      <c r="O695" s="7" t="n">
        <v>45551.59761574074</v>
      </c>
      <c r="P695" s="3" t="inlineStr">
        <is>
          <t>39.38</t>
        </is>
      </c>
      <c r="Q695" t="inlineStr">
        <is>
          <t>Köln</t>
        </is>
      </c>
    </row>
    <row r="696">
      <c r="A696" t="inlineStr"/>
      <c r="B696" t="inlineStr">
        <is>
          <t>JP Magic Ride</t>
        </is>
      </c>
      <c r="C696" t="inlineStr">
        <is>
          <t>Freeride</t>
        </is>
      </c>
      <c r="D696" s="3" t="n">
        <v>142</v>
      </c>
      <c r="E696" t="inlineStr"/>
      <c r="F696" s="4" t="n">
        <v>410</v>
      </c>
      <c r="G696" t="inlineStr"/>
      <c r="H696" t="inlineStr">
        <is>
          <t>16341 Brandenburg - Panketal</t>
        </is>
      </c>
      <c r="I696" s="5" t="n">
        <v>45550</v>
      </c>
      <c r="J696" t="inlineStr">
        <is>
          <t>Sold</t>
        </is>
      </c>
      <c r="K696" s="6">
        <f>HYPERLINK("https://www.kleinanzeigen.de/s-anzeige/windsurf-board-jp-magic-ride-142l-pro-edition/2864191706-230-7919", "Link")</f>
        <v/>
      </c>
      <c r="L696" s="6">
        <f>HYPERLINK("C:\Projects\Kleinanzeigen-Scraper\offer_images\2864191706", "Link")</f>
        <v/>
      </c>
      <c r="M696" t="inlineStr">
        <is>
          <t>Bretfeld</t>
        </is>
      </c>
      <c r="N696" s="6">
        <f>HYPERLINK("https://www.kleinanzeigen.de/s-bestandsliste.html?userId=14966474", "Link")</f>
        <v/>
      </c>
      <c r="O696" s="7" t="n">
        <v>45551.59706018519</v>
      </c>
      <c r="P696" s="3" t="inlineStr">
        <is>
          <t>490.55</t>
        </is>
      </c>
      <c r="Q696" t="inlineStr">
        <is>
          <t>Köln</t>
        </is>
      </c>
    </row>
    <row r="697">
      <c r="A697" t="inlineStr">
        <is>
          <t>255 x 72 cm</t>
        </is>
      </c>
      <c r="B697" t="inlineStr">
        <is>
          <t>JP X-Cite Ride</t>
        </is>
      </c>
      <c r="C697" t="inlineStr">
        <is>
          <t>Freeride</t>
        </is>
      </c>
      <c r="D697" s="3" t="n">
        <v>130</v>
      </c>
      <c r="E697" t="inlineStr"/>
      <c r="F697" s="4" t="n">
        <v>330</v>
      </c>
      <c r="G697" t="inlineStr"/>
      <c r="H697" t="inlineStr">
        <is>
          <t>01259 Dresden - Leuben</t>
        </is>
      </c>
      <c r="I697" s="5" t="n">
        <v>45550</v>
      </c>
      <c r="J697" t="inlineStr">
        <is>
          <t>Sold</t>
        </is>
      </c>
      <c r="K697" s="6">
        <f>HYPERLINK("https://www.kleinanzeigen.de/s-anzeige/jp-surfboards-130l-surfbrett-windsurf/2864251403-230-3822", "Link")</f>
        <v/>
      </c>
      <c r="L697" s="6">
        <f>HYPERLINK("C:\Projects\Kleinanzeigen-Scraper\offer_images\2864251403", "Link")</f>
        <v/>
      </c>
      <c r="M697" t="inlineStr">
        <is>
          <t>M. F.</t>
        </is>
      </c>
      <c r="N697" s="6">
        <f>HYPERLINK("https://www.kleinanzeigen.de/s-bestandsliste.html?userId=10503434", "Link")</f>
        <v/>
      </c>
      <c r="O697" s="7" t="n">
        <v>45551.5968287037</v>
      </c>
      <c r="P697" s="3" t="inlineStr">
        <is>
          <t>358.55</t>
        </is>
      </c>
      <c r="Q697" t="inlineStr">
        <is>
          <t>München</t>
        </is>
      </c>
    </row>
    <row r="698">
      <c r="A698" t="inlineStr">
        <is>
          <t>159 cm</t>
        </is>
      </c>
      <c r="B698" t="inlineStr">
        <is>
          <t>Fanatic Carbon Falcon</t>
        </is>
      </c>
      <c r="C698" t="inlineStr">
        <is>
          <t>Lightwind</t>
        </is>
      </c>
      <c r="D698" s="3" t="inlineStr"/>
      <c r="E698" t="inlineStr"/>
      <c r="F698" s="4" t="n">
        <v>495</v>
      </c>
      <c r="G698" t="inlineStr">
        <is>
          <t>VB</t>
        </is>
      </c>
      <c r="H698" t="inlineStr">
        <is>
          <t>19089 Parchim - Landkreis - Crivitz</t>
        </is>
      </c>
      <c r="I698" s="5" t="n">
        <v>45549</v>
      </c>
      <c r="J698" t="inlineStr">
        <is>
          <t>Sold</t>
        </is>
      </c>
      <c r="K698" s="6">
        <f>HYPERLINK("https://www.kleinanzeigen.de/s-anzeige/fanatic-carbon-falcon-leichtwind-159/2817052849-230-16534", "Link")</f>
        <v/>
      </c>
      <c r="L698" s="6">
        <f>HYPERLINK("C:\Projects\Kleinanzeigen-Scraper\offer_images\2817052849", "Link")</f>
        <v/>
      </c>
      <c r="M698" t="inlineStr">
        <is>
          <t>Ralph</t>
        </is>
      </c>
      <c r="N698" s="6">
        <f>HYPERLINK("https://www.kleinanzeigen.de/s-bestandsliste.html?userId=12763942", "Link")</f>
        <v/>
      </c>
      <c r="O698" s="7" t="n">
        <v>45551.59586805556</v>
      </c>
      <c r="P698" s="3" t="inlineStr">
        <is>
          <t>435.99</t>
        </is>
      </c>
      <c r="Q698" t="inlineStr">
        <is>
          <t>Köln</t>
        </is>
      </c>
    </row>
    <row r="699">
      <c r="A699" t="inlineStr">
        <is>
          <t>79</t>
        </is>
      </c>
      <c r="B699" t="inlineStr">
        <is>
          <t>Tabou DaCurve</t>
        </is>
      </c>
      <c r="C699" t="inlineStr">
        <is>
          <t>Wave</t>
        </is>
      </c>
      <c r="D699" s="3" t="inlineStr"/>
      <c r="E699" t="inlineStr"/>
      <c r="F699" s="4" t="n">
        <v>150</v>
      </c>
      <c r="G699" t="inlineStr">
        <is>
          <t>VB</t>
        </is>
      </c>
      <c r="H699" t="inlineStr">
        <is>
          <t>22391 Wandsbek - Hamburg Wellingsbüttel</t>
        </is>
      </c>
      <c r="I699" s="5" t="n">
        <v>45551</v>
      </c>
      <c r="J699" t="inlineStr">
        <is>
          <t>Sold</t>
        </is>
      </c>
      <c r="K699" s="6">
        <f>HYPERLINK("https://www.kleinanzeigen.de/s-anzeige/waveboard-tabou-dacurve-79-mit-boardbag-und-original-finne/2865152871-230-9469", "Link")</f>
        <v/>
      </c>
      <c r="L699" s="6">
        <f>HYPERLINK("C:\Projects\Kleinanzeigen-Scraper\offer_images\2865152871", "Link")</f>
        <v/>
      </c>
      <c r="M699" t="inlineStr">
        <is>
          <t>Birger</t>
        </is>
      </c>
      <c r="N699" s="6">
        <f>HYPERLINK("https://www.kleinanzeigen.de/s-bestandsliste.html?userId=4119564", "Link")</f>
        <v/>
      </c>
      <c r="O699" s="7" t="n">
        <v>45551.59568287037</v>
      </c>
      <c r="P699" s="3" t="inlineStr">
        <is>
          <t>368.10</t>
        </is>
      </c>
      <c r="Q699" t="inlineStr">
        <is>
          <t>Köln</t>
        </is>
      </c>
    </row>
    <row r="700">
      <c r="A700" t="inlineStr">
        <is>
          <t>8'2</t>
        </is>
      </c>
      <c r="B700" t="inlineStr">
        <is>
          <t>JP Australia Foil Slate</t>
        </is>
      </c>
      <c r="C700" t="inlineStr">
        <is>
          <t>Freeride</t>
        </is>
      </c>
      <c r="D700" s="3" t="inlineStr"/>
      <c r="E700" t="inlineStr">
        <is>
          <t>2023</t>
        </is>
      </c>
      <c r="F700" s="4" t="n">
        <v>999</v>
      </c>
      <c r="G700" t="inlineStr">
        <is>
          <t>VB</t>
        </is>
      </c>
      <c r="H700" t="inlineStr">
        <is>
          <t>85551 Kr. München - Kirchheim bei München</t>
        </is>
      </c>
      <c r="I700" s="5" t="n">
        <v>45467</v>
      </c>
      <c r="J700" t="inlineStr"/>
      <c r="K700" s="6">
        <f>HYPERLINK("https://www.kleinanzeigen.de/s-anzeige/jp-australia-foil-slate-8-2/2796599125-230-5578", "Link")</f>
        <v/>
      </c>
      <c r="L700" s="6">
        <f>HYPERLINK("C:\Projects\Kleinanzeigen-Scraper\offer_images\2796599125", "Link")</f>
        <v/>
      </c>
      <c r="M700" t="inlineStr">
        <is>
          <t>DFL</t>
        </is>
      </c>
      <c r="N700" s="6">
        <f>HYPERLINK("https://www.kleinanzeigen.de/s-bestandsliste.html?userId=26379366", "Link")</f>
        <v/>
      </c>
      <c r="O700" s="7" t="n">
        <v>45551.59546296296</v>
      </c>
      <c r="P700" s="3" t="inlineStr">
        <is>
          <t>13.82</t>
        </is>
      </c>
      <c r="Q700" t="inlineStr">
        <is>
          <t>München</t>
        </is>
      </c>
    </row>
    <row r="701">
      <c r="A701" t="inlineStr">
        <is>
          <t>5'11"</t>
        </is>
      </c>
      <c r="B701" t="inlineStr">
        <is>
          <t>North pro Session</t>
        </is>
      </c>
      <c r="C701" t="inlineStr">
        <is>
          <t>Wave</t>
        </is>
      </c>
      <c r="D701" s="3" t="inlineStr"/>
      <c r="E701" t="inlineStr"/>
      <c r="F701" s="4" t="n">
        <v>370</v>
      </c>
      <c r="G701" t="inlineStr">
        <is>
          <t>VB</t>
        </is>
      </c>
      <c r="H701" t="inlineStr">
        <is>
          <t>14165 Berlin - Zehlendorf</t>
        </is>
      </c>
      <c r="I701" s="5" t="n">
        <v>45551</v>
      </c>
      <c r="J701" t="inlineStr"/>
      <c r="K701" s="6">
        <f>HYPERLINK("https://www.kleinanzeigen.de/s-anzeige/north-pro-session-waveboard-5-11-duotone-/2865175319-230-3528", "Link")</f>
        <v/>
      </c>
      <c r="L701" s="6">
        <f>HYPERLINK("C:\Projects\Kleinanzeigen-Scraper\offer_images\2865175319", "Link")</f>
        <v/>
      </c>
      <c r="M701" t="inlineStr">
        <is>
          <t>Dr. Dorothée Ringsdorf</t>
        </is>
      </c>
      <c r="N701" s="6">
        <f>HYPERLINK("https://www.kleinanzeigen.de/s-bestandsliste.html?userId=22509947", "Link")</f>
        <v/>
      </c>
      <c r="O701" s="7" t="n">
        <v>45551.59527777778</v>
      </c>
      <c r="P701" s="3" t="inlineStr">
        <is>
          <t>464.54</t>
        </is>
      </c>
      <c r="Q701" t="inlineStr">
        <is>
          <t>Köln</t>
        </is>
      </c>
    </row>
    <row r="702">
      <c r="A702" t="inlineStr">
        <is>
          <t>248 x 73</t>
        </is>
      </c>
      <c r="B702" t="inlineStr">
        <is>
          <t>RRD Evolution M</t>
        </is>
      </c>
      <c r="C702" t="inlineStr">
        <is>
          <t>Freeride</t>
        </is>
      </c>
      <c r="D702" s="3" t="n">
        <v>135</v>
      </c>
      <c r="E702" t="inlineStr"/>
      <c r="F702" s="4" t="n">
        <v>750</v>
      </c>
      <c r="G702" t="inlineStr">
        <is>
          <t>VB</t>
        </is>
      </c>
      <c r="H702" t="inlineStr">
        <is>
          <t>80804 München - Schwabing-West</t>
        </is>
      </c>
      <c r="I702" s="5" t="n">
        <v>45526</v>
      </c>
      <c r="J702" t="inlineStr">
        <is>
          <t>Sold</t>
        </is>
      </c>
      <c r="K702" s="6">
        <f>HYPERLINK("https://www.kleinanzeigen.de/s-anzeige/rrd-evolution-135l-windsurfboard-freerideboard/2843324541-230-6465", "Link")</f>
        <v/>
      </c>
      <c r="L702" s="6">
        <f>HYPERLINK("C:\Projects\Kleinanzeigen-Scraper\offer_images\2843324541", "Link")</f>
        <v/>
      </c>
      <c r="M702" t="inlineStr">
        <is>
          <t>Flo</t>
        </is>
      </c>
      <c r="N702" s="6">
        <f>HYPERLINK("https://www.kleinanzeigen.de/s-bestandsliste.html?userId=80160844", "Link")</f>
        <v/>
      </c>
      <c r="O702" s="7" t="n">
        <v>45551.59481481482</v>
      </c>
      <c r="P702" s="3" t="inlineStr">
        <is>
          <t>3.78</t>
        </is>
      </c>
      <c r="Q702" t="inlineStr">
        <is>
          <t>München</t>
        </is>
      </c>
    </row>
    <row r="703">
      <c r="A703" t="inlineStr"/>
      <c r="B703" t="inlineStr">
        <is>
          <t>Starboard Kode</t>
        </is>
      </c>
      <c r="C703" t="inlineStr">
        <is>
          <t>Freestyle-Wave</t>
        </is>
      </c>
      <c r="D703" s="3" t="n">
        <v>103</v>
      </c>
      <c r="E703" t="inlineStr">
        <is>
          <t>2016</t>
        </is>
      </c>
      <c r="F703" s="4" t="n">
        <v>549</v>
      </c>
      <c r="G703" t="inlineStr"/>
      <c r="H703" t="inlineStr">
        <is>
          <t>04158 Leipzig - Lindenthal</t>
        </is>
      </c>
      <c r="I703" s="5" t="n">
        <v>45551</v>
      </c>
      <c r="J703" t="inlineStr">
        <is>
          <t>Sold</t>
        </is>
      </c>
      <c r="K703" s="6">
        <f>HYPERLINK("https://www.kleinanzeigen.de/s-anzeige/starboard-kode-103-l-2016-windsurfboard-freestyle-wave/2865206786-230-4253", "Link")</f>
        <v/>
      </c>
      <c r="L703" s="6">
        <f>HYPERLINK("C:\Projects\Kleinanzeigen-Scraper\offer_images\2865206786", "Link")</f>
        <v/>
      </c>
      <c r="M703" t="inlineStr">
        <is>
          <t>daniel lippmann</t>
        </is>
      </c>
      <c r="N703" s="6">
        <f>HYPERLINK("https://www.kleinanzeigen.de/s-bestandsliste.html?userId=14407560", "Link")</f>
        <v/>
      </c>
      <c r="O703" s="7" t="n">
        <v>45551.59385416667</v>
      </c>
      <c r="P703" s="3" t="inlineStr">
        <is>
          <t>367.32</t>
        </is>
      </c>
      <c r="Q703" t="inlineStr">
        <is>
          <t>München</t>
        </is>
      </c>
    </row>
    <row r="704">
      <c r="A704" t="inlineStr"/>
      <c r="B704" t="inlineStr">
        <is>
          <t>Starboard Futura</t>
        </is>
      </c>
      <c r="C704" t="inlineStr">
        <is>
          <t>Freeride</t>
        </is>
      </c>
      <c r="D704" s="3" t="n">
        <v>106</v>
      </c>
      <c r="E704" t="inlineStr"/>
      <c r="F704" s="4" t="n">
        <v>1.29</v>
      </c>
      <c r="G704" t="inlineStr">
        <is>
          <t>VB</t>
        </is>
      </c>
      <c r="H704" t="inlineStr">
        <is>
          <t>49439 Niedersachsen - Steinfeld</t>
        </is>
      </c>
      <c r="I704" s="5" t="n">
        <v>45549</v>
      </c>
      <c r="J704" t="inlineStr">
        <is>
          <t>Sold</t>
        </is>
      </c>
      <c r="K704" s="6">
        <f>HYPERLINK("https://www.kleinanzeigen.de/s-anzeige/windsurfboard-starboard-futura-106-liter/2863348560-230-2619", "Link")</f>
        <v/>
      </c>
      <c r="L704" s="6">
        <f>HYPERLINK("C:\Projects\Kleinanzeigen-Scraper\offer_images\2863348560", "Link")</f>
        <v/>
      </c>
      <c r="M704" t="inlineStr">
        <is>
          <t>Sven</t>
        </is>
      </c>
      <c r="N704" s="6">
        <f>HYPERLINK("https://www.kleinanzeigen.de/s-bestandsliste.html?userId=120089659", "Link")</f>
        <v/>
      </c>
      <c r="O704" s="7" t="n">
        <v>45551.59232638889</v>
      </c>
      <c r="P704" s="3" t="inlineStr">
        <is>
          <t>203.88</t>
        </is>
      </c>
      <c r="Q704" t="inlineStr">
        <is>
          <t>Köln</t>
        </is>
      </c>
    </row>
    <row r="705">
      <c r="A705" t="inlineStr">
        <is>
          <t>239x54.5 cm</t>
        </is>
      </c>
      <c r="B705" t="inlineStr">
        <is>
          <t>Starboard Pure Race</t>
        </is>
      </c>
      <c r="C705" t="inlineStr">
        <is>
          <t>Wave</t>
        </is>
      </c>
      <c r="D705" s="3" t="n">
        <v>74</v>
      </c>
      <c r="E705" t="inlineStr"/>
      <c r="F705" s="4" t="n">
        <v>50</v>
      </c>
      <c r="G705" t="inlineStr"/>
      <c r="H705" t="inlineStr">
        <is>
          <t>22179 Wandsbek - Hamburg Bramfeld</t>
        </is>
      </c>
      <c r="I705" s="5" t="n">
        <v>45488</v>
      </c>
      <c r="J705" t="inlineStr"/>
      <c r="K705" s="6">
        <f>HYPERLINK("https://www.kleinanzeigen.de/s-anzeige/starboard-pure-race-waveboard-74-l/2812665997-230-9451", "Link")</f>
        <v/>
      </c>
      <c r="L705" s="6">
        <f>HYPERLINK("C:\Projects\Kleinanzeigen-Scraper\offer_images\2812665997", "Link")</f>
        <v/>
      </c>
      <c r="M705" t="inlineStr">
        <is>
          <t>Ina</t>
        </is>
      </c>
      <c r="N705" s="6">
        <f>HYPERLINK("https://www.kleinanzeigen.de/s-bestandsliste.html?userId=12775570", "Link")</f>
        <v/>
      </c>
      <c r="O705" s="7" t="n">
        <v>45551.59230324074</v>
      </c>
      <c r="P705" s="3" t="inlineStr">
        <is>
          <t>365.29</t>
        </is>
      </c>
      <c r="Q705" t="inlineStr">
        <is>
          <t>Köln</t>
        </is>
      </c>
    </row>
    <row r="706">
      <c r="A706" t="inlineStr">
        <is>
          <t>76 x 234 cm</t>
        </is>
      </c>
      <c r="B706" t="inlineStr">
        <is>
          <t>JP-Australia Supersport</t>
        </is>
      </c>
      <c r="C706" t="inlineStr">
        <is>
          <t>Freerace</t>
        </is>
      </c>
      <c r="D706" s="3" t="n">
        <v>122</v>
      </c>
      <c r="E706" t="inlineStr"/>
      <c r="F706" s="4" t="n">
        <v>400</v>
      </c>
      <c r="G706" t="inlineStr"/>
      <c r="H706" t="inlineStr">
        <is>
          <t>12619 Berlin - Hellersdorf</t>
        </is>
      </c>
      <c r="I706" s="5" t="n">
        <v>45551</v>
      </c>
      <c r="J706" t="inlineStr">
        <is>
          <t>Sold</t>
        </is>
      </c>
      <c r="K706" s="6">
        <f>HYPERLINK("https://www.kleinanzeigen.de/s-anzeige/jp-australia-supersport-122l-windsurf-freerace/2865031549-230-3511", "Link")</f>
        <v/>
      </c>
      <c r="L706" s="6">
        <f>HYPERLINK("C:\Projects\Kleinanzeigen-Scraper\offer_images\2865031549", "Link")</f>
        <v/>
      </c>
      <c r="M706" t="inlineStr">
        <is>
          <t>Nancy</t>
        </is>
      </c>
      <c r="N706" s="6">
        <f>HYPERLINK("https://www.kleinanzeigen.de/s-bestandsliste.html?userId=9803501", "Link")</f>
        <v/>
      </c>
      <c r="O706" s="7" t="n">
        <v>45551.59224537037</v>
      </c>
      <c r="P706" s="3" t="inlineStr">
        <is>
          <t>489.66</t>
        </is>
      </c>
      <c r="Q706" t="inlineStr">
        <is>
          <t>Köln</t>
        </is>
      </c>
    </row>
    <row r="707">
      <c r="A707" t="inlineStr">
        <is>
          <t>242.3 cm x 79.2 cm</t>
        </is>
      </c>
      <c r="B707" t="inlineStr">
        <is>
          <t>Goya Bolt</t>
        </is>
      </c>
      <c r="C707" t="inlineStr">
        <is>
          <t>Freeride</t>
        </is>
      </c>
      <c r="D707" s="3" t="n">
        <v>137</v>
      </c>
      <c r="E707" t="inlineStr">
        <is>
          <t>2023</t>
        </is>
      </c>
      <c r="F707" s="4" t="n">
        <v>890</v>
      </c>
      <c r="G707" t="inlineStr">
        <is>
          <t>VB</t>
        </is>
      </c>
      <c r="H707" t="inlineStr">
        <is>
          <t>26389 Niedersachsen - Wilhelmshaven</t>
        </is>
      </c>
      <c r="I707" s="5" t="n">
        <v>45536</v>
      </c>
      <c r="J707" t="inlineStr"/>
      <c r="K707" s="6">
        <f>HYPERLINK("https://www.kleinanzeigen.de/s-anzeige/goya-bolt-137-von-2023/2852050020-230-3101", "Link")</f>
        <v/>
      </c>
      <c r="L707" s="6">
        <f>HYPERLINK("C:\Projects\Kleinanzeigen-Scraper\offer_images\2852050020", "Link")</f>
        <v/>
      </c>
      <c r="M707" t="inlineStr">
        <is>
          <t>Kommer</t>
        </is>
      </c>
      <c r="N707" s="6">
        <f>HYPERLINK("https://www.kleinanzeigen.de/s-bestandsliste.html?userId=4602596", "Link")</f>
        <v/>
      </c>
      <c r="O707" s="7" t="n">
        <v>45551.59197916667</v>
      </c>
      <c r="P707" s="3" t="inlineStr">
        <is>
          <t>296.86</t>
        </is>
      </c>
      <c r="Q707" t="inlineStr">
        <is>
          <t>Köln</t>
        </is>
      </c>
    </row>
    <row r="708">
      <c r="A708" t="inlineStr"/>
      <c r="B708" t="inlineStr">
        <is>
          <t>Fanatic Gecko</t>
        </is>
      </c>
      <c r="C708" t="inlineStr">
        <is>
          <t>Freeride</t>
        </is>
      </c>
      <c r="D708" s="3" t="n">
        <v>135</v>
      </c>
      <c r="E708" t="inlineStr">
        <is>
          <t>2022</t>
        </is>
      </c>
      <c r="F708" s="4" t="n">
        <v>790</v>
      </c>
      <c r="G708" t="inlineStr">
        <is>
          <t>VB</t>
        </is>
      </c>
      <c r="H708" t="inlineStr">
        <is>
          <t>81827 München - Trudering-Riem</t>
        </is>
      </c>
      <c r="I708" s="5" t="n">
        <v>45536</v>
      </c>
      <c r="J708" t="inlineStr">
        <is>
          <t>Sold</t>
        </is>
      </c>
      <c r="K708" s="6">
        <f>HYPERLINK("https://www.kleinanzeigen.de/s-anzeige/fanatic-gecko-135l-ltd-windsurfboard-2022-mit-boardbag/2851604916-230-6481", "Link")</f>
        <v/>
      </c>
      <c r="L708" s="6">
        <f>HYPERLINK("C:\Projects\Kleinanzeigen-Scraper\offer_images\2851604916", "Link")</f>
        <v/>
      </c>
      <c r="M708" t="inlineStr">
        <is>
          <t>Michael Huber</t>
        </is>
      </c>
      <c r="N708" s="6">
        <f>HYPERLINK("https://www.kleinanzeigen.de/s-bestandsliste.html?userId=38169162", "Link")</f>
        <v/>
      </c>
      <c r="O708" s="7" t="n">
        <v>45551.59195601852</v>
      </c>
      <c r="P708" s="3" t="inlineStr">
        <is>
          <t>9.11</t>
        </is>
      </c>
      <c r="Q708" t="inlineStr">
        <is>
          <t>München</t>
        </is>
      </c>
    </row>
    <row r="709">
      <c r="A709" t="inlineStr"/>
      <c r="B709" t="inlineStr">
        <is>
          <t>Naish Hover Titan</t>
        </is>
      </c>
      <c r="C709" t="inlineStr">
        <is>
          <t>Freeride</t>
        </is>
      </c>
      <c r="D709" s="3" t="n">
        <v>120</v>
      </c>
      <c r="E709" t="inlineStr">
        <is>
          <t>2018</t>
        </is>
      </c>
      <c r="F709" s="4" t="n">
        <v>750</v>
      </c>
      <c r="G709" t="inlineStr">
        <is>
          <t>VB</t>
        </is>
      </c>
      <c r="H709" t="inlineStr">
        <is>
          <t>10247 Friedrichshain-Kreuzberg - Friedrichshain</t>
        </is>
      </c>
      <c r="I709" s="5" t="n">
        <v>45551</v>
      </c>
      <c r="J709" t="inlineStr"/>
      <c r="K709" s="6">
        <f>HYPERLINK("https://www.kleinanzeigen.de/s-anzeige/naish-hover-titan-120l-inkl-foil-und-finne/2865075462-230-3353", "Link")</f>
        <v/>
      </c>
      <c r="L709" s="6">
        <f>HYPERLINK("C:\Projects\Kleinanzeigen-Scraper\offer_images\2865075462", "Link")</f>
        <v/>
      </c>
      <c r="M709" t="inlineStr">
        <is>
          <t>D.S.</t>
        </is>
      </c>
      <c r="N709" s="6">
        <f>HYPERLINK("https://www.kleinanzeigen.de/s-bestandsliste.html?userId=24573087", "Link")</f>
        <v/>
      </c>
      <c r="O709" s="7" t="n">
        <v>45551.59130787037</v>
      </c>
      <c r="P709" s="3" t="inlineStr">
        <is>
          <t>481.24</t>
        </is>
      </c>
      <c r="Q709" t="inlineStr">
        <is>
          <t>Köln</t>
        </is>
      </c>
    </row>
    <row r="710">
      <c r="A710" t="inlineStr">
        <is>
          <t>90</t>
        </is>
      </c>
      <c r="B710" t="inlineStr">
        <is>
          <t>Duotone Falcon</t>
        </is>
      </c>
      <c r="C710" t="inlineStr"/>
      <c r="D710" s="3" t="inlineStr"/>
      <c r="E710" t="inlineStr"/>
      <c r="F710" s="4" t="n">
        <v>1.49</v>
      </c>
      <c r="G710" t="inlineStr"/>
      <c r="H710" t="inlineStr">
        <is>
          <t>33758 Nordrhein-Westfalen - Schloß Holte-Stukenbrock</t>
        </is>
      </c>
      <c r="I710" s="5" t="n">
        <v>45543</v>
      </c>
      <c r="J710" t="inlineStr">
        <is>
          <t>Sold</t>
        </is>
      </c>
      <c r="K710" s="6">
        <f>HYPERLINK("https://www.kleinanzeigen.de/s-anzeige/duotone-falcon-fin-90-dlab-neuwertig/2857508763-230-1646", "Link")</f>
        <v/>
      </c>
      <c r="L710" s="6">
        <f>HYPERLINK("C:\Projects\Kleinanzeigen-Scraper\offer_images\2857508763", "Link")</f>
        <v/>
      </c>
      <c r="M710" t="inlineStr">
        <is>
          <t>Ralf Ewers</t>
        </is>
      </c>
      <c r="N710" s="6">
        <f>HYPERLINK("https://www.kleinanzeigen.de/s-bestandsliste.html?userId=75080608", "Link")</f>
        <v/>
      </c>
      <c r="O710" s="7" t="n">
        <v>45551.59092592593</v>
      </c>
      <c r="P710" s="3" t="inlineStr">
        <is>
          <t>158.29</t>
        </is>
      </c>
      <c r="Q710" t="inlineStr">
        <is>
          <t>Köln</t>
        </is>
      </c>
    </row>
    <row r="711">
      <c r="A711" t="inlineStr">
        <is>
          <t>255 x 78</t>
        </is>
      </c>
      <c r="B711" t="inlineStr">
        <is>
          <t>Starboard</t>
        </is>
      </c>
      <c r="C711" t="inlineStr">
        <is>
          <t>Freeride</t>
        </is>
      </c>
      <c r="D711" s="3" t="inlineStr"/>
      <c r="E711" t="inlineStr">
        <is>
          <t>2017</t>
        </is>
      </c>
      <c r="F711" s="4" t="n">
        <v>500</v>
      </c>
      <c r="G711" t="inlineStr"/>
      <c r="H711" t="inlineStr">
        <is>
          <t>94447 Bayern - Plattling</t>
        </is>
      </c>
      <c r="I711" s="5" t="n">
        <v>45551</v>
      </c>
      <c r="J711" t="inlineStr">
        <is>
          <t>Sold</t>
        </is>
      </c>
      <c r="K711" s="6">
        <f>HYPERLINK("https://www.kleinanzeigen.de/s-anzeige/starboard-aufblasbares-surfbrett-surf-board-255-x-78-airplane-/2865020518-191-6021", "Link")</f>
        <v/>
      </c>
      <c r="L711" s="6">
        <f>HYPERLINK("C:\Projects\Kleinanzeigen-Scraper\offer_images\2865020518", "Link")</f>
        <v/>
      </c>
      <c r="M711" t="inlineStr">
        <is>
          <t>Alexaner</t>
        </is>
      </c>
      <c r="N711" s="6">
        <f>HYPERLINK("https://www.kleinanzeigen.de/s-bestandsliste.html?userId=144310849", "Link")</f>
        <v/>
      </c>
      <c r="O711" s="7" t="n">
        <v>45551.59020833333</v>
      </c>
      <c r="P711" s="3" t="inlineStr">
        <is>
          <t>123.39</t>
        </is>
      </c>
      <c r="Q711" t="inlineStr">
        <is>
          <t>München</t>
        </is>
      </c>
    </row>
    <row r="712">
      <c r="A712" t="inlineStr">
        <is>
          <t>11.6</t>
        </is>
      </c>
      <c r="B712" t="inlineStr">
        <is>
          <t>Fanatic Ray Air Pure Edition</t>
        </is>
      </c>
      <c r="C712" t="inlineStr"/>
      <c r="D712" s="3" t="inlineStr"/>
      <c r="E712" t="inlineStr">
        <is>
          <t>2021</t>
        </is>
      </c>
      <c r="F712" s="4" t="n">
        <v>325</v>
      </c>
      <c r="G712" t="inlineStr">
        <is>
          <t>VB</t>
        </is>
      </c>
      <c r="H712" t="inlineStr">
        <is>
          <t>72768 Baden-Württemberg - Reutlingen</t>
        </is>
      </c>
      <c r="I712" s="5" t="n">
        <v>45536</v>
      </c>
      <c r="J712" t="inlineStr">
        <is>
          <t>Sold</t>
        </is>
      </c>
      <c r="K712" s="6">
        <f>HYPERLINK("https://www.kleinanzeigen.de/s-anzeige/fanatic-ray-air-pure-edition-11-6-sup-bord-stand-up/2851626841-230-9348", "Link")</f>
        <v/>
      </c>
      <c r="L712" s="6">
        <f>HYPERLINK("C:\Projects\Kleinanzeigen-Scraper\offer_images\2851626841", "Link")</f>
        <v/>
      </c>
      <c r="M712" t="inlineStr">
        <is>
          <t>Benjamin Klaus</t>
        </is>
      </c>
      <c r="N712" s="6">
        <f>HYPERLINK("https://www.kleinanzeigen.de/s-bestandsliste.html?userId=24016623", "Link")</f>
        <v/>
      </c>
      <c r="O712" s="7" t="n">
        <v>45551.59019675926</v>
      </c>
      <c r="P712" s="3" t="inlineStr">
        <is>
          <t>22.53</t>
        </is>
      </c>
      <c r="Q712" t="inlineStr">
        <is>
          <t>Böblingen</t>
        </is>
      </c>
    </row>
    <row r="713">
      <c r="A713" t="inlineStr">
        <is>
          <t>340 cm x 80 cm</t>
        </is>
      </c>
      <c r="B713" t="inlineStr">
        <is>
          <t>Starboard Blend Deluxe</t>
        </is>
      </c>
      <c r="C713" t="inlineStr">
        <is>
          <t>Inflatable SUP</t>
        </is>
      </c>
      <c r="D713" s="3" t="n">
        <v>340</v>
      </c>
      <c r="E713" t="inlineStr"/>
      <c r="F713" s="4" t="n">
        <v>515</v>
      </c>
      <c r="G713" t="inlineStr">
        <is>
          <t>VB</t>
        </is>
      </c>
      <c r="H713" t="inlineStr">
        <is>
          <t>21217 Niedersachsen - Seevetal</t>
        </is>
      </c>
      <c r="I713" s="5" t="n">
        <v>45551</v>
      </c>
      <c r="J713" t="inlineStr">
        <is>
          <t>Sold</t>
        </is>
      </c>
      <c r="K713" s="6">
        <f>HYPERLINK("https://www.kleinanzeigen.de/s-anzeige/starboard-inflatable-sup-11-2-blend-deluxe/2865172545-230-2812", "Link")</f>
        <v/>
      </c>
      <c r="L713" s="6">
        <f>HYPERLINK("C:\Projects\Kleinanzeigen-Scraper\offer_images\2865172545", "Link")</f>
        <v/>
      </c>
      <c r="M713" t="inlineStr">
        <is>
          <t>Joachim Flügge</t>
        </is>
      </c>
      <c r="N713" s="6">
        <f>HYPERLINK("https://www.kleinanzeigen.de/s-bestandsliste.html?userId=546571", "Link")</f>
        <v/>
      </c>
      <c r="O713" s="7" t="n">
        <v>45551.59015046297</v>
      </c>
      <c r="P713" s="3" t="inlineStr">
        <is>
          <t>348.89</t>
        </is>
      </c>
      <c r="Q713" t="inlineStr">
        <is>
          <t>Köln</t>
        </is>
      </c>
    </row>
    <row r="714">
      <c r="A714" t="inlineStr">
        <is>
          <t>236 cm x 61 cm</t>
        </is>
      </c>
      <c r="B714" t="inlineStr">
        <is>
          <t>Naish Koncept</t>
        </is>
      </c>
      <c r="C714" t="inlineStr">
        <is>
          <t>Freestyle Wave</t>
        </is>
      </c>
      <c r="D714" s="3" t="n">
        <v>90</v>
      </c>
      <c r="E714" t="inlineStr">
        <is>
          <t>2012</t>
        </is>
      </c>
      <c r="F714" s="4" t="n">
        <v>125</v>
      </c>
      <c r="G714" t="inlineStr">
        <is>
          <t>VB</t>
        </is>
      </c>
      <c r="H714" t="inlineStr">
        <is>
          <t>10961 Friedrichshain-Kreuzberg - Kreuzberg</t>
        </is>
      </c>
      <c r="I714" s="5" t="n">
        <v>45551</v>
      </c>
      <c r="J714" t="inlineStr"/>
      <c r="K714" s="6">
        <f>HYPERLINK("https://www.kleinanzeigen.de/s-anzeige/naish-koncept-90l-freestyle-wave-no-tabou-fanatic-jp-starboard-/2865174026-230-3377", "Link")</f>
        <v/>
      </c>
      <c r="L714" s="6">
        <f>HYPERLINK("C:\Projects\Kleinanzeigen-Scraper\offer_images\2865174026", "Link")</f>
        <v/>
      </c>
      <c r="M714" t="inlineStr">
        <is>
          <t>Luci</t>
        </is>
      </c>
      <c r="N714" s="6">
        <f>HYPERLINK("https://www.kleinanzeigen.de/s-bestandsliste.html?userId=8786208", "Link")</f>
        <v/>
      </c>
      <c r="O714" s="7" t="n">
        <v>45551.58951388889</v>
      </c>
      <c r="P714" s="3" t="inlineStr">
        <is>
          <t>476.13</t>
        </is>
      </c>
      <c r="Q714" t="inlineStr">
        <is>
          <t>Köln</t>
        </is>
      </c>
    </row>
    <row r="715">
      <c r="A715" t="inlineStr">
        <is>
          <t>85 cm x 228 cm</t>
        </is>
      </c>
      <c r="B715" t="inlineStr">
        <is>
          <t>99NoveNove World Cup Slalom</t>
        </is>
      </c>
      <c r="C715" t="inlineStr">
        <is>
          <t>Slalom</t>
        </is>
      </c>
      <c r="D715" s="3" t="n">
        <v>135</v>
      </c>
      <c r="E715" t="inlineStr"/>
      <c r="F715" s="4" t="n">
        <v>550</v>
      </c>
      <c r="G715" t="inlineStr">
        <is>
          <t>VB</t>
        </is>
      </c>
      <c r="H715" t="inlineStr">
        <is>
          <t>80639 München</t>
        </is>
      </c>
      <c r="I715" s="5" t="n">
        <v>45550</v>
      </c>
      <c r="J715" t="inlineStr">
        <is>
          <t>Sold</t>
        </is>
      </c>
      <c r="K715" s="6">
        <f>HYPERLINK("https://www.dailydose.de/kleinanzeigen/detail.htm?ai=422641&amp;cf=kk&amp;pg=5&amp;ci=11", "Link")</f>
        <v/>
      </c>
      <c r="L715" s="6">
        <f>HYPERLINK("C:\Projects\Kleinanzeigen-Scraper\offer_images\422641", "Link")</f>
        <v/>
      </c>
      <c r="M715" t="inlineStr">
        <is>
          <t>torsten4456</t>
        </is>
      </c>
      <c r="N715" s="6">
        <f>HYPERLINK("https://www.dailydose.de/kleinanzeigen/user/20824", "Link")</f>
        <v/>
      </c>
      <c r="O715" s="7" t="n">
        <v>45551.41523148148</v>
      </c>
      <c r="P715" s="3" t="inlineStr">
        <is>
          <t>4.83</t>
        </is>
      </c>
      <c r="Q715" t="inlineStr">
        <is>
          <t>München</t>
        </is>
      </c>
    </row>
    <row r="716">
      <c r="A716" t="inlineStr">
        <is>
          <t>223 x 56 cm</t>
        </is>
      </c>
      <c r="B716" t="inlineStr">
        <is>
          <t>Goya Custom</t>
        </is>
      </c>
      <c r="C716" t="inlineStr">
        <is>
          <t>Wave</t>
        </is>
      </c>
      <c r="D716" s="3" t="n">
        <v>84</v>
      </c>
      <c r="E716" t="inlineStr"/>
      <c r="F716" s="4" t="inlineStr">
        <is>
          <t>500 FP</t>
        </is>
      </c>
      <c r="G716" t="inlineStr"/>
      <c r="H716" t="inlineStr">
        <is>
          <t>23669 Timmendorfer Strand</t>
        </is>
      </c>
      <c r="I716" s="5" t="n">
        <v>45550</v>
      </c>
      <c r="J716" t="inlineStr">
        <is>
          <t>Sold</t>
        </is>
      </c>
      <c r="K716" s="6">
        <f>HYPERLINK("https://www.dailydose.de/kleinanzeigen/detail.htm?ai=422672&amp;cf=kk&amp;pg=5&amp;ci=11", "Link")</f>
        <v/>
      </c>
      <c r="L716" s="6">
        <f>HYPERLINK("C:\Projects\Kleinanzeigen-Scraper\offer_images\422672", "Link")</f>
        <v/>
      </c>
      <c r="M716" t="inlineStr">
        <is>
          <t>AndreasFischer</t>
        </is>
      </c>
      <c r="N716" s="6">
        <f>HYPERLINK("https://www.dailydose.de/kleinanzeigen/user/2306", "Link")</f>
        <v/>
      </c>
      <c r="O716" s="7" t="n">
        <v>45551.41520833333</v>
      </c>
      <c r="P716" s="3" t="inlineStr">
        <is>
          <t>425.88</t>
        </is>
      </c>
      <c r="Q716" t="inlineStr">
        <is>
          <t>Köln</t>
        </is>
      </c>
    </row>
    <row r="717">
      <c r="A717" t="inlineStr"/>
      <c r="B717" t="inlineStr">
        <is>
          <t>Naish Global</t>
        </is>
      </c>
      <c r="C717" t="inlineStr">
        <is>
          <t>All-Around Performance Wave</t>
        </is>
      </c>
      <c r="D717" s="3" t="n">
        <v>85</v>
      </c>
      <c r="E717" t="inlineStr">
        <is>
          <t>2024</t>
        </is>
      </c>
      <c r="F717" s="4" t="n">
        <v>1690</v>
      </c>
      <c r="G717" t="inlineStr">
        <is>
          <t>VB</t>
        </is>
      </c>
      <c r="H717" t="inlineStr">
        <is>
          <t>17192 Waren</t>
        </is>
      </c>
      <c r="I717" s="5" t="n">
        <v>45551</v>
      </c>
      <c r="J717" t="inlineStr">
        <is>
          <t>Sold</t>
        </is>
      </c>
      <c r="K717" s="6">
        <f>HYPERLINK("https://www.dailydose.de/kleinanzeigen/detail.htm?ai=422699&amp;cf=kk&amp;pg=5&amp;ci=11", "Link")</f>
        <v/>
      </c>
      <c r="L717" s="6">
        <f>HYPERLINK("C:\Projects\Kleinanzeigen-Scraper\offer_images\422699", "Link")</f>
        <v/>
      </c>
      <c r="M717" t="inlineStr">
        <is>
          <t>Nicky</t>
        </is>
      </c>
      <c r="N717" s="6">
        <f>HYPERLINK("https://www.dailydose.de/kleinanzeigen/user/17440", "Link")</f>
        <v/>
      </c>
      <c r="O717" s="7" t="n">
        <v>45551.41510416667</v>
      </c>
      <c r="P717" s="3" t="inlineStr">
        <is>
          <t>486.42</t>
        </is>
      </c>
      <c r="Q717" t="inlineStr">
        <is>
          <t>Köln</t>
        </is>
      </c>
    </row>
    <row r="718">
      <c r="A718" t="inlineStr"/>
      <c r="B718" t="inlineStr">
        <is>
          <t>Patrik Formula</t>
        </is>
      </c>
      <c r="C718" t="inlineStr">
        <is>
          <t>Formula</t>
        </is>
      </c>
      <c r="D718" s="3" t="inlineStr"/>
      <c r="E718" t="inlineStr"/>
      <c r="F718" s="4" t="n">
        <v>260</v>
      </c>
      <c r="G718" t="inlineStr"/>
      <c r="H718" t="inlineStr">
        <is>
          <t>22339 Hamburg</t>
        </is>
      </c>
      <c r="I718" s="5" t="n">
        <v>45550</v>
      </c>
      <c r="J718" t="inlineStr">
        <is>
          <t>Sold</t>
        </is>
      </c>
      <c r="K718" s="6">
        <f>HYPERLINK("https://www.dailydose.de/kleinanzeigen/detail.htm?ai=422679&amp;cf=kk&amp;pg=1&amp;ci=11", "Link")</f>
        <v/>
      </c>
      <c r="L718" s="6">
        <f>HYPERLINK("C:\Projects\Kleinanzeigen-Scraper\offer_images\422679", "Link")</f>
        <v/>
      </c>
      <c r="M718" t="inlineStr">
        <is>
          <t>Kai_156</t>
        </is>
      </c>
      <c r="N718" s="6">
        <f>HYPERLINK("https://www.dailydose.de/kleinanzeigen/user/23486", "Link")</f>
        <v/>
      </c>
      <c r="O718" s="7" t="n">
        <v>45551.41504629629</v>
      </c>
      <c r="P718" s="3" t="inlineStr">
        <is>
          <t>366.73</t>
        </is>
      </c>
      <c r="Q718" t="inlineStr">
        <is>
          <t>Köln</t>
        </is>
      </c>
    </row>
    <row r="719">
      <c r="A719" t="inlineStr">
        <is>
          <t>225 x 58.5 cm</t>
        </is>
      </c>
      <c r="B719" t="inlineStr">
        <is>
          <t>Fanatic Grip</t>
        </is>
      </c>
      <c r="C719" t="inlineStr">
        <is>
          <t>Quad</t>
        </is>
      </c>
      <c r="D719" s="3" t="n">
        <v>86</v>
      </c>
      <c r="E719" t="inlineStr">
        <is>
          <t>2020</t>
        </is>
      </c>
      <c r="F719" s="4" t="n">
        <v>600</v>
      </c>
      <c r="G719" t="inlineStr">
        <is>
          <t>VB</t>
        </is>
      </c>
      <c r="H719" t="inlineStr">
        <is>
          <t>24105 Kiel</t>
        </is>
      </c>
      <c r="I719" s="5" t="n">
        <v>45549</v>
      </c>
      <c r="J719" t="inlineStr">
        <is>
          <t>Sold</t>
        </is>
      </c>
      <c r="K719" s="6">
        <f>HYPERLINK("https://www.dailydose.de/kleinanzeigen/detail.htm?ai=422589&amp;cf=kk&amp;pg=5&amp;ci=11", "Link")</f>
        <v/>
      </c>
      <c r="L719" s="6">
        <f>HYPERLINK("C:\Projects\Kleinanzeigen-Scraper\offer_images\422589", "Link")</f>
        <v/>
      </c>
      <c r="M719" t="inlineStr">
        <is>
          <t>felix_263</t>
        </is>
      </c>
      <c r="N719" s="6">
        <f>HYPERLINK("https://www.dailydose.de/kleinanzeigen/user/25258", "Link")</f>
        <v/>
      </c>
      <c r="O719" s="7" t="n">
        <v>45551.4149537037</v>
      </c>
      <c r="P719" s="3" t="inlineStr">
        <is>
          <t>435.05</t>
        </is>
      </c>
      <c r="Q719" t="inlineStr">
        <is>
          <t>Köln</t>
        </is>
      </c>
    </row>
    <row r="720">
      <c r="A720" t="inlineStr">
        <is>
          <t>238 x 68.8 cm</t>
        </is>
      </c>
      <c r="B720" t="inlineStr">
        <is>
          <t>Patrik Diethelm Slalom</t>
        </is>
      </c>
      <c r="C720" t="inlineStr">
        <is>
          <t>Slalom</t>
        </is>
      </c>
      <c r="D720" s="3" t="n">
        <v>110</v>
      </c>
      <c r="E720" t="inlineStr"/>
      <c r="F720" s="4" t="n">
        <v>300</v>
      </c>
      <c r="G720" t="inlineStr"/>
      <c r="H720" t="inlineStr">
        <is>
          <t>34295 Edermünde</t>
        </is>
      </c>
      <c r="I720" s="5" t="n">
        <v>45550</v>
      </c>
      <c r="J720" t="inlineStr">
        <is>
          <t>Sold</t>
        </is>
      </c>
      <c r="K720" s="6">
        <f>HYPERLINK("https://www.dailydose.de/kleinanzeigen/detail.htm?ai=422668&amp;cf=kk&amp;pg=5&amp;ci=11", "Link")</f>
        <v/>
      </c>
      <c r="L720" s="6">
        <f>HYPERLINK("C:\Projects\Kleinanzeigen-Scraper\offer_images\422668", "Link")</f>
        <v/>
      </c>
      <c r="M720" t="inlineStr">
        <is>
          <t>Wolfgang Schierer</t>
        </is>
      </c>
      <c r="N720" s="6">
        <f>HYPERLINK("https://www.dailydose.de/kleinanzeigen/user/25346", "Link")</f>
        <v/>
      </c>
      <c r="O720" s="7" t="n">
        <v>45551.41484953704</v>
      </c>
      <c r="P720" s="3" t="inlineStr">
        <is>
          <t>172.77</t>
        </is>
      </c>
      <c r="Q720" t="inlineStr">
        <is>
          <t>Köln</t>
        </is>
      </c>
    </row>
    <row r="721">
      <c r="A721" t="inlineStr">
        <is>
          <t>210 cm</t>
        </is>
      </c>
      <c r="B721" t="inlineStr">
        <is>
          <t>Fanatic Stingray LDT</t>
        </is>
      </c>
      <c r="C721" t="inlineStr">
        <is>
          <t>Windfoil/Wingfoil</t>
        </is>
      </c>
      <c r="D721" s="3" t="n">
        <v>130</v>
      </c>
      <c r="E721" t="inlineStr"/>
      <c r="F721" s="4" t="n">
        <v>599</v>
      </c>
      <c r="G721" t="inlineStr"/>
      <c r="H721" t="inlineStr">
        <is>
          <t>24229 Schwedeneck</t>
        </is>
      </c>
      <c r="I721" s="5" t="n">
        <v>45549</v>
      </c>
      <c r="J721" t="inlineStr">
        <is>
          <t>Sold</t>
        </is>
      </c>
      <c r="K721" s="6">
        <f>HYPERLINK("https://www.dailydose.de/kleinanzeigen/detail.htm?ai=422577&amp;cf=kk&amp;pg=5&amp;ci=11", "Link")</f>
        <v/>
      </c>
      <c r="L721" s="6">
        <f>HYPERLINK("C:\Projects\Kleinanzeigen-Scraper\offer_images\422577", "Link")</f>
        <v/>
      </c>
      <c r="M721" t="inlineStr">
        <is>
          <t>TimSurfSail</t>
        </is>
      </c>
      <c r="N721" s="6">
        <f>HYPERLINK("https://www.dailydose.de/kleinanzeigen/user/26396", "Link")</f>
        <v/>
      </c>
      <c r="O721" s="7" t="n">
        <v>45551.41473379629</v>
      </c>
      <c r="P721" s="3" t="inlineStr">
        <is>
          <t>445.58</t>
        </is>
      </c>
      <c r="Q721" t="inlineStr">
        <is>
          <t>Köln</t>
        </is>
      </c>
    </row>
    <row r="722">
      <c r="A722" t="inlineStr"/>
      <c r="B722" t="inlineStr">
        <is>
          <t>Severne DYNO 3</t>
        </is>
      </c>
      <c r="C722" t="inlineStr">
        <is>
          <t>Freewave</t>
        </is>
      </c>
      <c r="D722" s="3" t="n">
        <v>95</v>
      </c>
      <c r="E722" t="inlineStr">
        <is>
          <t>2023</t>
        </is>
      </c>
      <c r="F722" s="4" t="n">
        <v>850</v>
      </c>
      <c r="G722" t="inlineStr"/>
      <c r="H722" t="inlineStr">
        <is>
          <t>58540 Nordrhein-Westfalen - Meinerzhagen</t>
        </is>
      </c>
      <c r="I722" s="5" t="n">
        <v>45550</v>
      </c>
      <c r="J722" t="inlineStr">
        <is>
          <t>Sold</t>
        </is>
      </c>
      <c r="K722" s="6">
        <f>HYPERLINK("https://www.dailydose.de/kleinanzeigen/detail.htm?ai=422613&amp;cf=kk&amp;pg=1&amp;ci=11", "Link")</f>
        <v/>
      </c>
      <c r="L722" s="6">
        <f>HYPERLINK("C:\Projects\Kleinanzeigen-Scraper\offer_images\422613", "Link")</f>
        <v/>
      </c>
      <c r="M722" t="inlineStr">
        <is>
          <t>tivitac</t>
        </is>
      </c>
      <c r="N722" s="6">
        <f>HYPERLINK("https://www.dailydose.de/kleinanzeigen/user/1938", "Link")</f>
        <v/>
      </c>
      <c r="O722" s="7" t="n">
        <v>45551.41466435185</v>
      </c>
      <c r="P722" s="3" t="inlineStr">
        <is>
          <t>56.25</t>
        </is>
      </c>
      <c r="Q722" t="inlineStr">
        <is>
          <t>Köln</t>
        </is>
      </c>
    </row>
    <row r="723">
      <c r="A723" t="inlineStr">
        <is>
          <t>144</t>
        </is>
      </c>
      <c r="B723" t="inlineStr">
        <is>
          <t>F2 Rx</t>
        </is>
      </c>
      <c r="C723" t="inlineStr"/>
      <c r="D723" s="3" t="inlineStr"/>
      <c r="E723" t="inlineStr"/>
      <c r="F723" s="4" t="inlineStr">
        <is>
          <t>450 Vb</t>
        </is>
      </c>
      <c r="G723" t="inlineStr"/>
      <c r="H723" t="inlineStr">
        <is>
          <t>52457 Aldenhoven</t>
        </is>
      </c>
      <c r="I723" s="5" t="n">
        <v>45550</v>
      </c>
      <c r="J723" t="inlineStr">
        <is>
          <t>Sold</t>
        </is>
      </c>
      <c r="K723" s="6">
        <f>HYPERLINK("https://www.dailydose.de/kleinanzeigen/detail.htm?ai=422608&amp;cf=kk&amp;pg=5&amp;ci=11", "Link")</f>
        <v/>
      </c>
      <c r="L723" s="6">
        <f>HYPERLINK("C:\Projects\Kleinanzeigen-Scraper\offer_images\422608", "Link")</f>
        <v/>
      </c>
      <c r="M723" t="inlineStr">
        <is>
          <t>Klaus_74</t>
        </is>
      </c>
      <c r="N723" s="6">
        <f>HYPERLINK("https://www.dailydose.de/kleinanzeigen/user/20069", "Link")</f>
        <v/>
      </c>
      <c r="O723" s="7" t="n">
        <v>45551.41462962963</v>
      </c>
      <c r="P723" s="3" t="inlineStr">
        <is>
          <t>48.38</t>
        </is>
      </c>
      <c r="Q723" t="inlineStr">
        <is>
          <t>Köln</t>
        </is>
      </c>
    </row>
    <row r="724">
      <c r="A724" t="inlineStr">
        <is>
          <t>241 cm x 51.5 cm</t>
        </is>
      </c>
      <c r="B724" t="inlineStr">
        <is>
          <t>GOYA Custom Wave</t>
        </is>
      </c>
      <c r="C724" t="inlineStr">
        <is>
          <t>Wave</t>
        </is>
      </c>
      <c r="D724" s="3" t="n">
        <v>66</v>
      </c>
      <c r="E724" t="inlineStr"/>
      <c r="F724" s="4" t="n">
        <v>300</v>
      </c>
      <c r="G724" t="inlineStr"/>
      <c r="H724" t="inlineStr">
        <is>
          <t>Kiel oder Versand</t>
        </is>
      </c>
      <c r="I724" s="5" t="n">
        <v>45550</v>
      </c>
      <c r="J724" t="inlineStr">
        <is>
          <t>Sold</t>
        </is>
      </c>
      <c r="K724" s="6">
        <f>HYPERLINK("https://www.dailydose.de/kleinanzeigen/detail.htm?ai=422605&amp;cf=kk&amp;pg=5&amp;ci=11", "Link")</f>
        <v/>
      </c>
      <c r="L724" s="6">
        <f>HYPERLINK("C:\Projects\Kleinanzeigen-Scraper\offer_images\422605", "Link")</f>
        <v/>
      </c>
      <c r="M724" t="inlineStr">
        <is>
          <t>JANONBOARD</t>
        </is>
      </c>
      <c r="N724" s="6">
        <f>HYPERLINK("https://www.dailydose.de/kleinanzeigen/user/11795", "Link")</f>
        <v/>
      </c>
      <c r="O724" s="7" t="n">
        <v>45551.41450231482</v>
      </c>
      <c r="P724" s="3" t="inlineStr">
        <is>
          <t>432.66</t>
        </is>
      </c>
      <c r="Q724" t="inlineStr">
        <is>
          <t>Köln</t>
        </is>
      </c>
    </row>
    <row r="725">
      <c r="A725" t="inlineStr">
        <is>
          <t>105/235/65</t>
        </is>
      </c>
      <c r="B725" t="inlineStr">
        <is>
          <t>RRD X-Fire</t>
        </is>
      </c>
      <c r="C725" t="inlineStr">
        <is>
          <t>Slalom</t>
        </is>
      </c>
      <c r="D725" s="3" t="inlineStr"/>
      <c r="E725" t="inlineStr"/>
      <c r="F725" s="4" t="n">
        <v>575</v>
      </c>
      <c r="G725" t="inlineStr"/>
      <c r="H725" t="inlineStr">
        <is>
          <t>10777 Berlin</t>
        </is>
      </c>
      <c r="I725" s="5" t="n">
        <v>45550</v>
      </c>
      <c r="J725" t="inlineStr">
        <is>
          <t>Sold</t>
        </is>
      </c>
      <c r="K725" s="6">
        <f>HYPERLINK("https://www.dailydose.de/kleinanzeigen/detail.htm?ai=422663&amp;cf=kk&amp;pg=5&amp;ci=11", "Link")</f>
        <v/>
      </c>
      <c r="L725" s="6">
        <f>HYPERLINK("C:\Projects\Kleinanzeigen-Scraper\offer_images\422663", "Link")</f>
        <v/>
      </c>
      <c r="M725" t="inlineStr">
        <is>
          <t>Martin L_76</t>
        </is>
      </c>
      <c r="N725" s="6">
        <f>HYPERLINK("https://www.dailydose.de/kleinanzeigen/user/15813", "Link")</f>
        <v/>
      </c>
      <c r="O725" s="7" t="n">
        <v>45551.41444444445</v>
      </c>
      <c r="P725" s="3" t="inlineStr">
        <is>
          <t>472.82</t>
        </is>
      </c>
      <c r="Q725" t="inlineStr">
        <is>
          <t>Köln</t>
        </is>
      </c>
    </row>
    <row r="726">
      <c r="A726" t="inlineStr">
        <is>
          <t>235 x 58.5</t>
        </is>
      </c>
      <c r="B726" t="inlineStr">
        <is>
          <t>F2 Rebel</t>
        </is>
      </c>
      <c r="C726" t="inlineStr">
        <is>
          <t>Wave – Freestyle</t>
        </is>
      </c>
      <c r="D726" s="3" t="n">
        <v>83</v>
      </c>
      <c r="E726" t="inlineStr"/>
      <c r="F726" s="4" t="n">
        <v>190</v>
      </c>
      <c r="G726" t="inlineStr">
        <is>
          <t>VB</t>
        </is>
      </c>
      <c r="H726" t="inlineStr">
        <is>
          <t>65193 Rhein-Main</t>
        </is>
      </c>
      <c r="I726" s="5" t="n">
        <v>45550</v>
      </c>
      <c r="J726" t="inlineStr">
        <is>
          <t>Sold</t>
        </is>
      </c>
      <c r="K726" s="6">
        <f>HYPERLINK("https://www.dailydose.de/kleinanzeigen/detail.htm?ai=422694&amp;cf=kk&amp;pg=5&amp;ci=11", "Link")</f>
        <v/>
      </c>
      <c r="L726" s="6">
        <f>HYPERLINK("C:\Projects\Kleinanzeigen-Scraper\offer_images\422694", "Link")</f>
        <v/>
      </c>
      <c r="M726" t="inlineStr">
        <is>
          <t>Chris_122</t>
        </is>
      </c>
      <c r="N726" s="6">
        <f>HYPERLINK("https://www.dailydose.de/kleinanzeigen/user/15032", "Link")</f>
        <v/>
      </c>
      <c r="O726" s="7" t="n">
        <v>45551.41388888889</v>
      </c>
      <c r="P726" s="3" t="inlineStr">
        <is>
          <t>121.83</t>
        </is>
      </c>
      <c r="Q726" t="inlineStr">
        <is>
          <t>Karlsruhe</t>
        </is>
      </c>
    </row>
    <row r="727">
      <c r="A727" t="inlineStr"/>
      <c r="B727" t="inlineStr">
        <is>
          <t>Severne Pyro</t>
        </is>
      </c>
      <c r="C727" t="inlineStr"/>
      <c r="D727" s="3" t="n">
        <v>93</v>
      </c>
      <c r="E727" t="inlineStr">
        <is>
          <t>2023</t>
        </is>
      </c>
      <c r="F727" s="4" t="n">
        <v>920</v>
      </c>
      <c r="G727" t="inlineStr"/>
      <c r="H727" t="inlineStr">
        <is>
          <t>58540 Nordrhein-Westfalen - Meinerzhagen</t>
        </is>
      </c>
      <c r="I727" s="5" t="n">
        <v>45549</v>
      </c>
      <c r="J727" t="inlineStr">
        <is>
          <t>Sold</t>
        </is>
      </c>
      <c r="K727" s="6">
        <f>HYPERLINK("https://www.dailydose.de/kleinanzeigen/detail.htm?ai=422598&amp;cf=kk&amp;pg=1&amp;ci=11", "Link")</f>
        <v/>
      </c>
      <c r="L727" s="6">
        <f>HYPERLINK("C:\Projects\Kleinanzeigen-Scraper\offer_images\422598", "Link")</f>
        <v/>
      </c>
      <c r="M727" t="inlineStr">
        <is>
          <t>tivitac</t>
        </is>
      </c>
      <c r="N727" s="6">
        <f>HYPERLINK("https://www.dailydose.de/kleinanzeigen/user/1938", "Link")</f>
        <v/>
      </c>
      <c r="O727" s="7" t="n">
        <v>45551.41376157408</v>
      </c>
      <c r="P727" s="3" t="inlineStr">
        <is>
          <t>56.25</t>
        </is>
      </c>
      <c r="Q727" t="inlineStr">
        <is>
          <t>Köln</t>
        </is>
      </c>
    </row>
    <row r="728">
      <c r="A728" t="inlineStr">
        <is>
          <t>71</t>
        </is>
      </c>
      <c r="B728" t="inlineStr">
        <is>
          <t>JP</t>
        </is>
      </c>
      <c r="C728" t="inlineStr">
        <is>
          <t>Slalom</t>
        </is>
      </c>
      <c r="D728" s="3" t="n">
        <v>111</v>
      </c>
      <c r="E728" t="inlineStr"/>
      <c r="F728" s="4" t="n">
        <v>780</v>
      </c>
      <c r="G728" t="inlineStr"/>
      <c r="H728" t="inlineStr">
        <is>
          <t>58540 Nordrhein-Westfalen - Meinerzhagen</t>
        </is>
      </c>
      <c r="I728" s="5" t="n">
        <v>45549</v>
      </c>
      <c r="J728" t="inlineStr">
        <is>
          <t>Sold</t>
        </is>
      </c>
      <c r="K728" s="6">
        <f>HYPERLINK("https://www.dailydose.de/kleinanzeigen/detail.htm?ai=422600&amp;cf=kk&amp;pg=1&amp;ci=11", "Link")</f>
        <v/>
      </c>
      <c r="L728" s="6">
        <f>HYPERLINK("C:\Projects\Kleinanzeigen-Scraper\offer_images\422600", "Link")</f>
        <v/>
      </c>
      <c r="M728" t="inlineStr">
        <is>
          <t>tivitac</t>
        </is>
      </c>
      <c r="N728" s="6">
        <f>HYPERLINK("https://www.dailydose.de/kleinanzeigen/user/1938", "Link")</f>
        <v/>
      </c>
      <c r="O728" s="7" t="n">
        <v>45551.41372685185</v>
      </c>
      <c r="P728" s="3" t="inlineStr">
        <is>
          <t>56.25</t>
        </is>
      </c>
      <c r="Q728" t="inlineStr">
        <is>
          <t>Köln</t>
        </is>
      </c>
    </row>
    <row r="729">
      <c r="A729" t="inlineStr">
        <is>
          <t>89</t>
        </is>
      </c>
      <c r="B729" t="inlineStr">
        <is>
          <t>Goya Quad</t>
        </is>
      </c>
      <c r="C729" t="inlineStr">
        <is>
          <t>Freestyle</t>
        </is>
      </c>
      <c r="D729" s="3" t="inlineStr"/>
      <c r="E729" t="inlineStr">
        <is>
          <t>22/23</t>
        </is>
      </c>
      <c r="F729" s="4" t="n">
        <v>1.1</v>
      </c>
      <c r="G729" t="inlineStr"/>
      <c r="H729" t="inlineStr">
        <is>
          <t>22307 Hamburg</t>
        </is>
      </c>
      <c r="I729" s="5" t="n">
        <v>45550</v>
      </c>
      <c r="J729" t="inlineStr">
        <is>
          <t>Sold</t>
        </is>
      </c>
      <c r="K729" s="6">
        <f>HYPERLINK("https://www.dailydose.de/kleinanzeigen/detail.htm?ai=422632&amp;cf=kk&amp;pg=5&amp;ci=11", "Link")</f>
        <v/>
      </c>
      <c r="L729" s="6">
        <f>HYPERLINK("C:\Projects\Kleinanzeigen-Scraper\offer_images\422632", "Link")</f>
        <v/>
      </c>
      <c r="M729" t="inlineStr">
        <is>
          <t>henning.rothfuss</t>
        </is>
      </c>
      <c r="N729" s="6">
        <f>HYPERLINK("https://www.dailydose.de/kleinanzeigen/user/180", "Link")</f>
        <v/>
      </c>
      <c r="O729" s="7" t="n">
        <v>45551.41366898148</v>
      </c>
      <c r="P729" s="3" t="inlineStr">
        <is>
          <t>362.75</t>
        </is>
      </c>
      <c r="Q729" t="inlineStr">
        <is>
          <t>Köln</t>
        </is>
      </c>
    </row>
    <row r="730">
      <c r="A730" t="inlineStr">
        <is>
          <t>265 x 51</t>
        </is>
      </c>
      <c r="B730" t="inlineStr">
        <is>
          <t>AHD Exocet</t>
        </is>
      </c>
      <c r="C730" t="inlineStr">
        <is>
          <t>Slalom</t>
        </is>
      </c>
      <c r="D730" s="3" t="n">
        <v>75</v>
      </c>
      <c r="E730" t="inlineStr"/>
      <c r="F730" s="4" t="n">
        <v>350</v>
      </c>
      <c r="G730" t="inlineStr">
        <is>
          <t>VB</t>
        </is>
      </c>
      <c r="H730" t="inlineStr">
        <is>
          <t>65193 Rhein-Main</t>
        </is>
      </c>
      <c r="I730" s="5" t="n">
        <v>45550</v>
      </c>
      <c r="J730" t="inlineStr">
        <is>
          <t>Sold</t>
        </is>
      </c>
      <c r="K730" s="6">
        <f>HYPERLINK("https://www.dailydose.de/kleinanzeigen/detail.htm?ai=422695&amp;cf=kk&amp;pg=5&amp;ci=11", "Link")</f>
        <v/>
      </c>
      <c r="L730" s="6">
        <f>HYPERLINK("C:\Projects\Kleinanzeigen-Scraper\offer_images\422695", "Link")</f>
        <v/>
      </c>
      <c r="M730" t="inlineStr">
        <is>
          <t>Chris_122</t>
        </is>
      </c>
      <c r="N730" s="6">
        <f>HYPERLINK("https://www.dailydose.de/kleinanzeigen/user/15032", "Link")</f>
        <v/>
      </c>
      <c r="O730" s="7" t="n">
        <v>45551.41363425926</v>
      </c>
      <c r="P730" s="3" t="inlineStr">
        <is>
          <t>121.83</t>
        </is>
      </c>
      <c r="Q730" t="inlineStr">
        <is>
          <t>Karlsruhe</t>
        </is>
      </c>
    </row>
    <row r="731">
      <c r="A731" t="inlineStr">
        <is>
          <t>245 x 69</t>
        </is>
      </c>
      <c r="B731" t="inlineStr">
        <is>
          <t>Fanatic Hawk</t>
        </is>
      </c>
      <c r="C731" t="inlineStr">
        <is>
          <t>Freeride</t>
        </is>
      </c>
      <c r="D731" s="3" t="n">
        <v>125</v>
      </c>
      <c r="E731" t="inlineStr"/>
      <c r="F731" s="4" t="n">
        <v>370</v>
      </c>
      <c r="G731" t="inlineStr"/>
      <c r="H731" t="inlineStr">
        <is>
          <t>23775 Großenbrode</t>
        </is>
      </c>
      <c r="I731" s="5" t="n">
        <v>45549</v>
      </c>
      <c r="J731" t="inlineStr">
        <is>
          <t>Sold</t>
        </is>
      </c>
      <c r="K731" s="6">
        <f>HYPERLINK("https://www.dailydose.de/kleinanzeigen/detail.htm?ai=422586&amp;cf=kk&amp;pg=3&amp;ci=11", "Link")</f>
        <v/>
      </c>
      <c r="L731" s="6">
        <f>HYPERLINK("C:\Projects\Kleinanzeigen-Scraper\offer_images\422586", "Link")</f>
        <v/>
      </c>
      <c r="M731" t="inlineStr">
        <is>
          <t>Holger_156</t>
        </is>
      </c>
      <c r="N731" s="6">
        <f>HYPERLINK("https://www.dailydose.de/kleinanzeigen/user/10571", "Link")</f>
        <v/>
      </c>
      <c r="O731" s="7" t="n">
        <v>45551.41363425926</v>
      </c>
      <c r="P731" s="3" t="inlineStr">
        <is>
          <t>471.97</t>
        </is>
      </c>
      <c r="Q731" t="inlineStr">
        <is>
          <t>Köln</t>
        </is>
      </c>
    </row>
    <row r="732">
      <c r="A732" t="inlineStr"/>
      <c r="B732" t="inlineStr">
        <is>
          <t>Goya Custom Thruster</t>
        </is>
      </c>
      <c r="C732" t="inlineStr">
        <is>
          <t>Wave</t>
        </is>
      </c>
      <c r="D732" s="3" t="n">
        <v>81</v>
      </c>
      <c r="E732" t="inlineStr">
        <is>
          <t>2018</t>
        </is>
      </c>
      <c r="F732" s="4" t="n">
        <v>730</v>
      </c>
      <c r="G732" t="inlineStr"/>
      <c r="H732" t="inlineStr">
        <is>
          <t>66450 Saarland</t>
        </is>
      </c>
      <c r="I732" s="5" t="n">
        <v>45549</v>
      </c>
      <c r="J732" t="inlineStr">
        <is>
          <t>Sold</t>
        </is>
      </c>
      <c r="K732" s="6">
        <f>HYPERLINK("https://www.dailydose.de/kleinanzeigen/detail.htm?ai=422581&amp;cf=kk&amp;pg=5&amp;ci=11", "Link")</f>
        <v/>
      </c>
      <c r="L732" s="6">
        <f>HYPERLINK("C:\Projects\Kleinanzeigen-Scraper\offer_images\422581", "Link")</f>
        <v/>
      </c>
      <c r="M732" t="inlineStr">
        <is>
          <t>Windböe</t>
        </is>
      </c>
      <c r="N732" s="6">
        <f>HYPERLINK("https://www.dailydose.de/kleinanzeigen/user/2833", "Link")</f>
        <v/>
      </c>
      <c r="O732" s="7" t="n">
        <v>45551.41292824074</v>
      </c>
      <c r="P732" s="3" t="inlineStr">
        <is>
          <t>92.12</t>
        </is>
      </c>
      <c r="Q732" t="inlineStr">
        <is>
          <t>Karlsruhe</t>
        </is>
      </c>
    </row>
    <row r="733">
      <c r="A733" t="inlineStr">
        <is>
          <t>79</t>
        </is>
      </c>
      <c r="B733" t="inlineStr">
        <is>
          <t>Severne Pyro</t>
        </is>
      </c>
      <c r="C733" t="inlineStr"/>
      <c r="D733" s="3" t="inlineStr"/>
      <c r="E733" t="inlineStr">
        <is>
          <t>2023</t>
        </is>
      </c>
      <c r="F733" s="4" t="n">
        <v>850</v>
      </c>
      <c r="G733" t="inlineStr"/>
      <c r="H733" t="inlineStr">
        <is>
          <t>58540 Nordrhein-Westfalen - Meinerzhagen</t>
        </is>
      </c>
      <c r="I733" s="5" t="n">
        <v>45549</v>
      </c>
      <c r="J733" t="inlineStr">
        <is>
          <t>Sold</t>
        </is>
      </c>
      <c r="K733" s="6">
        <f>HYPERLINK("https://www.dailydose.de/kleinanzeigen/detail.htm?ai=422599&amp;cf=kk&amp;pg=1&amp;ci=11", "Link")</f>
        <v/>
      </c>
      <c r="L733" s="6">
        <f>HYPERLINK("C:\Projects\Kleinanzeigen-Scraper\offer_images\422599", "Link")</f>
        <v/>
      </c>
      <c r="M733" t="inlineStr">
        <is>
          <t>tivitac</t>
        </is>
      </c>
      <c r="N733" s="6">
        <f>HYPERLINK("https://www.dailydose.de/kleinanzeigen/user/1938", "Link")</f>
        <v/>
      </c>
      <c r="O733" s="7" t="n">
        <v>45551.4128587963</v>
      </c>
      <c r="P733" s="3" t="inlineStr">
        <is>
          <t>56.25</t>
        </is>
      </c>
      <c r="Q733" t="inlineStr">
        <is>
          <t>Köln</t>
        </is>
      </c>
    </row>
    <row r="734">
      <c r="A734" t="inlineStr">
        <is>
          <t>237 cm x 61 cm</t>
        </is>
      </c>
      <c r="B734" t="inlineStr">
        <is>
          <t>Tabou Pocket</t>
        </is>
      </c>
      <c r="C734" t="inlineStr">
        <is>
          <t>Freestyle</t>
        </is>
      </c>
      <c r="D734" s="3" t="n">
        <v>93</v>
      </c>
      <c r="E734" t="inlineStr">
        <is>
          <t>2020</t>
        </is>
      </c>
      <c r="F734" s="4" t="inlineStr"/>
      <c r="G734" t="inlineStr">
        <is>
          <t>VB</t>
        </is>
      </c>
      <c r="H734" t="inlineStr">
        <is>
          <t>20357 Hamburg</t>
        </is>
      </c>
      <c r="I734" s="5" t="n">
        <v>45549</v>
      </c>
      <c r="J734" t="inlineStr">
        <is>
          <t>Sold</t>
        </is>
      </c>
      <c r="K734" s="6">
        <f>HYPERLINK("https://www.dailydose.de/kleinanzeigen/detail.htm?ai=422584&amp;cf=kk&amp;pg=5&amp;ci=11", "Link")</f>
        <v/>
      </c>
      <c r="L734" s="6">
        <f>HYPERLINK("C:\Projects\Kleinanzeigen-Scraper\offer_images\422584", "Link")</f>
        <v/>
      </c>
      <c r="M734" t="inlineStr">
        <is>
          <t>LotteLehman</t>
        </is>
      </c>
      <c r="N734" s="6">
        <f>HYPERLINK("https://www.dailydose.de/kleinanzeigen/user/19353", "Link")</f>
        <v/>
      </c>
      <c r="O734" s="7" t="n">
        <v>45551.41270833334</v>
      </c>
      <c r="P734" s="3" t="inlineStr">
        <is>
          <t>356.83</t>
        </is>
      </c>
      <c r="Q734" t="inlineStr">
        <is>
          <t>Köln</t>
        </is>
      </c>
    </row>
    <row r="735">
      <c r="A735" t="inlineStr"/>
      <c r="B735" t="inlineStr">
        <is>
          <t>Severne DYNO</t>
        </is>
      </c>
      <c r="C735" t="inlineStr">
        <is>
          <t>Freewave</t>
        </is>
      </c>
      <c r="D735" s="3" t="n">
        <v>105</v>
      </c>
      <c r="E735" t="inlineStr">
        <is>
          <t>2023</t>
        </is>
      </c>
      <c r="F735" s="4" t="n">
        <v>850</v>
      </c>
      <c r="G735" t="inlineStr"/>
      <c r="H735" t="inlineStr">
        <is>
          <t>58540 Nordrhein-Westfalen - Meinerzhagen</t>
        </is>
      </c>
      <c r="I735" s="5" t="n">
        <v>45550</v>
      </c>
      <c r="J735" t="inlineStr">
        <is>
          <t>Sold</t>
        </is>
      </c>
      <c r="K735" s="6">
        <f>HYPERLINK("https://www.dailydose.de/kleinanzeigen/detail.htm?ai=422614&amp;cf=kk&amp;pg=1&amp;ci=11", "Link")</f>
        <v/>
      </c>
      <c r="L735" s="6">
        <f>HYPERLINK("C:\Projects\Kleinanzeigen-Scraper\offer_images\422614", "Link")</f>
        <v/>
      </c>
      <c r="M735" t="inlineStr">
        <is>
          <t>tivitac</t>
        </is>
      </c>
      <c r="N735" s="6">
        <f>HYPERLINK("https://www.dailydose.de/kleinanzeigen/user/1938", "Link")</f>
        <v/>
      </c>
      <c r="O735" s="7" t="n">
        <v>45551.41263888889</v>
      </c>
      <c r="P735" s="3" t="inlineStr">
        <is>
          <t>56.25</t>
        </is>
      </c>
      <c r="Q735" t="inlineStr">
        <is>
          <t>Köln</t>
        </is>
      </c>
    </row>
    <row r="736">
      <c r="A736" t="inlineStr"/>
      <c r="B736" t="inlineStr">
        <is>
          <t>Naish Global</t>
        </is>
      </c>
      <c r="C736" t="inlineStr"/>
      <c r="D736" s="3" t="n">
        <v>98</v>
      </c>
      <c r="E736" t="inlineStr"/>
      <c r="F736" s="4" t="n">
        <v>459</v>
      </c>
      <c r="G736" t="inlineStr"/>
      <c r="H736" t="inlineStr">
        <is>
          <t>17192 Waren</t>
        </is>
      </c>
      <c r="I736" s="5" t="n">
        <v>45551</v>
      </c>
      <c r="J736" t="inlineStr">
        <is>
          <t>Sold</t>
        </is>
      </c>
      <c r="K736" s="6">
        <f>HYPERLINK("https://www.dailydose.de/kleinanzeigen/detail.htm?ai=422698&amp;cf=kk&amp;pg=5&amp;ci=11", "Link")</f>
        <v/>
      </c>
      <c r="L736" s="6">
        <f>HYPERLINK("C:\Projects\Kleinanzeigen-Scraper\offer_images\422698", "Link")</f>
        <v/>
      </c>
      <c r="M736" t="inlineStr">
        <is>
          <t>Nicky</t>
        </is>
      </c>
      <c r="N736" s="6">
        <f>HYPERLINK("https://www.dailydose.de/kleinanzeigen/user/17440", "Link")</f>
        <v/>
      </c>
      <c r="O736" s="7" t="n">
        <v>45551.4122337963</v>
      </c>
      <c r="P736" s="3" t="inlineStr">
        <is>
          <t>486.42</t>
        </is>
      </c>
      <c r="Q736" t="inlineStr">
        <is>
          <t>Köln</t>
        </is>
      </c>
    </row>
    <row r="737">
      <c r="A737" t="inlineStr"/>
      <c r="B737" t="inlineStr">
        <is>
          <t>Mistral Joker</t>
        </is>
      </c>
      <c r="C737" t="inlineStr">
        <is>
          <t>Freestyle</t>
        </is>
      </c>
      <c r="D737" s="3" t="n">
        <v>109</v>
      </c>
      <c r="E737" t="inlineStr"/>
      <c r="F737" s="4" t="n">
        <v>200</v>
      </c>
      <c r="G737" t="inlineStr"/>
      <c r="H737" t="inlineStr">
        <is>
          <t>78187 Geisingen</t>
        </is>
      </c>
      <c r="I737" s="5" t="n">
        <v>45550</v>
      </c>
      <c r="J737" t="inlineStr">
        <is>
          <t>Sold</t>
        </is>
      </c>
      <c r="K737" s="6">
        <f>HYPERLINK("https://www.dailydose.de/kleinanzeigen/detail.htm?ai=422624&amp;cf=kk&amp;pg=5&amp;ci=11", "Link")</f>
        <v/>
      </c>
      <c r="L737" s="6">
        <f>HYPERLINK("C:\Projects\Kleinanzeigen-Scraper\offer_images\422624", "Link")</f>
        <v/>
      </c>
      <c r="M737" t="inlineStr">
        <is>
          <t>surferto</t>
        </is>
      </c>
      <c r="N737" s="6">
        <f>HYPERLINK("https://www.dailydose.de/kleinanzeigen/user/23808", "Link")</f>
        <v/>
      </c>
      <c r="O737" s="7" t="n">
        <v>45551.41216435185</v>
      </c>
      <c r="P737" s="3" t="inlineStr">
        <is>
          <t>24.74</t>
        </is>
      </c>
      <c r="Q737" t="inlineStr">
        <is>
          <t>Bonndorf</t>
        </is>
      </c>
    </row>
    <row r="738">
      <c r="A738" t="inlineStr"/>
      <c r="B738" t="inlineStr">
        <is>
          <t>Naish Hover WS</t>
        </is>
      </c>
      <c r="C738" t="inlineStr">
        <is>
          <t>Foilboard</t>
        </is>
      </c>
      <c r="D738" s="3" t="inlineStr">
        <is>
          <t>145, 125, 105</t>
        </is>
      </c>
      <c r="E738" t="inlineStr"/>
      <c r="F738" s="4" t="n">
        <v>799</v>
      </c>
      <c r="G738" t="inlineStr"/>
      <c r="H738" t="inlineStr">
        <is>
          <t>17192 Waren</t>
        </is>
      </c>
      <c r="I738" s="5" t="n">
        <v>45551</v>
      </c>
      <c r="J738" t="inlineStr">
        <is>
          <t>Sold</t>
        </is>
      </c>
      <c r="K738" s="6">
        <f>HYPERLINK("https://www.dailydose.de/kleinanzeigen/detail.htm?ai=422697&amp;cf=kk&amp;pg=5&amp;ci=11", "Link")</f>
        <v/>
      </c>
      <c r="L738" s="6">
        <f>HYPERLINK("C:\Projects\Kleinanzeigen-Scraper\offer_images\422697", "Link")</f>
        <v/>
      </c>
      <c r="M738" t="inlineStr">
        <is>
          <t>Nicky</t>
        </is>
      </c>
      <c r="N738" s="6">
        <f>HYPERLINK("https://www.dailydose.de/kleinanzeigen/user/17440", "Link")</f>
        <v/>
      </c>
      <c r="O738" s="7" t="n">
        <v>45551.41209490741</v>
      </c>
      <c r="P738" s="3" t="inlineStr">
        <is>
          <t>486.42</t>
        </is>
      </c>
      <c r="Q738" t="inlineStr">
        <is>
          <t>Köln</t>
        </is>
      </c>
    </row>
    <row r="739">
      <c r="A739" t="inlineStr">
        <is>
          <t>223.5 × 56.8</t>
        </is>
      </c>
      <c r="B739" t="inlineStr">
        <is>
          <t>Goya Custom 4</t>
        </is>
      </c>
      <c r="C739" t="inlineStr"/>
      <c r="D739" s="3" t="n">
        <v>84</v>
      </c>
      <c r="E739" t="inlineStr"/>
      <c r="F739" s="4" t="n">
        <v>950</v>
      </c>
      <c r="G739" t="inlineStr"/>
      <c r="H739" t="inlineStr">
        <is>
          <t>22559 Hamburg</t>
        </is>
      </c>
      <c r="I739" s="5" t="n">
        <v>45550</v>
      </c>
      <c r="J739" t="inlineStr">
        <is>
          <t>Sold</t>
        </is>
      </c>
      <c r="K739" s="6">
        <f>HYPERLINK("https://www.dailydose.de/kleinanzeigen/detail.htm?ai=422669&amp;cf=kk&amp;pg=5&amp;ci=11", "Link")</f>
        <v/>
      </c>
      <c r="L739" s="6">
        <f>HYPERLINK("C:\Projects\Kleinanzeigen-Scraper\offer_images\422669", "Link")</f>
        <v/>
      </c>
      <c r="M739" t="inlineStr">
        <is>
          <t>Frank_73</t>
        </is>
      </c>
      <c r="N739" s="6">
        <f>HYPERLINK("https://www.dailydose.de/kleinanzeigen/user/8633", "Link")</f>
        <v/>
      </c>
      <c r="O739" s="7" t="n">
        <v>45551.41189814815</v>
      </c>
      <c r="P739" s="3" t="inlineStr">
        <is>
          <t>350.33</t>
        </is>
      </c>
      <c r="Q739" t="inlineStr">
        <is>
          <t>Köln</t>
        </is>
      </c>
    </row>
    <row r="740">
      <c r="A740" t="inlineStr"/>
      <c r="B740" t="inlineStr">
        <is>
          <t>Tabou 3S</t>
        </is>
      </c>
      <c r="C740" t="inlineStr">
        <is>
          <t>Freeride/Wave</t>
        </is>
      </c>
      <c r="D740" s="3" t="n">
        <v>96</v>
      </c>
      <c r="E740" t="inlineStr"/>
      <c r="F740" s="4" t="n">
        <v>350</v>
      </c>
      <c r="G740" t="inlineStr">
        <is>
          <t>VB</t>
        </is>
      </c>
      <c r="H740" t="inlineStr">
        <is>
          <t>49439 Niedersachsen - Steinfeld</t>
        </is>
      </c>
      <c r="I740" s="5" t="n">
        <v>45549</v>
      </c>
      <c r="J740" t="inlineStr"/>
      <c r="K740" s="6">
        <f>HYPERLINK("https://www.kleinanzeigen.de/s-anzeige/windsurfboard-tabou-3s-96-liter/2863341231-230-2619", "Link")</f>
        <v/>
      </c>
      <c r="L740" s="6">
        <f>HYPERLINK("C:\Projects\Kleinanzeigen-Scraper\offer_images\2863341231", "Link")</f>
        <v/>
      </c>
      <c r="M740" t="inlineStr">
        <is>
          <t>Sven</t>
        </is>
      </c>
      <c r="N740" s="6">
        <f>HYPERLINK("https://www.kleinanzeigen.de/s-bestandsliste.html?userId=120089659", "Link")</f>
        <v/>
      </c>
      <c r="O740" s="7" t="n">
        <v>45551.41170138889</v>
      </c>
      <c r="P740" s="3" t="inlineStr">
        <is>
          <t>203.88</t>
        </is>
      </c>
      <c r="Q740" t="inlineStr">
        <is>
          <t>Köln</t>
        </is>
      </c>
    </row>
    <row r="741">
      <c r="A741" t="inlineStr">
        <is>
          <t>151</t>
        </is>
      </c>
      <c r="B741" t="inlineStr">
        <is>
          <t>Starboard Go</t>
        </is>
      </c>
      <c r="C741" t="inlineStr">
        <is>
          <t>Freeride</t>
        </is>
      </c>
      <c r="D741" s="3" t="inlineStr"/>
      <c r="E741" t="inlineStr"/>
      <c r="F741" s="4" t="n">
        <v>680</v>
      </c>
      <c r="G741" t="inlineStr">
        <is>
          <t>VB</t>
        </is>
      </c>
      <c r="H741" t="inlineStr">
        <is>
          <t>42781 Nordrhein-Westfalen - Haan</t>
        </is>
      </c>
      <c r="I741" s="5" t="n">
        <v>45375</v>
      </c>
      <c r="J741" t="inlineStr"/>
      <c r="K741" s="6">
        <f>HYPERLINK("https://www.kleinanzeigen.de/s-anzeige/windsurfboard-starboard-go-freeride-151-3dx/2715696397-230-1516", "Link")</f>
        <v/>
      </c>
      <c r="L741" s="6">
        <f>HYPERLINK("C:\Projects\Kleinanzeigen-Scraper\offer_images\2715696397", "Link")</f>
        <v/>
      </c>
      <c r="M741" t="inlineStr">
        <is>
          <t>Christian Prison</t>
        </is>
      </c>
      <c r="N741" s="6">
        <f>HYPERLINK("https://www.kleinanzeigen.de/s-bestandsliste.html?userId=16359520", "Link")</f>
        <v/>
      </c>
      <c r="O741" s="7" t="n">
        <v>45551.41166666667</v>
      </c>
      <c r="P741" s="3" t="inlineStr">
        <is>
          <t>29.91</t>
        </is>
      </c>
      <c r="Q741" t="inlineStr">
        <is>
          <t>Köln</t>
        </is>
      </c>
    </row>
    <row r="742">
      <c r="A742" t="inlineStr">
        <is>
          <t>Dimensions not specified</t>
        </is>
      </c>
      <c r="B742" t="inlineStr">
        <is>
          <t>Starboard EVO XTV IQ</t>
        </is>
      </c>
      <c r="C742" t="inlineStr">
        <is>
          <t>Freeride</t>
        </is>
      </c>
      <c r="D742" s="3" t="n">
        <v>70</v>
      </c>
      <c r="E742" t="inlineStr"/>
      <c r="F742" s="4" t="n">
        <v>130</v>
      </c>
      <c r="G742" t="inlineStr"/>
      <c r="H742" t="inlineStr">
        <is>
          <t>52074 Aachen - Aachen-Südviertel</t>
        </is>
      </c>
      <c r="I742" s="5" t="n">
        <v>45491</v>
      </c>
      <c r="J742" t="inlineStr">
        <is>
          <t>Sold</t>
        </is>
      </c>
      <c r="K742" s="6">
        <f>HYPERLINK("https://www.kleinanzeigen.de/s-anzeige/surfbrett-starboard-evo-xtv-iq-70-wood/2815491581-230-24625", "Link")</f>
        <v/>
      </c>
      <c r="L742" s="6">
        <f>HYPERLINK("C:\Projects\Kleinanzeigen-Scraper\offer_images\2815491581", "Link")</f>
        <v/>
      </c>
      <c r="M742" t="inlineStr">
        <is>
          <t>Marco Ru</t>
        </is>
      </c>
      <c r="N742" s="6">
        <f>HYPERLINK("https://www.kleinanzeigen.de/s-bestandsliste.html?userId=75259613", "Link")</f>
        <v/>
      </c>
      <c r="O742" s="7" t="n">
        <v>45551.41159722222</v>
      </c>
      <c r="P742" s="3" t="inlineStr">
        <is>
          <t>66.56</t>
        </is>
      </c>
      <c r="Q742" t="inlineStr">
        <is>
          <t>Köln</t>
        </is>
      </c>
    </row>
    <row r="743">
      <c r="A743" t="inlineStr">
        <is>
          <t>231 x 75</t>
        </is>
      </c>
      <c r="B743" t="inlineStr">
        <is>
          <t>Starboard Isonic</t>
        </is>
      </c>
      <c r="C743" t="inlineStr">
        <is>
          <t>Race/Slalom</t>
        </is>
      </c>
      <c r="D743" s="3" t="n">
        <v>122</v>
      </c>
      <c r="E743" t="inlineStr"/>
      <c r="F743" s="4" t="n">
        <v>290</v>
      </c>
      <c r="G743" t="inlineStr">
        <is>
          <t>VB</t>
        </is>
      </c>
      <c r="H743" t="inlineStr">
        <is>
          <t>81547 München - Untergiesing-Harlaching</t>
        </is>
      </c>
      <c r="I743" s="5" t="n">
        <v>45500</v>
      </c>
      <c r="J743" t="inlineStr">
        <is>
          <t>Sold</t>
        </is>
      </c>
      <c r="K743" s="6">
        <f>HYPERLINK("https://www.kleinanzeigen.de/s-anzeige/starboard-isonic-122-l-mit-boardbag-u-finnen/2822613885-230-6428", "Link")</f>
        <v/>
      </c>
      <c r="L743" s="6">
        <f>HYPERLINK("C:\Projects\Kleinanzeigen-Scraper\offer_images\2822613885", "Link")</f>
        <v/>
      </c>
      <c r="M743" t="inlineStr">
        <is>
          <t>Afu</t>
        </is>
      </c>
      <c r="N743" s="6">
        <f>HYPERLINK("https://www.kleinanzeigen.de/s-bestandsliste.html?userId=15911246", "Link")</f>
        <v/>
      </c>
      <c r="O743" s="7" t="n">
        <v>45551.4115625</v>
      </c>
      <c r="P743" s="3" t="inlineStr">
        <is>
          <t>3.83</t>
        </is>
      </c>
      <c r="Q743" t="inlineStr">
        <is>
          <t>München</t>
        </is>
      </c>
    </row>
    <row r="744">
      <c r="A744" t="inlineStr">
        <is>
          <t>260 x 66 cm</t>
        </is>
      </c>
      <c r="B744" t="inlineStr">
        <is>
          <t>Starboard Carve 121</t>
        </is>
      </c>
      <c r="C744" t="inlineStr">
        <is>
          <t>Freeride</t>
        </is>
      </c>
      <c r="D744" s="3" t="n">
        <v>121</v>
      </c>
      <c r="E744" t="inlineStr">
        <is>
          <t>2003</t>
        </is>
      </c>
      <c r="F744" s="4" t="n">
        <v>150</v>
      </c>
      <c r="G744" t="inlineStr">
        <is>
          <t>VB</t>
        </is>
      </c>
      <c r="H744" t="inlineStr">
        <is>
          <t>54614 Rheinland-Pfalz - Heisdorf</t>
        </is>
      </c>
      <c r="I744" s="5" t="n">
        <v>45020</v>
      </c>
      <c r="J744" t="inlineStr"/>
      <c r="K744" s="6">
        <f>HYPERLINK("https://www.kleinanzeigen.de/s-anzeige/starboard-carve-121-mehr-bilder-/2405787881-230-23164", "Link")</f>
        <v/>
      </c>
      <c r="L744" s="6">
        <f>HYPERLINK("C:\Projects\Kleinanzeigen-Scraper\offer_images\2405787881", "Link")</f>
        <v/>
      </c>
      <c r="M744" t="inlineStr">
        <is>
          <t>d van nood</t>
        </is>
      </c>
      <c r="N744" s="6">
        <f>HYPERLINK("https://www.kleinanzeigen.de/s-bestandsliste.html?userId=72193940", "Link")</f>
        <v/>
      </c>
      <c r="O744" s="7" t="n">
        <v>45551.41155092593</v>
      </c>
      <c r="P744" s="3" t="inlineStr">
        <is>
          <t>93.52</t>
        </is>
      </c>
      <c r="Q744" t="inlineStr">
        <is>
          <t>Köln</t>
        </is>
      </c>
    </row>
    <row r="745">
      <c r="A745" t="inlineStr"/>
      <c r="B745" t="inlineStr">
        <is>
          <t>Goya Bolt Pro</t>
        </is>
      </c>
      <c r="C745" t="inlineStr">
        <is>
          <t>Freerace</t>
        </is>
      </c>
      <c r="D745" s="3" t="n">
        <v>137</v>
      </c>
      <c r="E745" t="inlineStr">
        <is>
          <t>2021</t>
        </is>
      </c>
      <c r="F745" s="4" t="n">
        <v>980</v>
      </c>
      <c r="G745" t="inlineStr"/>
      <c r="H745" t="inlineStr">
        <is>
          <t>24937 Schleswig-Holstein - Flensburg</t>
        </is>
      </c>
      <c r="I745" s="5" t="n">
        <v>45524</v>
      </c>
      <c r="J745" t="inlineStr"/>
      <c r="K745" s="6">
        <f>HYPERLINK("https://www.kleinanzeigen.de/s-anzeige/goya-bolt-pro-137l-surfboard-surfbrett-windsurfen/2842121719-230-718", "Link")</f>
        <v/>
      </c>
      <c r="L745" s="6">
        <f>HYPERLINK("C:\Projects\Kleinanzeigen-Scraper\offer_images\2842121719", "Link")</f>
        <v/>
      </c>
      <c r="M745" t="inlineStr">
        <is>
          <t>Nanini</t>
        </is>
      </c>
      <c r="N745" s="6">
        <f>HYPERLINK("https://www.kleinanzeigen.de/s-bestandsliste.html?userId=998119", "Link")</f>
        <v/>
      </c>
      <c r="O745" s="7" t="n">
        <v>45551.41150462963</v>
      </c>
      <c r="P745" s="3" t="inlineStr">
        <is>
          <t>458.80</t>
        </is>
      </c>
      <c r="Q745" t="inlineStr">
        <is>
          <t>Köln</t>
        </is>
      </c>
    </row>
    <row r="746">
      <c r="A746" t="inlineStr">
        <is>
          <t>234 x 58</t>
        </is>
      </c>
      <c r="B746" t="inlineStr">
        <is>
          <t>Starboard EVO</t>
        </is>
      </c>
      <c r="C746" t="inlineStr">
        <is>
          <t>Wave</t>
        </is>
      </c>
      <c r="D746" s="3" t="n">
        <v>80</v>
      </c>
      <c r="E746" t="inlineStr"/>
      <c r="F746" s="4" t="n">
        <v>200</v>
      </c>
      <c r="G746" t="inlineStr"/>
      <c r="H746" t="inlineStr">
        <is>
          <t>83334 Bayern - Inzell</t>
        </is>
      </c>
      <c r="I746" s="5" t="n">
        <v>45220</v>
      </c>
      <c r="J746" t="inlineStr">
        <is>
          <t>Sold</t>
        </is>
      </c>
      <c r="K746" s="6">
        <f>HYPERLINK("https://www.kleinanzeigen.de/s-anzeige/-top-starboard-evo-80-l-wood-windsurfboard-/2579252083-230-5872", "Link")</f>
        <v/>
      </c>
      <c r="L746" s="6">
        <f>HYPERLINK("C:\Projects\Kleinanzeigen-Scraper\offer_images\2579252083", "Link")</f>
        <v/>
      </c>
      <c r="M746" t="inlineStr">
        <is>
          <t>F.M.</t>
        </is>
      </c>
      <c r="N746" s="6">
        <f>HYPERLINK("https://www.kleinanzeigen.de/s-bestandsliste.html?userId=2246892", "Link")</f>
        <v/>
      </c>
      <c r="O746" s="7" t="n">
        <v>45551.41137731481</v>
      </c>
      <c r="P746" s="3" t="inlineStr">
        <is>
          <t>98.70</t>
        </is>
      </c>
      <c r="Q746" t="inlineStr">
        <is>
          <t>München</t>
        </is>
      </c>
    </row>
    <row r="747">
      <c r="A747" t="inlineStr">
        <is>
          <t>234 cm x 64 cm</t>
        </is>
      </c>
      <c r="B747" t="inlineStr">
        <is>
          <t>Starboard iSonic 101</t>
        </is>
      </c>
      <c r="C747" t="inlineStr">
        <is>
          <t>Slalom</t>
        </is>
      </c>
      <c r="D747" s="3" t="n">
        <v>101</v>
      </c>
      <c r="E747" t="inlineStr"/>
      <c r="F747" s="4" t="n">
        <v>165</v>
      </c>
      <c r="G747" t="inlineStr"/>
      <c r="H747" t="inlineStr">
        <is>
          <t>87645 Bayern - Schwangau</t>
        </is>
      </c>
      <c r="I747" s="5" t="n">
        <v>45236</v>
      </c>
      <c r="J747" t="inlineStr">
        <is>
          <t>Sold</t>
        </is>
      </c>
      <c r="K747" s="6">
        <f>HYPERLINK("https://www.kleinanzeigen.de/s-anzeige/starboard-isonic-101-slalomboard-surfbrett/2595282925-230-6566", "Link")</f>
        <v/>
      </c>
      <c r="L747" s="6">
        <f>HYPERLINK("C:\Projects\Kleinanzeigen-Scraper\offer_images\2595282925", "Link")</f>
        <v/>
      </c>
      <c r="M747" t="inlineStr">
        <is>
          <t>Florian</t>
        </is>
      </c>
      <c r="N747" s="6">
        <f>HYPERLINK("https://www.kleinanzeigen.de/s-bestandsliste.html?userId=4663722", "Link")</f>
        <v/>
      </c>
      <c r="O747" s="7" t="n">
        <v>45551.41136574074</v>
      </c>
      <c r="P747" s="3" t="inlineStr">
        <is>
          <t>87.93</t>
        </is>
      </c>
      <c r="Q747" t="inlineStr">
        <is>
          <t>München</t>
        </is>
      </c>
    </row>
    <row r="748">
      <c r="A748" t="inlineStr">
        <is>
          <t>12'6 x 30</t>
        </is>
      </c>
      <c r="B748" t="inlineStr">
        <is>
          <t>Starboard Touring SUP Deluxe</t>
        </is>
      </c>
      <c r="C748" t="inlineStr"/>
      <c r="D748" s="3" t="inlineStr"/>
      <c r="E748" t="inlineStr">
        <is>
          <t>2021</t>
        </is>
      </c>
      <c r="F748" s="4" t="n">
        <v>790</v>
      </c>
      <c r="G748" t="inlineStr">
        <is>
          <t>VB</t>
        </is>
      </c>
      <c r="H748" t="inlineStr">
        <is>
          <t>57080 Nordrhein-Westfalen - Siegen</t>
        </is>
      </c>
      <c r="I748" s="5" t="n">
        <v>45485</v>
      </c>
      <c r="J748" t="inlineStr">
        <is>
          <t>Sold</t>
        </is>
      </c>
      <c r="K748" s="6">
        <f>HYPERLINK("https://www.kleinanzeigen.de/s-anzeige/starboard-touring-sup-deluxe-double-chamber-12-6-x-30-top/2810736296-230-1026", "Link")</f>
        <v/>
      </c>
      <c r="L748" s="6">
        <f>HYPERLINK("C:\Projects\Kleinanzeigen-Scraper\offer_images\2810736296", "Link")</f>
        <v/>
      </c>
      <c r="M748" t="inlineStr">
        <is>
          <t>Nicole</t>
        </is>
      </c>
      <c r="N748" s="6">
        <f>HYPERLINK("https://www.kleinanzeigen.de/s-bestandsliste.html?userId=31343228", "Link")</f>
        <v/>
      </c>
      <c r="O748" s="7" t="n">
        <v>45551.41128472222</v>
      </c>
      <c r="P748" s="3" t="inlineStr">
        <is>
          <t>75.54</t>
        </is>
      </c>
      <c r="Q748" t="inlineStr">
        <is>
          <t>Köln</t>
        </is>
      </c>
    </row>
    <row r="749">
      <c r="A749" t="inlineStr">
        <is>
          <t>12'6'' x 30"</t>
        </is>
      </c>
      <c r="B749" t="inlineStr">
        <is>
          <t>Starboard Touring Zen Lite</t>
        </is>
      </c>
      <c r="C749" t="inlineStr">
        <is>
          <t>Touring</t>
        </is>
      </c>
      <c r="D749" s="3" t="inlineStr"/>
      <c r="E749" t="inlineStr"/>
      <c r="F749" s="4" t="n">
        <v>445</v>
      </c>
      <c r="G749" t="inlineStr">
        <is>
          <t>VB</t>
        </is>
      </c>
      <c r="H749" t="inlineStr">
        <is>
          <t>82054 Kr. München - Sauerlach</t>
        </is>
      </c>
      <c r="I749" s="5" t="n">
        <v>45503</v>
      </c>
      <c r="J749" t="inlineStr"/>
      <c r="K749" s="6">
        <f>HYPERLINK("https://www.kleinanzeigen.de/s-anzeige/sup-starboard-touring-zen-lite-12-6-x-30-/2824644058-230-5593", "Link")</f>
        <v/>
      </c>
      <c r="L749" s="6">
        <f>HYPERLINK("C:\Projects\Kleinanzeigen-Scraper\offer_images\2824644058", "Link")</f>
        <v/>
      </c>
      <c r="M749" t="inlineStr">
        <is>
          <t>Patricia K.</t>
        </is>
      </c>
      <c r="N749" s="6">
        <f>HYPERLINK("https://www.kleinanzeigen.de/s-bestandsliste.html?userId=17522751", "Link")</f>
        <v/>
      </c>
      <c r="O749" s="7" t="n">
        <v>45551.41122685185</v>
      </c>
      <c r="P749" s="3" t="inlineStr">
        <is>
          <t>20.66</t>
        </is>
      </c>
      <c r="Q749" t="inlineStr">
        <is>
          <t>München</t>
        </is>
      </c>
    </row>
    <row r="750">
      <c r="A750" t="inlineStr">
        <is>
          <t>218cm x 61cm</t>
        </is>
      </c>
      <c r="B750" t="inlineStr">
        <is>
          <t>Starboard Ultra</t>
        </is>
      </c>
      <c r="C750" t="inlineStr">
        <is>
          <t>Wave</t>
        </is>
      </c>
      <c r="D750" s="3" t="n">
        <v>93</v>
      </c>
      <c r="E750" t="inlineStr">
        <is>
          <t>2023</t>
        </is>
      </c>
      <c r="F750" s="4" t="n">
        <v>1.1</v>
      </c>
      <c r="G750" t="inlineStr"/>
      <c r="H750" t="inlineStr">
        <is>
          <t>24118 Kiel - Ravensberg-Brunswik-Düsternbrook</t>
        </is>
      </c>
      <c r="I750" s="5" t="n">
        <v>45234</v>
      </c>
      <c r="J750" t="inlineStr"/>
      <c r="K750" s="6">
        <f>HYPERLINK("https://www.kleinanzeigen.de/s-anzeige/starboard-ultra-93-carbon-reflex-aus-2023-waveboard-windsurf/2592918038-230-704", "Link")</f>
        <v/>
      </c>
      <c r="L750" s="6">
        <f>HYPERLINK("C:\Projects\Kleinanzeigen-Scraper\offer_images\2592918038", "Link")</f>
        <v/>
      </c>
      <c r="M750" t="inlineStr">
        <is>
          <t>Leon</t>
        </is>
      </c>
      <c r="N750" s="6">
        <f>HYPERLINK("https://www.kleinanzeigen.de/s-bestandsliste.html?userId=66304477", "Link")</f>
        <v/>
      </c>
      <c r="O750" s="7" t="n">
        <v>45551.4112037037</v>
      </c>
      <c r="P750" s="3" t="inlineStr">
        <is>
          <t>434.29</t>
        </is>
      </c>
      <c r="Q750" t="inlineStr">
        <is>
          <t>Köln</t>
        </is>
      </c>
    </row>
    <row r="751">
      <c r="A751" t="inlineStr">
        <is>
          <t xml:space="preserve">Dimensions </t>
        </is>
      </c>
      <c r="B751" t="inlineStr">
        <is>
          <t>Fanatic Falcon 121</t>
        </is>
      </c>
      <c r="C751" t="inlineStr">
        <is>
          <t>Slalom</t>
        </is>
      </c>
      <c r="D751" s="3" t="n">
        <v>121</v>
      </c>
      <c r="E751" t="inlineStr"/>
      <c r="F751" s="4" t="n">
        <v>450</v>
      </c>
      <c r="G751" t="inlineStr">
        <is>
          <t>VB</t>
        </is>
      </c>
      <c r="H751" t="inlineStr">
        <is>
          <t>19089 Parchim - Landkreis - Crivitz</t>
        </is>
      </c>
      <c r="I751" s="5" t="n">
        <v>45549</v>
      </c>
      <c r="J751" t="inlineStr">
        <is>
          <t>Sold</t>
        </is>
      </c>
      <c r="K751" s="6">
        <f>HYPERLINK("https://www.kleinanzeigen.de/s-anzeige/fanatic-falcon-121-carbon/2765579977-230-16534", "Link")</f>
        <v/>
      </c>
      <c r="L751" s="6">
        <f>HYPERLINK("C:\Projects\Kleinanzeigen-Scraper\offer_images\2765579977", "Link")</f>
        <v/>
      </c>
      <c r="M751" t="inlineStr">
        <is>
          <t>Ralph</t>
        </is>
      </c>
      <c r="N751" s="6">
        <f>HYPERLINK("https://www.kleinanzeigen.de/s-bestandsliste.html?userId=12763942", "Link")</f>
        <v/>
      </c>
      <c r="O751" s="7" t="n">
        <v>45551.4112037037</v>
      </c>
      <c r="P751" s="3" t="inlineStr">
        <is>
          <t>435.99</t>
        </is>
      </c>
      <c r="Q751" t="inlineStr">
        <is>
          <t>Köln</t>
        </is>
      </c>
    </row>
    <row r="752">
      <c r="A752" t="inlineStr">
        <is>
          <t>264 cm</t>
        </is>
      </c>
      <c r="B752" t="inlineStr">
        <is>
          <t>Naish Supercross</t>
        </is>
      </c>
      <c r="C752" t="inlineStr">
        <is>
          <t>Freestyle</t>
        </is>
      </c>
      <c r="D752" s="3" t="n">
        <v>112</v>
      </c>
      <c r="E752" t="inlineStr"/>
      <c r="F752" s="4" t="n">
        <v>150</v>
      </c>
      <c r="G752" t="inlineStr">
        <is>
          <t>VB</t>
        </is>
      </c>
      <c r="H752" t="inlineStr">
        <is>
          <t>24119 Kiel - Kronshagen</t>
        </is>
      </c>
      <c r="I752" s="5" t="n">
        <v>45549</v>
      </c>
      <c r="J752" t="inlineStr"/>
      <c r="K752" s="6">
        <f>HYPERLINK("https://www.kleinanzeigen.de/s-anzeige/naish-supercross-264-112l-windsurfboard/2863029580-230-705", "Link")</f>
        <v/>
      </c>
      <c r="L752" s="6">
        <f>HYPERLINK("C:\Projects\Kleinanzeigen-Scraper\offer_images\2863029580", "Link")</f>
        <v/>
      </c>
      <c r="M752" t="inlineStr">
        <is>
          <t>Torge</t>
        </is>
      </c>
      <c r="N752" s="6">
        <f>HYPERLINK("https://www.kleinanzeigen.de/s-bestandsliste.html?userId=129229217", "Link")</f>
        <v/>
      </c>
      <c r="O752" s="7" t="n">
        <v>45551.41118055556</v>
      </c>
      <c r="P752" s="3" t="inlineStr">
        <is>
          <t>432.46</t>
        </is>
      </c>
      <c r="Q752" t="inlineStr">
        <is>
          <t>Köln</t>
        </is>
      </c>
    </row>
    <row r="753">
      <c r="A753" t="inlineStr"/>
      <c r="B753" t="inlineStr">
        <is>
          <t>Starboard Evo XTV Wood</t>
        </is>
      </c>
      <c r="C753" t="inlineStr">
        <is>
          <t>Wave</t>
        </is>
      </c>
      <c r="D753" s="3" t="inlineStr"/>
      <c r="E753" t="inlineStr"/>
      <c r="F753" s="4" t="n">
        <v>110</v>
      </c>
      <c r="G753" t="inlineStr"/>
      <c r="H753" t="inlineStr">
        <is>
          <t>19067 Parchim - Landkreis - Dobin am See</t>
        </is>
      </c>
      <c r="I753" s="5" t="n">
        <v>45426</v>
      </c>
      <c r="J753" t="inlineStr"/>
      <c r="K753" s="6">
        <f>HYPERLINK("https://www.kleinanzeigen.de/s-anzeige/starboard-evo-xtv-wood-70-top-zustand/2761205694-230-16542", "Link")</f>
        <v/>
      </c>
      <c r="L753" s="6">
        <f>HYPERLINK("C:\Projects\Kleinanzeigen-Scraper\offer_images\2761205694", "Link")</f>
        <v/>
      </c>
      <c r="M753" t="inlineStr">
        <is>
          <t>###PQ</t>
        </is>
      </c>
      <c r="N753" s="6">
        <f>HYPERLINK("https://www.kleinanzeigen.de/s-bestandsliste.html?userId=2765287", "Link")</f>
        <v/>
      </c>
      <c r="O753" s="7" t="n">
        <v>45551.41108796297</v>
      </c>
      <c r="P753" s="3" t="inlineStr">
        <is>
          <t>436.46</t>
        </is>
      </c>
      <c r="Q753" t="inlineStr">
        <is>
          <t>Köln</t>
        </is>
      </c>
    </row>
    <row r="754">
      <c r="A754" t="inlineStr"/>
      <c r="B754" t="inlineStr">
        <is>
          <t>Fanatic Ultra Cat</t>
        </is>
      </c>
      <c r="C754" t="inlineStr"/>
      <c r="D754" s="3" t="inlineStr"/>
      <c r="E754" t="inlineStr"/>
      <c r="F754" s="4" t="n">
        <v>270</v>
      </c>
      <c r="G754" t="inlineStr">
        <is>
          <t>VB</t>
        </is>
      </c>
      <c r="H754" t="inlineStr">
        <is>
          <t>37120 Niedersachsen - Bovenden</t>
        </is>
      </c>
      <c r="I754" s="5" t="n">
        <v>45548</v>
      </c>
      <c r="J754" t="inlineStr">
        <is>
          <t>Sold</t>
        </is>
      </c>
      <c r="K754" s="6">
        <f>HYPERLINK("https://www.kleinanzeigen.de/s-anzeige/fanatic-surfbrett-ultra-cat-mit-zubehoer/2862062345-230-3134", "Link")</f>
        <v/>
      </c>
      <c r="L754" s="6">
        <f>HYPERLINK("C:\Projects\Kleinanzeigen-Scraper\offer_images\2862062345", "Link")</f>
        <v/>
      </c>
      <c r="M754" t="inlineStr">
        <is>
          <t>Tim Oltmanns</t>
        </is>
      </c>
      <c r="N754" s="6">
        <f>HYPERLINK("https://www.kleinanzeigen.de/s-bestandsliste.html?userId=8003910", "Link")</f>
        <v/>
      </c>
      <c r="O754" s="7" t="n">
        <v>45551.41100694444</v>
      </c>
      <c r="P754" s="3" t="inlineStr">
        <is>
          <t>215.05</t>
        </is>
      </c>
      <c r="Q754" t="inlineStr">
        <is>
          <t>Köln</t>
        </is>
      </c>
    </row>
    <row r="755">
      <c r="A755" t="inlineStr">
        <is>
          <t>225cm x 60cm</t>
        </is>
      </c>
      <c r="B755" t="inlineStr">
        <is>
          <t>Fanatic Skate Team Edition</t>
        </is>
      </c>
      <c r="C755" t="inlineStr">
        <is>
          <t>Freestyle</t>
        </is>
      </c>
      <c r="D755" s="3" t="n">
        <v>85</v>
      </c>
      <c r="E755" t="inlineStr">
        <is>
          <t>2022</t>
        </is>
      </c>
      <c r="F755" s="4" t="n">
        <v>1.3</v>
      </c>
      <c r="G755" t="inlineStr">
        <is>
          <t>VB</t>
        </is>
      </c>
      <c r="H755" t="inlineStr">
        <is>
          <t>80939 München - Schwabing-Freimann</t>
        </is>
      </c>
      <c r="I755" s="5" t="n">
        <v>45547</v>
      </c>
      <c r="J755" t="inlineStr">
        <is>
          <t>Sold</t>
        </is>
      </c>
      <c r="K755" s="6">
        <f>HYPERLINK("https://www.kleinanzeigen.de/s-anzeige/fanatic-skate-team-edition-te-2022-85-liter-windsurfboard/2861628186-230-6450", "Link")</f>
        <v/>
      </c>
      <c r="L755" s="6">
        <f>HYPERLINK("C:\Projects\Kleinanzeigen-Scraper\offer_images\2861628186", "Link")</f>
        <v/>
      </c>
      <c r="M755" t="inlineStr">
        <is>
          <t>Maxi</t>
        </is>
      </c>
      <c r="N755" s="6">
        <f>HYPERLINK("https://www.kleinanzeigen.de/s-bestandsliste.html?userId=55167151", "Link")</f>
        <v/>
      </c>
      <c r="O755" s="7" t="n">
        <v>45551.4109837963</v>
      </c>
      <c r="P755" s="3" t="inlineStr">
        <is>
          <t>7.86</t>
        </is>
      </c>
      <c r="Q755" t="inlineStr">
        <is>
          <t>München</t>
        </is>
      </c>
    </row>
    <row r="756">
      <c r="A756" t="inlineStr">
        <is>
          <t>7'2" x 21' 1/4" x 2' 3/4"</t>
        </is>
      </c>
      <c r="B756" t="inlineStr">
        <is>
          <t>Tabou Minimalibu</t>
        </is>
      </c>
      <c r="C756" t="inlineStr"/>
      <c r="D756" s="3" t="inlineStr"/>
      <c r="E756" t="inlineStr"/>
      <c r="F756" s="4" t="n">
        <v>140</v>
      </c>
      <c r="G756" t="inlineStr">
        <is>
          <t>VB</t>
        </is>
      </c>
      <c r="H756" t="inlineStr">
        <is>
          <t>22043 Wandsbek - Hamburg Marienthal</t>
        </is>
      </c>
      <c r="I756" s="5" t="n">
        <v>45550</v>
      </c>
      <c r="J756" t="inlineStr">
        <is>
          <t>Sold</t>
        </is>
      </c>
      <c r="K756" s="6">
        <f>HYPERLINK("https://www.kleinanzeigen.de/s-anzeige/tabou-7-2-minimalibu-surfboard-wellenreiter/2864260588-230-23510", "Link")</f>
        <v/>
      </c>
      <c r="L756" s="6">
        <f>HYPERLINK("C:\Projects\Kleinanzeigen-Scraper\offer_images\2864260588", "Link")</f>
        <v/>
      </c>
      <c r="M756" t="inlineStr">
        <is>
          <t>Arne</t>
        </is>
      </c>
      <c r="N756" s="6">
        <f>HYPERLINK("https://www.kleinanzeigen.de/s-bestandsliste.html?userId=34717995", "Link")</f>
        <v/>
      </c>
      <c r="O756" s="7" t="n">
        <v>45551.4109375</v>
      </c>
      <c r="P756" s="3" t="inlineStr">
        <is>
          <t>362.40</t>
        </is>
      </c>
      <c r="Q756" t="inlineStr">
        <is>
          <t>Köln</t>
        </is>
      </c>
    </row>
    <row r="757">
      <c r="A757" t="inlineStr">
        <is>
          <t>209 x 61.5</t>
        </is>
      </c>
      <c r="B757" t="inlineStr">
        <is>
          <t>Tabou Twister</t>
        </is>
      </c>
      <c r="C757" t="inlineStr">
        <is>
          <t>Freestyle</t>
        </is>
      </c>
      <c r="D757" s="3" t="n">
        <v>93</v>
      </c>
      <c r="E757" t="inlineStr">
        <is>
          <t>2023</t>
        </is>
      </c>
      <c r="F757" s="4" t="n">
        <v>499</v>
      </c>
      <c r="G757" t="inlineStr">
        <is>
          <t>VB</t>
        </is>
      </c>
      <c r="H757" t="inlineStr">
        <is>
          <t>87490 Bayern - Haldenwang i. Allgäu</t>
        </is>
      </c>
      <c r="I757" s="5" t="n">
        <v>45549</v>
      </c>
      <c r="J757" t="inlineStr"/>
      <c r="K757" s="6">
        <f>HYPERLINK("https://www.kleinanzeigen.de/s-anzeige/tabou-twister-93l-2023-windsurf-freestyle-board/2863440871-230-7635", "Link")</f>
        <v/>
      </c>
      <c r="L757" s="6">
        <f>HYPERLINK("C:\Projects\Kleinanzeigen-Scraper\offer_images\2863440871", "Link")</f>
        <v/>
      </c>
      <c r="M757" t="inlineStr">
        <is>
          <t>Stan</t>
        </is>
      </c>
      <c r="N757" s="6">
        <f>HYPERLINK("https://www.kleinanzeigen.de/s-bestandsliste.html?userId=14354082", "Link")</f>
        <v/>
      </c>
      <c r="O757" s="7" t="n">
        <v>45551.4109375</v>
      </c>
      <c r="P757" s="3" t="inlineStr">
        <is>
          <t>98.56</t>
        </is>
      </c>
      <c r="Q757" t="inlineStr">
        <is>
          <t>München</t>
        </is>
      </c>
    </row>
    <row r="758">
      <c r="A758" t="inlineStr">
        <is>
          <t>350.5 cm</t>
        </is>
      </c>
      <c r="B758" t="inlineStr">
        <is>
          <t>Fanatic Pure Air Touring</t>
        </is>
      </c>
      <c r="C758" t="inlineStr">
        <is>
          <t>Touring</t>
        </is>
      </c>
      <c r="D758" s="3" t="n">
        <v>299</v>
      </c>
      <c r="E758" t="inlineStr">
        <is>
          <t>2019</t>
        </is>
      </c>
      <c r="F758" s="4" t="inlineStr"/>
      <c r="G758" t="inlineStr">
        <is>
          <t>VB</t>
        </is>
      </c>
      <c r="H758" t="inlineStr">
        <is>
          <t>70469 Stuttgart - Feuerbach</t>
        </is>
      </c>
      <c r="I758" s="5" t="n">
        <v>45539</v>
      </c>
      <c r="J758" t="inlineStr">
        <is>
          <t>Sold</t>
        </is>
      </c>
      <c r="K758" s="6">
        <f>HYPERLINK("https://www.kleinanzeigen.de/s-anzeige/11-6-350cm-sup-stand-up-board-fanatic-pure-air-touring-2019/2854090754-230-9305", "Link")</f>
        <v/>
      </c>
      <c r="L758" s="6">
        <f>HYPERLINK("C:\Projects\Kleinanzeigen-Scraper\offer_images\2854090754", "Link")</f>
        <v/>
      </c>
      <c r="M758" t="inlineStr">
        <is>
          <t>privat</t>
        </is>
      </c>
      <c r="N758" s="6">
        <f>HYPERLINK("https://www.kleinanzeigen.de/s-bestandsliste.html?userId=4709423", "Link")</f>
        <v/>
      </c>
      <c r="O758" s="7" t="n">
        <v>45551.41091435185</v>
      </c>
      <c r="P758" s="3" t="inlineStr">
        <is>
          <t>19.78</t>
        </is>
      </c>
      <c r="Q758" t="inlineStr">
        <is>
          <t>Böblingen</t>
        </is>
      </c>
    </row>
    <row r="759">
      <c r="A759" t="inlineStr">
        <is>
          <t>14 x 24.5</t>
        </is>
      </c>
      <c r="B759" t="inlineStr">
        <is>
          <t>Starboard Allstar</t>
        </is>
      </c>
      <c r="C759" t="inlineStr"/>
      <c r="D759" s="3" t="inlineStr"/>
      <c r="E759" t="inlineStr"/>
      <c r="F759" s="4" t="n">
        <v>1.35</v>
      </c>
      <c r="G759" t="inlineStr"/>
      <c r="H759" t="inlineStr">
        <is>
          <t>81379 Sendling - Obersendling</t>
        </is>
      </c>
      <c r="I759" s="5" t="n">
        <v>45509</v>
      </c>
      <c r="J759" t="inlineStr"/>
      <c r="K759" s="6">
        <f>HYPERLINK("https://www.kleinanzeigen.de/s-anzeige/starboard-allstar-14-x-24-5/2829882115-230-9618", "Link")</f>
        <v/>
      </c>
      <c r="L759" s="6">
        <f>HYPERLINK("C:\Projects\Kleinanzeigen-Scraper\offer_images\2829882115", "Link")</f>
        <v/>
      </c>
      <c r="M759" t="inlineStr">
        <is>
          <t>Thomas</t>
        </is>
      </c>
      <c r="N759" s="6">
        <f>HYPERLINK("https://www.kleinanzeigen.de/s-bestandsliste.html?userId=213940", "Link")</f>
        <v/>
      </c>
      <c r="O759" s="7" t="n">
        <v>45551.41091435185</v>
      </c>
      <c r="P759" s="3" t="inlineStr">
        <is>
          <t>5.49</t>
        </is>
      </c>
      <c r="Q759" t="inlineStr">
        <is>
          <t>München</t>
        </is>
      </c>
    </row>
    <row r="760">
      <c r="A760" t="inlineStr">
        <is>
          <t>11'6" x 29"</t>
        </is>
      </c>
      <c r="B760" t="inlineStr">
        <is>
          <t>Starboard Touring ZEN DC</t>
        </is>
      </c>
      <c r="C760" t="inlineStr">
        <is>
          <t>Touring</t>
        </is>
      </c>
      <c r="D760" s="3" t="n">
        <v>312</v>
      </c>
      <c r="E760" t="inlineStr"/>
      <c r="F760" s="4" t="n">
        <v>599</v>
      </c>
      <c r="G760" t="inlineStr"/>
      <c r="H760" t="inlineStr">
        <is>
          <t>67346 Rheinland-Pfalz - Speyer</t>
        </is>
      </c>
      <c r="I760" s="5" t="n">
        <v>45170</v>
      </c>
      <c r="J760" t="inlineStr">
        <is>
          <t>Sold</t>
        </is>
      </c>
      <c r="K760" s="6">
        <f>HYPERLINK("https://www.kleinanzeigen.de/s-anzeige/starboard-touring-zen-dc11-6x-29-double-chamber-isup-aussteller/2535144083-230-5365", "Link")</f>
        <v/>
      </c>
      <c r="L760" s="6">
        <f>HYPERLINK("C:\Projects\Kleinanzeigen-Scraper\offer_images\2535144083", "Link")</f>
        <v/>
      </c>
      <c r="M760" t="inlineStr">
        <is>
          <t>Julian Gottwald</t>
        </is>
      </c>
      <c r="N760" s="6">
        <f>HYPERLINK("https://www.kleinanzeigen.de/s-bestandsliste.html?userId=33159760", "Link")</f>
        <v/>
      </c>
      <c r="O760" s="7" t="n">
        <v>45551.4108912037</v>
      </c>
      <c r="P760" s="3" t="inlineStr">
        <is>
          <t>35.76</t>
        </is>
      </c>
      <c r="Q760" t="inlineStr">
        <is>
          <t>Karlsruhe</t>
        </is>
      </c>
    </row>
    <row r="761">
      <c r="A761" t="inlineStr">
        <is>
          <t>14x26</t>
        </is>
      </c>
      <c r="B761" t="inlineStr">
        <is>
          <t>Starboard Allstar</t>
        </is>
      </c>
      <c r="C761" t="inlineStr"/>
      <c r="D761" s="3" t="inlineStr"/>
      <c r="E761" t="inlineStr">
        <is>
          <t>2022</t>
        </is>
      </c>
      <c r="F761" s="4" t="n">
        <v>2.045</v>
      </c>
      <c r="G761" t="inlineStr">
        <is>
          <t>VB</t>
        </is>
      </c>
      <c r="H761" t="inlineStr">
        <is>
          <t>23560 Schleswig-Holstein - Lübeck</t>
        </is>
      </c>
      <c r="I761" s="5" t="n">
        <v>45486</v>
      </c>
      <c r="J761" t="inlineStr"/>
      <c r="K761" s="6">
        <f>HYPERLINK("https://www.kleinanzeigen.de/s-anzeige/starboard-sup-allstar-14x26-carbon-sandwich-inkl-boardbag/2810970620-230-422", "Link")</f>
        <v/>
      </c>
      <c r="L761" s="6">
        <f>HYPERLINK("C:\Projects\Kleinanzeigen-Scraper\offer_images\2810970620", "Link")</f>
        <v/>
      </c>
      <c r="M761" t="inlineStr">
        <is>
          <t>F. Meyer</t>
        </is>
      </c>
      <c r="N761" s="6">
        <f>HYPERLINK("https://www.kleinanzeigen.de/s-bestandsliste.html?userId=13065541", "Link")</f>
        <v/>
      </c>
      <c r="O761" s="7" t="n">
        <v>45551.4108449074</v>
      </c>
      <c r="P761" s="3" t="inlineStr">
        <is>
          <t>406.24</t>
        </is>
      </c>
      <c r="Q761" t="inlineStr">
        <is>
          <t>Köln</t>
        </is>
      </c>
    </row>
    <row r="762">
      <c r="A762" t="inlineStr"/>
      <c r="B762" t="inlineStr">
        <is>
          <t>Goya Custom 3 Pro</t>
        </is>
      </c>
      <c r="C762" t="inlineStr">
        <is>
          <t>Wave</t>
        </is>
      </c>
      <c r="D762" s="3" t="n">
        <v>86</v>
      </c>
      <c r="E762" t="inlineStr">
        <is>
          <t>22/24</t>
        </is>
      </c>
      <c r="F762" s="4" t="n">
        <v>1.35</v>
      </c>
      <c r="G762" t="inlineStr"/>
      <c r="H762" t="inlineStr">
        <is>
          <t>24937 Schleswig-Holstein - Flensburg</t>
        </is>
      </c>
      <c r="I762" s="5" t="n">
        <v>45524</v>
      </c>
      <c r="J762" t="inlineStr"/>
      <c r="K762" s="6">
        <f>HYPERLINK("https://www.kleinanzeigen.de/s-anzeige/goya-custom-3-pro-86l-wave-board-surfbrett-windsurfen/2842140761-230-718", "Link")</f>
        <v/>
      </c>
      <c r="L762" s="6">
        <f>HYPERLINK("C:\Projects\Kleinanzeigen-Scraper\offer_images\2842140761", "Link")</f>
        <v/>
      </c>
      <c r="M762" t="inlineStr">
        <is>
          <t>Nanini</t>
        </is>
      </c>
      <c r="N762" s="6">
        <f>HYPERLINK("https://www.kleinanzeigen.de/s-bestandsliste.html?userId=998119", "Link")</f>
        <v/>
      </c>
      <c r="O762" s="7" t="n">
        <v>45551.41075231481</v>
      </c>
      <c r="P762" s="3" t="inlineStr">
        <is>
          <t>458.80</t>
        </is>
      </c>
      <c r="Q762" t="inlineStr">
        <is>
          <t>Köln</t>
        </is>
      </c>
    </row>
    <row r="763">
      <c r="A763" t="inlineStr">
        <is>
          <t>250cm</t>
        </is>
      </c>
      <c r="B763" t="inlineStr">
        <is>
          <t>Starboard Acid</t>
        </is>
      </c>
      <c r="C763" t="inlineStr">
        <is>
          <t>Wave</t>
        </is>
      </c>
      <c r="D763" s="3" t="n">
        <v>77</v>
      </c>
      <c r="E763" t="inlineStr"/>
      <c r="F763" s="4" t="n">
        <v>80</v>
      </c>
      <c r="G763" t="inlineStr"/>
      <c r="H763" t="inlineStr">
        <is>
          <t>25821 Nordfriesland - Bredstedt</t>
        </is>
      </c>
      <c r="I763" s="5" t="n">
        <v>44695</v>
      </c>
      <c r="J763" t="inlineStr"/>
      <c r="K763" s="6">
        <f>HYPERLINK("https://www.kleinanzeigen.de/s-anzeige/surfbrett-waveboard-starboard-acid-77/2105117824-230-16664", "Link")</f>
        <v/>
      </c>
      <c r="L763" s="6">
        <f>HYPERLINK("C:\Projects\Kleinanzeigen-Scraper\offer_images\2105117824", "Link")</f>
        <v/>
      </c>
      <c r="M763" t="inlineStr">
        <is>
          <t>Hansen</t>
        </is>
      </c>
      <c r="N763" s="6">
        <f>HYPERLINK("https://www.kleinanzeigen.de/s-bestandsliste.html?userId=559499", "Link")</f>
        <v/>
      </c>
      <c r="O763" s="7" t="n">
        <v>45551.41075231481</v>
      </c>
      <c r="P763" s="3" t="inlineStr">
        <is>
          <t>431.04</t>
        </is>
      </c>
      <c r="Q763" t="inlineStr">
        <is>
          <t>Köln</t>
        </is>
      </c>
    </row>
    <row r="764">
      <c r="A764" t="inlineStr">
        <is>
          <t>8.0 x 31.5</t>
        </is>
      </c>
      <c r="B764" t="inlineStr">
        <is>
          <t>Starboard Hypernut 4in1</t>
        </is>
      </c>
      <c r="C764" t="inlineStr"/>
      <c r="D764" s="3" t="n">
        <v>133</v>
      </c>
      <c r="E764" t="inlineStr">
        <is>
          <t>2021</t>
        </is>
      </c>
      <c r="F764" s="4" t="n">
        <v>725</v>
      </c>
      <c r="G764" t="inlineStr">
        <is>
          <t>VB</t>
        </is>
      </c>
      <c r="H764" t="inlineStr">
        <is>
          <t>46414 Nordrhein-Westfalen - Rhede</t>
        </is>
      </c>
      <c r="I764" s="5" t="n">
        <v>45188</v>
      </c>
      <c r="J764" t="inlineStr">
        <is>
          <t>Sold</t>
        </is>
      </c>
      <c r="K764" s="6">
        <f>HYPERLINK("https://www.kleinanzeigen.de/s-anzeige/starboard-hypernut-4in1-8-0x31-5/2549970320-230-1381", "Link")</f>
        <v/>
      </c>
      <c r="L764" s="6">
        <f>HYPERLINK("C:\Projects\Kleinanzeigen-Scraper\offer_images\2549970320", "Link")</f>
        <v/>
      </c>
      <c r="M764" t="inlineStr">
        <is>
          <t>SB</t>
        </is>
      </c>
      <c r="N764" s="6">
        <f>HYPERLINK("https://www.kleinanzeigen.de/s-bestandsliste.html?userId=83466936", "Link")</f>
        <v/>
      </c>
      <c r="O764" s="7" t="n">
        <v>45551.41069444444</v>
      </c>
      <c r="P764" s="3" t="inlineStr">
        <is>
          <t>101.95</t>
        </is>
      </c>
      <c r="Q764" t="inlineStr">
        <is>
          <t>Köln</t>
        </is>
      </c>
    </row>
    <row r="765">
      <c r="A765" t="inlineStr">
        <is>
          <t>232 x 56</t>
        </is>
      </c>
      <c r="B765" t="inlineStr">
        <is>
          <t>Starboard Kode</t>
        </is>
      </c>
      <c r="C765" t="inlineStr">
        <is>
          <t>Wave</t>
        </is>
      </c>
      <c r="D765" s="3" t="n">
        <v>80</v>
      </c>
      <c r="E765" t="inlineStr"/>
      <c r="F765" s="4" t="n">
        <v>100</v>
      </c>
      <c r="G765" t="inlineStr"/>
      <c r="H765" t="inlineStr">
        <is>
          <t>24251 Schleswig-Holstein - Osdorf</t>
        </is>
      </c>
      <c r="I765" s="5" t="n">
        <v>45130</v>
      </c>
      <c r="J765" t="inlineStr">
        <is>
          <t>Sold</t>
        </is>
      </c>
      <c r="K765" s="6">
        <f>HYPERLINK("https://www.kleinanzeigen.de/s-anzeige/windsurfboard-starboard-kode/2500396803-230-528", "Link")</f>
        <v/>
      </c>
      <c r="L765" s="6">
        <f>HYPERLINK("C:\Projects\Kleinanzeigen-Scraper\offer_images\2500396803", "Link")</f>
        <v/>
      </c>
      <c r="M765" t="inlineStr">
        <is>
          <t>hans</t>
        </is>
      </c>
      <c r="N765" s="6">
        <f>HYPERLINK("https://www.kleinanzeigen.de/s-bestandsliste.html?userId=8327481", "Link")</f>
        <v/>
      </c>
      <c r="O765" s="7" t="n">
        <v>45551.4105324074</v>
      </c>
      <c r="P765" s="3" t="inlineStr">
        <is>
          <t>439.53</t>
        </is>
      </c>
      <c r="Q765" t="inlineStr">
        <is>
          <t>Köln</t>
        </is>
      </c>
    </row>
    <row r="766">
      <c r="A766" t="inlineStr"/>
      <c r="B766" t="inlineStr">
        <is>
          <t>Starboard Futura</t>
        </is>
      </c>
      <c r="C766" t="inlineStr">
        <is>
          <t>Freeride</t>
        </is>
      </c>
      <c r="D766" s="3" t="n">
        <v>111</v>
      </c>
      <c r="E766" t="inlineStr"/>
      <c r="F766" s="4" t="n">
        <v>460</v>
      </c>
      <c r="G766" t="inlineStr"/>
      <c r="H766" t="inlineStr">
        <is>
          <t>92681 Bayern - Erbendorf</t>
        </is>
      </c>
      <c r="I766" s="5" t="n">
        <v>45395</v>
      </c>
      <c r="J766" t="inlineStr"/>
      <c r="K766" s="6">
        <f>HYPERLINK("https://www.kleinanzeigen.de/s-anzeige/surfboard-starboard-futura-111-liter/2733782632-230-18994", "Link")</f>
        <v/>
      </c>
      <c r="L766" s="6">
        <f>HYPERLINK("C:\Projects\Kleinanzeigen-Scraper\offer_images\2733782632", "Link")</f>
        <v/>
      </c>
      <c r="M766" t="inlineStr">
        <is>
          <t>Thomas</t>
        </is>
      </c>
      <c r="N766" s="6">
        <f>HYPERLINK("https://www.kleinanzeigen.de/s-bestandsliste.html?userId=70396908", "Link")</f>
        <v/>
      </c>
      <c r="O766" s="7" t="n">
        <v>45551.41049768519</v>
      </c>
      <c r="P766" s="3" t="inlineStr">
        <is>
          <t>191.93</t>
        </is>
      </c>
      <c r="Q766" t="inlineStr">
        <is>
          <t>München</t>
        </is>
      </c>
    </row>
    <row r="767">
      <c r="A767" t="inlineStr"/>
      <c r="B767" t="inlineStr">
        <is>
          <t>Tabou Pocket</t>
        </is>
      </c>
      <c r="C767" t="inlineStr">
        <is>
          <t>Freeride</t>
        </is>
      </c>
      <c r="D767" s="3" t="n">
        <v>93</v>
      </c>
      <c r="E767" t="inlineStr">
        <is>
          <t>2020</t>
        </is>
      </c>
      <c r="F767" s="4" t="inlineStr"/>
      <c r="G767" t="inlineStr">
        <is>
          <t>VB</t>
        </is>
      </c>
      <c r="H767" t="inlineStr">
        <is>
          <t>20357 Altona - Hamburg Sternschanze</t>
        </is>
      </c>
      <c r="I767" s="5" t="n">
        <v>45549</v>
      </c>
      <c r="J767" t="inlineStr"/>
      <c r="K767" s="6">
        <f>HYPERLINK("https://www.kleinanzeigen.de/s-anzeige/tabou-pocket-93-l-windsurfboard/2863241744-230-9431", "Link")</f>
        <v/>
      </c>
      <c r="L767" s="6">
        <f>HYPERLINK("C:\Projects\Kleinanzeigen-Scraper\offer_images\2863241744", "Link")</f>
        <v/>
      </c>
      <c r="M767" t="inlineStr">
        <is>
          <t>Lotte Lehman</t>
        </is>
      </c>
      <c r="N767" s="6">
        <f>HYPERLINK("https://www.kleinanzeigen.de/s-bestandsliste.html?userId=6668349", "Link")</f>
        <v/>
      </c>
      <c r="O767" s="7" t="n">
        <v>45551.41043981481</v>
      </c>
      <c r="P767" s="3" t="inlineStr">
        <is>
          <t>356.83</t>
        </is>
      </c>
      <c r="Q767" t="inlineStr">
        <is>
          <t>Köln</t>
        </is>
      </c>
    </row>
    <row r="768">
      <c r="A768" t="inlineStr">
        <is>
          <t>231x70</t>
        </is>
      </c>
      <c r="B768" t="inlineStr">
        <is>
          <t>Starboard iSONIC</t>
        </is>
      </c>
      <c r="C768" t="inlineStr">
        <is>
          <t>Slalom</t>
        </is>
      </c>
      <c r="D768" s="3" t="n">
        <v>107</v>
      </c>
      <c r="E768" t="inlineStr">
        <is>
          <t>2016</t>
        </is>
      </c>
      <c r="F768" s="4" t="n">
        <v>300</v>
      </c>
      <c r="G768" t="inlineStr"/>
      <c r="H768" t="inlineStr">
        <is>
          <t>34587 Hessen - Felsberg</t>
        </is>
      </c>
      <c r="I768" s="5" t="n">
        <v>45550</v>
      </c>
      <c r="J768" t="inlineStr"/>
      <c r="K768" s="6">
        <f>HYPERLINK("https://www.kleinanzeigen.de/s-anzeige/starboard-isonic-107l-231x70cm-slalom-board/2864696754-230-4415", "Link")</f>
        <v/>
      </c>
      <c r="L768" s="6">
        <f>HYPERLINK("C:\Projects\Kleinanzeigen-Scraper\offer_images\2864696754", "Link")</f>
        <v/>
      </c>
      <c r="M768" t="inlineStr">
        <is>
          <t>Gerhard Schröder</t>
        </is>
      </c>
      <c r="N768" s="6">
        <f>HYPERLINK("https://www.kleinanzeigen.de/s-bestandsliste.html?userId=13814195", "Link")</f>
        <v/>
      </c>
      <c r="O768" s="7" t="n">
        <v>45551.41037037037</v>
      </c>
      <c r="P768" s="3" t="inlineStr">
        <is>
          <t>176.03</t>
        </is>
      </c>
      <c r="Q768" t="inlineStr">
        <is>
          <t>Köln</t>
        </is>
      </c>
    </row>
    <row r="769">
      <c r="A769" t="inlineStr">
        <is>
          <t xml:space="preserve">Dimensions </t>
        </is>
      </c>
      <c r="B769" t="inlineStr">
        <is>
          <t>Fanatic FreeWave TE</t>
        </is>
      </c>
      <c r="C769" t="inlineStr">
        <is>
          <t>Freewave</t>
        </is>
      </c>
      <c r="D769" s="3" t="n">
        <v>95</v>
      </c>
      <c r="E769" t="inlineStr">
        <is>
          <t>2023</t>
        </is>
      </c>
      <c r="F769" s="4" t="n">
        <v>1.799</v>
      </c>
      <c r="G769" t="inlineStr"/>
      <c r="H769" t="inlineStr">
        <is>
          <t>82319 Bayern - Starnberg</t>
        </is>
      </c>
      <c r="I769" s="5" t="n">
        <v>45548</v>
      </c>
      <c r="J769" t="inlineStr">
        <is>
          <t>Sold</t>
        </is>
      </c>
      <c r="K769" s="6">
        <f>HYPERLINK("https://www.kleinanzeigen.de/s-anzeige/fanatic-freewave-te-95-liter-2023/2498751881-230-5525", "Link")</f>
        <v/>
      </c>
      <c r="L769" s="6">
        <f>HYPERLINK("C:\Projects\Kleinanzeigen-Scraper\offer_images\2498751881", "Link")</f>
        <v/>
      </c>
      <c r="M769" t="inlineStr">
        <is>
          <t>No user name</t>
        </is>
      </c>
      <c r="N769" s="6">
        <f>HYPERLINK("https://www.kleinanzeigen.deNo user link", "Link")</f>
        <v/>
      </c>
      <c r="O769" s="7" t="n">
        <v>45551.4103125</v>
      </c>
      <c r="P769" s="3" t="inlineStr">
        <is>
          <t>23.17</t>
        </is>
      </c>
      <c r="Q769" t="inlineStr">
        <is>
          <t>München</t>
        </is>
      </c>
    </row>
    <row r="770">
      <c r="A770" t="inlineStr"/>
      <c r="B770" t="inlineStr">
        <is>
          <t>Duotone Freewave</t>
        </is>
      </c>
      <c r="C770" t="inlineStr">
        <is>
          <t>Freestyle</t>
        </is>
      </c>
      <c r="D770" s="3" t="n">
        <v>95</v>
      </c>
      <c r="E770" t="inlineStr">
        <is>
          <t>2024</t>
        </is>
      </c>
      <c r="F770" s="4" t="n">
        <v>1.25</v>
      </c>
      <c r="G770" t="inlineStr"/>
      <c r="H770" t="inlineStr">
        <is>
          <t>83646 Bayern - Bad Tölz</t>
        </is>
      </c>
      <c r="I770" s="5" t="n">
        <v>45549</v>
      </c>
      <c r="J770" t="inlineStr">
        <is>
          <t>Sold</t>
        </is>
      </c>
      <c r="K770" s="6">
        <f>HYPERLINK("https://www.kleinanzeigen.de/s-anzeige/duotone-fanatic-freewave-95l-2024/2863040190-230-5883", "Link")</f>
        <v/>
      </c>
      <c r="L770" s="6">
        <f>HYPERLINK("C:\Projects\Kleinanzeigen-Scraper\offer_images\2863040190", "Link")</f>
        <v/>
      </c>
      <c r="M770" t="inlineStr">
        <is>
          <t>Tobi</t>
        </is>
      </c>
      <c r="N770" s="6">
        <f>HYPERLINK("https://www.kleinanzeigen.de/s-bestandsliste.html?userId=63604291", "Link")</f>
        <v/>
      </c>
      <c r="O770" s="7" t="n">
        <v>45551.41028935185</v>
      </c>
      <c r="P770" s="3" t="inlineStr">
        <is>
          <t>43.27</t>
        </is>
      </c>
      <c r="Q770" t="inlineStr">
        <is>
          <t>München</t>
        </is>
      </c>
    </row>
    <row r="771">
      <c r="A771" t="inlineStr">
        <is>
          <t>293 x 62 cm</t>
        </is>
      </c>
      <c r="B771" t="inlineStr">
        <is>
          <t>Starboard Futura</t>
        </is>
      </c>
      <c r="C771" t="inlineStr">
        <is>
          <t>Freeride</t>
        </is>
      </c>
      <c r="D771" s="3" t="n">
        <v>93</v>
      </c>
      <c r="E771" t="inlineStr"/>
      <c r="F771" s="4" t="n">
        <v>260</v>
      </c>
      <c r="G771" t="inlineStr">
        <is>
          <t>VB</t>
        </is>
      </c>
      <c r="H771" t="inlineStr">
        <is>
          <t>21255 Niedersachsen - Tostedt</t>
        </is>
      </c>
      <c r="I771" s="5" t="n">
        <v>45480</v>
      </c>
      <c r="J771" t="inlineStr"/>
      <c r="K771" s="6">
        <f>HYPERLINK("https://www.kleinanzeigen.de/s-anzeige/surfboard-starboard-futura-93-l/2806361896-230-17314", "Link")</f>
        <v/>
      </c>
      <c r="L771" s="6">
        <f>HYPERLINK("C:\Projects\Kleinanzeigen-Scraper\offer_images\2806361896", "Link")</f>
        <v/>
      </c>
      <c r="M771" t="inlineStr">
        <is>
          <t>Knopps</t>
        </is>
      </c>
      <c r="N771" s="6">
        <f>HYPERLINK("https://www.kleinanzeigen.de/s-bestandsliste.html?userId=23298390", "Link")</f>
        <v/>
      </c>
      <c r="O771" s="7" t="n">
        <v>45551.41025462963</v>
      </c>
      <c r="P771" s="3" t="inlineStr">
        <is>
          <t>320.28</t>
        </is>
      </c>
      <c r="Q771" t="inlineStr">
        <is>
          <t>Köln</t>
        </is>
      </c>
    </row>
    <row r="772">
      <c r="A772" t="inlineStr"/>
      <c r="B772" t="inlineStr">
        <is>
          <t>Tabou Pocket</t>
        </is>
      </c>
      <c r="C772" t="inlineStr">
        <is>
          <t>Freestyle</t>
        </is>
      </c>
      <c r="D772" s="3" t="n">
        <v>94</v>
      </c>
      <c r="E772" t="inlineStr">
        <is>
          <t>2019</t>
        </is>
      </c>
      <c r="F772" s="4" t="n">
        <v>650</v>
      </c>
      <c r="G772" t="inlineStr">
        <is>
          <t>VB</t>
        </is>
      </c>
      <c r="H772" t="inlineStr">
        <is>
          <t>21035 Hamburg - Bergedorf</t>
        </is>
      </c>
      <c r="I772" s="5" t="n">
        <v>45550</v>
      </c>
      <c r="J772" t="inlineStr">
        <is>
          <t>Sold</t>
        </is>
      </c>
      <c r="K772" s="6">
        <f>HYPERLINK("https://www.kleinanzeigen.de/s-anzeige/tabou-pocket-94l-windsurf-board-kein-fanatic-jp/2864177635-230-16432", "Link")</f>
        <v/>
      </c>
      <c r="L772" s="6">
        <f>HYPERLINK("C:\Projects\Kleinanzeigen-Scraper\offer_images\2864177635", "Link")</f>
        <v/>
      </c>
      <c r="M772" t="inlineStr">
        <is>
          <t>Petersen</t>
        </is>
      </c>
      <c r="N772" s="6">
        <f>HYPERLINK("https://www.kleinanzeigen.de/s-bestandsliste.html?userId=16419282", "Link")</f>
        <v/>
      </c>
      <c r="O772" s="7" t="n">
        <v>45551.41016203703</v>
      </c>
      <c r="P772" s="3" t="inlineStr">
        <is>
          <t>357.47</t>
        </is>
      </c>
      <c r="Q772" t="inlineStr">
        <is>
          <t>Köln</t>
        </is>
      </c>
    </row>
    <row r="773">
      <c r="A773" t="inlineStr">
        <is>
          <t>242x56</t>
        </is>
      </c>
      <c r="B773" t="inlineStr">
        <is>
          <t>Starboard PureAcid 80</t>
        </is>
      </c>
      <c r="C773" t="inlineStr">
        <is>
          <t>Wave</t>
        </is>
      </c>
      <c r="D773" s="3" t="n">
        <v>80</v>
      </c>
      <c r="E773" t="inlineStr">
        <is>
          <t>2007</t>
        </is>
      </c>
      <c r="F773" s="4" t="n">
        <v>175</v>
      </c>
      <c r="G773" t="inlineStr">
        <is>
          <t>VB</t>
        </is>
      </c>
      <c r="H773" t="inlineStr">
        <is>
          <t>41069 Nordrhein-Westfalen - Mönchengladbach</t>
        </is>
      </c>
      <c r="I773" s="5" t="n">
        <v>45076</v>
      </c>
      <c r="J773" t="inlineStr"/>
      <c r="K773" s="6">
        <f>HYPERLINK("https://www.kleinanzeigen.de/s-anzeige/wave-board-starboard-pureacid-80/2455704513-230-1970", "Link")</f>
        <v/>
      </c>
      <c r="L773" s="6">
        <f>HYPERLINK("C:\Projects\Kleinanzeigen-Scraper\offer_images\2455704513", "Link")</f>
        <v/>
      </c>
      <c r="M773" t="inlineStr">
        <is>
          <t>A.+ D. Scheer</t>
        </is>
      </c>
      <c r="N773" s="6">
        <f>HYPERLINK("https://www.kleinanzeigen.de/s-bestandsliste.html?userId=31054327", "Link")</f>
        <v/>
      </c>
      <c r="O773" s="7" t="n">
        <v>45551.41006944444</v>
      </c>
      <c r="P773" s="3" t="inlineStr">
        <is>
          <t>47.11</t>
        </is>
      </c>
      <c r="Q773" t="inlineStr">
        <is>
          <t>Köln</t>
        </is>
      </c>
    </row>
    <row r="774">
      <c r="A774" t="inlineStr"/>
      <c r="B774" t="inlineStr">
        <is>
          <t>Severne Nuevo</t>
        </is>
      </c>
      <c r="C774" t="inlineStr">
        <is>
          <t>Freeride</t>
        </is>
      </c>
      <c r="D774" s="3" t="n">
        <v>120</v>
      </c>
      <c r="E774" t="inlineStr"/>
      <c r="F774" s="4" t="n">
        <v>1.1</v>
      </c>
      <c r="G774" t="inlineStr"/>
      <c r="H774" t="inlineStr">
        <is>
          <t>71549 Baden-Württemberg - Auenwald</t>
        </is>
      </c>
      <c r="I774" s="5" t="n">
        <v>45550</v>
      </c>
      <c r="J774" t="inlineStr"/>
      <c r="K774" s="6">
        <f>HYPERLINK("https://www.kleinanzeigen.de/s-anzeige/severne-nuevo-120-l-windsurfbrett-surfbrett/2864079084-230-20234", "Link")</f>
        <v/>
      </c>
      <c r="L774" s="6">
        <f>HYPERLINK("C:\Projects\Kleinanzeigen-Scraper\offer_images\2864079084", "Link")</f>
        <v/>
      </c>
      <c r="M774" t="inlineStr">
        <is>
          <t>Sam</t>
        </is>
      </c>
      <c r="N774" s="6">
        <f>HYPERLINK("https://www.kleinanzeigen.de/s-bestandsliste.html?userId=91227219", "Link")</f>
        <v/>
      </c>
      <c r="O774" s="7" t="n">
        <v>45551.41003472222</v>
      </c>
      <c r="P774" s="3" t="inlineStr">
        <is>
          <t>49.16</t>
        </is>
      </c>
      <c r="Q774" t="inlineStr">
        <is>
          <t>Böblingen</t>
        </is>
      </c>
    </row>
    <row r="775">
      <c r="A775" t="inlineStr">
        <is>
          <t>284 cm x 59 cm</t>
        </is>
      </c>
      <c r="B775" t="inlineStr">
        <is>
          <t>Fanatic Bee 284</t>
        </is>
      </c>
      <c r="C775" t="inlineStr"/>
      <c r="D775" s="3" t="n">
        <v>117</v>
      </c>
      <c r="E775" t="inlineStr"/>
      <c r="F775" s="4" t="n">
        <v>110</v>
      </c>
      <c r="G775" t="inlineStr"/>
      <c r="H775" t="inlineStr">
        <is>
          <t>26725 Niedersachsen - Emden</t>
        </is>
      </c>
      <c r="I775" s="5" t="n">
        <v>45541</v>
      </c>
      <c r="J775" t="inlineStr">
        <is>
          <t>Sold</t>
        </is>
      </c>
      <c r="K775" s="6">
        <f>HYPERLINK("https://www.kleinanzeigen.de/s-anzeige/surfbrett-fanatic-bee-284/2856073825-230-3105", "Link")</f>
        <v/>
      </c>
      <c r="L775" s="6">
        <f>HYPERLINK("C:\Projects\Kleinanzeigen-Scraper\offer_images\2856073825", "Link")</f>
        <v/>
      </c>
      <c r="M775" t="inlineStr">
        <is>
          <t>A. R.</t>
        </is>
      </c>
      <c r="N775" s="6">
        <f>HYPERLINK("https://www.kleinanzeigen.de/s-bestandsliste.html?userId=5855422", "Link")</f>
        <v/>
      </c>
      <c r="O775" s="7" t="n">
        <v>45551.41001157407</v>
      </c>
      <c r="P775" s="3" t="inlineStr">
        <is>
          <t>269.38</t>
        </is>
      </c>
      <c r="Q775" t="inlineStr">
        <is>
          <t>Köln</t>
        </is>
      </c>
    </row>
    <row r="776">
      <c r="A776" t="inlineStr"/>
      <c r="B776" t="inlineStr">
        <is>
          <t>Starboard</t>
        </is>
      </c>
      <c r="C776" t="inlineStr">
        <is>
          <t>Foil</t>
        </is>
      </c>
      <c r="D776" s="3" t="inlineStr"/>
      <c r="E776" t="inlineStr"/>
      <c r="F776" s="4" t="n">
        <v>1.75</v>
      </c>
      <c r="G776" t="inlineStr">
        <is>
          <t>VB</t>
        </is>
      </c>
      <c r="H776" t="inlineStr">
        <is>
          <t>22045 Wandsbek - Hamburg Tonndorf</t>
        </is>
      </c>
      <c r="I776" s="5" t="n">
        <v>45338</v>
      </c>
      <c r="J776" t="inlineStr">
        <is>
          <t>Sold</t>
        </is>
      </c>
      <c r="K776" s="6">
        <f>HYPERLINK("https://www.kleinanzeigen.de/s-anzeige/iq-foil-board-starboard/2681066588-230-17135", "Link")</f>
        <v/>
      </c>
      <c r="L776" s="6">
        <f>HYPERLINK("C:\Projects\Kleinanzeigen-Scraper\offer_images\2681066588", "Link")</f>
        <v/>
      </c>
      <c r="M776" t="inlineStr">
        <is>
          <t>Nadia J.</t>
        </is>
      </c>
      <c r="N776" s="6">
        <f>HYPERLINK("https://www.kleinanzeigen.de/s-bestandsliste.html?userId=79389459", "Link")</f>
        <v/>
      </c>
      <c r="O776" s="7" t="n">
        <v>45551.40997685185</v>
      </c>
      <c r="P776" s="3" t="inlineStr">
        <is>
          <t>364.91</t>
        </is>
      </c>
      <c r="Q776" t="inlineStr">
        <is>
          <t>Köln</t>
        </is>
      </c>
    </row>
    <row r="777">
      <c r="A777" t="inlineStr">
        <is>
          <t>14 x 30</t>
        </is>
      </c>
      <c r="B777" t="inlineStr">
        <is>
          <t>Starboard Waterline</t>
        </is>
      </c>
      <c r="C777" t="inlineStr"/>
      <c r="D777" s="3" t="inlineStr"/>
      <c r="E777" t="inlineStr"/>
      <c r="F777" s="4" t="n">
        <v>1.5</v>
      </c>
      <c r="G777" t="inlineStr"/>
      <c r="H777" t="inlineStr">
        <is>
          <t>17217 Müritz - Landkreis - Penzlin</t>
        </is>
      </c>
      <c r="I777" s="5" t="n">
        <v>45503</v>
      </c>
      <c r="J777" t="inlineStr"/>
      <c r="K777" s="6">
        <f>HYPERLINK("https://www.kleinanzeigen.de/s-anzeige/starboard-waterline-14-x-30-carbon-top/2824820461-230-16555", "Link")</f>
        <v/>
      </c>
      <c r="L777" s="6">
        <f>HYPERLINK("C:\Projects\Kleinanzeigen-Scraper\offer_images\2824820461", "Link")</f>
        <v/>
      </c>
      <c r="M777" t="inlineStr">
        <is>
          <t>CAMA</t>
        </is>
      </c>
      <c r="N777" s="6">
        <f>HYPERLINK("https://www.kleinanzeigen.de/s-bestandsliste.html?userId=14884032", "Link")</f>
        <v/>
      </c>
      <c r="O777" s="7" t="n">
        <v>45551.4099537037</v>
      </c>
      <c r="P777" s="3" t="inlineStr">
        <is>
          <t>504.74</t>
        </is>
      </c>
      <c r="Q777" t="inlineStr">
        <is>
          <t>Köln</t>
        </is>
      </c>
    </row>
    <row r="778">
      <c r="A778" t="inlineStr">
        <is>
          <t>175 x 37 cm</t>
        </is>
      </c>
      <c r="B778" t="inlineStr">
        <is>
          <t>Fanatic Pure Air Touring</t>
        </is>
      </c>
      <c r="C778" t="inlineStr">
        <is>
          <t>Touring</t>
        </is>
      </c>
      <c r="D778" s="3" t="n">
        <v>299</v>
      </c>
      <c r="E778" t="inlineStr"/>
      <c r="F778" s="4" t="n">
        <v>450</v>
      </c>
      <c r="G778" t="inlineStr"/>
      <c r="H778" t="inlineStr">
        <is>
          <t>89173 Baden-Württemberg - Lonsee</t>
        </is>
      </c>
      <c r="I778" s="5" t="n">
        <v>45549</v>
      </c>
      <c r="J778" t="inlineStr">
        <is>
          <t>Sold</t>
        </is>
      </c>
      <c r="K778" s="6">
        <f>HYPERLINK("https://www.kleinanzeigen.de/s-anzeige/stand-up-paddle-board-sup-fanatic-pure-air-touring-paddel/2862905069-230-8934", "Link")</f>
        <v/>
      </c>
      <c r="L778" s="6">
        <f>HYPERLINK("C:\Projects\Kleinanzeigen-Scraper\offer_images\2862905069", "Link")</f>
        <v/>
      </c>
      <c r="M778" t="inlineStr">
        <is>
          <t>Andreas Stocker</t>
        </is>
      </c>
      <c r="N778" s="6">
        <f>HYPERLINK("https://www.kleinanzeigen.de/s-bestandsliste.html?userId=56060958", "Link")</f>
        <v/>
      </c>
      <c r="O778" s="7" t="n">
        <v>45551.40993055556</v>
      </c>
      <c r="P778" s="3" t="inlineStr">
        <is>
          <t>71.12</t>
        </is>
      </c>
      <c r="Q778" t="inlineStr">
        <is>
          <t>Böblingen</t>
        </is>
      </c>
    </row>
    <row r="779">
      <c r="A779" t="inlineStr"/>
      <c r="B779" t="inlineStr">
        <is>
          <t>Starboard Carve</t>
        </is>
      </c>
      <c r="C779" t="inlineStr">
        <is>
          <t>Freeride</t>
        </is>
      </c>
      <c r="D779" s="3" t="n">
        <v>114</v>
      </c>
      <c r="E779" t="inlineStr">
        <is>
          <t>2018</t>
        </is>
      </c>
      <c r="F779" s="4" t="n">
        <v>700</v>
      </c>
      <c r="G779" t="inlineStr"/>
      <c r="H779" t="inlineStr">
        <is>
          <t>22143 Wandsbek - Hamburg Rahlstedt</t>
        </is>
      </c>
      <c r="I779" s="5" t="n">
        <v>45478</v>
      </c>
      <c r="J779" t="inlineStr">
        <is>
          <t>Sold</t>
        </is>
      </c>
      <c r="K779" s="6">
        <f>HYPERLINK("https://www.kleinanzeigen.de/s-anzeige/starboard-carve-starlight-114l-boardbag/2804541027-230-9455", "Link")</f>
        <v/>
      </c>
      <c r="L779" s="6">
        <f>HYPERLINK("C:\Projects\Kleinanzeigen-Scraper\offer_images\2804541027", "Link")</f>
        <v/>
      </c>
      <c r="M779" t="inlineStr">
        <is>
          <t>Anya</t>
        </is>
      </c>
      <c r="N779" s="6">
        <f>HYPERLINK("https://www.kleinanzeigen.de/s-bestandsliste.html?userId=5274841", "Link")</f>
        <v/>
      </c>
      <c r="O779" s="7" t="n">
        <v>45551.4099074074</v>
      </c>
      <c r="P779" s="3" t="inlineStr">
        <is>
          <t>368.45</t>
        </is>
      </c>
      <c r="Q779" t="inlineStr">
        <is>
          <t>Köln</t>
        </is>
      </c>
    </row>
    <row r="780">
      <c r="A780" t="inlineStr"/>
      <c r="B780" t="inlineStr">
        <is>
          <t>Starboard Free Extreme</t>
        </is>
      </c>
      <c r="C780" t="inlineStr">
        <is>
          <t>Freestyle</t>
        </is>
      </c>
      <c r="D780" s="3" t="n">
        <v>108</v>
      </c>
      <c r="E780" t="inlineStr"/>
      <c r="F780" s="4" t="n">
        <v>160</v>
      </c>
      <c r="G780" t="inlineStr"/>
      <c r="H780" t="inlineStr">
        <is>
          <t>24105 Schleswig-Holstein - Kiel</t>
        </is>
      </c>
      <c r="I780" s="5" t="n">
        <v>45499</v>
      </c>
      <c r="J780" t="inlineStr"/>
      <c r="K780" s="6">
        <f>HYPERLINK("https://www.kleinanzeigen.de/s-anzeige/starboard-free-exteme-style-108-l-windsurfboard/2821550631-230-708", "Link")</f>
        <v/>
      </c>
      <c r="L780" s="6">
        <f>HYPERLINK("C:\Projects\Kleinanzeigen-Scraper\offer_images\2821550631", "Link")</f>
        <v/>
      </c>
      <c r="M780" t="inlineStr">
        <is>
          <t>Julius</t>
        </is>
      </c>
      <c r="N780" s="6">
        <f>HYPERLINK("https://www.kleinanzeigen.de/s-bestandsliste.html?userId=36346934", "Link")</f>
        <v/>
      </c>
      <c r="O780" s="7" t="n">
        <v>45551.40986111111</v>
      </c>
      <c r="P780" s="3" t="inlineStr">
        <is>
          <t>435.05</t>
        </is>
      </c>
      <c r="Q780" t="inlineStr">
        <is>
          <t>Köln</t>
        </is>
      </c>
    </row>
    <row r="781">
      <c r="A781" t="inlineStr">
        <is>
          <t>9'0"</t>
        </is>
      </c>
      <c r="B781" t="inlineStr">
        <is>
          <t>Naish Enduro</t>
        </is>
      </c>
      <c r="C781" t="inlineStr">
        <is>
          <t>Freeride</t>
        </is>
      </c>
      <c r="D781" s="3" t="n">
        <v>105</v>
      </c>
      <c r="E781" t="inlineStr"/>
      <c r="F781" s="4" t="n">
        <v>55</v>
      </c>
      <c r="G781" t="inlineStr">
        <is>
          <t>VB</t>
        </is>
      </c>
      <c r="H781" t="inlineStr">
        <is>
          <t>91757 Bayern - Treuchtlingen</t>
        </is>
      </c>
      <c r="I781" s="5" t="n">
        <v>45550</v>
      </c>
      <c r="J781" t="inlineStr"/>
      <c r="K781" s="6">
        <f>HYPERLINK("https://www.kleinanzeigen.de/s-anzeige/naish-enduro-105l-freeride-surfbrett/2863789785-230-5870", "Link")</f>
        <v/>
      </c>
      <c r="L781" s="6">
        <f>HYPERLINK("C:\Projects\Kleinanzeigen-Scraper\offer_images\2863789785", "Link")</f>
        <v/>
      </c>
      <c r="M781" t="inlineStr">
        <is>
          <t>Michael Neuendorf</t>
        </is>
      </c>
      <c r="N781" s="6">
        <f>HYPERLINK("https://www.kleinanzeigen.de/s-bestandsliste.html?userId=20903186", "Link")</f>
        <v/>
      </c>
      <c r="O781" s="7" t="n">
        <v>45551.40983796296</v>
      </c>
      <c r="P781" s="3" t="inlineStr">
        <is>
          <t>103.54</t>
        </is>
      </c>
      <c r="Q781" t="inlineStr">
        <is>
          <t>München</t>
        </is>
      </c>
    </row>
    <row r="782">
      <c r="A782" t="inlineStr">
        <is>
          <t>234 x 54 cm</t>
        </is>
      </c>
      <c r="B782" t="inlineStr">
        <is>
          <t>Starboard Pure Race</t>
        </is>
      </c>
      <c r="C782" t="inlineStr">
        <is>
          <t>Wave</t>
        </is>
      </c>
      <c r="D782" s="3" t="n">
        <v>74</v>
      </c>
      <c r="E782" t="inlineStr"/>
      <c r="F782" s="4" t="n">
        <v>75</v>
      </c>
      <c r="G782" t="inlineStr"/>
      <c r="H782" t="inlineStr">
        <is>
          <t>22179 Wandsbek - Hamburg Bramfeld</t>
        </is>
      </c>
      <c r="I782" s="5" t="n">
        <v>45488</v>
      </c>
      <c r="J782" t="inlineStr"/>
      <c r="K782" s="6">
        <f>HYPERLINK("https://www.kleinanzeigen.de/s-anzeige/starboard-pure-race-waveboard-74-l-carbon/2812666172-230-9451", "Link")</f>
        <v/>
      </c>
      <c r="L782" s="6">
        <f>HYPERLINK("C:\Projects\Kleinanzeigen-Scraper\offer_images\2812666172", "Link")</f>
        <v/>
      </c>
      <c r="M782" t="inlineStr">
        <is>
          <t>Ina</t>
        </is>
      </c>
      <c r="N782" s="6">
        <f>HYPERLINK("https://www.kleinanzeigen.de/s-bestandsliste.html?userId=12775570", "Link")</f>
        <v/>
      </c>
      <c r="O782" s="7" t="n">
        <v>45551.4097337963</v>
      </c>
      <c r="P782" s="3" t="inlineStr">
        <is>
          <t>365.29</t>
        </is>
      </c>
      <c r="Q782" t="inlineStr">
        <is>
          <t>Köln</t>
        </is>
      </c>
    </row>
    <row r="783">
      <c r="A783" t="inlineStr">
        <is>
          <t>14.0 x 23.0</t>
        </is>
      </c>
      <c r="B783" t="inlineStr">
        <is>
          <t>Starboard Allstar</t>
        </is>
      </c>
      <c r="C783" t="inlineStr"/>
      <c r="D783" s="3" t="inlineStr"/>
      <c r="E783" t="inlineStr">
        <is>
          <t>2022</t>
        </is>
      </c>
      <c r="F783" s="4" t="n">
        <v>1.8</v>
      </c>
      <c r="G783" t="inlineStr">
        <is>
          <t>VB</t>
        </is>
      </c>
      <c r="H783" t="inlineStr">
        <is>
          <t>12555 Berlin - Köpenick</t>
        </is>
      </c>
      <c r="I783" s="5" t="n">
        <v>45414</v>
      </c>
      <c r="J783" t="inlineStr"/>
      <c r="K783" s="6">
        <f>HYPERLINK("https://www.kleinanzeigen.de/s-anzeige/starboard-allstar-14-0-x-23-0/2751068473-230-3365", "Link")</f>
        <v/>
      </c>
      <c r="L783" s="6">
        <f>HYPERLINK("C:\Projects\Kleinanzeigen-Scraper\offer_images\2751068473", "Link")</f>
        <v/>
      </c>
      <c r="M783" t="inlineStr">
        <is>
          <t>Lasse</t>
        </is>
      </c>
      <c r="N783" s="6">
        <f>HYPERLINK("https://www.kleinanzeigen.de/s-bestandsliste.html?userId=41815636", "Link")</f>
        <v/>
      </c>
      <c r="O783" s="7" t="n">
        <v>45551.40969907407</v>
      </c>
      <c r="P783" s="3" t="inlineStr">
        <is>
          <t>487.27</t>
        </is>
      </c>
      <c r="Q783" t="inlineStr">
        <is>
          <t>Köln</t>
        </is>
      </c>
    </row>
    <row r="784">
      <c r="A784" t="inlineStr">
        <is>
          <t>5'2''</t>
        </is>
      </c>
      <c r="B784" t="inlineStr">
        <is>
          <t>North / Duotone Nugget</t>
        </is>
      </c>
      <c r="C784" t="inlineStr"/>
      <c r="D784" s="3" t="inlineStr"/>
      <c r="E784" t="inlineStr"/>
      <c r="F784" s="4" t="n">
        <v>160</v>
      </c>
      <c r="G784" t="inlineStr"/>
      <c r="H784" t="inlineStr">
        <is>
          <t>82362 Bayern - Weilheim i.OB</t>
        </is>
      </c>
      <c r="I784" s="5" t="n">
        <v>45549</v>
      </c>
      <c r="J784" t="inlineStr">
        <is>
          <t>Sold</t>
        </is>
      </c>
      <c r="K784" s="6">
        <f>HYPERLINK("https://www.kleinanzeigen.de/s-anzeige/north-duotone-nugget/2863535955-230-10173", "Link")</f>
        <v/>
      </c>
      <c r="L784" s="6">
        <f>HYPERLINK("C:\Projects\Kleinanzeigen-Scraper\offer_images\2863535955", "Link")</f>
        <v/>
      </c>
      <c r="M784" t="inlineStr">
        <is>
          <t>Kilian</t>
        </is>
      </c>
      <c r="N784" s="6">
        <f>HYPERLINK("https://www.kleinanzeigen.de/s-bestandsliste.html?userId=15321649", "Link")</f>
        <v/>
      </c>
      <c r="O784" s="7" t="n">
        <v>45551.4096875</v>
      </c>
      <c r="P784" s="3" t="inlineStr">
        <is>
          <t>44.78</t>
        </is>
      </c>
      <c r="Q784" t="inlineStr">
        <is>
          <t>München</t>
        </is>
      </c>
    </row>
    <row r="785">
      <c r="A785" t="inlineStr">
        <is>
          <t>259 cm x 74.9 cm</t>
        </is>
      </c>
      <c r="B785" t="inlineStr">
        <is>
          <t>Fanatic SUP Stubby LTD</t>
        </is>
      </c>
      <c r="C785" t="inlineStr"/>
      <c r="D785" s="3" t="n">
        <v>120</v>
      </c>
      <c r="E785" t="inlineStr"/>
      <c r="F785" s="4" t="n">
        <v>588</v>
      </c>
      <c r="G785" t="inlineStr">
        <is>
          <t>VB</t>
        </is>
      </c>
      <c r="H785" t="inlineStr">
        <is>
          <t>24107 Schleswig-Holstein - Quarnbek</t>
        </is>
      </c>
      <c r="I785" s="5" t="n">
        <v>45548</v>
      </c>
      <c r="J785" t="inlineStr">
        <is>
          <t>Sold</t>
        </is>
      </c>
      <c r="K785" s="6">
        <f>HYPERLINK("https://www.kleinanzeigen.de/s-anzeige/fanatic-sup-stubby-ltd/2862038733-230-711", "Link")</f>
        <v/>
      </c>
      <c r="L785" s="6">
        <f>HYPERLINK("C:\Projects\Kleinanzeigen-Scraper\offer_images\2862038733", "Link")</f>
        <v/>
      </c>
      <c r="M785" t="inlineStr">
        <is>
          <t>Markus</t>
        </is>
      </c>
      <c r="N785" s="6">
        <f>HYPERLINK("https://www.kleinanzeigen.de/s-bestandsliste.html?userId=442630", "Link")</f>
        <v/>
      </c>
      <c r="O785" s="7" t="n">
        <v>45551.40966435185</v>
      </c>
      <c r="P785" s="3" t="inlineStr">
        <is>
          <t>432.01</t>
        </is>
      </c>
      <c r="Q785" t="inlineStr">
        <is>
          <t>Köln</t>
        </is>
      </c>
    </row>
    <row r="786">
      <c r="A786" t="inlineStr"/>
      <c r="B786" t="inlineStr">
        <is>
          <t>Starboard EVO Wood XTV</t>
        </is>
      </c>
      <c r="C786" t="inlineStr">
        <is>
          <t>Wave</t>
        </is>
      </c>
      <c r="D786" s="3" t="n">
        <v>70</v>
      </c>
      <c r="E786" t="inlineStr"/>
      <c r="F786" s="4" t="n">
        <v>110</v>
      </c>
      <c r="G786" t="inlineStr"/>
      <c r="H786" t="inlineStr">
        <is>
          <t>38154 Niedersachsen - Königslutter am Elm</t>
        </is>
      </c>
      <c r="I786" s="5" t="n">
        <v>45506</v>
      </c>
      <c r="J786" t="inlineStr"/>
      <c r="K786" s="6">
        <f>HYPERLINK("https://www.kleinanzeigen.de/s-anzeige/starboard-evo-wood-xtv-70l-top-zustand/2827260465-230-14236", "Link")</f>
        <v/>
      </c>
      <c r="L786" s="6">
        <f>HYPERLINK("C:\Projects\Kleinanzeigen-Scraper\offer_images\2827260465", "Link")</f>
        <v/>
      </c>
      <c r="M786" t="inlineStr">
        <is>
          <t>###PQ</t>
        </is>
      </c>
      <c r="N786" s="6">
        <f>HYPERLINK("https://www.kleinanzeigen.de/s-bestandsliste.html?userId=2765287", "Link")</f>
        <v/>
      </c>
      <c r="O786" s="7" t="n">
        <v>45551.40965277778</v>
      </c>
      <c r="P786" s="3" t="inlineStr">
        <is>
          <t>303.77</t>
        </is>
      </c>
      <c r="Q786" t="inlineStr">
        <is>
          <t>Köln</t>
        </is>
      </c>
    </row>
    <row r="787">
      <c r="A787" t="inlineStr">
        <is>
          <t>93</t>
        </is>
      </c>
      <c r="B787" t="inlineStr">
        <is>
          <t>Starboard Flare</t>
        </is>
      </c>
      <c r="C787" t="inlineStr">
        <is>
          <t>Freestyle</t>
        </is>
      </c>
      <c r="D787" s="3" t="inlineStr"/>
      <c r="E787" t="inlineStr">
        <is>
          <t>2019</t>
        </is>
      </c>
      <c r="F787" s="4" t="n">
        <v>580</v>
      </c>
      <c r="G787" t="inlineStr">
        <is>
          <t>VB</t>
        </is>
      </c>
      <c r="H787" t="inlineStr">
        <is>
          <t>22043 Wandsbek - Hamburg Marienthal</t>
        </is>
      </c>
      <c r="I787" s="5" t="n">
        <v>45427</v>
      </c>
      <c r="J787" t="inlineStr"/>
      <c r="K787" s="6">
        <f>HYPERLINK("https://www.kleinanzeigen.de/s-anzeige/starboard-flare-93-2019-windsurf-freestyle/2761844533-230-23510", "Link")</f>
        <v/>
      </c>
      <c r="L787" s="6">
        <f>HYPERLINK("C:\Projects\Kleinanzeigen-Scraper\offer_images\2761844533", "Link")</f>
        <v/>
      </c>
      <c r="M787" t="inlineStr">
        <is>
          <t>Oliver</t>
        </is>
      </c>
      <c r="N787" s="6">
        <f>HYPERLINK("https://www.kleinanzeigen.de/s-bestandsliste.html?userId=18682648", "Link")</f>
        <v/>
      </c>
      <c r="O787" s="7" t="n">
        <v>45551.40958333333</v>
      </c>
      <c r="P787" s="3" t="inlineStr">
        <is>
          <t>362.40</t>
        </is>
      </c>
      <c r="Q787" t="inlineStr">
        <is>
          <t>Köln</t>
        </is>
      </c>
    </row>
    <row r="788">
      <c r="A788" t="inlineStr"/>
      <c r="B788" t="inlineStr">
        <is>
          <t>Tabou Pocket</t>
        </is>
      </c>
      <c r="C788" t="inlineStr">
        <is>
          <t>Wave</t>
        </is>
      </c>
      <c r="D788" s="3" t="n">
        <v>78</v>
      </c>
      <c r="E788" t="inlineStr"/>
      <c r="F788" s="4" t="n">
        <v>325</v>
      </c>
      <c r="G788" t="inlineStr">
        <is>
          <t>VB</t>
        </is>
      </c>
      <c r="H788" t="inlineStr">
        <is>
          <t>45473 Nordrhein-Westfalen - Mülheim (Ruhr)</t>
        </is>
      </c>
      <c r="I788" s="5" t="n">
        <v>45550</v>
      </c>
      <c r="J788" t="inlineStr"/>
      <c r="K788" s="6">
        <f>HYPERLINK("https://www.kleinanzeigen.de/s-anzeige/tabou-pocket-78-vorgaenger-von-da-bomb-/2864073047-230-2062", "Link")</f>
        <v/>
      </c>
      <c r="L788" s="6">
        <f>HYPERLINK("C:\Projects\Kleinanzeigen-Scraper\offer_images\2864073047", "Link")</f>
        <v/>
      </c>
      <c r="M788" t="inlineStr">
        <is>
          <t>Benedict</t>
        </is>
      </c>
      <c r="N788" s="6">
        <f>HYPERLINK("https://www.kleinanzeigen.de/s-bestandsliste.html?userId=13040713", "Link")</f>
        <v/>
      </c>
      <c r="O788" s="7" t="n">
        <v>45551.40958333333</v>
      </c>
      <c r="P788" s="3" t="inlineStr">
        <is>
          <t>56.15</t>
        </is>
      </c>
      <c r="Q788" t="inlineStr">
        <is>
          <t>Köln</t>
        </is>
      </c>
    </row>
    <row r="789">
      <c r="A789" t="inlineStr"/>
      <c r="B789" t="inlineStr">
        <is>
          <t>Starboard iSonic</t>
        </is>
      </c>
      <c r="C789" t="inlineStr">
        <is>
          <t>Slalom</t>
        </is>
      </c>
      <c r="D789" s="3" t="n">
        <v>76</v>
      </c>
      <c r="E789" t="inlineStr"/>
      <c r="F789" s="4" t="n">
        <v>199</v>
      </c>
      <c r="G789" t="inlineStr">
        <is>
          <t>VB</t>
        </is>
      </c>
      <c r="H789" t="inlineStr">
        <is>
          <t>44793 Bochum - Bochum-Mitte</t>
        </is>
      </c>
      <c r="I789" s="5" t="n">
        <v>45504</v>
      </c>
      <c r="J789" t="inlineStr"/>
      <c r="K789" s="6">
        <f>HYPERLINK("https://www.kleinanzeigen.de/s-anzeige/starboard-isonic-76l-incl-speed-weed-finne-und-boardbag/2825366940-230-1948", "Link")</f>
        <v/>
      </c>
      <c r="L789" s="6">
        <f>HYPERLINK("C:\Projects\Kleinanzeigen-Scraper\offer_images\2825366940", "Link")</f>
        <v/>
      </c>
      <c r="M789" t="inlineStr">
        <is>
          <t>BB</t>
        </is>
      </c>
      <c r="N789" s="6">
        <f>HYPERLINK("https://www.kleinanzeigen.de/s-bestandsliste.html?userId=17336562", "Link")</f>
        <v/>
      </c>
      <c r="O789" s="7" t="n">
        <v>45551.40956018519</v>
      </c>
      <c r="P789" s="3" t="inlineStr">
        <is>
          <t>62.35</t>
        </is>
      </c>
      <c r="Q789" t="inlineStr">
        <is>
          <t>Köln</t>
        </is>
      </c>
    </row>
    <row r="790">
      <c r="A790" t="inlineStr"/>
      <c r="B790" t="inlineStr">
        <is>
          <t>Bugz</t>
        </is>
      </c>
      <c r="C790" t="inlineStr">
        <is>
          <t>SUP</t>
        </is>
      </c>
      <c r="D790" s="3" t="inlineStr"/>
      <c r="E790" t="inlineStr"/>
      <c r="F790" s="4" t="n">
        <v>340</v>
      </c>
      <c r="G790" t="inlineStr"/>
      <c r="H790" t="inlineStr">
        <is>
          <t>14827 Brandenburg - Wiesenburg/Mark</t>
        </is>
      </c>
      <c r="I790" s="5" t="n">
        <v>45271</v>
      </c>
      <c r="J790" t="inlineStr">
        <is>
          <t>Sold</t>
        </is>
      </c>
      <c r="K790" s="6">
        <f>HYPERLINK("https://www.kleinanzeigen.de/s-anzeige/bugz-sup-surf-9-starboard-carbon-surfboard-stand-up-paddle/2626595431-230-2399", "Link")</f>
        <v/>
      </c>
      <c r="L790" s="6">
        <f>HYPERLINK("C:\Projects\Kleinanzeigen-Scraper\offer_images\2626595431", "Link")</f>
        <v/>
      </c>
      <c r="M790" t="inlineStr">
        <is>
          <t>Hubert</t>
        </is>
      </c>
      <c r="N790" s="6">
        <f>HYPERLINK("https://www.kleinanzeigen.de/s-bestandsliste.html?userId=134534115", "Link")</f>
        <v/>
      </c>
      <c r="O790" s="7" t="n">
        <v>45551.40953703703</v>
      </c>
      <c r="P790" s="3" t="inlineStr">
        <is>
          <t>402.32</t>
        </is>
      </c>
      <c r="Q790" t="inlineStr">
        <is>
          <t>Köln</t>
        </is>
      </c>
    </row>
    <row r="791">
      <c r="A791" t="inlineStr">
        <is>
          <t>225 cm x 58.5 cm</t>
        </is>
      </c>
      <c r="B791" t="inlineStr">
        <is>
          <t>Fanatic Ultra Grip Mosquito Edition</t>
        </is>
      </c>
      <c r="C791" t="inlineStr">
        <is>
          <t>Freeride</t>
        </is>
      </c>
      <c r="D791" s="3" t="n">
        <v>86</v>
      </c>
      <c r="E791" t="inlineStr"/>
      <c r="F791" s="4" t="n">
        <v>1.099</v>
      </c>
      <c r="G791" t="inlineStr">
        <is>
          <t>VB</t>
        </is>
      </c>
      <c r="H791" t="inlineStr">
        <is>
          <t>40595 Düsseldorf - Garath</t>
        </is>
      </c>
      <c r="I791" s="5" t="n">
        <v>45548</v>
      </c>
      <c r="J791" t="inlineStr">
        <is>
          <t>Sold</t>
        </is>
      </c>
      <c r="K791" s="6">
        <f>HYPERLINK("https://www.kleinanzeigen.de/s-anzeige/fanatic-ultra-grip-mosquito-edition-86-wie-neu/2862119676-230-2078", "Link")</f>
        <v/>
      </c>
      <c r="L791" s="6">
        <f>HYPERLINK("C:\Projects\Kleinanzeigen-Scraper\offer_images\2862119676", "Link")</f>
        <v/>
      </c>
      <c r="M791" t="inlineStr">
        <is>
          <t>Sven Vogels</t>
        </is>
      </c>
      <c r="N791" s="6">
        <f>HYPERLINK("https://www.kleinanzeigen.de/s-bestandsliste.html?userId=21651179", "Link")</f>
        <v/>
      </c>
      <c r="O791" s="7" t="n">
        <v>45551.40952546296</v>
      </c>
      <c r="P791" s="3" t="inlineStr">
        <is>
          <t>22.73</t>
        </is>
      </c>
      <c r="Q791" t="inlineStr">
        <is>
          <t>Köln</t>
        </is>
      </c>
    </row>
    <row r="792">
      <c r="A792" t="inlineStr"/>
      <c r="B792" t="inlineStr">
        <is>
          <t>Starboard Foil X</t>
        </is>
      </c>
      <c r="C792" t="inlineStr">
        <is>
          <t>Windfoil</t>
        </is>
      </c>
      <c r="D792" s="3" t="n">
        <v>145</v>
      </c>
      <c r="E792" t="inlineStr"/>
      <c r="F792" s="4" t="n">
        <v>500</v>
      </c>
      <c r="G792" t="inlineStr"/>
      <c r="H792" t="inlineStr">
        <is>
          <t>86154 Bayern - Augsburg</t>
        </is>
      </c>
      <c r="I792" s="5" t="n">
        <v>45508</v>
      </c>
      <c r="J792" t="inlineStr">
        <is>
          <t>Sold</t>
        </is>
      </c>
      <c r="K792" s="6">
        <f>HYPERLINK("https://www.kleinanzeigen.de/s-anzeige/starboard-foil-x-145-l-windfoil-board/2828596764-230-7528", "Link")</f>
        <v/>
      </c>
      <c r="L792" s="6">
        <f>HYPERLINK("C:\Projects\Kleinanzeigen-Scraper\offer_images\2828596764", "Link")</f>
        <v/>
      </c>
      <c r="M792" t="inlineStr">
        <is>
          <t>Arif Prigge</t>
        </is>
      </c>
      <c r="N792" s="6">
        <f>HYPERLINK("https://www.kleinanzeigen.de/s-bestandsliste.html?userId=42829116", "Link")</f>
        <v/>
      </c>
      <c r="O792" s="7" t="n">
        <v>45551.40949074074</v>
      </c>
      <c r="P792" s="3" t="inlineStr">
        <is>
          <t>58.77</t>
        </is>
      </c>
      <c r="Q792" t="inlineStr">
        <is>
          <t>München</t>
        </is>
      </c>
    </row>
    <row r="793">
      <c r="A793" t="inlineStr">
        <is>
          <t>232 x 75 cm</t>
        </is>
      </c>
      <c r="B793" t="inlineStr">
        <is>
          <t>Starboard isonic 117</t>
        </is>
      </c>
      <c r="C793" t="inlineStr">
        <is>
          <t>Slalom</t>
        </is>
      </c>
      <c r="D793" s="3" t="n">
        <v>117</v>
      </c>
      <c r="E793" t="inlineStr"/>
      <c r="F793" s="4" t="n">
        <v>530</v>
      </c>
      <c r="G793" t="inlineStr"/>
      <c r="H793" t="inlineStr">
        <is>
          <t>82229 Bayern - Seefeld</t>
        </is>
      </c>
      <c r="I793" s="5" t="n">
        <v>45384</v>
      </c>
      <c r="J793" t="inlineStr"/>
      <c r="K793" s="6">
        <f>HYPERLINK("https://www.kleinanzeigen.de/s-anzeige/starboard-isonic-117-wood-fws-slalom/2724381281-230-5519", "Link")</f>
        <v/>
      </c>
      <c r="L793" s="6">
        <f>HYPERLINK("C:\Projects\Kleinanzeigen-Scraper\offer_images\2724381281", "Link")</f>
        <v/>
      </c>
      <c r="M793" t="inlineStr">
        <is>
          <t>Markus Meiler</t>
        </is>
      </c>
      <c r="N793" s="6">
        <f>HYPERLINK("https://www.kleinanzeigen.de/s-bestandsliste.html?userId=19021273", "Link")</f>
        <v/>
      </c>
      <c r="O793" s="7" t="n">
        <v>45551.4094675926</v>
      </c>
      <c r="P793" s="3" t="inlineStr">
        <is>
          <t>27.49</t>
        </is>
      </c>
      <c r="Q793" t="inlineStr">
        <is>
          <t>München</t>
        </is>
      </c>
    </row>
    <row r="794">
      <c r="A794" t="inlineStr"/>
      <c r="B794" t="inlineStr">
        <is>
          <t>JP Australia</t>
        </is>
      </c>
      <c r="C794" t="inlineStr">
        <is>
          <t>Wave</t>
        </is>
      </c>
      <c r="D794" s="3" t="n">
        <v>83</v>
      </c>
      <c r="E794" t="inlineStr"/>
      <c r="F794" s="4" t="n">
        <v>95</v>
      </c>
      <c r="G794" t="inlineStr">
        <is>
          <t>VB</t>
        </is>
      </c>
      <c r="H794" t="inlineStr">
        <is>
          <t>12621 Berlin - Hellersdorf</t>
        </is>
      </c>
      <c r="I794" s="5" t="n">
        <v>45550</v>
      </c>
      <c r="J794" t="inlineStr"/>
      <c r="K794" s="6">
        <f>HYPERLINK("https://www.kleinanzeigen.de/s-anzeige/jp-australia-windsurfboard-waveboard-83l/2864232550-230-3513", "Link")</f>
        <v/>
      </c>
      <c r="L794" s="6">
        <f>HYPERLINK("C:\Projects\Kleinanzeigen-Scraper\offer_images\2864232550", "Link")</f>
        <v/>
      </c>
      <c r="M794" t="inlineStr">
        <is>
          <t>Rica Bischof</t>
        </is>
      </c>
      <c r="N794" s="6">
        <f>HYPERLINK("https://www.kleinanzeigen.de/s-bestandsliste.html?userId=32931406", "Link")</f>
        <v/>
      </c>
      <c r="O794" s="7" t="n">
        <v>45551.40945601852</v>
      </c>
      <c r="P794" s="3" t="inlineStr">
        <is>
          <t>488.85</t>
        </is>
      </c>
      <c r="Q794" t="inlineStr">
        <is>
          <t>Köln</t>
        </is>
      </c>
    </row>
    <row r="795">
      <c r="A795" t="inlineStr"/>
      <c r="B795" t="inlineStr">
        <is>
          <t>Starboard Carve</t>
        </is>
      </c>
      <c r="C795" t="inlineStr">
        <is>
          <t>Freeride</t>
        </is>
      </c>
      <c r="D795" s="3" t="n">
        <v>129</v>
      </c>
      <c r="E795" t="inlineStr"/>
      <c r="F795" s="4" t="n">
        <v>1</v>
      </c>
      <c r="G795" t="inlineStr"/>
      <c r="H795" t="inlineStr">
        <is>
          <t>73235 Baden-Württemberg - Weilheim an der Teck</t>
        </is>
      </c>
      <c r="I795" s="5" t="n">
        <v>45550</v>
      </c>
      <c r="J795" t="inlineStr">
        <is>
          <t>Sold</t>
        </is>
      </c>
      <c r="K795" s="6">
        <f>HYPERLINK("https://www.kleinanzeigen.de/s-anzeige/starboard-carve-129-liter-neu-windsurfen/2863762793-230-8465", "Link")</f>
        <v/>
      </c>
      <c r="L795" s="6">
        <f>HYPERLINK("C:\Projects\Kleinanzeigen-Scraper\offer_images\2863762793", "Link")</f>
        <v/>
      </c>
      <c r="M795" t="inlineStr">
        <is>
          <t>Oli</t>
        </is>
      </c>
      <c r="N795" s="6">
        <f>HYPERLINK("https://www.kleinanzeigen.de/s-bestandsliste.html?userId=71624275", "Link")</f>
        <v/>
      </c>
      <c r="O795" s="7" t="n">
        <v>45551.40940972222</v>
      </c>
      <c r="P795" s="3" t="inlineStr">
        <is>
          <t>42.84</t>
        </is>
      </c>
      <c r="Q795" t="inlineStr">
        <is>
          <t>Böblingen</t>
        </is>
      </c>
    </row>
    <row r="796">
      <c r="A796" t="inlineStr">
        <is>
          <t>10'6"x25"x4"</t>
        </is>
      </c>
      <c r="B796" t="inlineStr">
        <is>
          <t>Starboard Astro Junior</t>
        </is>
      </c>
      <c r="C796" t="inlineStr"/>
      <c r="D796" s="3" t="n">
        <v>143</v>
      </c>
      <c r="E796" t="inlineStr"/>
      <c r="F796" s="4" t="n">
        <v>230</v>
      </c>
      <c r="G796" t="inlineStr"/>
      <c r="H796" t="inlineStr">
        <is>
          <t>45478 Nordrhein-Westfalen - Mülheim (Ruhr)</t>
        </is>
      </c>
      <c r="I796" s="5" t="n">
        <v>45204</v>
      </c>
      <c r="J796" t="inlineStr">
        <is>
          <t>Sold</t>
        </is>
      </c>
      <c r="K796" s="6">
        <f>HYPERLINK("https://www.kleinanzeigen.de/s-anzeige/starboard-astro-junior-10-6-x25-x4-/2564364284-230-2064", "Link")</f>
        <v/>
      </c>
      <c r="L796" s="6">
        <f>HYPERLINK("C:\Projects\Kleinanzeigen-Scraper\offer_images\2564364284", "Link")</f>
        <v/>
      </c>
      <c r="M796" t="inlineStr">
        <is>
          <t>Thorsten Donisch</t>
        </is>
      </c>
      <c r="N796" s="6">
        <f>HYPERLINK("https://www.kleinanzeigen.de/s-bestandsliste.html?userId=9226583", "Link")</f>
        <v/>
      </c>
      <c r="O796" s="7" t="n">
        <v>45551.40940972222</v>
      </c>
      <c r="P796" s="3" t="inlineStr">
        <is>
          <t>56.03</t>
        </is>
      </c>
      <c r="Q796" t="inlineStr">
        <is>
          <t>Köln</t>
        </is>
      </c>
    </row>
    <row r="797">
      <c r="A797" t="inlineStr">
        <is>
          <t>11.4</t>
        </is>
      </c>
      <c r="B797" t="inlineStr">
        <is>
          <t>Mistral Pacifico</t>
        </is>
      </c>
      <c r="C797" t="inlineStr"/>
      <c r="D797" s="3" t="inlineStr"/>
      <c r="E797" t="inlineStr"/>
      <c r="F797" s="4" t="n">
        <v>175</v>
      </c>
      <c r="G797" t="inlineStr">
        <is>
          <t>VB</t>
        </is>
      </c>
      <c r="H797" t="inlineStr">
        <is>
          <t>22926 Schleswig-Holstein - Ahrensburg</t>
        </is>
      </c>
      <c r="I797" s="5" t="n">
        <v>45542</v>
      </c>
      <c r="J797" t="inlineStr">
        <is>
          <t>Sold</t>
        </is>
      </c>
      <c r="K797" s="6">
        <f>HYPERLINK("https://www.kleinanzeigen.de/s-anzeige/mistral-sup-pacifico-11-4-mit-fanatic-paddel-und-finne/2856423121-230-922", "Link")</f>
        <v/>
      </c>
      <c r="L797" s="6">
        <f>HYPERLINK("C:\Projects\Kleinanzeigen-Scraper\offer_images\2856423121", "Link")</f>
        <v/>
      </c>
      <c r="M797" t="inlineStr">
        <is>
          <t>Stefan</t>
        </is>
      </c>
      <c r="N797" s="6">
        <f>HYPERLINK("https://www.kleinanzeigen.de/s-bestandsliste.html?userId=132607213", "Link")</f>
        <v/>
      </c>
      <c r="O797" s="7" t="n">
        <v>45551.4093287037</v>
      </c>
      <c r="P797" s="3" t="inlineStr">
        <is>
          <t>377.16</t>
        </is>
      </c>
      <c r="Q797" t="inlineStr">
        <is>
          <t>Köln</t>
        </is>
      </c>
    </row>
    <row r="798">
      <c r="A798" t="inlineStr">
        <is>
          <t>247x70 cm</t>
        </is>
      </c>
      <c r="B798" t="inlineStr">
        <is>
          <t>Fanatic Shark</t>
        </is>
      </c>
      <c r="C798" t="inlineStr">
        <is>
          <t>FreeRide</t>
        </is>
      </c>
      <c r="D798" s="3" t="n">
        <v>125</v>
      </c>
      <c r="E798" t="inlineStr"/>
      <c r="F798" s="4" t="n">
        <v>450</v>
      </c>
      <c r="G798" t="inlineStr"/>
      <c r="H798" t="inlineStr">
        <is>
          <t>12527 Berlin - Köpenick</t>
        </is>
      </c>
      <c r="I798" s="5" t="n">
        <v>45548</v>
      </c>
      <c r="J798" t="inlineStr">
        <is>
          <t>Sold</t>
        </is>
      </c>
      <c r="K798" s="6">
        <f>HYPERLINK("https://www.kleinanzeigen.de/s-anzeige/fanatic-shark-125-freeride-surfbrett-surfausruestung-surfmaterial/2861942938-230-3370", "Link")</f>
        <v/>
      </c>
      <c r="L798" s="6">
        <f>HYPERLINK("C:\Projects\Kleinanzeigen-Scraper\offer_images\2861942938", "Link")</f>
        <v/>
      </c>
      <c r="M798" t="inlineStr">
        <is>
          <t>stg</t>
        </is>
      </c>
      <c r="N798" s="6">
        <f>HYPERLINK("https://www.kleinanzeigen.de/s-bestandsliste.html?userId=8377", "Link")</f>
        <v/>
      </c>
      <c r="O798" s="7" t="n">
        <v>45551.40923611111</v>
      </c>
      <c r="P798" s="3" t="inlineStr">
        <is>
          <t>487.71</t>
        </is>
      </c>
      <c r="Q798" t="inlineStr">
        <is>
          <t>Köln</t>
        </is>
      </c>
    </row>
    <row r="799">
      <c r="A799" t="inlineStr">
        <is>
          <t>228cm x 85cm</t>
        </is>
      </c>
      <c r="B799" t="inlineStr">
        <is>
          <t>Starboard Isonic Slalom 85</t>
        </is>
      </c>
      <c r="C799" t="inlineStr">
        <is>
          <t>Slalom</t>
        </is>
      </c>
      <c r="D799" s="3" t="n">
        <v>139</v>
      </c>
      <c r="E799" t="inlineStr">
        <is>
          <t>2019</t>
        </is>
      </c>
      <c r="F799" s="4" t="n">
        <v>850</v>
      </c>
      <c r="G799" t="inlineStr">
        <is>
          <t>VB</t>
        </is>
      </c>
      <c r="H799" t="inlineStr">
        <is>
          <t>24118 Kiel - Ravensberg-Brunswik-Düsternbrook</t>
        </is>
      </c>
      <c r="I799" s="5" t="n">
        <v>45550</v>
      </c>
      <c r="J799" t="inlineStr"/>
      <c r="K799" s="6">
        <f>HYPERLINK("https://www.kleinanzeigen.de/s-anzeige/starboard-isonic-slalom-85-windsurf-board-/2864435410-230-704", "Link")</f>
        <v/>
      </c>
      <c r="L799" s="6">
        <f>HYPERLINK("C:\Projects\Kleinanzeigen-Scraper\offer_images\2864435410", "Link")</f>
        <v/>
      </c>
      <c r="M799" t="inlineStr">
        <is>
          <t>Merlin</t>
        </is>
      </c>
      <c r="N799" s="6">
        <f>HYPERLINK("https://www.kleinanzeigen.de/s-bestandsliste.html?userId=47728449", "Link")</f>
        <v/>
      </c>
      <c r="O799" s="7" t="n">
        <v>45551.40923611111</v>
      </c>
      <c r="P799" s="3" t="inlineStr">
        <is>
          <t>434.29</t>
        </is>
      </c>
      <c r="Q799" t="inlineStr">
        <is>
          <t>Köln</t>
        </is>
      </c>
    </row>
    <row r="800">
      <c r="A800" t="inlineStr">
        <is>
          <t>225 x 58.5 cm</t>
        </is>
      </c>
      <c r="B800" t="inlineStr">
        <is>
          <t>Fanatic Grip</t>
        </is>
      </c>
      <c r="C800" t="inlineStr">
        <is>
          <t>Wave</t>
        </is>
      </c>
      <c r="D800" s="3" t="n">
        <v>86</v>
      </c>
      <c r="E800" t="inlineStr">
        <is>
          <t>2020</t>
        </is>
      </c>
      <c r="F800" s="4" t="n">
        <v>600</v>
      </c>
      <c r="G800" t="inlineStr">
        <is>
          <t>VB</t>
        </is>
      </c>
      <c r="H800" t="inlineStr">
        <is>
          <t>24105 Schleswig-Holstein - Kiel</t>
        </is>
      </c>
      <c r="I800" s="5" t="n">
        <v>45550</v>
      </c>
      <c r="J800" t="inlineStr">
        <is>
          <t>Sold</t>
        </is>
      </c>
      <c r="K800" s="6">
        <f>HYPERLINK("https://www.kleinanzeigen.de/s-anzeige/waveboard-fanatic-grip-86l-2020/2863671263-230-708", "Link")</f>
        <v/>
      </c>
      <c r="L800" s="6">
        <f>HYPERLINK("C:\Projects\Kleinanzeigen-Scraper\offer_images\2863671263", "Link")</f>
        <v/>
      </c>
      <c r="M800" t="inlineStr">
        <is>
          <t>Felix</t>
        </is>
      </c>
      <c r="N800" s="6">
        <f>HYPERLINK("https://www.kleinanzeigen.de/s-bestandsliste.html?userId=49869656", "Link")</f>
        <v/>
      </c>
      <c r="O800" s="7" t="n">
        <v>45551.40921296296</v>
      </c>
      <c r="P800" s="3" t="inlineStr">
        <is>
          <t>435.05</t>
        </is>
      </c>
      <c r="Q800" t="inlineStr">
        <is>
          <t>Köln</t>
        </is>
      </c>
    </row>
    <row r="801">
      <c r="A801" t="inlineStr">
        <is>
          <t>104</t>
        </is>
      </c>
      <c r="B801" t="inlineStr">
        <is>
          <t>Naish All Terrain</t>
        </is>
      </c>
      <c r="C801" t="inlineStr"/>
      <c r="D801" s="3" t="inlineStr"/>
      <c r="E801" t="inlineStr"/>
      <c r="F801" s="4" t="n">
        <v>150</v>
      </c>
      <c r="G801" t="inlineStr">
        <is>
          <t>VB</t>
        </is>
      </c>
      <c r="H801" t="inlineStr">
        <is>
          <t>23769 Kreis Ostholstein - Fehmarn</t>
        </is>
      </c>
      <c r="I801" s="5" t="n">
        <v>45549</v>
      </c>
      <c r="J801" t="inlineStr">
        <is>
          <t>Sold</t>
        </is>
      </c>
      <c r="K801" s="6">
        <f>HYPERLINK("https://www.kleinanzeigen.de/s-anzeige/surfbrett-naish-all-terrain-104/2863319691-230-19951", "Link")</f>
        <v/>
      </c>
      <c r="L801" s="6">
        <f>HYPERLINK("C:\Projects\Kleinanzeigen-Scraper\offer_images\2863319691", "Link")</f>
        <v/>
      </c>
      <c r="M801" t="inlineStr">
        <is>
          <t>Marcus</t>
        </is>
      </c>
      <c r="N801" s="6">
        <f>HYPERLINK("https://www.kleinanzeigen.de/s-bestandsliste.html?userId=117944128", "Link")</f>
        <v/>
      </c>
      <c r="O801" s="7" t="n">
        <v>45551.40921296296</v>
      </c>
      <c r="P801" s="3" t="inlineStr">
        <is>
          <t>483.01</t>
        </is>
      </c>
      <c r="Q801" t="inlineStr">
        <is>
          <t>Köln</t>
        </is>
      </c>
    </row>
    <row r="802">
      <c r="A802" t="inlineStr"/>
      <c r="B802" t="inlineStr">
        <is>
          <t>Starboard Quad</t>
        </is>
      </c>
      <c r="C802" t="inlineStr">
        <is>
          <t>Freeride</t>
        </is>
      </c>
      <c r="D802" s="3" t="n">
        <v>100</v>
      </c>
      <c r="E802" t="inlineStr"/>
      <c r="F802" s="4" t="n">
        <v>220</v>
      </c>
      <c r="G802" t="inlineStr"/>
      <c r="H802" t="inlineStr">
        <is>
          <t>24235 Schleswig-Holstein - Laboe</t>
        </is>
      </c>
      <c r="I802" s="5" t="n">
        <v>45308</v>
      </c>
      <c r="J802" t="inlineStr">
        <is>
          <t>Sold</t>
        </is>
      </c>
      <c r="K802" s="6">
        <f>HYPERLINK("https://www.kleinanzeigen.de/s-anzeige/starboard-quad-100l-windsurf-board/2655311661-230-19055", "Link")</f>
        <v/>
      </c>
      <c r="L802" s="6">
        <f>HYPERLINK("C:\Projects\Kleinanzeigen-Scraper\offer_images\2655311661", "Link")</f>
        <v/>
      </c>
      <c r="M802" t="inlineStr">
        <is>
          <t>Marlon</t>
        </is>
      </c>
      <c r="N802" s="6">
        <f>HYPERLINK("https://www.kleinanzeigen.de/s-bestandsliste.html?userId=130264044", "Link")</f>
        <v/>
      </c>
      <c r="O802" s="7" t="n">
        <v>45551.40920138889</v>
      </c>
      <c r="P802" s="3" t="inlineStr">
        <is>
          <t>443.73</t>
        </is>
      </c>
      <c r="Q802" t="inlineStr">
        <is>
          <t>Köln</t>
        </is>
      </c>
    </row>
    <row r="803">
      <c r="A803" t="inlineStr">
        <is>
          <t>255x80</t>
        </is>
      </c>
      <c r="B803" t="inlineStr">
        <is>
          <t>Starboard Airplane</t>
        </is>
      </c>
      <c r="C803" t="inlineStr">
        <is>
          <t>Freeride</t>
        </is>
      </c>
      <c r="D803" s="3" t="n">
        <v>200</v>
      </c>
      <c r="E803" t="inlineStr"/>
      <c r="F803" s="4" t="n">
        <v>674</v>
      </c>
      <c r="G803" t="inlineStr"/>
      <c r="H803" t="inlineStr">
        <is>
          <t>01705 Sachsen - Freital</t>
        </is>
      </c>
      <c r="I803" s="5" t="n">
        <v>45485</v>
      </c>
      <c r="J803" t="inlineStr"/>
      <c r="K803" s="6">
        <f>HYPERLINK("https://www.kleinanzeigen.de/s-anzeige/surfboard-windsurfing-starboard/2810546553-230-14381", "Link")</f>
        <v/>
      </c>
      <c r="L803" s="6">
        <f>HYPERLINK("C:\Projects\Kleinanzeigen-Scraper\offer_images\2810546553", "Link")</f>
        <v/>
      </c>
      <c r="M803" t="inlineStr">
        <is>
          <t>Piet</t>
        </is>
      </c>
      <c r="N803" s="6">
        <f>HYPERLINK("https://www.kleinanzeigen.de/s-bestandsliste.html?userId=27166769", "Link")</f>
        <v/>
      </c>
      <c r="O803" s="7" t="n">
        <v>45551.40918981482</v>
      </c>
      <c r="P803" s="3" t="inlineStr">
        <is>
          <t>351.60</t>
        </is>
      </c>
      <c r="Q803" t="inlineStr">
        <is>
          <t>München</t>
        </is>
      </c>
    </row>
    <row r="804">
      <c r="A804" t="inlineStr">
        <is>
          <t>Dimensions not specified</t>
        </is>
      </c>
      <c r="B804" t="inlineStr">
        <is>
          <t>Fanatic Blast HRS</t>
        </is>
      </c>
      <c r="C804" t="inlineStr">
        <is>
          <t>Freeride</t>
        </is>
      </c>
      <c r="D804" s="3" t="n">
        <v>130</v>
      </c>
      <c r="E804" t="inlineStr">
        <is>
          <t>2021</t>
        </is>
      </c>
      <c r="F804" s="4" t="n">
        <v>750</v>
      </c>
      <c r="G804" t="inlineStr">
        <is>
          <t>VB</t>
        </is>
      </c>
      <c r="H804" t="inlineStr">
        <is>
          <t>23562 Schleswig-Holstein - Lübeck</t>
        </is>
      </c>
      <c r="I804" s="5" t="n">
        <v>45542</v>
      </c>
      <c r="J804" t="inlineStr">
        <is>
          <t>Sold</t>
        </is>
      </c>
      <c r="K804" s="6">
        <f>HYPERLINK("https://www.kleinanzeigen.de/s-anzeige/fanatic-blast-hrs-130-l-modell-2021-2-j-gef-top-zustand/2856609419-230-423", "Link")</f>
        <v/>
      </c>
      <c r="L804" s="6">
        <f>HYPERLINK("C:\Projects\Kleinanzeigen-Scraper\offer_images\2856609419", "Link")</f>
        <v/>
      </c>
      <c r="M804" t="inlineStr">
        <is>
          <t>Kling</t>
        </is>
      </c>
      <c r="N804" s="6">
        <f>HYPERLINK("https://www.kleinanzeigen.de/s-bestandsliste.html?userId=66138060", "Link")</f>
        <v/>
      </c>
      <c r="O804" s="7" t="n">
        <v>45551.4091550926</v>
      </c>
      <c r="P804" s="3" t="inlineStr">
        <is>
          <t>410.15</t>
        </is>
      </c>
      <c r="Q804" t="inlineStr">
        <is>
          <t>Köln</t>
        </is>
      </c>
    </row>
    <row r="805">
      <c r="A805" t="inlineStr">
        <is>
          <t>125</t>
        </is>
      </c>
      <c r="B805" t="inlineStr">
        <is>
          <t>Patrik F-Ride</t>
        </is>
      </c>
      <c r="C805" t="inlineStr">
        <is>
          <t>Freeride</t>
        </is>
      </c>
      <c r="D805" s="3" t="inlineStr"/>
      <c r="E805" t="inlineStr"/>
      <c r="F805" s="4" t="n">
        <v>760</v>
      </c>
      <c r="G805" t="inlineStr"/>
      <c r="H805" t="inlineStr">
        <is>
          <t>24105 Schleswig-Holstein - Kiel</t>
        </is>
      </c>
      <c r="I805" s="5" t="n">
        <v>45550</v>
      </c>
      <c r="J805" t="inlineStr">
        <is>
          <t>Sold</t>
        </is>
      </c>
      <c r="K805" s="6">
        <f>HYPERLINK("https://www.kleinanzeigen.de/s-anzeige/patrik-f-ride-125-windsurf-board-freeride-foil-ready/2863682322-230-708", "Link")</f>
        <v/>
      </c>
      <c r="L805" s="6">
        <f>HYPERLINK("C:\Projects\Kleinanzeigen-Scraper\offer_images\2863682322", "Link")</f>
        <v/>
      </c>
      <c r="M805" t="inlineStr">
        <is>
          <t>Hendrik</t>
        </is>
      </c>
      <c r="N805" s="6">
        <f>HYPERLINK("https://www.kleinanzeigen.de/s-bestandsliste.html?userId=19444237", "Link")</f>
        <v/>
      </c>
      <c r="O805" s="7" t="n">
        <v>45551.4091087963</v>
      </c>
      <c r="P805" s="3" t="inlineStr">
        <is>
          <t>435.05</t>
        </is>
      </c>
      <c r="Q805" t="inlineStr">
        <is>
          <t>Köln</t>
        </is>
      </c>
    </row>
    <row r="806">
      <c r="A806" t="inlineStr"/>
      <c r="B806" t="inlineStr">
        <is>
          <t>Starboard Kode</t>
        </is>
      </c>
      <c r="C806" t="inlineStr">
        <is>
          <t>Freeride</t>
        </is>
      </c>
      <c r="D806" s="3" t="n">
        <v>123</v>
      </c>
      <c r="E806" t="inlineStr"/>
      <c r="F806" s="4" t="n">
        <v>362</v>
      </c>
      <c r="G806" t="inlineStr">
        <is>
          <t>VB</t>
        </is>
      </c>
      <c r="H806" t="inlineStr">
        <is>
          <t>81827 München - Trudering-Riem</t>
        </is>
      </c>
      <c r="I806" s="5" t="n">
        <v>45494</v>
      </c>
      <c r="J806" t="inlineStr">
        <is>
          <t>Sold</t>
        </is>
      </c>
      <c r="K806" s="6">
        <f>HYPERLINK("https://www.kleinanzeigen.de/s-anzeige/starboard-kode-123l-tufskin-windsurfboard-kinder-jugendliche/2817291194-230-6481", "Link")</f>
        <v/>
      </c>
      <c r="L806" s="6">
        <f>HYPERLINK("C:\Projects\Kleinanzeigen-Scraper\offer_images\2817291194", "Link")</f>
        <v/>
      </c>
      <c r="M806" t="inlineStr">
        <is>
          <t>S. Nieberle</t>
        </is>
      </c>
      <c r="N806" s="6">
        <f>HYPERLINK("https://www.kleinanzeigen.de/s-bestandsliste.html?userId=3627876", "Link")</f>
        <v/>
      </c>
      <c r="O806" s="7" t="n">
        <v>45551.40908564815</v>
      </c>
      <c r="P806" s="3" t="inlineStr">
        <is>
          <t>9.11</t>
        </is>
      </c>
      <c r="Q806" t="inlineStr">
        <is>
          <t>München</t>
        </is>
      </c>
    </row>
    <row r="807">
      <c r="A807" t="inlineStr"/>
      <c r="B807" t="inlineStr">
        <is>
          <t>Fanatic Flow Foil</t>
        </is>
      </c>
      <c r="C807" t="inlineStr">
        <is>
          <t>Foil</t>
        </is>
      </c>
      <c r="D807" s="3" t="inlineStr"/>
      <c r="E807" t="inlineStr"/>
      <c r="F807" s="4" t="n">
        <v>600</v>
      </c>
      <c r="G807" t="inlineStr">
        <is>
          <t>VB</t>
        </is>
      </c>
      <c r="H807" t="inlineStr">
        <is>
          <t>24118 Kiel - Ravensberg-Brunswik-Düsternbrook</t>
        </is>
      </c>
      <c r="I807" s="5" t="n">
        <v>45550</v>
      </c>
      <c r="J807" t="inlineStr">
        <is>
          <t>Sold</t>
        </is>
      </c>
      <c r="K807" s="6">
        <f>HYPERLINK("https://www.kleinanzeigen.de/s-anzeige/windsurf-fanatic-flow-foil-1000/2864452609-230-704", "Link")</f>
        <v/>
      </c>
      <c r="L807" s="6">
        <f>HYPERLINK("C:\Projects\Kleinanzeigen-Scraper\offer_images\2864452609", "Link")</f>
        <v/>
      </c>
      <c r="M807" t="inlineStr">
        <is>
          <t>Merlin</t>
        </is>
      </c>
      <c r="N807" s="6">
        <f>HYPERLINK("https://www.kleinanzeigen.de/s-bestandsliste.html?userId=47728449", "Link")</f>
        <v/>
      </c>
      <c r="O807" s="7" t="n">
        <v>45551.40905092593</v>
      </c>
      <c r="P807" s="3" t="inlineStr">
        <is>
          <t>434.29</t>
        </is>
      </c>
      <c r="Q807" t="inlineStr">
        <is>
          <t>Köln</t>
        </is>
      </c>
    </row>
    <row r="808">
      <c r="A808" t="inlineStr"/>
      <c r="B808" t="inlineStr">
        <is>
          <t>Fanatic Blast LTD</t>
        </is>
      </c>
      <c r="C808" t="inlineStr">
        <is>
          <t>Freeride</t>
        </is>
      </c>
      <c r="D808" s="3" t="n">
        <v>130</v>
      </c>
      <c r="E808" t="inlineStr"/>
      <c r="F808" s="4" t="n">
        <v>500</v>
      </c>
      <c r="G808" t="inlineStr"/>
      <c r="H808" t="inlineStr">
        <is>
          <t>16515 Brandenburg - Oranienburg</t>
        </is>
      </c>
      <c r="I808" s="5" t="n">
        <v>45550</v>
      </c>
      <c r="J808" t="inlineStr">
        <is>
          <t>Sold</t>
        </is>
      </c>
      <c r="K808" s="6">
        <f>HYPERLINK("https://www.kleinanzeigen.de/s-anzeige/fanatic-blast-ltd-130l-mit-boardbag-surfbrett-windsurfen/2863764710-230-7814", "Link")</f>
        <v/>
      </c>
      <c r="L808" s="6">
        <f>HYPERLINK("C:\Projects\Kleinanzeigen-Scraper\offer_images\2863764710", "Link")</f>
        <v/>
      </c>
      <c r="M808" t="inlineStr">
        <is>
          <t>DW</t>
        </is>
      </c>
      <c r="N808" s="6">
        <f>HYPERLINK("https://www.kleinanzeigen.de/s-bestandsliste.html?userId=7064273", "Link")</f>
        <v/>
      </c>
      <c r="O808" s="7" t="n">
        <v>45551.40902777778</v>
      </c>
      <c r="P808" s="3" t="inlineStr">
        <is>
          <t>483.59</t>
        </is>
      </c>
      <c r="Q808" t="inlineStr">
        <is>
          <t>Köln</t>
        </is>
      </c>
    </row>
    <row r="809">
      <c r="A809" t="inlineStr">
        <is>
          <t>245 cm x 75 cm</t>
        </is>
      </c>
      <c r="B809" t="inlineStr">
        <is>
          <t>Starboard Futura</t>
        </is>
      </c>
      <c r="C809" t="inlineStr">
        <is>
          <t>Freeride</t>
        </is>
      </c>
      <c r="D809" s="3" t="n">
        <v>131</v>
      </c>
      <c r="E809" t="inlineStr"/>
      <c r="F809" s="4" t="n">
        <v>620</v>
      </c>
      <c r="G809" t="inlineStr">
        <is>
          <t>VB</t>
        </is>
      </c>
      <c r="H809" t="inlineStr">
        <is>
          <t>97941 Baden-Württemberg - Tauberbischofsheim</t>
        </is>
      </c>
      <c r="I809" s="5" t="n">
        <v>45467</v>
      </c>
      <c r="J809" t="inlineStr"/>
      <c r="K809" s="6">
        <f>HYPERLINK("https://www.kleinanzeigen.de/s-anzeige/surfboard-starboard-futura-131/2796412970-230-8582", "Link")</f>
        <v/>
      </c>
      <c r="L809" s="6">
        <f>HYPERLINK("C:\Projects\Kleinanzeigen-Scraper\offer_images\2796412970", "Link")</f>
        <v/>
      </c>
      <c r="M809" t="inlineStr">
        <is>
          <t>Hubert Kempf</t>
        </is>
      </c>
      <c r="N809" s="6">
        <f>HYPERLINK("https://www.kleinanzeigen.de/s-bestandsliste.html?userId=917359", "Link")</f>
        <v/>
      </c>
      <c r="O809" s="7" t="n">
        <v>45551.40898148148</v>
      </c>
      <c r="P809" s="3" t="inlineStr">
        <is>
          <t>114.89</t>
        </is>
      </c>
      <c r="Q809" t="inlineStr">
        <is>
          <t>Karlsruhe</t>
        </is>
      </c>
    </row>
    <row r="810">
      <c r="A810" t="inlineStr"/>
      <c r="B810" t="inlineStr">
        <is>
          <t>Starboard Acid</t>
        </is>
      </c>
      <c r="C810" t="inlineStr">
        <is>
          <t>Wave</t>
        </is>
      </c>
      <c r="D810" s="3" t="n">
        <v>74</v>
      </c>
      <c r="E810" t="inlineStr"/>
      <c r="F810" s="4" t="n">
        <v>99</v>
      </c>
      <c r="G810" t="inlineStr">
        <is>
          <t>VB</t>
        </is>
      </c>
      <c r="H810" t="inlineStr">
        <is>
          <t>59425 Nordrhein-Westfalen - Unna</t>
        </is>
      </c>
      <c r="I810" s="5" t="n">
        <v>45050</v>
      </c>
      <c r="J810" t="inlineStr"/>
      <c r="K810" s="6">
        <f>HYPERLINK("https://www.kleinanzeigen.de/s-anzeige/windsurfboard-starboard-acid-74-liter/2433032462-230-1839", "Link")</f>
        <v/>
      </c>
      <c r="L810" s="6">
        <f>HYPERLINK("C:\Projects\Kleinanzeigen-Scraper\offer_images\2433032462", "Link")</f>
        <v/>
      </c>
      <c r="M810" t="inlineStr">
        <is>
          <t>Guido</t>
        </is>
      </c>
      <c r="N810" s="6">
        <f>HYPERLINK("https://www.kleinanzeigen.de/s-bestandsliste.html?userId=4157570", "Link")</f>
        <v/>
      </c>
      <c r="O810" s="7" t="n">
        <v>45551.40895833333</v>
      </c>
      <c r="P810" s="3" t="inlineStr">
        <is>
          <t>85.80</t>
        </is>
      </c>
      <c r="Q810" t="inlineStr">
        <is>
          <t>Köln</t>
        </is>
      </c>
    </row>
    <row r="811">
      <c r="A811" t="inlineStr"/>
      <c r="B811" t="inlineStr"/>
      <c r="C811" t="inlineStr"/>
      <c r="D811" s="3" t="n">
        <v>90</v>
      </c>
      <c r="E811" t="inlineStr"/>
      <c r="F811" s="4" t="n">
        <v>300</v>
      </c>
      <c r="G811" t="inlineStr"/>
      <c r="H811" t="inlineStr">
        <is>
          <t>14532 Brandenburg - Stahnsdorf</t>
        </is>
      </c>
      <c r="I811" s="5" t="n">
        <v>45549</v>
      </c>
      <c r="J811" t="inlineStr">
        <is>
          <t>Sold</t>
        </is>
      </c>
      <c r="K811" s="6">
        <f>HYPERLINK("https://www.kleinanzeigen.de/s-anzeige/windsurfboard-windsurfer-90l/2862829318-230-9830", "Link")</f>
        <v/>
      </c>
      <c r="L811" s="6">
        <f>HYPERLINK("C:\Projects\Kleinanzeigen-Scraper\offer_images\2862829318", "Link")</f>
        <v/>
      </c>
      <c r="M811" t="inlineStr">
        <is>
          <t>Peter</t>
        </is>
      </c>
      <c r="N811" s="6">
        <f>HYPERLINK("https://www.kleinanzeigen.de/s-bestandsliste.html?userId=17195964", "Link")</f>
        <v/>
      </c>
      <c r="O811" s="7" t="n">
        <v>45551.40893518519</v>
      </c>
      <c r="P811" s="3" t="inlineStr">
        <is>
          <t>458.23</t>
        </is>
      </c>
      <c r="Q811" t="inlineStr">
        <is>
          <t>Köln</t>
        </is>
      </c>
    </row>
    <row r="812">
      <c r="A812" t="inlineStr">
        <is>
          <t>239cm x 63cm</t>
        </is>
      </c>
      <c r="B812" t="inlineStr">
        <is>
          <t>Fanatic Skate</t>
        </is>
      </c>
      <c r="C812" t="inlineStr">
        <is>
          <t>Freestyle</t>
        </is>
      </c>
      <c r="D812" s="3" t="n">
        <v>102</v>
      </c>
      <c r="E812" t="inlineStr"/>
      <c r="F812" s="4" t="n">
        <v>100</v>
      </c>
      <c r="G812" t="inlineStr"/>
      <c r="H812" t="inlineStr">
        <is>
          <t>81375 München - Hadern</t>
        </is>
      </c>
      <c r="I812" s="5" t="n">
        <v>45542</v>
      </c>
      <c r="J812" t="inlineStr">
        <is>
          <t>Sold</t>
        </is>
      </c>
      <c r="K812" s="6">
        <f>HYPERLINK("https://www.kleinanzeigen.de/s-anzeige/fanatic-windsurfboard-skate/2856552161-230-6414", "Link")</f>
        <v/>
      </c>
      <c r="L812" s="6">
        <f>HYPERLINK("C:\Projects\Kleinanzeigen-Scraper\offer_images\2856552161", "Link")</f>
        <v/>
      </c>
      <c r="M812" t="inlineStr">
        <is>
          <t>rob</t>
        </is>
      </c>
      <c r="N812" s="6">
        <f>HYPERLINK("https://www.kleinanzeigen.de/s-bestandsliste.html?userId=29923017", "Link")</f>
        <v/>
      </c>
      <c r="O812" s="7" t="n">
        <v>45551.40888888889</v>
      </c>
      <c r="P812" s="3" t="inlineStr">
        <is>
          <t>6.23</t>
        </is>
      </c>
      <c r="Q812" t="inlineStr">
        <is>
          <t>München</t>
        </is>
      </c>
    </row>
    <row r="813">
      <c r="A813" t="inlineStr">
        <is>
          <t>91x220 cm</t>
        </is>
      </c>
      <c r="B813" t="inlineStr">
        <is>
          <t>Starboard Foil Slalom</t>
        </is>
      </c>
      <c r="C813" t="inlineStr">
        <is>
          <t>Slalom</t>
        </is>
      </c>
      <c r="D813" s="3" t="n">
        <v>191</v>
      </c>
      <c r="E813" t="inlineStr">
        <is>
          <t>2022</t>
        </is>
      </c>
      <c r="F813" s="4" t="n">
        <v>1.1</v>
      </c>
      <c r="G813" t="inlineStr">
        <is>
          <t>VB</t>
        </is>
      </c>
      <c r="H813" t="inlineStr">
        <is>
          <t>66287 Saarland - Quierschied</t>
        </is>
      </c>
      <c r="I813" s="5" t="n">
        <v>45492</v>
      </c>
      <c r="J813" t="inlineStr"/>
      <c r="K813" s="6">
        <f>HYPERLINK("https://www.kleinanzeigen.de/s-anzeige/starboard-foil-slalom-91-aus-2022/2816202702-230-330", "Link")</f>
        <v/>
      </c>
      <c r="L813" s="6">
        <f>HYPERLINK("C:\Projects\Kleinanzeigen-Scraper\offer_images\2816202702", "Link")</f>
        <v/>
      </c>
      <c r="M813" t="inlineStr">
        <is>
          <t>Oliver</t>
        </is>
      </c>
      <c r="N813" s="6">
        <f>HYPERLINK("https://www.kleinanzeigen.de/s-bestandsliste.html?userId=129668761", "Link")</f>
        <v/>
      </c>
      <c r="O813" s="7" t="n">
        <v>45551.40885416666</v>
      </c>
      <c r="P813" s="3" t="inlineStr">
        <is>
          <t>103.51</t>
        </is>
      </c>
      <c r="Q813" t="inlineStr">
        <is>
          <t>Karlsruhe</t>
        </is>
      </c>
    </row>
    <row r="814">
      <c r="A814" t="inlineStr"/>
      <c r="B814" t="inlineStr">
        <is>
          <t>Starboard Kode</t>
        </is>
      </c>
      <c r="C814" t="inlineStr">
        <is>
          <t>Freeride</t>
        </is>
      </c>
      <c r="D814" s="3" t="n">
        <v>95</v>
      </c>
      <c r="E814" t="inlineStr">
        <is>
          <t>2022</t>
        </is>
      </c>
      <c r="F814" s="4" t="n">
        <v>990</v>
      </c>
      <c r="G814" t="inlineStr"/>
      <c r="H814" t="inlineStr">
        <is>
          <t>46535 Nordrhein-Westfalen - Dinslaken</t>
        </is>
      </c>
      <c r="I814" s="5" t="n">
        <v>45427</v>
      </c>
      <c r="J814" t="inlineStr">
        <is>
          <t>Sold</t>
        </is>
      </c>
      <c r="K814" s="6">
        <f>HYPERLINK("https://www.kleinanzeigen.de/s-anzeige/starboard-kode-95-2022-neu/2762278527-230-1853", "Link")</f>
        <v/>
      </c>
      <c r="L814" s="6">
        <f>HYPERLINK("C:\Projects\Kleinanzeigen-Scraper\offer_images\2762278527", "Link")</f>
        <v/>
      </c>
      <c r="M814" t="inlineStr">
        <is>
          <t>Tim Lehmkühler</t>
        </is>
      </c>
      <c r="N814" s="6">
        <f>HYPERLINK("https://www.kleinanzeigen.de/s-bestandsliste.html?userId=8870058", "Link")</f>
        <v/>
      </c>
      <c r="O814" s="7" t="n">
        <v>45551.40879629629</v>
      </c>
      <c r="P814" s="3" t="inlineStr">
        <is>
          <t>70.71</t>
        </is>
      </c>
      <c r="Q814" t="inlineStr">
        <is>
          <t>Köln</t>
        </is>
      </c>
    </row>
    <row r="815">
      <c r="A815" t="inlineStr">
        <is>
          <t>263 cm</t>
        </is>
      </c>
      <c r="B815" t="inlineStr">
        <is>
          <t>Tiga</t>
        </is>
      </c>
      <c r="C815" t="inlineStr">
        <is>
          <t>Bump &amp; Jump</t>
        </is>
      </c>
      <c r="D815" s="3" t="inlineStr"/>
      <c r="E815" t="inlineStr"/>
      <c r="F815" s="4" t="n">
        <v>40</v>
      </c>
      <c r="G815" t="inlineStr"/>
      <c r="H815" t="inlineStr">
        <is>
          <t>88045 Baden-Württemberg - Friedrichshafen</t>
        </is>
      </c>
      <c r="I815" s="5" t="n">
        <v>45549</v>
      </c>
      <c r="J815" t="inlineStr">
        <is>
          <t>Sold</t>
        </is>
      </c>
      <c r="K815" s="6">
        <f>HYPERLINK("https://www.kleinanzeigen.de/s-anzeige/windsurf-board-tiga-263-bump-jump/2863342465-230-9213", "Link")</f>
        <v/>
      </c>
      <c r="L815" s="6">
        <f>HYPERLINK("C:\Projects\Kleinanzeigen-Scraper\offer_images\2863342465", "Link")</f>
        <v/>
      </c>
      <c r="M815" t="inlineStr">
        <is>
          <t>R.M.</t>
        </is>
      </c>
      <c r="N815" s="6">
        <f>HYPERLINK("https://www.kleinanzeigen.de/s-bestandsliste.html?userId=56059820", "Link")</f>
        <v/>
      </c>
      <c r="O815" s="7" t="n">
        <v>45551.40879629629</v>
      </c>
      <c r="P815" s="3" t="inlineStr">
        <is>
          <t>85.70</t>
        </is>
      </c>
      <c r="Q815" t="inlineStr">
        <is>
          <t>Bonndorf</t>
        </is>
      </c>
    </row>
    <row r="816">
      <c r="A816" t="inlineStr">
        <is>
          <t>260 cm x 63 cm</t>
        </is>
      </c>
      <c r="B816" t="inlineStr">
        <is>
          <t>JP Freestyle</t>
        </is>
      </c>
      <c r="C816" t="inlineStr">
        <is>
          <t>Freestyle</t>
        </is>
      </c>
      <c r="D816" s="3" t="n">
        <v>113</v>
      </c>
      <c r="E816" t="inlineStr"/>
      <c r="F816" s="4" t="n">
        <v>180</v>
      </c>
      <c r="G816" t="inlineStr"/>
      <c r="H816" t="inlineStr">
        <is>
          <t>01445 Sachsen - Radebeul</t>
        </is>
      </c>
      <c r="I816" s="5" t="n">
        <v>45549</v>
      </c>
      <c r="J816" t="inlineStr">
        <is>
          <t>Sold</t>
        </is>
      </c>
      <c r="K816" s="6">
        <f>HYPERLINK("https://www.kleinanzeigen.de/s-anzeige/jp-freestyle-113-surfboard-surfbrett-windsurfen/2862978977-230-4057", "Link")</f>
        <v/>
      </c>
      <c r="L816" s="6">
        <f>HYPERLINK("C:\Projects\Kleinanzeigen-Scraper\offer_images\2862978977", "Link")</f>
        <v/>
      </c>
      <c r="M816" t="inlineStr">
        <is>
          <t>Sebastian Popp</t>
        </is>
      </c>
      <c r="N816" s="6">
        <f>HYPERLINK("https://www.kleinanzeigen.de/s-bestandsliste.html?userId=8321040", "Link")</f>
        <v/>
      </c>
      <c r="O816" s="7" t="n">
        <v>45551.40864583333</v>
      </c>
      <c r="P816" s="3" t="inlineStr">
        <is>
          <t>362.87</t>
        </is>
      </c>
      <c r="Q816" t="inlineStr">
        <is>
          <t>München</t>
        </is>
      </c>
    </row>
    <row r="817">
      <c r="A817" t="inlineStr">
        <is>
          <t>Dimensions not specified</t>
        </is>
      </c>
      <c r="B817" t="inlineStr">
        <is>
          <t>Tabou Air Ride LTD</t>
        </is>
      </c>
      <c r="C817" t="inlineStr">
        <is>
          <t>Foil</t>
        </is>
      </c>
      <c r="D817" s="3" t="n">
        <v>74</v>
      </c>
      <c r="E817" t="inlineStr"/>
      <c r="F817" s="4" t="n">
        <v>440</v>
      </c>
      <c r="G817" t="inlineStr">
        <is>
          <t>VB</t>
        </is>
      </c>
      <c r="H817" t="inlineStr">
        <is>
          <t>47239 Duisburg - Rumeln-Kaldenhausen</t>
        </is>
      </c>
      <c r="I817" s="5" t="n">
        <v>45550</v>
      </c>
      <c r="J817" t="inlineStr">
        <is>
          <t>Sold</t>
        </is>
      </c>
      <c r="K817" s="6">
        <f>HYPERLINK("https://www.kleinanzeigen.de/s-anzeige/tabou-air-ride-ltd-74-windsurf-foil-board-carbon-foilen-airride/2864057728-230-2137", "Link")</f>
        <v/>
      </c>
      <c r="L817" s="6">
        <f>HYPERLINK("C:\Projects\Kleinanzeigen-Scraper\offer_images\2864057728", "Link")</f>
        <v/>
      </c>
      <c r="M817" t="inlineStr">
        <is>
          <t>MB</t>
        </is>
      </c>
      <c r="N817" s="6">
        <f>HYPERLINK("https://www.kleinanzeigen.de/s-bestandsliste.html?userId=1864376", "Link")</f>
        <v/>
      </c>
      <c r="O817" s="7" t="n">
        <v>45551.40862268519</v>
      </c>
      <c r="P817" s="3" t="inlineStr">
        <is>
          <t>54.92</t>
        </is>
      </c>
      <c r="Q817" t="inlineStr">
        <is>
          <t>Köln</t>
        </is>
      </c>
    </row>
    <row r="818">
      <c r="A818" t="inlineStr">
        <is>
          <t>229 x 58.5</t>
        </is>
      </c>
      <c r="B818" t="inlineStr">
        <is>
          <t>Starboard Kode 83 Carbon Wave Edition</t>
        </is>
      </c>
      <c r="C818" t="inlineStr">
        <is>
          <t>Wave</t>
        </is>
      </c>
      <c r="D818" s="3" t="inlineStr"/>
      <c r="E818" t="inlineStr"/>
      <c r="F818" s="4" t="n">
        <v>399</v>
      </c>
      <c r="G818" t="inlineStr">
        <is>
          <t>VB</t>
        </is>
      </c>
      <c r="H818" t="inlineStr">
        <is>
          <t>18057 Rostock - Kröpeliner-Tor-Vorstadt</t>
        </is>
      </c>
      <c r="I818" s="5" t="n">
        <v>45495</v>
      </c>
      <c r="J818" t="inlineStr">
        <is>
          <t>Sold</t>
        </is>
      </c>
      <c r="K818" s="6">
        <f>HYPERLINK("https://www.kleinanzeigen.de/s-anzeige/starboard-kode-83-carbon-wave-edition/2818276459-230-156", "Link")</f>
        <v/>
      </c>
      <c r="L818" s="6">
        <f>HYPERLINK("C:\Projects\Kleinanzeigen-Scraper\offer_images\2818276459", "Link")</f>
        <v/>
      </c>
      <c r="M818" t="inlineStr">
        <is>
          <t>Marko</t>
        </is>
      </c>
      <c r="N818" s="6">
        <f>HYPERLINK("https://www.kleinanzeigen.de/s-bestandsliste.html?userId=67116264", "Link")</f>
        <v/>
      </c>
      <c r="O818" s="7" t="n">
        <v>45551.40861111111</v>
      </c>
      <c r="P818" s="3" t="inlineStr">
        <is>
          <t>494.07</t>
        </is>
      </c>
      <c r="Q818" t="inlineStr">
        <is>
          <t>Köln</t>
        </is>
      </c>
    </row>
    <row r="819">
      <c r="A819" t="inlineStr">
        <is>
          <t>14 x 21.5</t>
        </is>
      </c>
      <c r="B819" t="inlineStr">
        <is>
          <t>Starboard Sprint</t>
        </is>
      </c>
      <c r="C819" t="inlineStr">
        <is>
          <t>Raceboard</t>
        </is>
      </c>
      <c r="D819" s="3" t="inlineStr"/>
      <c r="E819" t="inlineStr"/>
      <c r="F819" s="4" t="n">
        <v>1.619</v>
      </c>
      <c r="G819" t="inlineStr"/>
      <c r="H819" t="inlineStr">
        <is>
          <t>01796 Sachsen - Pirna</t>
        </is>
      </c>
      <c r="I819" s="5" t="n">
        <v>45468</v>
      </c>
      <c r="J819" t="inlineStr"/>
      <c r="K819" s="6">
        <f>HYPERLINK("https://www.kleinanzeigen.de/s-anzeige/sup-raceboard-starboard-sprint-14-x-21-5-bestzustand/2239195790-230-14508", "Link")</f>
        <v/>
      </c>
      <c r="L819" s="6">
        <f>HYPERLINK("C:\Projects\Kleinanzeigen-Scraper\offer_images\2239195790", "Link")</f>
        <v/>
      </c>
      <c r="M819" t="inlineStr">
        <is>
          <t>Jan Diestel</t>
        </is>
      </c>
      <c r="N819" s="6">
        <f>HYPERLINK("https://www.kleinanzeigen.de/s-bestandsliste.html?userId=51877037", "Link")</f>
        <v/>
      </c>
      <c r="O819" s="7" t="n">
        <v>45551.40850694444</v>
      </c>
      <c r="P819" s="3" t="inlineStr">
        <is>
          <t>356.36</t>
        </is>
      </c>
      <c r="Q819" t="inlineStr">
        <is>
          <t>München</t>
        </is>
      </c>
    </row>
    <row r="820">
      <c r="A820" t="inlineStr">
        <is>
          <t>228.5 cm x 91 cm</t>
        </is>
      </c>
      <c r="B820" t="inlineStr">
        <is>
          <t>Starboard</t>
        </is>
      </c>
      <c r="C820" t="inlineStr">
        <is>
          <t>Race Foil</t>
        </is>
      </c>
      <c r="D820" s="3" t="n">
        <v>177</v>
      </c>
      <c r="E820" t="inlineStr">
        <is>
          <t>2019</t>
        </is>
      </c>
      <c r="F820" s="4" t="n">
        <v>980</v>
      </c>
      <c r="G820" t="inlineStr"/>
      <c r="H820" t="inlineStr">
        <is>
          <t>83236 Bayern - Übersee</t>
        </is>
      </c>
      <c r="I820" s="5" t="n">
        <v>45082</v>
      </c>
      <c r="J820" t="inlineStr"/>
      <c r="K820" s="6">
        <f>HYPERLINK("https://www.kleinanzeigen.de/s-anzeige/-top-zustand-starboard-foil-carbon-reflex-177/2460632426-230-5735", "Link")</f>
        <v/>
      </c>
      <c r="L820" s="6">
        <f>HYPERLINK("C:\Projects\Kleinanzeigen-Scraper\offer_images\2460632426", "Link")</f>
        <v/>
      </c>
      <c r="M820" t="inlineStr">
        <is>
          <t>C.Czerny</t>
        </is>
      </c>
      <c r="N820" s="6">
        <f>HYPERLINK("https://www.kleinanzeigen.de/s-bestandsliste.html?userId=30264399", "Link")</f>
        <v/>
      </c>
      <c r="O820" s="7" t="n">
        <v>45551.40850694444</v>
      </c>
      <c r="P820" s="3" t="inlineStr">
        <is>
          <t>76.24</t>
        </is>
      </c>
      <c r="Q820" t="inlineStr">
        <is>
          <t>München</t>
        </is>
      </c>
    </row>
    <row r="821">
      <c r="A821" t="inlineStr">
        <is>
          <t>14.0 x 20.75</t>
        </is>
      </c>
      <c r="B821" t="inlineStr">
        <is>
          <t>STARBOARD SPRINT</t>
        </is>
      </c>
      <c r="C821" t="inlineStr">
        <is>
          <t>Race</t>
        </is>
      </c>
      <c r="D821" s="3" t="inlineStr"/>
      <c r="E821" t="inlineStr">
        <is>
          <t>2022</t>
        </is>
      </c>
      <c r="F821" s="4" t="n">
        <v>1.999</v>
      </c>
      <c r="G821" t="inlineStr"/>
      <c r="H821" t="inlineStr">
        <is>
          <t>33100 Nordrhein-Westfalen - Paderborn</t>
        </is>
      </c>
      <c r="I821" s="5" t="n">
        <v>45413</v>
      </c>
      <c r="J821" t="inlineStr"/>
      <c r="K821" s="6">
        <f>HYPERLINK("https://www.kleinanzeigen.de/s-anzeige/sup-hardboard-2022er-starboard-sprint-14-0-x-20-75-np-2700-/2749883827-187-2164", "Link")</f>
        <v/>
      </c>
      <c r="L821" s="6">
        <f>HYPERLINK("C:\Projects\Kleinanzeigen-Scraper\offer_images\2749883827", "Link")</f>
        <v/>
      </c>
      <c r="M821" t="inlineStr">
        <is>
          <t>BORAVENT</t>
        </is>
      </c>
      <c r="N821" s="6">
        <f>HYPERLINK("https://www.kleinanzeigen.de/s-bestandsliste.html?userId=55973585", "Link")</f>
        <v/>
      </c>
      <c r="O821" s="7" t="n">
        <v>45551.40844907407</v>
      </c>
      <c r="P821" s="3" t="inlineStr">
        <is>
          <t>156.96</t>
        </is>
      </c>
      <c r="Q821" t="inlineStr">
        <is>
          <t>Köln</t>
        </is>
      </c>
    </row>
    <row r="822">
      <c r="A822" t="inlineStr"/>
      <c r="B822" t="inlineStr">
        <is>
          <t>Fanatic RAM</t>
        </is>
      </c>
      <c r="C822" t="inlineStr"/>
      <c r="D822" s="3" t="inlineStr"/>
      <c r="E822" t="inlineStr"/>
      <c r="F822" s="4" t="n">
        <v>180</v>
      </c>
      <c r="G822" t="inlineStr"/>
      <c r="H822" t="inlineStr">
        <is>
          <t>50935 Köln - Lindenthal</t>
        </is>
      </c>
      <c r="I822" s="5" t="n">
        <v>45548</v>
      </c>
      <c r="J822" t="inlineStr">
        <is>
          <t>Sold</t>
        </is>
      </c>
      <c r="K822" s="6">
        <f>HYPERLINK("https://www.kleinanzeigen.de/s-anzeige/surfboard-fanatic-ram-inkl-vl-zubehoer-/2861890208-230-948", "Link")</f>
        <v/>
      </c>
      <c r="L822" s="6">
        <f>HYPERLINK("C:\Projects\Kleinanzeigen-Scraper\offer_images\2861890208", "Link")</f>
        <v/>
      </c>
      <c r="M822" t="inlineStr">
        <is>
          <t>Katharina</t>
        </is>
      </c>
      <c r="N822" s="6">
        <f>HYPERLINK("https://www.kleinanzeigen.de/s-bestandsliste.html?userId=3584475", "Link")</f>
        <v/>
      </c>
      <c r="O822" s="7" t="n">
        <v>45551.40834490741</v>
      </c>
      <c r="P822" s="3" t="inlineStr">
        <is>
          <t>4.45</t>
        </is>
      </c>
      <c r="Q822" t="inlineStr">
        <is>
          <t>Köln</t>
        </is>
      </c>
    </row>
    <row r="823">
      <c r="A823" t="inlineStr">
        <is>
          <t>Dimensions not specified</t>
        </is>
      </c>
      <c r="B823" t="inlineStr">
        <is>
          <t>Fanatic Falcon</t>
        </is>
      </c>
      <c r="C823" t="inlineStr">
        <is>
          <t>Slalom</t>
        </is>
      </c>
      <c r="D823" s="3" t="n">
        <v>89</v>
      </c>
      <c r="E823" t="inlineStr">
        <is>
          <t>2020</t>
        </is>
      </c>
      <c r="F823" s="4" t="n">
        <v>425</v>
      </c>
      <c r="G823" t="inlineStr">
        <is>
          <t>VB</t>
        </is>
      </c>
      <c r="H823" t="inlineStr">
        <is>
          <t>21035 Hamburg - Bergedorf</t>
        </is>
      </c>
      <c r="I823" s="5" t="n">
        <v>45550</v>
      </c>
      <c r="J823" t="inlineStr"/>
      <c r="K823" s="6">
        <f>HYPERLINK("https://www.kleinanzeigen.de/s-anzeige/fanatic-falcon-89-slalom-windsurf-board-kein-tabou-jp/2864192416-230-16432", "Link")</f>
        <v/>
      </c>
      <c r="L823" s="6">
        <f>HYPERLINK("C:\Projects\Kleinanzeigen-Scraper\offer_images\2864192416", "Link")</f>
        <v/>
      </c>
      <c r="M823" t="inlineStr">
        <is>
          <t>Petersen</t>
        </is>
      </c>
      <c r="N823" s="6">
        <f>HYPERLINK("https://www.kleinanzeigen.de/s-bestandsliste.html?userId=16419282", "Link")</f>
        <v/>
      </c>
      <c r="O823" s="7" t="n">
        <v>45551.40833333333</v>
      </c>
      <c r="P823" s="3" t="inlineStr">
        <is>
          <t>357.47</t>
        </is>
      </c>
      <c r="Q823" t="inlineStr">
        <is>
          <t>Köln</t>
        </is>
      </c>
    </row>
    <row r="824">
      <c r="A824" t="inlineStr"/>
      <c r="B824" t="inlineStr">
        <is>
          <t>Goya</t>
        </is>
      </c>
      <c r="C824" t="inlineStr">
        <is>
          <t>Freestyle Wave</t>
        </is>
      </c>
      <c r="D824" s="3" t="n">
        <v>95</v>
      </c>
      <c r="E824" t="inlineStr"/>
      <c r="F824" s="4" t="n">
        <v>150</v>
      </c>
      <c r="G824" t="inlineStr"/>
      <c r="H824" t="inlineStr">
        <is>
          <t>24539 Schleswig-Holstein - Neumünster</t>
        </is>
      </c>
      <c r="I824" s="5" t="n">
        <v>45536</v>
      </c>
      <c r="J824" t="inlineStr"/>
      <c r="K824" s="6">
        <f>HYPERLINK("https://www.kleinanzeigen.de/s-anzeige/windsurfboard-goya-one-freestyle-wave-series-95l/2822761095-230-648", "Link")</f>
        <v/>
      </c>
      <c r="L824" s="6">
        <f>HYPERLINK("C:\Projects\Kleinanzeigen-Scraper\offer_images\2822761095", "Link")</f>
        <v/>
      </c>
      <c r="M824" t="inlineStr">
        <is>
          <t>Joshua</t>
        </is>
      </c>
      <c r="N824" s="6">
        <f>HYPERLINK("https://www.kleinanzeigen.de/s-bestandsliste.html?userId=41267512", "Link")</f>
        <v/>
      </c>
      <c r="O824" s="7" t="n">
        <v>45551.40829861111</v>
      </c>
      <c r="P824" s="3" t="inlineStr">
        <is>
          <t>402.09</t>
        </is>
      </c>
      <c r="Q824" t="inlineStr">
        <is>
          <t>Köln</t>
        </is>
      </c>
    </row>
    <row r="825">
      <c r="A825" t="inlineStr"/>
      <c r="B825" t="inlineStr">
        <is>
          <t>Starboard Carve 111</t>
        </is>
      </c>
      <c r="C825" t="inlineStr">
        <is>
          <t>Slalom</t>
        </is>
      </c>
      <c r="D825" s="3" t="inlineStr"/>
      <c r="E825" t="inlineStr"/>
      <c r="F825" s="4" t="n">
        <v>240</v>
      </c>
      <c r="G825" t="inlineStr">
        <is>
          <t>VB</t>
        </is>
      </c>
      <c r="H825" t="inlineStr">
        <is>
          <t>22549 Altona - Hamburg Lurup</t>
        </is>
      </c>
      <c r="I825" s="5" t="n">
        <v>45428</v>
      </c>
      <c r="J825" t="inlineStr"/>
      <c r="K825" s="6">
        <f>HYPERLINK("https://www.kleinanzeigen.de/s-anzeige/starboard-carve-111/2762752827-230-9508", "Link")</f>
        <v/>
      </c>
      <c r="L825" s="6">
        <f>HYPERLINK("C:\Projects\Kleinanzeigen-Scraper\offer_images\2762752827", "Link")</f>
        <v/>
      </c>
      <c r="M825" t="inlineStr">
        <is>
          <t>Jan Kühnel</t>
        </is>
      </c>
      <c r="N825" s="6">
        <f>HYPERLINK("https://www.kleinanzeigen.de/s-bestandsliste.html?userId=10157293", "Link")</f>
        <v/>
      </c>
      <c r="O825" s="7" t="n">
        <v>45551.40827546296</v>
      </c>
      <c r="P825" s="3" t="inlineStr">
        <is>
          <t>354.40</t>
        </is>
      </c>
      <c r="Q825" t="inlineStr">
        <is>
          <t>Köln</t>
        </is>
      </c>
    </row>
    <row r="826">
      <c r="A826" t="inlineStr">
        <is>
          <t>226 x 75</t>
        </is>
      </c>
      <c r="B826" t="inlineStr">
        <is>
          <t>Starboard ISonic</t>
        </is>
      </c>
      <c r="C826" t="inlineStr">
        <is>
          <t>Race</t>
        </is>
      </c>
      <c r="D826" s="3" t="n">
        <v>110</v>
      </c>
      <c r="E826" t="inlineStr"/>
      <c r="F826" s="4" t="n">
        <v>500</v>
      </c>
      <c r="G826" t="inlineStr">
        <is>
          <t>VB</t>
        </is>
      </c>
      <c r="H826" t="inlineStr">
        <is>
          <t>24537 Schleswig-Holstein - Neumünster</t>
        </is>
      </c>
      <c r="I826" s="5" t="n">
        <v>45498</v>
      </c>
      <c r="J826" t="inlineStr">
        <is>
          <t>Sold</t>
        </is>
      </c>
      <c r="K826" s="6">
        <f>HYPERLINK("https://www.kleinanzeigen.de/s-anzeige/starboard-isonic-carbon-windsurf-board-110-liter/2820861723-230-646", "Link")</f>
        <v/>
      </c>
      <c r="L826" s="6">
        <f>HYPERLINK("C:\Projects\Kleinanzeigen-Scraper\offer_images\2820861723", "Link")</f>
        <v/>
      </c>
      <c r="M826" t="inlineStr">
        <is>
          <t>Dirk Stühmer</t>
        </is>
      </c>
      <c r="N826" s="6">
        <f>HYPERLINK("https://www.kleinanzeigen.de/s-bestandsliste.html?userId=72056882", "Link")</f>
        <v/>
      </c>
      <c r="O826" s="7" t="n">
        <v>45551.40827546296</v>
      </c>
      <c r="P826" s="3" t="inlineStr">
        <is>
          <t>403.96</t>
        </is>
      </c>
      <c r="Q826" t="inlineStr">
        <is>
          <t>Köln</t>
        </is>
      </c>
    </row>
    <row r="827">
      <c r="A827" t="inlineStr">
        <is>
          <t>310</t>
        </is>
      </c>
      <c r="B827" t="inlineStr">
        <is>
          <t>F2 Xantos</t>
        </is>
      </c>
      <c r="C827" t="inlineStr"/>
      <c r="D827" s="3" t="n">
        <v>143</v>
      </c>
      <c r="E827" t="inlineStr"/>
      <c r="F827" s="4" t="n">
        <v>75</v>
      </c>
      <c r="G827" t="inlineStr">
        <is>
          <t>VB</t>
        </is>
      </c>
      <c r="H827" t="inlineStr">
        <is>
          <t>27404 Niedersachsen - Zeven</t>
        </is>
      </c>
      <c r="I827" s="5" t="n">
        <v>45550</v>
      </c>
      <c r="J827" t="inlineStr">
        <is>
          <t>Sold</t>
        </is>
      </c>
      <c r="K827" s="6">
        <f>HYPERLINK("https://www.kleinanzeigen.de/s-anzeige/surfboard-f2-xantos-310-mit-143-l-windsurfen-surfbrett/2864647415-230-2932", "Link")</f>
        <v/>
      </c>
      <c r="L827" s="6">
        <f>HYPERLINK("C:\Projects\Kleinanzeigen-Scraper\offer_images\2864647415", "Link")</f>
        <v/>
      </c>
      <c r="M827" t="inlineStr">
        <is>
          <t>Tim</t>
        </is>
      </c>
      <c r="N827" s="6">
        <f>HYPERLINK("https://www.kleinanzeigen.de/s-bestandsliste.html?userId=4386084", "Link")</f>
        <v/>
      </c>
      <c r="O827" s="7" t="n">
        <v>45551.40827546296</v>
      </c>
      <c r="P827" s="3" t="inlineStr">
        <is>
          <t>303.55</t>
        </is>
      </c>
      <c r="Q827" t="inlineStr">
        <is>
          <t>Köln</t>
        </is>
      </c>
    </row>
    <row r="828">
      <c r="A828" t="inlineStr">
        <is>
          <t xml:space="preserve">Dimensions </t>
        </is>
      </c>
      <c r="B828" t="inlineStr">
        <is>
          <t>Starboard Carve 121</t>
        </is>
      </c>
      <c r="C828" t="inlineStr">
        <is>
          <t>Freeride</t>
        </is>
      </c>
      <c r="D828" s="3" t="n">
        <v>121</v>
      </c>
      <c r="E828" t="inlineStr">
        <is>
          <t>2003</t>
        </is>
      </c>
      <c r="F828" s="4" t="n">
        <v>150</v>
      </c>
      <c r="G828" t="inlineStr">
        <is>
          <t>VB</t>
        </is>
      </c>
      <c r="H828" t="inlineStr">
        <is>
          <t>54614 Rheinland-Pfalz - Heisdorf</t>
        </is>
      </c>
      <c r="I828" s="5" t="n">
        <v>45020</v>
      </c>
      <c r="J828" t="inlineStr"/>
      <c r="K828" s="6">
        <f>HYPERLINK("https://www.kleinanzeigen.de/s-anzeige/starboard-carve-121/2405785931-230-23164", "Link")</f>
        <v/>
      </c>
      <c r="L828" s="6">
        <f>HYPERLINK("C:\Projects\Kleinanzeigen-Scraper\offer_images\2405785931", "Link")</f>
        <v/>
      </c>
      <c r="M828" t="inlineStr">
        <is>
          <t>d van nood</t>
        </is>
      </c>
      <c r="N828" s="6">
        <f>HYPERLINK("https://www.kleinanzeigen.de/s-bestandsliste.html?userId=72193940", "Link")</f>
        <v/>
      </c>
      <c r="O828" s="7" t="n">
        <v>45551.40820601852</v>
      </c>
      <c r="P828" s="3" t="inlineStr">
        <is>
          <t>93.52</t>
        </is>
      </c>
      <c r="Q828" t="inlineStr">
        <is>
          <t>Köln</t>
        </is>
      </c>
    </row>
    <row r="829">
      <c r="A829" t="inlineStr"/>
      <c r="B829" t="inlineStr">
        <is>
          <t>Tabou Manta</t>
        </is>
      </c>
      <c r="C829" t="inlineStr">
        <is>
          <t>Freeride</t>
        </is>
      </c>
      <c r="D829" s="3" t="n">
        <v>98</v>
      </c>
      <c r="E829" t="inlineStr">
        <is>
          <t>2022</t>
        </is>
      </c>
      <c r="F829" s="4" t="n">
        <v>799</v>
      </c>
      <c r="G829" t="inlineStr">
        <is>
          <t>VB</t>
        </is>
      </c>
      <c r="H829" t="inlineStr">
        <is>
          <t>24943 Schleswig-Holstein - Flensburg</t>
        </is>
      </c>
      <c r="I829" s="5" t="n">
        <v>45550</v>
      </c>
      <c r="J829" t="inlineStr"/>
      <c r="K829" s="6">
        <f>HYPERLINK("https://www.kleinanzeigen.de/s-anzeige/windsurfbrett-tabou-manta-61-98l-2022/2864084939-230-17392", "Link")</f>
        <v/>
      </c>
      <c r="L829" s="6">
        <f>HYPERLINK("C:\Projects\Kleinanzeigen-Scraper\offer_images\2864084939", "Link")</f>
        <v/>
      </c>
      <c r="M829" t="inlineStr">
        <is>
          <t>Studt</t>
        </is>
      </c>
      <c r="N829" s="6">
        <f>HYPERLINK("https://www.kleinanzeigen.de/s-bestandsliste.html?userId=51870016", "Link")</f>
        <v/>
      </c>
      <c r="O829" s="7" t="n">
        <v>45551.40810185186</v>
      </c>
      <c r="P829" s="3" t="inlineStr">
        <is>
          <t>459.78</t>
        </is>
      </c>
      <c r="Q829" t="inlineStr">
        <is>
          <t>Köln</t>
        </is>
      </c>
    </row>
    <row r="830">
      <c r="A830" t="inlineStr">
        <is>
          <t>14' x 23"</t>
        </is>
      </c>
      <c r="B830" t="inlineStr">
        <is>
          <t>Starboard Allstar</t>
        </is>
      </c>
      <c r="C830" t="inlineStr"/>
      <c r="D830" s="3" t="inlineStr"/>
      <c r="E830" t="inlineStr">
        <is>
          <t>2023</t>
        </is>
      </c>
      <c r="F830" s="4" t="n">
        <v>1</v>
      </c>
      <c r="G830" t="inlineStr">
        <is>
          <t>VB</t>
        </is>
      </c>
      <c r="H830" t="inlineStr">
        <is>
          <t>53117 Bonn - Graurheindorf</t>
        </is>
      </c>
      <c r="I830" s="5" t="n">
        <v>45510</v>
      </c>
      <c r="J830" t="inlineStr"/>
      <c r="K830" s="6">
        <f>HYPERLINK("https://www.kleinanzeigen.de/s-anzeige/starboard-allstar-2023/2830580902-230-23709", "Link")</f>
        <v/>
      </c>
      <c r="L830" s="6">
        <f>HYPERLINK("C:\Projects\Kleinanzeigen-Scraper\offer_images\2830580902", "Link")</f>
        <v/>
      </c>
      <c r="M830" t="inlineStr">
        <is>
          <t>Ole</t>
        </is>
      </c>
      <c r="N830" s="6">
        <f>HYPERLINK("https://www.kleinanzeigen.de/s-bestandsliste.html?userId=21558380", "Link")</f>
        <v/>
      </c>
      <c r="O830" s="7" t="n">
        <v>45551.40803240741</v>
      </c>
      <c r="P830" s="3" t="inlineStr">
        <is>
          <t>21.66</t>
        </is>
      </c>
      <c r="Q830" t="inlineStr">
        <is>
          <t>Köln</t>
        </is>
      </c>
    </row>
    <row r="831">
      <c r="A831" t="inlineStr">
        <is>
          <t>147 liters</t>
        </is>
      </c>
      <c r="B831" t="inlineStr">
        <is>
          <t>Starboard Ultrasonic</t>
        </is>
      </c>
      <c r="C831" t="inlineStr">
        <is>
          <t>Freerace</t>
        </is>
      </c>
      <c r="D831" s="3" t="n">
        <v>147</v>
      </c>
      <c r="E831" t="inlineStr"/>
      <c r="F831" s="4" t="n">
        <v>835</v>
      </c>
      <c r="G831" t="inlineStr"/>
      <c r="H831" t="inlineStr">
        <is>
          <t>89269 Bayern - Vöhringen</t>
        </is>
      </c>
      <c r="I831" s="5" t="n">
        <v>45501</v>
      </c>
      <c r="J831" t="inlineStr">
        <is>
          <t>Sold</t>
        </is>
      </c>
      <c r="K831" s="6">
        <f>HYPERLINK("https://www.kleinanzeigen.de/s-anzeige/starboard-ultrasonic-147-freerace/2823783468-230-6687", "Link")</f>
        <v/>
      </c>
      <c r="L831" s="6">
        <f>HYPERLINK("C:\Projects\Kleinanzeigen-Scraper\offer_images\2823783468", "Link")</f>
        <v/>
      </c>
      <c r="M831" t="inlineStr">
        <is>
          <t>David</t>
        </is>
      </c>
      <c r="N831" s="6">
        <f>HYPERLINK("https://www.kleinanzeigen.de/s-bestandsliste.html?userId=12841715", "Link")</f>
        <v/>
      </c>
      <c r="O831" s="7" t="n">
        <v>45551.40790509259</v>
      </c>
      <c r="P831" s="3" t="inlineStr">
        <is>
          <t>92.25</t>
        </is>
      </c>
      <c r="Q831" t="inlineStr">
        <is>
          <t>Böblingen</t>
        </is>
      </c>
    </row>
    <row r="832">
      <c r="A832" t="inlineStr"/>
      <c r="B832" t="inlineStr">
        <is>
          <t>Fanatic Falcon air</t>
        </is>
      </c>
      <c r="C832" t="inlineStr"/>
      <c r="D832" s="3" t="inlineStr"/>
      <c r="E832" t="inlineStr"/>
      <c r="F832" s="4" t="n">
        <v>600</v>
      </c>
      <c r="G832" t="inlineStr"/>
      <c r="H832" t="inlineStr">
        <is>
          <t>81673 München - Berg-am-Laim</t>
        </is>
      </c>
      <c r="I832" s="5" t="n">
        <v>45539</v>
      </c>
      <c r="J832" t="inlineStr">
        <is>
          <t>Sold</t>
        </is>
      </c>
      <c r="K832" s="6">
        <f>HYPERLINK("https://www.kleinanzeigen.de/s-anzeige/neu-fanatic-falcon-air-sup-board-premium-mit-pumpe/2853869757-230-6455", "Link")</f>
        <v/>
      </c>
      <c r="L832" s="6">
        <f>HYPERLINK("C:\Projects\Kleinanzeigen-Scraper\offer_images\2853869757", "Link")</f>
        <v/>
      </c>
      <c r="M832" t="inlineStr">
        <is>
          <t>Marina</t>
        </is>
      </c>
      <c r="N832" s="6">
        <f>HYPERLINK("https://www.kleinanzeigen.de/s-bestandsliste.html?userId=84196462", "Link")</f>
        <v/>
      </c>
      <c r="O832" s="7" t="n">
        <v>45551.40787037037</v>
      </c>
      <c r="P832" s="3" t="inlineStr">
        <is>
          <t>4.60</t>
        </is>
      </c>
      <c r="Q832" t="inlineStr">
        <is>
          <t>München</t>
        </is>
      </c>
    </row>
    <row r="833">
      <c r="A833" t="inlineStr">
        <is>
          <t>10'4" x 34" x 4"</t>
        </is>
      </c>
      <c r="B833" t="inlineStr">
        <is>
          <t>RRD Air Evo</t>
        </is>
      </c>
      <c r="C833" t="inlineStr">
        <is>
          <t>Allround</t>
        </is>
      </c>
      <c r="D833" s="3" t="inlineStr"/>
      <c r="E833" t="inlineStr"/>
      <c r="F833" s="4" t="n">
        <v>395</v>
      </c>
      <c r="G833" t="inlineStr"/>
      <c r="H833" t="inlineStr">
        <is>
          <t>20259 Eimsbüttel - Hamburg Eimsbüttel (Stadtteil)</t>
        </is>
      </c>
      <c r="I833" s="5" t="n">
        <v>45549</v>
      </c>
      <c r="J833" t="inlineStr"/>
      <c r="K833" s="6">
        <f>HYPERLINK("https://www.kleinanzeigen.de/s-anzeige/sup-board-rrd-air-evo-aufblasbar-10-4-x-34-x-4-/2863232790-230-9427", "Link")</f>
        <v/>
      </c>
      <c r="L833" s="6">
        <f>HYPERLINK("C:\Projects\Kleinanzeigen-Scraper\offer_images\2863232790", "Link")</f>
        <v/>
      </c>
      <c r="M833" t="inlineStr">
        <is>
          <t>Matthias</t>
        </is>
      </c>
      <c r="N833" s="6">
        <f>HYPERLINK("https://www.kleinanzeigen.de/s-bestandsliste.html?userId=7929043", "Link")</f>
        <v/>
      </c>
      <c r="O833" s="7" t="n">
        <v>45551.40787037037</v>
      </c>
      <c r="P833" s="3" t="inlineStr">
        <is>
          <t>356.92</t>
        </is>
      </c>
      <c r="Q833" t="inlineStr">
        <is>
          <t>Köln</t>
        </is>
      </c>
    </row>
    <row r="834">
      <c r="A834" t="inlineStr">
        <is>
          <t>23.2" 14'</t>
        </is>
      </c>
      <c r="B834" t="inlineStr">
        <is>
          <t>Lightboardcorp Mantra</t>
        </is>
      </c>
      <c r="C834" t="inlineStr">
        <is>
          <t>SUP</t>
        </is>
      </c>
      <c r="D834" s="3" t="inlineStr"/>
      <c r="E834" t="inlineStr">
        <is>
          <t>2021</t>
        </is>
      </c>
      <c r="F834" s="4" t="n">
        <v>1</v>
      </c>
      <c r="G834" t="inlineStr"/>
      <c r="H834" t="inlineStr">
        <is>
          <t>88045 Baden-Württemberg - Friedrichshafen</t>
        </is>
      </c>
      <c r="I834" s="5" t="n">
        <v>45427</v>
      </c>
      <c r="J834" t="inlineStr"/>
      <c r="K834" s="6">
        <f>HYPERLINK("https://www.kleinanzeigen.de/s-anzeige/lightboardcorp-mantra-23-2-sup-hardboard-kein-starboard-fanatic/2554011708-230-9213", "Link")</f>
        <v/>
      </c>
      <c r="L834" s="6">
        <f>HYPERLINK("C:\Projects\Kleinanzeigen-Scraper\offer_images\2554011708", "Link")</f>
        <v/>
      </c>
      <c r="M834" t="inlineStr">
        <is>
          <t>Familie Kipfer</t>
        </is>
      </c>
      <c r="N834" s="6">
        <f>HYPERLINK("https://www.kleinanzeigen.de/s-bestandsliste.html?userId=20771758", "Link")</f>
        <v/>
      </c>
      <c r="O834" s="7" t="n">
        <v>45551.40787037037</v>
      </c>
      <c r="P834" s="3" t="inlineStr">
        <is>
          <t>85.70</t>
        </is>
      </c>
      <c r="Q834" t="inlineStr">
        <is>
          <t>Bonndorf</t>
        </is>
      </c>
    </row>
    <row r="835">
      <c r="A835" t="inlineStr">
        <is>
          <t>14.0 x 23</t>
        </is>
      </c>
      <c r="B835" t="inlineStr">
        <is>
          <t>Starboard</t>
        </is>
      </c>
      <c r="C835" t="inlineStr"/>
      <c r="D835" s="3" t="inlineStr"/>
      <c r="E835" t="inlineStr">
        <is>
          <t>2024</t>
        </is>
      </c>
      <c r="F835" s="4" t="n">
        <v>1.899</v>
      </c>
      <c r="G835" t="inlineStr"/>
      <c r="H835" t="inlineStr">
        <is>
          <t>33100 Nordrhein-Westfalen - Paderborn</t>
        </is>
      </c>
      <c r="I835" s="5" t="n">
        <v>45177</v>
      </c>
      <c r="J835" t="inlineStr">
        <is>
          <t>Sold</t>
        </is>
      </c>
      <c r="K835" s="6">
        <f>HYPERLINK("https://www.kleinanzeigen.de/s-anzeige/sup-starboard-2024-14-0-x-23-gen-r-neuware-inkl-versand/2540467397-230-2164", "Link")</f>
        <v/>
      </c>
      <c r="L835" s="6">
        <f>HYPERLINK("C:\Projects\Kleinanzeigen-Scraper\offer_images\2540467397", "Link")</f>
        <v/>
      </c>
      <c r="M835" t="inlineStr">
        <is>
          <t>BORAVENT</t>
        </is>
      </c>
      <c r="N835" s="6">
        <f>HYPERLINK("https://www.kleinanzeigen.de/s-bestandsliste.html?userId=55973585", "Link")</f>
        <v/>
      </c>
      <c r="O835" s="7" t="n">
        <v>45551.40784722222</v>
      </c>
      <c r="P835" s="3" t="inlineStr">
        <is>
          <t>156.96</t>
        </is>
      </c>
      <c r="Q835" t="inlineStr">
        <is>
          <t>Köln</t>
        </is>
      </c>
    </row>
    <row r="836">
      <c r="A836" t="inlineStr">
        <is>
          <t>14' x 28"</t>
        </is>
      </c>
      <c r="B836" t="inlineStr">
        <is>
          <t>Naish Air Maliko</t>
        </is>
      </c>
      <c r="C836" t="inlineStr">
        <is>
          <t>Race</t>
        </is>
      </c>
      <c r="D836" s="3" t="inlineStr"/>
      <c r="E836" t="inlineStr"/>
      <c r="F836" s="4" t="n">
        <v>500</v>
      </c>
      <c r="G836" t="inlineStr"/>
      <c r="H836" t="inlineStr">
        <is>
          <t>56566 Rheinland-Pfalz - Neuwied</t>
        </is>
      </c>
      <c r="I836" s="5" t="n">
        <v>45507</v>
      </c>
      <c r="J836" t="inlineStr"/>
      <c r="K836" s="6">
        <f>HYPERLINK("https://www.kleinanzeigen.de/s-anzeige/naish-air-maliko-race-sup-board-14-28-starboard-sic-paddel/2827618333-230-5414", "Link")</f>
        <v/>
      </c>
      <c r="L836" s="6">
        <f>HYPERLINK("C:\Projects\Kleinanzeigen-Scraper\offer_images\2827618333", "Link")</f>
        <v/>
      </c>
      <c r="M836" t="inlineStr">
        <is>
          <t>Nik</t>
        </is>
      </c>
      <c r="N836" s="6">
        <f>HYPERLINK("https://www.kleinanzeigen.de/s-bestandsliste.html?userId=140465811", "Link")</f>
        <v/>
      </c>
      <c r="O836" s="7" t="n">
        <v>45551.40782407407</v>
      </c>
      <c r="P836" s="3" t="inlineStr">
        <is>
          <t>67.16</t>
        </is>
      </c>
      <c r="Q836" t="inlineStr">
        <is>
          <t>Köln</t>
        </is>
      </c>
    </row>
    <row r="837">
      <c r="A837" t="inlineStr">
        <is>
          <t>234cm x 56cm</t>
        </is>
      </c>
      <c r="B837" t="inlineStr">
        <is>
          <t>Starboard Kode 80</t>
        </is>
      </c>
      <c r="C837" t="inlineStr">
        <is>
          <t>Wave</t>
        </is>
      </c>
      <c r="D837" s="3" t="inlineStr"/>
      <c r="E837" t="inlineStr"/>
      <c r="F837" s="4" t="n">
        <v>90</v>
      </c>
      <c r="G837" t="inlineStr"/>
      <c r="H837" t="inlineStr">
        <is>
          <t>55263 Rheinland-Pfalz - Wackernheim</t>
        </is>
      </c>
      <c r="I837" s="5" t="n">
        <v>45352</v>
      </c>
      <c r="J837" t="inlineStr"/>
      <c r="K837" s="6">
        <f>HYPERLINK("https://www.kleinanzeigen.de/s-anzeige/starboard-kode-80-surfen-windsurfen/2694187476-230-5123", "Link")</f>
        <v/>
      </c>
      <c r="L837" s="6">
        <f>HYPERLINK("C:\Projects\Kleinanzeigen-Scraper\offer_images\2694187476", "Link")</f>
        <v/>
      </c>
      <c r="M837" t="inlineStr">
        <is>
          <t>Stefan</t>
        </is>
      </c>
      <c r="N837" s="6">
        <f>HYPERLINK("https://www.kleinanzeigen.de/s-bestandsliste.html?userId=11437246", "Link")</f>
        <v/>
      </c>
      <c r="O837" s="7" t="n">
        <v>45551.40780092592</v>
      </c>
      <c r="P837" s="3" t="inlineStr">
        <is>
          <t>108.27</t>
        </is>
      </c>
      <c r="Q837" t="inlineStr">
        <is>
          <t>Karlsruhe</t>
        </is>
      </c>
    </row>
    <row r="838">
      <c r="A838" t="inlineStr"/>
      <c r="B838" t="inlineStr">
        <is>
          <t>Starboard Kode</t>
        </is>
      </c>
      <c r="C838" t="inlineStr">
        <is>
          <t>Wave</t>
        </is>
      </c>
      <c r="D838" s="3" t="n">
        <v>82</v>
      </c>
      <c r="E838" t="inlineStr"/>
      <c r="F838" s="4" t="n">
        <v>300</v>
      </c>
      <c r="G838" t="inlineStr">
        <is>
          <t>VB</t>
        </is>
      </c>
      <c r="H838" t="inlineStr">
        <is>
          <t>42579 Nordrhein-Westfalen - Heiligenhaus</t>
        </is>
      </c>
      <c r="I838" s="5" t="n">
        <v>44759</v>
      </c>
      <c r="J838" t="inlineStr"/>
      <c r="K838" s="6">
        <f>HYPERLINK("https://www.kleinanzeigen.de/s-anzeige/starboard-kode-wave-82-l/2159238122-230-1180", "Link")</f>
        <v/>
      </c>
      <c r="L838" s="6">
        <f>HYPERLINK("C:\Projects\Kleinanzeigen-Scraper\offer_images\2159238122", "Link")</f>
        <v/>
      </c>
      <c r="M838" t="inlineStr">
        <is>
          <t>Philipp Schley</t>
        </is>
      </c>
      <c r="N838" s="6">
        <f>HYPERLINK("https://www.kleinanzeigen.de/s-bestandsliste.html?userId=17345374", "Link")</f>
        <v/>
      </c>
      <c r="O838" s="7" t="n">
        <v>45551.40780092592</v>
      </c>
      <c r="P838" s="3" t="inlineStr">
        <is>
          <t>42.83</t>
        </is>
      </c>
      <c r="Q838" t="inlineStr">
        <is>
          <t>Köln</t>
        </is>
      </c>
    </row>
    <row r="839">
      <c r="A839" t="inlineStr">
        <is>
          <t>125</t>
        </is>
      </c>
      <c r="B839" t="inlineStr">
        <is>
          <t>Starboard Foil Freeride</t>
        </is>
      </c>
      <c r="C839" t="inlineStr">
        <is>
          <t>Freeride</t>
        </is>
      </c>
      <c r="D839" s="3" t="inlineStr"/>
      <c r="E839" t="inlineStr">
        <is>
          <t>2020</t>
        </is>
      </c>
      <c r="F839" s="4" t="n">
        <v>1.85</v>
      </c>
      <c r="G839" t="inlineStr">
        <is>
          <t>VB</t>
        </is>
      </c>
      <c r="H839" t="inlineStr">
        <is>
          <t>21149 Harburg - Hamburg Neugraben</t>
        </is>
      </c>
      <c r="I839" s="5" t="n">
        <v>45091</v>
      </c>
      <c r="J839" t="inlineStr"/>
      <c r="K839" s="6">
        <f>HYPERLINK("https://www.kleinanzeigen.de/s-anzeige/starboard-foil-freeride-125-freeride-plus-foil/2468357616-230-15765", "Link")</f>
        <v/>
      </c>
      <c r="L839" s="6">
        <f>HYPERLINK("C:\Projects\Kleinanzeigen-Scraper\offer_images\2468357616", "Link")</f>
        <v/>
      </c>
      <c r="M839" t="inlineStr">
        <is>
          <t>J.Wirth</t>
        </is>
      </c>
      <c r="N839" s="6">
        <f>HYPERLINK("https://www.kleinanzeigen.de/s-bestandsliste.html?userId=5775412", "Link")</f>
        <v/>
      </c>
      <c r="O839" s="7" t="n">
        <v>45551.40771990741</v>
      </c>
      <c r="P839" s="3" t="inlineStr">
        <is>
          <t>342.48</t>
        </is>
      </c>
      <c r="Q839" t="inlineStr">
        <is>
          <t>Köln</t>
        </is>
      </c>
    </row>
    <row r="840">
      <c r="A840" t="inlineStr">
        <is>
          <t>158</t>
        </is>
      </c>
      <c r="B840" t="inlineStr">
        <is>
          <t>Starboard Formula</t>
        </is>
      </c>
      <c r="C840" t="inlineStr">
        <is>
          <t>lightwind Racer</t>
        </is>
      </c>
      <c r="D840" s="3" t="inlineStr"/>
      <c r="E840" t="inlineStr"/>
      <c r="F840" s="4" t="n">
        <v>499</v>
      </c>
      <c r="G840" t="inlineStr"/>
      <c r="H840" t="inlineStr">
        <is>
          <t>13585 Berlin - Spandau</t>
        </is>
      </c>
      <c r="I840" s="5" t="n">
        <v>45463</v>
      </c>
      <c r="J840" t="inlineStr"/>
      <c r="K840" s="6">
        <f>HYPERLINK("https://www.kleinanzeigen.de/s-anzeige/starboard-formula-158-lightwind-surfboard-windsurf-foilboard/2792753121-230-3438", "Link")</f>
        <v/>
      </c>
      <c r="L840" s="6">
        <f>HYPERLINK("C:\Projects\Kleinanzeigen-Scraper\offer_images\2792753121", "Link")</f>
        <v/>
      </c>
      <c r="M840" t="inlineStr">
        <is>
          <t>Alex</t>
        </is>
      </c>
      <c r="N840" s="6">
        <f>HYPERLINK("https://www.kleinanzeigen.de/s-bestandsliste.html?userId=1475054", "Link")</f>
        <v/>
      </c>
      <c r="O840" s="7" t="n">
        <v>45551.40765046296</v>
      </c>
      <c r="P840" s="3" t="inlineStr">
        <is>
          <t>465.98</t>
        </is>
      </c>
      <c r="Q840" t="inlineStr">
        <is>
          <t>Köln</t>
        </is>
      </c>
    </row>
    <row r="841">
      <c r="A841" t="inlineStr">
        <is>
          <t>229cm x 59.5cm</t>
        </is>
      </c>
      <c r="B841" t="inlineStr">
        <is>
          <t>Tabou Pocket</t>
        </is>
      </c>
      <c r="C841" t="inlineStr">
        <is>
          <t>Wave</t>
        </is>
      </c>
      <c r="D841" s="3" t="n">
        <v>86</v>
      </c>
      <c r="E841" t="inlineStr"/>
      <c r="F841" s="4" t="n">
        <v>350</v>
      </c>
      <c r="G841" t="inlineStr">
        <is>
          <t>VB</t>
        </is>
      </c>
      <c r="H841" t="inlineStr">
        <is>
          <t>45473 Nordrhein-Westfalen - Mülheim (Ruhr)</t>
        </is>
      </c>
      <c r="I841" s="5" t="n">
        <v>45550</v>
      </c>
      <c r="J841" t="inlineStr"/>
      <c r="K841" s="6">
        <f>HYPERLINK("https://www.kleinanzeigen.de/s-anzeige/tabou-pocket-86-vorgaenger-von-da-bomb-/2864075633-230-2062", "Link")</f>
        <v/>
      </c>
      <c r="L841" s="6">
        <f>HYPERLINK("C:\Projects\Kleinanzeigen-Scraper\offer_images\2864075633", "Link")</f>
        <v/>
      </c>
      <c r="M841" t="inlineStr">
        <is>
          <t>Benedict</t>
        </is>
      </c>
      <c r="N841" s="6">
        <f>HYPERLINK("https://www.kleinanzeigen.de/s-bestandsliste.html?userId=13040713", "Link")</f>
        <v/>
      </c>
      <c r="O841" s="7" t="n">
        <v>45551.40760416666</v>
      </c>
      <c r="P841" s="3" t="inlineStr">
        <is>
          <t>56.15</t>
        </is>
      </c>
      <c r="Q841" t="inlineStr">
        <is>
          <t>Köln</t>
        </is>
      </c>
    </row>
    <row r="842">
      <c r="A842" t="inlineStr">
        <is>
          <t>228x85</t>
        </is>
      </c>
      <c r="B842" t="inlineStr">
        <is>
          <t>Starboard iSonic 127</t>
        </is>
      </c>
      <c r="C842" t="inlineStr">
        <is>
          <t>Slalom</t>
        </is>
      </c>
      <c r="D842" s="3" t="n">
        <v>127</v>
      </c>
      <c r="E842" t="inlineStr">
        <is>
          <t>2012</t>
        </is>
      </c>
      <c r="F842" s="4" t="n">
        <v>560</v>
      </c>
      <c r="G842" t="inlineStr">
        <is>
          <t>VB</t>
        </is>
      </c>
      <c r="H842" t="inlineStr">
        <is>
          <t>94522 Bayern - Wallersdorf</t>
        </is>
      </c>
      <c r="I842" s="5" t="n">
        <v>45550</v>
      </c>
      <c r="J842" t="inlineStr">
        <is>
          <t>Sold</t>
        </is>
      </c>
      <c r="K842" s="6">
        <f>HYPERLINK("https://www.kleinanzeigen.de/s-anzeige/starboard-isonic-127-carbon-2012-slalom-windsurfboard/2864839543-230-6012", "Link")</f>
        <v/>
      </c>
      <c r="L842" s="6">
        <f>HYPERLINK("C:\Projects\Kleinanzeigen-Scraper\offer_images\2864839543", "Link")</f>
        <v/>
      </c>
      <c r="M842" t="inlineStr">
        <is>
          <t>Karlheinz Salzer</t>
        </is>
      </c>
      <c r="N842" s="6">
        <f>HYPERLINK("https://www.kleinanzeigen.de/s-bestandsliste.html?userId=19628642", "Link")</f>
        <v/>
      </c>
      <c r="O842" s="7" t="n">
        <v>45551.40758101852</v>
      </c>
      <c r="P842" s="3" t="inlineStr">
        <is>
          <t>109.42</t>
        </is>
      </c>
      <c r="Q842" t="inlineStr">
        <is>
          <t>München</t>
        </is>
      </c>
    </row>
    <row r="843">
      <c r="A843" t="inlineStr">
        <is>
          <t>248 x 72 cm</t>
        </is>
      </c>
      <c r="B843" t="inlineStr">
        <is>
          <t>Starboard S Type</t>
        </is>
      </c>
      <c r="C843" t="inlineStr">
        <is>
          <t>Freeride</t>
        </is>
      </c>
      <c r="D843" s="3" t="n">
        <v>137</v>
      </c>
      <c r="E843" t="inlineStr"/>
      <c r="F843" s="4" t="n">
        <v>300</v>
      </c>
      <c r="G843" t="inlineStr"/>
      <c r="H843" t="inlineStr">
        <is>
          <t>14089 Berlin - Spandau</t>
        </is>
      </c>
      <c r="I843" s="5" t="n">
        <v>45502</v>
      </c>
      <c r="J843" t="inlineStr">
        <is>
          <t>Sold</t>
        </is>
      </c>
      <c r="K843" s="6">
        <f>HYPERLINK("https://www.kleinanzeigen.de/s-anzeige/starboard-s-type-137l/2824468698-230-9643", "Link")</f>
        <v/>
      </c>
      <c r="L843" s="6">
        <f>HYPERLINK("C:\Projects\Kleinanzeigen-Scraper\offer_images\2824468698", "Link")</f>
        <v/>
      </c>
      <c r="M843" t="inlineStr">
        <is>
          <t>Schmidt Nelly</t>
        </is>
      </c>
      <c r="N843" s="6">
        <f>HYPERLINK("https://www.kleinanzeigen.de/s-bestandsliste.html?userId=18507550", "Link")</f>
        <v/>
      </c>
      <c r="O843" s="7" t="n">
        <v>45551.4075</v>
      </c>
      <c r="P843" s="3" t="inlineStr">
        <is>
          <t>459.79</t>
        </is>
      </c>
      <c r="Q843" t="inlineStr">
        <is>
          <t>Köln</t>
        </is>
      </c>
    </row>
    <row r="844">
      <c r="A844" t="inlineStr">
        <is>
          <t>11'2 x 31+</t>
        </is>
      </c>
      <c r="B844" t="inlineStr">
        <is>
          <t>Starboard iGo Zen</t>
        </is>
      </c>
      <c r="C844" t="inlineStr"/>
      <c r="D844" s="3" t="n">
        <v>160</v>
      </c>
      <c r="E844" t="inlineStr">
        <is>
          <t>2022/2023</t>
        </is>
      </c>
      <c r="F844" s="4" t="n">
        <v>420</v>
      </c>
      <c r="G844" t="inlineStr"/>
      <c r="H844" t="inlineStr">
        <is>
          <t>83684 Bayern - Tegernsee</t>
        </is>
      </c>
      <c r="I844" s="5" t="n">
        <v>45177</v>
      </c>
      <c r="J844" t="inlineStr">
        <is>
          <t>Sold</t>
        </is>
      </c>
      <c r="K844" s="6">
        <f>HYPERLINK("https://www.kleinanzeigen.de/s-anzeige/starboard-igo-zen-double-chamber-11-2-x-31-/2540931756-230-5893", "Link")</f>
        <v/>
      </c>
      <c r="L844" s="6">
        <f>HYPERLINK("C:\Projects\Kleinanzeigen-Scraper\offer_images\2540931756", "Link")</f>
        <v/>
      </c>
      <c r="M844" t="inlineStr">
        <is>
          <t>Stephan</t>
        </is>
      </c>
      <c r="N844" s="6">
        <f>HYPERLINK("https://www.kleinanzeigen.de/s-bestandsliste.html?userId=57946498", "Link")</f>
        <v/>
      </c>
      <c r="O844" s="7" t="n">
        <v>45551.40747685185</v>
      </c>
      <c r="P844" s="3" t="inlineStr">
        <is>
          <t>48.45</t>
        </is>
      </c>
      <c r="Q844" t="inlineStr">
        <is>
          <t>München</t>
        </is>
      </c>
    </row>
    <row r="845">
      <c r="A845" t="inlineStr"/>
      <c r="B845" t="inlineStr">
        <is>
          <t>Starboard iSonic</t>
        </is>
      </c>
      <c r="C845" t="inlineStr">
        <is>
          <t>Race</t>
        </is>
      </c>
      <c r="D845" s="3" t="n">
        <v>101</v>
      </c>
      <c r="E845" t="inlineStr"/>
      <c r="F845" s="4" t="n">
        <v>350</v>
      </c>
      <c r="G845" t="inlineStr">
        <is>
          <t>VB</t>
        </is>
      </c>
      <c r="H845" t="inlineStr">
        <is>
          <t>34537 Hessen - Bad Wildungen</t>
        </is>
      </c>
      <c r="I845" s="5" t="n">
        <v>45470</v>
      </c>
      <c r="J845" t="inlineStr"/>
      <c r="K845" s="6">
        <f>HYPERLINK("https://www.kleinanzeigen.de/s-anzeige/starboard-isonic-board-windsurfen-surfbrett-/2798257875-230-4750", "Link")</f>
        <v/>
      </c>
      <c r="L845" s="6">
        <f>HYPERLINK("C:\Projects\Kleinanzeigen-Scraper\offer_images\2798257875", "Link")</f>
        <v/>
      </c>
      <c r="M845" t="inlineStr">
        <is>
          <t>Günter Richter</t>
        </is>
      </c>
      <c r="N845" s="6">
        <f>HYPERLINK("https://www.kleinanzeigen.de/s-bestandsliste.html?userId=11284111", "Link")</f>
        <v/>
      </c>
      <c r="O845" s="7" t="n">
        <v>45551.40744212963</v>
      </c>
      <c r="P845" s="3" t="inlineStr">
        <is>
          <t>152.32</t>
        </is>
      </c>
      <c r="Q845" t="inlineStr">
        <is>
          <t>Köln</t>
        </is>
      </c>
    </row>
    <row r="846">
      <c r="A846" t="inlineStr"/>
      <c r="B846" t="inlineStr">
        <is>
          <t>Starboard iSonic97 IQ</t>
        </is>
      </c>
      <c r="C846" t="inlineStr"/>
      <c r="D846" s="3" t="inlineStr"/>
      <c r="E846" t="inlineStr"/>
      <c r="F846" s="4" t="n">
        <v>290</v>
      </c>
      <c r="G846" t="inlineStr"/>
      <c r="H846" t="inlineStr">
        <is>
          <t>10245 Friedrichshain-Kreuzberg - Friedrichshain</t>
        </is>
      </c>
      <c r="I846" s="5" t="n">
        <v>45501</v>
      </c>
      <c r="J846" t="inlineStr">
        <is>
          <t>Sold</t>
        </is>
      </c>
      <c r="K846" s="6">
        <f>HYPERLINK("https://www.kleinanzeigen.de/s-anzeige/windsurfboard-isonic97-iq-starboard/2823581743-230-3352", "Link")</f>
        <v/>
      </c>
      <c r="L846" s="6">
        <f>HYPERLINK("C:\Projects\Kleinanzeigen-Scraper\offer_images\2823581743", "Link")</f>
        <v/>
      </c>
      <c r="M846" t="inlineStr">
        <is>
          <t>Andrej</t>
        </is>
      </c>
      <c r="N846" s="6">
        <f>HYPERLINK("https://www.kleinanzeigen.de/s-bestandsliste.html?userId=7418705", "Link")</f>
        <v/>
      </c>
      <c r="O846" s="7" t="n">
        <v>45551.40734953704</v>
      </c>
      <c r="P846" s="3" t="inlineStr">
        <is>
          <t>480.20</t>
        </is>
      </c>
      <c r="Q846" t="inlineStr">
        <is>
          <t>Köln</t>
        </is>
      </c>
    </row>
    <row r="847">
      <c r="A847" t="inlineStr">
        <is>
          <t>350cm x 73.6cm x 15.2cm</t>
        </is>
      </c>
      <c r="B847" t="inlineStr">
        <is>
          <t>STARBOARD Touring</t>
        </is>
      </c>
      <c r="C847" t="inlineStr">
        <is>
          <t>Touring</t>
        </is>
      </c>
      <c r="D847" s="3" t="inlineStr"/>
      <c r="E847" t="inlineStr">
        <is>
          <t>2024</t>
        </is>
      </c>
      <c r="F847" s="4" t="n">
        <v>749</v>
      </c>
      <c r="G847" t="inlineStr"/>
      <c r="H847" t="inlineStr">
        <is>
          <t>57489 Nordrhein-Westfalen - Drolshagen</t>
        </is>
      </c>
      <c r="I847" s="5" t="n">
        <v>45507</v>
      </c>
      <c r="J847" t="inlineStr">
        <is>
          <t>Sold</t>
        </is>
      </c>
      <c r="K847" s="6">
        <f>HYPERLINK("https://www.kleinanzeigen.de/s-anzeige/neuware-starboard-touring-11-6-x-29-dl-rol-sup-board-komplettset/2827950713-230-1530", "Link")</f>
        <v/>
      </c>
      <c r="L847" s="6">
        <f>HYPERLINK("C:\Projects\Kleinanzeigen-Scraper\offer_images\2827950713", "Link")</f>
        <v/>
      </c>
      <c r="M847" t="inlineStr">
        <is>
          <t>key2fun</t>
        </is>
      </c>
      <c r="N847" s="6">
        <f>HYPERLINK("https://www.kleinanzeigen.de/s-bestandsliste.html?userId=68821592", "Link")</f>
        <v/>
      </c>
      <c r="O847" s="7" t="n">
        <v>45551.40730324074</v>
      </c>
      <c r="P847" s="3" t="inlineStr">
        <is>
          <t>58.85</t>
        </is>
      </c>
      <c r="Q847" t="inlineStr">
        <is>
          <t>Köln</t>
        </is>
      </c>
    </row>
    <row r="848">
      <c r="A848" t="inlineStr">
        <is>
          <t>11'2" / 340 cm</t>
        </is>
      </c>
      <c r="B848" t="inlineStr">
        <is>
          <t>Starboard igo Zen</t>
        </is>
      </c>
      <c r="C848" t="inlineStr">
        <is>
          <t>SUP</t>
        </is>
      </c>
      <c r="D848" s="3" t="n">
        <v>319</v>
      </c>
      <c r="E848" t="inlineStr"/>
      <c r="F848" s="4" t="n">
        <v>385</v>
      </c>
      <c r="G848" t="inlineStr"/>
      <c r="H848" t="inlineStr">
        <is>
          <t>31134 Niedersachsen - Hildesheim</t>
        </is>
      </c>
      <c r="I848" s="5" t="n">
        <v>45095</v>
      </c>
      <c r="J848" t="inlineStr">
        <is>
          <t>Sold</t>
        </is>
      </c>
      <c r="K848" s="6">
        <f>HYPERLINK("https://www.kleinanzeigen.de/s-anzeige/sup-starboard-igo-zen-11-2/2471465660-230-3148", "Link")</f>
        <v/>
      </c>
      <c r="L848" s="6">
        <f>HYPERLINK("C:\Projects\Kleinanzeigen-Scraper\offer_images\2471465660", "Link")</f>
        <v/>
      </c>
      <c r="M848" t="inlineStr">
        <is>
          <t>cr</t>
        </is>
      </c>
      <c r="N848" s="6">
        <f>HYPERLINK("https://www.kleinanzeigen.de/s-bestandsliste.html?userId=8559538", "Link")</f>
        <v/>
      </c>
      <c r="O848" s="7" t="n">
        <v>45551.40725694445</v>
      </c>
      <c r="P848" s="3" t="inlineStr">
        <is>
          <t>247.16</t>
        </is>
      </c>
      <c r="Q848" t="inlineStr">
        <is>
          <t>Köln</t>
        </is>
      </c>
    </row>
    <row r="849">
      <c r="A849" t="inlineStr"/>
      <c r="B849" t="inlineStr">
        <is>
          <t>Starboard Kode Wave</t>
        </is>
      </c>
      <c r="C849" t="inlineStr">
        <is>
          <t>Wave</t>
        </is>
      </c>
      <c r="D849" s="3" t="n">
        <v>92</v>
      </c>
      <c r="E849" t="inlineStr"/>
      <c r="F849" s="4" t="n">
        <v>120</v>
      </c>
      <c r="G849" t="inlineStr"/>
      <c r="H849" t="inlineStr">
        <is>
          <t>18311 Nordvorpommern - Landkreis - Ribnitz-Damgarten</t>
        </is>
      </c>
      <c r="I849" s="5" t="n">
        <v>45501</v>
      </c>
      <c r="J849" t="inlineStr">
        <is>
          <t>Sold</t>
        </is>
      </c>
      <c r="K849" s="6">
        <f>HYPERLINK("https://www.kleinanzeigen.de/s-anzeige/starboard-kode-wave-92-windsurfboard-jp-fanatic-freestyle-wave/2823066197-230-82", "Link")</f>
        <v/>
      </c>
      <c r="L849" s="6">
        <f>HYPERLINK("C:\Projects\Kleinanzeigen-Scraper\offer_images\2823066197", "Link")</f>
        <v/>
      </c>
      <c r="M849" t="inlineStr">
        <is>
          <t>Hr. Lehmann</t>
        </is>
      </c>
      <c r="N849" s="6">
        <f>HYPERLINK("https://www.kleinanzeigen.de/s-bestandsliste.html?userId=37285839", "Link")</f>
        <v/>
      </c>
      <c r="O849" s="7" t="n">
        <v>45551.40723379629</v>
      </c>
      <c r="P849" s="3" t="inlineStr">
        <is>
          <t>518.55</t>
        </is>
      </c>
      <c r="Q849" t="inlineStr">
        <is>
          <t>Köln</t>
        </is>
      </c>
    </row>
    <row r="850">
      <c r="A850" t="inlineStr"/>
      <c r="B850" t="inlineStr">
        <is>
          <t>Starboard iSonic 94</t>
        </is>
      </c>
      <c r="C850" t="inlineStr">
        <is>
          <t>Slalom</t>
        </is>
      </c>
      <c r="D850" s="3" t="n">
        <v>94</v>
      </c>
      <c r="E850" t="inlineStr"/>
      <c r="F850" s="4" t="n">
        <v>110</v>
      </c>
      <c r="G850" t="inlineStr"/>
      <c r="H850" t="inlineStr">
        <is>
          <t>19067 Parchim - Landkreis - Dobin am See</t>
        </is>
      </c>
      <c r="I850" s="5" t="n">
        <v>45508</v>
      </c>
      <c r="J850" t="inlineStr">
        <is>
          <t>Sold</t>
        </is>
      </c>
      <c r="K850" s="6">
        <f>HYPERLINK("https://www.kleinanzeigen.de/s-anzeige/starboard-isonic-94-wood-slalom/2828899811-230-16542", "Link")</f>
        <v/>
      </c>
      <c r="L850" s="6">
        <f>HYPERLINK("C:\Projects\Kleinanzeigen-Scraper\offer_images\2828899811", "Link")</f>
        <v/>
      </c>
      <c r="M850" t="inlineStr">
        <is>
          <t>###PQ</t>
        </is>
      </c>
      <c r="N850" s="6">
        <f>HYPERLINK("https://www.kleinanzeigen.de/s-bestandsliste.html?userId=2765287", "Link")</f>
        <v/>
      </c>
      <c r="O850" s="7" t="n">
        <v>45551.40715277778</v>
      </c>
      <c r="P850" s="3" t="inlineStr">
        <is>
          <t>436.46</t>
        </is>
      </c>
      <c r="Q850" t="inlineStr">
        <is>
          <t>Köln</t>
        </is>
      </c>
    </row>
    <row r="851">
      <c r="A851" t="inlineStr"/>
      <c r="B851" t="inlineStr">
        <is>
          <t>Starboard Carve</t>
        </is>
      </c>
      <c r="C851" t="inlineStr">
        <is>
          <t>Freeride</t>
        </is>
      </c>
      <c r="D851" s="3" t="n">
        <v>121</v>
      </c>
      <c r="E851" t="inlineStr"/>
      <c r="F851" s="4" t="n">
        <v>595</v>
      </c>
      <c r="G851" t="inlineStr"/>
      <c r="H851" t="inlineStr">
        <is>
          <t>67346 Rheinland-Pfalz - Speyer</t>
        </is>
      </c>
      <c r="I851" s="5" t="n">
        <v>45322</v>
      </c>
      <c r="J851" t="inlineStr">
        <is>
          <t>Sold</t>
        </is>
      </c>
      <c r="K851" s="6">
        <f>HYPERLINK("https://www.kleinanzeigen.de/s-anzeige/starboard-carve-121-liter-windsurfbrett-windsurfboard/2667089732-230-5365", "Link")</f>
        <v/>
      </c>
      <c r="L851" s="6">
        <f>HYPERLINK("C:\Projects\Kleinanzeigen-Scraper\offer_images\2667089732", "Link")</f>
        <v/>
      </c>
      <c r="M851" t="inlineStr">
        <is>
          <t>D. Ertel</t>
        </is>
      </c>
      <c r="N851" s="6">
        <f>HYPERLINK("https://www.kleinanzeigen.de/s-bestandsliste.html?userId=13322828", "Link")</f>
        <v/>
      </c>
      <c r="O851" s="7" t="n">
        <v>45551.40715277778</v>
      </c>
      <c r="P851" s="3" t="inlineStr">
        <is>
          <t>35.76</t>
        </is>
      </c>
      <c r="Q851" t="inlineStr">
        <is>
          <t>Karlsruhe</t>
        </is>
      </c>
    </row>
    <row r="852">
      <c r="A852" t="inlineStr"/>
      <c r="B852" t="inlineStr">
        <is>
          <t>Starboard Carve 111</t>
        </is>
      </c>
      <c r="C852" t="inlineStr">
        <is>
          <t>Freeride</t>
        </is>
      </c>
      <c r="D852" s="3" t="n">
        <v>111</v>
      </c>
      <c r="E852" t="inlineStr"/>
      <c r="F852" s="4" t="n">
        <v>230</v>
      </c>
      <c r="G852" t="inlineStr">
        <is>
          <t>VB</t>
        </is>
      </c>
      <c r="H852" t="inlineStr">
        <is>
          <t>20144 Eimsbüttel - Hamburg Eimsbüttel (Stadtteil)</t>
        </is>
      </c>
      <c r="I852" s="5" t="n">
        <v>45554</v>
      </c>
      <c r="J852" t="inlineStr"/>
      <c r="K852" s="6">
        <f>HYPERLINK("https://www.kleinanzeigen.de/s-anzeige/starboard-carve-111-aelteres-modell-aber-tadellos/2720443099-230-9432", "Link")</f>
        <v/>
      </c>
      <c r="L852" s="6">
        <f>HYPERLINK("C:\Projects\Kleinanzeigen-Scraper\offer_images\2720443099", "Link")</f>
        <v/>
      </c>
      <c r="M852" t="inlineStr">
        <is>
          <t>Andrea Westermann</t>
        </is>
      </c>
      <c r="N852" s="6">
        <f>HYPERLINK("https://www.kleinanzeigen.de/s-bestandsliste.html?userId=263689", "Link")</f>
        <v/>
      </c>
      <c r="O852" s="7" t="n">
        <v>45551.40712962963</v>
      </c>
      <c r="P852" s="3" t="inlineStr">
        <is>
          <t>358.05</t>
        </is>
      </c>
      <c r="Q852" t="inlineStr">
        <is>
          <t>Köln</t>
        </is>
      </c>
    </row>
    <row r="853">
      <c r="A853" t="inlineStr">
        <is>
          <t>238cm x 61.5cm</t>
        </is>
      </c>
      <c r="B853" t="inlineStr">
        <is>
          <t>Starboard Futura</t>
        </is>
      </c>
      <c r="C853" t="inlineStr">
        <is>
          <t>Freeride</t>
        </is>
      </c>
      <c r="D853" s="3" t="n">
        <v>93</v>
      </c>
      <c r="E853" t="inlineStr"/>
      <c r="F853" s="4" t="n">
        <v>349</v>
      </c>
      <c r="G853" t="inlineStr"/>
      <c r="H853" t="inlineStr">
        <is>
          <t>18146 Rostock - Hinrichsdorf</t>
        </is>
      </c>
      <c r="I853" s="5" t="n">
        <v>45001</v>
      </c>
      <c r="J853" t="inlineStr"/>
      <c r="K853" s="6">
        <f>HYPERLINK("https://www.kleinanzeigen.de/s-anzeige/starboard-futura-93-surfbrett-surfboard-windsurfen/2386373031-230-9535", "Link")</f>
        <v/>
      </c>
      <c r="L853" s="6">
        <f>HYPERLINK("C:\Projects\Kleinanzeigen-Scraper\offer_images\2386373031", "Link")</f>
        <v/>
      </c>
      <c r="M853" t="inlineStr">
        <is>
          <t>Michael Schade</t>
        </is>
      </c>
      <c r="N853" s="6">
        <f>HYPERLINK("https://www.kleinanzeigen.de/s-bestandsliste.html?userId=21535402", "Link")</f>
        <v/>
      </c>
      <c r="O853" s="7" t="n">
        <v>45551.40697916667</v>
      </c>
      <c r="P853" s="3" t="inlineStr">
        <is>
          <t>497.86</t>
        </is>
      </c>
      <c r="Q853" t="inlineStr">
        <is>
          <t>Köln</t>
        </is>
      </c>
    </row>
    <row r="854">
      <c r="A854" t="inlineStr">
        <is>
          <t>246 x 72 cm</t>
        </is>
      </c>
      <c r="B854" t="inlineStr">
        <is>
          <t>Starboard Futura</t>
        </is>
      </c>
      <c r="C854" t="inlineStr">
        <is>
          <t>Freeride</t>
        </is>
      </c>
      <c r="D854" s="3" t="n">
        <v>122</v>
      </c>
      <c r="E854" t="inlineStr"/>
      <c r="F854" s="4" t="n">
        <v>250</v>
      </c>
      <c r="G854" t="inlineStr">
        <is>
          <t>VB</t>
        </is>
      </c>
      <c r="H854" t="inlineStr">
        <is>
          <t>56075 Rheinland-Pfalz - Koblenz</t>
        </is>
      </c>
      <c r="I854" s="5" t="n">
        <v>45437</v>
      </c>
      <c r="J854" t="inlineStr"/>
      <c r="K854" s="6">
        <f>HYPERLINK("https://www.kleinanzeigen.de/s-anzeige/starboard-futura-122-l-wood/2770923769-230-5422", "Link")</f>
        <v/>
      </c>
      <c r="L854" s="6">
        <f>HYPERLINK("C:\Projects\Kleinanzeigen-Scraper\offer_images\2770923769", "Link")</f>
        <v/>
      </c>
      <c r="M854" t="inlineStr">
        <is>
          <t>Daniela Zündorf</t>
        </is>
      </c>
      <c r="N854" s="6">
        <f>HYPERLINK("https://www.kleinanzeigen.de/s-bestandsliste.html?userId=16824848", "Link")</f>
        <v/>
      </c>
      <c r="O854" s="7" t="n">
        <v>45551.40697916667</v>
      </c>
      <c r="P854" s="3" t="inlineStr">
        <is>
          <t>81.61</t>
        </is>
      </c>
      <c r="Q854" t="inlineStr">
        <is>
          <t>Köln</t>
        </is>
      </c>
    </row>
    <row r="855">
      <c r="A855" t="inlineStr">
        <is>
          <t>241 cm x 51.5 cm</t>
        </is>
      </c>
      <c r="B855" t="inlineStr">
        <is>
          <t>GOYA Custom Wave</t>
        </is>
      </c>
      <c r="C855" t="inlineStr">
        <is>
          <t>Wave</t>
        </is>
      </c>
      <c r="D855" s="3" t="n">
        <v>66</v>
      </c>
      <c r="E855" t="inlineStr"/>
      <c r="F855" s="4" t="n">
        <v>300</v>
      </c>
      <c r="G855" t="inlineStr"/>
      <c r="H855" t="inlineStr">
        <is>
          <t>24105 Schleswig-Holstein - Kiel</t>
        </is>
      </c>
      <c r="I855" s="5" t="n">
        <v>45550</v>
      </c>
      <c r="J855" t="inlineStr"/>
      <c r="K855" s="6">
        <f>HYPERLINK("https://www.kleinanzeigen.de/s-anzeige/neu-goya-custom-wave-66l-windsurf-board-waveboard-francisco/2863718143-230-708", "Link")</f>
        <v/>
      </c>
      <c r="L855" s="6">
        <f>HYPERLINK("C:\Projects\Kleinanzeigen-Scraper\offer_images\2863718143", "Link")</f>
        <v/>
      </c>
      <c r="M855" t="inlineStr">
        <is>
          <t>Jan</t>
        </is>
      </c>
      <c r="N855" s="6">
        <f>HYPERLINK("https://www.kleinanzeigen.de/s-bestandsliste.html?userId=9631650", "Link")</f>
        <v/>
      </c>
      <c r="O855" s="7" t="n">
        <v>45551.40695601852</v>
      </c>
      <c r="P855" s="3" t="inlineStr">
        <is>
          <t>435.05</t>
        </is>
      </c>
      <c r="Q855" t="inlineStr">
        <is>
          <t>Köln</t>
        </is>
      </c>
    </row>
    <row r="856">
      <c r="A856" t="inlineStr">
        <is>
          <t>243x59</t>
        </is>
      </c>
      <c r="B856" t="inlineStr">
        <is>
          <t>Starboard iSonic 94</t>
        </is>
      </c>
      <c r="C856" t="inlineStr">
        <is>
          <t>Slalom</t>
        </is>
      </c>
      <c r="D856" s="3" t="n">
        <v>94</v>
      </c>
      <c r="E856" t="inlineStr"/>
      <c r="F856" s="4" t="n">
        <v>110</v>
      </c>
      <c r="G856" t="inlineStr">
        <is>
          <t>VB</t>
        </is>
      </c>
      <c r="H856" t="inlineStr">
        <is>
          <t>38154 Niedersachsen - Königslutter am Elm</t>
        </is>
      </c>
      <c r="I856" s="5" t="n">
        <v>45508</v>
      </c>
      <c r="J856" t="inlineStr">
        <is>
          <t>Sold</t>
        </is>
      </c>
      <c r="K856" s="6">
        <f>HYPERLINK("https://www.kleinanzeigen.de/s-anzeige/starboard-isonic-94-wood-slalom-speed-surfbrett/2828895004-230-14236", "Link")</f>
        <v/>
      </c>
      <c r="L856" s="6">
        <f>HYPERLINK("C:\Projects\Kleinanzeigen-Scraper\offer_images\2828895004", "Link")</f>
        <v/>
      </c>
      <c r="M856" t="inlineStr">
        <is>
          <t>###PQ</t>
        </is>
      </c>
      <c r="N856" s="6">
        <f>HYPERLINK("https://www.kleinanzeigen.de/s-bestandsliste.html?userId=2765287", "Link")</f>
        <v/>
      </c>
      <c r="O856" s="7" t="n">
        <v>45551.40692129629</v>
      </c>
      <c r="P856" s="3" t="inlineStr">
        <is>
          <t>303.77</t>
        </is>
      </c>
      <c r="Q856" t="inlineStr">
        <is>
          <t>Köln</t>
        </is>
      </c>
    </row>
    <row r="857">
      <c r="A857" t="inlineStr">
        <is>
          <t>238 x 61.5 cm</t>
        </is>
      </c>
      <c r="B857" t="inlineStr">
        <is>
          <t>Starboard Futura</t>
        </is>
      </c>
      <c r="C857" t="inlineStr">
        <is>
          <t>Freeride</t>
        </is>
      </c>
      <c r="D857" s="3" t="n">
        <v>93</v>
      </c>
      <c r="E857" t="inlineStr"/>
      <c r="F857" s="4" t="n">
        <v>200</v>
      </c>
      <c r="G857" t="inlineStr">
        <is>
          <t>VB</t>
        </is>
      </c>
      <c r="H857" t="inlineStr">
        <is>
          <t>87616 Bayern - Marktoberdorf</t>
        </is>
      </c>
      <c r="I857" s="5" t="n">
        <v>45494</v>
      </c>
      <c r="J857" t="inlineStr"/>
      <c r="K857" s="6">
        <f>HYPERLINK("https://www.kleinanzeigen.de/s-anzeige/starboard-futura-238-x-61-5cm-93-liter-volumen/2817762966-230-6561", "Link")</f>
        <v/>
      </c>
      <c r="L857" s="6">
        <f>HYPERLINK("C:\Projects\Kleinanzeigen-Scraper\offer_images\2817762966", "Link")</f>
        <v/>
      </c>
      <c r="M857" t="inlineStr">
        <is>
          <t>A. M.</t>
        </is>
      </c>
      <c r="N857" s="6">
        <f>HYPERLINK("https://www.kleinanzeigen.de/s-bestandsliste.html?userId=20079111", "Link")</f>
        <v/>
      </c>
      <c r="O857" s="7" t="n">
        <v>45551.40685185185</v>
      </c>
      <c r="P857" s="3" t="inlineStr">
        <is>
          <t>83.30</t>
        </is>
      </c>
      <c r="Q857" t="inlineStr">
        <is>
          <t>München</t>
        </is>
      </c>
    </row>
    <row r="858">
      <c r="A858" t="inlineStr">
        <is>
          <t>141</t>
        </is>
      </c>
      <c r="B858" t="inlineStr">
        <is>
          <t>Starboard Carve</t>
        </is>
      </c>
      <c r="C858" t="inlineStr">
        <is>
          <t>Freeride</t>
        </is>
      </c>
      <c r="D858" s="3" t="inlineStr"/>
      <c r="E858" t="inlineStr">
        <is>
          <t>2019</t>
        </is>
      </c>
      <c r="F858" s="4" t="n">
        <v>450</v>
      </c>
      <c r="G858" t="inlineStr">
        <is>
          <t>VB</t>
        </is>
      </c>
      <c r="H858" t="inlineStr">
        <is>
          <t>66287 Saarland - Quierschied</t>
        </is>
      </c>
      <c r="I858" s="5" t="n">
        <v>45492</v>
      </c>
      <c r="J858" t="inlineStr">
        <is>
          <t>Sold</t>
        </is>
      </c>
      <c r="K858" s="6">
        <f>HYPERLINK("https://www.kleinanzeigen.de/s-anzeige/starboard-carve-141/2816185080-230-330", "Link")</f>
        <v/>
      </c>
      <c r="L858" s="6">
        <f>HYPERLINK("C:\Projects\Kleinanzeigen-Scraper\offer_images\2816185080", "Link")</f>
        <v/>
      </c>
      <c r="M858" t="inlineStr">
        <is>
          <t>Oliver</t>
        </is>
      </c>
      <c r="N858" s="6">
        <f>HYPERLINK("https://www.kleinanzeigen.de/s-bestandsliste.html?userId=129668761", "Link")</f>
        <v/>
      </c>
      <c r="O858" s="7" t="n">
        <v>45551.40679398148</v>
      </c>
      <c r="P858" s="3" t="inlineStr">
        <is>
          <t>103.51</t>
        </is>
      </c>
      <c r="Q858" t="inlineStr">
        <is>
          <t>Karlsruhe</t>
        </is>
      </c>
    </row>
    <row r="859">
      <c r="A859" t="inlineStr"/>
      <c r="B859" t="inlineStr">
        <is>
          <t>Starboard Kode</t>
        </is>
      </c>
      <c r="C859" t="inlineStr">
        <is>
          <t>Allround</t>
        </is>
      </c>
      <c r="D859" s="3" t="n">
        <v>122</v>
      </c>
      <c r="E859" t="inlineStr"/>
      <c r="F859" s="4" t="n">
        <v>270</v>
      </c>
      <c r="G859" t="inlineStr">
        <is>
          <t>VB</t>
        </is>
      </c>
      <c r="H859" t="inlineStr">
        <is>
          <t>79288 Baden-Württemberg - Gottenheim</t>
        </is>
      </c>
      <c r="I859" s="5" t="n">
        <v>45495</v>
      </c>
      <c r="J859" t="inlineStr">
        <is>
          <t>Sold</t>
        </is>
      </c>
      <c r="K859" s="6">
        <f>HYPERLINK("https://www.kleinanzeigen.de/s-anzeige/starboard-kode-122l-tufskin-wind-surfboard-fuer-kinder-jugendliche/2818235854-230-9377", "Link")</f>
        <v/>
      </c>
      <c r="L859" s="6">
        <f>HYPERLINK("C:\Projects\Kleinanzeigen-Scraper\offer_images\2818235854", "Link")</f>
        <v/>
      </c>
      <c r="M859" t="inlineStr">
        <is>
          <t>Rainer</t>
        </is>
      </c>
      <c r="N859" s="6">
        <f>HYPERLINK("https://www.kleinanzeigen.de/s-bestandsliste.html?userId=44671595", "Link")</f>
        <v/>
      </c>
      <c r="O859" s="7" t="n">
        <v>45551.40670138889</v>
      </c>
      <c r="P859" s="3" t="inlineStr">
        <is>
          <t>52.27</t>
        </is>
      </c>
      <c r="Q859" t="inlineStr">
        <is>
          <t>Bonndorf</t>
        </is>
      </c>
    </row>
    <row r="860">
      <c r="A860" t="inlineStr"/>
      <c r="B860" t="inlineStr">
        <is>
          <t>Tabou Rocket</t>
        </is>
      </c>
      <c r="C860" t="inlineStr">
        <is>
          <t>Freeride</t>
        </is>
      </c>
      <c r="D860" s="3" t="n">
        <v>135</v>
      </c>
      <c r="E860" t="inlineStr"/>
      <c r="F860" s="4" t="n">
        <v>575</v>
      </c>
      <c r="G860" t="inlineStr"/>
      <c r="H860" t="inlineStr">
        <is>
          <t>48529 Niedersachsen - Nordhorn</t>
        </is>
      </c>
      <c r="I860" s="5" t="n">
        <v>45550</v>
      </c>
      <c r="J860" t="inlineStr">
        <is>
          <t>Sold</t>
        </is>
      </c>
      <c r="K860" s="6">
        <f>HYPERLINK("https://www.kleinanzeigen.de/s-anzeige/tabou-rocket-135/2864095616-230-3018", "Link")</f>
        <v/>
      </c>
      <c r="L860" s="6">
        <f>HYPERLINK("C:\Projects\Kleinanzeigen-Scraper\offer_images\2864095616", "Link")</f>
        <v/>
      </c>
      <c r="M860" t="inlineStr">
        <is>
          <t>Joachim</t>
        </is>
      </c>
      <c r="N860" s="6">
        <f>HYPERLINK("https://www.kleinanzeigen.de/s-bestandsliste.html?userId=4411449", "Link")</f>
        <v/>
      </c>
      <c r="O860" s="7" t="n">
        <v>45551.40659722222</v>
      </c>
      <c r="P860" s="3" t="inlineStr">
        <is>
          <t>162.75</t>
        </is>
      </c>
      <c r="Q860" t="inlineStr">
        <is>
          <t>Köln</t>
        </is>
      </c>
    </row>
    <row r="861">
      <c r="A861" t="inlineStr">
        <is>
          <t>236 cm x 56 cm</t>
        </is>
      </c>
      <c r="B861" t="inlineStr">
        <is>
          <t>RRD Freestyle Wave</t>
        </is>
      </c>
      <c r="C861" t="inlineStr">
        <is>
          <t>Freestyle Wave</t>
        </is>
      </c>
      <c r="D861" s="3" t="n">
        <v>80</v>
      </c>
      <c r="E861" t="inlineStr">
        <is>
          <t>2011</t>
        </is>
      </c>
      <c r="F861" s="4" t="n">
        <v>250</v>
      </c>
      <c r="G861" t="inlineStr"/>
      <c r="H861" t="inlineStr">
        <is>
          <t>73760 Baden-Württemberg - Ostfildern</t>
        </is>
      </c>
      <c r="I861" s="5" t="n">
        <v>45550</v>
      </c>
      <c r="J861" t="inlineStr"/>
      <c r="K861" s="6">
        <f>HYPERLINK("https://www.kleinanzeigen.de/s-anzeige/rrd-freestyle-wave-80l-limited-edition-mit-boardbag-nur-6-1-kg/2864700788-230-8437", "Link")</f>
        <v/>
      </c>
      <c r="L861" s="6">
        <f>HYPERLINK("C:\Projects\Kleinanzeigen-Scraper\offer_images\2864700788", "Link")</f>
        <v/>
      </c>
      <c r="M861" t="inlineStr">
        <is>
          <t>Bjoern Zietz</t>
        </is>
      </c>
      <c r="N861" s="6">
        <f>HYPERLINK("https://www.kleinanzeigen.de/s-bestandsliste.html?userId=7986780", "Link")</f>
        <v/>
      </c>
      <c r="O861" s="7" t="n">
        <v>45551.40659722222</v>
      </c>
      <c r="P861" s="3" t="inlineStr">
        <is>
          <t>21.07</t>
        </is>
      </c>
      <c r="Q861" t="inlineStr">
        <is>
          <t>Böblingen</t>
        </is>
      </c>
    </row>
    <row r="862">
      <c r="A862" t="inlineStr">
        <is>
          <t>271 cm x 61 cm</t>
        </is>
      </c>
      <c r="B862" t="inlineStr">
        <is>
          <t>Fanatic</t>
        </is>
      </c>
      <c r="C862" t="inlineStr"/>
      <c r="D862" s="3" t="n">
        <v>95</v>
      </c>
      <c r="E862" t="inlineStr"/>
      <c r="F862" s="4" t="n">
        <v>15</v>
      </c>
      <c r="G862" t="inlineStr">
        <is>
          <t>VB</t>
        </is>
      </c>
      <c r="H862" t="inlineStr">
        <is>
          <t>68259 Baden-Württemberg - Mannheim</t>
        </is>
      </c>
      <c r="I862" s="5" t="n">
        <v>45542</v>
      </c>
      <c r="J862" t="inlineStr">
        <is>
          <t>Sold</t>
        </is>
      </c>
      <c r="K862" s="6">
        <f>HYPERLINK("https://www.kleinanzeigen.de/s-anzeige/windsurfboard-fanatic/2856469949-230-7975", "Link")</f>
        <v/>
      </c>
      <c r="L862" s="6">
        <f>HYPERLINK("C:\Projects\Kleinanzeigen-Scraper\offer_images\2856469949", "Link")</f>
        <v/>
      </c>
      <c r="M862" t="inlineStr">
        <is>
          <t>Max Bracht</t>
        </is>
      </c>
      <c r="N862" s="6">
        <f>HYPERLINK("https://www.kleinanzeigen.de/s-bestandsliste.html?userId=8412349", "Link")</f>
        <v/>
      </c>
      <c r="O862" s="7" t="n">
        <v>45551.40657407408</v>
      </c>
      <c r="P862" s="3" t="inlineStr">
        <is>
          <t>56.44</t>
        </is>
      </c>
      <c r="Q862" t="inlineStr">
        <is>
          <t>Karlsruhe</t>
        </is>
      </c>
    </row>
    <row r="863">
      <c r="A863" t="inlineStr">
        <is>
          <t>230 x 61</t>
        </is>
      </c>
      <c r="B863" t="inlineStr">
        <is>
          <t>JP Australia Freestyle Wave</t>
        </is>
      </c>
      <c r="C863" t="inlineStr">
        <is>
          <t>Freestyle Wave</t>
        </is>
      </c>
      <c r="D863" s="3" t="n">
        <v>94</v>
      </c>
      <c r="E863" t="inlineStr">
        <is>
          <t>2020</t>
        </is>
      </c>
      <c r="F863" s="4" t="n">
        <v>850</v>
      </c>
      <c r="G863" t="inlineStr">
        <is>
          <t>VB</t>
        </is>
      </c>
      <c r="H863" t="inlineStr">
        <is>
          <t>51147 Köln - Porz</t>
        </is>
      </c>
      <c r="I863" s="5" t="n">
        <v>45550</v>
      </c>
      <c r="J863" t="inlineStr"/>
      <c r="K863" s="6">
        <f>HYPERLINK("https://www.kleinanzeigen.de/s-anzeige/jp-australia-freestyle-wave-94-windsurfen/2863969837-230-961", "Link")</f>
        <v/>
      </c>
      <c r="L863" s="6">
        <f>HYPERLINK("C:\Projects\Kleinanzeigen-Scraper\offer_images\2863969837", "Link")</f>
        <v/>
      </c>
      <c r="M863" t="inlineStr">
        <is>
          <t>David Maes</t>
        </is>
      </c>
      <c r="N863" s="6">
        <f>HYPERLINK("https://www.kleinanzeigen.de/s-bestandsliste.html?userId=34144277", "Link")</f>
        <v/>
      </c>
      <c r="O863" s="7" t="n">
        <v>45551.40650462963</v>
      </c>
      <c r="P863" s="3" t="inlineStr">
        <is>
          <t>14.27</t>
        </is>
      </c>
      <c r="Q863" t="inlineStr">
        <is>
          <t>Köln</t>
        </is>
      </c>
    </row>
    <row r="864">
      <c r="A864" t="inlineStr"/>
      <c r="B864" t="inlineStr">
        <is>
          <t>Starboard iSonic</t>
        </is>
      </c>
      <c r="C864" t="inlineStr">
        <is>
          <t>Slalom</t>
        </is>
      </c>
      <c r="D864" s="3" t="n">
        <v>101</v>
      </c>
      <c r="E864" t="inlineStr"/>
      <c r="F864" s="4" t="n">
        <v>300</v>
      </c>
      <c r="G864" t="inlineStr"/>
      <c r="H864" t="inlineStr">
        <is>
          <t>30449 Hannover - Linden-Limmer</t>
        </is>
      </c>
      <c r="I864" s="5" t="n">
        <v>45491</v>
      </c>
      <c r="J864" t="inlineStr">
        <is>
          <t>Sold</t>
        </is>
      </c>
      <c r="K864" s="6">
        <f>HYPERLINK("https://www.kleinanzeigen.de/s-anzeige/starboard-isonic-101/2815202098-230-3176", "Link")</f>
        <v/>
      </c>
      <c r="L864" s="6">
        <f>HYPERLINK("C:\Projects\Kleinanzeigen-Scraper\offer_images\2815202098", "Link")</f>
        <v/>
      </c>
      <c r="M864" t="inlineStr">
        <is>
          <t>Torsten</t>
        </is>
      </c>
      <c r="N864" s="6">
        <f>HYPERLINK("https://www.kleinanzeigen.de/s-bestandsliste.html?userId=11677366", "Link")</f>
        <v/>
      </c>
      <c r="O864" s="7" t="n">
        <v>45551.40646990741</v>
      </c>
      <c r="P864" s="3" t="inlineStr">
        <is>
          <t>247.39</t>
        </is>
      </c>
      <c r="Q864" t="inlineStr">
        <is>
          <t>Köln</t>
        </is>
      </c>
    </row>
    <row r="865">
      <c r="A865" t="inlineStr">
        <is>
          <t>Dimensions not provided</t>
        </is>
      </c>
      <c r="B865" t="inlineStr">
        <is>
          <t>Starboard</t>
        </is>
      </c>
      <c r="C865" t="inlineStr"/>
      <c r="D865" s="3" t="n">
        <v>116</v>
      </c>
      <c r="E865" t="inlineStr"/>
      <c r="F865" s="4" t="n">
        <v>120</v>
      </c>
      <c r="G865" t="inlineStr">
        <is>
          <t>VB</t>
        </is>
      </c>
      <c r="H865" t="inlineStr">
        <is>
          <t>41812 Nordrhein-Westfalen - Erkelenz</t>
        </is>
      </c>
      <c r="I865" s="5" t="n">
        <v>45299</v>
      </c>
      <c r="J865" t="inlineStr">
        <is>
          <t>Sold</t>
        </is>
      </c>
      <c r="K865" s="6">
        <f>HYPERLINK("https://www.kleinanzeigen.de/s-anzeige/windsurf-borad-starboard-116l/2648181326-230-1202", "Link")</f>
        <v/>
      </c>
      <c r="L865" s="6">
        <f>HYPERLINK("C:\Projects\Kleinanzeigen-Scraper\offer_images\2648181326", "Link")</f>
        <v/>
      </c>
      <c r="M865" t="inlineStr">
        <is>
          <t>Friedrich</t>
        </is>
      </c>
      <c r="N865" s="6">
        <f>HYPERLINK("https://www.kleinanzeigen.de/s-bestandsliste.html?userId=14596063", "Link")</f>
        <v/>
      </c>
      <c r="O865" s="7" t="n">
        <v>45551.40642361111</v>
      </c>
      <c r="P865" s="3" t="inlineStr">
        <is>
          <t>46.78</t>
        </is>
      </c>
      <c r="Q865" t="inlineStr">
        <is>
          <t>Köln</t>
        </is>
      </c>
    </row>
    <row r="866">
      <c r="A866" t="inlineStr">
        <is>
          <t>135 liters</t>
        </is>
      </c>
      <c r="B866" t="inlineStr">
        <is>
          <t>JP Hydrofoil</t>
        </is>
      </c>
      <c r="C866" t="inlineStr">
        <is>
          <t>Foil</t>
        </is>
      </c>
      <c r="D866" s="3" t="n">
        <v>135</v>
      </c>
      <c r="E866" t="inlineStr"/>
      <c r="F866" s="4" t="n">
        <v>590</v>
      </c>
      <c r="G866" t="inlineStr"/>
      <c r="H866" t="inlineStr">
        <is>
          <t>83677 Bayern - Reichersbeuern</t>
        </is>
      </c>
      <c r="I866" s="5" t="n">
        <v>45550</v>
      </c>
      <c r="J866" t="inlineStr">
        <is>
          <t>Sold</t>
        </is>
      </c>
      <c r="K866" s="6">
        <f>HYPERLINK("https://www.kleinanzeigen.de/s-anzeige/windsurf-foil-board/2863870370-242-5889", "Link")</f>
        <v/>
      </c>
      <c r="L866" s="6">
        <f>HYPERLINK("C:\Projects\Kleinanzeigen-Scraper\offer_images\2863870370", "Link")</f>
        <v/>
      </c>
      <c r="M866" t="inlineStr">
        <is>
          <t>Juergen Ernst</t>
        </is>
      </c>
      <c r="N866" s="6">
        <f>HYPERLINK("https://www.kleinanzeigen.de/s-bestandsliste.html?userId=79928445", "Link")</f>
        <v/>
      </c>
      <c r="O866" s="7" t="n">
        <v>45551.40641203704</v>
      </c>
      <c r="P866" s="3" t="inlineStr">
        <is>
          <t>41.34</t>
        </is>
      </c>
      <c r="Q866" t="inlineStr">
        <is>
          <t>München</t>
        </is>
      </c>
    </row>
    <row r="867">
      <c r="A867" t="inlineStr">
        <is>
          <t>275cm x 54cm</t>
        </is>
      </c>
      <c r="B867" t="inlineStr">
        <is>
          <t>Lorch CustomWorks</t>
        </is>
      </c>
      <c r="C867" t="inlineStr">
        <is>
          <t>Freeride</t>
        </is>
      </c>
      <c r="D867" s="3" t="inlineStr">
        <is>
          <t>95-100</t>
        </is>
      </c>
      <c r="E867" t="inlineStr"/>
      <c r="F867" s="4" t="n">
        <v>99</v>
      </c>
      <c r="G867" t="inlineStr"/>
      <c r="H867" t="inlineStr">
        <is>
          <t>18146 Rostock - Hinrichsdorf</t>
        </is>
      </c>
      <c r="I867" s="5" t="n">
        <v>45348</v>
      </c>
      <c r="J867" t="inlineStr"/>
      <c r="K867" s="6">
        <f>HYPERLINK("https://www.kleinanzeigen.de/s-anzeige/lorch-surfbrett-customworks-95l-wie-starboard-tabou-windsurfen/2690574541-230-9535", "Link")</f>
        <v/>
      </c>
      <c r="L867" s="6">
        <f>HYPERLINK("C:\Projects\Kleinanzeigen-Scraper\offer_images\2690574541", "Link")</f>
        <v/>
      </c>
      <c r="M867" t="inlineStr">
        <is>
          <t>Michael Schade</t>
        </is>
      </c>
      <c r="N867" s="6">
        <f>HYPERLINK("https://www.kleinanzeigen.de/s-bestandsliste.html?userId=21535402", "Link")</f>
        <v/>
      </c>
      <c r="O867" s="7" t="n">
        <v>45551.40637731482</v>
      </c>
      <c r="P867" s="3" t="inlineStr">
        <is>
          <t>497.86</t>
        </is>
      </c>
      <c r="Q867" t="inlineStr">
        <is>
          <t>Köln</t>
        </is>
      </c>
    </row>
    <row r="868">
      <c r="A868" t="inlineStr">
        <is>
          <t>3.67m x 0.67m</t>
        </is>
      </c>
      <c r="B868" t="inlineStr">
        <is>
          <t>Starboard Phantom Race</t>
        </is>
      </c>
      <c r="C868" t="inlineStr">
        <is>
          <t>Race</t>
        </is>
      </c>
      <c r="D868" s="3" t="inlineStr"/>
      <c r="E868" t="inlineStr"/>
      <c r="F868" s="4" t="n">
        <v>2.75</v>
      </c>
      <c r="G868" t="inlineStr">
        <is>
          <t>VB</t>
        </is>
      </c>
      <c r="H868" t="inlineStr">
        <is>
          <t>66787 Saarland - Wadgassen</t>
        </is>
      </c>
      <c r="I868" s="5" t="n">
        <v>45494</v>
      </c>
      <c r="J868" t="inlineStr"/>
      <c r="K868" s="6">
        <f>HYPERLINK("https://www.kleinanzeigen.de/s-anzeige/starboard-windsurf-board-phantom-race-377/2817427705-230-312", "Link")</f>
        <v/>
      </c>
      <c r="L868" s="6">
        <f>HYPERLINK("C:\Projects\Kleinanzeigen-Scraper\offer_images\2817427705", "Link")</f>
        <v/>
      </c>
      <c r="M868" t="inlineStr">
        <is>
          <t>E.Barth</t>
        </is>
      </c>
      <c r="N868" s="6">
        <f>HYPERLINK("https://www.kleinanzeigen.de/s-bestandsliste.html?userId=2376085", "Link")</f>
        <v/>
      </c>
      <c r="O868" s="7" t="n">
        <v>45551.40636574074</v>
      </c>
      <c r="P868" s="3" t="inlineStr">
        <is>
          <t>119.18</t>
        </is>
      </c>
      <c r="Q868" t="inlineStr">
        <is>
          <t>Karlsruhe</t>
        </is>
      </c>
    </row>
    <row r="869">
      <c r="A869" t="inlineStr">
        <is>
          <t>14 x 28</t>
        </is>
      </c>
      <c r="B869" t="inlineStr">
        <is>
          <t>Starboard Generation</t>
        </is>
      </c>
      <c r="C869" t="inlineStr">
        <is>
          <t>Touring</t>
        </is>
      </c>
      <c r="D869" s="3" t="n">
        <v>285</v>
      </c>
      <c r="E869" t="inlineStr">
        <is>
          <t>2022</t>
        </is>
      </c>
      <c r="F869" s="4" t="n">
        <v>850</v>
      </c>
      <c r="G869" t="inlineStr">
        <is>
          <t>VB</t>
        </is>
      </c>
      <c r="H869" t="inlineStr">
        <is>
          <t>22589 Altona - Hamburg Iserbrook</t>
        </is>
      </c>
      <c r="I869" s="5" t="n">
        <v>45555</v>
      </c>
      <c r="J869" t="inlineStr"/>
      <c r="K869" s="6">
        <f>HYPERLINK("https://www.kleinanzeigen.de/s-anzeige/starboard-generation-14-x-28-plus-boardbag-leashes-2-finnensets/2818500378-230-9510", "Link")</f>
        <v/>
      </c>
      <c r="L869" s="6">
        <f>HYPERLINK("C:\Projects\Kleinanzeigen-Scraper\offer_images\2818500378", "Link")</f>
        <v/>
      </c>
      <c r="M869" t="inlineStr">
        <is>
          <t>Arne Ditsch</t>
        </is>
      </c>
      <c r="N869" s="6">
        <f>HYPERLINK("https://www.kleinanzeigen.de/s-bestandsliste.html?userId=13609532", "Link")</f>
        <v/>
      </c>
      <c r="O869" s="7" t="n">
        <v>45551.40631944445</v>
      </c>
      <c r="P869" s="3" t="inlineStr">
        <is>
          <t>352.31</t>
        </is>
      </c>
      <c r="Q869" t="inlineStr">
        <is>
          <t>Köln</t>
        </is>
      </c>
    </row>
    <row r="870">
      <c r="A870" t="inlineStr">
        <is>
          <t>14'0" x 23"</t>
        </is>
      </c>
      <c r="B870" t="inlineStr">
        <is>
          <t>Starboard GenR</t>
        </is>
      </c>
      <c r="C870" t="inlineStr">
        <is>
          <t>Racing/Allround</t>
        </is>
      </c>
      <c r="D870" s="3" t="inlineStr"/>
      <c r="E870" t="inlineStr"/>
      <c r="F870" s="4" t="n">
        <v>2.999</v>
      </c>
      <c r="G870" t="inlineStr"/>
      <c r="H870" t="inlineStr">
        <is>
          <t>30179 Hannover - Nord</t>
        </is>
      </c>
      <c r="I870" s="5" t="n">
        <v>45413</v>
      </c>
      <c r="J870" t="inlineStr"/>
      <c r="K870" s="6">
        <f>HYPERLINK("https://www.kleinanzeigen.de/s-anzeige/starboard-genr-carbon-sandwich-sup-14x-23-incl-bag-neu-sale-/2750540030-230-3166", "Link")</f>
        <v/>
      </c>
      <c r="L870" s="6">
        <f>HYPERLINK("C:\Projects\Kleinanzeigen-Scraper\offer_images\2750540030", "Link")</f>
        <v/>
      </c>
      <c r="M870" t="inlineStr">
        <is>
          <t>SUP-Schule-Hannover</t>
        </is>
      </c>
      <c r="N870" s="6">
        <f>HYPERLINK("https://www.kleinanzeigen.de/s-bestandsliste.html?userId=48322790", "Link")</f>
        <v/>
      </c>
      <c r="O870" s="7" t="n">
        <v>45551.40631944445</v>
      </c>
      <c r="P870" s="3" t="inlineStr">
        <is>
          <t>253.40</t>
        </is>
      </c>
      <c r="Q870" t="inlineStr">
        <is>
          <t>Köln</t>
        </is>
      </c>
    </row>
    <row r="871">
      <c r="A871" t="inlineStr">
        <is>
          <t>245 x 54 cm</t>
        </is>
      </c>
      <c r="B871" t="inlineStr">
        <is>
          <t>Naish Supercross</t>
        </is>
      </c>
      <c r="C871" t="inlineStr">
        <is>
          <t>Wave</t>
        </is>
      </c>
      <c r="D871" s="3" t="n">
        <v>75</v>
      </c>
      <c r="E871" t="inlineStr"/>
      <c r="F871" s="4" t="n">
        <v>100</v>
      </c>
      <c r="G871" t="inlineStr"/>
      <c r="H871" t="inlineStr">
        <is>
          <t>79100 Freiburg im Breisgau - Wiehre</t>
        </is>
      </c>
      <c r="I871" s="5" t="n">
        <v>45549</v>
      </c>
      <c r="J871" t="inlineStr">
        <is>
          <t>Sold</t>
        </is>
      </c>
      <c r="K871" s="6">
        <f>HYPERLINK("https://www.kleinanzeigen.de/s-anzeige/verkaufe-naish-supercross-windsurfbrett-mit-boardbag-finne/2863035777-230-9368", "Link")</f>
        <v/>
      </c>
      <c r="L871" s="6">
        <f>HYPERLINK("C:\Projects\Kleinanzeigen-Scraper\offer_images\2863035777", "Link")</f>
        <v/>
      </c>
      <c r="M871" t="inlineStr">
        <is>
          <t>MLF</t>
        </is>
      </c>
      <c r="N871" s="6">
        <f>HYPERLINK("https://www.kleinanzeigen.de/s-bestandsliste.html?userId=15574759", "Link")</f>
        <v/>
      </c>
      <c r="O871" s="7" t="n">
        <v>45551.40619212963</v>
      </c>
      <c r="P871" s="3" t="inlineStr">
        <is>
          <t>39.95</t>
        </is>
      </c>
      <c r="Q871" t="inlineStr">
        <is>
          <t>Bonndorf</t>
        </is>
      </c>
    </row>
    <row r="872">
      <c r="A872" t="inlineStr">
        <is>
          <t>14'0" x 21.5"</t>
        </is>
      </c>
      <c r="B872" t="inlineStr">
        <is>
          <t>STARBOARD Gen R ZERO</t>
        </is>
      </c>
      <c r="C872" t="inlineStr"/>
      <c r="D872" s="3" t="inlineStr"/>
      <c r="E872" t="inlineStr">
        <is>
          <t>2024</t>
        </is>
      </c>
      <c r="F872" s="4" t="n">
        <v>4.83</v>
      </c>
      <c r="G872" t="inlineStr"/>
      <c r="H872" t="inlineStr">
        <is>
          <t>33100 Nordrhein-Westfalen - Paderborn</t>
        </is>
      </c>
      <c r="I872" s="5" t="n">
        <v>45154</v>
      </c>
      <c r="J872" t="inlineStr">
        <is>
          <t>Sold</t>
        </is>
      </c>
      <c r="K872" s="6">
        <f>HYPERLINK("https://www.kleinanzeigen.de/s-anzeige/sup-board-2024-starboard-14-0-x-21-5-gen-r-zero-inkl-versand/2521757641-230-2164", "Link")</f>
        <v/>
      </c>
      <c r="L872" s="6">
        <f>HYPERLINK("C:\Projects\Kleinanzeigen-Scraper\offer_images\2521757641", "Link")</f>
        <v/>
      </c>
      <c r="M872" t="inlineStr">
        <is>
          <t>BORAVENT</t>
        </is>
      </c>
      <c r="N872" s="6">
        <f>HYPERLINK("https://www.kleinanzeigen.de/s-bestandsliste.html?userId=55973585", "Link")</f>
        <v/>
      </c>
      <c r="O872" s="7" t="n">
        <v>45551.40614583333</v>
      </c>
      <c r="P872" s="3" t="inlineStr">
        <is>
          <t>156.96</t>
        </is>
      </c>
      <c r="Q872" t="inlineStr">
        <is>
          <t>Köln</t>
        </is>
      </c>
    </row>
    <row r="873">
      <c r="A873" t="inlineStr">
        <is>
          <t>14.0</t>
        </is>
      </c>
      <c r="B873" t="inlineStr">
        <is>
          <t>Starboard Racer Deeluxe</t>
        </is>
      </c>
      <c r="C873" t="inlineStr"/>
      <c r="D873" s="3" t="inlineStr"/>
      <c r="E873" t="inlineStr"/>
      <c r="F873" s="4" t="n">
        <v>650</v>
      </c>
      <c r="G873" t="inlineStr">
        <is>
          <t>VB</t>
        </is>
      </c>
      <c r="H873" t="inlineStr">
        <is>
          <t>21079 Harburg - Hamburg Neuland</t>
        </is>
      </c>
      <c r="I873" s="5" t="n">
        <v>45487</v>
      </c>
      <c r="J873" t="inlineStr"/>
      <c r="K873" s="6">
        <f>HYPERLINK("https://www.kleinanzeigen.de/s-anzeige/starboard-racer-deeluxe-carbon-14-0-sup/2812243695-230-20796", "Link")</f>
        <v/>
      </c>
      <c r="L873" s="6">
        <f>HYPERLINK("C:\Projects\Kleinanzeigen-Scraper\offer_images\2812243695", "Link")</f>
        <v/>
      </c>
      <c r="M873" t="inlineStr">
        <is>
          <t>JS</t>
        </is>
      </c>
      <c r="N873" s="6">
        <f>HYPERLINK("https://www.kleinanzeigen.de/s-bestandsliste.html?userId=4330848", "Link")</f>
        <v/>
      </c>
      <c r="O873" s="7" t="n">
        <v>45551.40612268518</v>
      </c>
      <c r="P873" s="3" t="inlineStr">
        <is>
          <t>349.40</t>
        </is>
      </c>
      <c r="Q873" t="inlineStr">
        <is>
          <t>Köln</t>
        </is>
      </c>
    </row>
    <row r="874">
      <c r="A874" t="inlineStr"/>
      <c r="B874" t="inlineStr">
        <is>
          <t>Starboard Go</t>
        </is>
      </c>
      <c r="C874" t="inlineStr">
        <is>
          <t>Freeride</t>
        </is>
      </c>
      <c r="D874" s="3" t="n">
        <v>155</v>
      </c>
      <c r="E874" t="inlineStr"/>
      <c r="F874" s="4" t="n">
        <v>850</v>
      </c>
      <c r="G874" t="inlineStr">
        <is>
          <t>VB</t>
        </is>
      </c>
      <c r="H874" t="inlineStr">
        <is>
          <t>78467 Baden-Württemberg - Konstanz</t>
        </is>
      </c>
      <c r="I874" s="5" t="n">
        <v>45388</v>
      </c>
      <c r="J874" t="inlineStr"/>
      <c r="K874" s="6">
        <f>HYPERLINK("https://www.kleinanzeigen.de/s-anzeige/starboard-go-155l-surfbrett/2727693207-230-9389", "Link")</f>
        <v/>
      </c>
      <c r="L874" s="6">
        <f>HYPERLINK("C:\Projects\Kleinanzeigen-Scraper\offer_images\2727693207", "Link")</f>
        <v/>
      </c>
      <c r="M874" t="inlineStr">
        <is>
          <t>Frederic Menninger</t>
        </is>
      </c>
      <c r="N874" s="6">
        <f>HYPERLINK("https://www.kleinanzeigen.de/s-bestandsliste.html?userId=29123037", "Link")</f>
        <v/>
      </c>
      <c r="O874" s="7" t="n">
        <v>45551.40603009259</v>
      </c>
      <c r="P874" s="3" t="inlineStr">
        <is>
          <t>62.51</t>
        </is>
      </c>
      <c r="Q874" t="inlineStr">
        <is>
          <t>Bonndorf</t>
        </is>
      </c>
    </row>
    <row r="875">
      <c r="A875" t="inlineStr">
        <is>
          <t>218 x 62</t>
        </is>
      </c>
      <c r="B875" t="inlineStr">
        <is>
          <t>Starboard Black Box</t>
        </is>
      </c>
      <c r="C875" t="inlineStr"/>
      <c r="D875" s="3" t="n">
        <v>87</v>
      </c>
      <c r="E875" t="inlineStr"/>
      <c r="F875" s="4" t="n">
        <v>300</v>
      </c>
      <c r="G875" t="inlineStr"/>
      <c r="H875" t="inlineStr">
        <is>
          <t>55430 Rheinland-Pfalz - Oberwesel</t>
        </is>
      </c>
      <c r="I875" s="5" t="n">
        <v>45392</v>
      </c>
      <c r="J875" t="inlineStr"/>
      <c r="K875" s="6">
        <f>HYPERLINK("https://www.kleinanzeigen.de/s-anzeige/starboard-black-box-87-ltr/2731600516-230-19504", "Link")</f>
        <v/>
      </c>
      <c r="L875" s="6">
        <f>HYPERLINK("C:\Projects\Kleinanzeigen-Scraper\offer_images\2731600516", "Link")</f>
        <v/>
      </c>
      <c r="M875" t="inlineStr">
        <is>
          <t>Voll</t>
        </is>
      </c>
      <c r="N875" s="6">
        <f>HYPERLINK("https://www.kleinanzeigen.de/s-bestandsliste.html?userId=29250937", "Link")</f>
        <v/>
      </c>
      <c r="O875" s="7" t="n">
        <v>45551.40600694445</v>
      </c>
      <c r="P875" s="3" t="inlineStr">
        <is>
          <t>109.06</t>
        </is>
      </c>
      <c r="Q875" t="inlineStr">
        <is>
          <t>Köln</t>
        </is>
      </c>
    </row>
    <row r="876">
      <c r="A876" t="inlineStr">
        <is>
          <t>12'0 x 33 x 4.75</t>
        </is>
      </c>
      <c r="B876" t="inlineStr">
        <is>
          <t>Starboard Astro Atlas Zen</t>
        </is>
      </c>
      <c r="C876" t="inlineStr">
        <is>
          <t>Allrounder</t>
        </is>
      </c>
      <c r="D876" s="3" t="inlineStr"/>
      <c r="E876" t="inlineStr"/>
      <c r="F876" s="4" t="n">
        <v>499</v>
      </c>
      <c r="G876" t="inlineStr"/>
      <c r="H876" t="inlineStr">
        <is>
          <t>22455 Eimsbüttel - Hamburg Niendorf</t>
        </is>
      </c>
      <c r="I876" s="5" t="n">
        <v>45492</v>
      </c>
      <c r="J876" t="inlineStr"/>
      <c r="K876" s="6">
        <f>HYPERLINK("https://www.kleinanzeigen.de/s-anzeige/starboard-sup-board-astro-atlas-zen-allrounder-mit-hybrid-paddel/2816113478-230-9491", "Link")</f>
        <v/>
      </c>
      <c r="L876" s="6">
        <f>HYPERLINK("C:\Projects\Kleinanzeigen-Scraper\offer_images\2816113478", "Link")</f>
        <v/>
      </c>
      <c r="M876" t="inlineStr">
        <is>
          <t>Christoph Härtwig</t>
        </is>
      </c>
      <c r="N876" s="6">
        <f>HYPERLINK("https://www.kleinanzeigen.de/s-bestandsliste.html?userId=2044737", "Link")</f>
        <v/>
      </c>
      <c r="O876" s="7" t="n">
        <v>45551.40594907408</v>
      </c>
      <c r="P876" s="3" t="inlineStr">
        <is>
          <t>363.13</t>
        </is>
      </c>
      <c r="Q876" t="inlineStr">
        <is>
          <t>Köln</t>
        </is>
      </c>
    </row>
    <row r="877">
      <c r="A877" t="inlineStr">
        <is>
          <t>381 cm x 81 cm x 15 cm</t>
        </is>
      </c>
      <c r="B877" t="inlineStr">
        <is>
          <t>GLADIATOR ELITE</t>
        </is>
      </c>
      <c r="C877" t="inlineStr">
        <is>
          <t>Touring</t>
        </is>
      </c>
      <c r="D877" s="3" t="n">
        <v>350</v>
      </c>
      <c r="E877" t="inlineStr"/>
      <c r="F877" s="4" t="n">
        <v>500</v>
      </c>
      <c r="G877" t="inlineStr">
        <is>
          <t>VB</t>
        </is>
      </c>
      <c r="H877" t="inlineStr">
        <is>
          <t>88212 Baden-Württemberg - Ravensburg</t>
        </is>
      </c>
      <c r="I877" s="5" t="n">
        <v>45511</v>
      </c>
      <c r="J877" t="inlineStr"/>
      <c r="K877" s="6">
        <f>HYPERLINK("https://www.kleinanzeigen.de/s-anzeige/sup-gladiator-elite-12-6-vergleichbar-starboard-sup/2831135548-230-9224", "Link")</f>
        <v/>
      </c>
      <c r="L877" s="6">
        <f>HYPERLINK("C:\Projects\Kleinanzeigen-Scraper\offer_images\2831135548", "Link")</f>
        <v/>
      </c>
      <c r="M877" t="inlineStr">
        <is>
          <t>Anke</t>
        </is>
      </c>
      <c r="N877" s="6">
        <f>HYPERLINK("https://www.kleinanzeigen.de/s-bestandsliste.html?userId=4525502", "Link")</f>
        <v/>
      </c>
      <c r="O877" s="7" t="n">
        <v>45551.40590277778</v>
      </c>
      <c r="P877" s="3" t="inlineStr">
        <is>
          <t>95.51</t>
        </is>
      </c>
      <c r="Q877" t="inlineStr">
        <is>
          <t>Bonndorf</t>
        </is>
      </c>
    </row>
    <row r="878">
      <c r="A878" t="inlineStr">
        <is>
          <t>229x63.5</t>
        </is>
      </c>
      <c r="B878" t="inlineStr">
        <is>
          <t>Starboard Quad</t>
        </is>
      </c>
      <c r="C878" t="inlineStr">
        <is>
          <t>Wave</t>
        </is>
      </c>
      <c r="D878" s="3" t="n">
        <v>84</v>
      </c>
      <c r="E878" t="inlineStr"/>
      <c r="F878" s="4" t="n">
        <v>379</v>
      </c>
      <c r="G878" t="inlineStr"/>
      <c r="H878" t="inlineStr">
        <is>
          <t>24790 Schleswig-Holstein - Schacht-Audorf</t>
        </is>
      </c>
      <c r="I878" s="5" t="n">
        <v>45361</v>
      </c>
      <c r="J878" t="inlineStr"/>
      <c r="K878" s="6">
        <f>HYPERLINK("https://www.kleinanzeigen.de/s-anzeige/starboard-quad-84l-wave-board/2702710188-230-19235", "Link")</f>
        <v/>
      </c>
      <c r="L878" s="6">
        <f>HYPERLINK("C:\Projects\Kleinanzeigen-Scraper\offer_images\2702710188", "Link")</f>
        <v/>
      </c>
      <c r="M878" t="inlineStr">
        <is>
          <t>AB</t>
        </is>
      </c>
      <c r="N878" s="6">
        <f>HYPERLINK("https://www.kleinanzeigen.de/s-bestandsliste.html?userId=7838379", "Link")</f>
        <v/>
      </c>
      <c r="O878" s="7" t="n">
        <v>45551.40586805555</v>
      </c>
      <c r="P878" s="3" t="inlineStr">
        <is>
          <t>419.22</t>
        </is>
      </c>
      <c r="Q878" t="inlineStr">
        <is>
          <t>Köln</t>
        </is>
      </c>
    </row>
    <row r="879">
      <c r="A879" t="inlineStr">
        <is>
          <t>243 x 56 cm</t>
        </is>
      </c>
      <c r="B879" t="inlineStr">
        <is>
          <t>Starboard IQ</t>
        </is>
      </c>
      <c r="C879" t="inlineStr">
        <is>
          <t>Wave</t>
        </is>
      </c>
      <c r="D879" s="3" t="n">
        <v>80</v>
      </c>
      <c r="E879" t="inlineStr"/>
      <c r="F879" s="4" t="n">
        <v>30</v>
      </c>
      <c r="G879" t="inlineStr"/>
      <c r="H879" t="inlineStr">
        <is>
          <t>18375 Darß - Wieck am Darß</t>
        </is>
      </c>
      <c r="I879" s="5" t="n">
        <v>45504</v>
      </c>
      <c r="J879" t="inlineStr">
        <is>
          <t>Sold</t>
        </is>
      </c>
      <c r="K879" s="6">
        <f>HYPERLINK("https://www.kleinanzeigen.de/s-anzeige/surfbrett-waveboard-starboard-iq-80l/2825571219-230-13011", "Link")</f>
        <v/>
      </c>
      <c r="L879" s="6">
        <f>HYPERLINK("C:\Projects\Kleinanzeigen-Scraper\offer_images\2825571219", "Link")</f>
        <v/>
      </c>
      <c r="M879" t="inlineStr">
        <is>
          <t>Ehlert</t>
        </is>
      </c>
      <c r="N879" s="6">
        <f>HYPERLINK("https://www.kleinanzeigen.de/s-bestandsliste.html?userId=17275507", "Link")</f>
        <v/>
      </c>
      <c r="O879" s="7" t="n">
        <v>45551.40586805555</v>
      </c>
      <c r="P879" s="3" t="inlineStr">
        <is>
          <t>538.88</t>
        </is>
      </c>
      <c r="Q879" t="inlineStr">
        <is>
          <t>Köln</t>
        </is>
      </c>
    </row>
    <row r="880">
      <c r="A880" t="inlineStr">
        <is>
          <t>218 x 60</t>
        </is>
      </c>
      <c r="B880" t="inlineStr">
        <is>
          <t>Fanatic Stubby TE</t>
        </is>
      </c>
      <c r="C880" t="inlineStr"/>
      <c r="D880" s="3" t="n">
        <v>99</v>
      </c>
      <c r="E880" t="inlineStr"/>
      <c r="F880" s="4" t="n">
        <v>419</v>
      </c>
      <c r="G880" t="inlineStr">
        <is>
          <t>VB</t>
        </is>
      </c>
      <c r="H880" t="inlineStr">
        <is>
          <t>18211 Bad Doberan - Landkreis - Bargeshagen</t>
        </is>
      </c>
      <c r="I880" s="5" t="n">
        <v>45541</v>
      </c>
      <c r="J880" t="inlineStr">
        <is>
          <t>Sold</t>
        </is>
      </c>
      <c r="K880" s="6">
        <f>HYPERLINK("https://www.kleinanzeigen.de/s-anzeige/fanatic-stubby-te-99l-windsurfboard/2855704780-230-16583", "Link")</f>
        <v/>
      </c>
      <c r="L880" s="6">
        <f>HYPERLINK("C:\Projects\Kleinanzeigen-Scraper\offer_images\2855704780", "Link")</f>
        <v/>
      </c>
      <c r="M880" t="inlineStr">
        <is>
          <t>Dirk</t>
        </is>
      </c>
      <c r="N880" s="6">
        <f>HYPERLINK("https://www.kleinanzeigen.de/s-bestandsliste.html?userId=141661148", "Link")</f>
        <v/>
      </c>
      <c r="O880" s="7" t="n">
        <v>45551.40586805555</v>
      </c>
      <c r="P880" s="3" t="inlineStr">
        <is>
          <t>490.50</t>
        </is>
      </c>
      <c r="Q880" t="inlineStr">
        <is>
          <t>Köln</t>
        </is>
      </c>
    </row>
    <row r="881">
      <c r="A881" t="inlineStr">
        <is>
          <t>10'8"x33"x5.5"</t>
        </is>
      </c>
      <c r="B881" t="inlineStr">
        <is>
          <t>STARBOARD iGO ZEN SC</t>
        </is>
      </c>
      <c r="C881" t="inlineStr"/>
      <c r="D881" s="3" t="inlineStr"/>
      <c r="E881" t="inlineStr">
        <is>
          <t>2022</t>
        </is>
      </c>
      <c r="F881" s="4" t="n">
        <v>449</v>
      </c>
      <c r="G881" t="inlineStr"/>
      <c r="H881" t="inlineStr">
        <is>
          <t>83624 Bayern - Otterfing</t>
        </is>
      </c>
      <c r="I881" s="5" t="n">
        <v>44838</v>
      </c>
      <c r="J881" t="inlineStr"/>
      <c r="K881" s="6">
        <f>HYPERLINK("https://www.kleinanzeigen.de/s-anzeige/starboard-igo-zen-sc-10-8-x33-x5-5-neu-2022/2232546330-230-6195", "Link")</f>
        <v/>
      </c>
      <c r="L881" s="6">
        <f>HYPERLINK("C:\Projects\Kleinanzeigen-Scraper\offer_images\2232546330", "Link")</f>
        <v/>
      </c>
      <c r="M881" t="inlineStr">
        <is>
          <t>STEHPADDLER | Michael Woineck</t>
        </is>
      </c>
      <c r="N881" s="6">
        <f>HYPERLINK("https://www.kleinanzeigen.de/s-bestandsliste.html?userId=47658052", "Link")</f>
        <v/>
      </c>
      <c r="O881" s="7" t="n">
        <v>45551.40584490741</v>
      </c>
      <c r="P881" s="3" t="inlineStr">
        <is>
          <t>26.04</t>
        </is>
      </c>
      <c r="Q881" t="inlineStr">
        <is>
          <t>München</t>
        </is>
      </c>
    </row>
    <row r="882">
      <c r="A882" t="inlineStr">
        <is>
          <t>12'6 x 21 x 4.75</t>
        </is>
      </c>
      <c r="B882" t="inlineStr">
        <is>
          <t>Starboard Zen</t>
        </is>
      </c>
      <c r="C882" t="inlineStr">
        <is>
          <t>Raceboard</t>
        </is>
      </c>
      <c r="D882" s="3" t="inlineStr"/>
      <c r="E882" t="inlineStr"/>
      <c r="F882" s="4" t="n">
        <v>250</v>
      </c>
      <c r="G882" t="inlineStr">
        <is>
          <t>VB</t>
        </is>
      </c>
      <c r="H882" t="inlineStr">
        <is>
          <t>24340 Schleswig-Holstein - Eckernförde</t>
        </is>
      </c>
      <c r="I882" s="5" t="n">
        <v>45504</v>
      </c>
      <c r="J882" t="inlineStr">
        <is>
          <t>Sold</t>
        </is>
      </c>
      <c r="K882" s="6">
        <f>HYPERLINK("https://www.kleinanzeigen.de/s-anzeige/isup-starboard-kinder-raceboard-12-6x21x4-75/2825507593-230-13234", "Link")</f>
        <v/>
      </c>
      <c r="L882" s="6">
        <f>HYPERLINK("C:\Projects\Kleinanzeigen-Scraper\offer_images\2825507593", "Link")</f>
        <v/>
      </c>
      <c r="M882" t="inlineStr">
        <is>
          <t>Tanja Miranda</t>
        </is>
      </c>
      <c r="N882" s="6">
        <f>HYPERLINK("https://www.kleinanzeigen.de/s-bestandsliste.html?userId=77431213", "Link")</f>
        <v/>
      </c>
      <c r="O882" s="7" t="n">
        <v>45551.40584490741</v>
      </c>
      <c r="P882" s="3" t="inlineStr">
        <is>
          <t>434.69</t>
        </is>
      </c>
      <c r="Q882" t="inlineStr">
        <is>
          <t>Köln</t>
        </is>
      </c>
    </row>
    <row r="883">
      <c r="A883" t="inlineStr"/>
      <c r="B883" t="inlineStr">
        <is>
          <t>Goya Airbolt Pro</t>
        </is>
      </c>
      <c r="C883" t="inlineStr">
        <is>
          <t>Foil</t>
        </is>
      </c>
      <c r="D883" s="3" t="n">
        <v>120</v>
      </c>
      <c r="E883" t="inlineStr">
        <is>
          <t>2020</t>
        </is>
      </c>
      <c r="F883" s="4" t="n">
        <v>600</v>
      </c>
      <c r="G883" t="inlineStr"/>
      <c r="H883" t="inlineStr">
        <is>
          <t>24937 Schleswig-Holstein - Flensburg</t>
        </is>
      </c>
      <c r="I883" s="5" t="n">
        <v>45524</v>
      </c>
      <c r="J883" t="inlineStr"/>
      <c r="K883" s="6">
        <f>HYPERLINK("https://www.kleinanzeigen.de/s-anzeige/goya-airbolt-pro-120l-foil-surfboard-windsurfen/2842126635-230-718", "Link")</f>
        <v/>
      </c>
      <c r="L883" s="6">
        <f>HYPERLINK("C:\Projects\Kleinanzeigen-Scraper\offer_images\2842126635", "Link")</f>
        <v/>
      </c>
      <c r="M883" t="inlineStr">
        <is>
          <t>Nanini</t>
        </is>
      </c>
      <c r="N883" s="6">
        <f>HYPERLINK("https://www.kleinanzeigen.de/s-bestandsliste.html?userId=998119", "Link")</f>
        <v/>
      </c>
      <c r="O883" s="7" t="n">
        <v>45551.40571759259</v>
      </c>
      <c r="P883" s="3" t="inlineStr">
        <is>
          <t>458.80</t>
        </is>
      </c>
      <c r="Q883" t="inlineStr">
        <is>
          <t>Köln</t>
        </is>
      </c>
    </row>
    <row r="884">
      <c r="A884" t="inlineStr">
        <is>
          <t>239 cm x 54.5 cm</t>
        </is>
      </c>
      <c r="B884" t="inlineStr">
        <is>
          <t>Starboard Pure Acid</t>
        </is>
      </c>
      <c r="C884" t="inlineStr">
        <is>
          <t>Wave</t>
        </is>
      </c>
      <c r="D884" s="3" t="n">
        <v>74</v>
      </c>
      <c r="E884" t="inlineStr"/>
      <c r="F884" s="4" t="n">
        <v>110</v>
      </c>
      <c r="G884" t="inlineStr"/>
      <c r="H884" t="inlineStr">
        <is>
          <t>24837 Schleswig-Holstein - Schleswig</t>
        </is>
      </c>
      <c r="I884" s="5" t="n">
        <v>44786</v>
      </c>
      <c r="J884" t="inlineStr"/>
      <c r="K884" s="6">
        <f>HYPERLINK("https://www.kleinanzeigen.de/s-anzeige/starboard-pure-acid-surfbrett-wave-board-74l-wood-balsa/2181661227-230-558", "Link")</f>
        <v/>
      </c>
      <c r="L884" s="6">
        <f>HYPERLINK("C:\Projects\Kleinanzeigen-Scraper\offer_images\2181661227", "Link")</f>
        <v/>
      </c>
      <c r="M884" t="inlineStr">
        <is>
          <t>Daniel Amann</t>
        </is>
      </c>
      <c r="N884" s="6">
        <f>HYPERLINK("https://www.kleinanzeigen.de/s-bestandsliste.html?userId=15313958", "Link")</f>
        <v/>
      </c>
      <c r="O884" s="7" t="n">
        <v>45551.40571759259</v>
      </c>
      <c r="P884" s="3" t="inlineStr">
        <is>
          <t>435.51</t>
        </is>
      </c>
      <c r="Q884" t="inlineStr">
        <is>
          <t>Köln</t>
        </is>
      </c>
    </row>
    <row r="885">
      <c r="A885" t="inlineStr">
        <is>
          <t>14' x 31'</t>
        </is>
      </c>
      <c r="B885" t="inlineStr">
        <is>
          <t>Starboard Astro Touring</t>
        </is>
      </c>
      <c r="C885" t="inlineStr"/>
      <c r="D885" s="3" t="n">
        <v>370</v>
      </c>
      <c r="E885" t="inlineStr"/>
      <c r="F885" s="4" t="n">
        <v>199</v>
      </c>
      <c r="G885" t="inlineStr">
        <is>
          <t>VB</t>
        </is>
      </c>
      <c r="H885" t="inlineStr">
        <is>
          <t>25996 Sylt - Wenningstedt</t>
        </is>
      </c>
      <c r="I885" s="5" t="n">
        <v>45350</v>
      </c>
      <c r="J885" t="inlineStr"/>
      <c r="K885" s="6">
        <f>HYPERLINK("https://www.kleinanzeigen.de/s-anzeige/starboard-astro-touring-14-ft-sup-inflatable-stand-up-paddle/2692282839-230-635", "Link")</f>
        <v/>
      </c>
      <c r="L885" s="6">
        <f>HYPERLINK("C:\Projects\Kleinanzeigen-Scraper\offer_images\2692282839", "Link")</f>
        <v/>
      </c>
      <c r="M885" t="inlineStr">
        <is>
          <t>VMH</t>
        </is>
      </c>
      <c r="N885" s="6">
        <f>HYPERLINK("https://www.kleinanzeigen.de/s-bestandsliste.html?userId=21233090", "Link")</f>
        <v/>
      </c>
      <c r="O885" s="7" t="n">
        <v>45551.40569444445</v>
      </c>
      <c r="P885" s="3" t="inlineStr">
        <is>
          <t>453.86</t>
        </is>
      </c>
      <c r="Q885" t="inlineStr">
        <is>
          <t>Köln</t>
        </is>
      </c>
    </row>
    <row r="886">
      <c r="A886" t="inlineStr">
        <is>
          <t>240 cm x 51 cm</t>
        </is>
      </c>
      <c r="B886" t="inlineStr">
        <is>
          <t>Starboard Diva</t>
        </is>
      </c>
      <c r="C886" t="inlineStr"/>
      <c r="D886" s="3" t="n">
        <v>62</v>
      </c>
      <c r="E886" t="inlineStr"/>
      <c r="F886" s="4" t="n">
        <v>30</v>
      </c>
      <c r="G886" t="inlineStr"/>
      <c r="H886" t="inlineStr">
        <is>
          <t>24119 Kiel - Kronshagen</t>
        </is>
      </c>
      <c r="I886" s="5" t="n">
        <v>45503</v>
      </c>
      <c r="J886" t="inlineStr">
        <is>
          <t>Sold</t>
        </is>
      </c>
      <c r="K886" s="6">
        <f>HYPERLINK("https://www.kleinanzeigen.de/s-anzeige/windsurf-board-starboard-diva-deko-board/2824857435-230-705", "Link")</f>
        <v/>
      </c>
      <c r="L886" s="6">
        <f>HYPERLINK("C:\Projects\Kleinanzeigen-Scraper\offer_images\2824857435", "Link")</f>
        <v/>
      </c>
      <c r="M886" t="inlineStr">
        <is>
          <t>Miriam</t>
        </is>
      </c>
      <c r="N886" s="6">
        <f>HYPERLINK("https://www.kleinanzeigen.de/s-bestandsliste.html?userId=6731406", "Link")</f>
        <v/>
      </c>
      <c r="O886" s="7" t="n">
        <v>45551.40559027778</v>
      </c>
      <c r="P886" s="3" t="inlineStr">
        <is>
          <t>432.46</t>
        </is>
      </c>
      <c r="Q886" t="inlineStr">
        <is>
          <t>Köln</t>
        </is>
      </c>
    </row>
    <row r="887">
      <c r="A887" t="inlineStr"/>
      <c r="B887" t="inlineStr">
        <is>
          <t>Starboard Code</t>
        </is>
      </c>
      <c r="C887" t="inlineStr">
        <is>
          <t>Freestyle Wave</t>
        </is>
      </c>
      <c r="D887" s="3" t="n">
        <v>94</v>
      </c>
      <c r="E887" t="inlineStr"/>
      <c r="F887" s="4" t="n">
        <v>260</v>
      </c>
      <c r="G887" t="inlineStr">
        <is>
          <t>VB</t>
        </is>
      </c>
      <c r="H887" t="inlineStr">
        <is>
          <t>80339 München - Schwanthalerhöhe</t>
        </is>
      </c>
      <c r="I887" s="5" t="n">
        <v>45486</v>
      </c>
      <c r="J887" t="inlineStr"/>
      <c r="K887" s="6">
        <f>HYPERLINK("https://www.kleinanzeigen.de/s-anzeige/windsurf-brett-board-starboard-code-freestyle-wave-94l/2811647104-230-6444", "Link")</f>
        <v/>
      </c>
      <c r="L887" s="6">
        <f>HYPERLINK("C:\Projects\Kleinanzeigen-Scraper\offer_images\2811647104", "Link")</f>
        <v/>
      </c>
      <c r="M887" t="inlineStr">
        <is>
          <t>Timo Kusior</t>
        </is>
      </c>
      <c r="N887" s="6">
        <f>HYPERLINK("https://www.kleinanzeigen.de/s-bestandsliste.html?userId=26960606", "Link")</f>
        <v/>
      </c>
      <c r="O887" s="7" t="n">
        <v>45551.40559027778</v>
      </c>
      <c r="P887" s="3" t="inlineStr">
        <is>
          <t>2.57</t>
        </is>
      </c>
      <c r="Q887" t="inlineStr">
        <is>
          <t>München</t>
        </is>
      </c>
    </row>
    <row r="888">
      <c r="A888" t="inlineStr">
        <is>
          <t>12'6" x 28"</t>
        </is>
      </c>
      <c r="B888" t="inlineStr">
        <is>
          <t>Starboard</t>
        </is>
      </c>
      <c r="C888" t="inlineStr"/>
      <c r="D888" s="3" t="inlineStr"/>
      <c r="E888" t="inlineStr"/>
      <c r="F888" s="4" t="n">
        <v>220</v>
      </c>
      <c r="G888" t="inlineStr">
        <is>
          <t>VB</t>
        </is>
      </c>
      <c r="H888" t="inlineStr">
        <is>
          <t>24941 Schleswig-Holstein - Flensburg</t>
        </is>
      </c>
      <c r="I888" s="5" t="n">
        <v>45380</v>
      </c>
      <c r="J888" t="inlineStr">
        <is>
          <t>Sold</t>
        </is>
      </c>
      <c r="K888" s="6">
        <f>HYPERLINK("https://www.kleinanzeigen.de/s-anzeige/starboard-sup-boardbag-travel-bag-tasche-12-6-generation/2720590250-230-19690", "Link")</f>
        <v/>
      </c>
      <c r="L888" s="6">
        <f>HYPERLINK("C:\Projects\Kleinanzeigen-Scraper\offer_images\2720590250", "Link")</f>
        <v/>
      </c>
      <c r="M888" t="inlineStr">
        <is>
          <t>Timo</t>
        </is>
      </c>
      <c r="N888" s="6">
        <f>HYPERLINK("https://www.kleinanzeigen.de/s-bestandsliste.html?userId=15388763", "Link")</f>
        <v/>
      </c>
      <c r="O888" s="7" t="n">
        <v>45551.40559027778</v>
      </c>
      <c r="P888" s="3" t="inlineStr">
        <is>
          <t>456.39</t>
        </is>
      </c>
      <c r="Q888" t="inlineStr">
        <is>
          <t>Köln</t>
        </is>
      </c>
    </row>
    <row r="889">
      <c r="A889" t="inlineStr">
        <is>
          <t>Dimensions not specified</t>
        </is>
      </c>
      <c r="B889" t="inlineStr">
        <is>
          <t>FANATIC Falcon</t>
        </is>
      </c>
      <c r="C889" t="inlineStr">
        <is>
          <t>Freeride</t>
        </is>
      </c>
      <c r="D889" s="3" t="n">
        <v>159</v>
      </c>
      <c r="E889" t="inlineStr"/>
      <c r="F889" s="4" t="n">
        <v>890</v>
      </c>
      <c r="G889" t="inlineStr"/>
      <c r="H889" t="inlineStr">
        <is>
          <t>86668 Bayern - Karlshuld</t>
        </is>
      </c>
      <c r="I889" s="5" t="n">
        <v>45541</v>
      </c>
      <c r="J889" t="inlineStr">
        <is>
          <t>Sold</t>
        </is>
      </c>
      <c r="K889" s="6">
        <f>HYPERLINK("https://www.kleinanzeigen.de/s-anzeige/fanatic-falcon-light-wind-159l/2844988260-230-7616", "Link")</f>
        <v/>
      </c>
      <c r="L889" s="6">
        <f>HYPERLINK("C:\Projects\Kleinanzeigen-Scraper\offer_images\2844988260", "Link")</f>
        <v/>
      </c>
      <c r="M889" t="inlineStr">
        <is>
          <t>Heidi K.</t>
        </is>
      </c>
      <c r="N889" s="6">
        <f>HYPERLINK("https://www.kleinanzeigen.de/s-bestandsliste.html?userId=5720290", "Link")</f>
        <v/>
      </c>
      <c r="O889" s="7" t="n">
        <v>45551.40556712963</v>
      </c>
      <c r="P889" s="3" t="inlineStr">
        <is>
          <t>64.24</t>
        </is>
      </c>
      <c r="Q889" t="inlineStr">
        <is>
          <t>München</t>
        </is>
      </c>
    </row>
    <row r="890">
      <c r="A890" t="inlineStr">
        <is>
          <t>12'6</t>
        </is>
      </c>
      <c r="B890" t="inlineStr">
        <is>
          <t>Starboard Sprint</t>
        </is>
      </c>
      <c r="C890" t="inlineStr"/>
      <c r="D890" s="3" t="inlineStr"/>
      <c r="E890" t="inlineStr">
        <is>
          <t>2014</t>
        </is>
      </c>
      <c r="F890" s="4" t="n">
        <v>750</v>
      </c>
      <c r="G890" t="inlineStr">
        <is>
          <t>VB</t>
        </is>
      </c>
      <c r="H890" t="inlineStr">
        <is>
          <t>82487 Bayern - Oberammergau</t>
        </is>
      </c>
      <c r="I890" s="5" t="n">
        <v>45279</v>
      </c>
      <c r="J890" t="inlineStr">
        <is>
          <t>Sold</t>
        </is>
      </c>
      <c r="K890" s="6">
        <f>HYPERLINK("https://www.kleinanzeigen.de/s-anzeige/biete-hardboard-sup-starboard-sprint-12-6-von-2014/2632836752-230-6342", "Link")</f>
        <v/>
      </c>
      <c r="L890" s="6">
        <f>HYPERLINK("C:\Projects\Kleinanzeigen-Scraper\offer_images\2632836752", "Link")</f>
        <v/>
      </c>
      <c r="M890" t="inlineStr">
        <is>
          <t>Benedikt Schlichte</t>
        </is>
      </c>
      <c r="N890" s="6">
        <f>HYPERLINK("https://www.kleinanzeigen.de/s-bestandsliste.html?userId=22881341", "Link")</f>
        <v/>
      </c>
      <c r="O890" s="7" t="n">
        <v>45551.40554398148</v>
      </c>
      <c r="P890" s="3" t="inlineStr">
        <is>
          <t>71.32</t>
        </is>
      </c>
      <c r="Q890" t="inlineStr">
        <is>
          <t>München</t>
        </is>
      </c>
    </row>
    <row r="891">
      <c r="A891" t="inlineStr">
        <is>
          <t>366 cm x 76.2 cm x 11.68 cm</t>
        </is>
      </c>
      <c r="B891" t="inlineStr">
        <is>
          <t>Starboard</t>
        </is>
      </c>
      <c r="C891" t="inlineStr">
        <is>
          <t>Touring/Wave</t>
        </is>
      </c>
      <c r="D891" s="3" t="n">
        <v>205</v>
      </c>
      <c r="E891" t="inlineStr"/>
      <c r="F891" s="4" t="n">
        <v>600</v>
      </c>
      <c r="G891" t="inlineStr"/>
      <c r="H891" t="inlineStr">
        <is>
          <t>04207 Leipzig - Kleinzschocher</t>
        </is>
      </c>
      <c r="I891" s="5" t="n">
        <v>45197</v>
      </c>
      <c r="J891" t="inlineStr">
        <is>
          <t>Sold</t>
        </is>
      </c>
      <c r="K891" s="6">
        <f>HYPERLINK("https://www.kleinanzeigen.de/s-anzeige/sup-starboard-sup-mit-karbonpaddel-stand-up-paddle-board/2557570919-230-4249", "Link")</f>
        <v/>
      </c>
      <c r="L891" s="6">
        <f>HYPERLINK("C:\Projects\Kleinanzeigen-Scraper\offer_images\2557570919", "Link")</f>
        <v/>
      </c>
      <c r="M891" t="inlineStr">
        <is>
          <t>Lars Schneider</t>
        </is>
      </c>
      <c r="N891" s="6">
        <f>HYPERLINK("https://www.kleinanzeigen.de/s-bestandsliste.html?userId=22981785", "Link")</f>
        <v/>
      </c>
      <c r="O891" s="7" t="n">
        <v>45551.40554398148</v>
      </c>
      <c r="P891" s="3" t="inlineStr">
        <is>
          <t>356.56</t>
        </is>
      </c>
      <c r="Q891" t="inlineStr">
        <is>
          <t>München</t>
        </is>
      </c>
    </row>
    <row r="892">
      <c r="A892" t="inlineStr">
        <is>
          <t>Dimensions not specified</t>
        </is>
      </c>
      <c r="B892" t="inlineStr">
        <is>
          <t>Fanatic Falcon</t>
        </is>
      </c>
      <c r="C892" t="inlineStr">
        <is>
          <t>Foil</t>
        </is>
      </c>
      <c r="D892" s="3" t="n">
        <v>159</v>
      </c>
      <c r="E892" t="inlineStr"/>
      <c r="F892" s="4" t="n">
        <v>1.499</v>
      </c>
      <c r="G892" t="inlineStr">
        <is>
          <t>VB</t>
        </is>
      </c>
      <c r="H892" t="inlineStr">
        <is>
          <t>91058 Bayern - Erlangen</t>
        </is>
      </c>
      <c r="I892" s="5" t="n">
        <v>45489</v>
      </c>
      <c r="J892" t="inlineStr"/>
      <c r="K892" s="6">
        <f>HYPERLINK("https://www.kleinanzeigen.de/s-anzeige/fanatic-falcon-mit-starboard-race-foil-windsurf-surfbrett-carbon/2814038839-230-6801", "Link")</f>
        <v/>
      </c>
      <c r="L892" s="6">
        <f>HYPERLINK("C:\Projects\Kleinanzeigen-Scraper\offer_images\2814038839", "Link")</f>
        <v/>
      </c>
      <c r="M892" t="inlineStr">
        <is>
          <t>Florian Zorn</t>
        </is>
      </c>
      <c r="N892" s="6">
        <f>HYPERLINK("https://www.kleinanzeigen.de/s-bestandsliste.html?userId=24377449", "Link")</f>
        <v/>
      </c>
      <c r="O892" s="7" t="n">
        <v>45551.40553240741</v>
      </c>
      <c r="P892" s="3" t="inlineStr">
        <is>
          <t>163.84</t>
        </is>
      </c>
      <c r="Q892" t="inlineStr">
        <is>
          <t>München</t>
        </is>
      </c>
    </row>
    <row r="893">
      <c r="A893" t="inlineStr">
        <is>
          <t>5'2"</t>
        </is>
      </c>
      <c r="B893" t="inlineStr">
        <is>
          <t>Duotone Hybrid SLS</t>
        </is>
      </c>
      <c r="C893" t="inlineStr"/>
      <c r="D893" s="3" t="inlineStr"/>
      <c r="E893" t="inlineStr">
        <is>
          <t>2022</t>
        </is>
      </c>
      <c r="F893" s="4" t="n">
        <v>650</v>
      </c>
      <c r="G893" t="inlineStr"/>
      <c r="H893" t="inlineStr">
        <is>
          <t>82211 Bayern - Herrsching</t>
        </is>
      </c>
      <c r="I893" s="5" t="n">
        <v>45550</v>
      </c>
      <c r="J893" t="inlineStr">
        <is>
          <t>Sold</t>
        </is>
      </c>
      <c r="K893" s="6">
        <f>HYPERLINK("https://www.kleinanzeigen.de/s-anzeige/duotone-hybrid-sls-5-2-/2864342729-230-5520", "Link")</f>
        <v/>
      </c>
      <c r="L893" s="6">
        <f>HYPERLINK("C:\Projects\Kleinanzeigen-Scraper\offer_images\2864342729", "Link")</f>
        <v/>
      </c>
      <c r="M893" t="inlineStr">
        <is>
          <t>Marlo Kindl</t>
        </is>
      </c>
      <c r="N893" s="6">
        <f>HYPERLINK("https://www.kleinanzeigen.de/s-bestandsliste.html?userId=14416867", "Link")</f>
        <v/>
      </c>
      <c r="O893" s="7" t="n">
        <v>45551.40553240741</v>
      </c>
      <c r="P893" s="3" t="inlineStr">
        <is>
          <t>32.73</t>
        </is>
      </c>
      <c r="Q893" t="inlineStr">
        <is>
          <t>München</t>
        </is>
      </c>
    </row>
    <row r="894">
      <c r="A894" t="inlineStr"/>
      <c r="B894" t="inlineStr">
        <is>
          <t>Starboard Carve 110</t>
        </is>
      </c>
      <c r="C894" t="inlineStr">
        <is>
          <t>Freeride</t>
        </is>
      </c>
      <c r="D894" s="3" t="n">
        <v>110</v>
      </c>
      <c r="E894" t="inlineStr"/>
      <c r="F894" s="4" t="n">
        <v>300</v>
      </c>
      <c r="G894" t="inlineStr"/>
      <c r="H894" t="inlineStr">
        <is>
          <t>71254 Baden-Württemberg - Ditzingen</t>
        </is>
      </c>
      <c r="I894" s="5" t="n">
        <v>45466</v>
      </c>
      <c r="J894" t="inlineStr"/>
      <c r="K894" s="6">
        <f>HYPERLINK("https://www.kleinanzeigen.de/s-anzeige/surfbrett-starboard-carve-110/2795744545-230-8865", "Link")</f>
        <v/>
      </c>
      <c r="L894" s="6">
        <f>HYPERLINK("C:\Projects\Kleinanzeigen-Scraper\offer_images\2795744545", "Link")</f>
        <v/>
      </c>
      <c r="M894" t="inlineStr">
        <is>
          <t>Peter Zeuner</t>
        </is>
      </c>
      <c r="N894" s="6">
        <f>HYPERLINK("https://www.kleinanzeigen.de/s-bestandsliste.html?userId=2138068", "Link")</f>
        <v/>
      </c>
      <c r="O894" s="7" t="n">
        <v>45551.40553240741</v>
      </c>
      <c r="P894" s="3" t="inlineStr">
        <is>
          <t>18.57</t>
        </is>
      </c>
      <c r="Q894" t="inlineStr">
        <is>
          <t>Böblingen</t>
        </is>
      </c>
    </row>
    <row r="895">
      <c r="A895" t="inlineStr"/>
      <c r="B895" t="inlineStr">
        <is>
          <t>Fanatic Viper</t>
        </is>
      </c>
      <c r="C895" t="inlineStr"/>
      <c r="D895" s="3" t="inlineStr"/>
      <c r="E895" t="inlineStr"/>
      <c r="F895" s="4" t="n">
        <v>25</v>
      </c>
      <c r="G895" t="inlineStr">
        <is>
          <t>VB</t>
        </is>
      </c>
      <c r="H895" t="inlineStr">
        <is>
          <t>44532 Nordrhein-Westfalen - Lünen</t>
        </is>
      </c>
      <c r="I895" s="5" t="n">
        <v>45549</v>
      </c>
      <c r="J895" t="inlineStr">
        <is>
          <t>Sold</t>
        </is>
      </c>
      <c r="K895" s="6">
        <f>HYPERLINK("https://www.kleinanzeigen.de/s-anzeige/surfbrett-fanatic-3/2863343832-230-1752", "Link")</f>
        <v/>
      </c>
      <c r="L895" s="6">
        <f>HYPERLINK("C:\Projects\Kleinanzeigen-Scraper\offer_images\2863343832", "Link")</f>
        <v/>
      </c>
      <c r="M895" t="inlineStr">
        <is>
          <t>Privat nur Whatsapp</t>
        </is>
      </c>
      <c r="N895" s="6">
        <f>HYPERLINK("https://www.kleinanzeigen.de/s-bestandsliste.html?userId=70701991", "Link")</f>
        <v/>
      </c>
      <c r="O895" s="7" t="n">
        <v>45551.40550925926</v>
      </c>
      <c r="P895" s="3" t="inlineStr">
        <is>
          <t>83.81</t>
        </is>
      </c>
      <c r="Q895" t="inlineStr">
        <is>
          <t>Köln</t>
        </is>
      </c>
    </row>
    <row r="896">
      <c r="A896" t="inlineStr">
        <is>
          <t>12' x 31"</t>
        </is>
      </c>
      <c r="B896" t="inlineStr">
        <is>
          <t>Naish Alana</t>
        </is>
      </c>
      <c r="C896" t="inlineStr"/>
      <c r="D896" s="3" t="n">
        <v>281</v>
      </c>
      <c r="E896" t="inlineStr"/>
      <c r="F896" s="4" t="n">
        <v>420</v>
      </c>
      <c r="G896" t="inlineStr"/>
      <c r="H896" t="inlineStr">
        <is>
          <t>20146 Eimsbüttel - Hamburg Rotherbaum</t>
        </is>
      </c>
      <c r="I896" s="5" t="n">
        <v>45430</v>
      </c>
      <c r="J896" t="inlineStr"/>
      <c r="K896" s="6">
        <f>HYPERLINK("https://www.kleinanzeigen.de/s-anzeige/naish-alana-12-sup-stand-up-paddle-board-no-fanatic-starboard/2764721862-230-9433", "Link")</f>
        <v/>
      </c>
      <c r="L896" s="6">
        <f>HYPERLINK("C:\Projects\Kleinanzeigen-Scraper\offer_images\2764721862", "Link")</f>
        <v/>
      </c>
      <c r="M896" t="inlineStr">
        <is>
          <t>Chris H</t>
        </is>
      </c>
      <c r="N896" s="6">
        <f>HYPERLINK("https://www.kleinanzeigen.de/s-bestandsliste.html?userId=88920357", "Link")</f>
        <v/>
      </c>
      <c r="O896" s="7" t="n">
        <v>45551.40550925926</v>
      </c>
      <c r="P896" s="3" t="inlineStr">
        <is>
          <t>357.73</t>
        </is>
      </c>
      <c r="Q896" t="inlineStr">
        <is>
          <t>Köln</t>
        </is>
      </c>
    </row>
    <row r="897">
      <c r="A897" t="inlineStr"/>
      <c r="B897" t="inlineStr">
        <is>
          <t>Goya Custom 4 Pro</t>
        </is>
      </c>
      <c r="C897" t="inlineStr">
        <is>
          <t>Wave</t>
        </is>
      </c>
      <c r="D897" s="3" t="n">
        <v>89</v>
      </c>
      <c r="E897" t="inlineStr">
        <is>
          <t>22/24</t>
        </is>
      </c>
      <c r="F897" s="4" t="n">
        <v>1.35</v>
      </c>
      <c r="G897" t="inlineStr"/>
      <c r="H897" t="inlineStr">
        <is>
          <t>24937 Schleswig-Holstein - Flensburg</t>
        </is>
      </c>
      <c r="I897" s="5" t="n">
        <v>45524</v>
      </c>
      <c r="J897" t="inlineStr"/>
      <c r="K897" s="6">
        <f>HYPERLINK("https://www.kleinanzeigen.de/s-anzeige/goya-custom-4-pro-89l-waveboard-surfboard-windsurfen/2842136140-230-718", "Link")</f>
        <v/>
      </c>
      <c r="L897" s="6">
        <f>HYPERLINK("C:\Projects\Kleinanzeigen-Scraper\offer_images\2842136140", "Link")</f>
        <v/>
      </c>
      <c r="M897" t="inlineStr">
        <is>
          <t>Nanini</t>
        </is>
      </c>
      <c r="N897" s="6">
        <f>HYPERLINK("https://www.kleinanzeigen.de/s-bestandsliste.html?userId=998119", "Link")</f>
        <v/>
      </c>
      <c r="O897" s="7" t="n">
        <v>45551.40543981481</v>
      </c>
      <c r="P897" s="3" t="inlineStr">
        <is>
          <t>458.80</t>
        </is>
      </c>
      <c r="Q897" t="inlineStr">
        <is>
          <t>Köln</t>
        </is>
      </c>
    </row>
    <row r="898">
      <c r="A898" t="inlineStr">
        <is>
          <t>252 x 56 cm</t>
        </is>
      </c>
      <c r="B898" t="inlineStr">
        <is>
          <t>Starboard Acid 88 Wood</t>
        </is>
      </c>
      <c r="C898" t="inlineStr"/>
      <c r="D898" s="3" t="inlineStr"/>
      <c r="E898" t="inlineStr"/>
      <c r="F898" s="4" t="n">
        <v>88</v>
      </c>
      <c r="G898" t="inlineStr"/>
      <c r="H898" t="inlineStr">
        <is>
          <t>31812 Niedersachsen - Bad Pyrmont</t>
        </is>
      </c>
      <c r="I898" s="5" t="n">
        <v>44818</v>
      </c>
      <c r="J898" t="inlineStr"/>
      <c r="K898" s="6">
        <f>HYPERLINK("https://www.kleinanzeigen.de/s-anzeige/starboard-acid-88-wood/2211482160-230-2542", "Link")</f>
        <v/>
      </c>
      <c r="L898" s="6">
        <f>HYPERLINK("C:\Projects\Kleinanzeigen-Scraper\offer_images\2211482160", "Link")</f>
        <v/>
      </c>
      <c r="M898" t="inlineStr">
        <is>
          <t>Horst Gärtner</t>
        </is>
      </c>
      <c r="N898" s="6">
        <f>HYPERLINK("https://www.kleinanzeigen.de/s-bestandsliste.html?userId=23398429", "Link")</f>
        <v/>
      </c>
      <c r="O898" s="7" t="n">
        <v>45551.40540509259</v>
      </c>
      <c r="P898" s="3" t="inlineStr">
        <is>
          <t>199.09</t>
        </is>
      </c>
      <c r="Q898" t="inlineStr">
        <is>
          <t>Köln</t>
        </is>
      </c>
    </row>
    <row r="899">
      <c r="A899" t="inlineStr"/>
      <c r="B899" t="inlineStr">
        <is>
          <t>Bugz</t>
        </is>
      </c>
      <c r="C899" t="inlineStr">
        <is>
          <t>SUP</t>
        </is>
      </c>
      <c r="D899" s="3" t="inlineStr"/>
      <c r="E899" t="inlineStr"/>
      <c r="F899" s="4" t="n">
        <v>340</v>
      </c>
      <c r="G899" t="inlineStr"/>
      <c r="H899" t="inlineStr">
        <is>
          <t>14827 Brandenburg - Wiesenburg/Mark</t>
        </is>
      </c>
      <c r="I899" s="5" t="n">
        <v>45495</v>
      </c>
      <c r="J899" t="inlineStr"/>
      <c r="K899" s="6">
        <f>HYPERLINK("https://www.kleinanzeigen.de/s-anzeige/bugz-sup-surf-9-starboard-carbon-surfboard-stand-up-paddle/2818657150-230-2399", "Link")</f>
        <v/>
      </c>
      <c r="L899" s="6">
        <f>HYPERLINK("C:\Projects\Kleinanzeigen-Scraper\offer_images\2818657150", "Link")</f>
        <v/>
      </c>
      <c r="M899" t="inlineStr">
        <is>
          <t>Hubert</t>
        </is>
      </c>
      <c r="N899" s="6">
        <f>HYPERLINK("https://www.kleinanzeigen.de/s-bestandsliste.html?userId=134534115", "Link")</f>
        <v/>
      </c>
      <c r="O899" s="7" t="n">
        <v>45551.40538194445</v>
      </c>
      <c r="P899" s="3" t="inlineStr">
        <is>
          <t>402.32</t>
        </is>
      </c>
      <c r="Q899" t="inlineStr">
        <is>
          <t>Köln</t>
        </is>
      </c>
    </row>
    <row r="900">
      <c r="A900" t="inlineStr">
        <is>
          <t>14 x 21.5</t>
        </is>
      </c>
      <c r="B900" t="inlineStr">
        <is>
          <t>Starboard Sprint</t>
        </is>
      </c>
      <c r="C900" t="inlineStr">
        <is>
          <t>Race</t>
        </is>
      </c>
      <c r="D900" s="3" t="inlineStr"/>
      <c r="E900" t="inlineStr">
        <is>
          <t>2021</t>
        </is>
      </c>
      <c r="F900" s="4" t="n">
        <v>1.2</v>
      </c>
      <c r="G900" t="inlineStr">
        <is>
          <t>VB</t>
        </is>
      </c>
      <c r="H900" t="inlineStr">
        <is>
          <t>15711 Brandenburg - Königs Wusterhausen</t>
        </is>
      </c>
      <c r="I900" s="5" t="n">
        <v>45510</v>
      </c>
      <c r="J900" t="inlineStr">
        <is>
          <t>Sold</t>
        </is>
      </c>
      <c r="K900" s="6">
        <f>HYPERLINK("https://www.kleinanzeigen.de/s-anzeige/starboard-sprint-14-x-21-5-sup-hardboard-race/2816462797-230-19878", "Link")</f>
        <v/>
      </c>
      <c r="L900" s="6">
        <f>HYPERLINK("C:\Projects\Kleinanzeigen-Scraper\offer_images\2816462797", "Link")</f>
        <v/>
      </c>
      <c r="M900" t="inlineStr">
        <is>
          <t>Sven</t>
        </is>
      </c>
      <c r="N900" s="6">
        <f>HYPERLINK("https://www.kleinanzeigen.de/s-bestandsliste.html?userId=367173", "Link")</f>
        <v/>
      </c>
      <c r="O900" s="7" t="n">
        <v>45551.40538194445</v>
      </c>
      <c r="P900" s="3" t="inlineStr">
        <is>
          <t>484.55</t>
        </is>
      </c>
      <c r="Q900" t="inlineStr">
        <is>
          <t>Köln</t>
        </is>
      </c>
    </row>
    <row r="901">
      <c r="A901" t="inlineStr">
        <is>
          <t>298 cm x 64 cm</t>
        </is>
      </c>
      <c r="B901" t="inlineStr">
        <is>
          <t>Fanatic Rabbit</t>
        </is>
      </c>
      <c r="C901" t="inlineStr"/>
      <c r="D901" s="3" t="n">
        <v>130</v>
      </c>
      <c r="E901" t="inlineStr"/>
      <c r="F901" s="4" t="n">
        <v>10</v>
      </c>
      <c r="G901" t="inlineStr">
        <is>
          <t>VB</t>
        </is>
      </c>
      <c r="H901" t="inlineStr">
        <is>
          <t>82296 Bayern - Schöngeising</t>
        </is>
      </c>
      <c r="I901" s="5" t="n">
        <v>45539</v>
      </c>
      <c r="J901" t="inlineStr">
        <is>
          <t>Sold</t>
        </is>
      </c>
      <c r="K901" s="6">
        <f>HYPERLINK("https://www.kleinanzeigen.de/s-anzeige/wind-surf-board-fanatic-rabbit/2854116934-230-6318", "Link")</f>
        <v/>
      </c>
      <c r="L901" s="6">
        <f>HYPERLINK("C:\Projects\Kleinanzeigen-Scraper\offer_images\2854116934", "Link")</f>
        <v/>
      </c>
      <c r="M901" t="inlineStr">
        <is>
          <t>Alexander Diessner</t>
        </is>
      </c>
      <c r="N901" s="6">
        <f>HYPERLINK("https://www.kleinanzeigen.de/s-bestandsliste.html?userId=85142068", "Link")</f>
        <v/>
      </c>
      <c r="O901" s="7" t="n">
        <v>45551.40526620371</v>
      </c>
      <c r="P901" s="3" t="inlineStr">
        <is>
          <t>27.63</t>
        </is>
      </c>
      <c r="Q901" t="inlineStr">
        <is>
          <t>München</t>
        </is>
      </c>
    </row>
    <row r="902">
      <c r="A902" t="inlineStr">
        <is>
          <t>265</t>
        </is>
      </c>
      <c r="B902" t="inlineStr">
        <is>
          <t>Fanatic Gecko</t>
        </is>
      </c>
      <c r="C902" t="inlineStr"/>
      <c r="D902" s="3" t="inlineStr"/>
      <c r="E902" t="inlineStr"/>
      <c r="F902" s="4" t="n">
        <v>5</v>
      </c>
      <c r="G902" t="inlineStr"/>
      <c r="H902" t="inlineStr">
        <is>
          <t>18211 Bad Doberan - Landkreis - Bargeshagen</t>
        </is>
      </c>
      <c r="I902" s="5" t="n">
        <v>45541</v>
      </c>
      <c r="J902" t="inlineStr">
        <is>
          <t>Sold</t>
        </is>
      </c>
      <c r="K902" s="6">
        <f>HYPERLINK("https://www.kleinanzeigen.de/s-anzeige/fanatic-gecko-265-altes-windsurfboard/2855644044-230-16583", "Link")</f>
        <v/>
      </c>
      <c r="L902" s="6">
        <f>HYPERLINK("C:\Projects\Kleinanzeigen-Scraper\offer_images\2855644044", "Link")</f>
        <v/>
      </c>
      <c r="M902" t="inlineStr">
        <is>
          <t>Dirk</t>
        </is>
      </c>
      <c r="N902" s="6">
        <f>HYPERLINK("https://www.kleinanzeigen.de/s-bestandsliste.html?userId=141661148", "Link")</f>
        <v/>
      </c>
      <c r="O902" s="7" t="n">
        <v>45550.99850694444</v>
      </c>
      <c r="P902" s="3" t="inlineStr">
        <is>
          <t>490.50</t>
        </is>
      </c>
      <c r="Q902" t="inlineStr">
        <is>
          <t>Köln</t>
        </is>
      </c>
    </row>
    <row r="903">
      <c r="A903" t="inlineStr"/>
      <c r="B903" t="inlineStr">
        <is>
          <t>Wavecult</t>
        </is>
      </c>
      <c r="C903" t="inlineStr">
        <is>
          <t>Wave</t>
        </is>
      </c>
      <c r="D903" s="3" t="inlineStr"/>
      <c r="E903" t="inlineStr"/>
      <c r="F903" s="4" t="n">
        <v>120</v>
      </c>
      <c r="G903" t="inlineStr">
        <is>
          <t>VB</t>
        </is>
      </c>
      <c r="H903" t="inlineStr">
        <is>
          <t>82211 Bayern - Herrsching</t>
        </is>
      </c>
      <c r="I903" s="5" t="n">
        <v>45550</v>
      </c>
      <c r="J903" t="inlineStr">
        <is>
          <t>Sold</t>
        </is>
      </c>
      <c r="K903" s="6">
        <f>HYPERLINK("https://www.kleinanzeigen.de/s-anzeige/windsurf-wavecult-waveboard/2863948894-230-5520", "Link")</f>
        <v/>
      </c>
      <c r="L903" s="6">
        <f>HYPERLINK("C:\Projects\Kleinanzeigen-Scraper\offer_images\2863948894", "Link")</f>
        <v/>
      </c>
      <c r="M903" t="inlineStr">
        <is>
          <t>Manuel Klövekorn</t>
        </is>
      </c>
      <c r="N903" s="6">
        <f>HYPERLINK("https://www.kleinanzeigen.de/s-bestandsliste.html?userId=45219998", "Link")</f>
        <v/>
      </c>
      <c r="O903" s="7" t="n">
        <v>45550.9984837963</v>
      </c>
      <c r="P903" s="3" t="inlineStr">
        <is>
          <t>32.73</t>
        </is>
      </c>
      <c r="Q903" t="inlineStr">
        <is>
          <t>München</t>
        </is>
      </c>
    </row>
    <row r="904">
      <c r="A904" t="inlineStr">
        <is>
          <t>255x83.5</t>
        </is>
      </c>
      <c r="B904" t="inlineStr">
        <is>
          <t>JP Magic Ride</t>
        </is>
      </c>
      <c r="C904" t="inlineStr">
        <is>
          <t>Freeride</t>
        </is>
      </c>
      <c r="D904" s="3" t="n">
        <v>159</v>
      </c>
      <c r="E904" t="inlineStr"/>
      <c r="F904" s="4" t="n">
        <v>1.199</v>
      </c>
      <c r="G904" t="inlineStr">
        <is>
          <t>VB</t>
        </is>
      </c>
      <c r="H904" t="inlineStr">
        <is>
          <t>76287 Baden-Württemberg - Rheinstetten</t>
        </is>
      </c>
      <c r="I904" s="5" t="n">
        <v>45548</v>
      </c>
      <c r="J904" t="inlineStr">
        <is>
          <t>Sold</t>
        </is>
      </c>
      <c r="K904" s="6">
        <f>HYPERLINK("https://www.kleinanzeigen.de/s-anzeige/jp-magic-ride-159-fws-wie-neu-windsurf-freeride-board/2862288794-230-8166", "Link")</f>
        <v/>
      </c>
      <c r="L904" s="6">
        <f>HYPERLINK("C:\Projects\Kleinanzeigen-Scraper\offer_images\2862288794", "Link")</f>
        <v/>
      </c>
      <c r="M904" t="inlineStr">
        <is>
          <t>Dominik</t>
        </is>
      </c>
      <c r="N904" s="6">
        <f>HYPERLINK("https://www.kleinanzeigen.de/s-bestandsliste.html?userId=16948579", "Link")</f>
        <v/>
      </c>
      <c r="O904" s="7" t="n">
        <v>45550.99847222222</v>
      </c>
      <c r="P904" s="3" t="inlineStr">
        <is>
          <t>7.05</t>
        </is>
      </c>
      <c r="Q904" t="inlineStr">
        <is>
          <t>Karlsruhe</t>
        </is>
      </c>
    </row>
    <row r="905">
      <c r="A905" t="inlineStr">
        <is>
          <t>5'3''</t>
        </is>
      </c>
      <c r="B905" t="inlineStr">
        <is>
          <t>North / Duotone Whip</t>
        </is>
      </c>
      <c r="C905" t="inlineStr">
        <is>
          <t>Freestyle</t>
        </is>
      </c>
      <c r="D905" s="3" t="inlineStr"/>
      <c r="E905" t="inlineStr"/>
      <c r="F905" s="4" t="n">
        <v>220</v>
      </c>
      <c r="G905" t="inlineStr"/>
      <c r="H905" t="inlineStr">
        <is>
          <t>82362 Bayern - Weilheim i.OB</t>
        </is>
      </c>
      <c r="I905" s="5" t="n">
        <v>45549</v>
      </c>
      <c r="J905" t="inlineStr">
        <is>
          <t>Sold</t>
        </is>
      </c>
      <c r="K905" s="6">
        <f>HYPERLINK("https://www.kleinanzeigen.de/s-anzeige/north-duotone-whip-5-3-/2863530940-230-10173", "Link")</f>
        <v/>
      </c>
      <c r="L905" s="6">
        <f>HYPERLINK("C:\Projects\Kleinanzeigen-Scraper\offer_images\2863530940", "Link")</f>
        <v/>
      </c>
      <c r="M905" t="inlineStr">
        <is>
          <t>Kilian</t>
        </is>
      </c>
      <c r="N905" s="6">
        <f>HYPERLINK("https://www.kleinanzeigen.de/s-bestandsliste.html?userId=15321649", "Link")</f>
        <v/>
      </c>
      <c r="O905" s="7" t="n">
        <v>45550.99835648148</v>
      </c>
      <c r="P905" s="3" t="inlineStr">
        <is>
          <t>44.78</t>
        </is>
      </c>
      <c r="Q905" t="inlineStr">
        <is>
          <t>München</t>
        </is>
      </c>
    </row>
    <row r="906">
      <c r="A906" t="inlineStr">
        <is>
          <t>222 x 61</t>
        </is>
      </c>
      <c r="B906" t="inlineStr">
        <is>
          <t>Starboard Freewave A.I.R.</t>
        </is>
      </c>
      <c r="C906" t="inlineStr">
        <is>
          <t>Freeride</t>
        </is>
      </c>
      <c r="D906" s="3" t="n">
        <v>93</v>
      </c>
      <c r="E906" t="inlineStr"/>
      <c r="F906" s="4" t="n">
        <v>680</v>
      </c>
      <c r="G906" t="inlineStr">
        <is>
          <t>VB</t>
        </is>
      </c>
      <c r="H906" t="inlineStr">
        <is>
          <t>24116 Kiel - Schreventeich-Hasseldieksdamm</t>
        </is>
      </c>
      <c r="I906" s="5" t="n">
        <v>45430</v>
      </c>
      <c r="J906" t="inlineStr">
        <is>
          <t>Sold</t>
        </is>
      </c>
      <c r="K906" s="6">
        <f>HYPERLINK("https://www.kleinanzeigen.de/s-anzeige/starboard-freewave-a-i-r-93-liter-top-windsurf-/2764196735-230-703", "Link")</f>
        <v/>
      </c>
      <c r="L906" s="6">
        <f>HYPERLINK("C:\Projects\Kleinanzeigen-Scraper\offer_images\2764196735", "Link")</f>
        <v/>
      </c>
      <c r="M906" t="inlineStr">
        <is>
          <t>Uli</t>
        </is>
      </c>
      <c r="N906" s="6">
        <f>HYPERLINK("https://www.kleinanzeigen.de/s-bestandsliste.html?userId=7724755", "Link")</f>
        <v/>
      </c>
      <c r="O906" s="7" t="n">
        <v>45550.99834490741</v>
      </c>
      <c r="P906" s="3" t="inlineStr">
        <is>
          <t>432.62</t>
        </is>
      </c>
      <c r="Q906" t="inlineStr">
        <is>
          <t>Köln</t>
        </is>
      </c>
    </row>
    <row r="907">
      <c r="A907" t="inlineStr">
        <is>
          <t>190cm x 67cm</t>
        </is>
      </c>
      <c r="B907" t="inlineStr">
        <is>
          <t>Starboard Foil X</t>
        </is>
      </c>
      <c r="C907" t="inlineStr">
        <is>
          <t>Foil</t>
        </is>
      </c>
      <c r="D907" s="3" t="n">
        <v>125</v>
      </c>
      <c r="E907" t="inlineStr">
        <is>
          <t>2021</t>
        </is>
      </c>
      <c r="F907" s="4" t="n">
        <v>710</v>
      </c>
      <c r="G907" t="inlineStr">
        <is>
          <t>VB</t>
        </is>
      </c>
      <c r="H907" t="inlineStr">
        <is>
          <t>89129 Baden-Württemberg - Langenau</t>
        </is>
      </c>
      <c r="I907" s="5" t="n">
        <v>45511</v>
      </c>
      <c r="J907" t="inlineStr"/>
      <c r="K907" s="6">
        <f>HYPERLINK("https://www.kleinanzeigen.de/s-anzeige/windsurf-foil-board-starboard-foil-x-125/2831263954-230-18599", "Link")</f>
        <v/>
      </c>
      <c r="L907" s="6">
        <f>HYPERLINK("C:\Projects\Kleinanzeigen-Scraper\offer_images\2831263954", "Link")</f>
        <v/>
      </c>
      <c r="M907" t="inlineStr">
        <is>
          <t>Lena H.</t>
        </is>
      </c>
      <c r="N907" s="6">
        <f>HYPERLINK("https://www.kleinanzeigen.de/s-bestandsliste.html?userId=74308882", "Link")</f>
        <v/>
      </c>
      <c r="O907" s="7" t="n">
        <v>45550.99834490741</v>
      </c>
      <c r="P907" s="3" t="inlineStr">
        <is>
          <t>85.38</t>
        </is>
      </c>
      <c r="Q907" t="inlineStr">
        <is>
          <t>Böblingen</t>
        </is>
      </c>
    </row>
    <row r="908">
      <c r="A908" t="inlineStr"/>
      <c r="B908" t="inlineStr">
        <is>
          <t>Starboard IQ</t>
        </is>
      </c>
      <c r="C908" t="inlineStr">
        <is>
          <t>Wave</t>
        </is>
      </c>
      <c r="D908" s="3" t="n">
        <v>74</v>
      </c>
      <c r="E908" t="inlineStr"/>
      <c r="F908" s="4" t="n">
        <v>60</v>
      </c>
      <c r="G908" t="inlineStr"/>
      <c r="H908" t="inlineStr">
        <is>
          <t>18375 Darß - Wieck am Darß</t>
        </is>
      </c>
      <c r="I908" s="5" t="n">
        <v>45504</v>
      </c>
      <c r="J908" t="inlineStr">
        <is>
          <t>Sold</t>
        </is>
      </c>
      <c r="K908" s="6">
        <f>HYPERLINK("https://www.kleinanzeigen.de/s-anzeige/surfbrett-waveboard-starboard-iq-74l/2825567184-230-13011", "Link")</f>
        <v/>
      </c>
      <c r="L908" s="6">
        <f>HYPERLINK("C:\Projects\Kleinanzeigen-Scraper\offer_images\2825567184", "Link")</f>
        <v/>
      </c>
      <c r="M908" t="inlineStr">
        <is>
          <t>Ehlert</t>
        </is>
      </c>
      <c r="N908" s="6">
        <f>HYPERLINK("https://www.kleinanzeigen.de/s-bestandsliste.html?userId=17275507", "Link")</f>
        <v/>
      </c>
      <c r="O908" s="7" t="n">
        <v>45550.99831018518</v>
      </c>
      <c r="P908" s="3" t="inlineStr">
        <is>
          <t>538.88</t>
        </is>
      </c>
      <c r="Q908" t="inlineStr">
        <is>
          <t>Köln</t>
        </is>
      </c>
    </row>
    <row r="909">
      <c r="A909" t="inlineStr">
        <is>
          <t>260 cm</t>
        </is>
      </c>
      <c r="B909" t="inlineStr">
        <is>
          <t>Naish Supercross</t>
        </is>
      </c>
      <c r="C909" t="inlineStr">
        <is>
          <t>Allrounder</t>
        </is>
      </c>
      <c r="D909" s="3" t="n">
        <v>114</v>
      </c>
      <c r="E909" t="inlineStr"/>
      <c r="F909" s="4" t="n">
        <v>90</v>
      </c>
      <c r="G909" t="inlineStr"/>
      <c r="H909" t="inlineStr">
        <is>
          <t>88045 Baden-Württemberg - Friedrichshafen</t>
        </is>
      </c>
      <c r="I909" s="5" t="n">
        <v>45549</v>
      </c>
      <c r="J909" t="inlineStr"/>
      <c r="K909" s="6">
        <f>HYPERLINK("https://www.kleinanzeigen.de/s-anzeige/windsurf-board-naish-supercross-260-114-l/2863433509-230-9213", "Link")</f>
        <v/>
      </c>
      <c r="L909" s="6">
        <f>HYPERLINK("C:\Projects\Kleinanzeigen-Scraper\offer_images\2863433509", "Link")</f>
        <v/>
      </c>
      <c r="M909" t="inlineStr">
        <is>
          <t>R.M.</t>
        </is>
      </c>
      <c r="N909" s="6">
        <f>HYPERLINK("https://www.kleinanzeigen.de/s-bestandsliste.html?userId=56059820", "Link")</f>
        <v/>
      </c>
      <c r="O909" s="7" t="n">
        <v>45550.99831018518</v>
      </c>
      <c r="P909" s="3" t="inlineStr">
        <is>
          <t>85.70</t>
        </is>
      </c>
      <c r="Q909" t="inlineStr">
        <is>
          <t>Bonndorf</t>
        </is>
      </c>
    </row>
    <row r="910">
      <c r="A910" t="inlineStr"/>
      <c r="B910" t="inlineStr">
        <is>
          <t>Starboard iSonic</t>
        </is>
      </c>
      <c r="C910" t="inlineStr">
        <is>
          <t>Slalom</t>
        </is>
      </c>
      <c r="D910" s="3" t="n">
        <v>135</v>
      </c>
      <c r="E910" t="inlineStr">
        <is>
          <t>2019</t>
        </is>
      </c>
      <c r="F910" s="4" t="n">
        <v>890</v>
      </c>
      <c r="G910" t="inlineStr">
        <is>
          <t>VB</t>
        </is>
      </c>
      <c r="H910" t="inlineStr">
        <is>
          <t>23715 Schleswig-Holstein - Bosau</t>
        </is>
      </c>
      <c r="I910" s="5" t="n">
        <v>45507</v>
      </c>
      <c r="J910" t="inlineStr">
        <is>
          <t>Sold</t>
        </is>
      </c>
      <c r="K910" s="6">
        <f>HYPERLINK("https://www.kleinanzeigen.de/s-anzeige/starboard-slalomboard-isonic-135-l-bj-2019/2827823029-230-454", "Link")</f>
        <v/>
      </c>
      <c r="L910" s="6">
        <f>HYPERLINK("C:\Projects\Kleinanzeigen-Scraper\offer_images\2827823029", "Link")</f>
        <v/>
      </c>
      <c r="M910" t="inlineStr">
        <is>
          <t>Torsten Heins</t>
        </is>
      </c>
      <c r="N910" s="6">
        <f>HYPERLINK("https://www.kleinanzeigen.de/s-bestandsliste.html?userId=6167120", "Link")</f>
        <v/>
      </c>
      <c r="O910" s="7" t="n">
        <v>45550.99828703704</v>
      </c>
      <c r="P910" s="3" t="inlineStr">
        <is>
          <t>425.07</t>
        </is>
      </c>
      <c r="Q910" t="inlineStr">
        <is>
          <t>Köln</t>
        </is>
      </c>
    </row>
    <row r="911">
      <c r="A911" t="inlineStr"/>
      <c r="B911" t="inlineStr">
        <is>
          <t>Starboard Kode</t>
        </is>
      </c>
      <c r="C911" t="inlineStr">
        <is>
          <t>Freestyle - Wave</t>
        </is>
      </c>
      <c r="D911" s="3" t="n">
        <v>103</v>
      </c>
      <c r="E911" t="inlineStr">
        <is>
          <t>2016</t>
        </is>
      </c>
      <c r="F911" s="4" t="n">
        <v>549</v>
      </c>
      <c r="G911" t="inlineStr"/>
      <c r="H911" t="inlineStr">
        <is>
          <t>04158 Leipzig - Lindenthal</t>
        </is>
      </c>
      <c r="I911" s="5" t="n">
        <v>45504</v>
      </c>
      <c r="J911" t="inlineStr">
        <is>
          <t>Sold</t>
        </is>
      </c>
      <c r="K911" s="6">
        <f>HYPERLINK("https://www.kleinanzeigen.de/s-anzeige/starboard-kode-103-l-2016-windsurfboard-freestyle-wave/2825458845-230-4253", "Link")</f>
        <v/>
      </c>
      <c r="L911" s="6">
        <f>HYPERLINK("C:\Projects\Kleinanzeigen-Scraper\offer_images\2825458845", "Link")</f>
        <v/>
      </c>
      <c r="M911" t="inlineStr">
        <is>
          <t>daniel lippmann</t>
        </is>
      </c>
      <c r="N911" s="6">
        <f>HYPERLINK("https://www.kleinanzeigen.de/s-bestandsliste.html?userId=14407560", "Link")</f>
        <v/>
      </c>
      <c r="O911" s="7" t="n">
        <v>45550.99827546296</v>
      </c>
      <c r="P911" s="3" t="inlineStr">
        <is>
          <t>367.32</t>
        </is>
      </c>
      <c r="Q911" t="inlineStr">
        <is>
          <t>München</t>
        </is>
      </c>
    </row>
    <row r="912">
      <c r="A912" t="inlineStr"/>
      <c r="B912" t="inlineStr">
        <is>
          <t>RRD WaveCult</t>
        </is>
      </c>
      <c r="C912" t="inlineStr">
        <is>
          <t>Wave</t>
        </is>
      </c>
      <c r="D912" s="3" t="n">
        <v>70</v>
      </c>
      <c r="E912" t="inlineStr">
        <is>
          <t>2009</t>
        </is>
      </c>
      <c r="F912" s="4" t="n">
        <v>70</v>
      </c>
      <c r="G912" t="inlineStr">
        <is>
          <t>VB</t>
        </is>
      </c>
      <c r="H912" t="inlineStr">
        <is>
          <t>24321 Schleswig-Holstein - Hohwacht (Ostsee)</t>
        </is>
      </c>
      <c r="I912" s="5" t="n">
        <v>45550</v>
      </c>
      <c r="J912" t="inlineStr"/>
      <c r="K912" s="6">
        <f>HYPERLINK("https://www.kleinanzeigen.de/s-anzeige/windsurfbrett-rrd-wavecult-hcw-70l/2864526749-230-29758", "Link")</f>
        <v/>
      </c>
      <c r="L912" s="6">
        <f>HYPERLINK("C:\Projects\Kleinanzeigen-Scraper\offer_images\2864526749", "Link")</f>
        <v/>
      </c>
      <c r="M912" t="inlineStr">
        <is>
          <t>Fin Wegner</t>
        </is>
      </c>
      <c r="N912" s="6">
        <f>HYPERLINK("https://www.kleinanzeigen.de/s-bestandsliste.html?userId=89518104", "Link")</f>
        <v/>
      </c>
      <c r="O912" s="7" t="n">
        <v>45550.99793981481</v>
      </c>
      <c r="P912" s="3" t="inlineStr">
        <is>
          <t>446.03</t>
        </is>
      </c>
      <c r="Q912" t="inlineStr">
        <is>
          <t>Köln</t>
        </is>
      </c>
    </row>
    <row r="913">
      <c r="A913" t="inlineStr">
        <is>
          <t>265 cm</t>
        </is>
      </c>
      <c r="B913" t="inlineStr">
        <is>
          <t>Mistral Wave</t>
        </is>
      </c>
      <c r="C913" t="inlineStr">
        <is>
          <t>Wave</t>
        </is>
      </c>
      <c r="D913" s="3" t="n">
        <v>92</v>
      </c>
      <c r="E913" t="inlineStr"/>
      <c r="F913" s="4" t="n">
        <v>150</v>
      </c>
      <c r="G913" t="inlineStr">
        <is>
          <t>VB</t>
        </is>
      </c>
      <c r="H913" t="inlineStr">
        <is>
          <t>22589 Altona - Hamburg Iserbrook</t>
        </is>
      </c>
      <c r="I913" s="5" t="n">
        <v>45550</v>
      </c>
      <c r="J913" t="inlineStr">
        <is>
          <t>Sold</t>
        </is>
      </c>
      <c r="K913" s="6">
        <f>HYPERLINK("https://www.kleinanzeigen.de/s-anzeige/windsurf-board-equipment-mistral-wave-265/2864038668-187-9510", "Link")</f>
        <v/>
      </c>
      <c r="L913" s="6">
        <f>HYPERLINK("C:\Projects\Kleinanzeigen-Scraper\offer_images\2864038668", "Link")</f>
        <v/>
      </c>
      <c r="M913" t="inlineStr">
        <is>
          <t>Joachim Faelske</t>
        </is>
      </c>
      <c r="N913" s="6">
        <f>HYPERLINK("https://www.kleinanzeigen.de/s-bestandsliste.html?userId=11706656", "Link")</f>
        <v/>
      </c>
      <c r="O913" s="7" t="n">
        <v>45550.99784722222</v>
      </c>
      <c r="P913" s="3" t="inlineStr">
        <is>
          <t>352.31</t>
        </is>
      </c>
      <c r="Q913" t="inlineStr">
        <is>
          <t>Köln</t>
        </is>
      </c>
    </row>
    <row r="914">
      <c r="A914" t="inlineStr"/>
      <c r="B914" t="inlineStr">
        <is>
          <t>Starboard isonic</t>
        </is>
      </c>
      <c r="C914" t="inlineStr"/>
      <c r="D914" s="3" t="n">
        <v>117</v>
      </c>
      <c r="E914" t="inlineStr"/>
      <c r="F914" s="4" t="n">
        <v>1.05</v>
      </c>
      <c r="G914" t="inlineStr"/>
      <c r="H914" t="inlineStr">
        <is>
          <t>19053 Schwerin - Altstadt</t>
        </is>
      </c>
      <c r="I914" s="5" t="n">
        <v>45496</v>
      </c>
      <c r="J914" t="inlineStr">
        <is>
          <t>Sold</t>
        </is>
      </c>
      <c r="K914" s="6">
        <f>HYPERLINK("https://www.kleinanzeigen.de/s-anzeige/starboard-isonic-117-carbon/2819299893-230-284", "Link")</f>
        <v/>
      </c>
      <c r="L914" s="6">
        <f>HYPERLINK("C:\Projects\Kleinanzeigen-Scraper\offer_images\2819299893", "Link")</f>
        <v/>
      </c>
      <c r="M914" t="inlineStr">
        <is>
          <t>Vladimir</t>
        </is>
      </c>
      <c r="N914" s="6">
        <f>HYPERLINK("https://www.kleinanzeigen.de/s-bestandsliste.html?userId=123442054", "Link")</f>
        <v/>
      </c>
      <c r="O914" s="7" t="n">
        <v>45550.99783564815</v>
      </c>
      <c r="P914" s="3" t="inlineStr">
        <is>
          <t>425.13</t>
        </is>
      </c>
      <c r="Q914" t="inlineStr">
        <is>
          <t>Köln</t>
        </is>
      </c>
    </row>
    <row r="915">
      <c r="A915" t="inlineStr"/>
      <c r="B915" t="inlineStr">
        <is>
          <t>Tabou Manta</t>
        </is>
      </c>
      <c r="C915" t="inlineStr">
        <is>
          <t>Freeride</t>
        </is>
      </c>
      <c r="D915" s="3" t="n">
        <v>116</v>
      </c>
      <c r="E915" t="inlineStr">
        <is>
          <t>2022</t>
        </is>
      </c>
      <c r="F915" s="4" t="n">
        <v>875</v>
      </c>
      <c r="G915" t="inlineStr">
        <is>
          <t>VB</t>
        </is>
      </c>
      <c r="H915" t="inlineStr">
        <is>
          <t>24943 Schleswig-Holstein - Flensburg</t>
        </is>
      </c>
      <c r="I915" s="5" t="n">
        <v>45550</v>
      </c>
      <c r="J915" t="inlineStr"/>
      <c r="K915" s="6">
        <f>HYPERLINK("https://www.kleinanzeigen.de/s-anzeige/windsurfbrett-tabou-manta-71-116l-2022/2864078960-230-17392", "Link")</f>
        <v/>
      </c>
      <c r="L915" s="6">
        <f>HYPERLINK("C:\Projects\Kleinanzeigen-Scraper\offer_images\2864078960", "Link")</f>
        <v/>
      </c>
      <c r="M915" t="inlineStr">
        <is>
          <t>Studt</t>
        </is>
      </c>
      <c r="N915" s="6">
        <f>HYPERLINK("https://www.kleinanzeigen.de/s-bestandsliste.html?userId=51870016", "Link")</f>
        <v/>
      </c>
      <c r="O915" s="7" t="n">
        <v>45550.99777777777</v>
      </c>
      <c r="P915" s="3" t="inlineStr">
        <is>
          <t>459.78</t>
        </is>
      </c>
      <c r="Q915" t="inlineStr">
        <is>
          <t>Köln</t>
        </is>
      </c>
    </row>
    <row r="916">
      <c r="A916" t="inlineStr">
        <is>
          <t>127L</t>
        </is>
      </c>
      <c r="B916" t="inlineStr">
        <is>
          <t>Starboard Aero</t>
        </is>
      </c>
      <c r="C916" t="inlineStr">
        <is>
          <t>Freeride</t>
        </is>
      </c>
      <c r="D916" s="3" t="n">
        <v>127</v>
      </c>
      <c r="E916" t="inlineStr"/>
      <c r="F916" s="4" t="n">
        <v>950</v>
      </c>
      <c r="G916" t="inlineStr"/>
      <c r="H916" t="inlineStr">
        <is>
          <t>13585 Berlin - Spandau</t>
        </is>
      </c>
      <c r="I916" s="5" t="n">
        <v>45150</v>
      </c>
      <c r="J916" t="inlineStr">
        <is>
          <t>Sold</t>
        </is>
      </c>
      <c r="K916" s="6">
        <f>HYPERLINK("https://www.kleinanzeigen.de/s-anzeige/starboard-aero-127-freerider-crossover-windsurfboard/2518530513-230-3438", "Link")</f>
        <v/>
      </c>
      <c r="L916" s="6">
        <f>HYPERLINK("C:\Projects\Kleinanzeigen-Scraper\offer_images\2518530513", "Link")</f>
        <v/>
      </c>
      <c r="M916" t="inlineStr">
        <is>
          <t>Alex</t>
        </is>
      </c>
      <c r="N916" s="6">
        <f>HYPERLINK("https://www.kleinanzeigen.de/s-bestandsliste.html?userId=1475054", "Link")</f>
        <v/>
      </c>
      <c r="O916" s="7" t="n">
        <v>45550.99775462963</v>
      </c>
      <c r="P916" s="3" t="inlineStr">
        <is>
          <t>465.98</t>
        </is>
      </c>
      <c r="Q916" t="inlineStr">
        <is>
          <t>Köln</t>
        </is>
      </c>
    </row>
    <row r="917">
      <c r="A917" t="inlineStr">
        <is>
          <t>247x80.5</t>
        </is>
      </c>
      <c r="B917" t="inlineStr">
        <is>
          <t>Starboard Futura</t>
        </is>
      </c>
      <c r="C917" t="inlineStr">
        <is>
          <t>Freerace</t>
        </is>
      </c>
      <c r="D917" s="3" t="n">
        <v>134</v>
      </c>
      <c r="E917" t="inlineStr"/>
      <c r="F917" s="4" t="n">
        <v>490</v>
      </c>
      <c r="G917" t="inlineStr">
        <is>
          <t>VB</t>
        </is>
      </c>
      <c r="H917" t="inlineStr">
        <is>
          <t>65462 Hessen - Ginsheim-Gustavsburg</t>
        </is>
      </c>
      <c r="I917" s="5" t="n">
        <v>45510</v>
      </c>
      <c r="J917" t="inlineStr"/>
      <c r="K917" s="6">
        <f>HYPERLINK("https://www.kleinanzeigen.de/s-anzeige/starboard-futura-134-carbon-freerace-board-mit-drake-finne/2830359755-230-4440", "Link")</f>
        <v/>
      </c>
      <c r="L917" s="6">
        <f>HYPERLINK("C:\Projects\Kleinanzeigen-Scraper\offer_images\2830359755", "Link")</f>
        <v/>
      </c>
      <c r="M917" t="inlineStr">
        <is>
          <t>Andreas</t>
        </is>
      </c>
      <c r="N917" s="6">
        <f>HYPERLINK("https://www.kleinanzeigen.de/s-bestandsliste.html?userId=23872897", "Link")</f>
        <v/>
      </c>
      <c r="O917" s="7" t="n">
        <v>45550.99760416667</v>
      </c>
      <c r="P917" s="3" t="inlineStr">
        <is>
          <t>109.79</t>
        </is>
      </c>
      <c r="Q917" t="inlineStr">
        <is>
          <t>Karlsruhe</t>
        </is>
      </c>
    </row>
    <row r="918">
      <c r="A918" t="inlineStr">
        <is>
          <t>110</t>
        </is>
      </c>
      <c r="B918" t="inlineStr">
        <is>
          <t>Tabou Rocket Wide LTD Edition</t>
        </is>
      </c>
      <c r="C918" t="inlineStr">
        <is>
          <t>Freeride</t>
        </is>
      </c>
      <c r="D918" s="3" t="inlineStr"/>
      <c r="E918" t="inlineStr">
        <is>
          <t>2017</t>
        </is>
      </c>
      <c r="F918" s="4" t="n">
        <v>750</v>
      </c>
      <c r="G918" t="inlineStr"/>
      <c r="H918" t="inlineStr">
        <is>
          <t>23775 Kreis Ostholstein - Großenbrode</t>
        </is>
      </c>
      <c r="I918" s="5" t="n">
        <v>45549</v>
      </c>
      <c r="J918" t="inlineStr">
        <is>
          <t>Sold</t>
        </is>
      </c>
      <c r="K918" s="6">
        <f>HYPERLINK("https://www.kleinanzeigen.de/s-anzeige/tabou-rocket-wide-110-ltd-edition-100-carbon-/2863095853-230-429", "Link")</f>
        <v/>
      </c>
      <c r="L918" s="6">
        <f>HYPERLINK("C:\Projects\Kleinanzeigen-Scraper\offer_images\2863095853", "Link")</f>
        <v/>
      </c>
      <c r="M918" t="inlineStr">
        <is>
          <t>heiligenhafen</t>
        </is>
      </c>
      <c r="N918" s="6">
        <f>HYPERLINK("https://www.kleinanzeigen.de/s-bestandsliste.html?userId=21083285", "Link")</f>
        <v/>
      </c>
      <c r="O918" s="7" t="n">
        <v>45550.9975462963</v>
      </c>
      <c r="P918" s="3" t="inlineStr">
        <is>
          <t>471.97</t>
        </is>
      </c>
      <c r="Q918" t="inlineStr">
        <is>
          <t>Köln</t>
        </is>
      </c>
    </row>
    <row r="919">
      <c r="A919" t="inlineStr">
        <is>
          <t>257 cm x 54 cm</t>
        </is>
      </c>
      <c r="B919" t="inlineStr">
        <is>
          <t>Starboard ACID</t>
        </is>
      </c>
      <c r="C919" t="inlineStr">
        <is>
          <t>Wave</t>
        </is>
      </c>
      <c r="D919" s="3" t="n">
        <v>80</v>
      </c>
      <c r="E919" t="inlineStr"/>
      <c r="F919" s="4" t="n">
        <v>45</v>
      </c>
      <c r="G919" t="inlineStr">
        <is>
          <t>VB</t>
        </is>
      </c>
      <c r="H919" t="inlineStr">
        <is>
          <t>28217 Walle - Handelshäfen</t>
        </is>
      </c>
      <c r="I919" s="5" t="n">
        <v>45482</v>
      </c>
      <c r="J919" t="inlineStr"/>
      <c r="K919" s="6">
        <f>HYPERLINK("https://www.kleinanzeigen.de/s-anzeige/starboard-acid-80l-waveboard-windsurfboard-u-boardbag/2808371175-230-27700", "Link")</f>
        <v/>
      </c>
      <c r="L919" s="6">
        <f>HYPERLINK("C:\Projects\Kleinanzeigen-Scraper\offer_images\2808371175", "Link")</f>
        <v/>
      </c>
      <c r="M919" t="inlineStr">
        <is>
          <t>Boyken</t>
        </is>
      </c>
      <c r="N919" s="6">
        <f>HYPERLINK("https://www.kleinanzeigen.de/s-bestandsliste.html?userId=9425629", "Link")</f>
        <v/>
      </c>
      <c r="O919" s="7" t="n">
        <v>45550.99751157407</v>
      </c>
      <c r="P919" s="3" t="inlineStr">
        <is>
          <t>270.37</t>
        </is>
      </c>
      <c r="Q919" t="inlineStr">
        <is>
          <t>Köln</t>
        </is>
      </c>
    </row>
    <row r="920">
      <c r="A920" t="inlineStr">
        <is>
          <t>7'9</t>
        </is>
      </c>
      <c r="B920" t="inlineStr">
        <is>
          <t>Tabou Mini Malibu</t>
        </is>
      </c>
      <c r="C920" t="inlineStr"/>
      <c r="D920" s="3" t="inlineStr"/>
      <c r="E920" t="inlineStr"/>
      <c r="F920" s="4" t="n">
        <v>150</v>
      </c>
      <c r="G920" t="inlineStr"/>
      <c r="H920" t="inlineStr">
        <is>
          <t>50765 Köln - Esch</t>
        </is>
      </c>
      <c r="I920" s="5" t="n">
        <v>45549</v>
      </c>
      <c r="J920" t="inlineStr">
        <is>
          <t>Sold</t>
        </is>
      </c>
      <c r="K920" s="6">
        <f>HYPERLINK("https://www.kleinanzeigen.de/s-anzeige/tabou-mini-malibu-7-9-wellenreiter-surfboard/2863362047-230-26210", "Link")</f>
        <v/>
      </c>
      <c r="L920" s="6">
        <f>HYPERLINK("C:\Projects\Kleinanzeigen-Scraper\offer_images\2863362047", "Link")</f>
        <v/>
      </c>
      <c r="M920" t="inlineStr">
        <is>
          <t>Frank H.</t>
        </is>
      </c>
      <c r="N920" s="6">
        <f>HYPERLINK("https://www.kleinanzeigen.de/s-bestandsliste.html?userId=21421321", "Link")</f>
        <v/>
      </c>
      <c r="O920" s="7" t="n">
        <v>45550.9975</v>
      </c>
      <c r="P920" s="3" t="inlineStr">
        <is>
          <t>10.85</t>
        </is>
      </c>
      <c r="Q920" t="inlineStr">
        <is>
          <t>Köln</t>
        </is>
      </c>
    </row>
    <row r="921">
      <c r="A921" t="inlineStr">
        <is>
          <t>234 cm x 61 cm</t>
        </is>
      </c>
      <c r="B921" t="inlineStr">
        <is>
          <t>Starboard Kode 94</t>
        </is>
      </c>
      <c r="C921" t="inlineStr">
        <is>
          <t>Freestyle</t>
        </is>
      </c>
      <c r="D921" s="3" t="n">
        <v>94</v>
      </c>
      <c r="E921" t="inlineStr"/>
      <c r="F921" s="4" t="n">
        <v>420</v>
      </c>
      <c r="G921" t="inlineStr"/>
      <c r="H921" t="inlineStr">
        <is>
          <t>22415 Hamburg-Nord - Hamburg Langenhorn</t>
        </is>
      </c>
      <c r="I921" s="5" t="n">
        <v>45495</v>
      </c>
      <c r="J921" t="inlineStr">
        <is>
          <t>Sold</t>
        </is>
      </c>
      <c r="K921" s="6">
        <f>HYPERLINK("https://www.kleinanzeigen.de/s-anzeige/angeboten-wird-ein-windsurf-board-starboard-kode-94/2818608080-230-9488", "Link")</f>
        <v/>
      </c>
      <c r="L921" s="6">
        <f>HYPERLINK("C:\Projects\Kleinanzeigen-Scraper\offer_images\2818608080", "Link")</f>
        <v/>
      </c>
      <c r="M921" t="inlineStr">
        <is>
          <t>Stefan</t>
        </is>
      </c>
      <c r="N921" s="6">
        <f>HYPERLINK("https://www.kleinanzeigen.de/s-bestandsliste.html?userId=25316905", "Link")</f>
        <v/>
      </c>
      <c r="O921" s="7" t="n">
        <v>45550.99738425926</v>
      </c>
      <c r="P921" s="3" t="inlineStr">
        <is>
          <t>366.01</t>
        </is>
      </c>
      <c r="Q921" t="inlineStr">
        <is>
          <t>Köln</t>
        </is>
      </c>
    </row>
    <row r="922">
      <c r="A922" t="inlineStr"/>
      <c r="B922" t="inlineStr">
        <is>
          <t>Starboard Blend</t>
        </is>
      </c>
      <c r="C922" t="inlineStr">
        <is>
          <t>SUP</t>
        </is>
      </c>
      <c r="D922" s="3" t="inlineStr"/>
      <c r="E922" t="inlineStr">
        <is>
          <t>5</t>
        </is>
      </c>
      <c r="F922" s="4" t="n">
        <v>260</v>
      </c>
      <c r="G922" t="inlineStr"/>
      <c r="H922" t="inlineStr">
        <is>
          <t>58093 Nordrhein-Westfalen - Hagen</t>
        </is>
      </c>
      <c r="I922" s="5" t="n">
        <v>45323</v>
      </c>
      <c r="J922" t="inlineStr">
        <is>
          <t>Sold</t>
        </is>
      </c>
      <c r="K922" s="6">
        <f>HYPERLINK("https://www.kleinanzeigen.de/s-anzeige/starboard-sup-blend/2667768207-230-2011", "Link")</f>
        <v/>
      </c>
      <c r="L922" s="6">
        <f>HYPERLINK("C:\Projects\Kleinanzeigen-Scraper\offer_images\2667768207", "Link")</f>
        <v/>
      </c>
      <c r="M922" t="inlineStr">
        <is>
          <t>Mona</t>
        </is>
      </c>
      <c r="N922" s="6">
        <f>HYPERLINK("https://www.kleinanzeigen.de/s-bestandsliste.html?userId=9967921", "Link")</f>
        <v/>
      </c>
      <c r="O922" s="7" t="n">
        <v>45550.99730324074</v>
      </c>
      <c r="P922" s="3" t="inlineStr">
        <is>
          <t>62.86</t>
        </is>
      </c>
      <c r="Q922" t="inlineStr">
        <is>
          <t>Köln</t>
        </is>
      </c>
    </row>
    <row r="923">
      <c r="A923" t="inlineStr">
        <is>
          <t>9'0 x 30" x 4.75"</t>
        </is>
      </c>
      <c r="B923" t="inlineStr">
        <is>
          <t>Starboard SUP Surf Converse</t>
        </is>
      </c>
      <c r="C923" t="inlineStr"/>
      <c r="D923" s="3" t="n">
        <v>201</v>
      </c>
      <c r="E923" t="inlineStr"/>
      <c r="F923" s="4" t="n">
        <v>650</v>
      </c>
      <c r="G923" t="inlineStr">
        <is>
          <t>VB</t>
        </is>
      </c>
      <c r="H923" t="inlineStr">
        <is>
          <t>91126 Bayern - Schwabach</t>
        </is>
      </c>
      <c r="I923" s="5" t="n">
        <v>45510</v>
      </c>
      <c r="J923" t="inlineStr"/>
      <c r="K923" s="6">
        <f>HYPERLINK("https://www.kleinanzeigen.de/s-anzeige/starboard-sup-surf-converse-9-0-x-30-board-deluxe-double-chamber/2830929072-230-7251", "Link")</f>
        <v/>
      </c>
      <c r="L923" s="6">
        <f>HYPERLINK("C:\Projects\Kleinanzeigen-Scraper\offer_images\2830929072", "Link")</f>
        <v/>
      </c>
      <c r="M923" t="inlineStr">
        <is>
          <t>DM</t>
        </is>
      </c>
      <c r="N923" s="6">
        <f>HYPERLINK("https://www.kleinanzeigen.de/s-bestandsliste.html?userId=6489619", "Link")</f>
        <v/>
      </c>
      <c r="O923" s="7" t="n">
        <v>45550.99728009259</v>
      </c>
      <c r="P923" s="3" t="inlineStr">
        <is>
          <t>137.42</t>
        </is>
      </c>
      <c r="Q923" t="inlineStr">
        <is>
          <t>München</t>
        </is>
      </c>
    </row>
    <row r="924">
      <c r="A924" t="inlineStr">
        <is>
          <t>270 cm x 54 cm</t>
        </is>
      </c>
      <c r="B924" t="inlineStr">
        <is>
          <t>Fanatic Jag</t>
        </is>
      </c>
      <c r="C924" t="inlineStr"/>
      <c r="D924" s="3" t="n">
        <v>89</v>
      </c>
      <c r="E924" t="inlineStr"/>
      <c r="F924" s="4" t="n">
        <v>50</v>
      </c>
      <c r="G924" t="inlineStr">
        <is>
          <t>VB</t>
        </is>
      </c>
      <c r="H924" t="inlineStr">
        <is>
          <t>82296 Bayern - Schöngeising</t>
        </is>
      </c>
      <c r="I924" s="5" t="n">
        <v>45539</v>
      </c>
      <c r="J924" t="inlineStr">
        <is>
          <t>Sold</t>
        </is>
      </c>
      <c r="K924" s="6">
        <f>HYPERLINK("https://www.kleinanzeigen.de/s-anzeige/wind-surf-board-fanatic-jag/2854123079-230-6318", "Link")</f>
        <v/>
      </c>
      <c r="L924" s="6">
        <f>HYPERLINK("C:\Projects\Kleinanzeigen-Scraper\offer_images\2854123079", "Link")</f>
        <v/>
      </c>
      <c r="M924" t="inlineStr">
        <is>
          <t>Alexander Diessner</t>
        </is>
      </c>
      <c r="N924" s="6">
        <f>HYPERLINK("https://www.kleinanzeigen.de/s-bestandsliste.html?userId=85142068", "Link")</f>
        <v/>
      </c>
      <c r="O924" s="7" t="n">
        <v>45550.9972337963</v>
      </c>
      <c r="P924" s="3" t="inlineStr">
        <is>
          <t>27.63</t>
        </is>
      </c>
      <c r="Q924" t="inlineStr">
        <is>
          <t>München</t>
        </is>
      </c>
    </row>
    <row r="925">
      <c r="A925" t="inlineStr"/>
      <c r="B925" t="inlineStr">
        <is>
          <t>Fanatic Falcon</t>
        </is>
      </c>
      <c r="C925" t="inlineStr">
        <is>
          <t>Slalom</t>
        </is>
      </c>
      <c r="D925" s="3" t="n">
        <v>80</v>
      </c>
      <c r="E925" t="inlineStr"/>
      <c r="F925" s="4" t="n">
        <v>850</v>
      </c>
      <c r="G925" t="inlineStr"/>
      <c r="H925" t="inlineStr">
        <is>
          <t>19089 Parchim - Landkreis - Crivitz</t>
        </is>
      </c>
      <c r="I925" s="5" t="n">
        <v>45549</v>
      </c>
      <c r="J925" t="inlineStr">
        <is>
          <t>Sold</t>
        </is>
      </c>
      <c r="K925" s="6">
        <f>HYPERLINK("https://www.kleinanzeigen.de/s-anzeige/fanatic-falcon-80ltr-team-edition/2765609804-230-16534", "Link")</f>
        <v/>
      </c>
      <c r="L925" s="6">
        <f>HYPERLINK("C:\Projects\Kleinanzeigen-Scraper\offer_images\2765609804", "Link")</f>
        <v/>
      </c>
      <c r="M925" t="inlineStr">
        <is>
          <t>Ralph</t>
        </is>
      </c>
      <c r="N925" s="6">
        <f>HYPERLINK("https://www.kleinanzeigen.de/s-bestandsliste.html?userId=12763942", "Link")</f>
        <v/>
      </c>
      <c r="O925" s="7" t="n">
        <v>45550.99719907407</v>
      </c>
      <c r="P925" s="3" t="inlineStr">
        <is>
          <t>435.99</t>
        </is>
      </c>
      <c r="Q925" t="inlineStr">
        <is>
          <t>Köln</t>
        </is>
      </c>
    </row>
    <row r="926">
      <c r="A926" t="inlineStr">
        <is>
          <t>L255/W56</t>
        </is>
      </c>
      <c r="B926" t="inlineStr">
        <is>
          <t>Fanatic</t>
        </is>
      </c>
      <c r="C926" t="inlineStr">
        <is>
          <t>Freeride</t>
        </is>
      </c>
      <c r="D926" s="3" t="n">
        <v>82</v>
      </c>
      <c r="E926" t="inlineStr"/>
      <c r="F926" s="4" t="inlineStr"/>
      <c r="G926" t="inlineStr">
        <is>
          <t>VB</t>
        </is>
      </c>
      <c r="H926" t="inlineStr">
        <is>
          <t>22415 Hamburg-Nord - Hamburg Langenhorn</t>
        </is>
      </c>
      <c r="I926" s="5" t="n">
        <v>45550</v>
      </c>
      <c r="J926" t="inlineStr">
        <is>
          <t>Sold</t>
        </is>
      </c>
      <c r="K926" s="6">
        <f>HYPERLINK("https://www.kleinanzeigen.de/s-anzeige/windsurfen-boards/2864025207-230-9488", "Link")</f>
        <v/>
      </c>
      <c r="L926" s="6">
        <f>HYPERLINK("C:\Projects\Kleinanzeigen-Scraper\offer_images\2864025207", "Link")</f>
        <v/>
      </c>
      <c r="M926" t="inlineStr">
        <is>
          <t>Frederic Biesinger</t>
        </is>
      </c>
      <c r="N926" s="6">
        <f>HYPERLINK("https://www.kleinanzeigen.de/s-bestandsliste.html?userId=17709235", "Link")</f>
        <v/>
      </c>
      <c r="O926" s="7" t="n">
        <v>45550.99701388889</v>
      </c>
      <c r="P926" s="3" t="inlineStr">
        <is>
          <t>366.01</t>
        </is>
      </c>
      <c r="Q926" t="inlineStr">
        <is>
          <t>Köln</t>
        </is>
      </c>
    </row>
    <row r="927">
      <c r="A927" t="inlineStr"/>
      <c r="B927" t="inlineStr">
        <is>
          <t>Starboard</t>
        </is>
      </c>
      <c r="C927" t="inlineStr"/>
      <c r="D927" s="3" t="n">
        <v>77</v>
      </c>
      <c r="E927" t="inlineStr"/>
      <c r="F927" s="4" t="n">
        <v>160</v>
      </c>
      <c r="G927" t="inlineStr">
        <is>
          <t>VB</t>
        </is>
      </c>
      <c r="H927" t="inlineStr">
        <is>
          <t>82131 Bayern - Stockdorf</t>
        </is>
      </c>
      <c r="I927" s="5" t="n">
        <v>45424</v>
      </c>
      <c r="J927" t="inlineStr"/>
      <c r="K927" s="6">
        <f>HYPERLINK("https://www.kleinanzeigen.de/s-anzeige/starboard-77l-volumen-holzoptik/2759899687-230-15728", "Link")</f>
        <v/>
      </c>
      <c r="L927" s="6">
        <f>HYPERLINK("C:\Projects\Kleinanzeigen-Scraper\offer_images\2759899687", "Link")</f>
        <v/>
      </c>
      <c r="M927" t="inlineStr">
        <is>
          <t>Anna Maria</t>
        </is>
      </c>
      <c r="N927" s="6">
        <f>HYPERLINK("https://www.kleinanzeigen.de/s-bestandsliste.html?userId=90324601", "Link")</f>
        <v/>
      </c>
      <c r="O927" s="7" t="n">
        <v>45550.99689814815</v>
      </c>
      <c r="P927" s="3" t="inlineStr">
        <is>
          <t>16.76</t>
        </is>
      </c>
      <c r="Q927" t="inlineStr">
        <is>
          <t>München</t>
        </is>
      </c>
    </row>
    <row r="928">
      <c r="A928" t="inlineStr"/>
      <c r="B928" t="inlineStr">
        <is>
          <t>Starboard Hyper Sonic</t>
        </is>
      </c>
      <c r="C928" t="inlineStr"/>
      <c r="D928" s="3" t="n">
        <v>105</v>
      </c>
      <c r="E928" t="inlineStr"/>
      <c r="F928" s="4" t="n">
        <v>120</v>
      </c>
      <c r="G928" t="inlineStr">
        <is>
          <t>VB</t>
        </is>
      </c>
      <c r="H928" t="inlineStr">
        <is>
          <t>79183 Baden-Württemberg - Waldkirch</t>
        </is>
      </c>
      <c r="I928" s="5" t="n">
        <v>45489</v>
      </c>
      <c r="J928" t="inlineStr"/>
      <c r="K928" s="6">
        <f>HYPERLINK("https://www.kleinanzeigen.de/s-anzeige/surfbrett-starboard-surfboard-hyper-sonic-105-l-wood-technology/2813699669-230-8281", "Link")</f>
        <v/>
      </c>
      <c r="L928" s="6">
        <f>HYPERLINK("C:\Projects\Kleinanzeigen-Scraper\offer_images\2813699669", "Link")</f>
        <v/>
      </c>
      <c r="M928" t="inlineStr">
        <is>
          <t>Familie Wissler</t>
        </is>
      </c>
      <c r="N928" s="6">
        <f>HYPERLINK("https://www.kleinanzeigen.de/s-bestandsliste.html?userId=13959110", "Link")</f>
        <v/>
      </c>
      <c r="O928" s="7" t="n">
        <v>45550.99684027778</v>
      </c>
      <c r="P928" s="3" t="inlineStr">
        <is>
          <t>40.50</t>
        </is>
      </c>
      <c r="Q928" t="inlineStr">
        <is>
          <t>Bonndorf</t>
        </is>
      </c>
    </row>
    <row r="929">
      <c r="A929" t="inlineStr">
        <is>
          <t>320 x 70.5</t>
        </is>
      </c>
      <c r="B929" t="inlineStr">
        <is>
          <t>F2 Phoenix</t>
        </is>
      </c>
      <c r="C929" t="inlineStr">
        <is>
          <t>Freeride</t>
        </is>
      </c>
      <c r="D929" s="3" t="n">
        <v>188</v>
      </c>
      <c r="E929" t="inlineStr"/>
      <c r="F929" s="4" t="n">
        <v>389</v>
      </c>
      <c r="G929" t="inlineStr"/>
      <c r="H929" t="inlineStr">
        <is>
          <t>31188 Niedersachsen - Holle</t>
        </is>
      </c>
      <c r="I929" s="5" t="n">
        <v>45550</v>
      </c>
      <c r="J929" t="inlineStr">
        <is>
          <t>Sold</t>
        </is>
      </c>
      <c r="K929" s="6">
        <f>HYPERLINK("https://www.kleinanzeigen.de/s-anzeige/top-windsurf-board-f2-phoenix-einsteiger-aufsteiger-beginner/2864507100-230-2436", "Link")</f>
        <v/>
      </c>
      <c r="L929" s="6">
        <f>HYPERLINK("C:\Projects\Kleinanzeigen-Scraper\offer_images\2864507100", "Link")</f>
        <v/>
      </c>
      <c r="M929" t="inlineStr">
        <is>
          <t>HV</t>
        </is>
      </c>
      <c r="N929" s="6">
        <f>HYPERLINK("https://www.kleinanzeigen.de/s-bestandsliste.html?userId=23312179", "Link")</f>
        <v/>
      </c>
      <c r="O929" s="7" t="n">
        <v>45550.9968287037</v>
      </c>
      <c r="P929" s="3" t="inlineStr">
        <is>
          <t>253.77</t>
        </is>
      </c>
      <c r="Q929" t="inlineStr">
        <is>
          <t>Köln</t>
        </is>
      </c>
    </row>
    <row r="930">
      <c r="A930" t="inlineStr">
        <is>
          <t>2.60x1m</t>
        </is>
      </c>
      <c r="B930" t="inlineStr">
        <is>
          <t>Starboard</t>
        </is>
      </c>
      <c r="C930" t="inlineStr"/>
      <c r="D930" s="3" t="inlineStr"/>
      <c r="E930" t="inlineStr"/>
      <c r="F930" s="4" t="n">
        <v>90</v>
      </c>
      <c r="G930" t="inlineStr"/>
      <c r="H930" t="inlineStr">
        <is>
          <t>06901 Sachsen-Anhalt - Kemberg</t>
        </is>
      </c>
      <c r="I930" s="5" t="n">
        <v>45238</v>
      </c>
      <c r="J930" t="inlineStr">
        <is>
          <t>Sold</t>
        </is>
      </c>
      <c r="K930" s="6">
        <f>HYPERLINK("https://www.kleinanzeigen.de/s-anzeige/bordback-surfbrett-starboard/2596394295-230-17464", "Link")</f>
        <v/>
      </c>
      <c r="L930" s="6">
        <f>HYPERLINK("C:\Projects\Kleinanzeigen-Scraper\offer_images\2596394295", "Link")</f>
        <v/>
      </c>
      <c r="M930" t="inlineStr">
        <is>
          <t>Schmidtr</t>
        </is>
      </c>
      <c r="N930" s="6">
        <f>HYPERLINK("https://www.kleinanzeigen.de/s-bestandsliste.html?userId=1660452", "Link")</f>
        <v/>
      </c>
      <c r="O930" s="7" t="n">
        <v>45550.99663194444</v>
      </c>
      <c r="P930" s="3" t="inlineStr">
        <is>
          <t>407.03</t>
        </is>
      </c>
      <c r="Q930" t="inlineStr">
        <is>
          <t>Köln</t>
        </is>
      </c>
    </row>
    <row r="931">
      <c r="A931" t="inlineStr">
        <is>
          <t>232 cm x 75 cm</t>
        </is>
      </c>
      <c r="B931" t="inlineStr">
        <is>
          <t>Starboard Isonic 117</t>
        </is>
      </c>
      <c r="C931" t="inlineStr">
        <is>
          <t>Slalom</t>
        </is>
      </c>
      <c r="D931" s="3" t="n">
        <v>117</v>
      </c>
      <c r="E931" t="inlineStr"/>
      <c r="F931" s="4" t="n">
        <v>350</v>
      </c>
      <c r="G931" t="inlineStr"/>
      <c r="H931" t="inlineStr">
        <is>
          <t>87629 Bayern - Füssen</t>
        </is>
      </c>
      <c r="I931" s="5" t="n">
        <v>45495</v>
      </c>
      <c r="J931" t="inlineStr">
        <is>
          <t>Sold</t>
        </is>
      </c>
      <c r="K931" s="6">
        <f>HYPERLINK("https://www.kleinanzeigen.de/s-anzeige/windsurf-board-starboard-isonic-117-slalom-tuttle-box/2818766864-230-6564", "Link")</f>
        <v/>
      </c>
      <c r="L931" s="6">
        <f>HYPERLINK("C:\Projects\Kleinanzeigen-Scraper\offer_images\2818766864", "Link")</f>
        <v/>
      </c>
      <c r="M931" t="inlineStr">
        <is>
          <t>Luis</t>
        </is>
      </c>
      <c r="N931" s="6">
        <f>HYPERLINK("https://www.kleinanzeigen.de/s-bestandsliste.html?userId=33313896", "Link")</f>
        <v/>
      </c>
      <c r="O931" s="7" t="n">
        <v>45550.99663194444</v>
      </c>
      <c r="P931" s="3" t="inlineStr">
        <is>
          <t>92.19</t>
        </is>
      </c>
      <c r="Q931" t="inlineStr">
        <is>
          <t>München</t>
        </is>
      </c>
    </row>
    <row r="932">
      <c r="A932" t="inlineStr">
        <is>
          <t>212 cm x 88 cm</t>
        </is>
      </c>
      <c r="B932" t="inlineStr">
        <is>
          <t>Simmer Style Black Bird</t>
        </is>
      </c>
      <c r="C932" t="inlineStr">
        <is>
          <t>Foilboard</t>
        </is>
      </c>
      <c r="D932" s="3" t="inlineStr"/>
      <c r="E932" t="inlineStr">
        <is>
          <t>2022</t>
        </is>
      </c>
      <c r="F932" s="4" t="n">
        <v>828</v>
      </c>
      <c r="G932" t="inlineStr">
        <is>
          <t>VB</t>
        </is>
      </c>
      <c r="H932" t="inlineStr">
        <is>
          <t>85055 Bayern - Ingolstadt</t>
        </is>
      </c>
      <c r="I932" s="5" t="n">
        <v>45550</v>
      </c>
      <c r="J932" t="inlineStr"/>
      <c r="K932" s="6">
        <f>HYPERLINK("https://www.kleinanzeigen.de/s-anzeige/simmer-style-windfoil-board-black-bird-138-starboard-foilboard/2863831407-230-7613", "Link")</f>
        <v/>
      </c>
      <c r="L932" s="6">
        <f>HYPERLINK("C:\Projects\Kleinanzeigen-Scraper\offer_images\2863831407", "Link")</f>
        <v/>
      </c>
      <c r="M932" t="inlineStr">
        <is>
          <t>Erwin E.</t>
        </is>
      </c>
      <c r="N932" s="6">
        <f>HYPERLINK("https://www.kleinanzeigen.de/s-bestandsliste.html?userId=7749088", "Link")</f>
        <v/>
      </c>
      <c r="O932" s="7" t="n">
        <v>45550.99653935185</v>
      </c>
      <c r="P932" s="3" t="inlineStr">
        <is>
          <t>73.53</t>
        </is>
      </c>
      <c r="Q932" t="inlineStr">
        <is>
          <t>München</t>
        </is>
      </c>
    </row>
    <row r="933">
      <c r="A933" t="inlineStr">
        <is>
          <t>381 cm x 72 cm</t>
        </is>
      </c>
      <c r="B933" t="inlineStr">
        <is>
          <t>Starboard Touring deluxe</t>
        </is>
      </c>
      <c r="C933" t="inlineStr">
        <is>
          <t>SUP</t>
        </is>
      </c>
      <c r="D933" s="3" t="inlineStr"/>
      <c r="E933" t="inlineStr"/>
      <c r="F933" s="4" t="n">
        <v>400</v>
      </c>
      <c r="G933" t="inlineStr"/>
      <c r="H933" t="inlineStr">
        <is>
          <t>24211 Schleswig-Holstein - Preetz</t>
        </is>
      </c>
      <c r="I933" s="5" t="n">
        <v>45382</v>
      </c>
      <c r="J933" t="inlineStr">
        <is>
          <t>Sold</t>
        </is>
      </c>
      <c r="K933" s="6">
        <f>HYPERLINK("https://www.kleinanzeigen.de/s-anzeige/starboard-touring-deluxe-12-6-x31-sup-board/2722054438-230-473", "Link")</f>
        <v/>
      </c>
      <c r="L933" s="6">
        <f>HYPERLINK("C:\Projects\Kleinanzeigen-Scraper\offer_images\2722054438", "Link")</f>
        <v/>
      </c>
      <c r="M933" t="inlineStr">
        <is>
          <t>Silke</t>
        </is>
      </c>
      <c r="N933" s="6">
        <f>HYPERLINK("https://www.kleinanzeigen.de/s-bestandsliste.html?userId=70803377", "Link")</f>
        <v/>
      </c>
      <c r="O933" s="7" t="n">
        <v>45550.99650462963</v>
      </c>
      <c r="P933" s="3" t="inlineStr">
        <is>
          <t>429.47</t>
        </is>
      </c>
      <c r="Q933" t="inlineStr">
        <is>
          <t>Köln</t>
        </is>
      </c>
    </row>
    <row r="934">
      <c r="A934" t="inlineStr">
        <is>
          <t>Dimensions not specified</t>
        </is>
      </c>
      <c r="B934" t="inlineStr">
        <is>
          <t>Starboard I Sonic</t>
        </is>
      </c>
      <c r="C934" t="inlineStr">
        <is>
          <t>Slalom</t>
        </is>
      </c>
      <c r="D934" s="3" t="n">
        <v>139</v>
      </c>
      <c r="E934" t="inlineStr"/>
      <c r="F934" s="4" t="n">
        <v>780</v>
      </c>
      <c r="G934" t="inlineStr">
        <is>
          <t>VB</t>
        </is>
      </c>
      <c r="H934" t="inlineStr">
        <is>
          <t>85540 Kr. München - Haar</t>
        </is>
      </c>
      <c r="I934" s="5" t="n">
        <v>45508</v>
      </c>
      <c r="J934" t="inlineStr">
        <is>
          <t>Sold</t>
        </is>
      </c>
      <c r="K934" s="6">
        <f>HYPERLINK("https://www.kleinanzeigen.de/s-anzeige/starboard-i-sonic-139-ltr-carbon-reflex-version-mit-46erwinheller/2828589094-230-6185", "Link")</f>
        <v/>
      </c>
      <c r="L934" s="6">
        <f>HYPERLINK("C:\Projects\Kleinanzeigen-Scraper\offer_images\2828589094", "Link")</f>
        <v/>
      </c>
      <c r="M934" t="inlineStr">
        <is>
          <t>Kotalion</t>
        </is>
      </c>
      <c r="N934" s="6">
        <f>HYPERLINK("https://www.kleinanzeigen.de/s-bestandsliste.html?userId=24943369", "Link")</f>
        <v/>
      </c>
      <c r="O934" s="7" t="n">
        <v>45550.99626157407</v>
      </c>
      <c r="P934" s="3" t="inlineStr">
        <is>
          <t>11.94</t>
        </is>
      </c>
      <c r="Q934" t="inlineStr">
        <is>
          <t>München</t>
        </is>
      </c>
    </row>
    <row r="935">
      <c r="A935" t="inlineStr"/>
      <c r="B935" t="inlineStr">
        <is>
          <t>Starboard</t>
        </is>
      </c>
      <c r="C935" t="inlineStr"/>
      <c r="D935" s="3" t="n">
        <v>80</v>
      </c>
      <c r="E935" t="inlineStr"/>
      <c r="F935" s="4" t="n">
        <v>100</v>
      </c>
      <c r="G935" t="inlineStr"/>
      <c r="H935" t="inlineStr">
        <is>
          <t>44359 Dortmund - Nette</t>
        </is>
      </c>
      <c r="I935" s="5" t="n">
        <v>45427</v>
      </c>
      <c r="J935" t="inlineStr"/>
      <c r="K935" s="6">
        <f>HYPERLINK("https://www.kleinanzeigen.de/s-anzeige/starboard-windsurfboard-preisreduzierung/2762077931-230-28060", "Link")</f>
        <v/>
      </c>
      <c r="L935" s="6">
        <f>HYPERLINK("C:\Projects\Kleinanzeigen-Scraper\offer_images\2762077931", "Link")</f>
        <v/>
      </c>
      <c r="M935" t="inlineStr">
        <is>
          <t>GM</t>
        </is>
      </c>
      <c r="N935" s="6">
        <f>HYPERLINK("https://www.kleinanzeigen.de/s-bestandsliste.html?userId=19302296", "Link")</f>
        <v/>
      </c>
      <c r="O935" s="7" t="n">
        <v>45550.9961574074</v>
      </c>
      <c r="P935" s="3" t="inlineStr">
        <is>
          <t>76.15</t>
        </is>
      </c>
      <c r="Q935" t="inlineStr">
        <is>
          <t>Köln</t>
        </is>
      </c>
    </row>
    <row r="936">
      <c r="A936" t="inlineStr">
        <is>
          <t>242 cm x 66 cm</t>
        </is>
      </c>
      <c r="B936" t="inlineStr">
        <is>
          <t>Tabou Rocket</t>
        </is>
      </c>
      <c r="C936" t="inlineStr">
        <is>
          <t>Freeride</t>
        </is>
      </c>
      <c r="D936" s="3" t="n">
        <v>115</v>
      </c>
      <c r="E936" t="inlineStr"/>
      <c r="F936" s="4" t="n">
        <v>600</v>
      </c>
      <c r="G936" t="inlineStr"/>
      <c r="H936" t="inlineStr">
        <is>
          <t>85395 Bayern - Wolfersdorf</t>
        </is>
      </c>
      <c r="I936" s="5" t="n">
        <v>45526</v>
      </c>
      <c r="J936" t="inlineStr">
        <is>
          <t>Sold</t>
        </is>
      </c>
      <c r="K936" s="6">
        <f>HYPERLINK("https://www.kleinanzeigen.de/s-anzeige/surfboard-tabou-rocket-115l-100-carbon-wie-neu-windsurfboard/2843496620-230-6266", "Link")</f>
        <v/>
      </c>
      <c r="L936" s="6">
        <f>HYPERLINK("C:\Projects\Kleinanzeigen-Scraper\offer_images\2843496620", "Link")</f>
        <v/>
      </c>
      <c r="M936" t="inlineStr">
        <is>
          <t>Ludwig Funk</t>
        </is>
      </c>
      <c r="N936" s="6">
        <f>HYPERLINK("https://www.kleinanzeigen.de/s-bestandsliste.html?userId=27070405", "Link")</f>
        <v/>
      </c>
      <c r="O936" s="7" t="n">
        <v>45550.9960300926</v>
      </c>
      <c r="P936" s="3" t="inlineStr">
        <is>
          <t>41.34</t>
        </is>
      </c>
      <c r="Q936" t="inlineStr">
        <is>
          <t>München</t>
        </is>
      </c>
    </row>
    <row r="937">
      <c r="A937" t="inlineStr">
        <is>
          <t>240 cm x 63 cm</t>
        </is>
      </c>
      <c r="B937" t="inlineStr">
        <is>
          <t>Tabou</t>
        </is>
      </c>
      <c r="C937" t="inlineStr">
        <is>
          <t>Freestyle</t>
        </is>
      </c>
      <c r="D937" s="3" t="n">
        <v>100</v>
      </c>
      <c r="E937" t="inlineStr"/>
      <c r="F937" s="4" t="n">
        <v>129</v>
      </c>
      <c r="G937" t="inlineStr">
        <is>
          <t>VB</t>
        </is>
      </c>
      <c r="H937" t="inlineStr">
        <is>
          <t>87490 Bayern - Haldenwang i. Allgäu</t>
        </is>
      </c>
      <c r="I937" s="5" t="n">
        <v>45549</v>
      </c>
      <c r="J937" t="inlineStr"/>
      <c r="K937" s="6">
        <f>HYPERLINK("https://www.kleinanzeigen.de/s-anzeige/tabou-freestyle-windsurf-board-100l/2863410639-230-7635", "Link")</f>
        <v/>
      </c>
      <c r="L937" s="6">
        <f>HYPERLINK("C:\Projects\Kleinanzeigen-Scraper\offer_images\2863410639", "Link")</f>
        <v/>
      </c>
      <c r="M937" t="inlineStr">
        <is>
          <t>Stan</t>
        </is>
      </c>
      <c r="N937" s="6">
        <f>HYPERLINK("https://www.kleinanzeigen.de/s-bestandsliste.html?userId=14354082", "Link")</f>
        <v/>
      </c>
      <c r="O937" s="7" t="n">
        <v>45550.99592592593</v>
      </c>
      <c r="P937" s="3" t="inlineStr">
        <is>
          <t>98.56</t>
        </is>
      </c>
      <c r="Q937" t="inlineStr">
        <is>
          <t>München</t>
        </is>
      </c>
    </row>
    <row r="938">
      <c r="A938" t="inlineStr">
        <is>
          <t>268 x 68.5 cm</t>
        </is>
      </c>
      <c r="B938" t="inlineStr">
        <is>
          <t>Mistral Vision 150</t>
        </is>
      </c>
      <c r="C938" t="inlineStr">
        <is>
          <t>Freeride</t>
        </is>
      </c>
      <c r="D938" s="3" t="n">
        <v>150</v>
      </c>
      <c r="E938" t="inlineStr"/>
      <c r="F938" s="4" t="n">
        <v>200</v>
      </c>
      <c r="G938" t="inlineStr">
        <is>
          <t>VB</t>
        </is>
      </c>
      <c r="H938" t="inlineStr">
        <is>
          <t>24119 Kiel - Kronshagen</t>
        </is>
      </c>
      <c r="I938" s="5" t="n">
        <v>45549</v>
      </c>
      <c r="J938" t="inlineStr">
        <is>
          <t>Sold</t>
        </is>
      </c>
      <c r="K938" s="6">
        <f>HYPERLINK("https://www.kleinanzeigen.de/s-anzeige/mistral-vision-150-freeride-windsurfboard-windsurfen/2863039953-230-705", "Link")</f>
        <v/>
      </c>
      <c r="L938" s="6">
        <f>HYPERLINK("C:\Projects\Kleinanzeigen-Scraper\offer_images\2863039953", "Link")</f>
        <v/>
      </c>
      <c r="M938" t="inlineStr">
        <is>
          <t>Torge</t>
        </is>
      </c>
      <c r="N938" s="6">
        <f>HYPERLINK("https://www.kleinanzeigen.de/s-bestandsliste.html?userId=129229217", "Link")</f>
        <v/>
      </c>
      <c r="O938" s="7" t="n">
        <v>45550.99591435185</v>
      </c>
      <c r="P938" s="3" t="inlineStr">
        <is>
          <t>432.46</t>
        </is>
      </c>
      <c r="Q938" t="inlineStr">
        <is>
          <t>Köln</t>
        </is>
      </c>
    </row>
    <row r="939">
      <c r="A939" t="inlineStr">
        <is>
          <t>250 cm x 78 cm</t>
        </is>
      </c>
      <c r="B939" t="inlineStr">
        <is>
          <t>Fanatic Shark</t>
        </is>
      </c>
      <c r="C939" t="inlineStr">
        <is>
          <t>Freeride</t>
        </is>
      </c>
      <c r="D939" s="3" t="n">
        <v>150</v>
      </c>
      <c r="E939" t="inlineStr"/>
      <c r="F939" s="4" t="n">
        <v>320</v>
      </c>
      <c r="G939" t="inlineStr"/>
      <c r="H939" t="inlineStr">
        <is>
          <t>24111 Kiel - Russee-Hammer</t>
        </is>
      </c>
      <c r="I939" s="5" t="n">
        <v>45548</v>
      </c>
      <c r="J939" t="inlineStr">
        <is>
          <t>Sold</t>
        </is>
      </c>
      <c r="K939" s="6">
        <f>HYPERLINK("https://www.kleinanzeigen.de/s-anzeige/fanatic-shark-150-liter-surfbord-surfbrett-einsteiger/2862505596-230-706", "Link")</f>
        <v/>
      </c>
      <c r="L939" s="6">
        <f>HYPERLINK("C:\Projects\Kleinanzeigen-Scraper\offer_images\2862505596", "Link")</f>
        <v/>
      </c>
      <c r="M939" t="inlineStr">
        <is>
          <t>Marcus</t>
        </is>
      </c>
      <c r="N939" s="6">
        <f>HYPERLINK("https://www.kleinanzeigen.de/s-bestandsliste.html?userId=996427", "Link")</f>
        <v/>
      </c>
      <c r="O939" s="7" t="n">
        <v>45550.9958449074</v>
      </c>
      <c r="P939" s="3" t="inlineStr">
        <is>
          <t>428.92</t>
        </is>
      </c>
      <c r="Q939" t="inlineStr">
        <is>
          <t>Köln</t>
        </is>
      </c>
    </row>
    <row r="940">
      <c r="A940" t="inlineStr"/>
      <c r="B940" t="inlineStr">
        <is>
          <t>Tabou 3S Plus Team</t>
        </is>
      </c>
      <c r="C940" t="inlineStr">
        <is>
          <t>Freeride</t>
        </is>
      </c>
      <c r="D940" s="3" t="n">
        <v>106</v>
      </c>
      <c r="E940" t="inlineStr">
        <is>
          <t>2023</t>
        </is>
      </c>
      <c r="F940" s="4" t="n">
        <v>830</v>
      </c>
      <c r="G940" t="inlineStr"/>
      <c r="H940" t="inlineStr">
        <is>
          <t>21037 Bergedorf - Kirchwerder</t>
        </is>
      </c>
      <c r="I940" s="5" t="n">
        <v>45550</v>
      </c>
      <c r="J940" t="inlineStr"/>
      <c r="K940" s="6">
        <f>HYPERLINK("https://www.kleinanzeigen.de/s-anzeige/windsurfboard-tabou-3s-plus-team-106l-2023/2864712934-230-18570", "Link")</f>
        <v/>
      </c>
      <c r="L940" s="6">
        <f>HYPERLINK("C:\Projects\Kleinanzeigen-Scraper\offer_images\2864712934", "Link")</f>
        <v/>
      </c>
      <c r="M940" t="inlineStr">
        <is>
          <t>Arne</t>
        </is>
      </c>
      <c r="N940" s="6">
        <f>HYPERLINK("https://www.kleinanzeigen.de/s-bestandsliste.html?userId=13205090", "Link")</f>
        <v/>
      </c>
      <c r="O940" s="7" t="n">
        <v>45550.99575231481</v>
      </c>
      <c r="P940" s="3" t="inlineStr">
        <is>
          <t>354.05</t>
        </is>
      </c>
      <c r="Q940" t="inlineStr">
        <is>
          <t>Köln</t>
        </is>
      </c>
    </row>
    <row r="941">
      <c r="A941" t="inlineStr">
        <is>
          <t>237 x 82</t>
        </is>
      </c>
      <c r="B941" t="inlineStr">
        <is>
          <t>JP Australia Super Sport</t>
        </is>
      </c>
      <c r="C941" t="inlineStr">
        <is>
          <t>Freeride</t>
        </is>
      </c>
      <c r="D941" s="3" t="n">
        <v>137</v>
      </c>
      <c r="E941" t="inlineStr"/>
      <c r="F941" s="4" t="n">
        <v>850</v>
      </c>
      <c r="G941" t="inlineStr">
        <is>
          <t>VB</t>
        </is>
      </c>
      <c r="H941" t="inlineStr">
        <is>
          <t>16321 Brandenburg - Bernau</t>
        </is>
      </c>
      <c r="I941" s="5" t="n">
        <v>45550</v>
      </c>
      <c r="J941" t="inlineStr"/>
      <c r="K941" s="6">
        <f>HYPERLINK("https://www.kleinanzeigen.de/s-anzeige/jp-australia-super-sport-137l/2864386405-230-7924", "Link")</f>
        <v/>
      </c>
      <c r="L941" s="6">
        <f>HYPERLINK("C:\Projects\Kleinanzeigen-Scraper\offer_images\2864386405", "Link")</f>
        <v/>
      </c>
      <c r="M941" t="inlineStr">
        <is>
          <t>Florian Klemp</t>
        </is>
      </c>
      <c r="N941" s="6">
        <f>HYPERLINK("https://www.kleinanzeigen.de/s-bestandsliste.html?userId=13943394", "Link")</f>
        <v/>
      </c>
      <c r="O941" s="7" t="n">
        <v>45550.99554398148</v>
      </c>
      <c r="P941" s="3" t="inlineStr">
        <is>
          <t>494.24</t>
        </is>
      </c>
      <c r="Q941" t="inlineStr">
        <is>
          <t>Köln</t>
        </is>
      </c>
    </row>
    <row r="942">
      <c r="A942" t="inlineStr">
        <is>
          <t>2.20m x 0.75m</t>
        </is>
      </c>
      <c r="B942" t="inlineStr">
        <is>
          <t>Starboard</t>
        </is>
      </c>
      <c r="C942" t="inlineStr">
        <is>
          <t>Foil</t>
        </is>
      </c>
      <c r="D942" s="3" t="n">
        <v>133</v>
      </c>
      <c r="E942" t="inlineStr"/>
      <c r="F942" s="4" t="n">
        <v>550</v>
      </c>
      <c r="G942" t="inlineStr"/>
      <c r="H942" t="inlineStr">
        <is>
          <t>97539 Bayern - Wonfurt</t>
        </is>
      </c>
      <c r="I942" s="5" t="n">
        <v>45438</v>
      </c>
      <c r="J942" t="inlineStr">
        <is>
          <t>Sold</t>
        </is>
      </c>
      <c r="K942" s="6">
        <f>HYPERLINK("https://www.kleinanzeigen.de/s-anzeige/surfbrett-starboard-mit-foil/2771533189-230-6869", "Link")</f>
        <v/>
      </c>
      <c r="L942" s="6">
        <f>HYPERLINK("C:\Projects\Kleinanzeigen-Scraper\offer_images\2771533189", "Link")</f>
        <v/>
      </c>
      <c r="M942" t="inlineStr">
        <is>
          <t>Andrea</t>
        </is>
      </c>
      <c r="N942" s="6">
        <f>HYPERLINK("https://www.kleinanzeigen.de/s-bestandsliste.html?userId=127480108", "Link")</f>
        <v/>
      </c>
      <c r="O942" s="7" t="n">
        <v>45550.9953587963</v>
      </c>
      <c r="P942" s="3" t="inlineStr">
        <is>
          <t>183.73</t>
        </is>
      </c>
      <c r="Q942" t="inlineStr">
        <is>
          <t>Böblingen</t>
        </is>
      </c>
    </row>
    <row r="943">
      <c r="A943" t="inlineStr"/>
      <c r="B943" t="inlineStr">
        <is>
          <t>Starboard Futura</t>
        </is>
      </c>
      <c r="C943" t="inlineStr">
        <is>
          <t>Freeride</t>
        </is>
      </c>
      <c r="D943" s="3" t="n">
        <v>111</v>
      </c>
      <c r="E943" t="inlineStr"/>
      <c r="F943" s="4" t="n">
        <v>280</v>
      </c>
      <c r="G943" t="inlineStr"/>
      <c r="H943" t="inlineStr">
        <is>
          <t>47228 Duisburg - Rheinhausen</t>
        </is>
      </c>
      <c r="I943" s="5" t="n">
        <v>45438</v>
      </c>
      <c r="J943" t="inlineStr"/>
      <c r="K943" s="6">
        <f>HYPERLINK("https://www.kleinanzeigen.de/s-anzeige/starboard-futura-111-technora-freeride-freerace-windsurfboard/2771806800-230-2135", "Link")</f>
        <v/>
      </c>
      <c r="L943" s="6">
        <f>HYPERLINK("C:\Projects\Kleinanzeigen-Scraper\offer_images\2771806800", "Link")</f>
        <v/>
      </c>
      <c r="M943" t="inlineStr">
        <is>
          <t>Grunert</t>
        </is>
      </c>
      <c r="N943" s="6">
        <f>HYPERLINK("https://www.kleinanzeigen.de/s-bestandsliste.html?userId=22920722", "Link")</f>
        <v/>
      </c>
      <c r="O943" s="7" t="n">
        <v>45550.9953587963</v>
      </c>
      <c r="P943" s="3" t="inlineStr">
        <is>
          <t>56.80</t>
        </is>
      </c>
      <c r="Q943" t="inlineStr">
        <is>
          <t>Köln</t>
        </is>
      </c>
    </row>
    <row r="944">
      <c r="A944" t="inlineStr">
        <is>
          <t>384.05 cm x 76.2 cm x 11.43 cm</t>
        </is>
      </c>
      <c r="B944" t="inlineStr">
        <is>
          <t>Starboard</t>
        </is>
      </c>
      <c r="C944" t="inlineStr">
        <is>
          <t>Tourer</t>
        </is>
      </c>
      <c r="D944" s="3" t="n">
        <v>277</v>
      </c>
      <c r="E944" t="inlineStr"/>
      <c r="F944" s="4" t="n">
        <v>600</v>
      </c>
      <c r="G944" t="inlineStr"/>
      <c r="H944" t="inlineStr">
        <is>
          <t>04207 Leipzig - Kleinzschocher</t>
        </is>
      </c>
      <c r="I944" s="5" t="n">
        <v>45197</v>
      </c>
      <c r="J944" t="inlineStr">
        <is>
          <t>Sold</t>
        </is>
      </c>
      <c r="K944" s="6">
        <f>HYPERLINK("https://www.kleinanzeigen.de/s-anzeige/sup-starboard-sup-mit-karbonpaddel-stand-up-paddle-board/2557548490-230-4249", "Link")</f>
        <v/>
      </c>
      <c r="L944" s="6">
        <f>HYPERLINK("C:\Projects\Kleinanzeigen-Scraper\offer_images\2557548490", "Link")</f>
        <v/>
      </c>
      <c r="M944" t="inlineStr">
        <is>
          <t>Lars Schneider</t>
        </is>
      </c>
      <c r="N944" s="6">
        <f>HYPERLINK("https://www.kleinanzeigen.de/s-bestandsliste.html?userId=22981785", "Link")</f>
        <v/>
      </c>
      <c r="O944" s="7" t="n">
        <v>45550.99532407407</v>
      </c>
      <c r="P944" s="3" t="inlineStr">
        <is>
          <t>356.56</t>
        </is>
      </c>
      <c r="Q944" t="inlineStr">
        <is>
          <t>München</t>
        </is>
      </c>
    </row>
    <row r="945">
      <c r="A945" t="inlineStr">
        <is>
          <t>252cm x 56cm</t>
        </is>
      </c>
      <c r="B945" t="inlineStr">
        <is>
          <t>Starboard Acid</t>
        </is>
      </c>
      <c r="C945" t="inlineStr">
        <is>
          <t>Freestyle</t>
        </is>
      </c>
      <c r="D945" s="3" t="n">
        <v>88</v>
      </c>
      <c r="E945" t="inlineStr"/>
      <c r="F945" s="4" t="n">
        <v>100</v>
      </c>
      <c r="G945" t="inlineStr">
        <is>
          <t>VB</t>
        </is>
      </c>
      <c r="H945" t="inlineStr">
        <is>
          <t>40723 Nordrhein-Westfalen - Hilden</t>
        </is>
      </c>
      <c r="I945" s="5" t="n">
        <v>45499</v>
      </c>
      <c r="J945" t="inlineStr">
        <is>
          <t>Sold</t>
        </is>
      </c>
      <c r="K945" s="6">
        <f>HYPERLINK("https://www.kleinanzeigen.de/s-anzeige/windsurfboard-starboard-acid-88/2821523787-230-1858", "Link")</f>
        <v/>
      </c>
      <c r="L945" s="6">
        <f>HYPERLINK("C:\Projects\Kleinanzeigen-Scraper\offer_images\2821523787", "Link")</f>
        <v/>
      </c>
      <c r="M945" t="inlineStr">
        <is>
          <t>Andreas Arnold</t>
        </is>
      </c>
      <c r="N945" s="6">
        <f>HYPERLINK("https://www.kleinanzeigen.de/s-bestandsliste.html?userId=33430798", "Link")</f>
        <v/>
      </c>
      <c r="O945" s="7" t="n">
        <v>45550.99530092593</v>
      </c>
      <c r="P945" s="3" t="inlineStr">
        <is>
          <t>24.02</t>
        </is>
      </c>
      <c r="Q945" t="inlineStr">
        <is>
          <t>Köln</t>
        </is>
      </c>
    </row>
    <row r="946">
      <c r="A946" t="inlineStr">
        <is>
          <t>245 x 65 cm</t>
        </is>
      </c>
      <c r="B946" t="inlineStr">
        <is>
          <t>Starboard</t>
        </is>
      </c>
      <c r="C946" t="inlineStr">
        <is>
          <t>Freeride/Freestyle</t>
        </is>
      </c>
      <c r="D946" s="3" t="n">
        <v>100</v>
      </c>
      <c r="E946" t="inlineStr"/>
      <c r="F946" s="4" t="n">
        <v>60</v>
      </c>
      <c r="G946" t="inlineStr"/>
      <c r="H946" t="inlineStr">
        <is>
          <t>45721 Nordrhein-Westfalen - Haltern am See</t>
        </is>
      </c>
      <c r="I946" s="5" t="n">
        <v>45503</v>
      </c>
      <c r="J946" t="inlineStr">
        <is>
          <t>Sold</t>
        </is>
      </c>
      <c r="K946" s="6">
        <f>HYPERLINK("https://www.kleinanzeigen.de/s-anzeige/starboard-100l-surfboard-surfbrett-windsurf-freestyle/2824713875-230-1336", "Link")</f>
        <v/>
      </c>
      <c r="L946" s="6">
        <f>HYPERLINK("C:\Projects\Kleinanzeigen-Scraper\offer_images\2824713875", "Link")</f>
        <v/>
      </c>
      <c r="M946" t="inlineStr">
        <is>
          <t>Alexander</t>
        </is>
      </c>
      <c r="N946" s="6">
        <f>HYPERLINK("https://www.kleinanzeigen.de/s-bestandsliste.html?userId=1171247", "Link")</f>
        <v/>
      </c>
      <c r="O946" s="7" t="n">
        <v>45550.99512731482</v>
      </c>
      <c r="P946" s="3" t="inlineStr">
        <is>
          <t>95.03</t>
        </is>
      </c>
      <c r="Q946" t="inlineStr">
        <is>
          <t>Köln</t>
        </is>
      </c>
    </row>
    <row r="947">
      <c r="A947" t="inlineStr">
        <is>
          <t>4'6"</t>
        </is>
      </c>
      <c r="B947" t="inlineStr">
        <is>
          <t>Fanatic/Duotone Sky Surf</t>
        </is>
      </c>
      <c r="C947" t="inlineStr">
        <is>
          <t>Wingfoil</t>
        </is>
      </c>
      <c r="D947" s="3" t="n">
        <v>45</v>
      </c>
      <c r="E947" t="inlineStr">
        <is>
          <t>2023</t>
        </is>
      </c>
      <c r="F947" s="4" t="n">
        <v>490</v>
      </c>
      <c r="G947" t="inlineStr">
        <is>
          <t>VB</t>
        </is>
      </c>
      <c r="H947" t="inlineStr">
        <is>
          <t>83088 Bayern - Kiefersfelden</t>
        </is>
      </c>
      <c r="I947" s="5" t="n">
        <v>45550</v>
      </c>
      <c r="J947" t="inlineStr">
        <is>
          <t>Sold</t>
        </is>
      </c>
      <c r="K947" s="6">
        <f>HYPERLINK("https://www.kleinanzeigen.de/s-anzeige/fanatic-duotone-sky-surf-4-6-45-liter-2023-board/2863861277-230-7584", "Link")</f>
        <v/>
      </c>
      <c r="L947" s="6">
        <f>HYPERLINK("C:\Projects\Kleinanzeigen-Scraper\offer_images\2863861277", "Link")</f>
        <v/>
      </c>
      <c r="M947" t="inlineStr">
        <is>
          <t>Pierpaolo Zamunaro</t>
        </is>
      </c>
      <c r="N947" s="6">
        <f>HYPERLINK("https://www.kleinanzeigen.de/s-bestandsliste.html?userId=22832496", "Link")</f>
        <v/>
      </c>
      <c r="O947" s="7" t="n">
        <v>45550.9949537037</v>
      </c>
      <c r="P947" s="3" t="inlineStr">
        <is>
          <t>73.59</t>
        </is>
      </c>
      <c r="Q947" t="inlineStr">
        <is>
          <t>München</t>
        </is>
      </c>
    </row>
    <row r="948">
      <c r="A948" t="inlineStr">
        <is>
          <t>228 x 85</t>
        </is>
      </c>
      <c r="B948" t="inlineStr">
        <is>
          <t>Starboard iSonic</t>
        </is>
      </c>
      <c r="C948" t="inlineStr">
        <is>
          <t>Slalom</t>
        </is>
      </c>
      <c r="D948" s="3" t="n">
        <v>139</v>
      </c>
      <c r="E948" t="inlineStr">
        <is>
          <t>2021</t>
        </is>
      </c>
      <c r="F948" s="4" t="n">
        <v>850</v>
      </c>
      <c r="G948" t="inlineStr"/>
      <c r="H948" t="inlineStr">
        <is>
          <t>91555 Bayern - Feuchtwangen</t>
        </is>
      </c>
      <c r="I948" s="5" t="n">
        <v>45466</v>
      </c>
      <c r="J948" t="inlineStr"/>
      <c r="K948" s="6">
        <f>HYPERLINK("https://www.kleinanzeigen.de/s-anzeige/starboard-isonic-85/2795017811-230-9140", "Link")</f>
        <v/>
      </c>
      <c r="L948" s="6">
        <f>HYPERLINK("C:\Projects\Kleinanzeigen-Scraper\offer_images\2795017811", "Link")</f>
        <v/>
      </c>
      <c r="M948" t="inlineStr">
        <is>
          <t>Frank</t>
        </is>
      </c>
      <c r="N948" s="6">
        <f>HYPERLINK("https://www.kleinanzeigen.de/s-bestandsliste.html?userId=12633395", "Link")</f>
        <v/>
      </c>
      <c r="O948" s="7" t="n">
        <v>45550.99476851852</v>
      </c>
      <c r="P948" s="3" t="inlineStr">
        <is>
          <t>113.30</t>
        </is>
      </c>
      <c r="Q948" t="inlineStr">
        <is>
          <t>Böblingen</t>
        </is>
      </c>
    </row>
    <row r="949">
      <c r="A949" t="inlineStr">
        <is>
          <t>8'2" x 32" x 4"</t>
        </is>
      </c>
      <c r="B949" t="inlineStr">
        <is>
          <t>Starboard Astro Wide Deluxe</t>
        </is>
      </c>
      <c r="C949" t="inlineStr"/>
      <c r="D949" s="3" t="n">
        <v>130</v>
      </c>
      <c r="E949" t="inlineStr"/>
      <c r="F949" s="4" t="n">
        <v>299</v>
      </c>
      <c r="G949" t="inlineStr">
        <is>
          <t>VB</t>
        </is>
      </c>
      <c r="H949" t="inlineStr">
        <is>
          <t>83536 Bayern - Gars am Inn</t>
        </is>
      </c>
      <c r="I949" s="5" t="n">
        <v>45489</v>
      </c>
      <c r="J949" t="inlineStr"/>
      <c r="K949" s="6">
        <f>HYPERLINK("https://www.kleinanzeigen.de/s-anzeige/sup-starboard-astro-wide-deluxe-8-2-x-32-x-4-/2813898627-230-5670", "Link")</f>
        <v/>
      </c>
      <c r="L949" s="6">
        <f>HYPERLINK("C:\Projects\Kleinanzeigen-Scraper\offer_images\2813898627", "Link")</f>
        <v/>
      </c>
      <c r="M949" t="inlineStr">
        <is>
          <t>Barbara Merei</t>
        </is>
      </c>
      <c r="N949" s="6">
        <f>HYPERLINK("https://www.kleinanzeigen.de/s-bestandsliste.html?userId=25127305", "Link")</f>
        <v/>
      </c>
      <c r="O949" s="7" t="n">
        <v>45550.99476851852</v>
      </c>
      <c r="P949" s="3" t="inlineStr">
        <is>
          <t>51.21</t>
        </is>
      </c>
      <c r="Q949" t="inlineStr">
        <is>
          <t>München</t>
        </is>
      </c>
    </row>
    <row r="950">
      <c r="A950" t="inlineStr">
        <is>
          <t>217cm x 54cm</t>
        </is>
      </c>
      <c r="B950" t="inlineStr">
        <is>
          <t>Tabou Wellenreiter</t>
        </is>
      </c>
      <c r="C950" t="inlineStr"/>
      <c r="D950" s="3" t="inlineStr"/>
      <c r="E950" t="inlineStr"/>
      <c r="F950" s="4" t="n">
        <v>65</v>
      </c>
      <c r="G950" t="inlineStr">
        <is>
          <t>VB</t>
        </is>
      </c>
      <c r="H950" t="inlineStr">
        <is>
          <t>21035 Hamburg - Bergedorf</t>
        </is>
      </c>
      <c r="I950" s="5" t="n">
        <v>45550</v>
      </c>
      <c r="J950" t="inlineStr"/>
      <c r="K950" s="6">
        <f>HYPERLINK("https://www.kleinanzeigen.de/s-anzeige/tabou-wellenreiter-surfbrett-surfboard-7-1/2864225626-230-16432", "Link")</f>
        <v/>
      </c>
      <c r="L950" s="6">
        <f>HYPERLINK("C:\Projects\Kleinanzeigen-Scraper\offer_images\2864225626", "Link")</f>
        <v/>
      </c>
      <c r="M950" t="inlineStr">
        <is>
          <t>Petersen</t>
        </is>
      </c>
      <c r="N950" s="6">
        <f>HYPERLINK("https://www.kleinanzeigen.de/s-bestandsliste.html?userId=16419282", "Link")</f>
        <v/>
      </c>
      <c r="O950" s="7" t="n">
        <v>45550.99461805556</v>
      </c>
      <c r="P950" s="3" t="inlineStr">
        <is>
          <t>357.47</t>
        </is>
      </c>
      <c r="Q950" t="inlineStr">
        <is>
          <t>Köln</t>
        </is>
      </c>
    </row>
    <row r="951">
      <c r="A951" t="inlineStr">
        <is>
          <t>14' x 28"</t>
        </is>
      </c>
      <c r="B951" t="inlineStr">
        <is>
          <t>Naish Air Maliko</t>
        </is>
      </c>
      <c r="C951" t="inlineStr">
        <is>
          <t>Race</t>
        </is>
      </c>
      <c r="D951" s="3" t="inlineStr"/>
      <c r="E951" t="inlineStr"/>
      <c r="F951" s="4" t="n">
        <v>550</v>
      </c>
      <c r="G951" t="inlineStr"/>
      <c r="H951" t="inlineStr">
        <is>
          <t>56566 Rheinland-Pfalz - Neuwied</t>
        </is>
      </c>
      <c r="I951" s="5" t="n">
        <v>45428</v>
      </c>
      <c r="J951" t="inlineStr"/>
      <c r="K951" s="6">
        <f>HYPERLINK("https://www.kleinanzeigen.de/s-anzeige/naish-air-maliko-race-sup-board-14-28-starboard-sic-paddel/2762731456-230-5414", "Link")</f>
        <v/>
      </c>
      <c r="L951" s="6">
        <f>HYPERLINK("C:\Projects\Kleinanzeigen-Scraper\offer_images\2762731456", "Link")</f>
        <v/>
      </c>
      <c r="M951" t="inlineStr">
        <is>
          <t>Nik</t>
        </is>
      </c>
      <c r="N951" s="6">
        <f>HYPERLINK("https://www.kleinanzeigen.de/s-bestandsliste.html?userId=140465811", "Link")</f>
        <v/>
      </c>
      <c r="O951" s="7" t="n">
        <v>45550.99458333333</v>
      </c>
      <c r="P951" s="3" t="inlineStr">
        <is>
          <t>67.16</t>
        </is>
      </c>
      <c r="Q951" t="inlineStr">
        <is>
          <t>Köln</t>
        </is>
      </c>
    </row>
    <row r="952">
      <c r="A952" t="inlineStr">
        <is>
          <t>239 * 61</t>
        </is>
      </c>
      <c r="B952" t="inlineStr">
        <is>
          <t>Naish Global Wave</t>
        </is>
      </c>
      <c r="C952" t="inlineStr">
        <is>
          <t>Wave</t>
        </is>
      </c>
      <c r="D952" s="3" t="n">
        <v>98</v>
      </c>
      <c r="E952" t="inlineStr">
        <is>
          <t>2009</t>
        </is>
      </c>
      <c r="F952" s="4" t="n">
        <v>120</v>
      </c>
      <c r="G952" t="inlineStr">
        <is>
          <t>VB</t>
        </is>
      </c>
      <c r="H952" t="inlineStr">
        <is>
          <t>59590 Nordrhein-Westfalen - Geseke</t>
        </is>
      </c>
      <c r="I952" s="5" t="n">
        <v>45507</v>
      </c>
      <c r="J952" t="inlineStr">
        <is>
          <t>Sold</t>
        </is>
      </c>
      <c r="K952" s="6">
        <f>HYPERLINK("https://www.kleinanzeigen.de/s-anzeige/windsurfboard-naish-global-wave-98-239-61/2827778530-230-1260", "Link")</f>
        <v/>
      </c>
      <c r="L952" s="6">
        <f>HYPERLINK("C:\Projects\Kleinanzeigen-Scraper\offer_images\2827778530", "Link")</f>
        <v/>
      </c>
      <c r="M952" t="inlineStr">
        <is>
          <t>Detlev Beck</t>
        </is>
      </c>
      <c r="N952" s="6">
        <f>HYPERLINK("https://www.kleinanzeigen.de/s-bestandsliste.html?userId=11397595", "Link")</f>
        <v/>
      </c>
      <c r="O952" s="7" t="n">
        <v>45550.99457175926</v>
      </c>
      <c r="P952" s="3" t="inlineStr">
        <is>
          <t>131.72</t>
        </is>
      </c>
      <c r="Q952" t="inlineStr">
        <is>
          <t>Köln</t>
        </is>
      </c>
    </row>
    <row r="953">
      <c r="A953" t="inlineStr"/>
      <c r="B953" t="inlineStr">
        <is>
          <t>Starboard Isonic 64</t>
        </is>
      </c>
      <c r="C953" t="inlineStr">
        <is>
          <t>Slalom</t>
        </is>
      </c>
      <c r="D953" s="3" t="inlineStr"/>
      <c r="E953" t="inlineStr"/>
      <c r="F953" s="4" t="n">
        <v>245</v>
      </c>
      <c r="G953" t="inlineStr">
        <is>
          <t>VB</t>
        </is>
      </c>
      <c r="H953" t="inlineStr">
        <is>
          <t>24159 Kiel - Pries-Friedrichsort</t>
        </is>
      </c>
      <c r="I953" s="5" t="n">
        <v>45510</v>
      </c>
      <c r="J953" t="inlineStr"/>
      <c r="K953" s="6">
        <f>HYPERLINK("https://www.kleinanzeigen.de/s-anzeige/windsurfboard-slalom-starboard-isonic-64/2830527364-230-695", "Link")</f>
        <v/>
      </c>
      <c r="L953" s="6">
        <f>HYPERLINK("C:\Projects\Kleinanzeigen-Scraper\offer_images\2830527364", "Link")</f>
        <v/>
      </c>
      <c r="M953" t="inlineStr">
        <is>
          <t>Hans</t>
        </is>
      </c>
      <c r="N953" s="6">
        <f>HYPERLINK("https://www.kleinanzeigen.de/s-bestandsliste.html?userId=130737103", "Link")</f>
        <v/>
      </c>
      <c r="O953" s="7" t="n">
        <v>45550.99450231482</v>
      </c>
      <c r="P953" s="3" t="inlineStr">
        <is>
          <t>440.84</t>
        </is>
      </c>
      <c r="Q953" t="inlineStr">
        <is>
          <t>Köln</t>
        </is>
      </c>
    </row>
    <row r="954">
      <c r="A954" t="inlineStr"/>
      <c r="B954" t="inlineStr">
        <is>
          <t>Tabou 3s Limited</t>
        </is>
      </c>
      <c r="C954" t="inlineStr"/>
      <c r="D954" s="3" t="inlineStr"/>
      <c r="E954" t="inlineStr"/>
      <c r="F954" s="4" t="n">
        <v>449</v>
      </c>
      <c r="G954" t="inlineStr">
        <is>
          <t>VB</t>
        </is>
      </c>
      <c r="H954" t="inlineStr">
        <is>
          <t>90409 Nürnberg (Mittelfr) - Nordstadt</t>
        </is>
      </c>
      <c r="I954" s="5" t="n">
        <v>45549</v>
      </c>
      <c r="J954" t="inlineStr">
        <is>
          <t>Sold</t>
        </is>
      </c>
      <c r="K954" s="6">
        <f>HYPERLINK("https://www.kleinanzeigen.de/s-anzeige/tabou-3s-limited-surfboard/2863355309-230-6823", "Link")</f>
        <v/>
      </c>
      <c r="L954" s="6">
        <f>HYPERLINK("C:\Projects\Kleinanzeigen-Scraper\offer_images\2863355309", "Link")</f>
        <v/>
      </c>
      <c r="M954" t="inlineStr">
        <is>
          <t>Michaelh</t>
        </is>
      </c>
      <c r="N954" s="6">
        <f>HYPERLINK("https://www.kleinanzeigen.de/s-bestandsliste.html?userId=122405365", "Link")</f>
        <v/>
      </c>
      <c r="O954" s="7" t="n">
        <v>45550.99443287037</v>
      </c>
      <c r="P954" s="3" t="inlineStr">
        <is>
          <t>152.07</t>
        </is>
      </c>
      <c r="Q954" t="inlineStr">
        <is>
          <t>München</t>
        </is>
      </c>
    </row>
    <row r="955">
      <c r="A955" t="inlineStr">
        <is>
          <t>264 cm x 54 cm</t>
        </is>
      </c>
      <c r="B955" t="inlineStr">
        <is>
          <t>Fanatic Bee</t>
        </is>
      </c>
      <c r="C955" t="inlineStr"/>
      <c r="D955" s="3" t="n">
        <v>92</v>
      </c>
      <c r="E955" t="inlineStr"/>
      <c r="F955" s="4" t="n">
        <v>70</v>
      </c>
      <c r="G955" t="inlineStr"/>
      <c r="H955" t="inlineStr">
        <is>
          <t>88045 Baden-Württemberg - Friedrichshafen</t>
        </is>
      </c>
      <c r="I955" s="5" t="n">
        <v>45549</v>
      </c>
      <c r="J955" t="inlineStr">
        <is>
          <t>Sold</t>
        </is>
      </c>
      <c r="K955" s="6">
        <f>HYPERLINK("https://www.kleinanzeigen.de/s-anzeige/windsurf-board-windsurfboard-fanatic-bee-264/2863431584-230-9213", "Link")</f>
        <v/>
      </c>
      <c r="L955" s="6">
        <f>HYPERLINK("C:\Projects\Kleinanzeigen-Scraper\offer_images\2863431584", "Link")</f>
        <v/>
      </c>
      <c r="M955" t="inlineStr">
        <is>
          <t>R.M.</t>
        </is>
      </c>
      <c r="N955" s="6">
        <f>HYPERLINK("https://www.kleinanzeigen.de/s-bestandsliste.html?userId=56059820", "Link")</f>
        <v/>
      </c>
      <c r="O955" s="7" t="n">
        <v>45550.99399305556</v>
      </c>
      <c r="P955" s="3" t="inlineStr">
        <is>
          <t>85.70</t>
        </is>
      </c>
      <c r="Q955" t="inlineStr">
        <is>
          <t>Bonndorf</t>
        </is>
      </c>
    </row>
    <row r="956">
      <c r="A956" t="inlineStr"/>
      <c r="B956" t="inlineStr">
        <is>
          <t>Tabou</t>
        </is>
      </c>
      <c r="C956" t="inlineStr"/>
      <c r="D956" s="3" t="n">
        <v>76</v>
      </c>
      <c r="E956" t="inlineStr">
        <is>
          <t>2024</t>
        </is>
      </c>
      <c r="F956" s="4" t="n">
        <v>1</v>
      </c>
      <c r="G956" t="inlineStr"/>
      <c r="H956" t="inlineStr">
        <is>
          <t>24539 Schleswig-Holstein - Neumünster</t>
        </is>
      </c>
      <c r="I956" s="5" t="n">
        <v>45550</v>
      </c>
      <c r="J956" t="inlineStr"/>
      <c r="K956" s="6">
        <f>HYPERLINK("https://www.kleinanzeigen.de/s-anzeige/tabou-76l-team-edition-2024-zu-verkaufen-/2864617275-230-648", "Link")</f>
        <v/>
      </c>
      <c r="L956" s="6">
        <f>HYPERLINK("C:\Projects\Kleinanzeigen-Scraper\offer_images\2864617275", "Link")</f>
        <v/>
      </c>
      <c r="M956" t="inlineStr">
        <is>
          <t>Lars</t>
        </is>
      </c>
      <c r="N956" s="6">
        <f>HYPERLINK("https://www.kleinanzeigen.de/s-bestandsliste.html?userId=129937829", "Link")</f>
        <v/>
      </c>
      <c r="O956" s="7" t="n">
        <v>45550.99390046296</v>
      </c>
      <c r="P956" s="3" t="inlineStr">
        <is>
          <t>402.09</t>
        </is>
      </c>
      <c r="Q956" t="inlineStr">
        <is>
          <t>Köln</t>
        </is>
      </c>
    </row>
    <row r="957">
      <c r="A957" t="inlineStr">
        <is>
          <t>230 cm x 60.5 cm</t>
        </is>
      </c>
      <c r="B957" t="inlineStr">
        <is>
          <t>Starboard Kode</t>
        </is>
      </c>
      <c r="C957" t="inlineStr">
        <is>
          <t>Wave</t>
        </is>
      </c>
      <c r="D957" s="3" t="n">
        <v>88</v>
      </c>
      <c r="E957" t="inlineStr">
        <is>
          <t>2016</t>
        </is>
      </c>
      <c r="F957" s="4" t="n">
        <v>520</v>
      </c>
      <c r="G957" t="inlineStr">
        <is>
          <t>VB</t>
        </is>
      </c>
      <c r="H957" t="inlineStr">
        <is>
          <t>82256 Bayern - Fürstenfeldbruck</t>
        </is>
      </c>
      <c r="I957" s="5" t="n">
        <v>45379</v>
      </c>
      <c r="J957" t="inlineStr"/>
      <c r="K957" s="6">
        <f>HYPERLINK("https://www.kleinanzeigen.de/s-anzeige/starboard-kode-wave-wood-88l-2016-waveboard-wave-board-/2719262818-230-6311", "Link")</f>
        <v/>
      </c>
      <c r="L957" s="6">
        <f>HYPERLINK("C:\Projects\Kleinanzeigen-Scraper\offer_images\2719262818", "Link")</f>
        <v/>
      </c>
      <c r="M957" t="inlineStr">
        <is>
          <t>Stefan</t>
        </is>
      </c>
      <c r="N957" s="6">
        <f>HYPERLINK("https://www.kleinanzeigen.de/s-bestandsliste.html?userId=8932191", "Link")</f>
        <v/>
      </c>
      <c r="O957" s="7" t="n">
        <v>45550.99372685186</v>
      </c>
      <c r="P957" s="3" t="inlineStr">
        <is>
          <t>25.37</t>
        </is>
      </c>
      <c r="Q957" t="inlineStr">
        <is>
          <t>München</t>
        </is>
      </c>
    </row>
    <row r="958">
      <c r="A958" t="inlineStr">
        <is>
          <t>12.6 x 28</t>
        </is>
      </c>
      <c r="B958" t="inlineStr">
        <is>
          <t>Starboard Waterline</t>
        </is>
      </c>
      <c r="C958" t="inlineStr"/>
      <c r="D958" s="3" t="n">
        <v>124</v>
      </c>
      <c r="E958" t="inlineStr">
        <is>
          <t>2020</t>
        </is>
      </c>
      <c r="F958" s="4" t="n">
        <v>1.05</v>
      </c>
      <c r="G958" t="inlineStr">
        <is>
          <t>VB</t>
        </is>
      </c>
      <c r="H958" t="inlineStr">
        <is>
          <t>50678 Innenstadt - Köln Altstadt</t>
        </is>
      </c>
      <c r="I958" s="5" t="n">
        <v>45383</v>
      </c>
      <c r="J958" t="inlineStr"/>
      <c r="K958" s="6">
        <f>HYPERLINK("https://www.kleinanzeigen.de/s-anzeige/starboard-waterline-12-6-x-28-carbon-top-/2723312009-230-986", "Link")</f>
        <v/>
      </c>
      <c r="L958" s="6">
        <f>HYPERLINK("C:\Projects\Kleinanzeigen-Scraper\offer_images\2723312009", "Link")</f>
        <v/>
      </c>
      <c r="M958" t="inlineStr">
        <is>
          <t>Andreas</t>
        </is>
      </c>
      <c r="N958" s="6">
        <f>HYPERLINK("https://www.kleinanzeigen.de/s-bestandsliste.html?userId=80124730", "Link")</f>
        <v/>
      </c>
      <c r="O958" s="7" t="n">
        <v>45550.9937037037</v>
      </c>
      <c r="P958" s="3" t="inlineStr">
        <is>
          <t>1.84</t>
        </is>
      </c>
      <c r="Q958" t="inlineStr">
        <is>
          <t>Köln</t>
        </is>
      </c>
    </row>
    <row r="959">
      <c r="A959" t="inlineStr"/>
      <c r="B959" t="inlineStr">
        <is>
          <t>RRD Freestyle Wave V5 LTD</t>
        </is>
      </c>
      <c r="C959" t="inlineStr">
        <is>
          <t>Freestyle Wave</t>
        </is>
      </c>
      <c r="D959" s="3" t="n">
        <v>114</v>
      </c>
      <c r="E959" t="inlineStr">
        <is>
          <t>2019</t>
        </is>
      </c>
      <c r="F959" s="4" t="n">
        <v>630</v>
      </c>
      <c r="G959" t="inlineStr">
        <is>
          <t>VB</t>
        </is>
      </c>
      <c r="H959" t="inlineStr">
        <is>
          <t>48477 Nordrhein-Westfalen - Hörstel</t>
        </is>
      </c>
      <c r="I959" s="5" t="n">
        <v>45549</v>
      </c>
      <c r="J959" t="inlineStr">
        <is>
          <t>Sold</t>
        </is>
      </c>
      <c r="K959" s="6">
        <f>HYPERLINK("https://www.kleinanzeigen.de/s-anzeige/rrd-freestyle-wave-v5-ltd-114-l/2863570887-230-1253", "Link")</f>
        <v/>
      </c>
      <c r="L959" s="6">
        <f>HYPERLINK("C:\Projects\Kleinanzeigen-Scraper\offer_images\2863570887", "Link")</f>
        <v/>
      </c>
      <c r="M959" t="inlineStr">
        <is>
          <t>Rhode</t>
        </is>
      </c>
      <c r="N959" s="6">
        <f>HYPERLINK("https://www.kleinanzeigen.de/s-bestandsliste.html?userId=11671928", "Link")</f>
        <v/>
      </c>
      <c r="O959" s="7" t="n">
        <v>45550.99369212963</v>
      </c>
      <c r="P959" s="3" t="inlineStr">
        <is>
          <t>157.42</t>
        </is>
      </c>
      <c r="Q959" t="inlineStr">
        <is>
          <t>Köln</t>
        </is>
      </c>
    </row>
    <row r="960">
      <c r="A960" t="inlineStr"/>
      <c r="B960" t="inlineStr">
        <is>
          <t>Starboard Futura</t>
        </is>
      </c>
      <c r="C960" t="inlineStr"/>
      <c r="D960" s="3" t="n">
        <v>111</v>
      </c>
      <c r="E960" t="inlineStr"/>
      <c r="F960" s="4" t="n">
        <v>460</v>
      </c>
      <c r="G960" t="inlineStr"/>
      <c r="H960" t="inlineStr">
        <is>
          <t>92681 Bayern - Erbendorf</t>
        </is>
      </c>
      <c r="I960" s="5" t="n">
        <v>45489</v>
      </c>
      <c r="J960" t="inlineStr"/>
      <c r="K960" s="6">
        <f>HYPERLINK("https://www.kleinanzeigen.de/s-anzeige/starboard-futura-111l-mit-boardtasche-/2813512905-230-18994", "Link")</f>
        <v/>
      </c>
      <c r="L960" s="6">
        <f>HYPERLINK("C:\Projects\Kleinanzeigen-Scraper\offer_images\2813512905", "Link")</f>
        <v/>
      </c>
      <c r="M960" t="inlineStr">
        <is>
          <t>Thomas</t>
        </is>
      </c>
      <c r="N960" s="6">
        <f>HYPERLINK("https://www.kleinanzeigen.de/s-bestandsliste.html?userId=70396908", "Link")</f>
        <v/>
      </c>
      <c r="O960" s="7" t="n">
        <v>45550.99362268519</v>
      </c>
      <c r="P960" s="3" t="inlineStr">
        <is>
          <t>191.93</t>
        </is>
      </c>
      <c r="Q960" t="inlineStr">
        <is>
          <t>München</t>
        </is>
      </c>
    </row>
    <row r="961">
      <c r="A961" t="inlineStr"/>
      <c r="B961" t="inlineStr">
        <is>
          <t>Starboard Freeride Starlite Carbon</t>
        </is>
      </c>
      <c r="C961" t="inlineStr">
        <is>
          <t>Freeride</t>
        </is>
      </c>
      <c r="D961" s="3" t="n">
        <v>150</v>
      </c>
      <c r="E961" t="inlineStr">
        <is>
          <t>2023</t>
        </is>
      </c>
      <c r="F961" s="4" t="n">
        <v>700</v>
      </c>
      <c r="G961" t="inlineStr"/>
      <c r="H961" t="inlineStr">
        <is>
          <t>85598 Bayern - Baldham</t>
        </is>
      </c>
      <c r="I961" s="5" t="n">
        <v>45423</v>
      </c>
      <c r="J961" t="inlineStr"/>
      <c r="K961" s="6">
        <f>HYPERLINK("https://www.kleinanzeigen.de/s-anzeige/starboard-foilboard-freeride-starlite-carbon-150-l/2758527239-230-5580", "Link")</f>
        <v/>
      </c>
      <c r="L961" s="6">
        <f>HYPERLINK("C:\Projects\Kleinanzeigen-Scraper\offer_images\2758527239", "Link")</f>
        <v/>
      </c>
      <c r="M961" t="inlineStr">
        <is>
          <t>Jochen S</t>
        </is>
      </c>
      <c r="N961" s="6">
        <f>HYPERLINK("https://www.kleinanzeigen.de/s-bestandsliste.html?userId=12347267", "Link")</f>
        <v/>
      </c>
      <c r="O961" s="7" t="n">
        <v>45550.99357638889</v>
      </c>
      <c r="P961" s="3" t="inlineStr">
        <is>
          <t>16.41</t>
        </is>
      </c>
      <c r="Q961" t="inlineStr">
        <is>
          <t>München</t>
        </is>
      </c>
    </row>
    <row r="962">
      <c r="A962" t="inlineStr">
        <is>
          <t>12.6x31</t>
        </is>
      </c>
      <c r="B962" t="inlineStr">
        <is>
          <t>Starboard Touring Lite</t>
        </is>
      </c>
      <c r="C962" t="inlineStr">
        <is>
          <t>Touring</t>
        </is>
      </c>
      <c r="D962" s="3" t="inlineStr"/>
      <c r="E962" t="inlineStr"/>
      <c r="F962" s="4" t="n">
        <v>580</v>
      </c>
      <c r="G962" t="inlineStr">
        <is>
          <t>VB</t>
        </is>
      </c>
      <c r="H962" t="inlineStr">
        <is>
          <t>87439 Bayern - Kempten</t>
        </is>
      </c>
      <c r="I962" s="5" t="n">
        <v>45509</v>
      </c>
      <c r="J962" t="inlineStr">
        <is>
          <t>Sold</t>
        </is>
      </c>
      <c r="K962" s="6">
        <f>HYPERLINK("https://www.kleinanzeigen.de/s-anzeige/starboard-touring-lite-12-6-stand-up-paddling-sup-paddel/2830054009-230-7618", "Link")</f>
        <v/>
      </c>
      <c r="L962" s="6">
        <f>HYPERLINK("C:\Projects\Kleinanzeigen-Scraper\offer_images\2830054009", "Link")</f>
        <v/>
      </c>
      <c r="M962" t="inlineStr">
        <is>
          <t>Tom</t>
        </is>
      </c>
      <c r="N962" s="6">
        <f>HYPERLINK("https://www.kleinanzeigen.de/s-bestandsliste.html?userId=7902054", "Link")</f>
        <v/>
      </c>
      <c r="O962" s="7" t="n">
        <v>45550.99356481482</v>
      </c>
      <c r="P962" s="3" t="inlineStr">
        <is>
          <t>105.97</t>
        </is>
      </c>
      <c r="Q962" t="inlineStr">
        <is>
          <t>München</t>
        </is>
      </c>
    </row>
    <row r="963">
      <c r="A963" t="inlineStr">
        <is>
          <t>245 x 62</t>
        </is>
      </c>
      <c r="B963" t="inlineStr">
        <is>
          <t>Fanatic Hawk LTD</t>
        </is>
      </c>
      <c r="C963" t="inlineStr">
        <is>
          <t>Freeride</t>
        </is>
      </c>
      <c r="D963" s="3" t="n">
        <v>100</v>
      </c>
      <c r="E963" t="inlineStr"/>
      <c r="F963" s="4" t="n">
        <v>250</v>
      </c>
      <c r="G963" t="inlineStr"/>
      <c r="H963" t="inlineStr">
        <is>
          <t>16515 Brandenburg - Oranienburg</t>
        </is>
      </c>
      <c r="I963" s="5" t="n">
        <v>45550</v>
      </c>
      <c r="J963" t="inlineStr">
        <is>
          <t>Sold</t>
        </is>
      </c>
      <c r="K963" s="6">
        <f>HYPERLINK("https://www.kleinanzeigen.de/s-anzeige/fanatic-hawk-ltd-carbon-sandwich-100l-surfbrett-windsurfen/2863749887-230-7814", "Link")</f>
        <v/>
      </c>
      <c r="L963" s="6">
        <f>HYPERLINK("C:\Projects\Kleinanzeigen-Scraper\offer_images\2863749887", "Link")</f>
        <v/>
      </c>
      <c r="M963" t="inlineStr">
        <is>
          <t>DW</t>
        </is>
      </c>
      <c r="N963" s="6">
        <f>HYPERLINK("https://www.kleinanzeigen.de/s-bestandsliste.html?userId=7064273", "Link")</f>
        <v/>
      </c>
      <c r="O963" s="7" t="n">
        <v>45550.99351851852</v>
      </c>
      <c r="P963" s="3" t="inlineStr">
        <is>
          <t>483.59</t>
        </is>
      </c>
      <c r="Q963" t="inlineStr">
        <is>
          <t>Köln</t>
        </is>
      </c>
    </row>
    <row r="964">
      <c r="A964" t="inlineStr">
        <is>
          <t>85cm</t>
        </is>
      </c>
      <c r="B964" t="inlineStr">
        <is>
          <t>Starboard iSonic</t>
        </is>
      </c>
      <c r="C964" t="inlineStr">
        <is>
          <t>Slalom</t>
        </is>
      </c>
      <c r="D964" s="3" t="n">
        <v>139</v>
      </c>
      <c r="E964" t="inlineStr">
        <is>
          <t>2021</t>
        </is>
      </c>
      <c r="F964" s="4" t="n">
        <v>950</v>
      </c>
      <c r="G964" t="inlineStr">
        <is>
          <t>VB</t>
        </is>
      </c>
      <c r="H964" t="inlineStr">
        <is>
          <t>82008 Kr. München - Unterhaching</t>
        </is>
      </c>
      <c r="I964" s="5" t="n">
        <v>45508</v>
      </c>
      <c r="J964" t="inlineStr"/>
      <c r="K964" s="6">
        <f>HYPERLINK("https://www.kleinanzeigen.de/s-anzeige/starboard-isonic-85cm-slalom-board-inkl-boardbag/2829226022-230-5591", "Link")</f>
        <v/>
      </c>
      <c r="L964" s="6">
        <f>HYPERLINK("C:\Projects\Kleinanzeigen-Scraper\offer_images\2829226022", "Link")</f>
        <v/>
      </c>
      <c r="M964" t="inlineStr">
        <is>
          <t>Still Marco</t>
        </is>
      </c>
      <c r="N964" s="6">
        <f>HYPERLINK("https://www.kleinanzeigen.de/s-bestandsliste.html?userId=58508359", "Link")</f>
        <v/>
      </c>
      <c r="O964" s="7" t="n">
        <v>45550.99344907407</v>
      </c>
      <c r="P964" s="3" t="inlineStr">
        <is>
          <t>8.58</t>
        </is>
      </c>
      <c r="Q964" t="inlineStr">
        <is>
          <t>München</t>
        </is>
      </c>
    </row>
    <row r="965">
      <c r="A965" t="inlineStr">
        <is>
          <t>246x68 cm</t>
        </is>
      </c>
      <c r="B965" t="inlineStr">
        <is>
          <t>Hifly Move</t>
        </is>
      </c>
      <c r="C965" t="inlineStr">
        <is>
          <t>Freemove</t>
        </is>
      </c>
      <c r="D965" s="3" t="n">
        <v>105</v>
      </c>
      <c r="E965" t="inlineStr"/>
      <c r="F965" s="4" t="n">
        <v>300</v>
      </c>
      <c r="G965" t="inlineStr">
        <is>
          <t>VB</t>
        </is>
      </c>
      <c r="H965" t="inlineStr">
        <is>
          <t>87509 Bayern - Immenstadt</t>
        </is>
      </c>
      <c r="I965" s="5" t="n">
        <v>45547</v>
      </c>
      <c r="J965" t="inlineStr">
        <is>
          <t>Sold</t>
        </is>
      </c>
      <c r="K965" s="6">
        <f>HYPERLINK("https://www.kleinanzeigen.de/s-anzeige/windsurfen-freemove-board-hifly-move-105-liter-wie-tabou-3s/2861600125-230-5538", "Link")</f>
        <v/>
      </c>
      <c r="L965" s="6">
        <f>HYPERLINK("C:\Projects\Kleinanzeigen-Scraper\offer_images\2861600125", "Link")</f>
        <v/>
      </c>
      <c r="M965" t="inlineStr">
        <is>
          <t>Martin Schindele</t>
        </is>
      </c>
      <c r="N965" s="6">
        <f>HYPERLINK("https://www.kleinanzeigen.de/s-bestandsliste.html?userId=72436809", "Link")</f>
        <v/>
      </c>
      <c r="O965" s="7" t="n">
        <v>45550.99332175926</v>
      </c>
      <c r="P965" s="3" t="inlineStr">
        <is>
          <t>120.75</t>
        </is>
      </c>
      <c r="Q965" t="inlineStr">
        <is>
          <t>München</t>
        </is>
      </c>
    </row>
    <row r="966">
      <c r="A966" t="inlineStr">
        <is>
          <t>11'2" x 31+</t>
        </is>
      </c>
      <c r="B966" t="inlineStr">
        <is>
          <t>Starboard iGO</t>
        </is>
      </c>
      <c r="C966" t="inlineStr">
        <is>
          <t>Windsurfboard</t>
        </is>
      </c>
      <c r="D966" s="3" t="n">
        <v>342</v>
      </c>
      <c r="E966" t="inlineStr">
        <is>
          <t>2</t>
        </is>
      </c>
      <c r="F966" s="4" t="n">
        <v>700</v>
      </c>
      <c r="G966" t="inlineStr">
        <is>
          <t>VB</t>
        </is>
      </c>
      <c r="H966" t="inlineStr">
        <is>
          <t>53844 Nordrhein-Westfalen - Troisdorf</t>
        </is>
      </c>
      <c r="I966" s="5" t="n">
        <v>45510</v>
      </c>
      <c r="J966" t="inlineStr"/>
      <c r="K966" s="6">
        <f>HYPERLINK("https://www.kleinanzeigen.de/s-anzeige/starboard-igo-sup-11-2-x-31-windsurfboard-anfaenger/2830361025-230-1798", "Link")</f>
        <v/>
      </c>
      <c r="L966" s="6">
        <f>HYPERLINK("C:\Projects\Kleinanzeigen-Scraper\offer_images\2830361025", "Link")</f>
        <v/>
      </c>
      <c r="M966" t="inlineStr">
        <is>
          <t>NK</t>
        </is>
      </c>
      <c r="N966" s="6">
        <f>HYPERLINK("https://www.kleinanzeigen.de/s-bestandsliste.html?userId=31230116", "Link")</f>
        <v/>
      </c>
      <c r="O966" s="7" t="n">
        <v>45550.99319444445</v>
      </c>
      <c r="P966" s="3" t="inlineStr">
        <is>
          <t>19.95</t>
        </is>
      </c>
      <c r="Q966" t="inlineStr">
        <is>
          <t>Köln</t>
        </is>
      </c>
    </row>
    <row r="967">
      <c r="A967" t="inlineStr"/>
      <c r="B967" t="inlineStr">
        <is>
          <t>Severne DYNO</t>
        </is>
      </c>
      <c r="C967" t="inlineStr">
        <is>
          <t>Freewave</t>
        </is>
      </c>
      <c r="D967" s="3" t="n">
        <v>105</v>
      </c>
      <c r="E967" t="inlineStr">
        <is>
          <t>2023</t>
        </is>
      </c>
      <c r="F967" s="4" t="n">
        <v>880</v>
      </c>
      <c r="G967" t="inlineStr"/>
      <c r="H967" t="inlineStr">
        <is>
          <t>58540 Nordrhein-Westfalen - Meinerzhagen</t>
        </is>
      </c>
      <c r="I967" s="5" t="n">
        <v>45548</v>
      </c>
      <c r="J967" t="inlineStr">
        <is>
          <t>Sold</t>
        </is>
      </c>
      <c r="K967" s="6">
        <f>HYPERLINK("https://www.dailydose.de/kleinanzeigen/detail.htm?ai=422542&amp;cf=kk&amp;pg=1&amp;ci=11", "Link")</f>
        <v/>
      </c>
      <c r="L967" s="6">
        <f>HYPERLINK("C:\Projects\Kleinanzeigen-Scraper\offer_images\422542", "Link")</f>
        <v/>
      </c>
      <c r="M967" t="inlineStr">
        <is>
          <t>tivitac</t>
        </is>
      </c>
      <c r="N967" s="6">
        <f>HYPERLINK("https://www.dailydose.de/kleinanzeigen/user/1938", "Link")</f>
        <v/>
      </c>
      <c r="O967" s="7" t="n">
        <v>45549.58526620371</v>
      </c>
      <c r="P967" s="3" t="inlineStr">
        <is>
          <t>56.25</t>
        </is>
      </c>
      <c r="Q967" t="inlineStr">
        <is>
          <t>Köln</t>
        </is>
      </c>
    </row>
    <row r="968">
      <c r="A968" t="inlineStr">
        <is>
          <t>86</t>
        </is>
      </c>
      <c r="B968" t="inlineStr">
        <is>
          <t>Fanatic Grip Mosquito Edition</t>
        </is>
      </c>
      <c r="C968" t="inlineStr">
        <is>
          <t>Freestyle</t>
        </is>
      </c>
      <c r="D968" s="3" t="inlineStr"/>
      <c r="E968" t="inlineStr"/>
      <c r="F968" s="4" t="n">
        <v>1099</v>
      </c>
      <c r="G968" t="inlineStr"/>
      <c r="H968" t="inlineStr">
        <is>
          <t>40595 Düsseldorf</t>
        </is>
      </c>
      <c r="I968" s="5" t="n">
        <v>45548</v>
      </c>
      <c r="J968" t="inlineStr">
        <is>
          <t>Sold</t>
        </is>
      </c>
      <c r="K968" s="6">
        <f>HYPERLINK("https://www.dailydose.de/kleinanzeigen/detail.htm?ai=422511&amp;cf=kk&amp;pg=5&amp;ci=11", "Link")</f>
        <v/>
      </c>
      <c r="L968" s="6">
        <f>HYPERLINK("C:\Projects\Kleinanzeigen-Scraper\offer_images\422511", "Link")</f>
        <v/>
      </c>
      <c r="M968" t="inlineStr">
        <is>
          <t>Spocker</t>
        </is>
      </c>
      <c r="N968" s="6">
        <f>HYPERLINK("https://www.dailydose.de/kleinanzeigen/user/20611", "Link")</f>
        <v/>
      </c>
      <c r="O968" s="7" t="n">
        <v>45549.58475694444</v>
      </c>
      <c r="P968" s="3" t="inlineStr">
        <is>
          <t>22.73</t>
        </is>
      </c>
      <c r="Q968" t="inlineStr">
        <is>
          <t>Köln</t>
        </is>
      </c>
    </row>
    <row r="969">
      <c r="A969" t="inlineStr">
        <is>
          <t>114</t>
        </is>
      </c>
      <c r="B969" t="inlineStr">
        <is>
          <t>RRD X-Fire</t>
        </is>
      </c>
      <c r="C969" t="inlineStr">
        <is>
          <t>Slalom</t>
        </is>
      </c>
      <c r="D969" s="3" t="inlineStr"/>
      <c r="E969" t="inlineStr">
        <is>
          <t>2023</t>
        </is>
      </c>
      <c r="F969" s="4" t="n">
        <v>720</v>
      </c>
      <c r="G969" t="inlineStr"/>
      <c r="H969" t="inlineStr">
        <is>
          <t>58540 Nordrhein-Westfalen - Meinerzhagen</t>
        </is>
      </c>
      <c r="I969" s="5" t="n">
        <v>45548</v>
      </c>
      <c r="J969" t="inlineStr">
        <is>
          <t>Sold</t>
        </is>
      </c>
      <c r="K969" s="6">
        <f>HYPERLINK("https://www.dailydose.de/kleinanzeigen/detail.htm?ai=422541&amp;cf=kk&amp;pg=4&amp;ci=11", "Link")</f>
        <v/>
      </c>
      <c r="L969" s="6">
        <f>HYPERLINK("C:\Projects\Kleinanzeigen-Scraper\offer_images\422541", "Link")</f>
        <v/>
      </c>
      <c r="M969" t="inlineStr">
        <is>
          <t>tivitac</t>
        </is>
      </c>
      <c r="N969" s="6">
        <f>HYPERLINK("https://www.dailydose.de/kleinanzeigen/user/1938", "Link")</f>
        <v/>
      </c>
      <c r="O969" s="7" t="n">
        <v>45549.58400462963</v>
      </c>
      <c r="P969" s="3" t="inlineStr">
        <is>
          <t>56.25</t>
        </is>
      </c>
      <c r="Q969" t="inlineStr">
        <is>
          <t>Köln</t>
        </is>
      </c>
    </row>
    <row r="970">
      <c r="A970" t="inlineStr"/>
      <c r="B970" t="inlineStr">
        <is>
          <t>Lorch Glider</t>
        </is>
      </c>
      <c r="C970" t="inlineStr"/>
      <c r="D970" s="3" t="n">
        <v>105</v>
      </c>
      <c r="E970" t="inlineStr"/>
      <c r="F970" s="4" t="n">
        <v>900</v>
      </c>
      <c r="G970" t="inlineStr">
        <is>
          <t>VB</t>
        </is>
      </c>
      <c r="H970" t="inlineStr">
        <is>
          <t>28205 Bremen</t>
        </is>
      </c>
      <c r="I970" s="5" t="n">
        <v>45548</v>
      </c>
      <c r="J970" t="inlineStr">
        <is>
          <t>Sold</t>
        </is>
      </c>
      <c r="K970" s="6">
        <f>HYPERLINK("https://www.dailydose.de/kleinanzeigen/detail.htm?ai=422524&amp;cf=kk&amp;pg=5&amp;ci=11", "Link")</f>
        <v/>
      </c>
      <c r="L970" s="6">
        <f>HYPERLINK("C:\Projects\Kleinanzeigen-Scraper\offer_images\422524", "Link")</f>
        <v/>
      </c>
      <c r="M970" t="inlineStr">
        <is>
          <t>Jan_10</t>
        </is>
      </c>
      <c r="N970" s="6">
        <f>HYPERLINK("https://www.dailydose.de/kleinanzeigen/user/12101", "Link")</f>
        <v/>
      </c>
      <c r="O970" s="7" t="n">
        <v>45549.58384259259</v>
      </c>
      <c r="P970" s="3" t="inlineStr">
        <is>
          <t>269.99</t>
        </is>
      </c>
      <c r="Q970" t="inlineStr">
        <is>
          <t>Köln</t>
        </is>
      </c>
    </row>
    <row r="971">
      <c r="A971" t="inlineStr">
        <is>
          <t>Dimensions not provided</t>
        </is>
      </c>
      <c r="B971" t="inlineStr">
        <is>
          <t>JP</t>
        </is>
      </c>
      <c r="C971" t="inlineStr">
        <is>
          <t>Wave</t>
        </is>
      </c>
      <c r="D971" s="3" t="n">
        <v>88</v>
      </c>
      <c r="E971" t="inlineStr">
        <is>
          <t>2021</t>
        </is>
      </c>
      <c r="F971" s="4" t="n">
        <v>599</v>
      </c>
      <c r="G971" t="inlineStr">
        <is>
          <t>VB</t>
        </is>
      </c>
      <c r="H971" t="inlineStr">
        <is>
          <t>24229 Schwedeneck</t>
        </is>
      </c>
      <c r="I971" s="5" t="n">
        <v>45549</v>
      </c>
      <c r="J971" t="inlineStr">
        <is>
          <t>Sold</t>
        </is>
      </c>
      <c r="K971" s="6">
        <f>HYPERLINK("https://www.dailydose.de/kleinanzeigen/detail.htm?ai=422574&amp;cf=kk&amp;pg=5&amp;ci=11", "Link")</f>
        <v/>
      </c>
      <c r="L971" s="6">
        <f>HYPERLINK("C:\Projects\Kleinanzeigen-Scraper\offer_images\422574", "Link")</f>
        <v/>
      </c>
      <c r="M971" t="inlineStr">
        <is>
          <t>TimSurfSail</t>
        </is>
      </c>
      <c r="N971" s="6">
        <f>HYPERLINK("https://www.dailydose.de/kleinanzeigen/user/26396", "Link")</f>
        <v/>
      </c>
      <c r="O971" s="7" t="n">
        <v>45549.58337962963</v>
      </c>
      <c r="P971" s="3" t="inlineStr">
        <is>
          <t>445.58</t>
        </is>
      </c>
      <c r="Q971" t="inlineStr">
        <is>
          <t>Köln</t>
        </is>
      </c>
    </row>
    <row r="972">
      <c r="A972" t="inlineStr"/>
      <c r="B972" t="inlineStr">
        <is>
          <t>Tabou 3S LTD</t>
        </is>
      </c>
      <c r="C972" t="inlineStr">
        <is>
          <t>Wave</t>
        </is>
      </c>
      <c r="D972" s="3" t="n">
        <v>96</v>
      </c>
      <c r="E972" t="inlineStr">
        <is>
          <t>2015</t>
        </is>
      </c>
      <c r="F972" s="4" t="n">
        <v>620</v>
      </c>
      <c r="G972" t="inlineStr"/>
      <c r="H972" t="inlineStr">
        <is>
          <t>65375 Oestrich-Winkel</t>
        </is>
      </c>
      <c r="I972" s="5" t="n">
        <v>45549</v>
      </c>
      <c r="J972" t="inlineStr">
        <is>
          <t>Sold</t>
        </is>
      </c>
      <c r="K972" s="6">
        <f>HYPERLINK("https://www.dailydose.de/kleinanzeigen/detail.htm?ai=422562&amp;cf=kk&amp;pg=5&amp;ci=11", "Link")</f>
        <v/>
      </c>
      <c r="L972" s="6">
        <f>HYPERLINK("C:\Projects\Kleinanzeigen-Scraper\offer_images\422562", "Link")</f>
        <v/>
      </c>
      <c r="M972" t="inlineStr">
        <is>
          <t>Christian_96</t>
        </is>
      </c>
      <c r="N972" s="6">
        <f>HYPERLINK("https://www.dailydose.de/kleinanzeigen/user/5391", "Link")</f>
        <v/>
      </c>
      <c r="O972" s="7" t="n">
        <v>45549.583125</v>
      </c>
      <c r="P972" s="3" t="inlineStr">
        <is>
          <t>118.47</t>
        </is>
      </c>
      <c r="Q972" t="inlineStr">
        <is>
          <t>Karlsruhe</t>
        </is>
      </c>
    </row>
    <row r="973">
      <c r="A973" t="inlineStr">
        <is>
          <t>6'6" x 31"</t>
        </is>
      </c>
      <c r="B973" t="inlineStr">
        <is>
          <t>Slingshot Wizard</t>
        </is>
      </c>
      <c r="C973" t="inlineStr"/>
      <c r="D973" s="3" t="n">
        <v>125</v>
      </c>
      <c r="E973" t="inlineStr"/>
      <c r="F973" s="4" t="n">
        <v>1300</v>
      </c>
      <c r="G973" t="inlineStr"/>
      <c r="H973" t="inlineStr">
        <is>
          <t>30855 Langenhagen</t>
        </is>
      </c>
      <c r="I973" s="5" t="n">
        <v>45547</v>
      </c>
      <c r="J973" t="inlineStr">
        <is>
          <t>Sold</t>
        </is>
      </c>
      <c r="K973" s="6">
        <f>HYPERLINK("https://www.dailydose.de/kleinanzeigen/detail.htm?ai=422443&amp;cf=kk&amp;pg=5&amp;ci=11", "Link")</f>
        <v/>
      </c>
      <c r="L973" s="6">
        <f>HYPERLINK("C:\Projects\Kleinanzeigen-Scraper\offer_images\422443", "Link")</f>
        <v/>
      </c>
      <c r="M973" t="inlineStr">
        <is>
          <t>h_81</t>
        </is>
      </c>
      <c r="N973" s="6">
        <f>HYPERLINK("https://www.dailydose.de/kleinanzeigen/user/10786", "Link")</f>
        <v/>
      </c>
      <c r="O973" s="7" t="n">
        <v>45549.5825462963</v>
      </c>
      <c r="P973" s="3" t="inlineStr">
        <is>
          <t>255.34</t>
        </is>
      </c>
      <c r="Q973" t="inlineStr">
        <is>
          <t>Köln</t>
        </is>
      </c>
    </row>
    <row r="974">
      <c r="A974" t="inlineStr">
        <is>
          <t>105</t>
        </is>
      </c>
      <c r="B974" t="inlineStr">
        <is>
          <t>QUATRO POWER</t>
        </is>
      </c>
      <c r="C974" t="inlineStr">
        <is>
          <t>Freemove Freewave</t>
        </is>
      </c>
      <c r="D974" s="3" t="n">
        <v>105</v>
      </c>
      <c r="E974" t="inlineStr">
        <is>
          <t>2023</t>
        </is>
      </c>
      <c r="F974" s="4" t="n">
        <v>1200</v>
      </c>
      <c r="G974" t="inlineStr"/>
      <c r="H974" t="inlineStr">
        <is>
          <t>33659 Bielefeld</t>
        </is>
      </c>
      <c r="I974" s="5" t="n">
        <v>45548</v>
      </c>
      <c r="J974" t="inlineStr">
        <is>
          <t>Sold</t>
        </is>
      </c>
      <c r="K974" s="6">
        <f>HYPERLINK("https://www.dailydose.de/kleinanzeigen/detail.htm?ai=422517&amp;cf=kk&amp;pg=5&amp;ci=11", "Link")</f>
        <v/>
      </c>
      <c r="L974" s="6">
        <f>HYPERLINK("C:\Projects\Kleinanzeigen-Scraper\offer_images\422517", "Link")</f>
        <v/>
      </c>
      <c r="M974" t="inlineStr">
        <is>
          <t>az.classic</t>
        </is>
      </c>
      <c r="N974" s="6">
        <f>HYPERLINK("https://www.dailydose.de/kleinanzeigen/user/4208", "Link")</f>
        <v/>
      </c>
      <c r="O974" s="7" t="n">
        <v>45549.5825462963</v>
      </c>
      <c r="P974" s="3" t="inlineStr">
        <is>
          <t>156.75</t>
        </is>
      </c>
      <c r="Q974" t="inlineStr">
        <is>
          <t>Köln</t>
        </is>
      </c>
    </row>
    <row r="975">
      <c r="A975" t="inlineStr"/>
      <c r="B975" t="inlineStr">
        <is>
          <t>Severne DYNO 3</t>
        </is>
      </c>
      <c r="C975" t="inlineStr">
        <is>
          <t>Freewave</t>
        </is>
      </c>
      <c r="D975" s="3" t="n">
        <v>95</v>
      </c>
      <c r="E975" t="inlineStr">
        <is>
          <t>2023</t>
        </is>
      </c>
      <c r="F975" s="4" t="n">
        <v>880</v>
      </c>
      <c r="G975" t="inlineStr"/>
      <c r="H975" t="inlineStr">
        <is>
          <t>58540 Nordrhein-Westfalen - Meinerzhagen</t>
        </is>
      </c>
      <c r="I975" s="5" t="n">
        <v>45548</v>
      </c>
      <c r="J975" t="inlineStr">
        <is>
          <t>Sold</t>
        </is>
      </c>
      <c r="K975" s="6">
        <f>HYPERLINK("https://www.dailydose.de/kleinanzeigen/detail.htm?ai=422543&amp;cf=kk&amp;pg=1&amp;ci=11", "Link")</f>
        <v/>
      </c>
      <c r="L975" s="6">
        <f>HYPERLINK("C:\Projects\Kleinanzeigen-Scraper\offer_images\422543", "Link")</f>
        <v/>
      </c>
      <c r="M975" t="inlineStr">
        <is>
          <t>tivitac</t>
        </is>
      </c>
      <c r="N975" s="6">
        <f>HYPERLINK("https://www.dailydose.de/kleinanzeigen/user/1938", "Link")</f>
        <v/>
      </c>
      <c r="O975" s="7" t="n">
        <v>45549.58231481481</v>
      </c>
      <c r="P975" s="3" t="inlineStr">
        <is>
          <t>56.25</t>
        </is>
      </c>
      <c r="Q975" t="inlineStr">
        <is>
          <t>Köln</t>
        </is>
      </c>
    </row>
    <row r="976">
      <c r="A976" t="inlineStr">
        <is>
          <t>133</t>
        </is>
      </c>
      <c r="B976" t="inlineStr">
        <is>
          <t>Tabou Rocket + 133 Team</t>
        </is>
      </c>
      <c r="C976" t="inlineStr"/>
      <c r="D976" s="3" t="n">
        <v>133</v>
      </c>
      <c r="E976" t="inlineStr">
        <is>
          <t>2024</t>
        </is>
      </c>
      <c r="F976" s="4" t="inlineStr"/>
      <c r="G976" t="inlineStr">
        <is>
          <t>VB</t>
        </is>
      </c>
      <c r="H976" t="inlineStr">
        <is>
          <t>51069 Köln</t>
        </is>
      </c>
      <c r="I976" s="5" t="n">
        <v>45548</v>
      </c>
      <c r="J976" t="inlineStr">
        <is>
          <t>Sold</t>
        </is>
      </c>
      <c r="K976" s="6">
        <f>HYPERLINK("https://www.dailydose.de/kleinanzeigen/detail.htm?ai=422516&amp;cf=kk&amp;pg=5&amp;ci=11", "Link")</f>
        <v/>
      </c>
      <c r="L976" s="6">
        <f>HYPERLINK("C:\Projects\Kleinanzeigen-Scraper\offer_images\422516", "Link")</f>
        <v/>
      </c>
      <c r="M976" t="inlineStr">
        <is>
          <t>Bj_37</t>
        </is>
      </c>
      <c r="N976" s="6">
        <f>HYPERLINK("https://www.dailydose.de/kleinanzeigen/user/4920", "Link")</f>
        <v/>
      </c>
      <c r="O976" s="7" t="n">
        <v>45549.58173611111</v>
      </c>
      <c r="P976" s="3" t="inlineStr">
        <is>
          <t>9.37</t>
        </is>
      </c>
      <c r="Q976" t="inlineStr">
        <is>
          <t>Köln</t>
        </is>
      </c>
    </row>
    <row r="977">
      <c r="A977" t="inlineStr"/>
      <c r="B977" t="inlineStr">
        <is>
          <t>Fanatic FREEWAVE TEXTREME</t>
        </is>
      </c>
      <c r="C977" t="inlineStr">
        <is>
          <t>Freeride</t>
        </is>
      </c>
      <c r="D977" s="3" t="n">
        <v>105</v>
      </c>
      <c r="E977" t="inlineStr">
        <is>
          <t>2023</t>
        </is>
      </c>
      <c r="F977" s="4" t="n">
        <v>1700</v>
      </c>
      <c r="G977" t="inlineStr">
        <is>
          <t>VB</t>
        </is>
      </c>
      <c r="H977" t="inlineStr">
        <is>
          <t>24539 Neumünster</t>
        </is>
      </c>
      <c r="I977" s="5" t="n">
        <v>45548</v>
      </c>
      <c r="J977" t="inlineStr">
        <is>
          <t>Sold</t>
        </is>
      </c>
      <c r="K977" s="6">
        <f>HYPERLINK("https://www.dailydose.de/kleinanzeigen/detail.htm?ai=422520&amp;cf=kk&amp;pg=5&amp;ci=11", "Link")</f>
        <v/>
      </c>
      <c r="L977" s="6">
        <f>HYPERLINK("C:\Projects\Kleinanzeigen-Scraper\offer_images\422520", "Link")</f>
        <v/>
      </c>
      <c r="M977" t="inlineStr">
        <is>
          <t>josh7</t>
        </is>
      </c>
      <c r="N977" s="6">
        <f>HYPERLINK("https://www.dailydose.de/kleinanzeigen/user/26403", "Link")</f>
        <v/>
      </c>
      <c r="O977" s="7" t="n">
        <v>45549.58170138889</v>
      </c>
      <c r="P977" s="3" t="inlineStr">
        <is>
          <t>402.09</t>
        </is>
      </c>
      <c r="Q977" t="inlineStr">
        <is>
          <t>Köln</t>
        </is>
      </c>
    </row>
    <row r="978">
      <c r="A978" t="inlineStr">
        <is>
          <t>255x83.5</t>
        </is>
      </c>
      <c r="B978" t="inlineStr">
        <is>
          <t>JP Magic Ride</t>
        </is>
      </c>
      <c r="C978" t="inlineStr">
        <is>
          <t>Freeride</t>
        </is>
      </c>
      <c r="D978" s="3" t="n">
        <v>159</v>
      </c>
      <c r="E978" t="inlineStr"/>
      <c r="F978" s="4" t="n">
        <v>1.199</v>
      </c>
      <c r="G978" t="inlineStr">
        <is>
          <t>VB</t>
        </is>
      </c>
      <c r="H978" t="inlineStr">
        <is>
          <t>76287 Rheinstetten</t>
        </is>
      </c>
      <c r="I978" s="5" t="n">
        <v>45548</v>
      </c>
      <c r="J978" t="inlineStr">
        <is>
          <t>Sold</t>
        </is>
      </c>
      <c r="K978" s="6">
        <f>HYPERLINK("https://www.dailydose.de/kleinanzeigen/detail.htm?ai=422519&amp;cf=kk&amp;pg=5&amp;ci=11", "Link")</f>
        <v/>
      </c>
      <c r="L978" s="6">
        <f>HYPERLINK("C:\Projects\Kleinanzeigen-Scraper\offer_images\422519", "Link")</f>
        <v/>
      </c>
      <c r="M978" t="inlineStr">
        <is>
          <t>Epplesee</t>
        </is>
      </c>
      <c r="N978" s="6">
        <f>HYPERLINK("https://www.dailydose.de/kleinanzeigen/user/7173", "Link")</f>
        <v/>
      </c>
      <c r="O978" s="7" t="n">
        <v>45549.58157407407</v>
      </c>
      <c r="P978" s="3" t="inlineStr">
        <is>
          <t>7.05</t>
        </is>
      </c>
      <c r="Q978" t="inlineStr">
        <is>
          <t>Karlsruhe</t>
        </is>
      </c>
    </row>
    <row r="979">
      <c r="A979" t="inlineStr">
        <is>
          <t>94 L</t>
        </is>
      </c>
      <c r="B979" t="inlineStr">
        <is>
          <t>Goya Quad</t>
        </is>
      </c>
      <c r="C979" t="inlineStr">
        <is>
          <t>Wave</t>
        </is>
      </c>
      <c r="D979" s="3" t="n">
        <v>94</v>
      </c>
      <c r="E979" t="inlineStr"/>
      <c r="F979" s="4" t="n">
        <v>680</v>
      </c>
      <c r="G979" t="inlineStr">
        <is>
          <t>VB</t>
        </is>
      </c>
      <c r="H979" t="inlineStr">
        <is>
          <t>20459 Hamburg-Mitte - Hamburg Neustadt</t>
        </is>
      </c>
      <c r="I979" s="5" t="n">
        <v>45542</v>
      </c>
      <c r="J979" t="inlineStr"/>
      <c r="K979" s="6">
        <f>HYPERLINK("https://www.kleinanzeigen.de/s-anzeige/goya-quad-94-l-windsurfboard/2856600875-230-9422", "Link")</f>
        <v/>
      </c>
      <c r="L979" s="6">
        <f>HYPERLINK("C:\Projects\Kleinanzeigen-Scraper\offer_images\2856600875", "Link")</f>
        <v/>
      </c>
      <c r="M979" t="inlineStr">
        <is>
          <t>Ole Werber</t>
        </is>
      </c>
      <c r="N979" s="6">
        <f>HYPERLINK("https://www.kleinanzeigen.de/s-bestandsliste.html?userId=13696720", "Link")</f>
        <v/>
      </c>
      <c r="O979" s="7" t="n">
        <v>45549.58131944444</v>
      </c>
      <c r="P979" s="3" t="inlineStr">
        <is>
          <t>355.64</t>
        </is>
      </c>
      <c r="Q979" t="inlineStr">
        <is>
          <t>Köln</t>
        </is>
      </c>
    </row>
    <row r="980">
      <c r="A980" t="inlineStr">
        <is>
          <t>233 cm x 54 cm</t>
        </is>
      </c>
      <c r="B980" t="inlineStr">
        <is>
          <t>JP Australia</t>
        </is>
      </c>
      <c r="C980" t="inlineStr">
        <is>
          <t>Wave</t>
        </is>
      </c>
      <c r="D980" s="3" t="n">
        <v>74</v>
      </c>
      <c r="E980" t="inlineStr"/>
      <c r="F980" s="4" t="n">
        <v>120</v>
      </c>
      <c r="G980" t="inlineStr"/>
      <c r="H980" t="inlineStr">
        <is>
          <t>35435 Hessen - Gießen</t>
        </is>
      </c>
      <c r="I980" s="5" t="n">
        <v>44681</v>
      </c>
      <c r="J980" t="inlineStr"/>
      <c r="K980" s="6">
        <f>HYPERLINK("https://www.kleinanzeigen.de/s-anzeige/jp-australia-radical-wave-74l/2092970725-230-4723", "Link")</f>
        <v/>
      </c>
      <c r="L980" s="6">
        <f>HYPERLINK("C:\Projects\Kleinanzeigen-Scraper\offer_images\2092970725", "Link")</f>
        <v/>
      </c>
      <c r="M980" t="inlineStr">
        <is>
          <t>D. Adler</t>
        </is>
      </c>
      <c r="N980" s="6">
        <f>HYPERLINK("https://www.kleinanzeigen.de/s-bestandsliste.html?userId=7338360", "Link")</f>
        <v/>
      </c>
      <c r="O980" s="7" t="n">
        <v>45549.58131944444</v>
      </c>
      <c r="P980" s="3" t="inlineStr">
        <is>
          <t>124.32</t>
        </is>
      </c>
      <c r="Q980" t="inlineStr">
        <is>
          <t>Köln</t>
        </is>
      </c>
    </row>
    <row r="981">
      <c r="A981" t="inlineStr">
        <is>
          <t>10'6" x 32"</t>
        </is>
      </c>
      <c r="B981" t="inlineStr">
        <is>
          <t>Naish Nalu</t>
        </is>
      </c>
      <c r="C981" t="inlineStr">
        <is>
          <t>All-Around</t>
        </is>
      </c>
      <c r="D981" s="3" t="n">
        <v>190</v>
      </c>
      <c r="E981" t="inlineStr">
        <is>
          <t>2024</t>
        </is>
      </c>
      <c r="F981" s="4" t="n">
        <v>699</v>
      </c>
      <c r="G981" t="inlineStr"/>
      <c r="H981" t="inlineStr">
        <is>
          <t>21522 Niedersachsen - Hohnstorf (Elbe)</t>
        </is>
      </c>
      <c r="I981" s="5" t="n">
        <v>45520</v>
      </c>
      <c r="J981" t="inlineStr"/>
      <c r="K981" s="6">
        <f>HYPERLINK("https://www.kleinanzeigen.de/s-anzeige/stand-up-paddel-board-sup-naish-2024-nalu-soft-top-1399-uvp/2837946350-230-611", "Link")</f>
        <v/>
      </c>
      <c r="L981" s="6">
        <f>HYPERLINK("C:\Projects\Kleinanzeigen-Scraper\offer_images\2837946350", "Link")</f>
        <v/>
      </c>
      <c r="M981" t="inlineStr">
        <is>
          <t>Igor Kuksa</t>
        </is>
      </c>
      <c r="N981" s="6">
        <f>HYPERLINK("https://www.kleinanzeigen.de/s-bestandsliste.html?userId=130252575", "Link")</f>
        <v/>
      </c>
      <c r="O981" s="7" t="n">
        <v>45549.5812962963</v>
      </c>
      <c r="P981" s="3" t="inlineStr">
        <is>
          <t>365.28</t>
        </is>
      </c>
      <c r="Q981" t="inlineStr">
        <is>
          <t>Köln</t>
        </is>
      </c>
    </row>
    <row r="982">
      <c r="A982" t="inlineStr"/>
      <c r="B982" t="inlineStr">
        <is>
          <t>Tabou Da Curve</t>
        </is>
      </c>
      <c r="C982" t="inlineStr"/>
      <c r="D982" s="3" t="inlineStr"/>
      <c r="E982" t="inlineStr">
        <is>
          <t>2024</t>
        </is>
      </c>
      <c r="F982" s="4" t="n">
        <v>1.199</v>
      </c>
      <c r="G982" t="inlineStr">
        <is>
          <t>VB</t>
        </is>
      </c>
      <c r="H982" t="inlineStr">
        <is>
          <t>47877 Nordrhein-Westfalen - Willich</t>
        </is>
      </c>
      <c r="I982" s="5" t="n">
        <v>45548</v>
      </c>
      <c r="J982" t="inlineStr">
        <is>
          <t>Sold</t>
        </is>
      </c>
      <c r="K982" s="6">
        <f>HYPERLINK("https://www.kleinanzeigen.de/s-anzeige/2024-tabou-da-curve/2816413825-230-1918", "Link")</f>
        <v/>
      </c>
      <c r="L982" s="6">
        <f>HYPERLINK("C:\Projects\Kleinanzeigen-Scraper\offer_images\2816413825", "Link")</f>
        <v/>
      </c>
      <c r="M982" t="inlineStr">
        <is>
          <t>Guido</t>
        </is>
      </c>
      <c r="N982" s="6">
        <f>HYPERLINK("https://www.kleinanzeigen.de/s-bestandsliste.html?userId=9331369", "Link")</f>
        <v/>
      </c>
      <c r="O982" s="7" t="n">
        <v>45549.5812962963</v>
      </c>
      <c r="P982" s="3" t="inlineStr">
        <is>
          <t>47.48</t>
        </is>
      </c>
      <c r="Q982" t="inlineStr">
        <is>
          <t>Köln</t>
        </is>
      </c>
    </row>
    <row r="983">
      <c r="A983" t="inlineStr">
        <is>
          <t>138x42</t>
        </is>
      </c>
      <c r="B983" t="inlineStr">
        <is>
          <t>Naish</t>
        </is>
      </c>
      <c r="C983" t="inlineStr"/>
      <c r="D983" s="3" t="inlineStr"/>
      <c r="E983" t="inlineStr"/>
      <c r="F983" s="4" t="n">
        <v>250</v>
      </c>
      <c r="G983" t="inlineStr">
        <is>
          <t>VB</t>
        </is>
      </c>
      <c r="H983" t="inlineStr">
        <is>
          <t>24146 Kiel - Elmschenhagen-Kroog</t>
        </is>
      </c>
      <c r="I983" s="5" t="n">
        <v>45489</v>
      </c>
      <c r="J983" t="inlineStr"/>
      <c r="K983" s="6">
        <f>HYPERLINK("https://www.kleinanzeigen.de/s-anzeige/naish-custom-carbon-board/2813810636-230-712", "Link")</f>
        <v/>
      </c>
      <c r="L983" s="6">
        <f>HYPERLINK("C:\Projects\Kleinanzeigen-Scraper\offer_images\2813810636", "Link")</f>
        <v/>
      </c>
      <c r="M983" t="inlineStr">
        <is>
          <t>Ole Peters</t>
        </is>
      </c>
      <c r="N983" s="6">
        <f>HYPERLINK("https://www.kleinanzeigen.de/s-bestandsliste.html?userId=64538089", "Link")</f>
        <v/>
      </c>
      <c r="O983" s="7" t="n">
        <v>45549.58128472222</v>
      </c>
      <c r="P983" s="3" t="inlineStr">
        <is>
          <t>431.93</t>
        </is>
      </c>
      <c r="Q983" t="inlineStr">
        <is>
          <t>Köln</t>
        </is>
      </c>
    </row>
    <row r="984">
      <c r="A984" t="inlineStr">
        <is>
          <t>Dimensions not provided</t>
        </is>
      </c>
      <c r="B984" t="inlineStr">
        <is>
          <t>Tabou 3S</t>
        </is>
      </c>
      <c r="C984" t="inlineStr">
        <is>
          <t>Freeride, Freestyle, Freewave</t>
        </is>
      </c>
      <c r="D984" s="3" t="n">
        <v>96</v>
      </c>
      <c r="E984" t="inlineStr">
        <is>
          <t>2015</t>
        </is>
      </c>
      <c r="F984" s="4" t="n">
        <v>550</v>
      </c>
      <c r="G984" t="inlineStr">
        <is>
          <t>VB</t>
        </is>
      </c>
      <c r="H984" t="inlineStr">
        <is>
          <t>84416 Bayern - Taufkirchen Vils</t>
        </is>
      </c>
      <c r="I984" s="5" t="n">
        <v>45389</v>
      </c>
      <c r="J984" t="inlineStr"/>
      <c r="K984" s="6">
        <f>HYPERLINK("https://www.kleinanzeigen.de/s-anzeige/tabou-3s-96l-2015-carbon/2728940638-230-13079", "Link")</f>
        <v/>
      </c>
      <c r="L984" s="6">
        <f>HYPERLINK("C:\Projects\Kleinanzeigen-Scraper\offer_images\2728940638", "Link")</f>
        <v/>
      </c>
      <c r="M984" t="inlineStr">
        <is>
          <t>Eisgruber Johann</t>
        </is>
      </c>
      <c r="N984" s="6">
        <f>HYPERLINK("https://www.kleinanzeigen.de/s-bestandsliste.html?userId=5539992", "Link")</f>
        <v/>
      </c>
      <c r="O984" s="7" t="n">
        <v>45549.58128472222</v>
      </c>
      <c r="P984" s="3" t="inlineStr">
        <is>
          <t>47.56</t>
        </is>
      </c>
      <c r="Q984" t="inlineStr">
        <is>
          <t>München</t>
        </is>
      </c>
    </row>
    <row r="985">
      <c r="A985" t="inlineStr"/>
      <c r="B985" t="inlineStr">
        <is>
          <t>Fanatic Blast LTD</t>
        </is>
      </c>
      <c r="C985" t="inlineStr">
        <is>
          <t>Freeride</t>
        </is>
      </c>
      <c r="D985" s="3" t="n">
        <v>147</v>
      </c>
      <c r="E985" t="inlineStr">
        <is>
          <t>2023</t>
        </is>
      </c>
      <c r="F985" s="4" t="n">
        <v>750</v>
      </c>
      <c r="G985" t="inlineStr">
        <is>
          <t>VB</t>
        </is>
      </c>
      <c r="H985" t="inlineStr">
        <is>
          <t>44791 Bochum - Bochum-Ost</t>
        </is>
      </c>
      <c r="I985" s="5" t="n">
        <v>45543</v>
      </c>
      <c r="J985" t="inlineStr">
        <is>
          <t>Sold</t>
        </is>
      </c>
      <c r="K985" s="6">
        <f>HYPERLINK("https://www.kleinanzeigen.de/s-anzeige/fanatic-blast-ltd-2023-147l/2857983400-230-1947", "Link")</f>
        <v/>
      </c>
      <c r="L985" s="6">
        <f>HYPERLINK("C:\Projects\Kleinanzeigen-Scraper\offer_images\2857983400", "Link")</f>
        <v/>
      </c>
      <c r="M985" t="inlineStr">
        <is>
          <t>Mark</t>
        </is>
      </c>
      <c r="N985" s="6">
        <f>HYPERLINK("https://www.kleinanzeigen.de/s-bestandsliste.html?userId=14066279", "Link")</f>
        <v/>
      </c>
      <c r="O985" s="7" t="n">
        <v>45549.58126157407</v>
      </c>
      <c r="P985" s="3" t="inlineStr">
        <is>
          <t>64.49</t>
        </is>
      </c>
      <c r="Q985" t="inlineStr">
        <is>
          <t>Köln</t>
        </is>
      </c>
    </row>
    <row r="986">
      <c r="A986" t="inlineStr">
        <is>
          <t>274 cm x 57 cm</t>
        </is>
      </c>
      <c r="B986" t="inlineStr">
        <is>
          <t>Fanatic Bee HS</t>
        </is>
      </c>
      <c r="C986" t="inlineStr"/>
      <c r="D986" s="3" t="n">
        <v>103</v>
      </c>
      <c r="E986" t="inlineStr"/>
      <c r="F986" s="4" t="n">
        <v>250</v>
      </c>
      <c r="G986" t="inlineStr"/>
      <c r="H986" t="inlineStr">
        <is>
          <t>50169 Nordrhein-Westfalen - Kerpen</t>
        </is>
      </c>
      <c r="I986" s="5" t="n">
        <v>45540</v>
      </c>
      <c r="J986" t="inlineStr">
        <is>
          <t>Sold</t>
        </is>
      </c>
      <c r="K986" s="6">
        <f>HYPERLINK("https://www.kleinanzeigen.de/s-anzeige/surfbrett-fanatic-bee-hs/2854907257-230-1828", "Link")</f>
        <v/>
      </c>
      <c r="L986" s="6">
        <f>HYPERLINK("C:\Projects\Kleinanzeigen-Scraper\offer_images\2854907257", "Link")</f>
        <v/>
      </c>
      <c r="M986" t="inlineStr">
        <is>
          <t>Friedhelm Martin</t>
        </is>
      </c>
      <c r="N986" s="6">
        <f>HYPERLINK("https://www.kleinanzeigen.de/s-bestandsliste.html?userId=28525219", "Link")</f>
        <v/>
      </c>
      <c r="O986" s="7" t="n">
        <v>45549.58126157407</v>
      </c>
      <c r="P986" s="3" t="inlineStr">
        <is>
          <t>16.68</t>
        </is>
      </c>
      <c r="Q986" t="inlineStr">
        <is>
          <t>Köln</t>
        </is>
      </c>
    </row>
    <row r="987">
      <c r="A987" t="inlineStr">
        <is>
          <t>6'11''</t>
        </is>
      </c>
      <c r="B987" t="inlineStr">
        <is>
          <t>Fanatic Sky Sup</t>
        </is>
      </c>
      <c r="C987" t="inlineStr"/>
      <c r="D987" s="3" t="n">
        <v>142</v>
      </c>
      <c r="E987" t="inlineStr"/>
      <c r="F987" s="4" t="n">
        <v>550</v>
      </c>
      <c r="G987" t="inlineStr"/>
      <c r="H987" t="inlineStr">
        <is>
          <t>24105 Schleswig-Holstein - Kiel</t>
        </is>
      </c>
      <c r="I987" s="5" t="n">
        <v>45564</v>
      </c>
      <c r="J987" t="inlineStr"/>
      <c r="K987" s="6">
        <f>HYPERLINK("https://www.kleinanzeigen.de/s-anzeige/fanatic-sky-sup-6-11-142-l-bag-1-jahr-gewaehrleistung/2825383943-230-708", "Link")</f>
        <v/>
      </c>
      <c r="L987" s="6">
        <f>HYPERLINK("C:\Projects\Kleinanzeigen-Scraper\offer_images\2825383943", "Link")</f>
        <v/>
      </c>
      <c r="M987" t="inlineStr">
        <is>
          <t>No user name</t>
        </is>
      </c>
      <c r="N987" s="6">
        <f>HYPERLINK("https://www.kleinanzeigen.deNo user link", "Link")</f>
        <v/>
      </c>
      <c r="O987" s="7" t="n">
        <v>45549.58123842593</v>
      </c>
      <c r="P987" s="3" t="inlineStr">
        <is>
          <t>435.05</t>
        </is>
      </c>
      <c r="Q987" t="inlineStr">
        <is>
          <t>Köln</t>
        </is>
      </c>
    </row>
    <row r="988">
      <c r="A988" t="inlineStr">
        <is>
          <t>14'0" x 21.5"</t>
        </is>
      </c>
      <c r="B988" t="inlineStr">
        <is>
          <t>Fanatic Strike</t>
        </is>
      </c>
      <c r="C988" t="inlineStr">
        <is>
          <t>Race</t>
        </is>
      </c>
      <c r="D988" s="3" t="n">
        <v>274</v>
      </c>
      <c r="E988" t="inlineStr"/>
      <c r="F988" s="4" t="n">
        <v>1.55</v>
      </c>
      <c r="G988" t="inlineStr">
        <is>
          <t>VB</t>
        </is>
      </c>
      <c r="H988" t="inlineStr">
        <is>
          <t>23769 Kreis Ostholstein - Fehmarn</t>
        </is>
      </c>
      <c r="I988" s="5" t="n">
        <v>45543</v>
      </c>
      <c r="J988" t="inlineStr">
        <is>
          <t>Sold</t>
        </is>
      </c>
      <c r="K988" s="6">
        <f>HYPERLINK("https://www.kleinanzeigen.de/s-anzeige/fanatic-strike-14x21-5-sup-raceboard-hardboard/2857768815-230-19951", "Link")</f>
        <v/>
      </c>
      <c r="L988" s="6">
        <f>HYPERLINK("C:\Projects\Kleinanzeigen-Scraper\offer_images\2857768815", "Link")</f>
        <v/>
      </c>
      <c r="M988" t="inlineStr">
        <is>
          <t>Bastian Aldehoff</t>
        </is>
      </c>
      <c r="N988" s="6">
        <f>HYPERLINK("https://www.kleinanzeigen.de/s-bestandsliste.html?userId=5624838", "Link")</f>
        <v/>
      </c>
      <c r="O988" s="7" t="n">
        <v>45549.58123842593</v>
      </c>
      <c r="P988" s="3" t="inlineStr">
        <is>
          <t>483.01</t>
        </is>
      </c>
      <c r="Q988" t="inlineStr">
        <is>
          <t>Köln</t>
        </is>
      </c>
    </row>
    <row r="989">
      <c r="A989" t="inlineStr"/>
      <c r="B989" t="inlineStr">
        <is>
          <t>Tabou Rocket</t>
        </is>
      </c>
      <c r="C989" t="inlineStr">
        <is>
          <t>Freeride</t>
        </is>
      </c>
      <c r="D989" s="3" t="n">
        <v>135</v>
      </c>
      <c r="E989" t="inlineStr">
        <is>
          <t>2013</t>
        </is>
      </c>
      <c r="F989" s="4" t="n">
        <v>350</v>
      </c>
      <c r="G989" t="inlineStr"/>
      <c r="H989" t="inlineStr">
        <is>
          <t>23795 Schleswig-Holstein - Bad Segeberg</t>
        </is>
      </c>
      <c r="I989" s="5" t="n">
        <v>45548</v>
      </c>
      <c r="J989" t="inlineStr"/>
      <c r="K989" s="6">
        <f>HYPERLINK("https://www.kleinanzeigen.de/s-anzeige/tabou-rocket-135-2013-windsurfboard/2862372156-230-13372", "Link")</f>
        <v/>
      </c>
      <c r="L989" s="6">
        <f>HYPERLINK("C:\Projects\Kleinanzeigen-Scraper\offer_images\2862372156", "Link")</f>
        <v/>
      </c>
      <c r="M989" t="inlineStr">
        <is>
          <t>H.P.</t>
        </is>
      </c>
      <c r="N989" s="6">
        <f>HYPERLINK("https://www.kleinanzeigen.de/s-bestandsliste.html?userId=3587719", "Link")</f>
        <v/>
      </c>
      <c r="O989" s="7" t="n">
        <v>45549.58123842593</v>
      </c>
      <c r="P989" s="3" t="inlineStr">
        <is>
          <t>402.01</t>
        </is>
      </c>
      <c r="Q989" t="inlineStr">
        <is>
          <t>Köln</t>
        </is>
      </c>
    </row>
    <row r="990">
      <c r="A990" t="inlineStr">
        <is>
          <t>5'10''</t>
        </is>
      </c>
      <c r="B990" t="inlineStr">
        <is>
          <t>Fanatic Sky Air Premium</t>
        </is>
      </c>
      <c r="C990" t="inlineStr">
        <is>
          <t>Wing Foil</t>
        </is>
      </c>
      <c r="D990" s="3" t="inlineStr"/>
      <c r="E990" t="inlineStr">
        <is>
          <t>2022</t>
        </is>
      </c>
      <c r="F990" s="4" t="n">
        <v>1.8</v>
      </c>
      <c r="G990" t="inlineStr"/>
      <c r="H990" t="inlineStr">
        <is>
          <t>79713 Baden-Württemberg - Bad Säckingen</t>
        </is>
      </c>
      <c r="I990" s="5" t="n">
        <v>45518</v>
      </c>
      <c r="J990" t="inlineStr">
        <is>
          <t>Sold</t>
        </is>
      </c>
      <c r="K990" s="6">
        <f>HYPERLINK("https://www.kleinanzeigen.de/s-anzeige/sky-air-premium-wing-foil-board-fanatic-5-10-mit-foil/2836867553-230-8613", "Link")</f>
        <v/>
      </c>
      <c r="L990" s="6">
        <f>HYPERLINK("C:\Projects\Kleinanzeigen-Scraper\offer_images\2836867553", "Link")</f>
        <v/>
      </c>
      <c r="M990" t="inlineStr">
        <is>
          <t>Stefan</t>
        </is>
      </c>
      <c r="N990" s="6">
        <f>HYPERLINK("https://www.kleinanzeigen.de/s-bestandsliste.html?userId=36897532", "Link")</f>
        <v/>
      </c>
      <c r="O990" s="7" t="n">
        <v>45549.58123842593</v>
      </c>
      <c r="P990" s="3" t="inlineStr">
        <is>
          <t>37.78</t>
        </is>
      </c>
      <c r="Q990" t="inlineStr">
        <is>
          <t>Bonndorf</t>
        </is>
      </c>
    </row>
    <row r="991">
      <c r="A991" t="inlineStr">
        <is>
          <t>Dimensions not provided</t>
        </is>
      </c>
      <c r="B991" t="inlineStr">
        <is>
          <t>Fanatic Gecko 133 LTD</t>
        </is>
      </c>
      <c r="C991" t="inlineStr">
        <is>
          <t>Freeride</t>
        </is>
      </c>
      <c r="D991" s="3" t="n">
        <v>133</v>
      </c>
      <c r="E991" t="inlineStr"/>
      <c r="F991" s="4" t="n">
        <v>650</v>
      </c>
      <c r="G991" t="inlineStr"/>
      <c r="H991" t="inlineStr">
        <is>
          <t>82432 Bayern - Walchensee (Oberbay)</t>
        </is>
      </c>
      <c r="I991" s="5" t="n">
        <v>45536</v>
      </c>
      <c r="J991" t="inlineStr">
        <is>
          <t>Sold</t>
        </is>
      </c>
      <c r="K991" s="6">
        <f>HYPERLINK("https://www.kleinanzeigen.de/s-anzeige/windsurfboard-fanatic-gecko-133-ltd/2851424201-230-29097", "Link")</f>
        <v/>
      </c>
      <c r="L991" s="6">
        <f>HYPERLINK("C:\Projects\Kleinanzeigen-Scraper\offer_images\2851424201", "Link")</f>
        <v/>
      </c>
      <c r="M991" t="inlineStr">
        <is>
          <t>Michael Ostertag</t>
        </is>
      </c>
      <c r="N991" s="6">
        <f>HYPERLINK("https://www.kleinanzeigen.de/s-bestandsliste.html?userId=39061658", "Link")</f>
        <v/>
      </c>
      <c r="O991" s="7" t="n">
        <v>45549.58121527778</v>
      </c>
      <c r="P991" s="3" t="inlineStr">
        <is>
          <t>63.65</t>
        </is>
      </c>
      <c r="Q991" t="inlineStr">
        <is>
          <t>München</t>
        </is>
      </c>
    </row>
    <row r="992">
      <c r="A992" t="inlineStr"/>
      <c r="B992" t="inlineStr">
        <is>
          <t>Naish Kailua</t>
        </is>
      </c>
      <c r="C992" t="inlineStr"/>
      <c r="D992" s="3" t="n">
        <v>180</v>
      </c>
      <c r="E992" t="inlineStr">
        <is>
          <t>2022</t>
        </is>
      </c>
      <c r="F992" s="4" t="n">
        <v>650</v>
      </c>
      <c r="G992" t="inlineStr">
        <is>
          <t>VB</t>
        </is>
      </c>
      <c r="H992" t="inlineStr">
        <is>
          <t>39619 Sachsen-Anhalt - Arendsee (Altmark)</t>
        </is>
      </c>
      <c r="I992" s="5" t="n">
        <v>45509</v>
      </c>
      <c r="J992" t="inlineStr"/>
      <c r="K992" s="6">
        <f>HYPERLINK("https://www.kleinanzeigen.de/s-anzeige/surfboard-naish-kailua-180l/2829643784-230-19013", "Link")</f>
        <v/>
      </c>
      <c r="L992" s="6">
        <f>HYPERLINK("C:\Projects\Kleinanzeigen-Scraper\offer_images\2829643784", "Link")</f>
        <v/>
      </c>
      <c r="M992" t="inlineStr">
        <is>
          <t>Heike</t>
        </is>
      </c>
      <c r="N992" s="6">
        <f>HYPERLINK("https://www.kleinanzeigen.de/s-bestandsliste.html?userId=16335447", "Link")</f>
        <v/>
      </c>
      <c r="O992" s="7" t="n">
        <v>45549.58121527778</v>
      </c>
      <c r="P992" s="3" t="inlineStr">
        <is>
          <t>375.06</t>
        </is>
      </c>
      <c r="Q992" t="inlineStr">
        <is>
          <t>Köln</t>
        </is>
      </c>
    </row>
    <row r="993">
      <c r="A993" t="inlineStr"/>
      <c r="B993" t="inlineStr">
        <is>
          <t>RRD Monster</t>
        </is>
      </c>
      <c r="C993" t="inlineStr">
        <is>
          <t>Leichtwind, oldschool</t>
        </is>
      </c>
      <c r="D993" s="3" t="n">
        <v>165</v>
      </c>
      <c r="E993" t="inlineStr"/>
      <c r="F993" s="4" t="n">
        <v>333</v>
      </c>
      <c r="G993" t="inlineStr"/>
      <c r="H993" t="inlineStr">
        <is>
          <t>01587 Sachsen - Riesa</t>
        </is>
      </c>
      <c r="I993" s="5" t="n">
        <v>44771</v>
      </c>
      <c r="J993" t="inlineStr"/>
      <c r="K993" s="6">
        <f>HYPERLINK("https://www.kleinanzeigen.de/s-anzeige/rrd-monster-twinster-umbau-leichtwind-oldschool-aufsteiger/2169364970-230-4066", "Link")</f>
        <v/>
      </c>
      <c r="L993" s="6">
        <f>HYPERLINK("C:\Projects\Kleinanzeigen-Scraper\offer_images\2169364970", "Link")</f>
        <v/>
      </c>
      <c r="M993" t="inlineStr">
        <is>
          <t>Enrico</t>
        </is>
      </c>
      <c r="N993" s="6">
        <f>HYPERLINK("https://www.kleinanzeigen.de/s-bestandsliste.html?userId=17238930", "Link")</f>
        <v/>
      </c>
      <c r="O993" s="7" t="n">
        <v>45549.5812037037</v>
      </c>
      <c r="P993" s="3" t="inlineStr">
        <is>
          <t>372.66</t>
        </is>
      </c>
      <c r="Q993" t="inlineStr">
        <is>
          <t>München</t>
        </is>
      </c>
    </row>
    <row r="994">
      <c r="A994" t="inlineStr">
        <is>
          <t>10'5" x 32" x 5"</t>
        </is>
      </c>
      <c r="B994" t="inlineStr">
        <is>
          <t>Vandal Flow</t>
        </is>
      </c>
      <c r="C994" t="inlineStr">
        <is>
          <t>Allrounder</t>
        </is>
      </c>
      <c r="D994" s="3" t="inlineStr"/>
      <c r="E994" t="inlineStr"/>
      <c r="F994" s="4" t="n">
        <v>210</v>
      </c>
      <c r="G994" t="inlineStr">
        <is>
          <t>VB</t>
        </is>
      </c>
      <c r="H994" t="inlineStr">
        <is>
          <t>24214 Noer - Lindhöft</t>
        </is>
      </c>
      <c r="I994" s="5" t="n">
        <v>45492</v>
      </c>
      <c r="J994" t="inlineStr"/>
      <c r="K994" s="6">
        <f>HYPERLINK("https://www.kleinanzeigen.de/s-anzeige/inflatable-stand-up-paddle-sup-vandal-flow/2816273590-230-29548", "Link")</f>
        <v/>
      </c>
      <c r="L994" s="6">
        <f>HYPERLINK("C:\Projects\Kleinanzeigen-Scraper\offer_images\2816273590", "Link")</f>
        <v/>
      </c>
      <c r="M994" t="inlineStr">
        <is>
          <t>Christin Bork</t>
        </is>
      </c>
      <c r="N994" s="6">
        <f>HYPERLINK("https://www.kleinanzeigen.de/s-bestandsliste.html?userId=11611121", "Link")</f>
        <v/>
      </c>
      <c r="O994" s="7" t="n">
        <v>45549.58119212963</v>
      </c>
      <c r="P994" s="3" t="inlineStr">
        <is>
          <t>436.55</t>
        </is>
      </c>
      <c r="Q994" t="inlineStr">
        <is>
          <t>Köln</t>
        </is>
      </c>
    </row>
    <row r="995">
      <c r="A995" t="inlineStr">
        <is>
          <t>Dimensions not provided</t>
        </is>
      </c>
      <c r="B995" t="inlineStr">
        <is>
          <t>Tabou Manta</t>
        </is>
      </c>
      <c r="C995" t="inlineStr">
        <is>
          <t>Race</t>
        </is>
      </c>
      <c r="D995" s="3" t="inlineStr"/>
      <c r="E995" t="inlineStr"/>
      <c r="F995" s="4" t="n">
        <v>420</v>
      </c>
      <c r="G995" t="inlineStr"/>
      <c r="H995" t="inlineStr">
        <is>
          <t>31171 Niedersachsen - Nordstemmen</t>
        </is>
      </c>
      <c r="I995" s="5" t="n">
        <v>45544</v>
      </c>
      <c r="J995" t="inlineStr">
        <is>
          <t>Sold</t>
        </is>
      </c>
      <c r="K995" s="6">
        <f>HYPERLINK("https://www.kleinanzeigen.de/s-anzeige/tabou-manta-59-windsurfboard-inc-finne/2858217594-230-2907", "Link")</f>
        <v/>
      </c>
      <c r="L995" s="6">
        <f>HYPERLINK("C:\Projects\Kleinanzeigen-Scraper\offer_images\2858217594", "Link")</f>
        <v/>
      </c>
      <c r="M995" t="inlineStr">
        <is>
          <t>Tom</t>
        </is>
      </c>
      <c r="N995" s="6">
        <f>HYPERLINK("https://www.kleinanzeigen.de/s-bestandsliste.html?userId=59680706", "Link")</f>
        <v/>
      </c>
      <c r="O995" s="7" t="n">
        <v>45549.58119212963</v>
      </c>
      <c r="P995" s="3" t="inlineStr">
        <is>
          <t>239.06</t>
        </is>
      </c>
      <c r="Q995" t="inlineStr">
        <is>
          <t>Köln</t>
        </is>
      </c>
    </row>
    <row r="996">
      <c r="A996" t="inlineStr">
        <is>
          <t>87</t>
        </is>
      </c>
      <c r="B996" t="inlineStr">
        <is>
          <t>Fanatic Quad</t>
        </is>
      </c>
      <c r="C996" t="inlineStr">
        <is>
          <t>Wave</t>
        </is>
      </c>
      <c r="D996" s="3" t="inlineStr"/>
      <c r="E996" t="inlineStr"/>
      <c r="F996" s="4" t="n">
        <v>160</v>
      </c>
      <c r="G996" t="inlineStr"/>
      <c r="H996" t="inlineStr">
        <is>
          <t>22145 Hamburg - Hamburg-Nord</t>
        </is>
      </c>
      <c r="I996" s="5" t="n">
        <v>45521</v>
      </c>
      <c r="J996" t="inlineStr"/>
      <c r="K996" s="6">
        <f>HYPERLINK("https://www.kleinanzeigen.de/s-anzeige/fanatic-quad-87-waveboard-jp-rrd-naish-starboard-tabou-mistral/2838974225-230-17006", "Link")</f>
        <v/>
      </c>
      <c r="L996" s="6">
        <f>HYPERLINK("C:\Projects\Kleinanzeigen-Scraper\offer_images\2838974225", "Link")</f>
        <v/>
      </c>
      <c r="M996" t="inlineStr">
        <is>
          <t>Ulf</t>
        </is>
      </c>
      <c r="N996" s="6">
        <f>HYPERLINK("https://www.kleinanzeigen.de/s-bestandsliste.html?userId=50449475", "Link")</f>
        <v/>
      </c>
      <c r="O996" s="7" t="n">
        <v>45549.58119212963</v>
      </c>
      <c r="P996" s="3" t="inlineStr">
        <is>
          <t>371.39</t>
        </is>
      </c>
      <c r="Q996" t="inlineStr">
        <is>
          <t>Köln</t>
        </is>
      </c>
    </row>
    <row r="997">
      <c r="A997" t="inlineStr"/>
      <c r="B997" t="inlineStr">
        <is>
          <t>Fanatic Ride</t>
        </is>
      </c>
      <c r="C997" t="inlineStr">
        <is>
          <t>Beginner</t>
        </is>
      </c>
      <c r="D997" s="3" t="n">
        <v>160</v>
      </c>
      <c r="E997" t="inlineStr"/>
      <c r="F997" s="4" t="n">
        <v>300</v>
      </c>
      <c r="G997" t="inlineStr">
        <is>
          <t>VB</t>
        </is>
      </c>
      <c r="H997" t="inlineStr">
        <is>
          <t>23564 Schleswig-Holstein - Lübeck</t>
        </is>
      </c>
      <c r="I997" s="5" t="n">
        <v>45543</v>
      </c>
      <c r="J997" t="inlineStr">
        <is>
          <t>Sold</t>
        </is>
      </c>
      <c r="K997" s="6">
        <f>HYPERLINK("https://www.kleinanzeigen.de/s-anzeige/surfbrett-fanatic-ride-160-l-softdeck/2857818199-230-420", "Link")</f>
        <v/>
      </c>
      <c r="L997" s="6">
        <f>HYPERLINK("C:\Projects\Kleinanzeigen-Scraper\offer_images\2857818199", "Link")</f>
        <v/>
      </c>
      <c r="M997" t="inlineStr">
        <is>
          <t>Ralph Delitz</t>
        </is>
      </c>
      <c r="N997" s="6">
        <f>HYPERLINK("https://www.kleinanzeigen.de/s-bestandsliste.html?userId=7979017", "Link")</f>
        <v/>
      </c>
      <c r="O997" s="7" t="n">
        <v>45549.58118055556</v>
      </c>
      <c r="P997" s="3" t="inlineStr">
        <is>
          <t>413.01</t>
        </is>
      </c>
      <c r="Q997" t="inlineStr">
        <is>
          <t>Köln</t>
        </is>
      </c>
    </row>
    <row r="998">
      <c r="A998" t="inlineStr"/>
      <c r="B998" t="inlineStr">
        <is>
          <t>RRD</t>
        </is>
      </c>
      <c r="C998" t="inlineStr">
        <is>
          <t>Freeride</t>
        </is>
      </c>
      <c r="D998" s="3" t="inlineStr"/>
      <c r="E998" t="inlineStr"/>
      <c r="F998" s="4" t="n">
        <v>999</v>
      </c>
      <c r="G998" t="inlineStr"/>
      <c r="H998" t="inlineStr">
        <is>
          <t>99085 Thüringen - Erfurt</t>
        </is>
      </c>
      <c r="I998" s="5" t="n">
        <v>45503</v>
      </c>
      <c r="J998" t="inlineStr">
        <is>
          <t>Sold</t>
        </is>
      </c>
      <c r="K998" s="6">
        <f>HYPERLINK("https://www.kleinanzeigen.de/s-anzeige/rrd-windsurf-surfboard-freeride-air-surfbrett-neu/2824788550-230-3749", "Link")</f>
        <v/>
      </c>
      <c r="L998" s="6">
        <f>HYPERLINK("C:\Projects\Kleinanzeigen-Scraper\offer_images\2824788550", "Link")</f>
        <v/>
      </c>
      <c r="M998" t="inlineStr">
        <is>
          <t>Thomas</t>
        </is>
      </c>
      <c r="N998" s="6">
        <f>HYPERLINK("https://www.kleinanzeigen.de/s-bestandsliste.html?userId=17437571", "Link")</f>
        <v/>
      </c>
      <c r="O998" s="7" t="n">
        <v>45549.58118055556</v>
      </c>
      <c r="P998" s="3" t="inlineStr">
        <is>
          <t>287.24</t>
        </is>
      </c>
      <c r="Q998" t="inlineStr">
        <is>
          <t>Köln</t>
        </is>
      </c>
    </row>
    <row r="999">
      <c r="A999" t="inlineStr"/>
      <c r="B999" t="inlineStr">
        <is>
          <t>RRD Wavecult99</t>
        </is>
      </c>
      <c r="C999" t="inlineStr">
        <is>
          <t>Wave</t>
        </is>
      </c>
      <c r="D999" s="3" t="n">
        <v>99</v>
      </c>
      <c r="E999" t="inlineStr"/>
      <c r="F999" s="4" t="n">
        <v>120</v>
      </c>
      <c r="G999" t="inlineStr">
        <is>
          <t>VB</t>
        </is>
      </c>
      <c r="H999" t="inlineStr">
        <is>
          <t>23569 Schleswig-Holstein - Lübeck</t>
        </is>
      </c>
      <c r="I999" s="5" t="n">
        <v>45487</v>
      </c>
      <c r="J999" t="inlineStr"/>
      <c r="K999" s="6">
        <f>HYPERLINK("https://www.kleinanzeigen.de/s-anzeige/rrd-wavecult99-waveboard-surfbrett/2812103705-230-419", "Link")</f>
        <v/>
      </c>
      <c r="L999" s="6">
        <f>HYPERLINK("C:\Projects\Kleinanzeigen-Scraper\offer_images\2812103705", "Link")</f>
        <v/>
      </c>
      <c r="M999" t="inlineStr">
        <is>
          <t>Stephan Krahl</t>
        </is>
      </c>
      <c r="N999" s="6">
        <f>HYPERLINK("https://www.kleinanzeigen.de/s-bestandsliste.html?userId=8110439", "Link")</f>
        <v/>
      </c>
      <c r="O999" s="7" t="n">
        <v>45549.58116898148</v>
      </c>
      <c r="P999" s="3" t="inlineStr">
        <is>
          <t>422.18</t>
        </is>
      </c>
      <c r="Q999" t="inlineStr">
        <is>
          <t>Köln</t>
        </is>
      </c>
    </row>
    <row r="1000">
      <c r="A1000" t="inlineStr"/>
      <c r="B1000" t="inlineStr">
        <is>
          <t>Naish S26 Hover Wing Foil</t>
        </is>
      </c>
      <c r="C1000" t="inlineStr"/>
      <c r="D1000" s="3" t="n">
        <v>140</v>
      </c>
      <c r="E1000" t="inlineStr"/>
      <c r="F1000" s="4" t="n">
        <v>450</v>
      </c>
      <c r="G1000" t="inlineStr">
        <is>
          <t>VB</t>
        </is>
      </c>
      <c r="H1000" t="inlineStr">
        <is>
          <t>78467 Baden-Württemberg - Konstanz</t>
        </is>
      </c>
      <c r="I1000" s="5" t="n">
        <v>45549</v>
      </c>
      <c r="J1000" t="inlineStr">
        <is>
          <t>Sold</t>
        </is>
      </c>
      <c r="K1000" s="6">
        <f>HYPERLINK("https://www.kleinanzeigen.de/s-anzeige/naish-s26-hover-wing-foil-carbon-ultra-140l-mit-tasche/2862723092-230-9389", "Link")</f>
        <v/>
      </c>
      <c r="L1000" s="6">
        <f>HYPERLINK("C:\Projects\Kleinanzeigen-Scraper\offer_images\2862723092", "Link")</f>
        <v/>
      </c>
      <c r="M1000" t="inlineStr">
        <is>
          <t>Jürgen</t>
        </is>
      </c>
      <c r="N1000" s="6">
        <f>HYPERLINK("https://www.kleinanzeigen.de/s-bestandsliste.html?userId=20497279", "Link")</f>
        <v/>
      </c>
      <c r="O1000" s="7" t="n">
        <v>45549.58115740741</v>
      </c>
      <c r="P1000" s="3" t="inlineStr">
        <is>
          <t>62.51</t>
        </is>
      </c>
      <c r="Q1000" t="inlineStr">
        <is>
          <t>Bonndorf</t>
        </is>
      </c>
    </row>
    <row r="1001">
      <c r="A1001" t="inlineStr"/>
      <c r="B1001" t="inlineStr">
        <is>
          <t>JP Australia</t>
        </is>
      </c>
      <c r="C1001" t="inlineStr">
        <is>
          <t>Freestyle</t>
        </is>
      </c>
      <c r="D1001" s="3" t="n">
        <v>93</v>
      </c>
      <c r="E1001" t="inlineStr">
        <is>
          <t>2021</t>
        </is>
      </c>
      <c r="F1001" s="4" t="n">
        <v>850</v>
      </c>
      <c r="G1001" t="inlineStr"/>
      <c r="H1001" t="inlineStr">
        <is>
          <t>82266 Bayern - Inning am Ammersee</t>
        </is>
      </c>
      <c r="I1001" s="5" t="n">
        <v>45508</v>
      </c>
      <c r="J1001" t="inlineStr">
        <is>
          <t>Sold</t>
        </is>
      </c>
      <c r="K1001" s="6">
        <f>HYPERLINK("https://www.kleinanzeigen.de/s-anzeige/jp-freestyle-pro-edition-93l-2021-windsurf-board-jp-australia/2828613325-230-6358", "Link")</f>
        <v/>
      </c>
      <c r="L1001" s="6">
        <f>HYPERLINK("C:\Projects\Kleinanzeigen-Scraper\offer_images\2828613325", "Link")</f>
        <v/>
      </c>
      <c r="M1001" t="inlineStr">
        <is>
          <t>Florian</t>
        </is>
      </c>
      <c r="N1001" s="6">
        <f>HYPERLINK("https://www.kleinanzeigen.de/s-bestandsliste.html?userId=13817697", "Link")</f>
        <v/>
      </c>
      <c r="O1001" s="7" t="n">
        <v>45549.58115740741</v>
      </c>
      <c r="P1001" s="3" t="inlineStr">
        <is>
          <t>31.93</t>
        </is>
      </c>
      <c r="Q1001" t="inlineStr">
        <is>
          <t>München</t>
        </is>
      </c>
    </row>
    <row r="1002">
      <c r="A1002" t="inlineStr">
        <is>
          <t>127</t>
        </is>
      </c>
      <c r="B1002" t="inlineStr">
        <is>
          <t>JP Australia Super Sport</t>
        </is>
      </c>
      <c r="C1002" t="inlineStr">
        <is>
          <t>Freeride</t>
        </is>
      </c>
      <c r="D1002" s="3" t="inlineStr"/>
      <c r="E1002" t="inlineStr"/>
      <c r="F1002" s="4" t="n">
        <v>570</v>
      </c>
      <c r="G1002" t="inlineStr"/>
      <c r="H1002" t="inlineStr">
        <is>
          <t>84453 Bayern - Mühldorf a.Inn</t>
        </is>
      </c>
      <c r="I1002" s="5" t="n">
        <v>45536</v>
      </c>
      <c r="J1002" t="inlineStr"/>
      <c r="K1002" s="6">
        <f>HYPERLINK("https://www.kleinanzeigen.de/s-anzeige/jp-australia-super-sport-127-vollcarbon/2851628285-230-6623", "Link")</f>
        <v/>
      </c>
      <c r="L1002" s="6">
        <f>HYPERLINK("C:\Projects\Kleinanzeigen-Scraper\offer_images\2851628285", "Link")</f>
        <v/>
      </c>
      <c r="M1002" t="inlineStr">
        <is>
          <t>H. Wimmer</t>
        </is>
      </c>
      <c r="N1002" s="6">
        <f>HYPERLINK("https://www.kleinanzeigen.de/s-bestandsliste.html?userId=47170732", "Link")</f>
        <v/>
      </c>
      <c r="O1002" s="7" t="n">
        <v>45549.58113425926</v>
      </c>
      <c r="P1002" s="3" t="inlineStr">
        <is>
          <t>70.16</t>
        </is>
      </c>
      <c r="Q1002" t="inlineStr">
        <is>
          <t>München</t>
        </is>
      </c>
    </row>
    <row r="1003">
      <c r="A1003" t="inlineStr">
        <is>
          <t>3'11", 4'2", 4'6", 4'10"</t>
        </is>
      </c>
      <c r="B1003" t="inlineStr">
        <is>
          <t>Duotone Pace</t>
        </is>
      </c>
      <c r="C1003" t="inlineStr">
        <is>
          <t>Foil</t>
        </is>
      </c>
      <c r="D1003" s="3" t="inlineStr"/>
      <c r="E1003" t="inlineStr"/>
      <c r="F1003" s="4" t="n">
        <v>599</v>
      </c>
      <c r="G1003" t="inlineStr"/>
      <c r="H1003" t="inlineStr">
        <is>
          <t>90451 Nürnberg (Mittelfr) - Aussenstadt-Sued</t>
        </is>
      </c>
      <c r="I1003" s="5" t="n">
        <v>45538</v>
      </c>
      <c r="J1003" t="inlineStr">
        <is>
          <t>Sold</t>
        </is>
      </c>
      <c r="K1003" s="6">
        <f>HYPERLINK("https://www.kleinanzeigen.de/s-anzeige/duotone-pace-kite-foil-board/2646480429-230-6836", "Link")</f>
        <v/>
      </c>
      <c r="L1003" s="6">
        <f>HYPERLINK("C:\Projects\Kleinanzeigen-Scraper\offer_images\2646480429", "Link")</f>
        <v/>
      </c>
      <c r="M1003" t="inlineStr">
        <is>
          <t>No user name</t>
        </is>
      </c>
      <c r="N1003" s="6">
        <f>HYPERLINK("https://www.kleinanzeigen.deNo user link", "Link")</f>
        <v/>
      </c>
      <c r="O1003" s="7" t="n">
        <v>45549.58111111111</v>
      </c>
      <c r="P1003" s="3" t="inlineStr">
        <is>
          <t>145.92</t>
        </is>
      </c>
      <c r="Q1003" t="inlineStr">
        <is>
          <t>München</t>
        </is>
      </c>
    </row>
    <row r="1004">
      <c r="A1004" t="inlineStr">
        <is>
          <t>14'0'' x 23''</t>
        </is>
      </c>
      <c r="B1004" t="inlineStr">
        <is>
          <t>STARBOARD Sprint</t>
        </is>
      </c>
      <c r="C1004" t="inlineStr"/>
      <c r="D1004" s="3" t="inlineStr"/>
      <c r="E1004" t="inlineStr">
        <is>
          <t>2022/23</t>
        </is>
      </c>
      <c r="F1004" s="4" t="n">
        <v>1.999</v>
      </c>
      <c r="G1004" t="inlineStr">
        <is>
          <t>VB</t>
        </is>
      </c>
      <c r="H1004" t="inlineStr">
        <is>
          <t>82441 Bayern - Ohlstadt</t>
        </is>
      </c>
      <c r="I1004" s="5" t="n">
        <v>45545</v>
      </c>
      <c r="J1004" t="inlineStr"/>
      <c r="K1004" s="6">
        <f>HYPERLINK("https://www.kleinanzeigen.de/s-anzeige/starboard-sprint-14-0-x-23-inkl-boardbag/2859127860-230-5613", "Link")</f>
        <v/>
      </c>
      <c r="L1004" s="6">
        <f>HYPERLINK("C:\Projects\Kleinanzeigen-Scraper\offer_images\2859127860", "Link")</f>
        <v/>
      </c>
      <c r="M1004" t="inlineStr">
        <is>
          <t>Flo Glück</t>
        </is>
      </c>
      <c r="N1004" s="6">
        <f>HYPERLINK("https://www.kleinanzeigen.de/s-bestandsliste.html?userId=64503051", "Link")</f>
        <v/>
      </c>
      <c r="O1004" s="7" t="n">
        <v>45549.58111111111</v>
      </c>
      <c r="P1004" s="3" t="inlineStr">
        <is>
          <t>60.96</t>
        </is>
      </c>
      <c r="Q1004" t="inlineStr">
        <is>
          <t>München</t>
        </is>
      </c>
    </row>
    <row r="1005">
      <c r="A1005" t="inlineStr">
        <is>
          <t>5.3</t>
        </is>
      </c>
      <c r="B1005" t="inlineStr">
        <is>
          <t>Duotone Sky Free TE</t>
        </is>
      </c>
      <c r="C1005" t="inlineStr">
        <is>
          <t>Foil Board</t>
        </is>
      </c>
      <c r="D1005" s="3" t="n">
        <v>95</v>
      </c>
      <c r="E1005" t="inlineStr"/>
      <c r="F1005" s="4" t="n">
        <v>1</v>
      </c>
      <c r="G1005" t="inlineStr"/>
      <c r="H1005" t="inlineStr">
        <is>
          <t>82256 Bayern - Fürstenfeldbruck</t>
        </is>
      </c>
      <c r="I1005" s="5" t="n">
        <v>45539</v>
      </c>
      <c r="J1005" t="inlineStr">
        <is>
          <t>Sold</t>
        </is>
      </c>
      <c r="K1005" s="6">
        <f>HYPERLINK("https://www.kleinanzeigen.de/s-anzeige/wingboard-duotone-sky-free-te-5-3-95l-neu-foil-board-wing-surfer/2854426766-230-6311", "Link")</f>
        <v/>
      </c>
      <c r="L1005" s="6">
        <f>HYPERLINK("C:\Projects\Kleinanzeigen-Scraper\offer_images\2854426766", "Link")</f>
        <v/>
      </c>
      <c r="M1005" t="inlineStr">
        <is>
          <t>Privat</t>
        </is>
      </c>
      <c r="N1005" s="6">
        <f>HYPERLINK("https://www.kleinanzeigen.de/s-bestandsliste.html?userId=34533756", "Link")</f>
        <v/>
      </c>
      <c r="O1005" s="7" t="n">
        <v>45549.58109953703</v>
      </c>
      <c r="P1005" s="3" t="inlineStr">
        <is>
          <t>25.37</t>
        </is>
      </c>
      <c r="Q1005" t="inlineStr">
        <is>
          <t>München</t>
        </is>
      </c>
    </row>
    <row r="1006">
      <c r="A1006" t="inlineStr">
        <is>
          <t xml:space="preserve">Dimensions </t>
        </is>
      </c>
      <c r="B1006" t="inlineStr">
        <is>
          <t>Tabou Rocket LTD</t>
        </is>
      </c>
      <c r="C1006" t="inlineStr">
        <is>
          <t>Freeride</t>
        </is>
      </c>
      <c r="D1006" s="3" t="n">
        <v>125</v>
      </c>
      <c r="E1006" t="inlineStr">
        <is>
          <t>2021</t>
        </is>
      </c>
      <c r="F1006" s="4" t="n">
        <v>900</v>
      </c>
      <c r="G1006" t="inlineStr"/>
      <c r="H1006" t="inlineStr">
        <is>
          <t>82178 Bayern - Puchheim</t>
        </is>
      </c>
      <c r="I1006" s="5" t="n">
        <v>45548</v>
      </c>
      <c r="J1006" t="inlineStr">
        <is>
          <t>Sold</t>
        </is>
      </c>
      <c r="K1006" s="6">
        <f>HYPERLINK("https://www.kleinanzeigen.de/s-anzeige/tabou-rocket-ltd-125-liter-2021-3x-gefahren/2862273264-230-5599", "Link")</f>
        <v/>
      </c>
      <c r="L1006" s="6">
        <f>HYPERLINK("C:\Projects\Kleinanzeigen-Scraper\offer_images\2862273264", "Link")</f>
        <v/>
      </c>
      <c r="M1006" t="inlineStr">
        <is>
          <t>Michael Nanini</t>
        </is>
      </c>
      <c r="N1006" s="6">
        <f>HYPERLINK("https://www.kleinanzeigen.de/s-bestandsliste.html?userId=11859414", "Link")</f>
        <v/>
      </c>
      <c r="O1006" s="7" t="n">
        <v>45549.58108796296</v>
      </c>
      <c r="P1006" s="3" t="inlineStr">
        <is>
          <t>17.38</t>
        </is>
      </c>
      <c r="Q1006" t="inlineStr">
        <is>
          <t>München</t>
        </is>
      </c>
    </row>
    <row r="1007">
      <c r="A1007" t="inlineStr">
        <is>
          <t>6'8'' x 19 5/8'' x 2 5/8''</t>
        </is>
      </c>
      <c r="B1007" t="inlineStr">
        <is>
          <t>RRD Yellow Tail</t>
        </is>
      </c>
      <c r="C1007" t="inlineStr">
        <is>
          <t>Oldschool</t>
        </is>
      </c>
      <c r="D1007" s="3" t="n">
        <v>36.7</v>
      </c>
      <c r="E1007" t="inlineStr"/>
      <c r="F1007" s="4" t="n">
        <v>450</v>
      </c>
      <c r="G1007" t="inlineStr">
        <is>
          <t>VB</t>
        </is>
      </c>
      <c r="H1007" t="inlineStr">
        <is>
          <t>93128 Bayern - Regenstauf</t>
        </is>
      </c>
      <c r="I1007" s="5" t="n">
        <v>45539</v>
      </c>
      <c r="J1007" t="inlineStr"/>
      <c r="K1007" s="6">
        <f>HYPERLINK("https://www.kleinanzeigen.de/s-anzeige/rrd-yellow-tail-70ies-oldschool-ian-armstrong-6-8-single-fin/2854063146-230-5781", "Link")</f>
        <v/>
      </c>
      <c r="L1007" s="6">
        <f>HYPERLINK("C:\Projects\Kleinanzeigen-Scraper\offer_images\2854063146", "Link")</f>
        <v/>
      </c>
      <c r="M1007" t="inlineStr">
        <is>
          <t>Dan</t>
        </is>
      </c>
      <c r="N1007" s="6">
        <f>HYPERLINK("https://www.kleinanzeigen.de/s-bestandsliste.html?userId=21958890", "Link")</f>
        <v/>
      </c>
      <c r="O1007" s="7" t="n">
        <v>45549.58106481482</v>
      </c>
      <c r="P1007" s="3" t="inlineStr">
        <is>
          <t>120.91</t>
        </is>
      </c>
      <c r="Q1007" t="inlineStr">
        <is>
          <t>München</t>
        </is>
      </c>
    </row>
    <row r="1008">
      <c r="A1008" t="inlineStr">
        <is>
          <t>5'5</t>
        </is>
      </c>
      <c r="B1008" t="inlineStr">
        <is>
          <t>North Charge</t>
        </is>
      </c>
      <c r="C1008" t="inlineStr">
        <is>
          <t>Wave</t>
        </is>
      </c>
      <c r="D1008" s="3" t="inlineStr"/>
      <c r="E1008" t="inlineStr">
        <is>
          <t>2022</t>
        </is>
      </c>
      <c r="F1008" s="4" t="n">
        <v>549</v>
      </c>
      <c r="G1008" t="inlineStr">
        <is>
          <t>VB</t>
        </is>
      </c>
      <c r="H1008" t="inlineStr">
        <is>
          <t>22457 Eimsbüttel - Hamburg Schnelsen</t>
        </is>
      </c>
      <c r="I1008" s="5" t="n">
        <v>45547</v>
      </c>
      <c r="J1008" t="inlineStr">
        <is>
          <t>Sold</t>
        </is>
      </c>
      <c r="K1008" s="6">
        <f>HYPERLINK("https://www.kleinanzeigen.de/s-anzeige/north-charge-5-5-waveboard-kitesurfen-2022-neu/2835795381-230-9492", "Link")</f>
        <v/>
      </c>
      <c r="L1008" s="6">
        <f>HYPERLINK("C:\Projects\Kleinanzeigen-Scraper\offer_images\2835795381", "Link")</f>
        <v/>
      </c>
      <c r="M1008" t="inlineStr">
        <is>
          <t>No user name</t>
        </is>
      </c>
      <c r="N1008" s="6">
        <f>HYPERLINK("https://www.kleinanzeigen.deNo user link", "Link")</f>
        <v/>
      </c>
      <c r="O1008" s="7" t="n">
        <v>45549.58105324074</v>
      </c>
      <c r="P1008" s="3" t="inlineStr">
        <is>
          <t>362.41</t>
        </is>
      </c>
      <c r="Q1008" t="inlineStr">
        <is>
          <t>Köln</t>
        </is>
      </c>
    </row>
    <row r="1009">
      <c r="A1009" t="inlineStr">
        <is>
          <t>180 x 76 cm</t>
        </is>
      </c>
      <c r="B1009" t="inlineStr">
        <is>
          <t>RRD POCKET ROCKET LTD</t>
        </is>
      </c>
      <c r="C1009" t="inlineStr">
        <is>
          <t>Foil</t>
        </is>
      </c>
      <c r="D1009" s="3" t="n">
        <v>122</v>
      </c>
      <c r="E1009" t="inlineStr">
        <is>
          <t>Y25</t>
        </is>
      </c>
      <c r="F1009" s="4" t="n">
        <v>640</v>
      </c>
      <c r="G1009" t="inlineStr"/>
      <c r="H1009" t="inlineStr">
        <is>
          <t>78315 Baden-Württemberg - Radolfzell am Bodensee</t>
        </is>
      </c>
      <c r="I1009" s="5" t="n">
        <v>45418</v>
      </c>
      <c r="J1009" t="inlineStr"/>
      <c r="K1009" s="6">
        <f>HYPERLINK("https://www.kleinanzeigen.de/s-anzeige/rrd-pocket-rocket-ltd-y25-122l-foil-board-inkl-boardbag/2755183700-230-8190", "Link")</f>
        <v/>
      </c>
      <c r="L1009" s="6">
        <f>HYPERLINK("C:\Projects\Kleinanzeigen-Scraper\offer_images\2755183700", "Link")</f>
        <v/>
      </c>
      <c r="M1009" t="inlineStr">
        <is>
          <t>HW</t>
        </is>
      </c>
      <c r="N1009" s="6">
        <f>HYPERLINK("https://www.kleinanzeigen.de/s-bestandsliste.html?userId=39419309", "Link")</f>
        <v/>
      </c>
      <c r="O1009" s="7" t="n">
        <v>45549.58105324074</v>
      </c>
      <c r="P1009" s="3" t="inlineStr">
        <is>
          <t>48.46</t>
        </is>
      </c>
      <c r="Q1009" t="inlineStr">
        <is>
          <t>Bonndorf</t>
        </is>
      </c>
    </row>
    <row r="1010">
      <c r="A1010" t="inlineStr">
        <is>
          <t>122 x 75</t>
        </is>
      </c>
      <c r="B1010" t="inlineStr">
        <is>
          <t>Starboard I Sonic</t>
        </is>
      </c>
      <c r="C1010" t="inlineStr">
        <is>
          <t>Freeride</t>
        </is>
      </c>
      <c r="D1010" s="3" t="inlineStr"/>
      <c r="E1010" t="inlineStr"/>
      <c r="F1010" s="4" t="n">
        <v>220</v>
      </c>
      <c r="G1010" t="inlineStr">
        <is>
          <t>VB</t>
        </is>
      </c>
      <c r="H1010" t="inlineStr">
        <is>
          <t>30982 Niedersachsen - Pattensen</t>
        </is>
      </c>
      <c r="I1010" s="5" t="n">
        <v>45550</v>
      </c>
      <c r="J1010" t="inlineStr">
        <is>
          <t>Sold</t>
        </is>
      </c>
      <c r="K1010" s="6">
        <f>HYPERLINK("https://www.kleinanzeigen.de/s-anzeige/surfbrett-starboard-i-sonic-122-w-75/2853979016-230-2898", "Link")</f>
        <v/>
      </c>
      <c r="L1010" s="6">
        <f>HYPERLINK("C:\Projects\Kleinanzeigen-Scraper\offer_images\2853979016", "Link")</f>
        <v/>
      </c>
      <c r="M1010" t="inlineStr">
        <is>
          <t>Schilling</t>
        </is>
      </c>
      <c r="N1010" s="6">
        <f>HYPERLINK("https://www.kleinanzeigen.de/s-bestandsliste.html?userId=14067415", "Link")</f>
        <v/>
      </c>
      <c r="O1010" s="7" t="n">
        <v>45549.58101851852</v>
      </c>
      <c r="P1010" s="3" t="inlineStr">
        <is>
          <t>241.72</t>
        </is>
      </c>
      <c r="Q1010" t="inlineStr">
        <is>
          <t>Köln</t>
        </is>
      </c>
    </row>
    <row r="1011">
      <c r="A1011" t="inlineStr">
        <is>
          <t>210 x 74.8</t>
        </is>
      </c>
      <c r="B1011" t="inlineStr">
        <is>
          <t>Fanatic Sky SUP</t>
        </is>
      </c>
      <c r="C1011" t="inlineStr">
        <is>
          <t>SUP/Wing Foil</t>
        </is>
      </c>
      <c r="D1011" s="3" t="n">
        <v>184</v>
      </c>
      <c r="E1011" t="inlineStr"/>
      <c r="F1011" s="4" t="n">
        <v>500</v>
      </c>
      <c r="G1011" t="inlineStr"/>
      <c r="H1011" t="inlineStr">
        <is>
          <t>24235 Schleswig-Holstein - Stein (Probstei)</t>
        </is>
      </c>
      <c r="I1011" s="5" t="n">
        <v>45547</v>
      </c>
      <c r="J1011" t="inlineStr">
        <is>
          <t>Sold</t>
        </is>
      </c>
      <c r="K1011" s="6">
        <f>HYPERLINK("https://www.kleinanzeigen.de/s-anzeige/fanatic-sky-sup-windsurfoption-wingfoilboard-wing-foil/2861214494-230-19456", "Link")</f>
        <v/>
      </c>
      <c r="L1011" s="6">
        <f>HYPERLINK("C:\Projects\Kleinanzeigen-Scraper\offer_images\2861214494", "Link")</f>
        <v/>
      </c>
      <c r="M1011" t="inlineStr">
        <is>
          <t>Tatort-Hawaii</t>
        </is>
      </c>
      <c r="N1011" s="6">
        <f>HYPERLINK("https://www.kleinanzeigen.de/s-bestandsliste.html?userId=65290662", "Link")</f>
        <v/>
      </c>
      <c r="O1011" s="7" t="n">
        <v>45549.58101851852</v>
      </c>
      <c r="P1011" s="3" t="inlineStr">
        <is>
          <t>443.73</t>
        </is>
      </c>
      <c r="Q1011" t="inlineStr">
        <is>
          <t>Köln</t>
        </is>
      </c>
    </row>
    <row r="1012">
      <c r="A1012" t="inlineStr">
        <is>
          <t>135cm x 42cm</t>
        </is>
      </c>
      <c r="B1012" t="inlineStr">
        <is>
          <t>Naish Money-Shot</t>
        </is>
      </c>
      <c r="C1012" t="inlineStr">
        <is>
          <t>Kiteboard</t>
        </is>
      </c>
      <c r="D1012" s="3" t="inlineStr"/>
      <c r="E1012" t="inlineStr"/>
      <c r="F1012" s="4" t="n">
        <v>125</v>
      </c>
      <c r="G1012" t="inlineStr">
        <is>
          <t>VB</t>
        </is>
      </c>
      <c r="H1012" t="inlineStr">
        <is>
          <t>22952 Schleswig-Holstein - Lütjensee</t>
        </is>
      </c>
      <c r="I1012" s="5" t="n">
        <v>45522</v>
      </c>
      <c r="J1012" t="inlineStr">
        <is>
          <t>Sold</t>
        </is>
      </c>
      <c r="K1012" s="6">
        <f>HYPERLINK("https://www.kleinanzeigen.de/s-anzeige/kiteboard-naish-money-shot-135cm-x-42cm/2840006675-230-926", "Link")</f>
        <v/>
      </c>
      <c r="L1012" s="6">
        <f>HYPERLINK("C:\Projects\Kleinanzeigen-Scraper\offer_images\2840006675", "Link")</f>
        <v/>
      </c>
      <c r="M1012" t="inlineStr">
        <is>
          <t>A. Krüger</t>
        </is>
      </c>
      <c r="N1012" s="6">
        <f>HYPERLINK("https://www.kleinanzeigen.de/s-bestandsliste.html?userId=143378588", "Link")</f>
        <v/>
      </c>
      <c r="O1012" s="7" t="n">
        <v>45549.58101851852</v>
      </c>
      <c r="P1012" s="3" t="inlineStr">
        <is>
          <t>380.47</t>
        </is>
      </c>
      <c r="Q1012" t="inlineStr">
        <is>
          <t>Köln</t>
        </is>
      </c>
    </row>
    <row r="1013">
      <c r="A1013" t="inlineStr">
        <is>
          <t>Dimensions not provided</t>
        </is>
      </c>
      <c r="B1013" t="inlineStr">
        <is>
          <t>Tabou Rocket</t>
        </is>
      </c>
      <c r="C1013" t="inlineStr">
        <is>
          <t>Freeride</t>
        </is>
      </c>
      <c r="D1013" s="3" t="n">
        <v>125</v>
      </c>
      <c r="E1013" t="inlineStr"/>
      <c r="F1013" s="4" t="n">
        <v>400</v>
      </c>
      <c r="G1013" t="inlineStr">
        <is>
          <t>VB</t>
        </is>
      </c>
      <c r="H1013" t="inlineStr">
        <is>
          <t>49808 Niedersachsen - Lingen (Ems)</t>
        </is>
      </c>
      <c r="I1013" s="5" t="n">
        <v>45534</v>
      </c>
      <c r="J1013" t="inlineStr"/>
      <c r="K1013" s="6">
        <f>HYPERLINK("https://www.kleinanzeigen.de/s-anzeige/tabou-rocket-125l/2849967602-230-2563", "Link")</f>
        <v/>
      </c>
      <c r="L1013" s="6">
        <f>HYPERLINK("C:\Projects\Kleinanzeigen-Scraper\offer_images\2849967602", "Link")</f>
        <v/>
      </c>
      <c r="M1013" t="inlineStr">
        <is>
          <t>Mischa</t>
        </is>
      </c>
      <c r="N1013" s="6">
        <f>HYPERLINK("https://www.kleinanzeigen.de/s-bestandsliste.html?userId=60670378", "Link")</f>
        <v/>
      </c>
      <c r="O1013" s="7" t="n">
        <v>45549.58100694444</v>
      </c>
      <c r="P1013" s="3" t="inlineStr">
        <is>
          <t>181.05</t>
        </is>
      </c>
      <c r="Q1013" t="inlineStr">
        <is>
          <t>Köln</t>
        </is>
      </c>
    </row>
    <row r="1014">
      <c r="A1014" t="inlineStr"/>
      <c r="B1014" t="inlineStr">
        <is>
          <t>Starboard Kode Wave</t>
        </is>
      </c>
      <c r="C1014" t="inlineStr">
        <is>
          <t>Wave</t>
        </is>
      </c>
      <c r="D1014" s="3" t="n">
        <v>87</v>
      </c>
      <c r="E1014" t="inlineStr"/>
      <c r="F1014" s="4" t="n">
        <v>235</v>
      </c>
      <c r="G1014" t="inlineStr">
        <is>
          <t>VB</t>
        </is>
      </c>
      <c r="H1014" t="inlineStr">
        <is>
          <t>81543 München - Untergiesing-Harlaching</t>
        </is>
      </c>
      <c r="I1014" s="5" t="n">
        <v>45539</v>
      </c>
      <c r="J1014" t="inlineStr">
        <is>
          <t>Sold</t>
        </is>
      </c>
      <c r="K1014" s="6">
        <f>HYPERLINK("https://www.kleinanzeigen.de/s-anzeige/starboard-kode-wave-87-carbon-edition/2854063293-230-6430", "Link")</f>
        <v/>
      </c>
      <c r="L1014" s="6">
        <f>HYPERLINK("C:\Projects\Kleinanzeigen-Scraper\offer_images\2854063293", "Link")</f>
        <v/>
      </c>
      <c r="M1014" t="inlineStr">
        <is>
          <t>Basti</t>
        </is>
      </c>
      <c r="N1014" s="6">
        <f>HYPERLINK("https://www.kleinanzeigen.de/s-bestandsliste.html?userId=31082807", "Link")</f>
        <v/>
      </c>
      <c r="O1014" s="7" t="n">
        <v>45549.58099537037</v>
      </c>
      <c r="P1014" s="3" t="inlineStr">
        <is>
          <t>2.63</t>
        </is>
      </c>
      <c r="Q1014" t="inlineStr">
        <is>
          <t>München</t>
        </is>
      </c>
    </row>
    <row r="1015">
      <c r="A1015" t="inlineStr">
        <is>
          <t>284cm x 59cm</t>
        </is>
      </c>
      <c r="B1015" t="inlineStr">
        <is>
          <t>Fanatic BEE</t>
        </is>
      </c>
      <c r="C1015" t="inlineStr"/>
      <c r="D1015" s="3" t="n">
        <v>117</v>
      </c>
      <c r="E1015" t="inlineStr"/>
      <c r="F1015" s="4" t="n">
        <v>80</v>
      </c>
      <c r="G1015" t="inlineStr">
        <is>
          <t>VB</t>
        </is>
      </c>
      <c r="H1015" t="inlineStr">
        <is>
          <t>25557 Schleswig-Holstein - Hanerau-Hademarschen</t>
        </is>
      </c>
      <c r="I1015" s="5" t="n">
        <v>45526</v>
      </c>
      <c r="J1015" t="inlineStr">
        <is>
          <t>Sold</t>
        </is>
      </c>
      <c r="K1015" s="6">
        <f>HYPERLINK("https://www.kleinanzeigen.de/s-anzeige/fanatic-bee-surfboard-length-284cm-width-59cm-volumen-117-l/2843396839-230-20344", "Link")</f>
        <v/>
      </c>
      <c r="L1015" s="6">
        <f>HYPERLINK("C:\Projects\Kleinanzeigen-Scraper\offer_images\2843396839", "Link")</f>
        <v/>
      </c>
      <c r="M1015" t="inlineStr">
        <is>
          <t>Clara Dittmer</t>
        </is>
      </c>
      <c r="N1015" s="6">
        <f>HYPERLINK("https://www.kleinanzeigen.de/s-bestandsliste.html?userId=49253154", "Link")</f>
        <v/>
      </c>
      <c r="O1015" s="7" t="n">
        <v>45549.5809837963</v>
      </c>
      <c r="P1015" s="3" t="inlineStr">
        <is>
          <t>390.71</t>
        </is>
      </c>
      <c r="Q1015" t="inlineStr">
        <is>
          <t>Köln</t>
        </is>
      </c>
    </row>
    <row r="1016">
      <c r="A1016" t="inlineStr">
        <is>
          <t>227cm x 57.5cm</t>
        </is>
      </c>
      <c r="B1016" t="inlineStr">
        <is>
          <t>Tabou Da Curve</t>
        </is>
      </c>
      <c r="C1016" t="inlineStr">
        <is>
          <t>Wave</t>
        </is>
      </c>
      <c r="D1016" s="3" t="n">
        <v>88</v>
      </c>
      <c r="E1016" t="inlineStr">
        <is>
          <t>2023</t>
        </is>
      </c>
      <c r="F1016" s="4" t="n">
        <v>1.188</v>
      </c>
      <c r="G1016" t="inlineStr">
        <is>
          <t>VB</t>
        </is>
      </c>
      <c r="H1016" t="inlineStr">
        <is>
          <t>76767 Rheinland-Pfalz - Hagenbach</t>
        </is>
      </c>
      <c r="I1016" s="5" t="n">
        <v>45491</v>
      </c>
      <c r="J1016" t="inlineStr">
        <is>
          <t>Sold</t>
        </is>
      </c>
      <c r="K1016" s="6">
        <f>HYPERLINK("https://www.kleinanzeigen.de/s-anzeige/wavebaord-tabou-da-curve-88-2023-nagelneu-/2815099092-230-18408", "Link")</f>
        <v/>
      </c>
      <c r="L1016" s="6">
        <f>HYPERLINK("C:\Projects\Kleinanzeigen-Scraper\offer_images\2815099092", "Link")</f>
        <v/>
      </c>
      <c r="M1016" t="inlineStr">
        <is>
          <t>Hilmar</t>
        </is>
      </c>
      <c r="N1016" s="6">
        <f>HYPERLINK("https://www.kleinanzeigen.de/s-bestandsliste.html?userId=22388239", "Link")</f>
        <v/>
      </c>
      <c r="O1016" s="7" t="n">
        <v>45549.58097222223</v>
      </c>
      <c r="P1016" s="3" t="inlineStr">
        <is>
          <t>10.31</t>
        </is>
      </c>
      <c r="Q1016" t="inlineStr">
        <is>
          <t>Karlsruhe</t>
        </is>
      </c>
    </row>
    <row r="1017">
      <c r="A1017" t="inlineStr">
        <is>
          <t>227 cm x 80 cm</t>
        </is>
      </c>
      <c r="B1017" t="inlineStr">
        <is>
          <t>Starboard Carve</t>
        </is>
      </c>
      <c r="C1017" t="inlineStr">
        <is>
          <t>Freeride</t>
        </is>
      </c>
      <c r="D1017" s="3" t="n">
        <v>122</v>
      </c>
      <c r="E1017" t="inlineStr">
        <is>
          <t>2020</t>
        </is>
      </c>
      <c r="F1017" s="4" t="n">
        <v>475</v>
      </c>
      <c r="G1017" t="inlineStr"/>
      <c r="H1017" t="inlineStr">
        <is>
          <t>83703 Bayern - Gmund</t>
        </is>
      </c>
      <c r="I1017" s="5" t="n">
        <v>45536</v>
      </c>
      <c r="J1017" t="inlineStr">
        <is>
          <t>Sold</t>
        </is>
      </c>
      <c r="K1017" s="6">
        <f>HYPERLINK("https://www.kleinanzeigen.de/s-anzeige/starboard-carve-122-liter-nase-defekt/2851286336-230-5885", "Link")</f>
        <v/>
      </c>
      <c r="L1017" s="6">
        <f>HYPERLINK("C:\Projects\Kleinanzeigen-Scraper\offer_images\2851286336", "Link")</f>
        <v/>
      </c>
      <c r="M1017" t="inlineStr">
        <is>
          <t>Mike Bürger</t>
        </is>
      </c>
      <c r="N1017" s="6">
        <f>HYPERLINK("https://www.kleinanzeigen.de/s-bestandsliste.html?userId=20799144", "Link")</f>
        <v/>
      </c>
      <c r="O1017" s="7" t="n">
        <v>45549.58096064815</v>
      </c>
      <c r="P1017" s="3" t="inlineStr">
        <is>
          <t>44.58</t>
        </is>
      </c>
      <c r="Q1017" t="inlineStr">
        <is>
          <t>München</t>
        </is>
      </c>
    </row>
    <row r="1018">
      <c r="A1018" t="inlineStr">
        <is>
          <t>8'2"</t>
        </is>
      </c>
      <c r="B1018" t="inlineStr">
        <is>
          <t>Tabou</t>
        </is>
      </c>
      <c r="C1018" t="inlineStr">
        <is>
          <t>SUP</t>
        </is>
      </c>
      <c r="D1018" s="3" t="n">
        <v>130</v>
      </c>
      <c r="E1018" t="inlineStr"/>
      <c r="F1018" s="4" t="n">
        <v>499</v>
      </c>
      <c r="G1018" t="inlineStr">
        <is>
          <t>VB</t>
        </is>
      </c>
      <c r="H1018" t="inlineStr">
        <is>
          <t>22085 Hamburg-Nord - Hamburg Uhlenhorst</t>
        </is>
      </c>
      <c r="I1018" s="5" t="n">
        <v>44936</v>
      </c>
      <c r="J1018" t="inlineStr"/>
      <c r="K1018" s="6">
        <f>HYPERLINK("https://www.kleinanzeigen.de/s-anzeige/tabou-sup-stand-up-paddle-board-8-2-130l-/2325646573-230-9486", "Link")</f>
        <v/>
      </c>
      <c r="L1018" s="6">
        <f>HYPERLINK("C:\Projects\Kleinanzeigen-Scraper\offer_images\2325646573", "Link")</f>
        <v/>
      </c>
      <c r="M1018" t="inlineStr">
        <is>
          <t>Oliver</t>
        </is>
      </c>
      <c r="N1018" s="6">
        <f>HYPERLINK("https://www.kleinanzeigen.de/s-bestandsliste.html?userId=18682648", "Link")</f>
        <v/>
      </c>
      <c r="O1018" s="7" t="n">
        <v>45549.58096064815</v>
      </c>
      <c r="P1018" s="3" t="inlineStr">
        <is>
          <t>359.41</t>
        </is>
      </c>
      <c r="Q1018" t="inlineStr">
        <is>
          <t>Köln</t>
        </is>
      </c>
    </row>
    <row r="1019">
      <c r="A1019" t="inlineStr">
        <is>
          <t>340 cm x 80 cm</t>
        </is>
      </c>
      <c r="B1019" t="inlineStr">
        <is>
          <t>Starboard Blend Deluxe</t>
        </is>
      </c>
      <c r="C1019" t="inlineStr">
        <is>
          <t>Inflatable SUP</t>
        </is>
      </c>
      <c r="D1019" s="3" t="n">
        <v>340</v>
      </c>
      <c r="E1019" t="inlineStr"/>
      <c r="F1019" s="4" t="n">
        <v>515</v>
      </c>
      <c r="G1019" t="inlineStr">
        <is>
          <t>VB</t>
        </is>
      </c>
      <c r="H1019" t="inlineStr">
        <is>
          <t>21217 Niedersachsen - Seevetal</t>
        </is>
      </c>
      <c r="I1019" s="5" t="n">
        <v>45540</v>
      </c>
      <c r="J1019" t="inlineStr">
        <is>
          <t>Sold</t>
        </is>
      </c>
      <c r="K1019" s="6">
        <f>HYPERLINK("https://www.kleinanzeigen.de/s-anzeige/starboard-inflatable-sup-11-2-blend-deluxe/2855136885-230-2812", "Link")</f>
        <v/>
      </c>
      <c r="L1019" s="6">
        <f>HYPERLINK("C:\Projects\Kleinanzeigen-Scraper\offer_images\2855136885", "Link")</f>
        <v/>
      </c>
      <c r="M1019" t="inlineStr">
        <is>
          <t>Joachim Flügge</t>
        </is>
      </c>
      <c r="N1019" s="6">
        <f>HYPERLINK("https://www.kleinanzeigen.de/s-bestandsliste.html?userId=546571", "Link")</f>
        <v/>
      </c>
      <c r="O1019" s="7" t="n">
        <v>45549.58094907407</v>
      </c>
      <c r="P1019" s="3" t="inlineStr">
        <is>
          <t>348.89</t>
        </is>
      </c>
      <c r="Q1019" t="inlineStr">
        <is>
          <t>Köln</t>
        </is>
      </c>
    </row>
    <row r="1020">
      <c r="A1020" t="inlineStr">
        <is>
          <t>L 250 B 54</t>
        </is>
      </c>
      <c r="B1020" t="inlineStr">
        <is>
          <t>Tabou</t>
        </is>
      </c>
      <c r="C1020" t="inlineStr">
        <is>
          <t>Wave</t>
        </is>
      </c>
      <c r="D1020" s="3" t="n">
        <v>74</v>
      </c>
      <c r="E1020" t="inlineStr"/>
      <c r="F1020" s="4" t="n">
        <v>25</v>
      </c>
      <c r="G1020" t="inlineStr">
        <is>
          <t>VB</t>
        </is>
      </c>
      <c r="H1020" t="inlineStr">
        <is>
          <t>81737 München - Ramersdorf-Perlach</t>
        </is>
      </c>
      <c r="I1020" s="5" t="n">
        <v>45206</v>
      </c>
      <c r="J1020" t="inlineStr">
        <is>
          <t>Sold</t>
        </is>
      </c>
      <c r="K1020" s="6">
        <f>HYPERLINK("https://www.kleinanzeigen.de/s-anzeige/tabou-windsurf-board-74-l/2565500155-230-6474", "Link")</f>
        <v/>
      </c>
      <c r="L1020" s="6">
        <f>HYPERLINK("C:\Projects\Kleinanzeigen-Scraper\offer_images\2565500155", "Link")</f>
        <v/>
      </c>
      <c r="M1020" t="inlineStr">
        <is>
          <t>Andrea</t>
        </is>
      </c>
      <c r="N1020" s="6">
        <f>HYPERLINK("https://www.kleinanzeigen.de/s-bestandsliste.html?userId=1444023", "Link")</f>
        <v/>
      </c>
      <c r="O1020" s="7" t="n">
        <v>45549.5809375</v>
      </c>
      <c r="P1020" s="3" t="inlineStr">
        <is>
          <t>5.97</t>
        </is>
      </c>
      <c r="Q1020" t="inlineStr">
        <is>
          <t>München</t>
        </is>
      </c>
    </row>
    <row r="1021">
      <c r="A1021" t="inlineStr"/>
      <c r="B1021" t="inlineStr">
        <is>
          <t>RRD</t>
        </is>
      </c>
      <c r="C1021" t="inlineStr"/>
      <c r="D1021" s="3" t="n">
        <v>75</v>
      </c>
      <c r="E1021" t="inlineStr"/>
      <c r="F1021" s="4" t="n">
        <v>40</v>
      </c>
      <c r="G1021" t="inlineStr">
        <is>
          <t>VB</t>
        </is>
      </c>
      <c r="H1021" t="inlineStr">
        <is>
          <t>24244 Schleswig-Holstein - Felm</t>
        </is>
      </c>
      <c r="I1021" s="5" t="n">
        <v>45496</v>
      </c>
      <c r="J1021" t="inlineStr"/>
      <c r="K1021" s="6">
        <f>HYPERLINK("https://www.kleinanzeigen.de/s-anzeige/rrd-rrd-50-windsurfer-75-l-windsurfboard-surfboard/2819527493-230-668", "Link")</f>
        <v/>
      </c>
      <c r="L1021" s="6">
        <f>HYPERLINK("C:\Projects\Kleinanzeigen-Scraper\offer_images\2819527493", "Link")</f>
        <v/>
      </c>
      <c r="M1021" t="inlineStr">
        <is>
          <t>Timm</t>
        </is>
      </c>
      <c r="N1021" s="6">
        <f>HYPERLINK("https://www.kleinanzeigen.de/s-bestandsliste.html?userId=11529304", "Link")</f>
        <v/>
      </c>
      <c r="O1021" s="7" t="n">
        <v>45549.5809375</v>
      </c>
      <c r="P1021" s="3" t="inlineStr">
        <is>
          <t>438.27</t>
        </is>
      </c>
      <c r="Q1021" t="inlineStr">
        <is>
          <t>Köln</t>
        </is>
      </c>
    </row>
    <row r="1022">
      <c r="A1022" t="inlineStr"/>
      <c r="B1022" t="inlineStr">
        <is>
          <t>Starboard</t>
        </is>
      </c>
      <c r="C1022" t="inlineStr">
        <is>
          <t>Race</t>
        </is>
      </c>
      <c r="D1022" s="3" t="inlineStr"/>
      <c r="E1022" t="inlineStr"/>
      <c r="F1022" s="4" t="n">
        <v>1.9</v>
      </c>
      <c r="G1022" t="inlineStr">
        <is>
          <t>VB</t>
        </is>
      </c>
      <c r="H1022" t="inlineStr">
        <is>
          <t>21073 Hamburg - Harburg</t>
        </is>
      </c>
      <c r="I1022" s="5" t="n">
        <v>45517</v>
      </c>
      <c r="J1022" t="inlineStr"/>
      <c r="K1022" s="6">
        <f>HYPERLINK("https://www.kleinanzeigen.de/s-anzeige/sup-board-starboard-tasche/2836257528-230-9445", "Link")</f>
        <v/>
      </c>
      <c r="L1022" s="6">
        <f>HYPERLINK("C:\Projects\Kleinanzeigen-Scraper\offer_images\2836257528", "Link")</f>
        <v/>
      </c>
      <c r="M1022" t="inlineStr">
        <is>
          <t>Paul M.</t>
        </is>
      </c>
      <c r="N1022" s="6">
        <f>HYPERLINK("https://www.kleinanzeigen.de/s-bestandsliste.html?userId=73126444", "Link")</f>
        <v/>
      </c>
      <c r="O1022" s="7" t="n">
        <v>45549.5809375</v>
      </c>
      <c r="P1022" s="3" t="inlineStr">
        <is>
          <t>347.50</t>
        </is>
      </c>
      <c r="Q1022" t="inlineStr">
        <is>
          <t>Köln</t>
        </is>
      </c>
    </row>
    <row r="1023">
      <c r="A1023" t="inlineStr"/>
      <c r="B1023" t="inlineStr">
        <is>
          <t>Mistral Naish</t>
        </is>
      </c>
      <c r="C1023" t="inlineStr"/>
      <c r="D1023" s="3" t="inlineStr"/>
      <c r="E1023" t="inlineStr"/>
      <c r="F1023" s="4" t="n">
        <v>45</v>
      </c>
      <c r="G1023" t="inlineStr"/>
      <c r="H1023" t="inlineStr">
        <is>
          <t>61440 Hessen - Oberursel (Taunus)</t>
        </is>
      </c>
      <c r="I1023" s="5" t="n">
        <v>45547</v>
      </c>
      <c r="J1023" t="inlineStr"/>
      <c r="K1023" s="6">
        <f>HYPERLINK("https://www.kleinanzeigen.de/s-anzeige/surfbrett-mistral-naish-hawaii/2861369576-230-4578", "Link")</f>
        <v/>
      </c>
      <c r="L1023" s="6">
        <f>HYPERLINK("C:\Projects\Kleinanzeigen-Scraper\offer_images\2861369576", "Link")</f>
        <v/>
      </c>
      <c r="M1023" t="inlineStr">
        <is>
          <t>Diana</t>
        </is>
      </c>
      <c r="N1023" s="6">
        <f>HYPERLINK("https://www.kleinanzeigen.de/s-bestandsliste.html?userId=133033990", "Link")</f>
        <v/>
      </c>
      <c r="O1023" s="7" t="n">
        <v>45549.5809375</v>
      </c>
      <c r="P1023" s="3" t="inlineStr">
        <is>
          <t>134.19</t>
        </is>
      </c>
      <c r="Q1023" t="inlineStr">
        <is>
          <t>Karlsruhe</t>
        </is>
      </c>
    </row>
    <row r="1024">
      <c r="A1024" t="inlineStr">
        <is>
          <t>329 cm x 81 cm x 15 cm</t>
        </is>
      </c>
      <c r="B1024" t="inlineStr">
        <is>
          <t>F2 GLIDE</t>
        </is>
      </c>
      <c r="C1024" t="inlineStr">
        <is>
          <t>Windsurf/SUP</t>
        </is>
      </c>
      <c r="D1024" s="3" t="inlineStr"/>
      <c r="E1024" t="inlineStr"/>
      <c r="F1024" s="4" t="n">
        <v>999</v>
      </c>
      <c r="G1024" t="inlineStr"/>
      <c r="H1024" t="inlineStr">
        <is>
          <t>95028 Bayern - Hof (Saale)</t>
        </is>
      </c>
      <c r="I1024" s="5" t="n">
        <v>45546</v>
      </c>
      <c r="J1024" t="inlineStr">
        <is>
          <t>Sold</t>
        </is>
      </c>
      <c r="K1024" s="6">
        <f>HYPERLINK("https://www.kleinanzeigen.de/s-anzeige/f2-glide-windsurf-sup-10-8-grey-board-surf-wing-5-0-qm/2835044482-230-7244", "Link")</f>
        <v/>
      </c>
      <c r="L1024" s="6">
        <f>HYPERLINK("C:\Projects\Kleinanzeigen-Scraper\offer_images\2835044482", "Link")</f>
        <v/>
      </c>
      <c r="M1024" t="inlineStr">
        <is>
          <t>No user name</t>
        </is>
      </c>
      <c r="N1024" s="6">
        <f>HYPERLINK("https://www.kleinanzeigen.deNo user link", "Link")</f>
        <v/>
      </c>
      <c r="O1024" s="7" t="n">
        <v>45549.58091435185</v>
      </c>
      <c r="P1024" s="3" t="inlineStr">
        <is>
          <t>244.83</t>
        </is>
      </c>
      <c r="Q1024" t="inlineStr">
        <is>
          <t>München</t>
        </is>
      </c>
    </row>
    <row r="1025">
      <c r="A1025" t="inlineStr">
        <is>
          <t>12'6 x 30'' x 6''</t>
        </is>
      </c>
      <c r="B1025" t="inlineStr">
        <is>
          <t>STARBOARD</t>
        </is>
      </c>
      <c r="C1025" t="inlineStr">
        <is>
          <t>Touring</t>
        </is>
      </c>
      <c r="D1025" s="3" t="n">
        <v>355</v>
      </c>
      <c r="E1025" t="inlineStr">
        <is>
          <t>2023</t>
        </is>
      </c>
      <c r="F1025" s="4" t="n">
        <v>600</v>
      </c>
      <c r="G1025" t="inlineStr"/>
      <c r="H1025" t="inlineStr">
        <is>
          <t>22307 Hamburg-Nord - Hamburg Barmbek</t>
        </is>
      </c>
      <c r="I1025" s="5" t="n">
        <v>45519</v>
      </c>
      <c r="J1025" t="inlineStr"/>
      <c r="K1025" s="6">
        <f>HYPERLINK("https://www.kleinanzeigen.de/s-anzeige/sup-board-starboard-12-6-x-30-x-6-touring-zen-sc-mit-paddel/2837577961-230-9449", "Link")</f>
        <v/>
      </c>
      <c r="L1025" s="6">
        <f>HYPERLINK("C:\Projects\Kleinanzeigen-Scraper\offer_images\2837577961", "Link")</f>
        <v/>
      </c>
      <c r="M1025" t="inlineStr">
        <is>
          <t>Peter</t>
        </is>
      </c>
      <c r="N1025" s="6">
        <f>HYPERLINK("https://www.kleinanzeigen.de/s-bestandsliste.html?userId=18449804", "Link")</f>
        <v/>
      </c>
      <c r="O1025" s="7" t="n">
        <v>45549.58091435185</v>
      </c>
      <c r="P1025" s="3" t="inlineStr">
        <is>
          <t>362.75</t>
        </is>
      </c>
      <c r="Q1025" t="inlineStr">
        <is>
          <t>Köln</t>
        </is>
      </c>
    </row>
    <row r="1026">
      <c r="A1026" t="inlineStr"/>
      <c r="B1026" t="inlineStr"/>
      <c r="C1026" t="inlineStr">
        <is>
          <t>Freestyle Wave</t>
        </is>
      </c>
      <c r="D1026" s="3" t="n">
        <v>160</v>
      </c>
      <c r="E1026" t="inlineStr"/>
      <c r="F1026" s="4" t="n">
        <v>1</v>
      </c>
      <c r="G1026" t="inlineStr">
        <is>
          <t>VB</t>
        </is>
      </c>
      <c r="H1026" t="inlineStr">
        <is>
          <t>04315 Leipzig - Sellerhausen-Stünz</t>
        </is>
      </c>
      <c r="I1026" s="5" t="n">
        <v>45528</v>
      </c>
      <c r="J1026" t="inlineStr">
        <is>
          <t>Sold</t>
        </is>
      </c>
      <c r="K1026" s="6">
        <f>HYPERLINK("https://www.kleinanzeigen.de/s-anzeige/windsurfbrett-einsteiger-ca-160-l-tausch-gegen-111-liter-rrd/2845038212-230-4248", "Link")</f>
        <v/>
      </c>
      <c r="L1026" s="6">
        <f>HYPERLINK("C:\Projects\Kleinanzeigen-Scraper\offer_images\2845038212", "Link")</f>
        <v/>
      </c>
      <c r="M1026" t="inlineStr">
        <is>
          <t>Martin</t>
        </is>
      </c>
      <c r="N1026" s="6">
        <f>HYPERLINK("https://www.kleinanzeigen.de/s-bestandsliste.html?userId=8844608", "Link")</f>
        <v/>
      </c>
      <c r="O1026" s="7" t="n">
        <v>45549.5808912037</v>
      </c>
      <c r="P1026" s="3" t="inlineStr">
        <is>
          <t>361.72</t>
        </is>
      </c>
      <c r="Q1026" t="inlineStr">
        <is>
          <t>München</t>
        </is>
      </c>
    </row>
    <row r="1027">
      <c r="A1027" t="inlineStr">
        <is>
          <t>11.4</t>
        </is>
      </c>
      <c r="B1027" t="inlineStr">
        <is>
          <t>Naish Nalu GTW</t>
        </is>
      </c>
      <c r="C1027" t="inlineStr">
        <is>
          <t>SUP</t>
        </is>
      </c>
      <c r="D1027" s="3" t="n">
        <v>180</v>
      </c>
      <c r="E1027" t="inlineStr">
        <is>
          <t>2019</t>
        </is>
      </c>
      <c r="F1027" s="4" t="n">
        <v>650</v>
      </c>
      <c r="G1027" t="inlineStr"/>
      <c r="H1027" t="inlineStr">
        <is>
          <t>88085 Baden-Württemberg - Langenargen</t>
        </is>
      </c>
      <c r="I1027" s="5" t="n">
        <v>45535</v>
      </c>
      <c r="J1027" t="inlineStr"/>
      <c r="K1027" s="6">
        <f>HYPERLINK("https://www.kleinanzeigen.de/s-anzeige/sup-naish-nalu-gtw-11-4-2019/2850626922-230-8350", "Link")</f>
        <v/>
      </c>
      <c r="L1027" s="6">
        <f>HYPERLINK("C:\Projects\Kleinanzeigen-Scraper\offer_images\2850626922", "Link")</f>
        <v/>
      </c>
      <c r="M1027" t="inlineStr">
        <is>
          <t>Alexander Birk</t>
        </is>
      </c>
      <c r="N1027" s="6">
        <f>HYPERLINK("https://www.kleinanzeigen.de/s-bestandsliste.html?userId=15340902", "Link")</f>
        <v/>
      </c>
      <c r="O1027" s="7" t="n">
        <v>45549.5808912037</v>
      </c>
      <c r="P1027" s="3" t="inlineStr">
        <is>
          <t>93.32</t>
        </is>
      </c>
      <c r="Q1027" t="inlineStr">
        <is>
          <t>Bonndorf</t>
        </is>
      </c>
    </row>
    <row r="1028">
      <c r="A1028" t="inlineStr"/>
      <c r="B1028" t="inlineStr">
        <is>
          <t>RRD Freestyle Wave</t>
        </is>
      </c>
      <c r="C1028" t="inlineStr">
        <is>
          <t>Freestyle Wave</t>
        </is>
      </c>
      <c r="D1028" s="3" t="n">
        <v>85</v>
      </c>
      <c r="E1028" t="inlineStr"/>
      <c r="F1028" s="4" t="n">
        <v>140</v>
      </c>
      <c r="G1028" t="inlineStr">
        <is>
          <t>VB</t>
        </is>
      </c>
      <c r="H1028" t="inlineStr">
        <is>
          <t>27476 Niedersachsen - Cuxhaven</t>
        </is>
      </c>
      <c r="I1028" s="5" t="n">
        <v>45537</v>
      </c>
      <c r="J1028" t="inlineStr"/>
      <c r="K1028" s="6">
        <f>HYPERLINK("https://www.kleinanzeigen.de/s-anzeige/rrd-freestyle-wave-85-l-mit-tekkno-bag/2852766940-230-3299", "Link")</f>
        <v/>
      </c>
      <c r="L1028" s="6">
        <f>HYPERLINK("C:\Projects\Kleinanzeigen-Scraper\offer_images\2852766940", "Link")</f>
        <v/>
      </c>
      <c r="M1028" t="inlineStr">
        <is>
          <t>Lars</t>
        </is>
      </c>
      <c r="N1028" s="6">
        <f>HYPERLINK("https://www.kleinanzeigen.de/s-bestandsliste.html?userId=74371854", "Link")</f>
        <v/>
      </c>
      <c r="O1028" s="7" t="n">
        <v>45549.5808912037</v>
      </c>
      <c r="P1028" s="3" t="inlineStr">
        <is>
          <t>344.28</t>
        </is>
      </c>
      <c r="Q1028" t="inlineStr">
        <is>
          <t>Köln</t>
        </is>
      </c>
    </row>
    <row r="1029">
      <c r="A1029" t="inlineStr">
        <is>
          <t>4'10"</t>
        </is>
      </c>
      <c r="B1029" t="inlineStr">
        <is>
          <t>Naish</t>
        </is>
      </c>
      <c r="C1029" t="inlineStr">
        <is>
          <t>Foilboard</t>
        </is>
      </c>
      <c r="D1029" s="3" t="n">
        <v>29</v>
      </c>
      <c r="E1029" t="inlineStr"/>
      <c r="F1029" s="4" t="n">
        <v>290</v>
      </c>
      <c r="G1029" t="inlineStr"/>
      <c r="H1029" t="inlineStr">
        <is>
          <t>53129 Bonn - Kessenich</t>
        </is>
      </c>
      <c r="I1029" s="5" t="n">
        <v>45503</v>
      </c>
      <c r="J1029" t="inlineStr">
        <is>
          <t>Sold</t>
        </is>
      </c>
      <c r="K1029" s="6">
        <f>HYPERLINK("https://www.kleinanzeigen.de/s-anzeige/naish-foilboard-4-10-prone-pumpfoil-pronefoil/2824827701-230-23696", "Link")</f>
        <v/>
      </c>
      <c r="L1029" s="6">
        <f>HYPERLINK("C:\Projects\Kleinanzeigen-Scraper\offer_images\2824827701", "Link")</f>
        <v/>
      </c>
      <c r="M1029" t="inlineStr">
        <is>
          <t>CD</t>
        </is>
      </c>
      <c r="N1029" s="6">
        <f>HYPERLINK("https://www.kleinanzeigen.de/s-bestandsliste.html?userId=6567770", "Link")</f>
        <v/>
      </c>
      <c r="O1029" s="7" t="n">
        <v>45549.58086805556</v>
      </c>
      <c r="P1029" s="3" t="inlineStr">
        <is>
          <t>27.93</t>
        </is>
      </c>
      <c r="Q1029" t="inlineStr">
        <is>
          <t>Köln</t>
        </is>
      </c>
    </row>
    <row r="1030">
      <c r="A1030" t="inlineStr">
        <is>
          <t>Length: 238 cm, Width: 56 cm</t>
        </is>
      </c>
      <c r="B1030" t="inlineStr">
        <is>
          <t>Simmer Cortex</t>
        </is>
      </c>
      <c r="C1030" t="inlineStr">
        <is>
          <t>Wave</t>
        </is>
      </c>
      <c r="D1030" s="3" t="n">
        <v>78</v>
      </c>
      <c r="E1030" t="inlineStr"/>
      <c r="F1030" s="4" t="n">
        <v>590</v>
      </c>
      <c r="G1030" t="inlineStr">
        <is>
          <t>VB</t>
        </is>
      </c>
      <c r="H1030" t="inlineStr">
        <is>
          <t>54295 Rheinland-Pfalz - Trier</t>
        </is>
      </c>
      <c r="I1030" s="5" t="n">
        <v>45547</v>
      </c>
      <c r="J1030" t="inlineStr"/>
      <c r="K1030" s="6">
        <f>HYPERLINK("https://www.kleinanzeigen.de/s-anzeige/simmer-cortex-78-lt-wave/2861320193-230-5450", "Link")</f>
        <v/>
      </c>
      <c r="L1030" s="6">
        <f>HYPERLINK("C:\Projects\Kleinanzeigen-Scraper\offer_images\2861320193", "Link")</f>
        <v/>
      </c>
      <c r="M1030" t="inlineStr">
        <is>
          <t>paolo</t>
        </is>
      </c>
      <c r="N1030" s="6">
        <f>HYPERLINK("https://www.kleinanzeigen.de/s-bestandsliste.html?userId=58709124", "Link")</f>
        <v/>
      </c>
      <c r="O1030" s="7" t="n">
        <v>45549.58086805556</v>
      </c>
      <c r="P1030" s="3" t="inlineStr">
        <is>
          <t>134.95</t>
        </is>
      </c>
      <c r="Q1030" t="inlineStr">
        <is>
          <t>Köln</t>
        </is>
      </c>
    </row>
    <row r="1031">
      <c r="A1031" t="inlineStr">
        <is>
          <t>233cm</t>
        </is>
      </c>
      <c r="B1031" t="inlineStr">
        <is>
          <t>Tabou Manta 81 Team</t>
        </is>
      </c>
      <c r="C1031" t="inlineStr">
        <is>
          <t>Freeride</t>
        </is>
      </c>
      <c r="D1031" s="3" t="n">
        <v>129</v>
      </c>
      <c r="E1031" t="inlineStr"/>
      <c r="F1031" s="4" t="n">
        <v>590</v>
      </c>
      <c r="G1031" t="inlineStr"/>
      <c r="H1031" t="inlineStr">
        <is>
          <t>30966 Niedersachsen - Hemmingen</t>
        </is>
      </c>
      <c r="I1031" s="5" t="n">
        <v>45543</v>
      </c>
      <c r="J1031" t="inlineStr">
        <is>
          <t>Sold</t>
        </is>
      </c>
      <c r="K1031" s="6">
        <f>HYPERLINK("https://www.kleinanzeigen.de/s-anzeige/surfboard-tabou-manta-81-team-129ltr-233cm/2857795216-230-2899", "Link")</f>
        <v/>
      </c>
      <c r="L1031" s="6">
        <f>HYPERLINK("C:\Projects\Kleinanzeigen-Scraper\offer_images\2857795216", "Link")</f>
        <v/>
      </c>
      <c r="M1031" t="inlineStr">
        <is>
          <t>Ingo</t>
        </is>
      </c>
      <c r="N1031" s="6">
        <f>HYPERLINK("https://www.kleinanzeigen.de/s-bestandsliste.html?userId=19399269", "Link")</f>
        <v/>
      </c>
      <c r="O1031" s="7" t="n">
        <v>45549.58084490741</v>
      </c>
      <c r="P1031" s="3" t="inlineStr">
        <is>
          <t>244.01</t>
        </is>
      </c>
      <c r="Q1031" t="inlineStr">
        <is>
          <t>Köln</t>
        </is>
      </c>
    </row>
    <row r="1032">
      <c r="A1032" t="inlineStr">
        <is>
          <t>14x23</t>
        </is>
      </c>
      <c r="B1032" t="inlineStr">
        <is>
          <t>Starboard Sprint</t>
        </is>
      </c>
      <c r="C1032" t="inlineStr">
        <is>
          <t>Race</t>
        </is>
      </c>
      <c r="D1032" s="3" t="inlineStr"/>
      <c r="E1032" t="inlineStr"/>
      <c r="F1032" s="4" t="n">
        <v>2.2</v>
      </c>
      <c r="G1032" t="inlineStr"/>
      <c r="H1032" t="inlineStr">
        <is>
          <t>17255 Mecklenburg-Vorpommern - Wesenberg</t>
        </is>
      </c>
      <c r="I1032" s="5" t="n">
        <v>45530</v>
      </c>
      <c r="J1032" t="inlineStr"/>
      <c r="K1032" s="6">
        <f>HYPERLINK("https://www.kleinanzeigen.de/s-anzeige/starboard-sprint-14-x-23-sup-nagelneu-in-ovp-race/2847268106-230-19632", "Link")</f>
        <v/>
      </c>
      <c r="L1032" s="6">
        <f>HYPERLINK("C:\Projects\Kleinanzeigen-Scraper\offer_images\2847268106", "Link")</f>
        <v/>
      </c>
      <c r="M1032" t="inlineStr">
        <is>
          <t>Robert</t>
        </is>
      </c>
      <c r="N1032" s="6">
        <f>HYPERLINK("https://www.kleinanzeigen.de/s-bestandsliste.html?userId=132736363", "Link")</f>
        <v/>
      </c>
      <c r="O1032" s="7" t="n">
        <v>45549.58082175926</v>
      </c>
      <c r="P1032" s="3" t="inlineStr">
        <is>
          <t>483.18</t>
        </is>
      </c>
      <c r="Q1032" t="inlineStr">
        <is>
          <t>Köln</t>
        </is>
      </c>
    </row>
    <row r="1033">
      <c r="A1033" t="inlineStr">
        <is>
          <t>252cm x 62.5cm</t>
        </is>
      </c>
      <c r="B1033" t="inlineStr">
        <is>
          <t>Naish Titan</t>
        </is>
      </c>
      <c r="C1033" t="inlineStr">
        <is>
          <t>Allround</t>
        </is>
      </c>
      <c r="D1033" s="3" t="n">
        <v>110</v>
      </c>
      <c r="E1033" t="inlineStr"/>
      <c r="F1033" s="4" t="n">
        <v>295</v>
      </c>
      <c r="G1033" t="inlineStr">
        <is>
          <t>VB</t>
        </is>
      </c>
      <c r="H1033" t="inlineStr">
        <is>
          <t>85661 Bayern - Forstinning</t>
        </is>
      </c>
      <c r="I1033" s="5" t="n">
        <v>45537</v>
      </c>
      <c r="J1033" t="inlineStr"/>
      <c r="K1033" s="6">
        <f>HYPERLINK("https://www.kleinanzeigen.de/s-anzeige/surfbrett-naish-titan-110l-surfboard-bag-2-finnen-mastfuss-verl/2539830611-230-6580", "Link")</f>
        <v/>
      </c>
      <c r="L1033" s="6">
        <f>HYPERLINK("C:\Projects\Kleinanzeigen-Scraper\offer_images\2539830611", "Link")</f>
        <v/>
      </c>
      <c r="M1033" t="inlineStr">
        <is>
          <t>Pauli</t>
        </is>
      </c>
      <c r="N1033" s="6">
        <f>HYPERLINK("https://www.kleinanzeigen.de/s-bestandsliste.html?userId=131571366", "Link")</f>
        <v/>
      </c>
      <c r="O1033" s="7" t="n">
        <v>45549.58082175926</v>
      </c>
      <c r="P1033" s="3" t="inlineStr">
        <is>
          <t>25.53</t>
        </is>
      </c>
      <c r="Q1033" t="inlineStr">
        <is>
          <t>München</t>
        </is>
      </c>
    </row>
    <row r="1034">
      <c r="A1034" t="inlineStr">
        <is>
          <t xml:space="preserve">Dimensions </t>
        </is>
      </c>
      <c r="B1034" t="inlineStr">
        <is>
          <t>Severne Fox V2</t>
        </is>
      </c>
      <c r="C1034" t="inlineStr">
        <is>
          <t>Freeride</t>
        </is>
      </c>
      <c r="D1034" s="3" t="n">
        <v>120</v>
      </c>
      <c r="E1034" t="inlineStr">
        <is>
          <t>2022</t>
        </is>
      </c>
      <c r="F1034" s="4" t="n">
        <v>700</v>
      </c>
      <c r="G1034" t="inlineStr"/>
      <c r="H1034" t="inlineStr">
        <is>
          <t>26160 Niedersachsen - Bad Zwischenahn</t>
        </is>
      </c>
      <c r="I1034" s="5" t="n">
        <v>45531</v>
      </c>
      <c r="J1034" t="inlineStr">
        <is>
          <t>Sold</t>
        </is>
      </c>
      <c r="K1034" s="6">
        <f>HYPERLINK("https://www.kleinanzeigen.de/s-anzeige/severne-fox-v2-120l/2847729851-230-2601", "Link")</f>
        <v/>
      </c>
      <c r="L1034" s="6">
        <f>HYPERLINK("C:\Projects\Kleinanzeigen-Scraper\offer_images\2847729851", "Link")</f>
        <v/>
      </c>
      <c r="M1034" t="inlineStr">
        <is>
          <t>Benjamin</t>
        </is>
      </c>
      <c r="N1034" s="6">
        <f>HYPERLINK("https://www.kleinanzeigen.de/s-bestandsliste.html?userId=123324794", "Link")</f>
        <v/>
      </c>
      <c r="O1034" s="7" t="n">
        <v>45549.58082175926</v>
      </c>
      <c r="P1034" s="3" t="inlineStr">
        <is>
          <t>260.27</t>
        </is>
      </c>
      <c r="Q1034" t="inlineStr">
        <is>
          <t>Köln</t>
        </is>
      </c>
    </row>
    <row r="1035">
      <c r="A1035" t="inlineStr"/>
      <c r="B1035" t="inlineStr">
        <is>
          <t>Naish Skater</t>
        </is>
      </c>
      <c r="C1035" t="inlineStr">
        <is>
          <t>Wave</t>
        </is>
      </c>
      <c r="D1035" s="3" t="inlineStr"/>
      <c r="E1035" t="inlineStr">
        <is>
          <t>2016</t>
        </is>
      </c>
      <c r="F1035" s="4" t="n">
        <v>160</v>
      </c>
      <c r="G1035" t="inlineStr">
        <is>
          <t>VB</t>
        </is>
      </c>
      <c r="H1035" t="inlineStr">
        <is>
          <t>52134 Nordrhein-Westfalen - Herzogenrath</t>
        </is>
      </c>
      <c r="I1035" s="5" t="n">
        <v>45542</v>
      </c>
      <c r="J1035" t="inlineStr">
        <is>
          <t>Sold</t>
        </is>
      </c>
      <c r="K1035" s="6">
        <f>HYPERLINK("https://www.kleinanzeigen.de/s-anzeige/naish-skater-sport-l-5-6-waveboard-kitesurfen/2856645319-230-1712", "Link")</f>
        <v/>
      </c>
      <c r="L1035" s="6">
        <f>HYPERLINK("C:\Projects\Kleinanzeigen-Scraper\offer_images\2856645319", "Link")</f>
        <v/>
      </c>
      <c r="M1035" t="inlineStr">
        <is>
          <t>Gregory</t>
        </is>
      </c>
      <c r="N1035" s="6">
        <f>HYPERLINK("https://www.kleinanzeigen.de/s-bestandsliste.html?userId=16390361", "Link")</f>
        <v/>
      </c>
      <c r="O1035" s="7" t="n">
        <v>45549.58082175926</v>
      </c>
      <c r="P1035" s="3" t="inlineStr">
        <is>
          <t>59.57</t>
        </is>
      </c>
      <c r="Q1035" t="inlineStr">
        <is>
          <t>Köln</t>
        </is>
      </c>
    </row>
    <row r="1036">
      <c r="A1036" t="inlineStr">
        <is>
          <t>10'6"</t>
        </is>
      </c>
      <c r="B1036" t="inlineStr">
        <is>
          <t>SUP-FANATIC</t>
        </is>
      </c>
      <c r="C1036" t="inlineStr"/>
      <c r="D1036" s="3" t="inlineStr"/>
      <c r="E1036" t="inlineStr"/>
      <c r="F1036" s="4" t="n">
        <v>150</v>
      </c>
      <c r="G1036" t="inlineStr">
        <is>
          <t>VB</t>
        </is>
      </c>
      <c r="H1036" t="inlineStr">
        <is>
          <t>17034 Mecklenburg-Vorpommern - Neubrandenburg</t>
        </is>
      </c>
      <c r="I1036" s="5" t="n">
        <v>45529</v>
      </c>
      <c r="J1036" t="inlineStr">
        <is>
          <t>Sold</t>
        </is>
      </c>
      <c r="K1036" s="6">
        <f>HYPERLINK("https://www.kleinanzeigen.de/s-anzeige/sup-fanatic-board-10-6-/2846194507-187-254", "Link")</f>
        <v/>
      </c>
      <c r="L1036" s="6">
        <f>HYPERLINK("C:\Projects\Kleinanzeigen-Scraper\offer_images\2846194507", "Link")</f>
        <v/>
      </c>
      <c r="M1036" t="inlineStr">
        <is>
          <t>Matthias Hansen</t>
        </is>
      </c>
      <c r="N1036" s="6">
        <f>HYPERLINK("https://www.kleinanzeigen.de/s-bestandsliste.html?userId=1689969", "Link")</f>
        <v/>
      </c>
      <c r="O1036" s="7" t="n">
        <v>45549.58082175926</v>
      </c>
      <c r="P1036" s="3" t="inlineStr">
        <is>
          <t>520.75</t>
        </is>
      </c>
      <c r="Q1036" t="inlineStr">
        <is>
          <t>Köln</t>
        </is>
      </c>
    </row>
    <row r="1037">
      <c r="A1037" t="inlineStr"/>
      <c r="B1037" t="inlineStr">
        <is>
          <t>Naish S26 Hover Wing Foil Carbon Ultra</t>
        </is>
      </c>
      <c r="C1037" t="inlineStr"/>
      <c r="D1037" s="3" t="n">
        <v>95</v>
      </c>
      <c r="E1037" t="inlineStr"/>
      <c r="F1037" s="4" t="n">
        <v>799</v>
      </c>
      <c r="G1037" t="inlineStr"/>
      <c r="H1037" t="inlineStr">
        <is>
          <t>17192 Müritz - Landkreis - Waren (Müritz)</t>
        </is>
      </c>
      <c r="I1037" s="5" t="n">
        <v>45526</v>
      </c>
      <c r="J1037" t="inlineStr">
        <is>
          <t>Sold</t>
        </is>
      </c>
      <c r="K1037" s="6">
        <f>HYPERLINK("https://www.kleinanzeigen.de/s-anzeige/verkaufe-neues-unbenutztes-naish-s26-hover-wing-foil-carbon-ultra/2843243176-230-71", "Link")</f>
        <v/>
      </c>
      <c r="L1037" s="6">
        <f>HYPERLINK("C:\Projects\Kleinanzeigen-Scraper\offer_images\2843243176", "Link")</f>
        <v/>
      </c>
      <c r="M1037" t="inlineStr">
        <is>
          <t>Steffen kerfers</t>
        </is>
      </c>
      <c r="N1037" s="6">
        <f>HYPERLINK("https://www.kleinanzeigen.de/s-bestandsliste.html?userId=35817000", "Link")</f>
        <v/>
      </c>
      <c r="O1037" s="7" t="n">
        <v>45549.58081018519</v>
      </c>
      <c r="P1037" s="3" t="inlineStr">
        <is>
          <t>486.42</t>
        </is>
      </c>
      <c r="Q1037" t="inlineStr">
        <is>
          <t>Köln</t>
        </is>
      </c>
    </row>
    <row r="1038">
      <c r="A1038" t="inlineStr">
        <is>
          <t>228 x 56.5</t>
        </is>
      </c>
      <c r="B1038" t="inlineStr">
        <is>
          <t>Tabou da curve</t>
        </is>
      </c>
      <c r="C1038" t="inlineStr">
        <is>
          <t>Freestyle</t>
        </is>
      </c>
      <c r="D1038" s="3" t="n">
        <v>82</v>
      </c>
      <c r="E1038" t="inlineStr">
        <is>
          <t>2020</t>
        </is>
      </c>
      <c r="F1038" s="4" t="n">
        <v>620</v>
      </c>
      <c r="G1038" t="inlineStr">
        <is>
          <t>VB</t>
        </is>
      </c>
      <c r="H1038" t="inlineStr">
        <is>
          <t>24943 Schleswig-Holstein - Flensburg</t>
        </is>
      </c>
      <c r="I1038" s="5" t="n">
        <v>45523</v>
      </c>
      <c r="J1038" t="inlineStr"/>
      <c r="K1038" s="6">
        <f>HYPERLINK("https://www.kleinanzeigen.de/s-anzeige/tabou-da-curve-82-2020/2841193951-230-17392", "Link")</f>
        <v/>
      </c>
      <c r="L1038" s="6">
        <f>HYPERLINK("C:\Projects\Kleinanzeigen-Scraper\offer_images\2841193951", "Link")</f>
        <v/>
      </c>
      <c r="M1038" t="inlineStr">
        <is>
          <t>Alex Jüngst</t>
        </is>
      </c>
      <c r="N1038" s="6">
        <f>HYPERLINK("https://www.kleinanzeigen.de/s-bestandsliste.html?userId=25363395", "Link")</f>
        <v/>
      </c>
      <c r="O1038" s="7" t="n">
        <v>45549.58079861111</v>
      </c>
      <c r="P1038" s="3" t="inlineStr">
        <is>
          <t>459.78</t>
        </is>
      </c>
      <c r="Q1038" t="inlineStr">
        <is>
          <t>Köln</t>
        </is>
      </c>
    </row>
    <row r="1039">
      <c r="A1039" t="inlineStr">
        <is>
          <t>135, 141, 144 cm</t>
        </is>
      </c>
      <c r="B1039" t="inlineStr">
        <is>
          <t>Duotone Select Concept Blue</t>
        </is>
      </c>
      <c r="C1039" t="inlineStr"/>
      <c r="D1039" s="3" t="inlineStr"/>
      <c r="E1039" t="inlineStr">
        <is>
          <t>2024</t>
        </is>
      </c>
      <c r="F1039" s="4" t="n">
        <v>538</v>
      </c>
      <c r="G1039" t="inlineStr"/>
      <c r="H1039" t="inlineStr">
        <is>
          <t>22457 Eimsbüttel - Hamburg Schnelsen</t>
        </is>
      </c>
      <c r="I1039" s="5" t="n">
        <v>45548</v>
      </c>
      <c r="J1039" t="inlineStr">
        <is>
          <t>Sold</t>
        </is>
      </c>
      <c r="K1039" s="6">
        <f>HYPERLINK("https://www.kleinanzeigen.de/s-anzeige/duotone-select-concept-blue-kiteboard-kitesurfen-neu/2836622335-230-9492", "Link")</f>
        <v/>
      </c>
      <c r="L1039" s="6">
        <f>HYPERLINK("C:\Projects\Kleinanzeigen-Scraper\offer_images\2836622335", "Link")</f>
        <v/>
      </c>
      <c r="M1039" t="inlineStr">
        <is>
          <t>No user name</t>
        </is>
      </c>
      <c r="N1039" s="6">
        <f>HYPERLINK("https://www.kleinanzeigen.deNo user link", "Link")</f>
        <v/>
      </c>
      <c r="O1039" s="7" t="n">
        <v>45549.58078703703</v>
      </c>
      <c r="P1039" s="3" t="inlineStr">
        <is>
          <t>362.41</t>
        </is>
      </c>
      <c r="Q1039" t="inlineStr">
        <is>
          <t>Köln</t>
        </is>
      </c>
    </row>
    <row r="1040">
      <c r="A1040" t="inlineStr">
        <is>
          <t>208 cm x 85 cm</t>
        </is>
      </c>
      <c r="B1040" t="inlineStr">
        <is>
          <t>Tabou Zeppelin</t>
        </is>
      </c>
      <c r="C1040" t="inlineStr">
        <is>
          <t>Foil</t>
        </is>
      </c>
      <c r="D1040" s="3" t="n">
        <v>180</v>
      </c>
      <c r="E1040" t="inlineStr">
        <is>
          <t>2024</t>
        </is>
      </c>
      <c r="F1040" s="4" t="n">
        <v>950</v>
      </c>
      <c r="G1040" t="inlineStr">
        <is>
          <t>VB</t>
        </is>
      </c>
      <c r="H1040" t="inlineStr">
        <is>
          <t>24229 Schleswig-Holstein - Schwedeneck</t>
        </is>
      </c>
      <c r="I1040" s="5" t="n">
        <v>45469</v>
      </c>
      <c r="J1040" t="inlineStr">
        <is>
          <t>Sold</t>
        </is>
      </c>
      <c r="K1040" s="6">
        <f>HYPERLINK("https://www.kleinanzeigen.de/s-anzeige/tabou-foil-wingboard-tabou-zeppelin-180-2024/2797687106-230-17470", "Link")</f>
        <v/>
      </c>
      <c r="L1040" s="6">
        <f>HYPERLINK("C:\Projects\Kleinanzeigen-Scraper\offer_images\2797687106", "Link")</f>
        <v/>
      </c>
      <c r="M1040" t="inlineStr">
        <is>
          <t>Bernd</t>
        </is>
      </c>
      <c r="N1040" s="6">
        <f>HYPERLINK("https://www.kleinanzeigen.de/s-bestandsliste.html?userId=7833787", "Link")</f>
        <v/>
      </c>
      <c r="O1040" s="7" t="n">
        <v>45549.58078703703</v>
      </c>
      <c r="P1040" s="3" t="inlineStr">
        <is>
          <t>445.58</t>
        </is>
      </c>
      <c r="Q1040" t="inlineStr">
        <is>
          <t>Köln</t>
        </is>
      </c>
    </row>
    <row r="1041">
      <c r="A1041" t="inlineStr">
        <is>
          <t>11'0</t>
        </is>
      </c>
      <c r="B1041" t="inlineStr">
        <is>
          <t>RRD Wassup</t>
        </is>
      </c>
      <c r="C1041" t="inlineStr">
        <is>
          <t>Stand Up Paddle</t>
        </is>
      </c>
      <c r="D1041" s="3" t="inlineStr"/>
      <c r="E1041" t="inlineStr"/>
      <c r="F1041" s="4" t="n">
        <v>200</v>
      </c>
      <c r="G1041" t="inlineStr"/>
      <c r="H1041" t="inlineStr">
        <is>
          <t>48155 Münster (Westfalen) - Mauritz</t>
        </is>
      </c>
      <c r="I1041" s="5" t="n">
        <v>45528</v>
      </c>
      <c r="J1041" t="inlineStr"/>
      <c r="K1041" s="6">
        <f>HYPERLINK("https://www.kleinanzeigen.de/s-anzeige/rrd-stand-paddle-hart-board-mit-dakine-boardcover-paddel/2845141261-230-16786", "Link")</f>
        <v/>
      </c>
      <c r="L1041" s="6">
        <f>HYPERLINK("C:\Projects\Kleinanzeigen-Scraper\offer_images\2845141261", "Link")</f>
        <v/>
      </c>
      <c r="M1041" t="inlineStr">
        <is>
          <t>Familie Schulte</t>
        </is>
      </c>
      <c r="N1041" s="6">
        <f>HYPERLINK("https://www.kleinanzeigen.de/s-bestandsliste.html?userId=3344914", "Link")</f>
        <v/>
      </c>
      <c r="O1041" s="7" t="n">
        <v>45549.58076388889</v>
      </c>
      <c r="P1041" s="3" t="inlineStr">
        <is>
          <t>122.40</t>
        </is>
      </c>
      <c r="Q1041" t="inlineStr">
        <is>
          <t>Köln</t>
        </is>
      </c>
    </row>
    <row r="1042">
      <c r="A1042" t="inlineStr">
        <is>
          <t>Dimensions not specified</t>
        </is>
      </c>
      <c r="B1042" t="inlineStr">
        <is>
          <t>Fanatic Jag</t>
        </is>
      </c>
      <c r="C1042" t="inlineStr">
        <is>
          <t>Freerace</t>
        </is>
      </c>
      <c r="D1042" s="3" t="n">
        <v>125</v>
      </c>
      <c r="E1042" t="inlineStr"/>
      <c r="F1042" s="4" t="n">
        <v>550</v>
      </c>
      <c r="G1042" t="inlineStr">
        <is>
          <t>VB</t>
        </is>
      </c>
      <c r="H1042" t="inlineStr">
        <is>
          <t>22299 Hamburg-Nord - Hamburg Winterhude</t>
        </is>
      </c>
      <c r="I1042" s="5" t="n">
        <v>45521</v>
      </c>
      <c r="J1042" t="inlineStr">
        <is>
          <t>Sold</t>
        </is>
      </c>
      <c r="K1042" s="6">
        <f>HYPERLINK("https://www.kleinanzeigen.de/s-anzeige/windsurfboard-fanatic-jag-125l/2839014938-230-9481", "Link")</f>
        <v/>
      </c>
      <c r="L1042" s="6">
        <f>HYPERLINK("C:\Projects\Kleinanzeigen-Scraper\offer_images\2839014938", "Link")</f>
        <v/>
      </c>
      <c r="M1042" t="inlineStr">
        <is>
          <t>Birgit Spahn</t>
        </is>
      </c>
      <c r="N1042" s="6">
        <f>HYPERLINK("https://www.kleinanzeigen.de/s-bestandsliste.html?userId=18772281", "Link")</f>
        <v/>
      </c>
      <c r="O1042" s="7" t="n">
        <v>45549.58076388889</v>
      </c>
      <c r="P1042" s="3" t="inlineStr">
        <is>
          <t>360.73</t>
        </is>
      </c>
      <c r="Q1042" t="inlineStr">
        <is>
          <t>Köln</t>
        </is>
      </c>
    </row>
    <row r="1043">
      <c r="A1043" t="inlineStr">
        <is>
          <t>280 x 80 cm</t>
        </is>
      </c>
      <c r="B1043" t="inlineStr">
        <is>
          <t>Fanatic Viper 80</t>
        </is>
      </c>
      <c r="C1043" t="inlineStr">
        <is>
          <t>Freeride</t>
        </is>
      </c>
      <c r="D1043" s="3" t="n">
        <v>190</v>
      </c>
      <c r="E1043" t="inlineStr">
        <is>
          <t>2021</t>
        </is>
      </c>
      <c r="F1043" s="4" t="n">
        <v>650</v>
      </c>
      <c r="G1043" t="inlineStr">
        <is>
          <t>VB</t>
        </is>
      </c>
      <c r="H1043" t="inlineStr">
        <is>
          <t>53340 Nordrhein-Westfalen - Meckenheim</t>
        </is>
      </c>
      <c r="I1043" s="5" t="n">
        <v>45540</v>
      </c>
      <c r="J1043" t="inlineStr">
        <is>
          <t>Sold</t>
        </is>
      </c>
      <c r="K1043" s="6">
        <f>HYPERLINK("https://www.kleinanzeigen.de/s-anzeige/windsurfboard-fanatic-viper-80-2021-/2854987876-230-1684", "Link")</f>
        <v/>
      </c>
      <c r="L1043" s="6">
        <f>HYPERLINK("C:\Projects\Kleinanzeigen-Scraper\offer_images\2854987876", "Link")</f>
        <v/>
      </c>
      <c r="M1043" t="inlineStr">
        <is>
          <t>Marcel Wolff</t>
        </is>
      </c>
      <c r="N1043" s="6">
        <f>HYPERLINK("https://www.kleinanzeigen.de/s-bestandsliste.html?userId=39950218", "Link")</f>
        <v/>
      </c>
      <c r="O1043" s="7" t="n">
        <v>45549.58075231482</v>
      </c>
      <c r="P1043" s="3" t="inlineStr">
        <is>
          <t>35.79</t>
        </is>
      </c>
      <c r="Q1043" t="inlineStr">
        <is>
          <t>Köln</t>
        </is>
      </c>
    </row>
    <row r="1044">
      <c r="A1044" t="inlineStr">
        <is>
          <t>138 cm</t>
        </is>
      </c>
      <c r="B1044" t="inlineStr">
        <is>
          <t>Naish Motion</t>
        </is>
      </c>
      <c r="C1044" t="inlineStr">
        <is>
          <t>Kiteboard</t>
        </is>
      </c>
      <c r="D1044" s="3" t="inlineStr"/>
      <c r="E1044" t="inlineStr">
        <is>
          <t>2024</t>
        </is>
      </c>
      <c r="F1044" s="4" t="n">
        <v>459</v>
      </c>
      <c r="G1044" t="inlineStr"/>
      <c r="H1044" t="inlineStr">
        <is>
          <t>22457 Eimsbüttel - Hamburg Schnelsen</t>
        </is>
      </c>
      <c r="I1044" s="5" t="n">
        <v>45536</v>
      </c>
      <c r="J1044" t="inlineStr">
        <is>
          <t>Sold</t>
        </is>
      </c>
      <c r="K1044" s="6">
        <f>HYPERLINK("https://www.kleinanzeigen.de/s-anzeige/naish-motion-kiteboard-2024-neu-kitesurfen/2725586862-230-9492", "Link")</f>
        <v/>
      </c>
      <c r="L1044" s="6">
        <f>HYPERLINK("C:\Projects\Kleinanzeigen-Scraper\offer_images\2725586862", "Link")</f>
        <v/>
      </c>
      <c r="M1044" t="inlineStr">
        <is>
          <t>No user name</t>
        </is>
      </c>
      <c r="N1044" s="6">
        <f>HYPERLINK("https://www.kleinanzeigen.deNo user link", "Link")</f>
        <v/>
      </c>
      <c r="O1044" s="7" t="n">
        <v>45549.58074074074</v>
      </c>
      <c r="P1044" s="3" t="inlineStr">
        <is>
          <t>362.41</t>
        </is>
      </c>
      <c r="Q1044" t="inlineStr">
        <is>
          <t>Köln</t>
        </is>
      </c>
    </row>
    <row r="1045">
      <c r="A1045" t="inlineStr">
        <is>
          <t>57.5 x 227 cm</t>
        </is>
      </c>
      <c r="B1045" t="inlineStr">
        <is>
          <t>Tabou da curve</t>
        </is>
      </c>
      <c r="C1045" t="inlineStr">
        <is>
          <t>Wave</t>
        </is>
      </c>
      <c r="D1045" s="3" t="n">
        <v>88</v>
      </c>
      <c r="E1045" t="inlineStr">
        <is>
          <t>2022</t>
        </is>
      </c>
      <c r="F1045" s="4" t="n">
        <v>699</v>
      </c>
      <c r="G1045" t="inlineStr">
        <is>
          <t>VB</t>
        </is>
      </c>
      <c r="H1045" t="inlineStr">
        <is>
          <t>92318 Bayern - Neumarkt i.d.OPf.</t>
        </is>
      </c>
      <c r="I1045" s="5" t="n">
        <v>45411</v>
      </c>
      <c r="J1045" t="inlineStr"/>
      <c r="K1045" s="6">
        <f>HYPERLINK("https://www.kleinanzeigen.de/s-anzeige/tabou-da-curve-88l-2022-windsurfbrett-wave/2748569593-230-6588", "Link")</f>
        <v/>
      </c>
      <c r="L1045" s="6">
        <f>HYPERLINK("C:\Projects\Kleinanzeigen-Scraper\offer_images\2748569593", "Link")</f>
        <v/>
      </c>
      <c r="M1045" t="inlineStr">
        <is>
          <t>Thomas</t>
        </is>
      </c>
      <c r="N1045" s="6">
        <f>HYPERLINK("https://www.kleinanzeigen.de/s-bestandsliste.html?userId=54569682", "Link")</f>
        <v/>
      </c>
      <c r="O1045" s="7" t="n">
        <v>45549.58074074074</v>
      </c>
      <c r="P1045" s="3" t="inlineStr">
        <is>
          <t>126.78</t>
        </is>
      </c>
      <c r="Q1045" t="inlineStr">
        <is>
          <t>München</t>
        </is>
      </c>
    </row>
    <row r="1046">
      <c r="A1046" t="inlineStr">
        <is>
          <t>153</t>
        </is>
      </c>
      <c r="B1046" t="inlineStr">
        <is>
          <t>Duotone Spike</t>
        </is>
      </c>
      <c r="C1046" t="inlineStr">
        <is>
          <t>Leichtwind</t>
        </is>
      </c>
      <c r="D1046" s="3" t="inlineStr"/>
      <c r="E1046" t="inlineStr">
        <is>
          <t>2019</t>
        </is>
      </c>
      <c r="F1046" s="4" t="n">
        <v>390</v>
      </c>
      <c r="G1046" t="inlineStr">
        <is>
          <t>VB</t>
        </is>
      </c>
      <c r="H1046" t="inlineStr">
        <is>
          <t>15366 Brandenburg - Neuenhagen</t>
        </is>
      </c>
      <c r="I1046" s="5" t="n">
        <v>45544</v>
      </c>
      <c r="J1046" t="inlineStr">
        <is>
          <t>Sold</t>
        </is>
      </c>
      <c r="K1046" s="6">
        <f>HYPERLINK("https://www.kleinanzeigen.de/s-anzeige/duotone-spike-leichtwind-kiteboard-153/2858488956-230-7915", "Link")</f>
        <v/>
      </c>
      <c r="L1046" s="6">
        <f>HYPERLINK("C:\Projects\Kleinanzeigen-Scraper\offer_images\2858488956", "Link")</f>
        <v/>
      </c>
      <c r="M1046" t="inlineStr">
        <is>
          <t>Dennis</t>
        </is>
      </c>
      <c r="N1046" s="6">
        <f>HYPERLINK("https://www.kleinanzeigen.de/s-bestandsliste.html?userId=7922399", "Link")</f>
        <v/>
      </c>
      <c r="O1046" s="7" t="n">
        <v>45549.58074074074</v>
      </c>
      <c r="P1046" s="3" t="inlineStr">
        <is>
          <t>493.44</t>
        </is>
      </c>
      <c r="Q1046" t="inlineStr">
        <is>
          <t>Köln</t>
        </is>
      </c>
    </row>
    <row r="1047">
      <c r="A1047" t="inlineStr"/>
      <c r="B1047" t="inlineStr">
        <is>
          <t>Fanatic Skate</t>
        </is>
      </c>
      <c r="C1047" t="inlineStr">
        <is>
          <t>Freestyle</t>
        </is>
      </c>
      <c r="D1047" s="3" t="n">
        <v>100</v>
      </c>
      <c r="E1047" t="inlineStr"/>
      <c r="F1047" s="4" t="n">
        <v>400</v>
      </c>
      <c r="G1047" t="inlineStr">
        <is>
          <t>VB</t>
        </is>
      </c>
      <c r="H1047" t="inlineStr">
        <is>
          <t>22391 Wandsbek - Hamburg Wellingsbüttel</t>
        </is>
      </c>
      <c r="I1047" s="5" t="n">
        <v>45529</v>
      </c>
      <c r="J1047" t="inlineStr">
        <is>
          <t>Sold</t>
        </is>
      </c>
      <c r="K1047" s="6">
        <f>HYPERLINK("https://www.kleinanzeigen.de/s-anzeige/fanatic-skate-100l/2845679456-187-9469", "Link")</f>
        <v/>
      </c>
      <c r="L1047" s="6">
        <f>HYPERLINK("C:\Projects\Kleinanzeigen-Scraper\offer_images\2845679456", "Link")</f>
        <v/>
      </c>
      <c r="M1047" t="inlineStr">
        <is>
          <t>Carlotta</t>
        </is>
      </c>
      <c r="N1047" s="6">
        <f>HYPERLINK("https://www.kleinanzeigen.de/s-bestandsliste.html?userId=19477901", "Link")</f>
        <v/>
      </c>
      <c r="O1047" s="7" t="n">
        <v>45549.58074074074</v>
      </c>
      <c r="P1047" s="3" t="inlineStr">
        <is>
          <t>368.10</t>
        </is>
      </c>
      <c r="Q1047" t="inlineStr">
        <is>
          <t>Köln</t>
        </is>
      </c>
    </row>
    <row r="1048">
      <c r="A1048" t="inlineStr">
        <is>
          <t>233 cm</t>
        </is>
      </c>
      <c r="B1048" t="inlineStr">
        <is>
          <t>Tabou Manta</t>
        </is>
      </c>
      <c r="C1048" t="inlineStr">
        <is>
          <t>Slalom/Race</t>
        </is>
      </c>
      <c r="D1048" s="3" t="n">
        <v>135</v>
      </c>
      <c r="E1048" t="inlineStr"/>
      <c r="F1048" s="4" t="n">
        <v>400</v>
      </c>
      <c r="G1048" t="inlineStr"/>
      <c r="H1048" t="inlineStr">
        <is>
          <t>10243 Friedrichshain-Kreuzberg - Friedrichshain</t>
        </is>
      </c>
      <c r="I1048" s="5" t="n">
        <v>45522</v>
      </c>
      <c r="J1048" t="inlineStr">
        <is>
          <t>Sold</t>
        </is>
      </c>
      <c r="K1048" s="6">
        <f>HYPERLINK("https://www.kleinanzeigen.de/s-anzeige/tabou-manta-135-liter-slalom-race-board-ltd-100-carbon/2839774336-230-3354", "Link")</f>
        <v/>
      </c>
      <c r="L1048" s="6">
        <f>HYPERLINK("C:\Projects\Kleinanzeigen-Scraper\offer_images\2839774336", "Link")</f>
        <v/>
      </c>
      <c r="M1048" t="inlineStr">
        <is>
          <t>Hr. Setzer</t>
        </is>
      </c>
      <c r="N1048" s="6">
        <f>HYPERLINK("https://www.kleinanzeigen.de/s-bestandsliste.html?userId=10522847", "Link")</f>
        <v/>
      </c>
      <c r="O1048" s="7" t="n">
        <v>45549.58071759259</v>
      </c>
      <c r="P1048" s="3" t="inlineStr">
        <is>
          <t>479.58</t>
        </is>
      </c>
      <c r="Q1048" t="inlineStr">
        <is>
          <t>Köln</t>
        </is>
      </c>
    </row>
    <row r="1049">
      <c r="A1049" t="inlineStr">
        <is>
          <t>265 cm</t>
        </is>
      </c>
      <c r="B1049" t="inlineStr">
        <is>
          <t>Fanatic Gecko</t>
        </is>
      </c>
      <c r="C1049" t="inlineStr"/>
      <c r="D1049" s="3" t="n">
        <v>99</v>
      </c>
      <c r="E1049" t="inlineStr"/>
      <c r="F1049" s="4" t="n">
        <v>45</v>
      </c>
      <c r="G1049" t="inlineStr">
        <is>
          <t>VB</t>
        </is>
      </c>
      <c r="H1049" t="inlineStr">
        <is>
          <t>47169 Duisburg - Fahrn</t>
        </is>
      </c>
      <c r="I1049" s="5" t="n">
        <v>45543</v>
      </c>
      <c r="J1049" t="inlineStr">
        <is>
          <t>Sold</t>
        </is>
      </c>
      <c r="K1049" s="6">
        <f>HYPERLINK("https://www.kleinanzeigen.de/s-anzeige/windsurfboard-fanatic-gecko-265/2857601955-230-19837", "Link")</f>
        <v/>
      </c>
      <c r="L1049" s="6">
        <f>HYPERLINK("C:\Projects\Kleinanzeigen-Scraper\offer_images\2857601955", "Link")</f>
        <v/>
      </c>
      <c r="M1049" t="inlineStr">
        <is>
          <t>Frank</t>
        </is>
      </c>
      <c r="N1049" s="6">
        <f>HYPERLINK("https://www.kleinanzeigen.de/s-bestandsliste.html?userId=29513716", "Link")</f>
        <v/>
      </c>
      <c r="O1049" s="7" t="n">
        <v>45549.58071759259</v>
      </c>
      <c r="P1049" s="3" t="inlineStr">
        <is>
          <t>65.16</t>
        </is>
      </c>
      <c r="Q1049" t="inlineStr">
        <is>
          <t>Köln</t>
        </is>
      </c>
    </row>
    <row r="1050">
      <c r="A1050" t="inlineStr">
        <is>
          <t>320 cm x 76.2 cm</t>
        </is>
      </c>
      <c r="B1050" t="inlineStr">
        <is>
          <t>Naish Nalu</t>
        </is>
      </c>
      <c r="C1050" t="inlineStr">
        <is>
          <t>SUP</t>
        </is>
      </c>
      <c r="D1050" s="3" t="n">
        <v>160</v>
      </c>
      <c r="E1050" t="inlineStr"/>
      <c r="F1050" s="4" t="n">
        <v>950</v>
      </c>
      <c r="G1050" t="inlineStr">
        <is>
          <t>VB</t>
        </is>
      </c>
      <c r="H1050" t="inlineStr">
        <is>
          <t>24118 Kiel - Ravensberg-Brunswik-Düsternbrook</t>
        </is>
      </c>
      <c r="I1050" s="5" t="n">
        <v>45456</v>
      </c>
      <c r="J1050" t="inlineStr">
        <is>
          <t>Sold</t>
        </is>
      </c>
      <c r="K1050" s="6">
        <f>HYPERLINK("https://www.kleinanzeigen.de/s-anzeige/sup-board-naish-nalu-10-6-gtw/2787087059-230-704", "Link")</f>
        <v/>
      </c>
      <c r="L1050" s="6">
        <f>HYPERLINK("C:\Projects\Kleinanzeigen-Scraper\offer_images\2787087059", "Link")</f>
        <v/>
      </c>
      <c r="M1050" t="inlineStr">
        <is>
          <t>Alexander</t>
        </is>
      </c>
      <c r="N1050" s="6">
        <f>HYPERLINK("https://www.kleinanzeigen.de/s-bestandsliste.html?userId=8369298", "Link")</f>
        <v/>
      </c>
      <c r="O1050" s="7" t="n">
        <v>45549.58071759259</v>
      </c>
      <c r="P1050" s="3" t="inlineStr">
        <is>
          <t>434.29</t>
        </is>
      </c>
      <c r="Q1050" t="inlineStr">
        <is>
          <t>Köln</t>
        </is>
      </c>
    </row>
    <row r="1051">
      <c r="A1051" t="inlineStr">
        <is>
          <t>238 cm x 64 cm</t>
        </is>
      </c>
      <c r="B1051" t="inlineStr">
        <is>
          <t>Tabou Twister</t>
        </is>
      </c>
      <c r="C1051" t="inlineStr">
        <is>
          <t>Freestyle</t>
        </is>
      </c>
      <c r="D1051" s="3" t="n">
        <v>107</v>
      </c>
      <c r="E1051" t="inlineStr"/>
      <c r="F1051" s="4" t="n">
        <v>100</v>
      </c>
      <c r="G1051" t="inlineStr"/>
      <c r="H1051" t="inlineStr">
        <is>
          <t>25479 Schleswig-Holstein - Ellerau</t>
        </is>
      </c>
      <c r="I1051" s="5" t="n">
        <v>45172</v>
      </c>
      <c r="J1051" t="inlineStr"/>
      <c r="K1051" s="6">
        <f>HYPERLINK("https://www.kleinanzeigen.de/s-anzeige/tabou-twister-107-l/2536789879-230-630", "Link")</f>
        <v/>
      </c>
      <c r="L1051" s="6">
        <f>HYPERLINK("C:\Projects\Kleinanzeigen-Scraper\offer_images\2536789879", "Link")</f>
        <v/>
      </c>
      <c r="M1051" t="inlineStr">
        <is>
          <t>ebayer</t>
        </is>
      </c>
      <c r="N1051" s="6">
        <f>HYPERLINK("https://www.kleinanzeigen.de/s-bestandsliste.html?userId=7485201", "Link")</f>
        <v/>
      </c>
      <c r="O1051" s="7" t="n">
        <v>45549.58069444444</v>
      </c>
      <c r="P1051" s="3" t="inlineStr">
        <is>
          <t>372.82</t>
        </is>
      </c>
      <c r="Q1051" t="inlineStr">
        <is>
          <t>Köln</t>
        </is>
      </c>
    </row>
    <row r="1052">
      <c r="A1052" t="inlineStr">
        <is>
          <t>135x42</t>
        </is>
      </c>
      <c r="B1052" t="inlineStr">
        <is>
          <t>Naish Hero</t>
        </is>
      </c>
      <c r="C1052" t="inlineStr"/>
      <c r="D1052" s="3" t="inlineStr"/>
      <c r="E1052" t="inlineStr">
        <is>
          <t>2015/2016</t>
        </is>
      </c>
      <c r="F1052" s="4" t="n">
        <v>230</v>
      </c>
      <c r="G1052" t="inlineStr">
        <is>
          <t>VB</t>
        </is>
      </c>
      <c r="H1052" t="inlineStr">
        <is>
          <t>21255 Niedersachsen - Tostedt</t>
        </is>
      </c>
      <c r="I1052" s="5" t="n">
        <v>45496</v>
      </c>
      <c r="J1052" t="inlineStr">
        <is>
          <t>Sold</t>
        </is>
      </c>
      <c r="K1052" s="6">
        <f>HYPERLINK("https://www.kleinanzeigen.de/s-anzeige/kiteboard-naish-hero-neu-unbenutzt-/2819293561-230-17314", "Link")</f>
        <v/>
      </c>
      <c r="L1052" s="6">
        <f>HYPERLINK("C:\Projects\Kleinanzeigen-Scraper\offer_images\2819293561", "Link")</f>
        <v/>
      </c>
      <c r="M1052" t="inlineStr">
        <is>
          <t>Jan Degwert</t>
        </is>
      </c>
      <c r="N1052" s="6">
        <f>HYPERLINK("https://www.kleinanzeigen.de/s-bestandsliste.html?userId=12761522", "Link")</f>
        <v/>
      </c>
      <c r="O1052" s="7" t="n">
        <v>45549.58069444444</v>
      </c>
      <c r="P1052" s="3" t="inlineStr">
        <is>
          <t>320.28</t>
        </is>
      </c>
      <c r="Q1052" t="inlineStr">
        <is>
          <t>Köln</t>
        </is>
      </c>
    </row>
    <row r="1053">
      <c r="A1053" t="inlineStr"/>
      <c r="B1053" t="inlineStr">
        <is>
          <t>Tabou Rocket MTE</t>
        </is>
      </c>
      <c r="C1053" t="inlineStr">
        <is>
          <t>Freeride</t>
        </is>
      </c>
      <c r="D1053" s="3" t="n">
        <v>135</v>
      </c>
      <c r="E1053" t="inlineStr"/>
      <c r="F1053" s="4" t="n">
        <v>700</v>
      </c>
      <c r="G1053" t="inlineStr">
        <is>
          <t>VB</t>
        </is>
      </c>
      <c r="H1053" t="inlineStr">
        <is>
          <t>24118 Kiel - Ravensberg-Brunswik-Düsternbrook</t>
        </is>
      </c>
      <c r="I1053" s="5" t="n">
        <v>45547</v>
      </c>
      <c r="J1053" t="inlineStr"/>
      <c r="K1053" s="6">
        <f>HYPERLINK("https://www.kleinanzeigen.de/s-anzeige/tabou-rocket-mte-windsurfbrett-135-l-mit-schlaufen-und-finne/2861629283-230-704", "Link")</f>
        <v/>
      </c>
      <c r="L1053" s="6">
        <f>HYPERLINK("C:\Projects\Kleinanzeigen-Scraper\offer_images\2861629283", "Link")</f>
        <v/>
      </c>
      <c r="M1053" t="inlineStr">
        <is>
          <t>Sven</t>
        </is>
      </c>
      <c r="N1053" s="6">
        <f>HYPERLINK("https://www.kleinanzeigen.de/s-bestandsliste.html?userId=9286254", "Link")</f>
        <v/>
      </c>
      <c r="O1053" s="7" t="n">
        <v>45549.58068287037</v>
      </c>
      <c r="P1053" s="3" t="inlineStr">
        <is>
          <t>434.29</t>
        </is>
      </c>
      <c r="Q1053" t="inlineStr">
        <is>
          <t>Köln</t>
        </is>
      </c>
    </row>
    <row r="1054">
      <c r="A1054" t="inlineStr">
        <is>
          <t>Dimensions not specified</t>
        </is>
      </c>
      <c r="B1054" t="inlineStr">
        <is>
          <t>Fanatic Freewave</t>
        </is>
      </c>
      <c r="C1054" t="inlineStr">
        <is>
          <t>Freewave</t>
        </is>
      </c>
      <c r="D1054" s="3" t="n">
        <v>105</v>
      </c>
      <c r="E1054" t="inlineStr"/>
      <c r="F1054" s="4" t="n">
        <v>250</v>
      </c>
      <c r="G1054" t="inlineStr">
        <is>
          <t>VB</t>
        </is>
      </c>
      <c r="H1054" t="inlineStr">
        <is>
          <t>82347 Bayern - Bernried</t>
        </is>
      </c>
      <c r="I1054" s="5" t="n">
        <v>45516</v>
      </c>
      <c r="J1054" t="inlineStr">
        <is>
          <t>Sold</t>
        </is>
      </c>
      <c r="K1054" s="6">
        <f>HYPERLINK("https://www.kleinanzeigen.de/s-anzeige/surfboard-fanatic-freewave-inkl-finne-daten-siehe-foto-/2835349242-230-5544", "Link")</f>
        <v/>
      </c>
      <c r="L1054" s="6">
        <f>HYPERLINK("C:\Projects\Kleinanzeigen-Scraper\offer_images\2835349242", "Link")</f>
        <v/>
      </c>
      <c r="M1054" t="inlineStr">
        <is>
          <t>Dirk Rosenberg</t>
        </is>
      </c>
      <c r="N1054" s="6">
        <f>HYPERLINK("https://www.kleinanzeigen.de/s-bestandsliste.html?userId=57048109", "Link")</f>
        <v/>
      </c>
      <c r="O1054" s="7" t="n">
        <v>45549.58067129629</v>
      </c>
      <c r="P1054" s="3" t="inlineStr">
        <is>
          <t>38.08</t>
        </is>
      </c>
      <c r="Q1054" t="inlineStr">
        <is>
          <t>München</t>
        </is>
      </c>
    </row>
    <row r="1055">
      <c r="A1055" t="inlineStr">
        <is>
          <t>7.0</t>
        </is>
      </c>
      <c r="B1055" t="inlineStr">
        <is>
          <t>Robin Naish Hawaii - Fatum Duke</t>
        </is>
      </c>
      <c r="C1055" t="inlineStr">
        <is>
          <t>Hybrid</t>
        </is>
      </c>
      <c r="D1055" s="3" t="inlineStr"/>
      <c r="E1055" t="inlineStr"/>
      <c r="F1055" s="4" t="n">
        <v>380</v>
      </c>
      <c r="G1055" t="inlineStr">
        <is>
          <t>VB</t>
        </is>
      </c>
      <c r="H1055" t="inlineStr">
        <is>
          <t>84489 Kr. Altötting - Burghausen</t>
        </is>
      </c>
      <c r="I1055" s="5" t="n">
        <v>45529</v>
      </c>
      <c r="J1055" t="inlineStr">
        <is>
          <t>Sold</t>
        </is>
      </c>
      <c r="K1055" s="6">
        <f>HYPERLINK("https://www.kleinanzeigen.de/s-anzeige/7-0-surfboard-hybrid-robin-naish-hawaii-ae-fatum-duke/2846413398-230-5905", "Link")</f>
        <v/>
      </c>
      <c r="L1055" s="6">
        <f>HYPERLINK("C:\Projects\Kleinanzeigen-Scraper\offer_images\2846413398", "Link")</f>
        <v/>
      </c>
      <c r="M1055" t="inlineStr">
        <is>
          <t>Justus Ubrig</t>
        </is>
      </c>
      <c r="N1055" s="6">
        <f>HYPERLINK("https://www.kleinanzeigen.de/s-bestandsliste.html?userId=18098858", "Link")</f>
        <v/>
      </c>
      <c r="O1055" s="7" t="n">
        <v>45549.58067129629</v>
      </c>
      <c r="P1055" s="3" t="inlineStr">
        <is>
          <t>92.71</t>
        </is>
      </c>
      <c r="Q1055" t="inlineStr">
        <is>
          <t>München</t>
        </is>
      </c>
    </row>
    <row r="1056">
      <c r="A1056" t="inlineStr"/>
      <c r="B1056" t="inlineStr">
        <is>
          <t>Fanatic Skywing</t>
        </is>
      </c>
      <c r="C1056" t="inlineStr">
        <is>
          <t>Wingboard</t>
        </is>
      </c>
      <c r="D1056" s="3" t="n">
        <v>140</v>
      </c>
      <c r="E1056" t="inlineStr"/>
      <c r="F1056" s="4" t="n">
        <v>529</v>
      </c>
      <c r="G1056" t="inlineStr">
        <is>
          <t>VB</t>
        </is>
      </c>
      <c r="H1056" t="inlineStr">
        <is>
          <t>86899 Bayern - Landsberg (Lech)</t>
        </is>
      </c>
      <c r="I1056" s="5" t="n">
        <v>45516</v>
      </c>
      <c r="J1056" t="inlineStr">
        <is>
          <t>Sold</t>
        </is>
      </c>
      <c r="K1056" s="6">
        <f>HYPERLINK("https://www.kleinanzeigen.de/s-anzeige/fanatic-skywing-140l-wingboard-mit-boardbag/2835554962-230-7091", "Link")</f>
        <v/>
      </c>
      <c r="L1056" s="6">
        <f>HYPERLINK("C:\Projects\Kleinanzeigen-Scraper\offer_images\2835554962", "Link")</f>
        <v/>
      </c>
      <c r="M1056" t="inlineStr">
        <is>
          <t>Christopher</t>
        </is>
      </c>
      <c r="N1056" s="6">
        <f>HYPERLINK("https://www.kleinanzeigen.de/s-bestandsliste.html?userId=20460246", "Link")</f>
        <v/>
      </c>
      <c r="O1056" s="7" t="n">
        <v>45549.58065972223</v>
      </c>
      <c r="P1056" s="3" t="inlineStr">
        <is>
          <t>55.05</t>
        </is>
      </c>
      <c r="Q1056" t="inlineStr">
        <is>
          <t>München</t>
        </is>
      </c>
    </row>
    <row r="1057">
      <c r="A1057" t="inlineStr">
        <is>
          <t>128x37</t>
        </is>
      </c>
      <c r="B1057" t="inlineStr">
        <is>
          <t>Duotone Soleil</t>
        </is>
      </c>
      <c r="C1057" t="inlineStr"/>
      <c r="D1057" s="3" t="inlineStr"/>
      <c r="E1057" t="inlineStr">
        <is>
          <t>2021</t>
        </is>
      </c>
      <c r="F1057" s="4" t="n">
        <v>490</v>
      </c>
      <c r="G1057" t="inlineStr">
        <is>
          <t>VB</t>
        </is>
      </c>
      <c r="H1057" t="inlineStr">
        <is>
          <t>26340 Niedersachsen - Zetel</t>
        </is>
      </c>
      <c r="I1057" s="5" t="n">
        <v>45538</v>
      </c>
      <c r="J1057" t="inlineStr">
        <is>
          <t>Sold</t>
        </is>
      </c>
      <c r="K1057" s="6">
        <f>HYPERLINK("https://www.kleinanzeigen.de/s-anzeige/duotone-kiteboard-soleil-2021-128x37-mit-s-m-bindungen/2853499386-230-3008", "Link")</f>
        <v/>
      </c>
      <c r="L1057" s="6">
        <f>HYPERLINK("C:\Projects\Kleinanzeigen-Scraper\offer_images\2853499386", "Link")</f>
        <v/>
      </c>
      <c r="M1057" t="inlineStr">
        <is>
          <t>Milena</t>
        </is>
      </c>
      <c r="N1057" s="6">
        <f>HYPERLINK("https://www.kleinanzeigen.de/s-bestandsliste.html?userId=131918335", "Link")</f>
        <v/>
      </c>
      <c r="O1057" s="7" t="n">
        <v>45549.58065972223</v>
      </c>
      <c r="P1057" s="3" t="inlineStr">
        <is>
          <t>281.63</t>
        </is>
      </c>
      <c r="Q1057" t="inlineStr">
        <is>
          <t>Köln</t>
        </is>
      </c>
    </row>
    <row r="1058">
      <c r="A1058" t="inlineStr">
        <is>
          <t>Length: 280 cm, Width: 56 cm</t>
        </is>
      </c>
      <c r="B1058" t="inlineStr">
        <is>
          <t>Fanatic Mamba</t>
        </is>
      </c>
      <c r="C1058" t="inlineStr">
        <is>
          <t>Wave</t>
        </is>
      </c>
      <c r="D1058" s="3" t="n">
        <v>80</v>
      </c>
      <c r="E1058" t="inlineStr"/>
      <c r="F1058" s="4" t="n">
        <v>20</v>
      </c>
      <c r="G1058" t="inlineStr"/>
      <c r="H1058" t="inlineStr">
        <is>
          <t>82216 Bayern - Maisach</t>
        </is>
      </c>
      <c r="I1058" s="5" t="n">
        <v>45528</v>
      </c>
      <c r="J1058" t="inlineStr">
        <is>
          <t>Sold</t>
        </is>
      </c>
      <c r="K1058" s="6">
        <f>HYPERLINK("https://www.kleinanzeigen.de/s-anzeige/surfboard-fanatic-mamba/2844809849-230-19374", "Link")</f>
        <v/>
      </c>
      <c r="L1058" s="6">
        <f>HYPERLINK("C:\Projects\Kleinanzeigen-Scraper\offer_images\2844809849", "Link")</f>
        <v/>
      </c>
      <c r="M1058" t="inlineStr">
        <is>
          <t>Huber Günther</t>
        </is>
      </c>
      <c r="N1058" s="6">
        <f>HYPERLINK("https://www.kleinanzeigen.de/s-bestandsliste.html?userId=31266473", "Link")</f>
        <v/>
      </c>
      <c r="O1058" s="7" t="n">
        <v>45549.58064814815</v>
      </c>
      <c r="P1058" s="3" t="inlineStr">
        <is>
          <t>26.48</t>
        </is>
      </c>
      <c r="Q1058" t="inlineStr">
        <is>
          <t>München</t>
        </is>
      </c>
    </row>
    <row r="1059">
      <c r="A1059" t="inlineStr"/>
      <c r="B1059" t="inlineStr">
        <is>
          <t>Severne Nuevo</t>
        </is>
      </c>
      <c r="C1059" t="inlineStr">
        <is>
          <t>Freeride</t>
        </is>
      </c>
      <c r="D1059" s="3" t="n">
        <v>120</v>
      </c>
      <c r="E1059" t="inlineStr"/>
      <c r="F1059" s="4" t="n">
        <v>1.1</v>
      </c>
      <c r="G1059" t="inlineStr"/>
      <c r="H1059" t="inlineStr">
        <is>
          <t>71549 Baden-Württemberg - Auenwald</t>
        </is>
      </c>
      <c r="I1059" s="5" t="n">
        <v>45536</v>
      </c>
      <c r="J1059" t="inlineStr">
        <is>
          <t>Sold</t>
        </is>
      </c>
      <c r="K1059" s="6">
        <f>HYPERLINK("https://www.kleinanzeigen.de/s-anzeige/severne-nuevo-120-l-windsurfbrett-surfbrett/2851324087-230-20234", "Link")</f>
        <v/>
      </c>
      <c r="L1059" s="6">
        <f>HYPERLINK("C:\Projects\Kleinanzeigen-Scraper\offer_images\2851324087", "Link")</f>
        <v/>
      </c>
      <c r="M1059" t="inlineStr">
        <is>
          <t>Sam</t>
        </is>
      </c>
      <c r="N1059" s="6">
        <f>HYPERLINK("https://www.kleinanzeigen.de/s-bestandsliste.html?userId=91227219", "Link")</f>
        <v/>
      </c>
      <c r="O1059" s="7" t="n">
        <v>45549.58063657407</v>
      </c>
      <c r="P1059" s="3" t="inlineStr">
        <is>
          <t>49.16</t>
        </is>
      </c>
      <c r="Q1059" t="inlineStr">
        <is>
          <t>Böblingen</t>
        </is>
      </c>
    </row>
    <row r="1060">
      <c r="A1060" t="inlineStr">
        <is>
          <t>5'3</t>
        </is>
      </c>
      <c r="B1060" t="inlineStr">
        <is>
          <t>Duotone Fish SLS</t>
        </is>
      </c>
      <c r="C1060" t="inlineStr"/>
      <c r="D1060" s="3" t="inlineStr"/>
      <c r="E1060" t="inlineStr"/>
      <c r="F1060" s="4" t="n">
        <v>799</v>
      </c>
      <c r="G1060" t="inlineStr">
        <is>
          <t>VB</t>
        </is>
      </c>
      <c r="H1060" t="inlineStr">
        <is>
          <t>22885 Schleswig-Holstein - Barsbüttel</t>
        </is>
      </c>
      <c r="I1060" s="5" t="n">
        <v>45538</v>
      </c>
      <c r="J1060" t="inlineStr">
        <is>
          <t>Sold</t>
        </is>
      </c>
      <c r="K1060" s="6">
        <f>HYPERLINK("https://www.kleinanzeigen.de/s-anzeige/duotone-fish-5-3-sls-wie-neu-jetzt-nur-noch-bis-zum-18-09-/2853439054-230-615", "Link")</f>
        <v/>
      </c>
      <c r="L1060" s="6">
        <f>HYPERLINK("C:\Projects\Kleinanzeigen-Scraper\offer_images\2853439054", "Link")</f>
        <v/>
      </c>
      <c r="M1060" t="inlineStr">
        <is>
          <t>Frank</t>
        </is>
      </c>
      <c r="N1060" s="6">
        <f>HYPERLINK("https://www.kleinanzeigen.de/s-bestandsliste.html?userId=342971", "Link")</f>
        <v/>
      </c>
      <c r="O1060" s="7" t="n">
        <v>45549.58063657407</v>
      </c>
      <c r="P1060" s="3" t="inlineStr">
        <is>
          <t>367.82</t>
        </is>
      </c>
      <c r="Q1060" t="inlineStr">
        <is>
          <t>Köln</t>
        </is>
      </c>
    </row>
    <row r="1061">
      <c r="A1061" t="inlineStr">
        <is>
          <t>138</t>
        </is>
      </c>
      <c r="B1061" t="inlineStr">
        <is>
          <t>Naish Drive</t>
        </is>
      </c>
      <c r="C1061" t="inlineStr"/>
      <c r="D1061" s="3" t="inlineStr"/>
      <c r="E1061" t="inlineStr">
        <is>
          <t>2022</t>
        </is>
      </c>
      <c r="F1061" s="4" t="n">
        <v>729</v>
      </c>
      <c r="G1061" t="inlineStr">
        <is>
          <t>VB</t>
        </is>
      </c>
      <c r="H1061" t="inlineStr">
        <is>
          <t>26506 Niedersachsen - Norden</t>
        </is>
      </c>
      <c r="I1061" s="5" t="n">
        <v>45565</v>
      </c>
      <c r="J1061" t="inlineStr"/>
      <c r="K1061" s="6">
        <f>HYPERLINK("https://www.kleinanzeigen.de/s-anzeige/naish-drive-138-2022/2751514070-230-2777", "Link")</f>
        <v/>
      </c>
      <c r="L1061" s="6">
        <f>HYPERLINK("C:\Projects\Kleinanzeigen-Scraper\offer_images\2751514070", "Link")</f>
        <v/>
      </c>
      <c r="M1061" t="inlineStr">
        <is>
          <t>No user name</t>
        </is>
      </c>
      <c r="N1061" s="6">
        <f>HYPERLINK("https://www.kleinanzeigen.deNo user link", "Link")</f>
        <v/>
      </c>
      <c r="O1061" s="7" t="n">
        <v>45549.58061342593</v>
      </c>
      <c r="P1061" s="3" t="inlineStr">
        <is>
          <t>293.71</t>
        </is>
      </c>
      <c r="Q1061" t="inlineStr">
        <is>
          <t>Köln</t>
        </is>
      </c>
    </row>
    <row r="1062">
      <c r="A1062" t="inlineStr"/>
      <c r="B1062" t="inlineStr">
        <is>
          <t>JP Australia X-Winger Pro</t>
        </is>
      </c>
      <c r="C1062" t="inlineStr">
        <is>
          <t>Wingboard</t>
        </is>
      </c>
      <c r="D1062" s="3" t="n">
        <v>88</v>
      </c>
      <c r="E1062" t="inlineStr">
        <is>
          <t>2024</t>
        </is>
      </c>
      <c r="F1062" s="4" t="n">
        <v>1.15</v>
      </c>
      <c r="G1062" t="inlineStr"/>
      <c r="H1062" t="inlineStr">
        <is>
          <t>88250 Baden-Württemberg - Weingarten</t>
        </is>
      </c>
      <c r="I1062" s="5" t="n">
        <v>45518</v>
      </c>
      <c r="J1062" t="inlineStr">
        <is>
          <t>Sold</t>
        </is>
      </c>
      <c r="K1062" s="6">
        <f>HYPERLINK("https://www.kleinanzeigen.de/s-anzeige/wingboard-jp-australia-x-winger-pro-88-l-mod-2024/2836677315-230-15340", "Link")</f>
        <v/>
      </c>
      <c r="L1062" s="6">
        <f>HYPERLINK("C:\Projects\Kleinanzeigen-Scraper\offer_images\2836677315", "Link")</f>
        <v/>
      </c>
      <c r="M1062" t="inlineStr">
        <is>
          <t>Markus</t>
        </is>
      </c>
      <c r="N1062" s="6">
        <f>HYPERLINK("https://www.kleinanzeigen.de/s-bestandsliste.html?userId=12711603", "Link")</f>
        <v/>
      </c>
      <c r="O1062" s="7" t="n">
        <v>45549.58061342593</v>
      </c>
      <c r="P1062" s="3" t="inlineStr">
        <is>
          <t>97.39</t>
        </is>
      </c>
      <c r="Q1062" t="inlineStr">
        <is>
          <t>Bonndorf</t>
        </is>
      </c>
    </row>
    <row r="1063">
      <c r="A1063" t="inlineStr"/>
      <c r="B1063" t="inlineStr">
        <is>
          <t>Fanatic Fish</t>
        </is>
      </c>
      <c r="C1063" t="inlineStr">
        <is>
          <t>Freeride</t>
        </is>
      </c>
      <c r="D1063" s="3" t="n">
        <v>100</v>
      </c>
      <c r="E1063" t="inlineStr"/>
      <c r="F1063" s="4" t="n">
        <v>50</v>
      </c>
      <c r="G1063" t="inlineStr">
        <is>
          <t>VB</t>
        </is>
      </c>
      <c r="H1063" t="inlineStr">
        <is>
          <t>79359 Baden-Württemberg - Riegel</t>
        </is>
      </c>
      <c r="I1063" s="5" t="n">
        <v>45529</v>
      </c>
      <c r="J1063" t="inlineStr">
        <is>
          <t>Sold</t>
        </is>
      </c>
      <c r="K1063" s="6">
        <f>HYPERLINK("https://www.kleinanzeigen.de/s-anzeige/fanatic-fish-100l-board-doutone-jp-ion/2845803472-230-8911", "Link")</f>
        <v/>
      </c>
      <c r="L1063" s="6">
        <f>HYPERLINK("C:\Projects\Kleinanzeigen-Scraper\offer_images\2845803472", "Link")</f>
        <v/>
      </c>
      <c r="M1063" t="inlineStr">
        <is>
          <t>Oliver Hartmann</t>
        </is>
      </c>
      <c r="N1063" s="6">
        <f>HYPERLINK("https://www.kleinanzeigen.de/s-bestandsliste.html?userId=32870287", "Link")</f>
        <v/>
      </c>
      <c r="O1063" s="7" t="n">
        <v>45549.58061342593</v>
      </c>
      <c r="P1063" s="3" t="inlineStr">
        <is>
          <t>57.55</t>
        </is>
      </c>
      <c r="Q1063" t="inlineStr">
        <is>
          <t>Bonndorf</t>
        </is>
      </c>
    </row>
    <row r="1064">
      <c r="A1064" t="inlineStr"/>
      <c r="B1064" t="inlineStr">
        <is>
          <t>FANATIC BAT</t>
        </is>
      </c>
      <c r="C1064" t="inlineStr"/>
      <c r="D1064" s="3" t="inlineStr"/>
      <c r="E1064" t="inlineStr"/>
      <c r="F1064" s="4" t="n">
        <v>90</v>
      </c>
      <c r="G1064" t="inlineStr"/>
      <c r="H1064" t="inlineStr">
        <is>
          <t>63801 Bayern - Kleinostheim</t>
        </is>
      </c>
      <c r="I1064" s="5" t="n">
        <v>45509</v>
      </c>
      <c r="J1064" t="inlineStr">
        <is>
          <t>Sold</t>
        </is>
      </c>
      <c r="K1064" s="6">
        <f>HYPERLINK("https://www.kleinanzeigen.de/s-anzeige/surfboard-surfbrett-fanatic-bat-windsurf/2829441708-230-7433", "Link")</f>
        <v/>
      </c>
      <c r="L1064" s="6">
        <f>HYPERLINK("C:\Projects\Kleinanzeigen-Scraper\offer_images\2829441708", "Link")</f>
        <v/>
      </c>
      <c r="M1064" t="inlineStr">
        <is>
          <t>März</t>
        </is>
      </c>
      <c r="N1064" s="6">
        <f>HYPERLINK("https://www.kleinanzeigen.de/s-bestandsliste.html?userId=9071682", "Link")</f>
        <v/>
      </c>
      <c r="O1064" s="7" t="n">
        <v>45549.58059027778</v>
      </c>
      <c r="P1064" s="3" t="inlineStr">
        <is>
          <t>122.74</t>
        </is>
      </c>
      <c r="Q1064" t="inlineStr">
        <is>
          <t>Karlsruhe</t>
        </is>
      </c>
    </row>
    <row r="1065">
      <c r="A1065" t="inlineStr">
        <is>
          <t>238 cm x 61 cm</t>
        </is>
      </c>
      <c r="B1065" t="inlineStr">
        <is>
          <t>Tabou 3 S CED</t>
        </is>
      </c>
      <c r="C1065" t="inlineStr">
        <is>
          <t>Freeride</t>
        </is>
      </c>
      <c r="D1065" s="3" t="n">
        <v>96</v>
      </c>
      <c r="E1065" t="inlineStr"/>
      <c r="F1065" s="4" t="n">
        <v>499</v>
      </c>
      <c r="G1065" t="inlineStr">
        <is>
          <t>VB</t>
        </is>
      </c>
      <c r="H1065" t="inlineStr">
        <is>
          <t>47443 Nordrhein-Westfalen - Moers</t>
        </is>
      </c>
      <c r="I1065" s="5" t="n">
        <v>45533</v>
      </c>
      <c r="J1065" t="inlineStr">
        <is>
          <t>Sold</t>
        </is>
      </c>
      <c r="K1065" s="6">
        <f>HYPERLINK("https://www.kleinanzeigen.de/s-anzeige/tabou-3-s-ced-96-ltr-/2849441701-230-2128", "Link")</f>
        <v/>
      </c>
      <c r="L1065" s="6">
        <f>HYPERLINK("C:\Projects\Kleinanzeigen-Scraper\offer_images\2849441701", "Link")</f>
        <v/>
      </c>
      <c r="M1065" t="inlineStr">
        <is>
          <t>JoJoFi</t>
        </is>
      </c>
      <c r="N1065" s="6">
        <f>HYPERLINK("https://www.kleinanzeigen.de/s-bestandsliste.html?userId=15674333", "Link")</f>
        <v/>
      </c>
      <c r="O1065" s="7" t="n">
        <v>45549.58059027778</v>
      </c>
      <c r="P1065" s="3" t="inlineStr">
        <is>
          <t>61.42</t>
        </is>
      </c>
      <c r="Q1065" t="inlineStr">
        <is>
          <t>Köln</t>
        </is>
      </c>
    </row>
    <row r="1066">
      <c r="A1066" t="inlineStr">
        <is>
          <t>5'6</t>
        </is>
      </c>
      <c r="B1066" t="inlineStr">
        <is>
          <t>Naish Strapless Wonder</t>
        </is>
      </c>
      <c r="C1066" t="inlineStr">
        <is>
          <t>Wave</t>
        </is>
      </c>
      <c r="D1066" s="3" t="inlineStr"/>
      <c r="E1066" t="inlineStr"/>
      <c r="F1066" s="4" t="n">
        <v>399</v>
      </c>
      <c r="G1066" t="inlineStr"/>
      <c r="H1066" t="inlineStr">
        <is>
          <t>22457 Eimsbüttel - Hamburg Schnelsen</t>
        </is>
      </c>
      <c r="I1066" s="5" t="n">
        <v>45544</v>
      </c>
      <c r="J1066" t="inlineStr">
        <is>
          <t>Sold</t>
        </is>
      </c>
      <c r="K1066" s="6">
        <f>HYPERLINK("https://www.kleinanzeigen.de/s-anzeige/naish-kiteboard-straples-wonder-5-6-waveboard-demo-kitesurfen/2218082878-230-9492", "Link")</f>
        <v/>
      </c>
      <c r="L1066" s="6">
        <f>HYPERLINK("C:\Projects\Kleinanzeigen-Scraper\offer_images\2218082878", "Link")</f>
        <v/>
      </c>
      <c r="M1066" t="inlineStr">
        <is>
          <t>No user name</t>
        </is>
      </c>
      <c r="N1066" s="6">
        <f>HYPERLINK("https://www.kleinanzeigen.deNo user link", "Link")</f>
        <v/>
      </c>
      <c r="O1066" s="7" t="n">
        <v>45549.58059027778</v>
      </c>
      <c r="P1066" s="3" t="inlineStr">
        <is>
          <t>362.41</t>
        </is>
      </c>
      <c r="Q1066" t="inlineStr">
        <is>
          <t>Köln</t>
        </is>
      </c>
    </row>
    <row r="1067">
      <c r="A1067" t="inlineStr"/>
      <c r="B1067" t="inlineStr">
        <is>
          <t>Goya Volar</t>
        </is>
      </c>
      <c r="C1067" t="inlineStr"/>
      <c r="D1067" s="3" t="n">
        <v>130</v>
      </c>
      <c r="E1067" t="inlineStr"/>
      <c r="F1067" s="4" t="n">
        <v>999</v>
      </c>
      <c r="G1067" t="inlineStr"/>
      <c r="H1067" t="inlineStr">
        <is>
          <t>18258 Bad Doberan - Landkreis - Schwaan</t>
        </is>
      </c>
      <c r="I1067" s="5" t="n">
        <v>45547</v>
      </c>
      <c r="J1067" t="inlineStr"/>
      <c r="K1067" s="6">
        <f>HYPERLINK("https://www.kleinanzeigen.de/s-anzeige/surfboard-goya-volar-130l/2861132256-230-16601", "Link")</f>
        <v/>
      </c>
      <c r="L1067" s="6">
        <f>HYPERLINK("C:\Projects\Kleinanzeigen-Scraper\offer_images\2861132256", "Link")</f>
        <v/>
      </c>
      <c r="M1067" t="inlineStr">
        <is>
          <t>Jean</t>
        </is>
      </c>
      <c r="N1067" s="6">
        <f>HYPERLINK("https://www.kleinanzeigen.de/s-bestandsliste.html?userId=43069064", "Link")</f>
        <v/>
      </c>
      <c r="O1067" s="7" t="n">
        <v>45549.58059027778</v>
      </c>
      <c r="P1067" s="3" t="inlineStr">
        <is>
          <t>482.14</t>
        </is>
      </c>
      <c r="Q1067" t="inlineStr">
        <is>
          <t>Köln</t>
        </is>
      </c>
    </row>
    <row r="1068">
      <c r="A1068" t="inlineStr">
        <is>
          <t>150 cm</t>
        </is>
      </c>
      <c r="B1068" t="inlineStr">
        <is>
          <t>Naish Custom Wave Bullet RN</t>
        </is>
      </c>
      <c r="C1068" t="inlineStr">
        <is>
          <t>Wave</t>
        </is>
      </c>
      <c r="D1068" s="3" t="inlineStr"/>
      <c r="E1068" t="inlineStr"/>
      <c r="F1068" s="4" t="n">
        <v>320</v>
      </c>
      <c r="G1068" t="inlineStr">
        <is>
          <t>VB</t>
        </is>
      </c>
      <c r="H1068" t="inlineStr">
        <is>
          <t>81371 München - Sendling</t>
        </is>
      </c>
      <c r="I1068" s="5" t="n">
        <v>45555</v>
      </c>
      <c r="J1068" t="inlineStr">
        <is>
          <t>Sold</t>
        </is>
      </c>
      <c r="K1068" s="6">
        <f>HYPERLINK("https://www.kleinanzeigen.de/s-anzeige/naish-wave-board-kitesurf-board/2853652207-230-6416", "Link")</f>
        <v/>
      </c>
      <c r="L1068" s="6">
        <f>HYPERLINK("C:\Projects\Kleinanzeigen-Scraper\offer_images\2853652207", "Link")</f>
        <v/>
      </c>
      <c r="M1068" t="inlineStr">
        <is>
          <t>Philipp</t>
        </is>
      </c>
      <c r="N1068" s="6">
        <f>HYPERLINK("https://www.kleinanzeigen.de/s-bestandsliste.html?userId=42654784", "Link")</f>
        <v/>
      </c>
      <c r="O1068" s="7" t="n">
        <v>45549.5805787037</v>
      </c>
      <c r="P1068" s="3" t="inlineStr">
        <is>
          <t>2.76</t>
        </is>
      </c>
      <c r="Q1068" t="inlineStr">
        <is>
          <t>München</t>
        </is>
      </c>
    </row>
    <row r="1069">
      <c r="A1069" t="inlineStr"/>
      <c r="B1069" t="inlineStr">
        <is>
          <t>Tabou Bullitt</t>
        </is>
      </c>
      <c r="C1069" t="inlineStr">
        <is>
          <t>Freeride</t>
        </is>
      </c>
      <c r="D1069" s="3" t="n">
        <v>185</v>
      </c>
      <c r="E1069" t="inlineStr"/>
      <c r="F1069" s="4" t="n">
        <v>350</v>
      </c>
      <c r="G1069" t="inlineStr">
        <is>
          <t>VB</t>
        </is>
      </c>
      <c r="H1069" t="inlineStr">
        <is>
          <t>42657 Nordrhein-Westfalen - Solingen</t>
        </is>
      </c>
      <c r="I1069" s="5" t="n">
        <v>45503</v>
      </c>
      <c r="J1069" t="inlineStr">
        <is>
          <t>Sold</t>
        </is>
      </c>
      <c r="K1069" s="6">
        <f>HYPERLINK("https://www.kleinanzeigen.de/s-anzeige/tabou-bullitt-185/2825061773-230-2119", "Link")</f>
        <v/>
      </c>
      <c r="L1069" s="6">
        <f>HYPERLINK("C:\Projects\Kleinanzeigen-Scraper\offer_images\2825061773", "Link")</f>
        <v/>
      </c>
      <c r="M1069" t="inlineStr">
        <is>
          <t>Henner Tröster</t>
        </is>
      </c>
      <c r="N1069" s="6">
        <f>HYPERLINK("https://www.kleinanzeigen.de/s-bestandsliste.html?userId=78317996", "Link")</f>
        <v/>
      </c>
      <c r="O1069" s="7" t="n">
        <v>45549.58054398148</v>
      </c>
      <c r="P1069" s="3" t="inlineStr">
        <is>
          <t>25.08</t>
        </is>
      </c>
      <c r="Q1069" t="inlineStr">
        <is>
          <t>Köln</t>
        </is>
      </c>
    </row>
    <row r="1070">
      <c r="A1070" t="inlineStr">
        <is>
          <t>234x52</t>
        </is>
      </c>
      <c r="B1070" t="inlineStr">
        <is>
          <t>Naish Pro Wave</t>
        </is>
      </c>
      <c r="C1070" t="inlineStr">
        <is>
          <t>Wave</t>
        </is>
      </c>
      <c r="D1070" s="3" t="n">
        <v>65</v>
      </c>
      <c r="E1070" t="inlineStr"/>
      <c r="F1070" s="4" t="n">
        <v>100</v>
      </c>
      <c r="G1070" t="inlineStr"/>
      <c r="H1070" t="inlineStr">
        <is>
          <t>33739 Bielefeld - Joellenbeck</t>
        </is>
      </c>
      <c r="I1070" s="5" t="n">
        <v>45495</v>
      </c>
      <c r="J1070" t="inlineStr">
        <is>
          <t>Sold</t>
        </is>
      </c>
      <c r="K1070" s="6">
        <f>HYPERLINK("https://www.kleinanzeigen.de/s-anzeige/naish-pro-wave-us1111-surfbrett-65l/2818712353-230-1073", "Link")</f>
        <v/>
      </c>
      <c r="L1070" s="6">
        <f>HYPERLINK("C:\Projects\Kleinanzeigen-Scraper\offer_images\2818712353", "Link")</f>
        <v/>
      </c>
      <c r="M1070" t="inlineStr">
        <is>
          <t>Svenja</t>
        </is>
      </c>
      <c r="N1070" s="6">
        <f>HYPERLINK("https://www.kleinanzeigen.de/s-bestandsliste.html?userId=8997636", "Link")</f>
        <v/>
      </c>
      <c r="O1070" s="7" t="n">
        <v>45549.58053240741</v>
      </c>
      <c r="P1070" s="3" t="inlineStr">
        <is>
          <t>167.67</t>
        </is>
      </c>
      <c r="Q1070" t="inlineStr">
        <is>
          <t>Köln</t>
        </is>
      </c>
    </row>
    <row r="1071">
      <c r="A1071" t="inlineStr">
        <is>
          <t>244x68.5 cm</t>
        </is>
      </c>
      <c r="B1071" t="inlineStr">
        <is>
          <t>Starboard Futura</t>
        </is>
      </c>
      <c r="C1071" t="inlineStr">
        <is>
          <t>Freerace</t>
        </is>
      </c>
      <c r="D1071" s="3" t="n">
        <v>111</v>
      </c>
      <c r="E1071" t="inlineStr"/>
      <c r="F1071" s="4" t="n">
        <v>320</v>
      </c>
      <c r="G1071" t="inlineStr">
        <is>
          <t>VB</t>
        </is>
      </c>
      <c r="H1071" t="inlineStr">
        <is>
          <t>67346 Rheinland-Pfalz - Speyer</t>
        </is>
      </c>
      <c r="I1071" s="5" t="n">
        <v>45535</v>
      </c>
      <c r="J1071" t="inlineStr"/>
      <c r="K1071" s="6">
        <f>HYPERLINK("https://www.kleinanzeigen.de/s-anzeige/starboard-futura-windsurfboard-111-liter-freerace/2850591997-230-5365", "Link")</f>
        <v/>
      </c>
      <c r="L1071" s="6">
        <f>HYPERLINK("C:\Projects\Kleinanzeigen-Scraper\offer_images\2850591997", "Link")</f>
        <v/>
      </c>
      <c r="M1071" t="inlineStr">
        <is>
          <t>D. Ertel</t>
        </is>
      </c>
      <c r="N1071" s="6">
        <f>HYPERLINK("https://www.kleinanzeigen.de/s-bestandsliste.html?userId=13322828", "Link")</f>
        <v/>
      </c>
      <c r="O1071" s="7" t="n">
        <v>45549.58053240741</v>
      </c>
      <c r="P1071" s="3" t="inlineStr">
        <is>
          <t>35.76</t>
        </is>
      </c>
      <c r="Q1071" t="inlineStr">
        <is>
          <t>Karlsruhe</t>
        </is>
      </c>
    </row>
    <row r="1072">
      <c r="A1072" t="inlineStr">
        <is>
          <t>254 cm x 69 cm</t>
        </is>
      </c>
      <c r="B1072" t="inlineStr">
        <is>
          <t>JP Australia X-Cite Ride</t>
        </is>
      </c>
      <c r="C1072" t="inlineStr">
        <is>
          <t>Freeride</t>
        </is>
      </c>
      <c r="D1072" s="3" t="n">
        <v>120</v>
      </c>
      <c r="E1072" t="inlineStr"/>
      <c r="F1072" s="4" t="n">
        <v>350</v>
      </c>
      <c r="G1072" t="inlineStr">
        <is>
          <t>VB</t>
        </is>
      </c>
      <c r="H1072" t="inlineStr">
        <is>
          <t>81829 München - Trudering-Riem</t>
        </is>
      </c>
      <c r="I1072" s="5" t="n">
        <v>45538</v>
      </c>
      <c r="J1072" t="inlineStr">
        <is>
          <t>Sold</t>
        </is>
      </c>
      <c r="K1072" s="6">
        <f>HYPERLINK("https://www.kleinanzeigen.de/s-anzeige/jp-australia-x-cite-ride-120-l-aus-1-hand/2853468855-230-6482", "Link")</f>
        <v/>
      </c>
      <c r="L1072" s="6">
        <f>HYPERLINK("C:\Projects\Kleinanzeigen-Scraper\offer_images\2853468855", "Link")</f>
        <v/>
      </c>
      <c r="M1072" t="inlineStr">
        <is>
          <t>Urs</t>
        </is>
      </c>
      <c r="N1072" s="6">
        <f>HYPERLINK("https://www.kleinanzeigen.de/s-bestandsliste.html?userId=29264315", "Link")</f>
        <v/>
      </c>
      <c r="O1072" s="7" t="n">
        <v>45549.58053240741</v>
      </c>
      <c r="P1072" s="3" t="inlineStr">
        <is>
          <t>8.51</t>
        </is>
      </c>
      <c r="Q1072" t="inlineStr">
        <is>
          <t>München</t>
        </is>
      </c>
    </row>
    <row r="1073">
      <c r="A1073" t="inlineStr">
        <is>
          <t>134x42</t>
        </is>
      </c>
      <c r="B1073" t="inlineStr">
        <is>
          <t>Naish Dub</t>
        </is>
      </c>
      <c r="C1073" t="inlineStr">
        <is>
          <t>Freestyle/Freeride</t>
        </is>
      </c>
      <c r="D1073" s="3" t="inlineStr"/>
      <c r="E1073" t="inlineStr">
        <is>
          <t>2016</t>
        </is>
      </c>
      <c r="F1073" s="4" t="n">
        <v>299</v>
      </c>
      <c r="G1073" t="inlineStr">
        <is>
          <t>VB</t>
        </is>
      </c>
      <c r="H1073" t="inlineStr">
        <is>
          <t>32699 Nordrhein-Westfalen - Extertal</t>
        </is>
      </c>
      <c r="I1073" s="5" t="n">
        <v>45524</v>
      </c>
      <c r="J1073" t="inlineStr">
        <is>
          <t>Sold</t>
        </is>
      </c>
      <c r="K1073" s="6">
        <f>HYPERLINK("https://www.kleinanzeigen.de/s-anzeige/kiteboard-naish-dub-2016-134x42/2842077054-230-2511", "Link")</f>
        <v/>
      </c>
      <c r="L1073" s="6">
        <f>HYPERLINK("C:\Projects\Kleinanzeigen-Scraper\offer_images\2842077054", "Link")</f>
        <v/>
      </c>
      <c r="M1073" t="inlineStr">
        <is>
          <t>T. S.</t>
        </is>
      </c>
      <c r="N1073" s="6">
        <f>HYPERLINK("https://www.kleinanzeigen.de/s-bestandsliste.html?userId=24142284", "Link")</f>
        <v/>
      </c>
      <c r="O1073" s="7" t="n">
        <v>45549.58050925926</v>
      </c>
      <c r="P1073" s="3" t="inlineStr">
        <is>
          <t>195.08</t>
        </is>
      </c>
      <c r="Q1073" t="inlineStr">
        <is>
          <t>Köln</t>
        </is>
      </c>
    </row>
    <row r="1074">
      <c r="A1074" t="inlineStr">
        <is>
          <t>11'2" x 31+</t>
        </is>
      </c>
      <c r="B1074" t="inlineStr">
        <is>
          <t>Starboard IGO Deluxe</t>
        </is>
      </c>
      <c r="C1074" t="inlineStr">
        <is>
          <t>Allrounder</t>
        </is>
      </c>
      <c r="D1074" s="3" t="n">
        <v>342</v>
      </c>
      <c r="E1074" t="inlineStr">
        <is>
          <t>2021</t>
        </is>
      </c>
      <c r="F1074" s="4" t="n">
        <v>650</v>
      </c>
      <c r="G1074" t="inlineStr"/>
      <c r="H1074" t="inlineStr">
        <is>
          <t>01109 Dresden - Hellerau</t>
        </is>
      </c>
      <c r="I1074" s="5" t="n">
        <v>45528</v>
      </c>
      <c r="J1074" t="inlineStr"/>
      <c r="K1074" s="6">
        <f>HYPERLINK("https://www.kleinanzeigen.de/s-anzeige/stand-up-paddle-board-starboard-deluxe-chamber-11-2-x-31-neu/2845141317-230-24667", "Link")</f>
        <v/>
      </c>
      <c r="L1074" s="6">
        <f>HYPERLINK("C:\Projects\Kleinanzeigen-Scraper\offer_images\2845141317", "Link")</f>
        <v/>
      </c>
      <c r="M1074" t="inlineStr">
        <is>
          <t>Udo</t>
        </is>
      </c>
      <c r="N1074" s="6">
        <f>HYPERLINK("https://www.kleinanzeigen.de/s-bestandsliste.html?userId=4787904", "Link")</f>
        <v/>
      </c>
      <c r="O1074" s="7" t="n">
        <v>45549.58050925926</v>
      </c>
      <c r="P1074" s="3" t="inlineStr">
        <is>
          <t>366.01</t>
        </is>
      </c>
      <c r="Q1074" t="inlineStr">
        <is>
          <t>München</t>
        </is>
      </c>
    </row>
    <row r="1075">
      <c r="A1075" t="inlineStr">
        <is>
          <t>234x65</t>
        </is>
      </c>
      <c r="B1075" t="inlineStr">
        <is>
          <t>Starboard Kode 103</t>
        </is>
      </c>
      <c r="C1075" t="inlineStr">
        <is>
          <t>Freestyle</t>
        </is>
      </c>
      <c r="D1075" s="3" t="n">
        <v>103</v>
      </c>
      <c r="E1075" t="inlineStr"/>
      <c r="F1075" s="4" t="n">
        <v>500</v>
      </c>
      <c r="G1075" t="inlineStr">
        <is>
          <t>VB</t>
        </is>
      </c>
      <c r="H1075" t="inlineStr">
        <is>
          <t>84137 Bayern - Vilsbiburg</t>
        </is>
      </c>
      <c r="I1075" s="5" t="n">
        <v>45514</v>
      </c>
      <c r="J1075" t="inlineStr"/>
      <c r="K1075" s="6">
        <f>HYPERLINK("https://www.kleinanzeigen.de/s-anzeige/tausche-starboard-kode-103-fuer-115-130-l/2833454075-230-6400", "Link")</f>
        <v/>
      </c>
      <c r="L1075" s="6">
        <f>HYPERLINK("C:\Projects\Kleinanzeigen-Scraper\offer_images\2833454075", "Link")</f>
        <v/>
      </c>
      <c r="M1075" t="inlineStr">
        <is>
          <t>Frank</t>
        </is>
      </c>
      <c r="N1075" s="6">
        <f>HYPERLINK("https://www.kleinanzeigen.de/s-bestandsliste.html?userId=123398107", "Link")</f>
        <v/>
      </c>
      <c r="O1075" s="7" t="n">
        <v>45549.58048611111</v>
      </c>
      <c r="P1075" s="3" t="inlineStr">
        <is>
          <t>66.11</t>
        </is>
      </c>
      <c r="Q1075" t="inlineStr">
        <is>
          <t>München</t>
        </is>
      </c>
    </row>
    <row r="1076">
      <c r="A1076" t="inlineStr"/>
      <c r="B1076" t="inlineStr">
        <is>
          <t>Tabou Pocket Wave Vintage (Tabou Da Bomb)</t>
        </is>
      </c>
      <c r="C1076" t="inlineStr">
        <is>
          <t>Wave</t>
        </is>
      </c>
      <c r="D1076" s="3" t="inlineStr"/>
      <c r="E1076" t="inlineStr"/>
      <c r="F1076" s="4" t="n">
        <v>390</v>
      </c>
      <c r="G1076" t="inlineStr">
        <is>
          <t>VB</t>
        </is>
      </c>
      <c r="H1076" t="inlineStr">
        <is>
          <t>64569 Hessen - Nauheim</t>
        </is>
      </c>
      <c r="I1076" s="5" t="n">
        <v>45495</v>
      </c>
      <c r="J1076" t="inlineStr"/>
      <c r="K1076" s="6">
        <f>HYPERLINK("https://www.kleinanzeigen.de/s-anzeige/tabou-pocket-wave-vintage-tabou-da-bomb-/2818720307-230-4504", "Link")</f>
        <v/>
      </c>
      <c r="L1076" s="6">
        <f>HYPERLINK("C:\Projects\Kleinanzeigen-Scraper\offer_images\2818720307", "Link")</f>
        <v/>
      </c>
      <c r="M1076" t="inlineStr">
        <is>
          <t>Eric</t>
        </is>
      </c>
      <c r="N1076" s="6">
        <f>HYPERLINK("https://www.kleinanzeigen.de/s-bestandsliste.html?userId=29362582", "Link")</f>
        <v/>
      </c>
      <c r="O1076" s="7" t="n">
        <v>45549.58048611111</v>
      </c>
      <c r="P1076" s="3" t="inlineStr">
        <is>
          <t>104.12</t>
        </is>
      </c>
      <c r="Q1076" t="inlineStr">
        <is>
          <t>Karlsruhe</t>
        </is>
      </c>
    </row>
    <row r="1077">
      <c r="A1077" t="inlineStr">
        <is>
          <t>7'8" x 30"</t>
        </is>
      </c>
      <c r="B1077" t="inlineStr">
        <is>
          <t>Starboard Hyper Nut</t>
        </is>
      </c>
      <c r="C1077" t="inlineStr"/>
      <c r="D1077" s="3" t="n">
        <v>165</v>
      </c>
      <c r="E1077" t="inlineStr"/>
      <c r="F1077" s="4" t="n">
        <v>250</v>
      </c>
      <c r="G1077" t="inlineStr"/>
      <c r="H1077" t="inlineStr">
        <is>
          <t>79117 Baden-Württemberg - Freiburg im Breisgau</t>
        </is>
      </c>
      <c r="I1077" s="5" t="n">
        <v>45542</v>
      </c>
      <c r="J1077" t="inlineStr"/>
      <c r="K1077" s="6">
        <f>HYPERLINK("https://www.kleinanzeigen.de/s-anzeige/sup-starboard-hyper-nut-7-8-x-30-/2856379865-230-9365", "Link")</f>
        <v/>
      </c>
      <c r="L1077" s="6">
        <f>HYPERLINK("C:\Projects\Kleinanzeigen-Scraper\offer_images\2856379865", "Link")</f>
        <v/>
      </c>
      <c r="M1077" t="inlineStr">
        <is>
          <t>W, Ras</t>
        </is>
      </c>
      <c r="N1077" s="6">
        <f>HYPERLINK("https://www.kleinanzeigen.de/s-bestandsliste.html?userId=43452676", "Link")</f>
        <v/>
      </c>
      <c r="O1077" s="7" t="n">
        <v>45549.58046296296</v>
      </c>
      <c r="P1077" s="3" t="inlineStr">
        <is>
          <t>36.56</t>
        </is>
      </c>
      <c r="Q1077" t="inlineStr">
        <is>
          <t>Bonndorf</t>
        </is>
      </c>
    </row>
    <row r="1078">
      <c r="A1078" t="inlineStr">
        <is>
          <t>228cm x 56cm</t>
        </is>
      </c>
      <c r="B1078" t="inlineStr">
        <is>
          <t>Fanatic FREEWAVE TE</t>
        </is>
      </c>
      <c r="C1078" t="inlineStr">
        <is>
          <t>Freeride</t>
        </is>
      </c>
      <c r="D1078" s="3" t="n">
        <v>75</v>
      </c>
      <c r="E1078" t="inlineStr">
        <is>
          <t>2023</t>
        </is>
      </c>
      <c r="F1078" s="4" t="n">
        <v>1.299</v>
      </c>
      <c r="G1078" t="inlineStr">
        <is>
          <t>VB</t>
        </is>
      </c>
      <c r="H1078" t="inlineStr">
        <is>
          <t>93055 Bayern - Regensburg</t>
        </is>
      </c>
      <c r="I1078" s="5" t="n">
        <v>45533</v>
      </c>
      <c r="J1078" t="inlineStr">
        <is>
          <t>Sold</t>
        </is>
      </c>
      <c r="K1078" s="6">
        <f>HYPERLINK("https://www.kleinanzeigen.de/s-anzeige/fanatic-freewave-te-75-liter-windsurfboard-modell-2023/2849089634-230-7655", "Link")</f>
        <v/>
      </c>
      <c r="L1078" s="6">
        <f>HYPERLINK("C:\Projects\Kleinanzeigen-Scraper\offer_images\2849089634", "Link")</f>
        <v/>
      </c>
      <c r="M1078" t="inlineStr">
        <is>
          <t>Wolfgang</t>
        </is>
      </c>
      <c r="N1078" s="6">
        <f>HYPERLINK("https://www.kleinanzeigen.de/s-bestandsliste.html?userId=37428898", "Link")</f>
        <v/>
      </c>
      <c r="O1078" s="7" t="n">
        <v>45549.58046296296</v>
      </c>
      <c r="P1078" s="3" t="inlineStr">
        <is>
          <t>105.19</t>
        </is>
      </c>
      <c r="Q1078" t="inlineStr">
        <is>
          <t>München</t>
        </is>
      </c>
    </row>
    <row r="1079">
      <c r="A1079" t="inlineStr">
        <is>
          <t>138</t>
        </is>
      </c>
      <c r="B1079" t="inlineStr">
        <is>
          <t>RRD Firestorm</t>
        </is>
      </c>
      <c r="C1079" t="inlineStr">
        <is>
          <t>Freeride</t>
        </is>
      </c>
      <c r="D1079" s="3" t="inlineStr"/>
      <c r="E1079" t="inlineStr"/>
      <c r="F1079" s="4" t="n">
        <v>600</v>
      </c>
      <c r="G1079" t="inlineStr"/>
      <c r="H1079" t="inlineStr">
        <is>
          <t>52224 Nordrhein-Westfalen - Stolberg (Rhld)</t>
        </is>
      </c>
      <c r="I1079" s="5" t="n">
        <v>45539</v>
      </c>
      <c r="J1079" t="inlineStr">
        <is>
          <t>Sold</t>
        </is>
      </c>
      <c r="K1079" s="6">
        <f>HYPERLINK("https://www.kleinanzeigen.de/s-anzeige/rrd-firestorm-138-ltd-surfbrett-kein-starboard/2854379926-230-1733", "Link")</f>
        <v/>
      </c>
      <c r="L1079" s="6">
        <f>HYPERLINK("C:\Projects\Kleinanzeigen-Scraper\offer_images\2854379926", "Link")</f>
        <v/>
      </c>
      <c r="M1079" t="inlineStr">
        <is>
          <t>Achim Kochs</t>
        </is>
      </c>
      <c r="N1079" s="6">
        <f>HYPERLINK("https://www.kleinanzeigen.de/s-bestandsliste.html?userId=7546695", "Link")</f>
        <v/>
      </c>
      <c r="O1079" s="7" t="n">
        <v>45549.58043981482</v>
      </c>
      <c r="P1079" s="3" t="inlineStr">
        <is>
          <t>52.69</t>
        </is>
      </c>
      <c r="Q1079" t="inlineStr">
        <is>
          <t>Köln</t>
        </is>
      </c>
    </row>
    <row r="1080">
      <c r="A1080" t="inlineStr">
        <is>
          <t>7.4 x 30 x 3.8</t>
        </is>
      </c>
      <c r="B1080" t="inlineStr">
        <is>
          <t>Starboard Hyper Nut</t>
        </is>
      </c>
      <c r="C1080" t="inlineStr">
        <is>
          <t>Wave</t>
        </is>
      </c>
      <c r="D1080" s="3" t="n">
        <v>106</v>
      </c>
      <c r="E1080" t="inlineStr"/>
      <c r="F1080" s="4" t="n">
        <v>500</v>
      </c>
      <c r="G1080" t="inlineStr"/>
      <c r="H1080" t="inlineStr">
        <is>
          <t>24226 Schleswig-Holstein - Heikendorf</t>
        </is>
      </c>
      <c r="I1080" s="5" t="n">
        <v>45516</v>
      </c>
      <c r="J1080" t="inlineStr">
        <is>
          <t>Sold</t>
        </is>
      </c>
      <c r="K1080" s="6">
        <f>HYPERLINK("https://www.kleinanzeigen.de/s-anzeige/sup-starboard-mit-foil/2835443100-230-672", "Link")</f>
        <v/>
      </c>
      <c r="L1080" s="6">
        <f>HYPERLINK("C:\Projects\Kleinanzeigen-Scraper\offer_images\2835443100", "Link")</f>
        <v/>
      </c>
      <c r="M1080" t="inlineStr">
        <is>
          <t>Stähr</t>
        </is>
      </c>
      <c r="N1080" s="6">
        <f>HYPERLINK("https://www.kleinanzeigen.de/s-bestandsliste.html?userId=41136382", "Link")</f>
        <v/>
      </c>
      <c r="O1080" s="7" t="n">
        <v>45549.58043981482</v>
      </c>
      <c r="P1080" s="3" t="inlineStr">
        <is>
          <t>441.08</t>
        </is>
      </c>
      <c r="Q1080" t="inlineStr">
        <is>
          <t>Köln</t>
        </is>
      </c>
    </row>
    <row r="1081">
      <c r="A1081" t="inlineStr">
        <is>
          <t>230x55</t>
        </is>
      </c>
      <c r="B1081" t="inlineStr">
        <is>
          <t>Starboard EVO XTV</t>
        </is>
      </c>
      <c r="C1081" t="inlineStr">
        <is>
          <t>Wave</t>
        </is>
      </c>
      <c r="D1081" s="3" t="n">
        <v>70</v>
      </c>
      <c r="E1081" t="inlineStr"/>
      <c r="F1081" s="4" t="n">
        <v>50</v>
      </c>
      <c r="G1081" t="inlineStr">
        <is>
          <t>VB</t>
        </is>
      </c>
      <c r="H1081" t="inlineStr">
        <is>
          <t>91792 Bayern - Ellingen</t>
        </is>
      </c>
      <c r="I1081" s="5" t="n">
        <v>45532</v>
      </c>
      <c r="J1081" t="inlineStr"/>
      <c r="K1081" s="6">
        <f>HYPERLINK("https://www.kleinanzeigen.de/s-anzeige/starboard-evo-xtv-70l-230x55cm-waveboard/2848699694-230-5868", "Link")</f>
        <v/>
      </c>
      <c r="L1081" s="6">
        <f>HYPERLINK("C:\Projects\Kleinanzeigen-Scraper\offer_images\2848699694", "Link")</f>
        <v/>
      </c>
      <c r="M1081" t="inlineStr">
        <is>
          <t>Bernd Müller</t>
        </is>
      </c>
      <c r="N1081" s="6">
        <f>HYPERLINK("https://www.kleinanzeigen.de/s-bestandsliste.html?userId=49791118", "Link")</f>
        <v/>
      </c>
      <c r="O1081" s="7" t="n">
        <v>45549.58042824074</v>
      </c>
      <c r="P1081" s="3" t="inlineStr">
        <is>
          <t>111.92</t>
        </is>
      </c>
      <c r="Q1081" t="inlineStr">
        <is>
          <t>München</t>
        </is>
      </c>
    </row>
    <row r="1082">
      <c r="A1082" t="inlineStr">
        <is>
          <t>145x43.5 cm</t>
        </is>
      </c>
      <c r="B1082" t="inlineStr">
        <is>
          <t>Naish RPT</t>
        </is>
      </c>
      <c r="C1082" t="inlineStr">
        <is>
          <t>Kiteboard</t>
        </is>
      </c>
      <c r="D1082" s="3" t="inlineStr"/>
      <c r="E1082" t="inlineStr">
        <is>
          <t>2024</t>
        </is>
      </c>
      <c r="F1082" s="4" t="n">
        <v>449</v>
      </c>
      <c r="G1082" t="inlineStr">
        <is>
          <t>VB</t>
        </is>
      </c>
      <c r="H1082" t="inlineStr">
        <is>
          <t>22457 Eimsbüttel - Hamburg Schnelsen</t>
        </is>
      </c>
      <c r="I1082" s="5" t="n">
        <v>45536</v>
      </c>
      <c r="J1082" t="inlineStr">
        <is>
          <t>Sold</t>
        </is>
      </c>
      <c r="K1082" s="6">
        <f>HYPERLINK("https://www.kleinanzeigen.de/s-anzeige/naish-rpt-kiteboard-2024-kitesurfen/2725589431-230-9492", "Link")</f>
        <v/>
      </c>
      <c r="L1082" s="6">
        <f>HYPERLINK("C:\Projects\Kleinanzeigen-Scraper\offer_images\2725589431", "Link")</f>
        <v/>
      </c>
      <c r="M1082" t="inlineStr">
        <is>
          <t>No user name</t>
        </is>
      </c>
      <c r="N1082" s="6">
        <f>HYPERLINK("https://www.kleinanzeigen.deNo user link", "Link")</f>
        <v/>
      </c>
      <c r="O1082" s="7" t="n">
        <v>45549.58042824074</v>
      </c>
      <c r="P1082" s="3" t="inlineStr">
        <is>
          <t>362.41</t>
        </is>
      </c>
      <c r="Q1082" t="inlineStr">
        <is>
          <t>Köln</t>
        </is>
      </c>
    </row>
    <row r="1083">
      <c r="A1083" t="inlineStr">
        <is>
          <t>138x41.5</t>
        </is>
      </c>
      <c r="B1083" t="inlineStr">
        <is>
          <t>Naish Motion</t>
        </is>
      </c>
      <c r="C1083" t="inlineStr"/>
      <c r="D1083" s="3" t="inlineStr"/>
      <c r="E1083" t="inlineStr"/>
      <c r="F1083" s="4" t="n">
        <v>340</v>
      </c>
      <c r="G1083" t="inlineStr">
        <is>
          <t>VB</t>
        </is>
      </c>
      <c r="H1083" t="inlineStr">
        <is>
          <t>59755 Nordrhein-Westfalen - Arnsberg</t>
        </is>
      </c>
      <c r="I1083" s="5" t="n">
        <v>45529</v>
      </c>
      <c r="J1083" t="inlineStr"/>
      <c r="K1083" s="6">
        <f>HYPERLINK("https://www.kleinanzeigen.de/s-anzeige/naish-motion/2845472260-230-1815", "Link")</f>
        <v/>
      </c>
      <c r="L1083" s="6">
        <f>HYPERLINK("C:\Projects\Kleinanzeigen-Scraper\offer_images\2845472260", "Link")</f>
        <v/>
      </c>
      <c r="M1083" t="inlineStr">
        <is>
          <t>Andreas</t>
        </is>
      </c>
      <c r="N1083" s="6">
        <f>HYPERLINK("https://www.kleinanzeigen.de/s-bestandsliste.html?userId=135355095", "Link")</f>
        <v/>
      </c>
      <c r="O1083" s="7" t="n">
        <v>45549.58042824074</v>
      </c>
      <c r="P1083" s="3" t="inlineStr">
        <is>
          <t>91.07</t>
        </is>
      </c>
      <c r="Q1083" t="inlineStr">
        <is>
          <t>Köln</t>
        </is>
      </c>
    </row>
    <row r="1084">
      <c r="A1084" t="inlineStr"/>
      <c r="B1084" t="inlineStr">
        <is>
          <t>Starboard Go</t>
        </is>
      </c>
      <c r="C1084" t="inlineStr">
        <is>
          <t>Freeride</t>
        </is>
      </c>
      <c r="D1084" s="3" t="n">
        <v>155</v>
      </c>
      <c r="E1084" t="inlineStr">
        <is>
          <t>2023</t>
        </is>
      </c>
      <c r="F1084" s="4" t="n">
        <v>900</v>
      </c>
      <c r="G1084" t="inlineStr"/>
      <c r="H1084" t="inlineStr">
        <is>
          <t>47533 Nordrhein-Westfalen - Kleve</t>
        </is>
      </c>
      <c r="I1084" s="5" t="n">
        <v>45523</v>
      </c>
      <c r="J1084" t="inlineStr"/>
      <c r="K1084" s="6">
        <f>HYPERLINK("https://www.kleinanzeigen.de/s-anzeige/starboard-go-155-liter-gekauft-2023/2840806704-230-1125", "Link")</f>
        <v/>
      </c>
      <c r="L1084" s="6">
        <f>HYPERLINK("C:\Projects\Kleinanzeigen-Scraper\offer_images\2840806704", "Link")</f>
        <v/>
      </c>
      <c r="M1084" t="inlineStr">
        <is>
          <t>Bettina</t>
        </is>
      </c>
      <c r="N1084" s="6">
        <f>HYPERLINK("https://www.kleinanzeigen.de/s-bestandsliste.html?userId=6524815", "Link")</f>
        <v/>
      </c>
      <c r="O1084" s="7" t="n">
        <v>45549.58040509259</v>
      </c>
      <c r="P1084" s="3" t="inlineStr">
        <is>
          <t>112.50</t>
        </is>
      </c>
      <c r="Q1084" t="inlineStr">
        <is>
          <t>Köln</t>
        </is>
      </c>
    </row>
    <row r="1085">
      <c r="A1085" t="inlineStr">
        <is>
          <t>231 cm x 83.8 cm x 12 cm</t>
        </is>
      </c>
      <c r="B1085" t="inlineStr">
        <is>
          <t>Goya Proton Pro</t>
        </is>
      </c>
      <c r="C1085" t="inlineStr">
        <is>
          <t>race</t>
        </is>
      </c>
      <c r="D1085" s="3" t="n">
        <v>137</v>
      </c>
      <c r="E1085" t="inlineStr">
        <is>
          <t>2022</t>
        </is>
      </c>
      <c r="F1085" s="4" t="n">
        <v>1.25</v>
      </c>
      <c r="G1085" t="inlineStr"/>
      <c r="H1085" t="inlineStr">
        <is>
          <t>24937 Schleswig-Holstein - Flensburg</t>
        </is>
      </c>
      <c r="I1085" s="5" t="n">
        <v>45524</v>
      </c>
      <c r="J1085" t="inlineStr"/>
      <c r="K1085" s="6">
        <f>HYPERLINK("https://www.kleinanzeigen.de/s-anzeige/goya-proton-pro-137l-race-board-windsurfen/2842116506-230-718", "Link")</f>
        <v/>
      </c>
      <c r="L1085" s="6">
        <f>HYPERLINK("C:\Projects\Kleinanzeigen-Scraper\offer_images\2842116506", "Link")</f>
        <v/>
      </c>
      <c r="M1085" t="inlineStr">
        <is>
          <t>Nanini</t>
        </is>
      </c>
      <c r="N1085" s="6">
        <f>HYPERLINK("https://www.kleinanzeigen.de/s-bestandsliste.html?userId=998119", "Link")</f>
        <v/>
      </c>
      <c r="O1085" s="7" t="n">
        <v>45549.58039351852</v>
      </c>
      <c r="P1085" s="3" t="inlineStr">
        <is>
          <t>458.80</t>
        </is>
      </c>
      <c r="Q1085" t="inlineStr">
        <is>
          <t>Köln</t>
        </is>
      </c>
    </row>
    <row r="1086">
      <c r="A1086" t="inlineStr">
        <is>
          <t>223cm x 56cm</t>
        </is>
      </c>
      <c r="B1086" t="inlineStr">
        <is>
          <t>Goya Custom Pro</t>
        </is>
      </c>
      <c r="C1086" t="inlineStr">
        <is>
          <t>Wave</t>
        </is>
      </c>
      <c r="D1086" s="3" t="n">
        <v>84</v>
      </c>
      <c r="E1086" t="inlineStr">
        <is>
          <t>2019</t>
        </is>
      </c>
      <c r="F1086" s="4" t="n">
        <v>1.5</v>
      </c>
      <c r="G1086" t="inlineStr">
        <is>
          <t>VB</t>
        </is>
      </c>
      <c r="H1086" t="inlineStr">
        <is>
          <t>23769 Fehmarn - Westfehmarn</t>
        </is>
      </c>
      <c r="I1086" s="5" t="n">
        <v>45182</v>
      </c>
      <c r="J1086" t="inlineStr"/>
      <c r="K1086" s="6">
        <f>HYPERLINK("https://www.kleinanzeigen.de/s-anzeige/goya-custom-pro-surfwave-quad-84l-2019-windsurf-brett/2544672219-230-430", "Link")</f>
        <v/>
      </c>
      <c r="L1086" s="6">
        <f>HYPERLINK("C:\Projects\Kleinanzeigen-Scraper\offer_images\2544672219", "Link")</f>
        <v/>
      </c>
      <c r="M1086" t="inlineStr">
        <is>
          <t>Steven</t>
        </is>
      </c>
      <c r="N1086" s="6">
        <f>HYPERLINK("https://www.kleinanzeigen.de/s-bestandsliste.html?userId=14267040", "Link")</f>
        <v/>
      </c>
      <c r="O1086" s="7" t="n">
        <v>45549.58038194444</v>
      </c>
      <c r="P1086" s="3" t="inlineStr">
        <is>
          <t>483.01</t>
        </is>
      </c>
      <c r="Q1086" t="inlineStr">
        <is>
          <t>Köln</t>
        </is>
      </c>
    </row>
    <row r="1087">
      <c r="A1087" t="inlineStr">
        <is>
          <t>134cm/138cm, 138cm/142cm</t>
        </is>
      </c>
      <c r="B1087" t="inlineStr">
        <is>
          <t>Naish S26</t>
        </is>
      </c>
      <c r="C1087" t="inlineStr">
        <is>
          <t>Freeride</t>
        </is>
      </c>
      <c r="D1087" s="3" t="inlineStr"/>
      <c r="E1087" t="inlineStr">
        <is>
          <t>2022</t>
        </is>
      </c>
      <c r="F1087" s="4" t="n">
        <v>466</v>
      </c>
      <c r="G1087" t="inlineStr">
        <is>
          <t>VB</t>
        </is>
      </c>
      <c r="H1087" t="inlineStr">
        <is>
          <t>18586 Mecklenburg-Vorpommern - Mönchgut, Ostseebad</t>
        </is>
      </c>
      <c r="I1087" s="5" t="n">
        <v>45549</v>
      </c>
      <c r="J1087" t="inlineStr">
        <is>
          <t>Sold</t>
        </is>
      </c>
      <c r="K1087" s="6">
        <f>HYPERLINK("https://www.kleinanzeigen.de/s-anzeige/naish-s26-kiteboard-tt-switch-2022-15-neu-mit-pads-20-neu/1275721323-230-120", "Link")</f>
        <v/>
      </c>
      <c r="L1087" s="6">
        <f>HYPERLINK("C:\Projects\Kleinanzeigen-Scraper\offer_images\1275721323", "Link")</f>
        <v/>
      </c>
      <c r="M1087" t="inlineStr">
        <is>
          <t>No user name</t>
        </is>
      </c>
      <c r="N1087" s="6">
        <f>HYPERLINK("https://www.kleinanzeigen.deNo user link", "Link")</f>
        <v/>
      </c>
      <c r="O1087" s="7" t="n">
        <v>45549.58037037037</v>
      </c>
      <c r="P1087" s="3" t="inlineStr">
        <is>
          <t>591.22</t>
        </is>
      </c>
      <c r="Q1087" t="inlineStr">
        <is>
          <t>Köln</t>
        </is>
      </c>
    </row>
    <row r="1088">
      <c r="A1088" t="inlineStr">
        <is>
          <t>195x72</t>
        </is>
      </c>
      <c r="B1088" t="inlineStr">
        <is>
          <t>Severne Predator</t>
        </is>
      </c>
      <c r="C1088" t="inlineStr">
        <is>
          <t>Foil</t>
        </is>
      </c>
      <c r="D1088" s="3" t="n">
        <v>125</v>
      </c>
      <c r="E1088" t="inlineStr"/>
      <c r="F1088" s="4" t="n">
        <v>2.445</v>
      </c>
      <c r="G1088" t="inlineStr">
        <is>
          <t>VB</t>
        </is>
      </c>
      <c r="H1088" t="inlineStr">
        <is>
          <t>47495 Nordrhein-Westfalen - Rheinberg</t>
        </is>
      </c>
      <c r="I1088" s="5" t="n">
        <v>45412</v>
      </c>
      <c r="J1088" t="inlineStr"/>
      <c r="K1088" s="6">
        <f>HYPERLINK("https://www.kleinanzeigen.de/s-anzeige/severne-predator-neu-ovp-sofort-lieferbar-125-oder-145/2749299043-230-1399", "Link")</f>
        <v/>
      </c>
      <c r="L1088" s="6">
        <f>HYPERLINK("C:\Projects\Kleinanzeigen-Scraper\offer_images\2749299043", "Link")</f>
        <v/>
      </c>
      <c r="M1088" t="inlineStr">
        <is>
          <t>Windcraft-Sports</t>
        </is>
      </c>
      <c r="N1088" s="6">
        <f>HYPERLINK("https://www.kleinanzeigen.de/s-bestandsliste.html?userId=74756618", "Link")</f>
        <v/>
      </c>
      <c r="O1088" s="7" t="n">
        <v>45549.58035879629</v>
      </c>
      <c r="P1088" s="3" t="inlineStr">
        <is>
          <t>72.31</t>
        </is>
      </c>
      <c r="Q1088" t="inlineStr">
        <is>
          <t>Köln</t>
        </is>
      </c>
    </row>
    <row r="1089">
      <c r="A1089" t="inlineStr">
        <is>
          <t>8'1" / 246.4 cm x 29" / 73.7 cm</t>
        </is>
      </c>
      <c r="B1089" t="inlineStr">
        <is>
          <t>Naish MAD Dog Barebones</t>
        </is>
      </c>
      <c r="C1089" t="inlineStr">
        <is>
          <t>Wave</t>
        </is>
      </c>
      <c r="D1089" s="3" t="n">
        <v>111</v>
      </c>
      <c r="E1089" t="inlineStr">
        <is>
          <t>2017</t>
        </is>
      </c>
      <c r="F1089" s="4" t="n">
        <v>475</v>
      </c>
      <c r="G1089" t="inlineStr"/>
      <c r="H1089" t="inlineStr">
        <is>
          <t>68723 Baden-Württemberg - Oftersheim</t>
        </is>
      </c>
      <c r="I1089" s="5" t="n">
        <v>45509</v>
      </c>
      <c r="J1089" t="inlineStr"/>
      <c r="K1089" s="6">
        <f>HYPERLINK("https://www.kleinanzeigen.de/s-anzeige/naish-sup-wave-board-mad-dog-barebones-8-1/2829431610-230-16913", "Link")</f>
        <v/>
      </c>
      <c r="L1089" s="6">
        <f>HYPERLINK("C:\Projects\Kleinanzeigen-Scraper\offer_images\2829431610", "Link")</f>
        <v/>
      </c>
      <c r="M1089" t="inlineStr">
        <is>
          <t>BAS</t>
        </is>
      </c>
      <c r="N1089" s="6">
        <f>HYPERLINK("https://www.kleinanzeigen.de/s-bestandsliste.html?userId=44882962", "Link")</f>
        <v/>
      </c>
      <c r="O1089" s="7" t="n">
        <v>45549.58035879629</v>
      </c>
      <c r="P1089" s="3" t="inlineStr">
        <is>
          <t>44.08</t>
        </is>
      </c>
      <c r="Q1089" t="inlineStr">
        <is>
          <t>Karlsruhe</t>
        </is>
      </c>
    </row>
    <row r="1090">
      <c r="A1090" t="inlineStr"/>
      <c r="B1090" t="inlineStr">
        <is>
          <t>NAISH Hover Carbon Ultra</t>
        </is>
      </c>
      <c r="C1090" t="inlineStr">
        <is>
          <t>Wingsurf</t>
        </is>
      </c>
      <c r="D1090" s="3" t="n">
        <v>60</v>
      </c>
      <c r="E1090" t="inlineStr"/>
      <c r="F1090" s="4" t="n">
        <v>439</v>
      </c>
      <c r="G1090" t="inlineStr"/>
      <c r="H1090" t="inlineStr">
        <is>
          <t>82467 Bayern - Garmisch-Partenkirchen</t>
        </is>
      </c>
      <c r="I1090" s="5" t="n">
        <v>45538</v>
      </c>
      <c r="J1090" t="inlineStr">
        <is>
          <t>Sold</t>
        </is>
      </c>
      <c r="K1090" s="6">
        <f>HYPERLINK("https://www.kleinanzeigen.de/s-anzeige/naish-wing-surf-board-hover-carbon-ultra-in-60l-wie-neu/2853020462-230-6338", "Link")</f>
        <v/>
      </c>
      <c r="L1090" s="6">
        <f>HYPERLINK("C:\Projects\Kleinanzeigen-Scraper\offer_images\2853020462", "Link")</f>
        <v/>
      </c>
      <c r="M1090" t="inlineStr">
        <is>
          <t>Jürgen Mussmann</t>
        </is>
      </c>
      <c r="N1090" s="6">
        <f>HYPERLINK("https://www.kleinanzeigen.de/s-bestandsliste.html?userId=12796836", "Link")</f>
        <v/>
      </c>
      <c r="O1090" s="7" t="n">
        <v>45549.58035879629</v>
      </c>
      <c r="P1090" s="3" t="inlineStr">
        <is>
          <t>80.76</t>
        </is>
      </c>
      <c r="Q1090" t="inlineStr">
        <is>
          <t>München</t>
        </is>
      </c>
    </row>
    <row r="1091">
      <c r="A1091" t="inlineStr">
        <is>
          <t>242 cm x 66 cm</t>
        </is>
      </c>
      <c r="B1091" t="inlineStr">
        <is>
          <t>Tabou 3S LTD</t>
        </is>
      </c>
      <c r="C1091" t="inlineStr">
        <is>
          <t>Freeride</t>
        </is>
      </c>
      <c r="D1091" s="3" t="n">
        <v>116</v>
      </c>
      <c r="E1091" t="inlineStr"/>
      <c r="F1091" s="4" t="n">
        <v>600</v>
      </c>
      <c r="G1091" t="inlineStr">
        <is>
          <t>VB</t>
        </is>
      </c>
      <c r="H1091" t="inlineStr">
        <is>
          <t>67071 Rheinland-Pfalz - Ludwigshafen</t>
        </is>
      </c>
      <c r="I1091" s="5" t="n">
        <v>45544</v>
      </c>
      <c r="J1091" t="inlineStr">
        <is>
          <t>Sold</t>
        </is>
      </c>
      <c r="K1091" s="6">
        <f>HYPERLINK("https://www.kleinanzeigen.de/s-anzeige/surfboard-freeride-tabou-3s-ltd-116/2858854706-230-5191", "Link")</f>
        <v/>
      </c>
      <c r="L1091" s="6">
        <f>HYPERLINK("C:\Projects\Kleinanzeigen-Scraper\offer_images\2858854706", "Link")</f>
        <v/>
      </c>
      <c r="M1091" t="inlineStr">
        <is>
          <t>Peter</t>
        </is>
      </c>
      <c r="N1091" s="6">
        <f>HYPERLINK("https://www.kleinanzeigen.de/s-bestandsliste.html?userId=35224675", "Link")</f>
        <v/>
      </c>
      <c r="O1091" s="7" t="n">
        <v>45549.58034722223</v>
      </c>
      <c r="P1091" s="3" t="inlineStr">
        <is>
          <t>52.34</t>
        </is>
      </c>
      <c r="Q1091" t="inlineStr">
        <is>
          <t>Karlsruhe</t>
        </is>
      </c>
    </row>
    <row r="1092">
      <c r="A1092" t="inlineStr"/>
      <c r="B1092" t="inlineStr">
        <is>
          <t>RRD Freestyle Wave 84 LTD</t>
        </is>
      </c>
      <c r="C1092" t="inlineStr">
        <is>
          <t>Freestyle Wave</t>
        </is>
      </c>
      <c r="D1092" s="3" t="n">
        <v>84</v>
      </c>
      <c r="E1092" t="inlineStr"/>
      <c r="F1092" s="4" t="n">
        <v>330</v>
      </c>
      <c r="G1092" t="inlineStr">
        <is>
          <t>VB</t>
        </is>
      </c>
      <c r="H1092" t="inlineStr">
        <is>
          <t>48329 Nordrhein-Westfalen - Havixbeck</t>
        </is>
      </c>
      <c r="I1092" s="5" t="n">
        <v>45542</v>
      </c>
      <c r="J1092" t="inlineStr"/>
      <c r="K1092" s="6">
        <f>HYPERLINK("https://www.kleinanzeigen.de/s-anzeige/rrd-freestyle-wave-84-ltd-freewave/2856427625-230-1320", "Link")</f>
        <v/>
      </c>
      <c r="L1092" s="6">
        <f>HYPERLINK("C:\Projects\Kleinanzeigen-Scraper\offer_images\2856427625", "Link")</f>
        <v/>
      </c>
      <c r="M1092" t="inlineStr">
        <is>
          <t>Tobias</t>
        </is>
      </c>
      <c r="N1092" s="6">
        <f>HYPERLINK("https://www.kleinanzeigen.de/s-bestandsliste.html?userId=22799132", "Link")</f>
        <v/>
      </c>
      <c r="O1092" s="7" t="n">
        <v>45549.58033564815</v>
      </c>
      <c r="P1092" s="3" t="inlineStr">
        <is>
          <t>119.19</t>
        </is>
      </c>
      <c r="Q1092" t="inlineStr">
        <is>
          <t>Köln</t>
        </is>
      </c>
    </row>
    <row r="1093">
      <c r="A1093" t="inlineStr">
        <is>
          <t>14x23</t>
        </is>
      </c>
      <c r="B1093" t="inlineStr">
        <is>
          <t>Starboard Allstar</t>
        </is>
      </c>
      <c r="C1093" t="inlineStr">
        <is>
          <t>Raceboard</t>
        </is>
      </c>
      <c r="D1093" s="3" t="inlineStr"/>
      <c r="E1093" t="inlineStr"/>
      <c r="F1093" s="4" t="n">
        <v>1.5</v>
      </c>
      <c r="G1093" t="inlineStr"/>
      <c r="H1093" t="inlineStr">
        <is>
          <t>98544 Thüringen - Zella-Mehlis</t>
        </is>
      </c>
      <c r="I1093" s="5" t="n">
        <v>45542</v>
      </c>
      <c r="J1093" t="inlineStr">
        <is>
          <t>Sold</t>
        </is>
      </c>
      <c r="K1093" s="6">
        <f>HYPERLINK("https://www.kleinanzeigen.de/s-anzeige/stand-up-paddle-board-sup-hardboard-raceboard-starboard-allstar/2856769178-230-3731", "Link")</f>
        <v/>
      </c>
      <c r="L1093" s="6">
        <f>HYPERLINK("C:\Projects\Kleinanzeigen-Scraper\offer_images\2856769178", "Link")</f>
        <v/>
      </c>
      <c r="M1093" t="inlineStr">
        <is>
          <t>KL</t>
        </is>
      </c>
      <c r="N1093" s="6">
        <f>HYPERLINK("https://www.kleinanzeigen.de/s-bestandsliste.html?userId=134760434", "Link")</f>
        <v/>
      </c>
      <c r="O1093" s="7" t="n">
        <v>45549.58028935185</v>
      </c>
      <c r="P1093" s="3" t="inlineStr">
        <is>
          <t>245.62</t>
        </is>
      </c>
      <c r="Q1093" t="inlineStr">
        <is>
          <t>Karlsruhe</t>
        </is>
      </c>
    </row>
    <row r="1094">
      <c r="A1094" t="inlineStr">
        <is>
          <t>7'10"</t>
        </is>
      </c>
      <c r="B1094" t="inlineStr">
        <is>
          <t>Tabou Mini Malibu</t>
        </is>
      </c>
      <c r="C1094" t="inlineStr"/>
      <c r="D1094" s="3" t="inlineStr"/>
      <c r="E1094" t="inlineStr"/>
      <c r="F1094" s="4" t="n">
        <v>150</v>
      </c>
      <c r="G1094" t="inlineStr">
        <is>
          <t>VB</t>
        </is>
      </c>
      <c r="H1094" t="inlineStr">
        <is>
          <t>53175 Bonn - Plittersdorf</t>
        </is>
      </c>
      <c r="I1094" s="5" t="n">
        <v>45529</v>
      </c>
      <c r="J1094" t="inlineStr">
        <is>
          <t>Sold</t>
        </is>
      </c>
      <c r="K1094" s="6">
        <f>HYPERLINK("https://www.kleinanzeigen.de/s-anzeige/tabou-mini-malibu-surfboard-7-10-fcs/2846059198-230-23746", "Link")</f>
        <v/>
      </c>
      <c r="L1094" s="6">
        <f>HYPERLINK("C:\Projects\Kleinanzeigen-Scraper\offer_images\2846059198", "Link")</f>
        <v/>
      </c>
      <c r="M1094" t="inlineStr">
        <is>
          <t>Simon</t>
        </is>
      </c>
      <c r="N1094" s="6">
        <f>HYPERLINK("https://www.kleinanzeigen.de/s-bestandsliste.html?userId=18976288", "Link")</f>
        <v/>
      </c>
      <c r="O1094" s="7" t="n">
        <v>45549.58028935185</v>
      </c>
      <c r="P1094" s="3" t="inlineStr">
        <is>
          <t>30.05</t>
        </is>
      </c>
      <c r="Q1094" t="inlineStr">
        <is>
          <t>Köln</t>
        </is>
      </c>
    </row>
    <row r="1095">
      <c r="A1095" t="inlineStr">
        <is>
          <t>241 cm x 54.5 cm</t>
        </is>
      </c>
      <c r="B1095" t="inlineStr">
        <is>
          <t>Tabou</t>
        </is>
      </c>
      <c r="C1095" t="inlineStr">
        <is>
          <t>Wave</t>
        </is>
      </c>
      <c r="D1095" s="3" t="n">
        <v>85</v>
      </c>
      <c r="E1095" t="inlineStr"/>
      <c r="F1095" s="4" t="n">
        <v>170</v>
      </c>
      <c r="G1095" t="inlineStr"/>
      <c r="H1095" t="inlineStr">
        <is>
          <t>28865 Niedersachsen - Lilienthal</t>
        </is>
      </c>
      <c r="I1095" s="5" t="n">
        <v>45543</v>
      </c>
      <c r="J1095" t="inlineStr">
        <is>
          <t>Sold</t>
        </is>
      </c>
      <c r="K1095" s="6">
        <f>HYPERLINK("https://www.kleinanzeigen.de/s-anzeige/tabou-85-liter-waveboard-plus-2-finnen/2857080801-230-2650", "Link")</f>
        <v/>
      </c>
      <c r="L1095" s="6">
        <f>HYPERLINK("C:\Projects\Kleinanzeigen-Scraper\offer_images\2857080801", "Link")</f>
        <v/>
      </c>
      <c r="M1095" t="inlineStr">
        <is>
          <t>Lisa</t>
        </is>
      </c>
      <c r="N1095" s="6">
        <f>HYPERLINK("https://www.kleinanzeigen.de/s-bestandsliste.html?userId=14318152", "Link")</f>
        <v/>
      </c>
      <c r="O1095" s="7" t="n">
        <v>45549.58028935185</v>
      </c>
      <c r="P1095" s="3" t="inlineStr">
        <is>
          <t>280.02</t>
        </is>
      </c>
      <c r="Q1095" t="inlineStr">
        <is>
          <t>Köln</t>
        </is>
      </c>
    </row>
    <row r="1096">
      <c r="A1096" t="inlineStr">
        <is>
          <t>134</t>
        </is>
      </c>
      <c r="B1096" t="inlineStr">
        <is>
          <t>Starboard Futura</t>
        </is>
      </c>
      <c r="C1096" t="inlineStr">
        <is>
          <t>Freeride</t>
        </is>
      </c>
      <c r="D1096" s="3" t="n">
        <v>134</v>
      </c>
      <c r="E1096" t="inlineStr"/>
      <c r="F1096" s="4" t="n">
        <v>350</v>
      </c>
      <c r="G1096" t="inlineStr"/>
      <c r="H1096" t="inlineStr">
        <is>
          <t>17207 Mecklenburg-Vorpommern - Gotthun</t>
        </is>
      </c>
      <c r="I1096" s="5" t="n">
        <v>45548</v>
      </c>
      <c r="J1096" t="inlineStr">
        <is>
          <t>Sold</t>
        </is>
      </c>
      <c r="K1096" s="6">
        <f>HYPERLINK("https://www.kleinanzeigen.de/s-anzeige/starboard-futura-137-carbon/2862176649-230-25620", "Link")</f>
        <v/>
      </c>
      <c r="L1096" s="6">
        <f>HYPERLINK("C:\Projects\Kleinanzeigen-Scraper\offer_images\2862176649", "Link")</f>
        <v/>
      </c>
      <c r="M1096" t="inlineStr">
        <is>
          <t>Rüdiger</t>
        </is>
      </c>
      <c r="N1096" s="6">
        <f>HYPERLINK("https://www.kleinanzeigen.de/s-bestandsliste.html?userId=20864694", "Link")</f>
        <v/>
      </c>
      <c r="O1096" s="7" t="n">
        <v>45549.5802662037</v>
      </c>
      <c r="P1096" s="3" t="inlineStr">
        <is>
          <t>470.71</t>
        </is>
      </c>
      <c r="Q1096" t="inlineStr">
        <is>
          <t>Köln</t>
        </is>
      </c>
    </row>
    <row r="1097">
      <c r="A1097" t="inlineStr">
        <is>
          <t>282 x 57</t>
        </is>
      </c>
      <c r="B1097" t="inlineStr">
        <is>
          <t>Fanatic Mega Ray</t>
        </is>
      </c>
      <c r="C1097" t="inlineStr">
        <is>
          <t>Freeride</t>
        </is>
      </c>
      <c r="D1097" s="3" t="n">
        <v>111</v>
      </c>
      <c r="E1097" t="inlineStr"/>
      <c r="F1097" s="4" t="n">
        <v>95</v>
      </c>
      <c r="G1097" t="inlineStr">
        <is>
          <t>VB</t>
        </is>
      </c>
      <c r="H1097" t="inlineStr">
        <is>
          <t>48147 Münster (Westfalen) - Centrum</t>
        </is>
      </c>
      <c r="I1097" s="5" t="n">
        <v>45522</v>
      </c>
      <c r="J1097" t="inlineStr">
        <is>
          <t>Sold</t>
        </is>
      </c>
      <c r="K1097" s="6">
        <f>HYPERLINK("https://www.kleinanzeigen.de/s-anzeige/fanatic-mega-ray-282-111l-41er-finne/2840473588-230-931", "Link")</f>
        <v/>
      </c>
      <c r="L1097" s="6">
        <f>HYPERLINK("C:\Projects\Kleinanzeigen-Scraper\offer_images\2840473588", "Link")</f>
        <v/>
      </c>
      <c r="M1097" t="inlineStr">
        <is>
          <t>Jens</t>
        </is>
      </c>
      <c r="N1097" s="6">
        <f>HYPERLINK("https://www.kleinanzeigen.de/s-bestandsliste.html?userId=6657246", "Link")</f>
        <v/>
      </c>
      <c r="O1097" s="7" t="n">
        <v>45549.5802662037</v>
      </c>
      <c r="P1097" s="3" t="inlineStr">
        <is>
          <t>124.93</t>
        </is>
      </c>
      <c r="Q1097" t="inlineStr">
        <is>
          <t>Köln</t>
        </is>
      </c>
    </row>
    <row r="1098">
      <c r="A1098" t="inlineStr">
        <is>
          <t>258 x 76 cm</t>
        </is>
      </c>
      <c r="B1098" t="inlineStr">
        <is>
          <t>Tabou Bullitt</t>
        </is>
      </c>
      <c r="C1098" t="inlineStr">
        <is>
          <t>Freeride</t>
        </is>
      </c>
      <c r="D1098" s="3" t="n">
        <v>145</v>
      </c>
      <c r="E1098" t="inlineStr">
        <is>
          <t>2022</t>
        </is>
      </c>
      <c r="F1098" s="4" t="n">
        <v>1.049</v>
      </c>
      <c r="G1098" t="inlineStr"/>
      <c r="H1098" t="inlineStr">
        <is>
          <t>82319 Bayern - Starnberg</t>
        </is>
      </c>
      <c r="I1098" s="5" t="n">
        <v>45552</v>
      </c>
      <c r="J1098" t="inlineStr"/>
      <c r="K1098" s="6">
        <f>HYPERLINK("https://www.kleinanzeigen.de/s-anzeige/tabou-bullitt-145-liter-neu-windsurfboard-2022-neu/2425802447-230-5525", "Link")</f>
        <v/>
      </c>
      <c r="L1098" s="6">
        <f>HYPERLINK("C:\Projects\Kleinanzeigen-Scraper\offer_images\2425802447", "Link")</f>
        <v/>
      </c>
      <c r="M1098" t="inlineStr">
        <is>
          <t>No user name</t>
        </is>
      </c>
      <c r="N1098" s="6">
        <f>HYPERLINK("https://www.kleinanzeigen.deNo user link", "Link")</f>
        <v/>
      </c>
      <c r="O1098" s="7" t="n">
        <v>45549.58024305556</v>
      </c>
      <c r="P1098" s="3" t="inlineStr">
        <is>
          <t>23.17</t>
        </is>
      </c>
      <c r="Q1098" t="inlineStr">
        <is>
          <t>München</t>
        </is>
      </c>
    </row>
    <row r="1099">
      <c r="A1099" t="inlineStr">
        <is>
          <t>145</t>
        </is>
      </c>
      <c r="B1099" t="inlineStr">
        <is>
          <t>JP Australia - X-Cite Ride</t>
        </is>
      </c>
      <c r="C1099" t="inlineStr">
        <is>
          <t>Freeride</t>
        </is>
      </c>
      <c r="D1099" s="3" t="inlineStr"/>
      <c r="E1099" t="inlineStr"/>
      <c r="F1099" s="4" t="n">
        <v>650</v>
      </c>
      <c r="G1099" t="inlineStr"/>
      <c r="H1099" t="inlineStr">
        <is>
          <t>14979 Brandenburg - Großbeeren</t>
        </is>
      </c>
      <c r="I1099" s="5" t="n">
        <v>45496</v>
      </c>
      <c r="J1099" t="inlineStr">
        <is>
          <t>Sold</t>
        </is>
      </c>
      <c r="K1099" s="6">
        <f>HYPERLINK("https://www.kleinanzeigen.de/s-anzeige/jp-australia-x-cite-ride-145/2819383313-230-7940", "Link")</f>
        <v/>
      </c>
      <c r="L1099" s="6">
        <f>HYPERLINK("C:\Projects\Kleinanzeigen-Scraper\offer_images\2819383313", "Link")</f>
        <v/>
      </c>
      <c r="M1099" t="inlineStr">
        <is>
          <t>Flow</t>
        </is>
      </c>
      <c r="N1099" s="6">
        <f>HYPERLINK("https://www.kleinanzeigen.de/s-bestandsliste.html?userId=5140260", "Link")</f>
        <v/>
      </c>
      <c r="O1099" s="7" t="n">
        <v>45549.58024305556</v>
      </c>
      <c r="P1099" s="3" t="inlineStr">
        <is>
          <t>466.66</t>
        </is>
      </c>
      <c r="Q1099" t="inlineStr">
        <is>
          <t>Köln</t>
        </is>
      </c>
    </row>
    <row r="1100">
      <c r="A1100" t="inlineStr">
        <is>
          <t>134 cm x 41 cm</t>
        </is>
      </c>
      <c r="B1100" t="inlineStr">
        <is>
          <t>Naish Ride Limited Edition</t>
        </is>
      </c>
      <c r="C1100" t="inlineStr">
        <is>
          <t>Freestyle, Freeride</t>
        </is>
      </c>
      <c r="D1100" s="3" t="inlineStr"/>
      <c r="E1100" t="inlineStr"/>
      <c r="F1100" s="4" t="n">
        <v>399</v>
      </c>
      <c r="G1100" t="inlineStr">
        <is>
          <t>VB</t>
        </is>
      </c>
      <c r="H1100" t="inlineStr">
        <is>
          <t>13591 Berlin - Spandau</t>
        </is>
      </c>
      <c r="I1100" s="5" t="n">
        <v>45510</v>
      </c>
      <c r="J1100" t="inlineStr">
        <is>
          <t>Sold</t>
        </is>
      </c>
      <c r="K1100" s="6">
        <f>HYPERLINK("https://www.kleinanzeigen.de/s-anzeige/kiteboard-naish-ride-limited-edition-scull-134-cm-handle-d/2830509076-230-3434", "Link")</f>
        <v/>
      </c>
      <c r="L1100" s="6">
        <f>HYPERLINK("C:\Projects\Kleinanzeigen-Scraper\offer_images\2830509076", "Link")</f>
        <v/>
      </c>
      <c r="M1100" t="inlineStr">
        <is>
          <t>Agni</t>
        </is>
      </c>
      <c r="N1100" s="6">
        <f>HYPERLINK("https://www.kleinanzeigen.de/s-bestandsliste.html?userId=58282170", "Link")</f>
        <v/>
      </c>
      <c r="O1100" s="7" t="n">
        <v>45549.58024305556</v>
      </c>
      <c r="P1100" s="3" t="inlineStr">
        <is>
          <t>461.49</t>
        </is>
      </c>
      <c r="Q1100" t="inlineStr">
        <is>
          <t>Köln</t>
        </is>
      </c>
    </row>
    <row r="1101">
      <c r="A1101" t="inlineStr">
        <is>
          <t>250 cm x 83 cm</t>
        </is>
      </c>
      <c r="B1101" t="inlineStr">
        <is>
          <t>Fanatic Gecko</t>
        </is>
      </c>
      <c r="C1101" t="inlineStr">
        <is>
          <t>Freeride</t>
        </is>
      </c>
      <c r="D1101" s="3" t="n">
        <v>146</v>
      </c>
      <c r="E1101" t="inlineStr"/>
      <c r="F1101" s="4" t="n">
        <v>799</v>
      </c>
      <c r="G1101" t="inlineStr">
        <is>
          <t>VB</t>
        </is>
      </c>
      <c r="H1101" t="inlineStr">
        <is>
          <t>83512 Bayern - Wasserburg am Inn</t>
        </is>
      </c>
      <c r="I1101" s="5" t="n">
        <v>45515</v>
      </c>
      <c r="J1101" t="inlineStr">
        <is>
          <t>Sold</t>
        </is>
      </c>
      <c r="K1101" s="6">
        <f>HYPERLINK("https://www.kleinanzeigen.de/s-anzeige/fanatic-gecko-146l/2834353051-230-5673", "Link")</f>
        <v/>
      </c>
      <c r="L1101" s="6">
        <f>HYPERLINK("C:\Projects\Kleinanzeigen-Scraper\offer_images\2834353051", "Link")</f>
        <v/>
      </c>
      <c r="M1101" t="inlineStr">
        <is>
          <t>Florian Lihl</t>
        </is>
      </c>
      <c r="N1101" s="6">
        <f>HYPERLINK("https://www.kleinanzeigen.de/s-bestandsliste.html?userId=16640005", "Link")</f>
        <v/>
      </c>
      <c r="O1101" s="7" t="n">
        <v>45549.58021990741</v>
      </c>
      <c r="P1101" s="3" t="inlineStr">
        <is>
          <t>47.11</t>
        </is>
      </c>
      <c r="Q1101" t="inlineStr">
        <is>
          <t>München</t>
        </is>
      </c>
    </row>
    <row r="1102">
      <c r="A1102" t="inlineStr">
        <is>
          <t>267cm x 55.5cm</t>
        </is>
      </c>
      <c r="B1102" t="inlineStr">
        <is>
          <t>F2 Axxis</t>
        </is>
      </c>
      <c r="C1102" t="inlineStr"/>
      <c r="D1102" s="3" t="n">
        <v>93</v>
      </c>
      <c r="E1102" t="inlineStr"/>
      <c r="F1102" s="4" t="n">
        <v>95</v>
      </c>
      <c r="G1102" t="inlineStr">
        <is>
          <t>VB</t>
        </is>
      </c>
      <c r="H1102" t="inlineStr">
        <is>
          <t>73262 Baden-Württemberg - Reichenbach an der Fils</t>
        </is>
      </c>
      <c r="I1102" s="5" t="n">
        <v>45524</v>
      </c>
      <c r="J1102" t="inlineStr"/>
      <c r="K1102" s="6">
        <f>HYPERLINK("https://www.kleinanzeigen.de/s-anzeige/f2-axxis-267-ltd-thommen-kein-patrik-jp-tabou/2795414913-230-8873", "Link")</f>
        <v/>
      </c>
      <c r="L1102" s="6">
        <f>HYPERLINK("C:\Projects\Kleinanzeigen-Scraper\offer_images\2795414913", "Link")</f>
        <v/>
      </c>
      <c r="M1102" t="inlineStr">
        <is>
          <t>Roland Steidle</t>
        </is>
      </c>
      <c r="N1102" s="6">
        <f>HYPERLINK("https://www.kleinanzeigen.de/s-bestandsliste.html?userId=15680411", "Link")</f>
        <v/>
      </c>
      <c r="O1102" s="7" t="n">
        <v>45549.58021990741</v>
      </c>
      <c r="P1102" s="3" t="inlineStr">
        <is>
          <t>36.12</t>
        </is>
      </c>
      <c r="Q1102" t="inlineStr">
        <is>
          <t>Böblingen</t>
        </is>
      </c>
    </row>
    <row r="1103">
      <c r="A1103" t="inlineStr"/>
      <c r="B1103" t="inlineStr">
        <is>
          <t>JP Australia Superride</t>
        </is>
      </c>
      <c r="C1103" t="inlineStr">
        <is>
          <t>Freeride</t>
        </is>
      </c>
      <c r="D1103" s="3" t="n">
        <v>124</v>
      </c>
      <c r="E1103" t="inlineStr"/>
      <c r="F1103" s="4" t="n">
        <v>950</v>
      </c>
      <c r="G1103" t="inlineStr">
        <is>
          <t>VB</t>
        </is>
      </c>
      <c r="H1103" t="inlineStr">
        <is>
          <t>69493 Baden-Württemberg - Hirschberg a.d. Bergstr.</t>
        </is>
      </c>
      <c r="I1103" s="5" t="n">
        <v>45547</v>
      </c>
      <c r="J1103" t="inlineStr"/>
      <c r="K1103" s="6">
        <f>HYPERLINK("https://www.kleinanzeigen.de/s-anzeige/jp-australia-superride-124l/2861671466-230-8269", "Link")</f>
        <v/>
      </c>
      <c r="L1103" s="6">
        <f>HYPERLINK("C:\Projects\Kleinanzeigen-Scraper\offer_images\2861671466", "Link")</f>
        <v/>
      </c>
      <c r="M1103" t="inlineStr">
        <is>
          <t>Frank Schirott</t>
        </is>
      </c>
      <c r="N1103" s="6">
        <f>HYPERLINK("https://www.kleinanzeigen.de/s-bestandsliste.html?userId=87731321", "Link")</f>
        <v/>
      </c>
      <c r="O1103" s="7" t="n">
        <v>45549.58019675926</v>
      </c>
      <c r="P1103" s="3" t="inlineStr">
        <is>
          <t>58.94</t>
        </is>
      </c>
      <c r="Q1103" t="inlineStr">
        <is>
          <t>Karlsruhe</t>
        </is>
      </c>
    </row>
    <row r="1104">
      <c r="A1104" t="inlineStr">
        <is>
          <t>5'10''</t>
        </is>
      </c>
      <c r="B1104" t="inlineStr">
        <is>
          <t>Naish Global</t>
        </is>
      </c>
      <c r="C1104" t="inlineStr">
        <is>
          <t>Wave</t>
        </is>
      </c>
      <c r="D1104" s="3" t="inlineStr"/>
      <c r="E1104" t="inlineStr">
        <is>
          <t>2013</t>
        </is>
      </c>
      <c r="F1104" s="4" t="n">
        <v>195</v>
      </c>
      <c r="G1104" t="inlineStr">
        <is>
          <t>VB</t>
        </is>
      </c>
      <c r="H1104" t="inlineStr">
        <is>
          <t>66706 Saarland - Perl</t>
        </is>
      </c>
      <c r="I1104" s="5" t="n">
        <v>45516</v>
      </c>
      <c r="J1104" t="inlineStr">
        <is>
          <t>Sold</t>
        </is>
      </c>
      <c r="K1104" s="6">
        <f>HYPERLINK("https://www.kleinanzeigen.de/s-anzeige/kite-waveboard-naish-global-5-10-mod-2013-s-guter-zust-/2835636860-230-361", "Link")</f>
        <v/>
      </c>
      <c r="L1104" s="6">
        <f>HYPERLINK("C:\Projects\Kleinanzeigen-Scraper\offer_images\2835636860", "Link")</f>
        <v/>
      </c>
      <c r="M1104" t="inlineStr">
        <is>
          <t>Marc Bock</t>
        </is>
      </c>
      <c r="N1104" s="6">
        <f>HYPERLINK("https://www.kleinanzeigen.de/s-bestandsliste.html?userId=143250437", "Link")</f>
        <v/>
      </c>
      <c r="O1104" s="7" t="n">
        <v>45549.58019675926</v>
      </c>
      <c r="P1104" s="3" t="inlineStr">
        <is>
          <t>154.71</t>
        </is>
      </c>
      <c r="Q1104" t="inlineStr">
        <is>
          <t>Karlsruhe</t>
        </is>
      </c>
    </row>
    <row r="1105">
      <c r="A1105" t="inlineStr">
        <is>
          <t>9'0" x 28" x 3 7/8"</t>
        </is>
      </c>
      <c r="B1105" t="inlineStr">
        <is>
          <t>RRD LONGSUP</t>
        </is>
      </c>
      <c r="C1105" t="inlineStr">
        <is>
          <t>Wave</t>
        </is>
      </c>
      <c r="D1105" s="3" t="n">
        <v>107</v>
      </c>
      <c r="E1105" t="inlineStr"/>
      <c r="F1105" s="4" t="inlineStr"/>
      <c r="G1105" t="inlineStr">
        <is>
          <t>VB</t>
        </is>
      </c>
      <c r="H1105" t="inlineStr">
        <is>
          <t>34130 Hessen - Kassel</t>
        </is>
      </c>
      <c r="I1105" s="5" t="n">
        <v>45520</v>
      </c>
      <c r="J1105" t="inlineStr"/>
      <c r="K1105" s="6">
        <f>HYPERLINK("https://www.kleinanzeigen.de/s-anzeige/rrd-longsup-wave-9-0-x28-x3-7-8-107l-wood/2838118513-230-4932", "Link")</f>
        <v/>
      </c>
      <c r="L1105" s="6">
        <f>HYPERLINK("C:\Projects\Kleinanzeigen-Scraper\offer_images\2838118513", "Link")</f>
        <v/>
      </c>
      <c r="M1105" t="inlineStr">
        <is>
          <t>Bert-Jan Annecke</t>
        </is>
      </c>
      <c r="N1105" s="6">
        <f>HYPERLINK("https://www.kleinanzeigen.de/s-bestandsliste.html?userId=29998157", "Link")</f>
        <v/>
      </c>
      <c r="O1105" s="7" t="n">
        <v>45549.58018518519</v>
      </c>
      <c r="P1105" s="3" t="inlineStr">
        <is>
          <t>178.66</t>
        </is>
      </c>
      <c r="Q1105" t="inlineStr">
        <is>
          <t>Köln</t>
        </is>
      </c>
    </row>
    <row r="1106">
      <c r="A1106" t="inlineStr">
        <is>
          <t>340 cm x 81 cm x 12 cm</t>
        </is>
      </c>
      <c r="B1106" t="inlineStr">
        <is>
          <t>Starboard</t>
        </is>
      </c>
      <c r="C1106" t="inlineStr">
        <is>
          <t>Allround</t>
        </is>
      </c>
      <c r="D1106" s="3" t="n">
        <v>261</v>
      </c>
      <c r="E1106" t="inlineStr"/>
      <c r="F1106" s="4" t="n">
        <v>213</v>
      </c>
      <c r="G1106" t="inlineStr"/>
      <c r="H1106" t="inlineStr">
        <is>
          <t>79798 Baden-Württemberg - Jestetten</t>
        </is>
      </c>
      <c r="I1106" s="5" t="n">
        <v>45537</v>
      </c>
      <c r="J1106" t="inlineStr">
        <is>
          <t>Sold</t>
        </is>
      </c>
      <c r="K1106" s="6">
        <f>HYPERLINK("https://www.kleinanzeigen.de/s-anzeige/sup-starboard-astro-blend-allround-stand-up-paddle-board/2852653409-230-18712", "Link")</f>
        <v/>
      </c>
      <c r="L1106" s="6">
        <f>HYPERLINK("C:\Projects\Kleinanzeigen-Scraper\offer_images\2852653409", "Link")</f>
        <v/>
      </c>
      <c r="M1106" t="inlineStr">
        <is>
          <t>A. Ruppel</t>
        </is>
      </c>
      <c r="N1106" s="6">
        <f>HYPERLINK("https://www.kleinanzeigen.de/s-bestandsliste.html?userId=50997810", "Link")</f>
        <v/>
      </c>
      <c r="O1106" s="7" t="n">
        <v>45549.58017361111</v>
      </c>
      <c r="P1106" s="3" t="inlineStr">
        <is>
          <t>25.03</t>
        </is>
      </c>
      <c r="Q1106" t="inlineStr">
        <is>
          <t>Bonndorf</t>
        </is>
      </c>
    </row>
    <row r="1107">
      <c r="A1107" t="inlineStr">
        <is>
          <t>180 x 76</t>
        </is>
      </c>
      <c r="B1107" t="inlineStr">
        <is>
          <t>RRD Pocket Rocket LTD</t>
        </is>
      </c>
      <c r="C1107" t="inlineStr">
        <is>
          <t>Foil</t>
        </is>
      </c>
      <c r="D1107" s="3" t="n">
        <v>120</v>
      </c>
      <c r="E1107" t="inlineStr">
        <is>
          <t>2021</t>
        </is>
      </c>
      <c r="F1107" s="4" t="n">
        <v>999</v>
      </c>
      <c r="G1107" t="inlineStr"/>
      <c r="H1107" t="inlineStr">
        <is>
          <t>82319 Bayern - Starnberg</t>
        </is>
      </c>
      <c r="I1107" s="5" t="n">
        <v>45551</v>
      </c>
      <c r="J1107" t="inlineStr">
        <is>
          <t>Sold</t>
        </is>
      </c>
      <c r="K1107" s="6">
        <f>HYPERLINK("https://www.kleinanzeigen.de/s-anzeige/rrd-pocket-rocket-ltd-wing-sup-windsurf-foil-board-2021/1862660623-230-5525", "Link")</f>
        <v/>
      </c>
      <c r="L1107" s="6">
        <f>HYPERLINK("C:\Projects\Kleinanzeigen-Scraper\offer_images\1862660623", "Link")</f>
        <v/>
      </c>
      <c r="M1107" t="inlineStr">
        <is>
          <t>No user name</t>
        </is>
      </c>
      <c r="N1107" s="6">
        <f>HYPERLINK("https://www.kleinanzeigen.deNo user link", "Link")</f>
        <v/>
      </c>
      <c r="O1107" s="7" t="n">
        <v>45549.58015046296</v>
      </c>
      <c r="P1107" s="3" t="inlineStr">
        <is>
          <t>23.17</t>
        </is>
      </c>
      <c r="Q1107" t="inlineStr">
        <is>
          <t>München</t>
        </is>
      </c>
    </row>
    <row r="1108">
      <c r="A1108" t="inlineStr">
        <is>
          <t>232 cm x 56.5 cm</t>
        </is>
      </c>
      <c r="B1108" t="inlineStr">
        <is>
          <t>Fanatic Allwave</t>
        </is>
      </c>
      <c r="C1108" t="inlineStr">
        <is>
          <t>Wave</t>
        </is>
      </c>
      <c r="D1108" s="3" t="n">
        <v>75</v>
      </c>
      <c r="E1108" t="inlineStr"/>
      <c r="F1108" s="4" t="n">
        <v>175</v>
      </c>
      <c r="G1108" t="inlineStr"/>
      <c r="H1108" t="inlineStr">
        <is>
          <t>51519 Nordrhein-Westfalen - Odenthal</t>
        </is>
      </c>
      <c r="I1108" s="5" t="n">
        <v>45538</v>
      </c>
      <c r="J1108" t="inlineStr">
        <is>
          <t>Sold</t>
        </is>
      </c>
      <c r="K1108" s="6">
        <f>HYPERLINK("https://www.kleinanzeigen.de/s-anzeige/surfbrett-fanatic-allwave-75/2852996060-230-1114", "Link")</f>
        <v/>
      </c>
      <c r="L1108" s="6">
        <f>HYPERLINK("C:\Projects\Kleinanzeigen-Scraper\offer_images\2852996060", "Link")</f>
        <v/>
      </c>
      <c r="M1108" t="inlineStr">
        <is>
          <t>Olaf Herrmann</t>
        </is>
      </c>
      <c r="N1108" s="6">
        <f>HYPERLINK("https://www.kleinanzeigen.de/s-bestandsliste.html?userId=20733006", "Link")</f>
        <v/>
      </c>
      <c r="O1108" s="7" t="n">
        <v>45549.58013888889</v>
      </c>
      <c r="P1108" s="3" t="inlineStr">
        <is>
          <t>15.82</t>
        </is>
      </c>
      <c r="Q1108" t="inlineStr">
        <is>
          <t>Köln</t>
        </is>
      </c>
    </row>
    <row r="1109">
      <c r="A1109" t="inlineStr">
        <is>
          <t>233 x 61</t>
        </is>
      </c>
      <c r="B1109" t="inlineStr">
        <is>
          <t>Tabou Manta 61</t>
        </is>
      </c>
      <c r="C1109" t="inlineStr">
        <is>
          <t>Freeride</t>
        </is>
      </c>
      <c r="D1109" s="3" t="n">
        <v>88</v>
      </c>
      <c r="E1109" t="inlineStr">
        <is>
          <t>2020</t>
        </is>
      </c>
      <c r="F1109" s="4" t="n">
        <v>500</v>
      </c>
      <c r="G1109" t="inlineStr"/>
      <c r="H1109" t="inlineStr">
        <is>
          <t>32351 Nordrhein-Westfalen - Stemwede</t>
        </is>
      </c>
      <c r="I1109" s="5" t="n">
        <v>45453</v>
      </c>
      <c r="J1109" t="inlineStr"/>
      <c r="K1109" s="6">
        <f>HYPERLINK("https://www.kleinanzeigen.de/s-anzeige/tabou-manta-61-2020/2784846028-242-1231", "Link")</f>
        <v/>
      </c>
      <c r="L1109" s="6">
        <f>HYPERLINK("C:\Projects\Kleinanzeigen-Scraper\offer_images\2784846028", "Link")</f>
        <v/>
      </c>
      <c r="M1109" t="inlineStr">
        <is>
          <t>Nils Wenzel</t>
        </is>
      </c>
      <c r="N1109" s="6">
        <f>HYPERLINK("https://www.kleinanzeigen.de/s-bestandsliste.html?userId=141568358", "Link")</f>
        <v/>
      </c>
      <c r="O1109" s="7" t="n">
        <v>45549.58013888889</v>
      </c>
      <c r="P1109" s="3" t="inlineStr">
        <is>
          <t>195.37</t>
        </is>
      </c>
      <c r="Q1109" t="inlineStr">
        <is>
          <t>Köln</t>
        </is>
      </c>
    </row>
    <row r="1110">
      <c r="A1110" t="inlineStr">
        <is>
          <t>Dimensions not specified</t>
        </is>
      </c>
      <c r="B1110" t="inlineStr">
        <is>
          <t>Tabou 3S</t>
        </is>
      </c>
      <c r="C1110" t="inlineStr">
        <is>
          <t>Freeride</t>
        </is>
      </c>
      <c r="D1110" s="3" t="n">
        <v>116</v>
      </c>
      <c r="E1110" t="inlineStr"/>
      <c r="F1110" s="4" t="n">
        <v>599</v>
      </c>
      <c r="G1110" t="inlineStr">
        <is>
          <t>VB</t>
        </is>
      </c>
      <c r="H1110" t="inlineStr">
        <is>
          <t>47228 Duisburg - Rheinhausen</t>
        </is>
      </c>
      <c r="I1110" s="5" t="n">
        <v>45543</v>
      </c>
      <c r="J1110" t="inlineStr">
        <is>
          <t>Sold</t>
        </is>
      </c>
      <c r="K1110" s="6">
        <f>HYPERLINK("https://www.kleinanzeigen.de/s-anzeige/tabou-3s-116/2857352676-230-2135", "Link")</f>
        <v/>
      </c>
      <c r="L1110" s="6">
        <f>HYPERLINK("C:\Projects\Kleinanzeigen-Scraper\offer_images\2857352676", "Link")</f>
        <v/>
      </c>
      <c r="M1110" t="inlineStr">
        <is>
          <t>Stephan Külkens</t>
        </is>
      </c>
      <c r="N1110" s="6">
        <f>HYPERLINK("https://www.kleinanzeigen.de/s-bestandsliste.html?userId=19456338", "Link")</f>
        <v/>
      </c>
      <c r="O1110" s="7" t="n">
        <v>45549.58012731482</v>
      </c>
      <c r="P1110" s="3" t="inlineStr">
        <is>
          <t>56.80</t>
        </is>
      </c>
      <c r="Q1110" t="inlineStr">
        <is>
          <t>Köln</t>
        </is>
      </c>
    </row>
    <row r="1111">
      <c r="A1111" t="inlineStr"/>
      <c r="B1111" t="inlineStr">
        <is>
          <t>Fanatic Goya</t>
        </is>
      </c>
      <c r="C1111" t="inlineStr"/>
      <c r="D1111" s="3" t="n">
        <v>87</v>
      </c>
      <c r="E1111" t="inlineStr"/>
      <c r="F1111" s="4" t="n">
        <v>80</v>
      </c>
      <c r="G1111" t="inlineStr">
        <is>
          <t>VB</t>
        </is>
      </c>
      <c r="H1111" t="inlineStr">
        <is>
          <t>14089 Berlin - Kladow</t>
        </is>
      </c>
      <c r="I1111" s="5" t="n">
        <v>45530</v>
      </c>
      <c r="J1111" t="inlineStr">
        <is>
          <t>Sold</t>
        </is>
      </c>
      <c r="K1111" s="6">
        <f>HYPERLINK("https://www.kleinanzeigen.de/s-anzeige/fanatic-goya-87l-surfboard/2846686259-230-23977", "Link")</f>
        <v/>
      </c>
      <c r="L1111" s="6">
        <f>HYPERLINK("C:\Projects\Kleinanzeigen-Scraper\offer_images\2846686259", "Link")</f>
        <v/>
      </c>
      <c r="M1111" t="inlineStr">
        <is>
          <t>Marc Florent</t>
        </is>
      </c>
      <c r="N1111" s="6">
        <f>HYPERLINK("https://www.kleinanzeigen.de/s-bestandsliste.html?userId=25126225", "Link")</f>
        <v/>
      </c>
      <c r="O1111" s="7" t="n">
        <v>45549.58009259259</v>
      </c>
      <c r="P1111" s="3" t="inlineStr">
        <is>
          <t>459.79</t>
        </is>
      </c>
      <c r="Q1111" t="inlineStr">
        <is>
          <t>Köln</t>
        </is>
      </c>
    </row>
    <row r="1112">
      <c r="A1112" t="inlineStr"/>
      <c r="B1112" t="inlineStr">
        <is>
          <t>Tabou Rocket Plus LTD</t>
        </is>
      </c>
      <c r="C1112" t="inlineStr">
        <is>
          <t>Freerace, Freeride, Slalom</t>
        </is>
      </c>
      <c r="D1112" s="3" t="n">
        <v>123</v>
      </c>
      <c r="E1112" t="inlineStr"/>
      <c r="F1112" s="4" t="n">
        <v>1</v>
      </c>
      <c r="G1112" t="inlineStr">
        <is>
          <t>VB</t>
        </is>
      </c>
      <c r="H1112" t="inlineStr">
        <is>
          <t>88662 Baden-Württemberg - Überlingen</t>
        </is>
      </c>
      <c r="I1112" s="5" t="n">
        <v>45526</v>
      </c>
      <c r="J1112" t="inlineStr"/>
      <c r="K1112" s="6">
        <f>HYPERLINK("https://www.kleinanzeigen.de/s-anzeige/tabou-rocket-plus-ltd-windsurfboard-123l/2843188101-230-9207", "Link")</f>
        <v/>
      </c>
      <c r="L1112" s="6">
        <f>HYPERLINK("C:\Projects\Kleinanzeigen-Scraper\offer_images\2843188101", "Link")</f>
        <v/>
      </c>
      <c r="M1112" t="inlineStr">
        <is>
          <t>Moritz Ruf</t>
        </is>
      </c>
      <c r="N1112" s="6">
        <f>HYPERLINK("https://www.kleinanzeigen.de/s-bestandsliste.html?userId=129363360", "Link")</f>
        <v/>
      </c>
      <c r="O1112" s="7" t="n">
        <v>45549.58009259259</v>
      </c>
      <c r="P1112" s="3" t="inlineStr">
        <is>
          <t>60.60</t>
        </is>
      </c>
      <c r="Q1112" t="inlineStr">
        <is>
          <t>Bonndorf</t>
        </is>
      </c>
    </row>
    <row r="1113">
      <c r="A1113" t="inlineStr">
        <is>
          <t>242 x 63.5</t>
        </is>
      </c>
      <c r="B1113" t="inlineStr">
        <is>
          <t>Fanatic Freewave</t>
        </is>
      </c>
      <c r="C1113" t="inlineStr">
        <is>
          <t>Freeride</t>
        </is>
      </c>
      <c r="D1113" s="3" t="n">
        <v>105</v>
      </c>
      <c r="E1113" t="inlineStr"/>
      <c r="F1113" s="4" t="n">
        <v>280</v>
      </c>
      <c r="G1113" t="inlineStr"/>
      <c r="H1113" t="inlineStr">
        <is>
          <t>40229 Düsseldorf - Eller</t>
        </is>
      </c>
      <c r="I1113" s="5" t="n">
        <v>45520</v>
      </c>
      <c r="J1113" t="inlineStr">
        <is>
          <t>Sold</t>
        </is>
      </c>
      <c r="K1113" s="6">
        <f>HYPERLINK("https://www.kleinanzeigen.de/s-anzeige/fanatic-freewave-105/2838159997-230-2096", "Link")</f>
        <v/>
      </c>
      <c r="L1113" s="6">
        <f>HYPERLINK("C:\Projects\Kleinanzeigen-Scraper\offer_images\2838159997", "Link")</f>
        <v/>
      </c>
      <c r="M1113" t="inlineStr">
        <is>
          <t>Christian Michael</t>
        </is>
      </c>
      <c r="N1113" s="6">
        <f>HYPERLINK("https://www.kleinanzeigen.de/s-bestandsliste.html?userId=9076551", "Link")</f>
        <v/>
      </c>
      <c r="O1113" s="7" t="n">
        <v>45549.58006944445</v>
      </c>
      <c r="P1113" s="3" t="inlineStr">
        <is>
          <t>29.68</t>
        </is>
      </c>
      <c r="Q1113" t="inlineStr">
        <is>
          <t>Köln</t>
        </is>
      </c>
    </row>
    <row r="1114">
      <c r="A1114" t="inlineStr">
        <is>
          <t>128 cm x 40 cm</t>
        </is>
      </c>
      <c r="B1114" t="inlineStr">
        <is>
          <t>Naish Gawaii TT Pro</t>
        </is>
      </c>
      <c r="C1114" t="inlineStr">
        <is>
          <t>Twintip</t>
        </is>
      </c>
      <c r="D1114" s="3" t="inlineStr"/>
      <c r="E1114" t="inlineStr">
        <is>
          <t>2006/2007</t>
        </is>
      </c>
      <c r="F1114" s="4" t="n">
        <v>90</v>
      </c>
      <c r="G1114" t="inlineStr">
        <is>
          <t>VB</t>
        </is>
      </c>
      <c r="H1114" t="inlineStr">
        <is>
          <t>82069 Kr. München - Schäftlarn</t>
        </is>
      </c>
      <c r="I1114" s="5" t="n">
        <v>45542</v>
      </c>
      <c r="J1114" t="inlineStr">
        <is>
          <t>Sold</t>
        </is>
      </c>
      <c r="K1114" s="6">
        <f>HYPERLINK("https://www.kleinanzeigen.de/s-anzeige/naish-gawaii-tt-pro-kiteboard-128/2856354332-230-5526", "Link")</f>
        <v/>
      </c>
      <c r="L1114" s="6">
        <f>HYPERLINK("C:\Projects\Kleinanzeigen-Scraper\offer_images\2856354332", "Link")</f>
        <v/>
      </c>
      <c r="M1114" t="inlineStr">
        <is>
          <t>B. Diepen</t>
        </is>
      </c>
      <c r="N1114" s="6">
        <f>HYPERLINK("https://www.kleinanzeigen.de/s-bestandsliste.html?userId=13339916", "Link")</f>
        <v/>
      </c>
      <c r="O1114" s="7" t="n">
        <v>45549.58006944445</v>
      </c>
      <c r="P1114" s="3" t="inlineStr">
        <is>
          <t>18.35</t>
        </is>
      </c>
      <c r="Q1114" t="inlineStr">
        <is>
          <t>München</t>
        </is>
      </c>
    </row>
    <row r="1115">
      <c r="A1115" t="inlineStr"/>
      <c r="B1115" t="inlineStr">
        <is>
          <t>Tabou 3S</t>
        </is>
      </c>
      <c r="C1115" t="inlineStr">
        <is>
          <t>Freeride</t>
        </is>
      </c>
      <c r="D1115" s="3" t="n">
        <v>107</v>
      </c>
      <c r="E1115" t="inlineStr"/>
      <c r="F1115" s="4" t="n">
        <v>250</v>
      </c>
      <c r="G1115" t="inlineStr"/>
      <c r="H1115" t="inlineStr">
        <is>
          <t>23562 Schleswig-Holstein - Lübeck</t>
        </is>
      </c>
      <c r="I1115" s="5" t="n">
        <v>45431</v>
      </c>
      <c r="J1115" t="inlineStr"/>
      <c r="K1115" s="6">
        <f>HYPERLINK("https://www.kleinanzeigen.de/s-anzeige/custom-made-tabou-3s-107-l-windsurfen-board/2765876028-230-423", "Link")</f>
        <v/>
      </c>
      <c r="L1115" s="6">
        <f>HYPERLINK("C:\Projects\Kleinanzeigen-Scraper\offer_images\2765876028", "Link")</f>
        <v/>
      </c>
      <c r="M1115" t="inlineStr">
        <is>
          <t>Olaf Kühnert</t>
        </is>
      </c>
      <c r="N1115" s="6">
        <f>HYPERLINK("https://www.kleinanzeigen.de/s-bestandsliste.html?userId=14979628", "Link")</f>
        <v/>
      </c>
      <c r="O1115" s="7" t="n">
        <v>45549.58006944445</v>
      </c>
      <c r="P1115" s="3" t="inlineStr">
        <is>
          <t>410.15</t>
        </is>
      </c>
      <c r="Q1115" t="inlineStr">
        <is>
          <t>Köln</t>
        </is>
      </c>
    </row>
    <row r="1116">
      <c r="A1116" t="inlineStr">
        <is>
          <t>233x68 cm</t>
        </is>
      </c>
      <c r="B1116" t="inlineStr">
        <is>
          <t>Starboard</t>
        </is>
      </c>
      <c r="C1116" t="inlineStr"/>
      <c r="D1116" s="3" t="n">
        <v>115</v>
      </c>
      <c r="E1116" t="inlineStr"/>
      <c r="F1116" s="4" t="n">
        <v>250</v>
      </c>
      <c r="G1116" t="inlineStr">
        <is>
          <t>VB</t>
        </is>
      </c>
      <c r="H1116" t="inlineStr">
        <is>
          <t>76706 Baden-Württemberg - Dettenheim</t>
        </is>
      </c>
      <c r="I1116" s="5" t="n">
        <v>45527</v>
      </c>
      <c r="J1116" t="inlineStr"/>
      <c r="K1116" s="6">
        <f>HYPERLINK("https://www.kleinanzeigen.de/s-anzeige/surfbrett-starboard-115l/2844048447-230-8822", "Link")</f>
        <v/>
      </c>
      <c r="L1116" s="6">
        <f>HYPERLINK("C:\Projects\Kleinanzeigen-Scraper\offer_images\2844048447", "Link")</f>
        <v/>
      </c>
      <c r="M1116" t="inlineStr">
        <is>
          <t>MicMac</t>
        </is>
      </c>
      <c r="N1116" s="6">
        <f>HYPERLINK("https://www.kleinanzeigen.de/s-bestandsliste.html?userId=140941814", "Link")</f>
        <v/>
      </c>
      <c r="O1116" s="7" t="n">
        <v>45549.58004629629</v>
      </c>
      <c r="P1116" s="3" t="inlineStr">
        <is>
          <t>18.27</t>
        </is>
      </c>
      <c r="Q1116" t="inlineStr">
        <is>
          <t>Karlsruhe</t>
        </is>
      </c>
    </row>
    <row r="1117">
      <c r="A1117" t="inlineStr">
        <is>
          <t>8'4</t>
        </is>
      </c>
      <c r="B1117" t="inlineStr">
        <is>
          <t>Naish Wave</t>
        </is>
      </c>
      <c r="C1117" t="inlineStr">
        <is>
          <t>Wave</t>
        </is>
      </c>
      <c r="D1117" s="3" t="inlineStr"/>
      <c r="E1117" t="inlineStr"/>
      <c r="F1117" s="4" t="n">
        <v>75</v>
      </c>
      <c r="G1117" t="inlineStr"/>
      <c r="H1117" t="inlineStr">
        <is>
          <t>66978 Rheinland-Pfalz - Clausen Kreis Pirmasens</t>
        </is>
      </c>
      <c r="I1117" s="5" t="n">
        <v>45522</v>
      </c>
      <c r="J1117" t="inlineStr"/>
      <c r="K1117" s="6">
        <f>HYPERLINK("https://www.kleinanzeigen.de/s-anzeige/naish-wave-8-4-surfboard/2839946099-230-21055", "Link")</f>
        <v/>
      </c>
      <c r="L1117" s="6">
        <f>HYPERLINK("C:\Projects\Kleinanzeigen-Scraper\offer_images\2839946099", "Link")</f>
        <v/>
      </c>
      <c r="M1117" t="inlineStr">
        <is>
          <t>St</t>
        </is>
      </c>
      <c r="N1117" s="6">
        <f>HYPERLINK("https://www.kleinanzeigen.de/s-bestandsliste.html?userId=30486484", "Link")</f>
        <v/>
      </c>
      <c r="O1117" s="7" t="n">
        <v>45549.58004629629</v>
      </c>
      <c r="P1117" s="3" t="inlineStr">
        <is>
          <t>59.44</t>
        </is>
      </c>
      <c r="Q1117" t="inlineStr">
        <is>
          <t>Karlsruhe</t>
        </is>
      </c>
    </row>
    <row r="1118">
      <c r="A1118" t="inlineStr">
        <is>
          <t>14'0" x 30"</t>
        </is>
      </c>
      <c r="B1118" t="inlineStr">
        <is>
          <t>JP Australia Sportster</t>
        </is>
      </c>
      <c r="C1118" t="inlineStr">
        <is>
          <t>All Water</t>
        </is>
      </c>
      <c r="D1118" s="3" t="inlineStr"/>
      <c r="E1118" t="inlineStr"/>
      <c r="F1118" s="4" t="n">
        <v>680</v>
      </c>
      <c r="G1118" t="inlineStr"/>
      <c r="H1118" t="inlineStr">
        <is>
          <t>58239 Nordrhein-Westfalen - Schwerte</t>
        </is>
      </c>
      <c r="I1118" s="5" t="n">
        <v>45518</v>
      </c>
      <c r="J1118" t="inlineStr"/>
      <c r="K1118" s="6">
        <f>HYPERLINK("https://www.kleinanzeigen.de/s-anzeige/sup-jp-australia-sportster-all-water-14-0-x30-wie-neu-boardbag/2836981878-230-1916", "Link")</f>
        <v/>
      </c>
      <c r="L1118" s="6">
        <f>HYPERLINK("C:\Projects\Kleinanzeigen-Scraper\offer_images\2836981878", "Link")</f>
        <v/>
      </c>
      <c r="M1118" t="inlineStr">
        <is>
          <t>Marc Bruckmann</t>
        </is>
      </c>
      <c r="N1118" s="6">
        <f>HYPERLINK("https://www.kleinanzeigen.de/s-bestandsliste.html?userId=7473688", "Link")</f>
        <v/>
      </c>
      <c r="O1118" s="7" t="n">
        <v>45549.58004629629</v>
      </c>
      <c r="P1118" s="3" t="inlineStr">
        <is>
          <t>69.21</t>
        </is>
      </c>
      <c r="Q1118" t="inlineStr">
        <is>
          <t>Köln</t>
        </is>
      </c>
    </row>
    <row r="1119">
      <c r="A1119" t="inlineStr">
        <is>
          <t>240 x 60</t>
        </is>
      </c>
      <c r="B1119" t="inlineStr">
        <is>
          <t>Starboard Isonic</t>
        </is>
      </c>
      <c r="C1119" t="inlineStr">
        <is>
          <t>Slalom</t>
        </is>
      </c>
      <c r="D1119" s="3" t="n">
        <v>90</v>
      </c>
      <c r="E1119" t="inlineStr"/>
      <c r="F1119" s="4" t="n">
        <v>269</v>
      </c>
      <c r="G1119" t="inlineStr">
        <is>
          <t>VB</t>
        </is>
      </c>
      <c r="H1119" t="inlineStr">
        <is>
          <t>26810 Niedersachsen - Westoverledingen</t>
        </is>
      </c>
      <c r="I1119" s="5" t="n">
        <v>45517</v>
      </c>
      <c r="J1119" t="inlineStr"/>
      <c r="K1119" s="6">
        <f>HYPERLINK("https://www.kleinanzeigen.de/s-anzeige/windsurfboard-starboard-isonic-90l-wood/2836254732-230-2743", "Link")</f>
        <v/>
      </c>
      <c r="L1119" s="6">
        <f>HYPERLINK("C:\Projects\Kleinanzeigen-Scraper\offer_images\2836254732", "Link")</f>
        <v/>
      </c>
      <c r="M1119" t="inlineStr">
        <is>
          <t>Markus</t>
        </is>
      </c>
      <c r="N1119" s="6">
        <f>HYPERLINK("https://www.kleinanzeigen.de/s-bestandsliste.html?userId=19946129", "Link")</f>
        <v/>
      </c>
      <c r="O1119" s="7" t="n">
        <v>45549.58003472222</v>
      </c>
      <c r="P1119" s="3" t="inlineStr">
        <is>
          <t>246.66</t>
        </is>
      </c>
      <c r="Q1119" t="inlineStr">
        <is>
          <t>Köln</t>
        </is>
      </c>
    </row>
    <row r="1120">
      <c r="A1120" t="inlineStr"/>
      <c r="B1120" t="inlineStr">
        <is>
          <t>RRD Placebo</t>
        </is>
      </c>
      <c r="C1120" t="inlineStr"/>
      <c r="D1120" s="3" t="inlineStr"/>
      <c r="E1120" t="inlineStr"/>
      <c r="F1120" s="4" t="n">
        <v>115</v>
      </c>
      <c r="G1120" t="inlineStr">
        <is>
          <t>VB</t>
        </is>
      </c>
      <c r="H1120" t="inlineStr">
        <is>
          <t>83670 Bayern - Bad Heilbrunn</t>
        </is>
      </c>
      <c r="I1120" s="5" t="n">
        <v>45548</v>
      </c>
      <c r="J1120" t="inlineStr">
        <is>
          <t>Sold</t>
        </is>
      </c>
      <c r="K1120" s="6">
        <f>HYPERLINK("https://www.kleinanzeigen.de/s-anzeige/kiteboard-rrd-placebo/2862438688-230-5604", "Link")</f>
        <v/>
      </c>
      <c r="L1120" s="6">
        <f>HYPERLINK("C:\Projects\Kleinanzeigen-Scraper\offer_images\2862438688", "Link")</f>
        <v/>
      </c>
      <c r="M1120" t="inlineStr">
        <is>
          <t>Markus</t>
        </is>
      </c>
      <c r="N1120" s="6">
        <f>HYPERLINK("https://www.kleinanzeigen.de/s-bestandsliste.html?userId=43813230", "Link")</f>
        <v/>
      </c>
      <c r="O1120" s="7" t="n">
        <v>45549.58003472222</v>
      </c>
      <c r="P1120" s="3" t="inlineStr">
        <is>
          <t>43.18</t>
        </is>
      </c>
      <c r="Q1120" t="inlineStr">
        <is>
          <t>München</t>
        </is>
      </c>
    </row>
    <row r="1121">
      <c r="A1121" t="inlineStr">
        <is>
          <t>130cm x 40cm</t>
        </is>
      </c>
      <c r="B1121" t="inlineStr">
        <is>
          <t>Fanatic McQueen</t>
        </is>
      </c>
      <c r="C1121" t="inlineStr"/>
      <c r="D1121" s="3" t="inlineStr"/>
      <c r="E1121" t="inlineStr"/>
      <c r="F1121" s="4" t="n">
        <v>99</v>
      </c>
      <c r="G1121" t="inlineStr">
        <is>
          <t>VB</t>
        </is>
      </c>
      <c r="H1121" t="inlineStr">
        <is>
          <t>51145 Köln - Porz</t>
        </is>
      </c>
      <c r="I1121" s="5" t="n">
        <v>45540</v>
      </c>
      <c r="J1121" t="inlineStr">
        <is>
          <t>Sold</t>
        </is>
      </c>
      <c r="K1121" s="6">
        <f>HYPERLINK("https://www.kleinanzeigen.de/s-anzeige/fanatic-mcqueen/2855030409-230-964", "Link")</f>
        <v/>
      </c>
      <c r="L1121" s="6">
        <f>HYPERLINK("C:\Projects\Kleinanzeigen-Scraper\offer_images\2855030409", "Link")</f>
        <v/>
      </c>
      <c r="M1121" t="inlineStr">
        <is>
          <t>Simmel</t>
        </is>
      </c>
      <c r="N1121" s="6">
        <f>HYPERLINK("https://www.kleinanzeigen.de/s-bestandsliste.html?userId=55733905", "Link")</f>
        <v/>
      </c>
      <c r="O1121" s="7" t="n">
        <v>45549.58002314815</v>
      </c>
      <c r="P1121" s="3" t="inlineStr">
        <is>
          <t>11.00</t>
        </is>
      </c>
      <c r="Q1121" t="inlineStr">
        <is>
          <t>Köln</t>
        </is>
      </c>
    </row>
    <row r="1122">
      <c r="A1122" t="inlineStr">
        <is>
          <t>248 cm x 55 cm</t>
        </is>
      </c>
      <c r="B1122" t="inlineStr">
        <is>
          <t>Naish Wave Quest</t>
        </is>
      </c>
      <c r="C1122" t="inlineStr">
        <is>
          <t>Wave</t>
        </is>
      </c>
      <c r="D1122" s="3" t="n">
        <v>78</v>
      </c>
      <c r="E1122" t="inlineStr"/>
      <c r="F1122" s="4" t="n">
        <v>70</v>
      </c>
      <c r="G1122" t="inlineStr"/>
      <c r="H1122" t="inlineStr">
        <is>
          <t>23746 Schleswig-Holstein - Kellenhusen</t>
        </is>
      </c>
      <c r="I1122" s="5" t="n">
        <v>45504</v>
      </c>
      <c r="J1122" t="inlineStr">
        <is>
          <t>Sold</t>
        </is>
      </c>
      <c r="K1122" s="6">
        <f>HYPERLINK("https://www.kleinanzeigen.de/s-anzeige/naish-wave-quest-248-windsurfboard-78-liter/2825394134-230-20494", "Link")</f>
        <v/>
      </c>
      <c r="L1122" s="6">
        <f>HYPERLINK("C:\Projects\Kleinanzeigen-Scraper\offer_images\2825394134", "Link")</f>
        <v/>
      </c>
      <c r="M1122" t="inlineStr">
        <is>
          <t>Stefan H</t>
        </is>
      </c>
      <c r="N1122" s="6">
        <f>HYPERLINK("https://www.kleinanzeigen.de/s-bestandsliste.html?userId=79989986", "Link")</f>
        <v/>
      </c>
      <c r="O1122" s="7" t="n">
        <v>45549.58002314815</v>
      </c>
      <c r="P1122" s="3" t="inlineStr">
        <is>
          <t>455.97</t>
        </is>
      </c>
      <c r="Q1122" t="inlineStr">
        <is>
          <t>Köln</t>
        </is>
      </c>
    </row>
    <row r="1123">
      <c r="A1123" t="inlineStr">
        <is>
          <t>127L</t>
        </is>
      </c>
      <c r="B1123" t="inlineStr">
        <is>
          <t>Goya Bolt</t>
        </is>
      </c>
      <c r="C1123" t="inlineStr">
        <is>
          <t>Freerace</t>
        </is>
      </c>
      <c r="D1123" s="3" t="n">
        <v>127</v>
      </c>
      <c r="E1123" t="inlineStr">
        <is>
          <t>2023</t>
        </is>
      </c>
      <c r="F1123" s="4" t="n">
        <v>1.399</v>
      </c>
      <c r="G1123" t="inlineStr"/>
      <c r="H1123" t="inlineStr">
        <is>
          <t>82319 Bayern - Starnberg</t>
        </is>
      </c>
      <c r="I1123" s="5" t="n">
        <v>45541</v>
      </c>
      <c r="J1123" t="inlineStr"/>
      <c r="K1123" s="6">
        <f>HYPERLINK("https://www.kleinanzeigen.de/s-anzeige/goya-bolt-127l-windsurfbrett-testbrett-2023/2649512868-230-5525", "Link")</f>
        <v/>
      </c>
      <c r="L1123" s="6">
        <f>HYPERLINK("C:\Projects\Kleinanzeigen-Scraper\offer_images\2649512868", "Link")</f>
        <v/>
      </c>
      <c r="M1123" t="inlineStr">
        <is>
          <t>No user name</t>
        </is>
      </c>
      <c r="N1123" s="6">
        <f>HYPERLINK("https://www.kleinanzeigen.deNo user link", "Link")</f>
        <v/>
      </c>
      <c r="O1123" s="7" t="n">
        <v>45549.58001157407</v>
      </c>
      <c r="P1123" s="3" t="inlineStr">
        <is>
          <t>23.17</t>
        </is>
      </c>
      <c r="Q1123" t="inlineStr">
        <is>
          <t>München</t>
        </is>
      </c>
    </row>
    <row r="1124">
      <c r="A1124" t="inlineStr">
        <is>
          <t>10.6</t>
        </is>
      </c>
      <c r="B1124" t="inlineStr">
        <is>
          <t>Fanatic Diamond</t>
        </is>
      </c>
      <c r="C1124" t="inlineStr"/>
      <c r="D1124" s="3" t="inlineStr"/>
      <c r="E1124" t="inlineStr"/>
      <c r="F1124" s="4" t="n">
        <v>850</v>
      </c>
      <c r="G1124" t="inlineStr"/>
      <c r="H1124" t="inlineStr">
        <is>
          <t>91785 Bayern - Pleinfeld</t>
        </is>
      </c>
      <c r="I1124" s="5" t="n">
        <v>45514</v>
      </c>
      <c r="J1124" t="inlineStr">
        <is>
          <t>Sold</t>
        </is>
      </c>
      <c r="K1124" s="6">
        <f>HYPERLINK("https://www.kleinanzeigen.de/s-anzeige/sup-fanatic-diamond-10-6-hardboard/2833456782-230-5863", "Link")</f>
        <v/>
      </c>
      <c r="L1124" s="6">
        <f>HYPERLINK("C:\Projects\Kleinanzeigen-Scraper\offer_images\2833456782", "Link")</f>
        <v/>
      </c>
      <c r="M1124" t="inlineStr">
        <is>
          <t>RS</t>
        </is>
      </c>
      <c r="N1124" s="6">
        <f>HYPERLINK("https://www.kleinanzeigen.de/s-bestandsliste.html?userId=2453505", "Link")</f>
        <v/>
      </c>
      <c r="O1124" s="7" t="n">
        <v>45549.58001157407</v>
      </c>
      <c r="P1124" s="3" t="inlineStr">
        <is>
          <t>116.79</t>
        </is>
      </c>
      <c r="Q1124" t="inlineStr">
        <is>
          <t>München</t>
        </is>
      </c>
    </row>
    <row r="1125">
      <c r="A1125" t="inlineStr">
        <is>
          <t>95 cm</t>
        </is>
      </c>
      <c r="B1125" t="inlineStr">
        <is>
          <t>Gong Kluber</t>
        </is>
      </c>
      <c r="C1125" t="inlineStr">
        <is>
          <t>Foil</t>
        </is>
      </c>
      <c r="D1125" s="3" t="inlineStr"/>
      <c r="E1125" t="inlineStr"/>
      <c r="F1125" s="4" t="n">
        <v>650</v>
      </c>
      <c r="G1125" t="inlineStr"/>
      <c r="H1125" t="inlineStr">
        <is>
          <t>23669 Kreis Ostholstein - Timmendorfer Strand</t>
        </is>
      </c>
      <c r="I1125" s="5" t="n">
        <v>45548</v>
      </c>
      <c r="J1125" t="inlineStr">
        <is>
          <t>Sold</t>
        </is>
      </c>
      <c r="K1125" s="6">
        <f>HYPERLINK("https://www.kleinanzeigen.de/s-anzeige/duotone-foil-aero-glide-sls-2145-pump-foil-board/2861850149-230-442", "Link")</f>
        <v/>
      </c>
      <c r="L1125" s="6">
        <f>HYPERLINK("C:\Projects\Kleinanzeigen-Scraper\offer_images\2861850149", "Link")</f>
        <v/>
      </c>
      <c r="M1125" t="inlineStr">
        <is>
          <t>Sebastian</t>
        </is>
      </c>
      <c r="N1125" s="6">
        <f>HYPERLINK("https://www.kleinanzeigen.de/s-bestandsliste.html?userId=14768769", "Link")</f>
        <v/>
      </c>
      <c r="O1125" s="7" t="n">
        <v>45549.58</v>
      </c>
      <c r="P1125" s="3" t="inlineStr">
        <is>
          <t>425.88</t>
        </is>
      </c>
      <c r="Q1125" t="inlineStr">
        <is>
          <t>Köln</t>
        </is>
      </c>
    </row>
    <row r="1126">
      <c r="A1126" t="inlineStr">
        <is>
          <t>Dimensions not specified</t>
        </is>
      </c>
      <c r="B1126" t="inlineStr">
        <is>
          <t>Fanatic Shark 100</t>
        </is>
      </c>
      <c r="C1126" t="inlineStr">
        <is>
          <t>Freeride</t>
        </is>
      </c>
      <c r="D1126" s="3" t="n">
        <v>100</v>
      </c>
      <c r="E1126" t="inlineStr"/>
      <c r="F1126" s="4" t="n">
        <v>500</v>
      </c>
      <c r="G1126" t="inlineStr">
        <is>
          <t>VB</t>
        </is>
      </c>
      <c r="H1126" t="inlineStr">
        <is>
          <t>47559 Nordrhein-Westfalen - Kranenburg</t>
        </is>
      </c>
      <c r="I1126" s="5" t="n">
        <v>45518</v>
      </c>
      <c r="J1126" t="inlineStr">
        <is>
          <t>Sold</t>
        </is>
      </c>
      <c r="K1126" s="6">
        <f>HYPERLINK("https://www.kleinanzeigen.de/s-anzeige/windsurfboard-fanatic-shark-100/2836994971-230-1124", "Link")</f>
        <v/>
      </c>
      <c r="L1126" s="6">
        <f>HYPERLINK("C:\Projects\Kleinanzeigen-Scraper\offer_images\2836994971", "Link")</f>
        <v/>
      </c>
      <c r="M1126" t="inlineStr">
        <is>
          <t>Jacqueline und Jens Protzek</t>
        </is>
      </c>
      <c r="N1126" s="6">
        <f>HYPERLINK("https://www.kleinanzeigen.de/s-bestandsliste.html?userId=43214846", "Link")</f>
        <v/>
      </c>
      <c r="O1126" s="7" t="n">
        <v>45549.57998842592</v>
      </c>
      <c r="P1126" s="3" t="inlineStr">
        <is>
          <t>115.15</t>
        </is>
      </c>
      <c r="Q1126" t="inlineStr">
        <is>
          <t>Köln</t>
        </is>
      </c>
    </row>
    <row r="1127">
      <c r="A1127" t="inlineStr">
        <is>
          <t>4'4</t>
        </is>
      </c>
      <c r="B1127" t="inlineStr">
        <is>
          <t>Duotone SKY SURF SLS</t>
        </is>
      </c>
      <c r="C1127" t="inlineStr">
        <is>
          <t>Surf/Freestyle</t>
        </is>
      </c>
      <c r="D1127" s="3" t="n">
        <v>35</v>
      </c>
      <c r="E1127" t="inlineStr"/>
      <c r="F1127" s="4" t="n">
        <v>950</v>
      </c>
      <c r="G1127" t="inlineStr"/>
      <c r="H1127" t="inlineStr">
        <is>
          <t>82467 Bayern - Garmisch-Partenkirchen</t>
        </is>
      </c>
      <c r="I1127" s="5" t="n">
        <v>45538</v>
      </c>
      <c r="J1127" t="inlineStr">
        <is>
          <t>Sold</t>
        </is>
      </c>
      <c r="K1127" s="6">
        <f>HYPERLINK("https://www.kleinanzeigen.de/s-anzeige/duotone-sky-surf-sls-4-4-35l-wing-surf-freestyle-grom/2853428487-230-6338", "Link")</f>
        <v/>
      </c>
      <c r="L1127" s="6">
        <f>HYPERLINK("C:\Projects\Kleinanzeigen-Scraper\offer_images\2853428487", "Link")</f>
        <v/>
      </c>
      <c r="M1127" t="inlineStr">
        <is>
          <t>Julia Bücking</t>
        </is>
      </c>
      <c r="N1127" s="6">
        <f>HYPERLINK("https://www.kleinanzeigen.de/s-bestandsliste.html?userId=79652599", "Link")</f>
        <v/>
      </c>
      <c r="O1127" s="7" t="n">
        <v>45549.57998842592</v>
      </c>
      <c r="P1127" s="3" t="inlineStr">
        <is>
          <t>80.76</t>
        </is>
      </c>
      <c r="Q1127" t="inlineStr">
        <is>
          <t>München</t>
        </is>
      </c>
    </row>
    <row r="1128">
      <c r="A1128" t="inlineStr">
        <is>
          <t>5'2</t>
        </is>
      </c>
      <c r="B1128" t="inlineStr">
        <is>
          <t>Fanatic Sky Wing</t>
        </is>
      </c>
      <c r="C1128" t="inlineStr">
        <is>
          <t>Allround</t>
        </is>
      </c>
      <c r="D1128" s="3" t="n">
        <v>85</v>
      </c>
      <c r="E1128" t="inlineStr">
        <is>
          <t>2023</t>
        </is>
      </c>
      <c r="F1128" s="4" t="n">
        <v>530</v>
      </c>
      <c r="G1128" t="inlineStr"/>
      <c r="H1128" t="inlineStr">
        <is>
          <t>10719 Berlin - Wilmersdorf</t>
        </is>
      </c>
      <c r="I1128" s="5" t="n">
        <v>45515</v>
      </c>
      <c r="J1128" t="inlineStr">
        <is>
          <t>Sold</t>
        </is>
      </c>
      <c r="K1128" s="6">
        <f>HYPERLINK("https://www.kleinanzeigen.de/s-anzeige/fanatic-sky-wing-5-2-85l-inkl-boardbag-und-schlaufen/2834052698-230-3538", "Link")</f>
        <v/>
      </c>
      <c r="L1128" s="6">
        <f>HYPERLINK("C:\Projects\Kleinanzeigen-Scraper\offer_images\2834052698", "Link")</f>
        <v/>
      </c>
      <c r="M1128" t="inlineStr">
        <is>
          <t>Josef M.</t>
        </is>
      </c>
      <c r="N1128" s="6">
        <f>HYPERLINK("https://www.kleinanzeigen.de/s-bestandsliste.html?userId=43603011", "Link")</f>
        <v/>
      </c>
      <c r="O1128" s="7" t="n">
        <v>45549.57996527778</v>
      </c>
      <c r="P1128" s="3" t="inlineStr">
        <is>
          <t>471.73</t>
        </is>
      </c>
      <c r="Q1128" t="inlineStr">
        <is>
          <t>Köln</t>
        </is>
      </c>
    </row>
    <row r="1129">
      <c r="A1129" t="inlineStr">
        <is>
          <t>133</t>
        </is>
      </c>
      <c r="B1129" t="inlineStr">
        <is>
          <t>Naish Sol</t>
        </is>
      </c>
      <c r="C1129" t="inlineStr">
        <is>
          <t>Kiteboard</t>
        </is>
      </c>
      <c r="D1129" s="3" t="inlineStr"/>
      <c r="E1129" t="inlineStr"/>
      <c r="F1129" s="4" t="n">
        <v>120</v>
      </c>
      <c r="G1129" t="inlineStr">
        <is>
          <t>VB</t>
        </is>
      </c>
      <c r="H1129" t="inlineStr">
        <is>
          <t>50677 Innenstadt - Köln Altstadt</t>
        </is>
      </c>
      <c r="I1129" s="5" t="n">
        <v>45497</v>
      </c>
      <c r="J1129" t="inlineStr">
        <is>
          <t>Sold</t>
        </is>
      </c>
      <c r="K1129" s="6">
        <f>HYPERLINK("https://www.kleinanzeigen.de/s-anzeige/naish-kiteboard-sol-133-inkl-finnen-straps/2805823952-230-990", "Link")</f>
        <v/>
      </c>
      <c r="L1129" s="6">
        <f>HYPERLINK("C:\Projects\Kleinanzeigen-Scraper\offer_images\2805823952", "Link")</f>
        <v/>
      </c>
      <c r="M1129" t="inlineStr">
        <is>
          <t>Niklas</t>
        </is>
      </c>
      <c r="N1129" s="6">
        <f>HYPERLINK("https://www.kleinanzeigen.de/s-bestandsliste.html?userId=4149251", "Link")</f>
        <v/>
      </c>
      <c r="O1129" s="7" t="n">
        <v>45549.57996527778</v>
      </c>
      <c r="P1129" s="3" t="inlineStr">
        <is>
          <t>2.07</t>
        </is>
      </c>
      <c r="Q1129" t="inlineStr">
        <is>
          <t>Köln</t>
        </is>
      </c>
    </row>
    <row r="1130">
      <c r="A1130" t="inlineStr"/>
      <c r="B1130" t="inlineStr">
        <is>
          <t>Naish</t>
        </is>
      </c>
      <c r="C1130" t="inlineStr">
        <is>
          <t>Freewave</t>
        </is>
      </c>
      <c r="D1130" s="3" t="n">
        <v>90</v>
      </c>
      <c r="E1130" t="inlineStr"/>
      <c r="F1130" s="4" t="n">
        <v>350</v>
      </c>
      <c r="G1130" t="inlineStr">
        <is>
          <t>VB</t>
        </is>
      </c>
      <c r="H1130" t="inlineStr">
        <is>
          <t>24105 Schleswig-Holstein - Kiel</t>
        </is>
      </c>
      <c r="I1130" s="5" t="n">
        <v>45473</v>
      </c>
      <c r="J1130" t="inlineStr">
        <is>
          <t>Sold</t>
        </is>
      </c>
      <c r="K1130" s="6">
        <f>HYPERLINK("https://www.kleinanzeigen.de/s-anzeige/surfboard-naish-90-liter-freewave/2800487950-230-708", "Link")</f>
        <v/>
      </c>
      <c r="L1130" s="6">
        <f>HYPERLINK("C:\Projects\Kleinanzeigen-Scraper\offer_images\2800487950", "Link")</f>
        <v/>
      </c>
      <c r="M1130" t="inlineStr">
        <is>
          <t>Martina Fuchs</t>
        </is>
      </c>
      <c r="N1130" s="6">
        <f>HYPERLINK("https://www.kleinanzeigen.de/s-bestandsliste.html?userId=67941009", "Link")</f>
        <v/>
      </c>
      <c r="O1130" s="7" t="n">
        <v>45549.57994212963</v>
      </c>
      <c r="P1130" s="3" t="inlineStr">
        <is>
          <t>435.05</t>
        </is>
      </c>
      <c r="Q1130" t="inlineStr">
        <is>
          <t>Köln</t>
        </is>
      </c>
    </row>
    <row r="1131">
      <c r="A1131" t="inlineStr">
        <is>
          <t>5'8</t>
        </is>
      </c>
      <c r="B1131" t="inlineStr">
        <is>
          <t>Fanatic Sky Air</t>
        </is>
      </c>
      <c r="C1131" t="inlineStr">
        <is>
          <t>Wingfoil</t>
        </is>
      </c>
      <c r="D1131" s="3" t="n">
        <v>120</v>
      </c>
      <c r="E1131" t="inlineStr"/>
      <c r="F1131" s="4" t="n">
        <v>500</v>
      </c>
      <c r="G1131" t="inlineStr"/>
      <c r="H1131" t="inlineStr">
        <is>
          <t>88131 Bayern - Lindau</t>
        </is>
      </c>
      <c r="I1131" s="5" t="n">
        <v>45524</v>
      </c>
      <c r="J1131" t="inlineStr">
        <is>
          <t>Sold</t>
        </is>
      </c>
      <c r="K1131" s="6">
        <f>HYPERLINK("https://www.kleinanzeigen.de/s-anzeige/fanatic-sky-air-5-8-wingfoil-board-120l/2841824351-230-7707", "Link")</f>
        <v/>
      </c>
      <c r="L1131" s="6">
        <f>HYPERLINK("C:\Projects\Kleinanzeigen-Scraper\offer_images\2841824351", "Link")</f>
        <v/>
      </c>
      <c r="M1131" t="inlineStr">
        <is>
          <t>Daniel</t>
        </is>
      </c>
      <c r="N1131" s="6">
        <f>HYPERLINK("https://www.kleinanzeigen.de/s-bestandsliste.html?userId=131360996", "Link")</f>
        <v/>
      </c>
      <c r="O1131" s="7" t="n">
        <v>45549.57994212963</v>
      </c>
      <c r="P1131" s="3" t="inlineStr">
        <is>
          <t>104.13</t>
        </is>
      </c>
      <c r="Q1131" t="inlineStr">
        <is>
          <t>Bonndorf</t>
        </is>
      </c>
    </row>
    <row r="1132">
      <c r="A1132" t="inlineStr"/>
      <c r="B1132" t="inlineStr">
        <is>
          <t>Severne Nano</t>
        </is>
      </c>
      <c r="C1132" t="inlineStr"/>
      <c r="D1132" s="3" t="n">
        <v>92</v>
      </c>
      <c r="E1132" t="inlineStr"/>
      <c r="F1132" s="4" t="n">
        <v>800</v>
      </c>
      <c r="G1132" t="inlineStr">
        <is>
          <t>VB</t>
        </is>
      </c>
      <c r="H1132" t="inlineStr">
        <is>
          <t>21640 Niedersachsen - Nottensdorf</t>
        </is>
      </c>
      <c r="I1132" s="5" t="n">
        <v>45500</v>
      </c>
      <c r="J1132" t="inlineStr">
        <is>
          <t>Sold</t>
        </is>
      </c>
      <c r="K1132" s="6">
        <f>HYPERLINK("https://www.kleinanzeigen.de/s-anzeige/surfbrett-severne-nano-92-l/2822659645-230-3290", "Link")</f>
        <v/>
      </c>
      <c r="L1132" s="6">
        <f>HYPERLINK("C:\Projects\Kleinanzeigen-Scraper\offer_images\2822659645", "Link")</f>
        <v/>
      </c>
      <c r="M1132" t="inlineStr">
        <is>
          <t>Privater Anbieter</t>
        </is>
      </c>
      <c r="N1132" s="6">
        <f>HYPERLINK("https://www.kleinanzeigen.de/s-bestandsliste.html?userId=8163001", "Link")</f>
        <v/>
      </c>
      <c r="O1132" s="7" t="n">
        <v>45549.57994212963</v>
      </c>
      <c r="P1132" s="3" t="inlineStr">
        <is>
          <t>337.05</t>
        </is>
      </c>
      <c r="Q1132" t="inlineStr">
        <is>
          <t>Köln</t>
        </is>
      </c>
    </row>
    <row r="1133">
      <c r="A1133" t="inlineStr">
        <is>
          <t>Dimensions not specified</t>
        </is>
      </c>
      <c r="B1133" t="inlineStr">
        <is>
          <t>Tabou Air Ride Plus 81 TEAM</t>
        </is>
      </c>
      <c r="C1133" t="inlineStr">
        <is>
          <t>Foiling</t>
        </is>
      </c>
      <c r="D1133" s="3" t="n">
        <v>155</v>
      </c>
      <c r="E1133" t="inlineStr">
        <is>
          <t>2021</t>
        </is>
      </c>
      <c r="F1133" s="4" t="n">
        <v>850</v>
      </c>
      <c r="G1133" t="inlineStr">
        <is>
          <t>VB</t>
        </is>
      </c>
      <c r="H1133" t="inlineStr">
        <is>
          <t>31515 Niedersachsen - Wunstorf</t>
        </is>
      </c>
      <c r="I1133" s="5" t="n">
        <v>45456</v>
      </c>
      <c r="J1133" t="inlineStr"/>
      <c r="K1133" s="6">
        <f>HYPERLINK("https://www.kleinanzeigen.de/s-anzeige/tabou-air-ride-plus-81-team-windfoil-foiling-windsurf/2787157129-230-2930", "Link")</f>
        <v/>
      </c>
      <c r="L1133" s="6">
        <f>HYPERLINK("C:\Projects\Kleinanzeigen-Scraper\offer_images\2787157129", "Link")</f>
        <v/>
      </c>
      <c r="M1133" t="inlineStr">
        <is>
          <t>J. A.</t>
        </is>
      </c>
      <c r="N1133" s="6">
        <f>HYPERLINK("https://www.kleinanzeigen.de/s-bestandsliste.html?userId=21599915", "Link")</f>
        <v/>
      </c>
      <c r="O1133" s="7" t="n">
        <v>45549.57994212963</v>
      </c>
      <c r="P1133" s="3" t="inlineStr">
        <is>
          <t>236.47</t>
        </is>
      </c>
      <c r="Q1133" t="inlineStr">
        <is>
          <t>Köln</t>
        </is>
      </c>
    </row>
    <row r="1134">
      <c r="A1134" t="inlineStr">
        <is>
          <t>1.52 m</t>
        </is>
      </c>
      <c r="B1134" t="inlineStr">
        <is>
          <t>Naish Hover</t>
        </is>
      </c>
      <c r="C1134" t="inlineStr">
        <is>
          <t>Wingfoil</t>
        </is>
      </c>
      <c r="D1134" s="3" t="n">
        <v>75</v>
      </c>
      <c r="E1134" t="inlineStr">
        <is>
          <t>2021</t>
        </is>
      </c>
      <c r="F1134" s="4" t="n">
        <v>390</v>
      </c>
      <c r="G1134" t="inlineStr">
        <is>
          <t>VB</t>
        </is>
      </c>
      <c r="H1134" t="inlineStr">
        <is>
          <t>22397 Wandsbek - Hamburg Duvenstedt</t>
        </is>
      </c>
      <c r="I1134" s="5" t="n">
        <v>45521</v>
      </c>
      <c r="J1134" t="inlineStr">
        <is>
          <t>Sold</t>
        </is>
      </c>
      <c r="K1134" s="6">
        <f>HYPERLINK("https://www.kleinanzeigen.de/s-anzeige/wingfoil-board-naish-hover-carbon-75l/2839247951-230-9473", "Link")</f>
        <v/>
      </c>
      <c r="L1134" s="6">
        <f>HYPERLINK("C:\Projects\Kleinanzeigen-Scraper\offer_images\2839247951", "Link")</f>
        <v/>
      </c>
      <c r="M1134" t="inlineStr">
        <is>
          <t>Leo</t>
        </is>
      </c>
      <c r="N1134" s="6">
        <f>HYPERLINK("https://www.kleinanzeigen.de/s-bestandsliste.html?userId=84556192", "Link")</f>
        <v/>
      </c>
      <c r="O1134" s="7" t="n">
        <v>45549.57994212963</v>
      </c>
      <c r="P1134" s="3" t="inlineStr">
        <is>
          <t>373.25</t>
        </is>
      </c>
      <c r="Q1134" t="inlineStr">
        <is>
          <t>Köln</t>
        </is>
      </c>
    </row>
    <row r="1135">
      <c r="A1135" t="inlineStr">
        <is>
          <t>250 cm x 78 cm</t>
        </is>
      </c>
      <c r="B1135" t="inlineStr">
        <is>
          <t>Fanatic Shark</t>
        </is>
      </c>
      <c r="C1135" t="inlineStr">
        <is>
          <t>Freeride</t>
        </is>
      </c>
      <c r="D1135" s="3" t="n">
        <v>150</v>
      </c>
      <c r="E1135" t="inlineStr"/>
      <c r="F1135" s="4" t="n">
        <v>450</v>
      </c>
      <c r="G1135" t="inlineStr"/>
      <c r="H1135" t="inlineStr">
        <is>
          <t>14169 Berlin - Dahlem</t>
        </is>
      </c>
      <c r="I1135" s="5" t="n">
        <v>45512</v>
      </c>
      <c r="J1135" t="inlineStr">
        <is>
          <t>Sold</t>
        </is>
      </c>
      <c r="K1135" s="6">
        <f>HYPERLINK("https://www.kleinanzeigen.de/s-anzeige/surfboard-fanatic-shark-150-inkl-boardbag/2831990373-230-30288", "Link")</f>
        <v/>
      </c>
      <c r="L1135" s="6">
        <f>HYPERLINK("C:\Projects\Kleinanzeigen-Scraper\offer_images\2831990373", "Link")</f>
        <v/>
      </c>
      <c r="M1135" t="inlineStr">
        <is>
          <t>Sebastian</t>
        </is>
      </c>
      <c r="N1135" s="6">
        <f>HYPERLINK("https://www.kleinanzeigen.de/s-bestandsliste.html?userId=6992498", "Link")</f>
        <v/>
      </c>
      <c r="O1135" s="7" t="n">
        <v>45549.57994212963</v>
      </c>
      <c r="P1135" s="3" t="inlineStr">
        <is>
          <t>465.88</t>
        </is>
      </c>
      <c r="Q1135" t="inlineStr">
        <is>
          <t>Köln</t>
        </is>
      </c>
    </row>
    <row r="1136">
      <c r="A1136" t="inlineStr"/>
      <c r="B1136" t="inlineStr">
        <is>
          <t>Severne Nuevo</t>
        </is>
      </c>
      <c r="C1136" t="inlineStr">
        <is>
          <t>Freeride</t>
        </is>
      </c>
      <c r="D1136" s="3" t="n">
        <v>120</v>
      </c>
      <c r="E1136" t="inlineStr"/>
      <c r="F1136" s="4" t="n">
        <v>1.1</v>
      </c>
      <c r="G1136" t="inlineStr"/>
      <c r="H1136" t="inlineStr">
        <is>
          <t>71549 Baden-Württemberg - Auenwald</t>
        </is>
      </c>
      <c r="I1136" s="5" t="n">
        <v>45526</v>
      </c>
      <c r="J1136" t="inlineStr"/>
      <c r="K1136" s="6">
        <f>HYPERLINK("https://www.kleinanzeigen.de/s-anzeige/severne-nuevo-120-l-windsurfbrett-surfbrett/2843288103-230-20234", "Link")</f>
        <v/>
      </c>
      <c r="L1136" s="6">
        <f>HYPERLINK("C:\Projects\Kleinanzeigen-Scraper\offer_images\2843288103", "Link")</f>
        <v/>
      </c>
      <c r="M1136" t="inlineStr">
        <is>
          <t>Sam</t>
        </is>
      </c>
      <c r="N1136" s="6">
        <f>HYPERLINK("https://www.kleinanzeigen.de/s-bestandsliste.html?userId=91227219", "Link")</f>
        <v/>
      </c>
      <c r="O1136" s="7" t="n">
        <v>45549.57991898148</v>
      </c>
      <c r="P1136" s="3" t="inlineStr">
        <is>
          <t>49.16</t>
        </is>
      </c>
      <c r="Q1136" t="inlineStr">
        <is>
          <t>Böblingen</t>
        </is>
      </c>
    </row>
    <row r="1137">
      <c r="A1137" t="inlineStr">
        <is>
          <t>426x69 cm</t>
        </is>
      </c>
      <c r="B1137" t="inlineStr">
        <is>
          <t>JP Australia</t>
        </is>
      </c>
      <c r="C1137" t="inlineStr">
        <is>
          <t>Race</t>
        </is>
      </c>
      <c r="D1137" s="3" t="n">
        <v>312</v>
      </c>
      <c r="E1137" t="inlineStr"/>
      <c r="F1137" s="4" t="n">
        <v>570</v>
      </c>
      <c r="G1137" t="inlineStr">
        <is>
          <t>VB</t>
        </is>
      </c>
      <c r="H1137" t="inlineStr">
        <is>
          <t>85221 Kr. Dachau - Dachau</t>
        </is>
      </c>
      <c r="I1137" s="5" t="n">
        <v>45530</v>
      </c>
      <c r="J1137" t="inlineStr"/>
      <c r="K1137" s="6">
        <f>HYPERLINK("https://www.kleinanzeigen.de/s-anzeige/jp-australia-sup-board-race-carbon-14x27-downwind/2847265173-230-5977", "Link")</f>
        <v/>
      </c>
      <c r="L1137" s="6">
        <f>HYPERLINK("C:\Projects\Kleinanzeigen-Scraper\offer_images\2847265173", "Link")</f>
        <v/>
      </c>
      <c r="M1137" t="inlineStr">
        <is>
          <t>Holger N</t>
        </is>
      </c>
      <c r="N1137" s="6">
        <f>HYPERLINK("https://www.kleinanzeigen.de/s-bestandsliste.html?userId=13801573", "Link")</f>
        <v/>
      </c>
      <c r="O1137" s="7" t="n">
        <v>45549.57989583333</v>
      </c>
      <c r="P1137" s="3" t="inlineStr">
        <is>
          <t>16.19</t>
        </is>
      </c>
      <c r="Q1137" t="inlineStr">
        <is>
          <t>München</t>
        </is>
      </c>
    </row>
    <row r="1138">
      <c r="A1138" t="inlineStr">
        <is>
          <t>138/41</t>
        </is>
      </c>
      <c r="B1138" t="inlineStr">
        <is>
          <t>North Carbon Select/Textreme</t>
        </is>
      </c>
      <c r="C1138" t="inlineStr"/>
      <c r="D1138" s="3" t="inlineStr"/>
      <c r="E1138" t="inlineStr"/>
      <c r="F1138" s="4" t="n">
        <v>490</v>
      </c>
      <c r="G1138" t="inlineStr"/>
      <c r="H1138" t="inlineStr">
        <is>
          <t>13595 Berlin - Spandau</t>
        </is>
      </c>
      <c r="I1138" s="5" t="n">
        <v>45547</v>
      </c>
      <c r="J1138" t="inlineStr">
        <is>
          <t>Sold</t>
        </is>
      </c>
      <c r="K1138" s="6">
        <f>HYPERLINK("https://www.kleinanzeigen.de/s-anzeige/kiteboard-north-carbon-select-textreme-138-41/2861459397-230-3433", "Link")</f>
        <v/>
      </c>
      <c r="L1138" s="6">
        <f>HYPERLINK("C:\Projects\Kleinanzeigen-Scraper\offer_images\2861459397", "Link")</f>
        <v/>
      </c>
      <c r="M1138" t="inlineStr">
        <is>
          <t>Marcus</t>
        </is>
      </c>
      <c r="N1138" s="6">
        <f>HYPERLINK("https://www.kleinanzeigen.de/s-bestandsliste.html?userId=71160964", "Link")</f>
        <v/>
      </c>
      <c r="O1138" s="7" t="n">
        <v>45549.57989583333</v>
      </c>
      <c r="P1138" s="3" t="inlineStr">
        <is>
          <t>463.54</t>
        </is>
      </c>
      <c r="Q1138" t="inlineStr">
        <is>
          <t>Köln</t>
        </is>
      </c>
    </row>
    <row r="1139">
      <c r="A1139" t="inlineStr">
        <is>
          <t>150L</t>
        </is>
      </c>
      <c r="B1139" t="inlineStr">
        <is>
          <t>JP Australia Hydrfoil Pro</t>
        </is>
      </c>
      <c r="C1139" t="inlineStr">
        <is>
          <t>Hydrofoil</t>
        </is>
      </c>
      <c r="D1139" s="3" t="n">
        <v>150</v>
      </c>
      <c r="E1139" t="inlineStr">
        <is>
          <t>2020</t>
        </is>
      </c>
      <c r="F1139" s="4" t="n">
        <v>850</v>
      </c>
      <c r="G1139" t="inlineStr">
        <is>
          <t>VB</t>
        </is>
      </c>
      <c r="H1139" t="inlineStr">
        <is>
          <t>15537 Brandenburg - Erkner</t>
        </is>
      </c>
      <c r="I1139" s="5" t="n">
        <v>45538</v>
      </c>
      <c r="J1139" t="inlineStr"/>
      <c r="K1139" s="6">
        <f>HYPERLINK("https://www.kleinanzeigen.de/s-anzeige/jp-australia-hydrfoil-pro-150l-von-2020/2853707282-230-13537", "Link")</f>
        <v/>
      </c>
      <c r="L1139" s="6">
        <f>HYPERLINK("C:\Projects\Kleinanzeigen-Scraper\offer_images\2853707282", "Link")</f>
        <v/>
      </c>
      <c r="M1139" t="inlineStr">
        <is>
          <t>D J</t>
        </is>
      </c>
      <c r="N1139" s="6">
        <f>HYPERLINK("https://www.kleinanzeigen.de/s-bestandsliste.html?userId=300640", "Link")</f>
        <v/>
      </c>
      <c r="O1139" s="7" t="n">
        <v>45549.57989583333</v>
      </c>
      <c r="P1139" s="3" t="inlineStr">
        <is>
          <t>503.97</t>
        </is>
      </c>
      <c r="Q1139" t="inlineStr">
        <is>
          <t>München</t>
        </is>
      </c>
    </row>
    <row r="1140">
      <c r="A1140" t="inlineStr">
        <is>
          <t>12'6" x 30"</t>
        </is>
      </c>
      <c r="B1140" t="inlineStr">
        <is>
          <t>JP Australia Hybrid</t>
        </is>
      </c>
      <c r="C1140" t="inlineStr">
        <is>
          <t>TourenSUP AllroundSUP HardSUP</t>
        </is>
      </c>
      <c r="D1140" s="3" t="inlineStr"/>
      <c r="E1140" t="inlineStr"/>
      <c r="F1140" s="4" t="n">
        <v>690</v>
      </c>
      <c r="G1140" t="inlineStr"/>
      <c r="H1140" t="inlineStr">
        <is>
          <t>82223 Bayern - Eichenau</t>
        </is>
      </c>
      <c r="I1140" s="5" t="n">
        <v>45506</v>
      </c>
      <c r="J1140" t="inlineStr"/>
      <c r="K1140" s="6">
        <f>HYPERLINK("https://www.kleinanzeigen.de/s-anzeige/jp-australia-sup-hybrid-12-6-tourensup-allroundsup-hardsup/2827424638-230-16921", "Link")</f>
        <v/>
      </c>
      <c r="L1140" s="6">
        <f>HYPERLINK("C:\Projects\Kleinanzeigen-Scraper\offer_images\2827424638", "Link")</f>
        <v/>
      </c>
      <c r="M1140" t="inlineStr">
        <is>
          <t>Rudolf Schmid</t>
        </is>
      </c>
      <c r="N1140" s="6">
        <f>HYPERLINK("https://www.kleinanzeigen.de/s-bestandsliste.html?userId=17231482", "Link")</f>
        <v/>
      </c>
      <c r="O1140" s="7" t="n">
        <v>45549.57988425926</v>
      </c>
      <c r="P1140" s="3" t="inlineStr">
        <is>
          <t>19.02</t>
        </is>
      </c>
      <c r="Q1140" t="inlineStr">
        <is>
          <t>München</t>
        </is>
      </c>
    </row>
    <row r="1141">
      <c r="A1141" t="inlineStr">
        <is>
          <t>5'9</t>
        </is>
      </c>
      <c r="B1141" t="inlineStr">
        <is>
          <t>North Seek</t>
        </is>
      </c>
      <c r="C1141" t="inlineStr">
        <is>
          <t>Wingfoil</t>
        </is>
      </c>
      <c r="D1141" s="3" t="n">
        <v>117</v>
      </c>
      <c r="E1141" t="inlineStr"/>
      <c r="F1141" s="4" t="n">
        <v>450</v>
      </c>
      <c r="G1141" t="inlineStr"/>
      <c r="H1141" t="inlineStr">
        <is>
          <t>22399 Wandsbek - Hamburg Hummelsbüttel</t>
        </is>
      </c>
      <c r="I1141" s="5" t="n">
        <v>45549</v>
      </c>
      <c r="J1141" t="inlineStr">
        <is>
          <t>Sold</t>
        </is>
      </c>
      <c r="K1141" s="6">
        <f>HYPERLINK("https://www.kleinanzeigen.de/s-anzeige/north-seek-5-9-117l-board-wing-wingfoil-wingsurf-wingfoilboard/2862993184-230-9472", "Link")</f>
        <v/>
      </c>
      <c r="L1141" s="6">
        <f>HYPERLINK("C:\Projects\Kleinanzeigen-Scraper\offer_images\2862993184", "Link")</f>
        <v/>
      </c>
      <c r="M1141" t="inlineStr">
        <is>
          <t>Engler</t>
        </is>
      </c>
      <c r="N1141" s="6">
        <f>HYPERLINK("https://www.kleinanzeigen.de/s-bestandsliste.html?userId=39020884", "Link")</f>
        <v/>
      </c>
      <c r="O1141" s="7" t="n">
        <v>45549.57988425926</v>
      </c>
      <c r="P1141" s="3" t="inlineStr">
        <is>
          <t>369.80</t>
        </is>
      </c>
      <c r="Q1141" t="inlineStr">
        <is>
          <t>Köln</t>
        </is>
      </c>
    </row>
    <row r="1142">
      <c r="A1142" t="inlineStr">
        <is>
          <t>Dimensions not specified</t>
        </is>
      </c>
      <c r="B1142" t="inlineStr">
        <is>
          <t>Fanatic Quad</t>
        </is>
      </c>
      <c r="C1142" t="inlineStr">
        <is>
          <t>Wave</t>
        </is>
      </c>
      <c r="D1142" s="3" t="n">
        <v>89</v>
      </c>
      <c r="E1142" t="inlineStr"/>
      <c r="F1142" s="4" t="n">
        <v>100</v>
      </c>
      <c r="G1142" t="inlineStr"/>
      <c r="H1142" t="inlineStr">
        <is>
          <t>25578 Schleswig-Holstein - Dägeling</t>
        </is>
      </c>
      <c r="I1142" s="5" t="n">
        <v>45520</v>
      </c>
      <c r="J1142" t="inlineStr">
        <is>
          <t>Sold</t>
        </is>
      </c>
      <c r="K1142" s="6">
        <f>HYPERLINK("https://www.kleinanzeigen.de/s-anzeige/fanatic-quad-89-liter/2838376719-230-20070", "Link")</f>
        <v/>
      </c>
      <c r="L1142" s="6">
        <f>HYPERLINK("C:\Projects\Kleinanzeigen-Scraper\offer_images\2838376719", "Link")</f>
        <v/>
      </c>
      <c r="M1142" t="inlineStr">
        <is>
          <t>Sven Olde</t>
        </is>
      </c>
      <c r="N1142" s="6">
        <f>HYPERLINK("https://www.kleinanzeigen.de/s-bestandsliste.html?userId=22610828", "Link")</f>
        <v/>
      </c>
      <c r="O1142" s="7" t="n">
        <v>45549.57987268519</v>
      </c>
      <c r="P1142" s="3" t="inlineStr">
        <is>
          <t>370.63</t>
        </is>
      </c>
      <c r="Q1142" t="inlineStr">
        <is>
          <t>Köln</t>
        </is>
      </c>
    </row>
    <row r="1143">
      <c r="A1143" t="inlineStr">
        <is>
          <t>130 l</t>
        </is>
      </c>
      <c r="B1143" t="inlineStr">
        <is>
          <t>Fanatic Rabbit</t>
        </is>
      </c>
      <c r="C1143" t="inlineStr">
        <is>
          <t>Beginner</t>
        </is>
      </c>
      <c r="D1143" s="3" t="n">
        <v>130</v>
      </c>
      <c r="E1143" t="inlineStr"/>
      <c r="F1143" s="4" t="n">
        <v>99</v>
      </c>
      <c r="G1143" t="inlineStr">
        <is>
          <t>VB</t>
        </is>
      </c>
      <c r="H1143" t="inlineStr">
        <is>
          <t>75196 Baden-Württemberg - Remchingen</t>
        </is>
      </c>
      <c r="I1143" s="5" t="n">
        <v>45506</v>
      </c>
      <c r="J1143" t="inlineStr">
        <is>
          <t>Sold</t>
        </is>
      </c>
      <c r="K1143" s="6">
        <f>HYPERLINK("https://www.kleinanzeigen.de/s-anzeige/130-l-fanatic-rabbit-topzustand/2827329923-230-8245", "Link")</f>
        <v/>
      </c>
      <c r="L1143" s="6">
        <f>HYPERLINK("C:\Projects\Kleinanzeigen-Scraper\offer_images\2827329923", "Link")</f>
        <v/>
      </c>
      <c r="M1143" t="inlineStr">
        <is>
          <t>Peter Held</t>
        </is>
      </c>
      <c r="N1143" s="6">
        <f>HYPERLINK("https://www.kleinanzeigen.de/s-bestandsliste.html?userId=30222529", "Link")</f>
        <v/>
      </c>
      <c r="O1143" s="7" t="n">
        <v>45549.57986111111</v>
      </c>
      <c r="P1143" s="3" t="inlineStr">
        <is>
          <t>15.74</t>
        </is>
      </c>
      <c r="Q1143" t="inlineStr">
        <is>
          <t>Karlsruhe</t>
        </is>
      </c>
    </row>
    <row r="1144">
      <c r="A1144" t="inlineStr">
        <is>
          <t>7'8" x 22.5"</t>
        </is>
      </c>
      <c r="B1144" t="inlineStr">
        <is>
          <t>Duotone Downwinder SLS</t>
        </is>
      </c>
      <c r="C1144" t="inlineStr"/>
      <c r="D1144" s="3" t="n">
        <v>135</v>
      </c>
      <c r="E1144" t="inlineStr">
        <is>
          <t>2024</t>
        </is>
      </c>
      <c r="F1144" s="4" t="n">
        <v>1.679</v>
      </c>
      <c r="G1144" t="inlineStr"/>
      <c r="H1144" t="inlineStr">
        <is>
          <t>82319 Bayern - Starnberg</t>
        </is>
      </c>
      <c r="I1144" s="5" t="n">
        <v>45547</v>
      </c>
      <c r="J1144" t="inlineStr">
        <is>
          <t>Sold</t>
        </is>
      </c>
      <c r="K1144" s="6">
        <f>HYPERLINK("https://www.kleinanzeigen.de/s-anzeige/duotone-downwinder-sls-7-8-duotone-2024-ausstellungsstueck/2836223697-230-5525", "Link")</f>
        <v/>
      </c>
      <c r="L1144" s="6">
        <f>HYPERLINK("C:\Projects\Kleinanzeigen-Scraper\offer_images\2836223697", "Link")</f>
        <v/>
      </c>
      <c r="M1144" t="inlineStr">
        <is>
          <t>No user name</t>
        </is>
      </c>
      <c r="N1144" s="6">
        <f>HYPERLINK("https://www.kleinanzeigen.deNo user link", "Link")</f>
        <v/>
      </c>
      <c r="O1144" s="7" t="n">
        <v>45549.57986111111</v>
      </c>
      <c r="P1144" s="3" t="inlineStr">
        <is>
          <t>23.17</t>
        </is>
      </c>
      <c r="Q1144" t="inlineStr">
        <is>
          <t>München</t>
        </is>
      </c>
    </row>
    <row r="1145">
      <c r="A1145" t="inlineStr">
        <is>
          <t>260×66</t>
        </is>
      </c>
      <c r="B1145" t="inlineStr">
        <is>
          <t>Starboard Carve</t>
        </is>
      </c>
      <c r="C1145" t="inlineStr">
        <is>
          <t>Freeride</t>
        </is>
      </c>
      <c r="D1145" s="3" t="n">
        <v>121</v>
      </c>
      <c r="E1145" t="inlineStr"/>
      <c r="F1145" s="4" t="n">
        <v>250</v>
      </c>
      <c r="G1145" t="inlineStr">
        <is>
          <t>VB</t>
        </is>
      </c>
      <c r="H1145" t="inlineStr">
        <is>
          <t>15370 Brandenburg - Fredersdorf-Vogelsdorf</t>
        </is>
      </c>
      <c r="I1145" s="5" t="n">
        <v>45547</v>
      </c>
      <c r="J1145" t="inlineStr"/>
      <c r="K1145" s="6">
        <f>HYPERLINK("https://www.kleinanzeigen.de/s-anzeige/surfbrett-starboard-carve-121/2860924695-230-10511", "Link")</f>
        <v/>
      </c>
      <c r="L1145" s="6">
        <f>HYPERLINK("C:\Projects\Kleinanzeigen-Scraper\offer_images\2860924695", "Link")</f>
        <v/>
      </c>
      <c r="M1145" t="inlineStr">
        <is>
          <t>repo-fredo</t>
        </is>
      </c>
      <c r="N1145" s="6">
        <f>HYPERLINK("https://www.kleinanzeigen.de/s-bestandsliste.html?userId=141020740", "Link")</f>
        <v/>
      </c>
      <c r="O1145" s="7" t="n">
        <v>45549.57986111111</v>
      </c>
      <c r="P1145" s="3" t="inlineStr">
        <is>
          <t>501.43</t>
        </is>
      </c>
      <c r="Q1145" t="inlineStr">
        <is>
          <t>Köln</t>
        </is>
      </c>
    </row>
    <row r="1146">
      <c r="A1146" t="inlineStr"/>
      <c r="B1146" t="inlineStr">
        <is>
          <t>Fanatic SUB Ripper Air</t>
        </is>
      </c>
      <c r="C1146" t="inlineStr">
        <is>
          <t>Touring</t>
        </is>
      </c>
      <c r="D1146" s="3" t="n">
        <v>180</v>
      </c>
      <c r="E1146" t="inlineStr"/>
      <c r="F1146" s="4" t="n">
        <v>250</v>
      </c>
      <c r="G1146" t="inlineStr"/>
      <c r="H1146" t="inlineStr">
        <is>
          <t>39340 Sachsen-Anhalt - Haldensleben</t>
        </is>
      </c>
      <c r="I1146" s="5" t="n">
        <v>45534</v>
      </c>
      <c r="J1146" t="inlineStr">
        <is>
          <t>Sold</t>
        </is>
      </c>
      <c r="K1146" s="6">
        <f>HYPERLINK("https://www.kleinanzeigen.de/s-anzeige/-top-fanatic-sub-ripper-air-wie-neu-/2849631437-230-2203", "Link")</f>
        <v/>
      </c>
      <c r="L1146" s="6">
        <f>HYPERLINK("C:\Projects\Kleinanzeigen-Scraper\offer_images\2849631437", "Link")</f>
        <v/>
      </c>
      <c r="M1146" t="inlineStr">
        <is>
          <t>Simone Weber</t>
        </is>
      </c>
      <c r="N1146" s="6">
        <f>HYPERLINK("https://www.kleinanzeigen.de/s-bestandsliste.html?userId=12445787", "Link")</f>
        <v/>
      </c>
      <c r="O1146" s="7" t="n">
        <v>45549.57983796296</v>
      </c>
      <c r="P1146" s="3" t="inlineStr">
        <is>
          <t>342.09</t>
        </is>
      </c>
      <c r="Q1146" t="inlineStr">
        <is>
          <t>Köln</t>
        </is>
      </c>
    </row>
    <row r="1147">
      <c r="A1147" t="inlineStr"/>
      <c r="B1147" t="inlineStr">
        <is>
          <t>Tabou</t>
        </is>
      </c>
      <c r="C1147" t="inlineStr">
        <is>
          <t>Freestyle</t>
        </is>
      </c>
      <c r="D1147" s="3" t="n">
        <v>110</v>
      </c>
      <c r="E1147" t="inlineStr"/>
      <c r="F1147" s="4" t="n">
        <v>300</v>
      </c>
      <c r="G1147" t="inlineStr">
        <is>
          <t>VB</t>
        </is>
      </c>
      <c r="H1147" t="inlineStr">
        <is>
          <t>30451 Hannover - Linden-Limmer</t>
        </is>
      </c>
      <c r="I1147" s="5" t="n">
        <v>45520</v>
      </c>
      <c r="J1147" t="inlineStr"/>
      <c r="K1147" s="6">
        <f>HYPERLINK("https://www.kleinanzeigen.de/s-anzeige/tabou-freestyle-board-110l/2838513416-230-3196", "Link")</f>
        <v/>
      </c>
      <c r="L1147" s="6">
        <f>HYPERLINK("C:\Projects\Kleinanzeigen-Scraper\offer_images\2838513416", "Link")</f>
        <v/>
      </c>
      <c r="M1147" t="inlineStr">
        <is>
          <t>Annika</t>
        </is>
      </c>
      <c r="N1147" s="6">
        <f>HYPERLINK("https://www.kleinanzeigen.de/s-bestandsliste.html?userId=26221131", "Link")</f>
        <v/>
      </c>
      <c r="O1147" s="7" t="n">
        <v>45549.57983796296</v>
      </c>
      <c r="P1147" s="3" t="inlineStr">
        <is>
          <t>248.08</t>
        </is>
      </c>
      <c r="Q1147" t="inlineStr">
        <is>
          <t>Köln</t>
        </is>
      </c>
    </row>
    <row r="1148">
      <c r="A1148" t="inlineStr">
        <is>
          <t>12.6 x 29 x 6</t>
        </is>
      </c>
      <c r="B1148" t="inlineStr">
        <is>
          <t>RRD Airrace V5</t>
        </is>
      </c>
      <c r="C1148" t="inlineStr">
        <is>
          <t>ISUP</t>
        </is>
      </c>
      <c r="D1148" s="3" t="inlineStr"/>
      <c r="E1148" t="inlineStr"/>
      <c r="F1148" s="4" t="n">
        <v>450</v>
      </c>
      <c r="G1148" t="inlineStr">
        <is>
          <t>VB</t>
        </is>
      </c>
      <c r="H1148" t="inlineStr">
        <is>
          <t>94469 Bayern - Deggendorf</t>
        </is>
      </c>
      <c r="I1148" s="5" t="n">
        <v>45475</v>
      </c>
      <c r="J1148" t="inlineStr"/>
      <c r="K1148" s="6">
        <f>HYPERLINK("https://www.kleinanzeigen.de/s-anzeige/rrd-airrace-12-6-x29-x6-v5-isup/2802814588-230-16909", "Link")</f>
        <v/>
      </c>
      <c r="L1148" s="6">
        <f>HYPERLINK("C:\Projects\Kleinanzeigen-Scraper\offer_images\2802814588", "Link")</f>
        <v/>
      </c>
      <c r="M1148" t="inlineStr">
        <is>
          <t>Angelika</t>
        </is>
      </c>
      <c r="N1148" s="6">
        <f>HYPERLINK("https://www.kleinanzeigen.de/s-bestandsliste.html?userId=17694301", "Link")</f>
        <v/>
      </c>
      <c r="O1148" s="7" t="n">
        <v>45549.57981481482</v>
      </c>
      <c r="P1148" s="3" t="inlineStr">
        <is>
          <t>130.17</t>
        </is>
      </c>
      <c r="Q1148" t="inlineStr">
        <is>
          <t>München</t>
        </is>
      </c>
    </row>
    <row r="1149">
      <c r="A1149" t="inlineStr">
        <is>
          <t>5'8"</t>
        </is>
      </c>
      <c r="B1149" t="inlineStr">
        <is>
          <t>Fanatic Sky Air Premium</t>
        </is>
      </c>
      <c r="C1149" t="inlineStr">
        <is>
          <t>Freeride</t>
        </is>
      </c>
      <c r="D1149" s="3" t="n">
        <v>120</v>
      </c>
      <c r="E1149" t="inlineStr">
        <is>
          <t>2022</t>
        </is>
      </c>
      <c r="F1149" s="4" t="n">
        <v>449</v>
      </c>
      <c r="G1149" t="inlineStr">
        <is>
          <t>VB</t>
        </is>
      </c>
      <c r="H1149" t="inlineStr">
        <is>
          <t>18569 Rügen - Ummanz</t>
        </is>
      </c>
      <c r="I1149" s="5" t="n">
        <v>45531</v>
      </c>
      <c r="J1149" t="inlineStr">
        <is>
          <t>Sold</t>
        </is>
      </c>
      <c r="K1149" s="6">
        <f>HYPERLINK("https://www.kleinanzeigen.de/s-anzeige/fanatic-sky-air-premium-5-8-120l/2847688449-230-117", "Link")</f>
        <v/>
      </c>
      <c r="L1149" s="6">
        <f>HYPERLINK("C:\Projects\Kleinanzeigen-Scraper\offer_images\2847688449", "Link")</f>
        <v/>
      </c>
      <c r="M1149" t="inlineStr">
        <is>
          <t>Tristan Nitsche</t>
        </is>
      </c>
      <c r="N1149" s="6">
        <f>HYPERLINK("https://www.kleinanzeigen.de/s-bestandsliste.html?userId=73740356", "Link")</f>
        <v/>
      </c>
      <c r="O1149" s="7" t="n">
        <v>45549.57981481482</v>
      </c>
      <c r="P1149" s="3" t="inlineStr">
        <is>
          <t>580.94</t>
        </is>
      </c>
      <c r="Q1149" t="inlineStr">
        <is>
          <t>Köln</t>
        </is>
      </c>
    </row>
    <row r="1150">
      <c r="A1150" t="inlineStr">
        <is>
          <t>254x70</t>
        </is>
      </c>
      <c r="B1150" t="inlineStr">
        <is>
          <t>RRD X Ride</t>
        </is>
      </c>
      <c r="C1150" t="inlineStr">
        <is>
          <t>Freeride</t>
        </is>
      </c>
      <c r="D1150" s="3" t="n">
        <v>135</v>
      </c>
      <c r="E1150" t="inlineStr"/>
      <c r="F1150" s="4" t="inlineStr"/>
      <c r="G1150" t="inlineStr">
        <is>
          <t>VB</t>
        </is>
      </c>
      <c r="H1150" t="inlineStr">
        <is>
          <t>87452 Bayern - Altusried</t>
        </is>
      </c>
      <c r="I1150" s="5" t="n">
        <v>45504</v>
      </c>
      <c r="J1150" t="inlineStr"/>
      <c r="K1150" s="6">
        <f>HYPERLINK("https://www.kleinanzeigen.de/s-anzeige/windsurfbourd-rrd-x-ride/2825446875-230-7621", "Link")</f>
        <v/>
      </c>
      <c r="L1150" s="6">
        <f>HYPERLINK("C:\Projects\Kleinanzeigen-Scraper\offer_images\2825446875", "Link")</f>
        <v/>
      </c>
      <c r="M1150" t="inlineStr">
        <is>
          <t>Ingo Kramer</t>
        </is>
      </c>
      <c r="N1150" s="6">
        <f>HYPERLINK("https://www.kleinanzeigen.de/s-bestandsliste.html?userId=7819115", "Link")</f>
        <v/>
      </c>
      <c r="O1150" s="7" t="n">
        <v>45549.57979166666</v>
      </c>
      <c r="P1150" s="3" t="inlineStr">
        <is>
          <t>109.83</t>
        </is>
      </c>
      <c r="Q1150" t="inlineStr">
        <is>
          <t>München</t>
        </is>
      </c>
    </row>
    <row r="1151">
      <c r="A1151" t="inlineStr"/>
      <c r="B1151" t="inlineStr">
        <is>
          <t>Fanatic Freewave</t>
        </is>
      </c>
      <c r="C1151" t="inlineStr">
        <is>
          <t>Freeride</t>
        </is>
      </c>
      <c r="D1151" s="3" t="n">
        <v>105</v>
      </c>
      <c r="E1151" t="inlineStr">
        <is>
          <t>2022</t>
        </is>
      </c>
      <c r="F1151" s="4" t="n">
        <v>1.05</v>
      </c>
      <c r="G1151" t="inlineStr">
        <is>
          <t>VB</t>
        </is>
      </c>
      <c r="H1151" t="inlineStr">
        <is>
          <t>82131 Bayern - Gauting</t>
        </is>
      </c>
      <c r="I1151" s="5" t="n">
        <v>45544</v>
      </c>
      <c r="J1151" t="inlineStr">
        <is>
          <t>Sold</t>
        </is>
      </c>
      <c r="K1151" s="6">
        <f>HYPERLINK("https://www.kleinanzeigen.de/s-anzeige/surfboard-fanatic-freewave-105-baujahr-2022-naehe-muenchen/2858418583-230-6334", "Link")</f>
        <v/>
      </c>
      <c r="L1151" s="6">
        <f>HYPERLINK("C:\Projects\Kleinanzeigen-Scraper\offer_images\2858418583", "Link")</f>
        <v/>
      </c>
      <c r="M1151" t="inlineStr">
        <is>
          <t>Hans-Peter Hager</t>
        </is>
      </c>
      <c r="N1151" s="6">
        <f>HYPERLINK("https://www.kleinanzeigen.de/s-bestandsliste.html?userId=6353875", "Link")</f>
        <v/>
      </c>
      <c r="O1151" s="7" t="n">
        <v>45549.57979166666</v>
      </c>
      <c r="P1151" s="3" t="inlineStr">
        <is>
          <t>16.76</t>
        </is>
      </c>
      <c r="Q1151" t="inlineStr">
        <is>
          <t>München</t>
        </is>
      </c>
    </row>
    <row r="1152">
      <c r="A1152" t="inlineStr">
        <is>
          <t>Length: 234 cm, Width: 56 cm</t>
        </is>
      </c>
      <c r="B1152" t="inlineStr">
        <is>
          <t>Fanatic Rat</t>
        </is>
      </c>
      <c r="C1152" t="inlineStr">
        <is>
          <t>Freestyle</t>
        </is>
      </c>
      <c r="D1152" s="3" t="inlineStr"/>
      <c r="E1152" t="inlineStr"/>
      <c r="F1152" s="4" t="n">
        <v>150</v>
      </c>
      <c r="G1152" t="inlineStr"/>
      <c r="H1152" t="inlineStr">
        <is>
          <t>66978 Rheinland-Pfalz - Clausen Kreis Pirmasens</t>
        </is>
      </c>
      <c r="I1152" s="5" t="n">
        <v>45522</v>
      </c>
      <c r="J1152" t="inlineStr">
        <is>
          <t>Sold</t>
        </is>
      </c>
      <c r="K1152" s="6">
        <f>HYPERLINK("https://www.kleinanzeigen.de/s-anzeige/fanatic-rat-surboard-windsurfboard/2839960962-230-21055", "Link")</f>
        <v/>
      </c>
      <c r="L1152" s="6">
        <f>HYPERLINK("C:\Projects\Kleinanzeigen-Scraper\offer_images\2839960962", "Link")</f>
        <v/>
      </c>
      <c r="M1152" t="inlineStr">
        <is>
          <t>St</t>
        </is>
      </c>
      <c r="N1152" s="6">
        <f>HYPERLINK("https://www.kleinanzeigen.de/s-bestandsliste.html?userId=30486484", "Link")</f>
        <v/>
      </c>
      <c r="O1152" s="7" t="n">
        <v>45549.57979166666</v>
      </c>
      <c r="P1152" s="3" t="inlineStr">
        <is>
          <t>59.44</t>
        </is>
      </c>
      <c r="Q1152" t="inlineStr">
        <is>
          <t>Karlsruhe</t>
        </is>
      </c>
    </row>
    <row r="1153">
      <c r="A1153" t="inlineStr">
        <is>
          <t>11'2"x32"</t>
        </is>
      </c>
      <c r="B1153" t="inlineStr">
        <is>
          <t>Starboard Go</t>
        </is>
      </c>
      <c r="C1153" t="inlineStr"/>
      <c r="D1153" s="3" t="inlineStr"/>
      <c r="E1153" t="inlineStr"/>
      <c r="F1153" s="4" t="n">
        <v>650</v>
      </c>
      <c r="G1153" t="inlineStr"/>
      <c r="H1153" t="inlineStr">
        <is>
          <t>79427 Baden-Württemberg - Eschbach</t>
        </is>
      </c>
      <c r="I1153" s="5" t="n">
        <v>45548</v>
      </c>
      <c r="J1153" t="inlineStr"/>
      <c r="K1153" s="6">
        <f>HYPERLINK("https://www.kleinanzeigen.de/s-anzeige/starboard-go-11-2-x32-sup-hardboard/2862024117-230-8616", "Link")</f>
        <v/>
      </c>
      <c r="L1153" s="6">
        <f>HYPERLINK("C:\Projects\Kleinanzeigen-Scraper\offer_images\2862024117", "Link")</f>
        <v/>
      </c>
      <c r="M1153" t="inlineStr">
        <is>
          <t>No user name</t>
        </is>
      </c>
      <c r="N1153" s="6">
        <f>HYPERLINK("https://www.kleinanzeigen.deNo user link", "Link")</f>
        <v/>
      </c>
      <c r="O1153" s="7" t="n">
        <v>45549.57979166666</v>
      </c>
      <c r="P1153" s="3" t="inlineStr">
        <is>
          <t>51.88</t>
        </is>
      </c>
      <c r="Q1153" t="inlineStr">
        <is>
          <t>Bonndorf</t>
        </is>
      </c>
    </row>
    <row r="1154">
      <c r="A1154" t="inlineStr"/>
      <c r="B1154" t="inlineStr">
        <is>
          <t>Duotone Fish D-LAB</t>
        </is>
      </c>
      <c r="C1154" t="inlineStr"/>
      <c r="D1154" s="3" t="inlineStr"/>
      <c r="E1154" t="inlineStr"/>
      <c r="F1154" s="4" t="n">
        <v>680</v>
      </c>
      <c r="G1154" t="inlineStr"/>
      <c r="H1154" t="inlineStr">
        <is>
          <t>14979 Brandenburg - Großbeeren</t>
        </is>
      </c>
      <c r="I1154" s="5" t="n">
        <v>45546</v>
      </c>
      <c r="J1154" t="inlineStr">
        <is>
          <t>Sold</t>
        </is>
      </c>
      <c r="K1154" s="6">
        <f>HYPERLINK("https://www.kleinanzeigen.de/s-anzeige/duotone-fish-d-lab-5-3-/2860037337-230-7940", "Link")</f>
        <v/>
      </c>
      <c r="L1154" s="6">
        <f>HYPERLINK("C:\Projects\Kleinanzeigen-Scraper\offer_images\2860037337", "Link")</f>
        <v/>
      </c>
      <c r="M1154" t="inlineStr">
        <is>
          <t>klostrakis</t>
        </is>
      </c>
      <c r="N1154" s="6">
        <f>HYPERLINK("https://www.kleinanzeigen.de/s-bestandsliste.html?userId=51512336", "Link")</f>
        <v/>
      </c>
      <c r="O1154" s="7" t="n">
        <v>45549.57979166666</v>
      </c>
      <c r="P1154" s="3" t="inlineStr">
        <is>
          <t>466.66</t>
        </is>
      </c>
      <c r="Q1154" t="inlineStr">
        <is>
          <t>Köln</t>
        </is>
      </c>
    </row>
    <row r="1155">
      <c r="A1155" t="inlineStr">
        <is>
          <t>5'0</t>
        </is>
      </c>
      <c r="B1155" t="inlineStr">
        <is>
          <t>Fanatic Sky</t>
        </is>
      </c>
      <c r="C1155" t="inlineStr">
        <is>
          <t>Wingfoil</t>
        </is>
      </c>
      <c r="D1155" s="3" t="n">
        <v>75</v>
      </c>
      <c r="E1155" t="inlineStr"/>
      <c r="F1155" s="4" t="n">
        <v>425</v>
      </c>
      <c r="G1155" t="inlineStr"/>
      <c r="H1155" t="inlineStr">
        <is>
          <t>87509 Bayern - Immenstadt</t>
        </is>
      </c>
      <c r="I1155" s="5" t="n">
        <v>45524</v>
      </c>
      <c r="J1155" t="inlineStr">
        <is>
          <t>Sold</t>
        </is>
      </c>
      <c r="K1155" s="6">
        <f>HYPERLINK("https://www.kleinanzeigen.de/s-anzeige/fanatic-sky-5-0-75l-wingfoil-board-wing-surf/2842193509-230-5538", "Link")</f>
        <v/>
      </c>
      <c r="L1155" s="6">
        <f>HYPERLINK("C:\Projects\Kleinanzeigen-Scraper\offer_images\2842193509", "Link")</f>
        <v/>
      </c>
      <c r="M1155" t="inlineStr">
        <is>
          <t>Benjamin</t>
        </is>
      </c>
      <c r="N1155" s="6">
        <f>HYPERLINK("https://www.kleinanzeigen.de/s-bestandsliste.html?userId=22383457", "Link")</f>
        <v/>
      </c>
      <c r="O1155" s="7" t="n">
        <v>45549.57979166666</v>
      </c>
      <c r="P1155" s="3" t="inlineStr">
        <is>
          <t>120.75</t>
        </is>
      </c>
      <c r="Q1155" t="inlineStr">
        <is>
          <t>München</t>
        </is>
      </c>
    </row>
    <row r="1156">
      <c r="A1156" t="inlineStr">
        <is>
          <t>144x42.5</t>
        </is>
      </c>
      <c r="B1156" t="inlineStr">
        <is>
          <t>Naish Traverse (Ewan Jaspan Pro)</t>
        </is>
      </c>
      <c r="C1156" t="inlineStr">
        <is>
          <t>Freestyle</t>
        </is>
      </c>
      <c r="D1156" s="3" t="inlineStr"/>
      <c r="E1156" t="inlineStr">
        <is>
          <t>S26</t>
        </is>
      </c>
      <c r="F1156" s="4" t="n">
        <v>50</v>
      </c>
      <c r="G1156" t="inlineStr"/>
      <c r="H1156" t="inlineStr">
        <is>
          <t>18059 Rostock - Südstadt</t>
        </is>
      </c>
      <c r="I1156" s="5" t="n">
        <v>45527</v>
      </c>
      <c r="J1156" t="inlineStr"/>
      <c r="K1156" s="6">
        <f>HYPERLINK("https://www.kleinanzeigen.de/s-anzeige/naish-traverse-ewan-jaspan-pro-/2844614197-230-13049", "Link")</f>
        <v/>
      </c>
      <c r="L1156" s="6">
        <f>HYPERLINK("C:\Projects\Kleinanzeigen-Scraper\offer_images\2844614197", "Link")</f>
        <v/>
      </c>
      <c r="M1156" t="inlineStr">
        <is>
          <t>Julian Berg</t>
        </is>
      </c>
      <c r="N1156" s="6">
        <f>HYPERLINK("https://www.kleinanzeigen.de/s-bestandsliste.html?userId=23868246", "Link")</f>
        <v/>
      </c>
      <c r="O1156" s="7" t="n">
        <v>45549.57976851852</v>
      </c>
      <c r="P1156" s="3" t="inlineStr">
        <is>
          <t>489.44</t>
        </is>
      </c>
      <c r="Q1156" t="inlineStr">
        <is>
          <t>Köln</t>
        </is>
      </c>
    </row>
    <row r="1157">
      <c r="A1157" t="inlineStr">
        <is>
          <t>12.6x30</t>
        </is>
      </c>
      <c r="B1157" t="inlineStr">
        <is>
          <t>Starboard DSC</t>
        </is>
      </c>
      <c r="C1157" t="inlineStr"/>
      <c r="D1157" s="3" t="inlineStr"/>
      <c r="E1157" t="inlineStr">
        <is>
          <t>2022</t>
        </is>
      </c>
      <c r="F1157" s="4" t="n">
        <v>600</v>
      </c>
      <c r="G1157" t="inlineStr"/>
      <c r="H1157" t="inlineStr">
        <is>
          <t>14959 Brandenburg - Trebbin</t>
        </is>
      </c>
      <c r="I1157" s="5" t="n">
        <v>45525</v>
      </c>
      <c r="J1157" t="inlineStr"/>
      <c r="K1157" s="6">
        <f>HYPERLINK("https://www.kleinanzeigen.de/s-anzeige/verkaufe-mein-starboard-dsc-12-6x30-carbon-paddel/2842967597-230-7792", "Link")</f>
        <v/>
      </c>
      <c r="L1157" s="6">
        <f>HYPERLINK("C:\Projects\Kleinanzeigen-Scraper\offer_images\2842967597", "Link")</f>
        <v/>
      </c>
      <c r="M1157" t="inlineStr">
        <is>
          <t>Alexander Ende</t>
        </is>
      </c>
      <c r="N1157" s="6">
        <f>HYPERLINK("https://www.kleinanzeigen.de/s-bestandsliste.html?userId=17422638", "Link")</f>
        <v/>
      </c>
      <c r="O1157" s="7" t="n">
        <v>45549.57976851852</v>
      </c>
      <c r="P1157" s="3" t="inlineStr">
        <is>
          <t>453.95</t>
        </is>
      </c>
      <c r="Q1157" t="inlineStr">
        <is>
          <t>Köln</t>
        </is>
      </c>
    </row>
    <row r="1158">
      <c r="A1158" t="inlineStr">
        <is>
          <t>144</t>
        </is>
      </c>
      <c r="B1158" t="inlineStr">
        <is>
          <t>Fanatic Protec Bee</t>
        </is>
      </c>
      <c r="C1158" t="inlineStr">
        <is>
          <t>Freeride</t>
        </is>
      </c>
      <c r="D1158" s="3" t="inlineStr"/>
      <c r="E1158" t="inlineStr"/>
      <c r="F1158" s="4" t="n">
        <v>100</v>
      </c>
      <c r="G1158" t="inlineStr">
        <is>
          <t>VB</t>
        </is>
      </c>
      <c r="H1158" t="inlineStr">
        <is>
          <t>81479 München - Thalk.Obersendl.-Forsten-Fürstenr.-Solln</t>
        </is>
      </c>
      <c r="I1158" s="5" t="n">
        <v>45539</v>
      </c>
      <c r="J1158" t="inlineStr">
        <is>
          <t>Sold</t>
        </is>
      </c>
      <c r="K1158" s="6">
        <f>HYPERLINK("https://www.kleinanzeigen.de/s-anzeige/windsurfbrett-mit-2-segeln-fanatic-protec-bee-144-/2854361276-230-6438", "Link")</f>
        <v/>
      </c>
      <c r="L1158" s="6">
        <f>HYPERLINK("C:\Projects\Kleinanzeigen-Scraper\offer_images\2854361276", "Link")</f>
        <v/>
      </c>
      <c r="M1158" t="inlineStr">
        <is>
          <t>Vinzenz</t>
        </is>
      </c>
      <c r="N1158" s="6">
        <f>HYPERLINK("https://www.kleinanzeigen.de/s-bestandsliste.html?userId=62966528", "Link")</f>
        <v/>
      </c>
      <c r="O1158" s="7" t="n">
        <v>45549.57974537037</v>
      </c>
      <c r="P1158" s="3" t="inlineStr">
        <is>
          <t>7.59</t>
        </is>
      </c>
      <c r="Q1158" t="inlineStr">
        <is>
          <t>München</t>
        </is>
      </c>
    </row>
    <row r="1159">
      <c r="A1159" t="inlineStr">
        <is>
          <t>12'6"</t>
        </is>
      </c>
      <c r="B1159" t="inlineStr">
        <is>
          <t>JP Australia Windsupair</t>
        </is>
      </c>
      <c r="C1159" t="inlineStr"/>
      <c r="D1159" s="3" t="inlineStr"/>
      <c r="E1159" t="inlineStr"/>
      <c r="F1159" s="4" t="n">
        <v>600</v>
      </c>
      <c r="G1159" t="inlineStr"/>
      <c r="H1159" t="inlineStr">
        <is>
          <t>78239 Baden-Württemberg - Rielasingen-Worblingen</t>
        </is>
      </c>
      <c r="I1159" s="5" t="n">
        <v>45494</v>
      </c>
      <c r="J1159" t="inlineStr">
        <is>
          <t>Sold</t>
        </is>
      </c>
      <c r="K1159" s="6">
        <f>HYPERLINK("https://www.kleinanzeigen.de/s-anzeige/jp-australia-windsupair/2817397191-230-9405", "Link")</f>
        <v/>
      </c>
      <c r="L1159" s="6">
        <f>HYPERLINK("C:\Projects\Kleinanzeigen-Scraper\offer_images\2817397191", "Link")</f>
        <v/>
      </c>
      <c r="M1159" t="inlineStr">
        <is>
          <t>Zacharski Christof</t>
        </is>
      </c>
      <c r="N1159" s="6">
        <f>HYPERLINK("https://www.kleinanzeigen.de/s-bestandsliste.html?userId=73985113", "Link")</f>
        <v/>
      </c>
      <c r="O1159" s="7" t="n">
        <v>45549.57974537037</v>
      </c>
      <c r="P1159" s="3" t="inlineStr">
        <is>
          <t>39.27</t>
        </is>
      </c>
      <c r="Q1159" t="inlineStr">
        <is>
          <t>Bonndorf</t>
        </is>
      </c>
    </row>
    <row r="1160">
      <c r="A1160" t="inlineStr"/>
      <c r="B1160" t="inlineStr">
        <is>
          <t>Tabou LTD 107 3S</t>
        </is>
      </c>
      <c r="C1160" t="inlineStr"/>
      <c r="D1160" s="3" t="n">
        <v>107</v>
      </c>
      <c r="E1160" t="inlineStr"/>
      <c r="F1160" s="4" t="n">
        <v>1.1</v>
      </c>
      <c r="G1160" t="inlineStr"/>
      <c r="H1160" t="inlineStr">
        <is>
          <t>94469 Bayern - Deggendorf</t>
        </is>
      </c>
      <c r="I1160" s="5" t="n">
        <v>45526</v>
      </c>
      <c r="J1160" t="inlineStr"/>
      <c r="K1160" s="6">
        <f>HYPERLINK("https://www.kleinanzeigen.de/s-anzeige/tabou-ltd-107-3s-surfbrett/2843510007-230-16909", "Link")</f>
        <v/>
      </c>
      <c r="L1160" s="6">
        <f>HYPERLINK("C:\Projects\Kleinanzeigen-Scraper\offer_images\2843510007", "Link")</f>
        <v/>
      </c>
      <c r="M1160" t="inlineStr">
        <is>
          <t>Magdalena B.</t>
        </is>
      </c>
      <c r="N1160" s="6">
        <f>HYPERLINK("https://www.kleinanzeigen.de/s-bestandsliste.html?userId=23010166", "Link")</f>
        <v/>
      </c>
      <c r="O1160" s="7" t="n">
        <v>45549.57973379629</v>
      </c>
      <c r="P1160" s="3" t="inlineStr">
        <is>
          <t>130.17</t>
        </is>
      </c>
      <c r="Q1160" t="inlineStr">
        <is>
          <t>München</t>
        </is>
      </c>
    </row>
    <row r="1161">
      <c r="A1161" t="inlineStr">
        <is>
          <t>136cm</t>
        </is>
      </c>
      <c r="B1161" t="inlineStr">
        <is>
          <t>North Atmos</t>
        </is>
      </c>
      <c r="C1161" t="inlineStr">
        <is>
          <t>Twin Tip</t>
        </is>
      </c>
      <c r="D1161" s="3" t="inlineStr"/>
      <c r="E1161" t="inlineStr"/>
      <c r="F1161" s="4" t="n">
        <v>600</v>
      </c>
      <c r="G1161" t="inlineStr">
        <is>
          <t>VB</t>
        </is>
      </c>
      <c r="H1161" t="inlineStr">
        <is>
          <t>86573 Bayern - Obergriesbach</t>
        </is>
      </c>
      <c r="I1161" s="5" t="n">
        <v>45547</v>
      </c>
      <c r="J1161" t="inlineStr">
        <is>
          <t>Sold</t>
        </is>
      </c>
      <c r="K1161" s="6">
        <f>HYPERLINK("https://www.kleinanzeigen.de/s-anzeige/north-atmos-carbon-136cm-twin-tip/2861428411-230-7197", "Link")</f>
        <v/>
      </c>
      <c r="L1161" s="6">
        <f>HYPERLINK("C:\Projects\Kleinanzeigen-Scraper\offer_images\2861428411", "Link")</f>
        <v/>
      </c>
      <c r="M1161" t="inlineStr">
        <is>
          <t>Daniel</t>
        </is>
      </c>
      <c r="N1161" s="6">
        <f>HYPERLINK("https://www.kleinanzeigen.de/s-bestandsliste.html?userId=144265443", "Link")</f>
        <v/>
      </c>
      <c r="O1161" s="7" t="n">
        <v>45549.57973379629</v>
      </c>
      <c r="P1161" s="3" t="inlineStr">
        <is>
          <t>49.21</t>
        </is>
      </c>
      <c r="Q1161" t="inlineStr">
        <is>
          <t>München</t>
        </is>
      </c>
    </row>
    <row r="1162">
      <c r="A1162" t="inlineStr"/>
      <c r="B1162" t="inlineStr">
        <is>
          <t>Fanatic/Duotone Grip</t>
        </is>
      </c>
      <c r="C1162" t="inlineStr">
        <is>
          <t>Wave</t>
        </is>
      </c>
      <c r="D1162" s="3" t="n">
        <v>75</v>
      </c>
      <c r="E1162" t="inlineStr"/>
      <c r="F1162" s="4" t="inlineStr"/>
      <c r="G1162" t="inlineStr">
        <is>
          <t>VB</t>
        </is>
      </c>
      <c r="H1162" t="inlineStr">
        <is>
          <t>31515 Niedersachsen - Wunstorf</t>
        </is>
      </c>
      <c r="I1162" s="5" t="n">
        <v>45531</v>
      </c>
      <c r="J1162" t="inlineStr">
        <is>
          <t>Sold</t>
        </is>
      </c>
      <c r="K1162" s="6">
        <f>HYPERLINK("https://www.kleinanzeigen.de/s-anzeige/fanatic-duotone-grip-75l-waveboard/2847628939-230-2930", "Link")</f>
        <v/>
      </c>
      <c r="L1162" s="6">
        <f>HYPERLINK("C:\Projects\Kleinanzeigen-Scraper\offer_images\2847628939", "Link")</f>
        <v/>
      </c>
      <c r="M1162" t="inlineStr">
        <is>
          <t>Serge L.</t>
        </is>
      </c>
      <c r="N1162" s="6">
        <f>HYPERLINK("https://www.kleinanzeigen.de/s-bestandsliste.html?userId=6779191", "Link")</f>
        <v/>
      </c>
      <c r="O1162" s="7" t="n">
        <v>45549.57972222222</v>
      </c>
      <c r="P1162" s="3" t="inlineStr">
        <is>
          <t>236.47</t>
        </is>
      </c>
      <c r="Q1162" t="inlineStr">
        <is>
          <t>Köln</t>
        </is>
      </c>
    </row>
    <row r="1163">
      <c r="A1163" t="inlineStr">
        <is>
          <t>140x42</t>
        </is>
      </c>
      <c r="B1163" t="inlineStr">
        <is>
          <t>RRD Placebo</t>
        </is>
      </c>
      <c r="C1163" t="inlineStr">
        <is>
          <t>Kiteboard</t>
        </is>
      </c>
      <c r="D1163" s="3" t="inlineStr"/>
      <c r="E1163" t="inlineStr"/>
      <c r="F1163" s="4" t="n">
        <v>250</v>
      </c>
      <c r="G1163" t="inlineStr">
        <is>
          <t>VB</t>
        </is>
      </c>
      <c r="H1163" t="inlineStr">
        <is>
          <t>40629 Düsseldorf - Rath</t>
        </is>
      </c>
      <c r="I1163" s="5" t="n">
        <v>45529</v>
      </c>
      <c r="J1163" t="inlineStr">
        <is>
          <t>Sold</t>
        </is>
      </c>
      <c r="K1163" s="6">
        <f>HYPERLINK("https://www.kleinanzeigen.de/s-anzeige/rrd-placebo-kiteboard/2846158064-230-2105", "Link")</f>
        <v/>
      </c>
      <c r="L1163" s="6">
        <f>HYPERLINK("C:\Projects\Kleinanzeigen-Scraper\offer_images\2846158064", "Link")</f>
        <v/>
      </c>
      <c r="M1163" t="inlineStr">
        <is>
          <t>Peer</t>
        </is>
      </c>
      <c r="N1163" s="6">
        <f>HYPERLINK("https://www.kleinanzeigen.de/s-bestandsliste.html?userId=31570633", "Link")</f>
        <v/>
      </c>
      <c r="O1163" s="7" t="n">
        <v>45549.57972222222</v>
      </c>
      <c r="P1163" s="3" t="inlineStr">
        <is>
          <t>35.52</t>
        </is>
      </c>
      <c r="Q1163" t="inlineStr">
        <is>
          <t>Köln</t>
        </is>
      </c>
    </row>
    <row r="1164">
      <c r="A1164" t="inlineStr">
        <is>
          <t xml:space="preserve">Dimensions </t>
        </is>
      </c>
      <c r="B1164" t="inlineStr">
        <is>
          <t>Fanatic Freewave</t>
        </is>
      </c>
      <c r="C1164" t="inlineStr">
        <is>
          <t>Wave</t>
        </is>
      </c>
      <c r="D1164" s="3" t="n">
        <v>95</v>
      </c>
      <c r="E1164" t="inlineStr"/>
      <c r="F1164" s="4" t="n">
        <v>450</v>
      </c>
      <c r="G1164" t="inlineStr">
        <is>
          <t>VB</t>
        </is>
      </c>
      <c r="H1164" t="inlineStr">
        <is>
          <t>58300 Nordrhein-Westfalen - Wetter (Ruhr)</t>
        </is>
      </c>
      <c r="I1164" s="5" t="n">
        <v>45521</v>
      </c>
      <c r="J1164" t="inlineStr">
        <is>
          <t>Sold</t>
        </is>
      </c>
      <c r="K1164" s="6">
        <f>HYPERLINK("https://www.kleinanzeigen.de/s-anzeige/fanatic-freewave-95/2839192527-230-1418", "Link")</f>
        <v/>
      </c>
      <c r="L1164" s="6">
        <f>HYPERLINK("C:\Projects\Kleinanzeigen-Scraper\offer_images\2839192527", "Link")</f>
        <v/>
      </c>
      <c r="M1164" t="inlineStr">
        <is>
          <t>Luthe</t>
        </is>
      </c>
      <c r="N1164" s="6">
        <f>HYPERLINK("https://www.kleinanzeigen.de/s-bestandsliste.html?userId=3976958", "Link")</f>
        <v/>
      </c>
      <c r="O1164" s="7" t="n">
        <v>45549.57971064815</v>
      </c>
      <c r="P1164" s="3" t="inlineStr">
        <is>
          <t>56.63</t>
        </is>
      </c>
      <c r="Q1164" t="inlineStr">
        <is>
          <t>Köln</t>
        </is>
      </c>
    </row>
    <row r="1165">
      <c r="A1165" t="inlineStr">
        <is>
          <t>329 cm</t>
        </is>
      </c>
      <c r="B1165" t="inlineStr">
        <is>
          <t>JP Australia</t>
        </is>
      </c>
      <c r="C1165" t="inlineStr">
        <is>
          <t>Windsurf SUP</t>
        </is>
      </c>
      <c r="D1165" s="3" t="inlineStr"/>
      <c r="E1165" t="inlineStr"/>
      <c r="F1165" s="4" t="n">
        <v>980</v>
      </c>
      <c r="G1165" t="inlineStr"/>
      <c r="H1165" t="inlineStr">
        <is>
          <t>22299 Hamburg-Nord - Hamburg Winterhude</t>
        </is>
      </c>
      <c r="I1165" s="5" t="n">
        <v>45514</v>
      </c>
      <c r="J1165" t="inlineStr"/>
      <c r="K1165" s="6">
        <f>HYPERLINK("https://www.kleinanzeigen.de/s-anzeige/jp-australia-windsurf-sup-board-windsup-stand-up-paddle/2833650527-230-9481", "Link")</f>
        <v/>
      </c>
      <c r="L1165" s="6">
        <f>HYPERLINK("C:\Projects\Kleinanzeigen-Scraper\offer_images\2833650527", "Link")</f>
        <v/>
      </c>
      <c r="M1165" t="inlineStr">
        <is>
          <t>Florian H.</t>
        </is>
      </c>
      <c r="N1165" s="6">
        <f>HYPERLINK("https://www.kleinanzeigen.de/s-bestandsliste.html?userId=4294093", "Link")</f>
        <v/>
      </c>
      <c r="O1165" s="7" t="n">
        <v>45549.57971064815</v>
      </c>
      <c r="P1165" s="3" t="inlineStr">
        <is>
          <t>360.73</t>
        </is>
      </c>
      <c r="Q1165" t="inlineStr">
        <is>
          <t>Köln</t>
        </is>
      </c>
    </row>
    <row r="1166">
      <c r="A1166" t="inlineStr"/>
      <c r="B1166" t="inlineStr">
        <is>
          <t>Severne Dyno</t>
        </is>
      </c>
      <c r="C1166" t="inlineStr"/>
      <c r="D1166" s="3" t="n">
        <v>115</v>
      </c>
      <c r="E1166" t="inlineStr">
        <is>
          <t>2021/22</t>
        </is>
      </c>
      <c r="F1166" s="4" t="n">
        <v>849</v>
      </c>
      <c r="G1166" t="inlineStr">
        <is>
          <t>VB</t>
        </is>
      </c>
      <c r="H1166" t="inlineStr">
        <is>
          <t>48366 Nordrhein-Westfalen - Laer</t>
        </is>
      </c>
      <c r="I1166" s="5" t="n">
        <v>45467</v>
      </c>
      <c r="J1166" t="inlineStr"/>
      <c r="K1166" s="6">
        <f>HYPERLINK("https://www.kleinanzeigen.de/s-anzeige/severne-dyno-115-windsurf-board-sehr-guter-zustand/2796268966-230-1298", "Link")</f>
        <v/>
      </c>
      <c r="L1166" s="6">
        <f>HYPERLINK("C:\Projects\Kleinanzeigen-Scraper\offer_images\2796268966", "Link")</f>
        <v/>
      </c>
      <c r="M1166" t="inlineStr">
        <is>
          <t>Jan Kuklinski</t>
        </is>
      </c>
      <c r="N1166" s="6">
        <f>HYPERLINK("https://www.kleinanzeigen.de/s-bestandsliste.html?userId=26591865", "Link")</f>
        <v/>
      </c>
      <c r="O1166" s="7" t="n">
        <v>45549.57971064815</v>
      </c>
      <c r="P1166" s="3" t="inlineStr">
        <is>
          <t>127.46</t>
        </is>
      </c>
      <c r="Q1166" t="inlineStr">
        <is>
          <t>Köln</t>
        </is>
      </c>
    </row>
    <row r="1167">
      <c r="A1167" t="inlineStr">
        <is>
          <t>128x38</t>
        </is>
      </c>
      <c r="B1167" t="inlineStr">
        <is>
          <t>North Jaime</t>
        </is>
      </c>
      <c r="C1167" t="inlineStr">
        <is>
          <t>Kiteboard</t>
        </is>
      </c>
      <c r="D1167" s="3" t="inlineStr"/>
      <c r="E1167" t="inlineStr"/>
      <c r="F1167" s="4" t="n">
        <v>65</v>
      </c>
      <c r="G1167" t="inlineStr"/>
      <c r="H1167" t="inlineStr">
        <is>
          <t>49477 Nordrhein-Westfalen - Ibbenbüren</t>
        </is>
      </c>
      <c r="I1167" s="5" t="n">
        <v>45541</v>
      </c>
      <c r="J1167" t="inlineStr">
        <is>
          <t>Sold</t>
        </is>
      </c>
      <c r="K1167" s="6">
        <f>HYPERLINK("https://www.kleinanzeigen.de/s-anzeige/kiteboard-north-jaime-128x38-mit-pads-und-handle-/2856049399-230-1913", "Link")</f>
        <v/>
      </c>
      <c r="L1167" s="6">
        <f>HYPERLINK("C:\Projects\Kleinanzeigen-Scraper\offer_images\2856049399", "Link")</f>
        <v/>
      </c>
      <c r="M1167" t="inlineStr">
        <is>
          <t>Mario</t>
        </is>
      </c>
      <c r="N1167" s="6">
        <f>HYPERLINK("https://www.kleinanzeigen.de/s-bestandsliste.html?userId=1704291", "Link")</f>
        <v/>
      </c>
      <c r="O1167" s="7" t="n">
        <v>45549.57971064815</v>
      </c>
      <c r="P1167" s="3" t="inlineStr">
        <is>
          <t>157.50</t>
        </is>
      </c>
      <c r="Q1167" t="inlineStr">
        <is>
          <t>Köln</t>
        </is>
      </c>
    </row>
    <row r="1168">
      <c r="A1168" t="inlineStr"/>
      <c r="B1168" t="inlineStr">
        <is>
          <t>RRD TwinTip</t>
        </is>
      </c>
      <c r="C1168" t="inlineStr">
        <is>
          <t>Freestyle</t>
        </is>
      </c>
      <c r="D1168" s="3" t="n">
        <v>100</v>
      </c>
      <c r="E1168" t="inlineStr"/>
      <c r="F1168" s="4" t="n">
        <v>160</v>
      </c>
      <c r="G1168" t="inlineStr">
        <is>
          <t>VB</t>
        </is>
      </c>
      <c r="H1168" t="inlineStr">
        <is>
          <t>88138 Bayern - Weißensberg</t>
        </is>
      </c>
      <c r="I1168" s="5" t="n">
        <v>45528</v>
      </c>
      <c r="J1168" t="inlineStr"/>
      <c r="K1168" s="6">
        <f>HYPERLINK("https://www.kleinanzeigen.de/s-anzeige/rrd-twintip-100/2844782875-230-7705", "Link")</f>
        <v/>
      </c>
      <c r="L1168" s="6">
        <f>HYPERLINK("C:\Projects\Kleinanzeigen-Scraper\offer_images\2844782875", "Link")</f>
        <v/>
      </c>
      <c r="M1168" t="inlineStr">
        <is>
          <t>Alex</t>
        </is>
      </c>
      <c r="N1168" s="6">
        <f>HYPERLINK("https://www.kleinanzeigen.de/s-bestandsliste.html?userId=14619788", "Link")</f>
        <v/>
      </c>
      <c r="O1168" s="7" t="n">
        <v>45549.5796875</v>
      </c>
      <c r="P1168" s="3" t="inlineStr">
        <is>
          <t>106.94</t>
        </is>
      </c>
      <c r="Q1168" t="inlineStr">
        <is>
          <t>Bonndorf</t>
        </is>
      </c>
    </row>
    <row r="1169">
      <c r="A1169" t="inlineStr">
        <is>
          <t>150</t>
        </is>
      </c>
      <c r="B1169" t="inlineStr">
        <is>
          <t>Fanatic X Ray</t>
        </is>
      </c>
      <c r="C1169" t="inlineStr">
        <is>
          <t>Freeride</t>
        </is>
      </c>
      <c r="D1169" s="3" t="inlineStr"/>
      <c r="E1169" t="inlineStr"/>
      <c r="F1169" s="4" t="n">
        <v>80</v>
      </c>
      <c r="G1169" t="inlineStr"/>
      <c r="H1169" t="inlineStr">
        <is>
          <t>59425 Nordrhein-Westfalen - Unna</t>
        </is>
      </c>
      <c r="I1169" s="5" t="n">
        <v>45522</v>
      </c>
      <c r="J1169" t="inlineStr">
        <is>
          <t>Sold</t>
        </is>
      </c>
      <c r="K1169" s="6">
        <f>HYPERLINK("https://www.kleinanzeigen.de/s-anzeige/fanatic-x-ray-150-freerider-oder-kinderboard-mit-mittelfinne-/2839949579-230-1839", "Link")</f>
        <v/>
      </c>
      <c r="L1169" s="6">
        <f>HYPERLINK("C:\Projects\Kleinanzeigen-Scraper\offer_images\2839949579", "Link")</f>
        <v/>
      </c>
      <c r="M1169" t="inlineStr">
        <is>
          <t>Andreas Minner</t>
        </is>
      </c>
      <c r="N1169" s="6">
        <f>HYPERLINK("https://www.kleinanzeigen.de/s-bestandsliste.html?userId=19356408", "Link")</f>
        <v/>
      </c>
      <c r="O1169" s="7" t="n">
        <v>45549.5796875</v>
      </c>
      <c r="P1169" s="3" t="inlineStr">
        <is>
          <t>85.80</t>
        </is>
      </c>
      <c r="Q1169" t="inlineStr">
        <is>
          <t>Köln</t>
        </is>
      </c>
    </row>
    <row r="1170">
      <c r="A1170" t="inlineStr">
        <is>
          <t>12'6</t>
        </is>
      </c>
      <c r="B1170" t="inlineStr">
        <is>
          <t>Starboard Touring M ZEN DC</t>
        </is>
      </c>
      <c r="C1170" t="inlineStr">
        <is>
          <t>Touring</t>
        </is>
      </c>
      <c r="D1170" s="3" t="inlineStr"/>
      <c r="E1170" t="inlineStr">
        <is>
          <t>2023</t>
        </is>
      </c>
      <c r="F1170" s="4" t="n">
        <v>639</v>
      </c>
      <c r="G1170" t="inlineStr">
        <is>
          <t>VB</t>
        </is>
      </c>
      <c r="H1170" t="inlineStr">
        <is>
          <t>09126 Chemnitz - Lutherviertel</t>
        </is>
      </c>
      <c r="I1170" s="5" t="n">
        <v>45524</v>
      </c>
      <c r="J1170" t="inlineStr">
        <is>
          <t>Sold</t>
        </is>
      </c>
      <c r="K1170" s="6">
        <f>HYPERLINK("https://www.kleinanzeigen.de/s-anzeige/sup-starboard-touring-m-zen-dc-12-6-2023-wie-neu/2841731547-230-26106", "Link")</f>
        <v/>
      </c>
      <c r="L1170" s="6">
        <f>HYPERLINK("C:\Projects\Kleinanzeigen-Scraper\offer_images\2841731547", "Link")</f>
        <v/>
      </c>
      <c r="M1170" t="inlineStr">
        <is>
          <t>Steffen</t>
        </is>
      </c>
      <c r="N1170" s="6">
        <f>HYPERLINK("https://www.kleinanzeigen.de/s-bestandsliste.html?userId=20015328", "Link")</f>
        <v/>
      </c>
      <c r="O1170" s="7" t="n">
        <v>45549.5796875</v>
      </c>
      <c r="P1170" s="3" t="inlineStr">
        <is>
          <t>314.18</t>
        </is>
      </c>
      <c r="Q1170" t="inlineStr">
        <is>
          <t>München</t>
        </is>
      </c>
    </row>
    <row r="1171">
      <c r="A1171" t="inlineStr">
        <is>
          <t>265 cm</t>
        </is>
      </c>
      <c r="B1171" t="inlineStr">
        <is>
          <t>Fanatic Gecko</t>
        </is>
      </c>
      <c r="C1171" t="inlineStr">
        <is>
          <t>Starkwindboard</t>
        </is>
      </c>
      <c r="D1171" s="3" t="n">
        <v>89</v>
      </c>
      <c r="E1171" t="inlineStr"/>
      <c r="F1171" s="4" t="n">
        <v>25</v>
      </c>
      <c r="G1171" t="inlineStr"/>
      <c r="H1171" t="inlineStr">
        <is>
          <t>57580 Rheinland-Pfalz - Gebhardshain</t>
        </is>
      </c>
      <c r="I1171" s="5" t="n">
        <v>45529</v>
      </c>
      <c r="J1171" t="inlineStr">
        <is>
          <t>Sold</t>
        </is>
      </c>
      <c r="K1171" s="6">
        <f>HYPERLINK("https://www.kleinanzeigen.de/s-anzeige/fanatic-gecko-265/2846201950-230-1501", "Link")</f>
        <v/>
      </c>
      <c r="L1171" s="6">
        <f>HYPERLINK("C:\Projects\Kleinanzeigen-Scraper\offer_images\2846201950", "Link")</f>
        <v/>
      </c>
      <c r="M1171" t="inlineStr">
        <is>
          <t>Timo Fiebach</t>
        </is>
      </c>
      <c r="N1171" s="6">
        <f>HYPERLINK("https://www.kleinanzeigen.de/s-bestandsliste.html?userId=17267814", "Link")</f>
        <v/>
      </c>
      <c r="O1171" s="7" t="n">
        <v>45549.57966435186</v>
      </c>
      <c r="P1171" s="3" t="inlineStr">
        <is>
          <t>64.01</t>
        </is>
      </c>
      <c r="Q1171" t="inlineStr">
        <is>
          <t>Köln</t>
        </is>
      </c>
    </row>
    <row r="1172">
      <c r="A1172" t="inlineStr">
        <is>
          <t>12.6 x 27</t>
        </is>
      </c>
      <c r="B1172" t="inlineStr">
        <is>
          <t>Starboard Allstar Airline</t>
        </is>
      </c>
      <c r="C1172" t="inlineStr"/>
      <c r="D1172" s="3" t="inlineStr"/>
      <c r="E1172" t="inlineStr">
        <is>
          <t>2023</t>
        </is>
      </c>
      <c r="F1172" s="4" t="n">
        <v>999</v>
      </c>
      <c r="G1172" t="inlineStr">
        <is>
          <t>VB</t>
        </is>
      </c>
      <c r="H1172" t="inlineStr">
        <is>
          <t>70771 Baden-Württemberg - Leinfelden-Echterdingen</t>
        </is>
      </c>
      <c r="I1172" s="5" t="n">
        <v>45538</v>
      </c>
      <c r="J1172" t="inlineStr"/>
      <c r="K1172" s="6">
        <f>HYPERLINK("https://www.kleinanzeigen.de/s-anzeige/starboard-allstar-airline-12-6-x-27-modell-2023-1-monat-alt/2853073089-230-8453", "Link")</f>
        <v/>
      </c>
      <c r="L1172" s="6">
        <f>HYPERLINK("C:\Projects\Kleinanzeigen-Scraper\offer_images\2853073089", "Link")</f>
        <v/>
      </c>
      <c r="M1172" t="inlineStr">
        <is>
          <t>Eric Beckmann</t>
        </is>
      </c>
      <c r="N1172" s="6">
        <f>HYPERLINK("https://www.kleinanzeigen.de/s-bestandsliste.html?userId=11831674", "Link")</f>
        <v/>
      </c>
      <c r="O1172" s="7" t="n">
        <v>45549.57966435186</v>
      </c>
      <c r="P1172" s="3" t="inlineStr">
        <is>
          <t>12.10</t>
        </is>
      </c>
      <c r="Q1172" t="inlineStr">
        <is>
          <t>Böblingen</t>
        </is>
      </c>
    </row>
    <row r="1173">
      <c r="A1173" t="inlineStr">
        <is>
          <t>11.2 X 31+</t>
        </is>
      </c>
      <c r="B1173" t="inlineStr">
        <is>
          <t>Starboard</t>
        </is>
      </c>
      <c r="C1173" t="inlineStr"/>
      <c r="D1173" s="3" t="inlineStr"/>
      <c r="E1173" t="inlineStr">
        <is>
          <t>2022</t>
        </is>
      </c>
      <c r="F1173" s="4" t="n">
        <v>799</v>
      </c>
      <c r="G1173" t="inlineStr"/>
      <c r="H1173" t="inlineStr">
        <is>
          <t>82319 Bayern - Starnberg</t>
        </is>
      </c>
      <c r="I1173" s="5" t="n">
        <v>45547</v>
      </c>
      <c r="J1173" t="inlineStr"/>
      <c r="K1173" s="6">
        <f>HYPERLINK("https://www.kleinanzeigen.de/s-anzeige/starboard-11-2-x-31-igo-zen-dc-zen-dc-stand-up-paddel-board/2836181891-230-5525", "Link")</f>
        <v/>
      </c>
      <c r="L1173" s="6">
        <f>HYPERLINK("C:\Projects\Kleinanzeigen-Scraper\offer_images\2836181891", "Link")</f>
        <v/>
      </c>
      <c r="M1173" t="inlineStr">
        <is>
          <t>No user name</t>
        </is>
      </c>
      <c r="N1173" s="6">
        <f>HYPERLINK("https://www.kleinanzeigen.deNo user link", "Link")</f>
        <v/>
      </c>
      <c r="O1173" s="7" t="n">
        <v>45549.57965277778</v>
      </c>
      <c r="P1173" s="3" t="inlineStr">
        <is>
          <t>23.17</t>
        </is>
      </c>
      <c r="Q1173" t="inlineStr">
        <is>
          <t>München</t>
        </is>
      </c>
    </row>
    <row r="1174">
      <c r="A1174" t="inlineStr">
        <is>
          <t>128 x 100 cm</t>
        </is>
      </c>
      <c r="B1174" t="inlineStr">
        <is>
          <t>Tabou Coolrider 2</t>
        </is>
      </c>
      <c r="C1174" t="inlineStr">
        <is>
          <t>Freeride</t>
        </is>
      </c>
      <c r="D1174" s="3" t="n">
        <v>230</v>
      </c>
      <c r="E1174" t="inlineStr"/>
      <c r="F1174" s="4" t="n">
        <v>220</v>
      </c>
      <c r="G1174" t="inlineStr">
        <is>
          <t>VB</t>
        </is>
      </c>
      <c r="H1174" t="inlineStr">
        <is>
          <t>24976 Handewitt - Jarplund</t>
        </is>
      </c>
      <c r="I1174" s="5" t="n">
        <v>45463</v>
      </c>
      <c r="J1174" t="inlineStr"/>
      <c r="K1174" s="6">
        <f>HYPERLINK("https://www.kleinanzeigen.de/s-anzeige/anfaenger-windsurfbrett-tabou-coolrider-2/2792962403-230-27623", "Link")</f>
        <v/>
      </c>
      <c r="L1174" s="6">
        <f>HYPERLINK("C:\Projects\Kleinanzeigen-Scraper\offer_images\2792962403", "Link")</f>
        <v/>
      </c>
      <c r="M1174" t="inlineStr">
        <is>
          <t>Markus Kunter</t>
        </is>
      </c>
      <c r="N1174" s="6">
        <f>HYPERLINK("https://www.kleinanzeigen.de/s-bestandsliste.html?userId=19371706", "Link")</f>
        <v/>
      </c>
      <c r="O1174" s="7" t="n">
        <v>45549.5796412037</v>
      </c>
      <c r="P1174" s="3" t="inlineStr">
        <is>
          <t>453.75</t>
        </is>
      </c>
      <c r="Q1174" t="inlineStr">
        <is>
          <t>Köln</t>
        </is>
      </c>
    </row>
    <row r="1175">
      <c r="A1175" t="inlineStr"/>
      <c r="B1175" t="inlineStr">
        <is>
          <t>Goya Custom Quad</t>
        </is>
      </c>
      <c r="C1175" t="inlineStr"/>
      <c r="D1175" s="3" t="n">
        <v>88</v>
      </c>
      <c r="E1175" t="inlineStr"/>
      <c r="F1175" s="4" t="n">
        <v>850</v>
      </c>
      <c r="G1175" t="inlineStr">
        <is>
          <t>VB</t>
        </is>
      </c>
      <c r="H1175" t="inlineStr">
        <is>
          <t>83623 Bayern - Dietramszell</t>
        </is>
      </c>
      <c r="I1175" s="5" t="n">
        <v>45495</v>
      </c>
      <c r="J1175" t="inlineStr">
        <is>
          <t>Sold</t>
        </is>
      </c>
      <c r="K1175" s="6">
        <f>HYPERLINK("https://www.kleinanzeigen.de/s-anzeige/goya-custom-quad-88-inkl-k4-finnen/2818703237-230-6194", "Link")</f>
        <v/>
      </c>
      <c r="L1175" s="6">
        <f>HYPERLINK("C:\Projects\Kleinanzeigen-Scraper\offer_images\2818703237", "Link")</f>
        <v/>
      </c>
      <c r="M1175" t="inlineStr">
        <is>
          <t>Zellner</t>
        </is>
      </c>
      <c r="N1175" s="6">
        <f>HYPERLINK("https://www.kleinanzeigen.de/s-bestandsliste.html?userId=19280114", "Link")</f>
        <v/>
      </c>
      <c r="O1175" s="7" t="n">
        <v>45549.5796412037</v>
      </c>
      <c r="P1175" s="3" t="inlineStr">
        <is>
          <t>31.34</t>
        </is>
      </c>
      <c r="Q1175" t="inlineStr">
        <is>
          <t>München</t>
        </is>
      </c>
    </row>
    <row r="1176">
      <c r="A1176" t="inlineStr">
        <is>
          <t>Dimensions not provided</t>
        </is>
      </c>
      <c r="B1176" t="inlineStr">
        <is>
          <t>Starboard EVO</t>
        </is>
      </c>
      <c r="C1176" t="inlineStr"/>
      <c r="D1176" s="3" t="n">
        <v>80</v>
      </c>
      <c r="E1176" t="inlineStr"/>
      <c r="F1176" s="4" t="n">
        <v>50</v>
      </c>
      <c r="G1176" t="inlineStr"/>
      <c r="H1176" t="inlineStr">
        <is>
          <t>86938 Bayern - Schondorf am Ammersee</t>
        </is>
      </c>
      <c r="I1176" s="5" t="n">
        <v>45543</v>
      </c>
      <c r="J1176" t="inlineStr">
        <is>
          <t>Sold</t>
        </is>
      </c>
      <c r="K1176" s="6">
        <f>HYPERLINK("https://www.kleinanzeigen.de/s-anzeige/surfbrett-starboard-evo-80-l/2857805701-230-6352", "Link")</f>
        <v/>
      </c>
      <c r="L1176" s="6">
        <f>HYPERLINK("C:\Projects\Kleinanzeigen-Scraper\offer_images\2857805701", "Link")</f>
        <v/>
      </c>
      <c r="M1176" t="inlineStr">
        <is>
          <t>Fabian</t>
        </is>
      </c>
      <c r="N1176" s="6">
        <f>HYPERLINK("https://www.kleinanzeigen.de/s-bestandsliste.html?userId=90103315", "Link")</f>
        <v/>
      </c>
      <c r="O1176" s="7" t="n">
        <v>45549.57961805556</v>
      </c>
      <c r="P1176" s="3" t="inlineStr">
        <is>
          <t>37.10</t>
        </is>
      </c>
      <c r="Q1176" t="inlineStr">
        <is>
          <t>München</t>
        </is>
      </c>
    </row>
    <row r="1177">
      <c r="A1177" t="inlineStr"/>
      <c r="B1177" t="inlineStr">
        <is>
          <t>Naish Ultra Carbon</t>
        </is>
      </c>
      <c r="C1177" t="inlineStr">
        <is>
          <t>Wingboard</t>
        </is>
      </c>
      <c r="D1177" s="3" t="n">
        <v>140</v>
      </c>
      <c r="E1177" t="inlineStr"/>
      <c r="F1177" s="4" t="n">
        <v>650</v>
      </c>
      <c r="G1177" t="inlineStr"/>
      <c r="H1177" t="inlineStr">
        <is>
          <t>12309 Berlin - Tempelhof</t>
        </is>
      </c>
      <c r="I1177" s="5" t="n">
        <v>45542</v>
      </c>
      <c r="J1177" t="inlineStr">
        <is>
          <t>Sold</t>
        </is>
      </c>
      <c r="K1177" s="6">
        <f>HYPERLINK("https://www.kleinanzeigen.de/s-anzeige/wingboard-naish-ultra-carbon-140-liter-mit-boradbag/2856476354-230-3411", "Link")</f>
        <v/>
      </c>
      <c r="L1177" s="6">
        <f>HYPERLINK("C:\Projects\Kleinanzeigen-Scraper\offer_images\2856476354", "Link")</f>
        <v/>
      </c>
      <c r="M1177" t="inlineStr">
        <is>
          <t>Bernd</t>
        </is>
      </c>
      <c r="N1177" s="6">
        <f>HYPERLINK("https://www.kleinanzeigen.de/s-bestandsliste.html?userId=9350966", "Link")</f>
        <v/>
      </c>
      <c r="O1177" s="7" t="n">
        <v>45549.57960648148</v>
      </c>
      <c r="P1177" s="3" t="inlineStr">
        <is>
          <t>473.85</t>
        </is>
      </c>
      <c r="Q1177" t="inlineStr">
        <is>
          <t>Köln</t>
        </is>
      </c>
    </row>
    <row r="1178">
      <c r="A1178" t="inlineStr"/>
      <c r="B1178" t="inlineStr">
        <is>
          <t>Fanatic Rabbit</t>
        </is>
      </c>
      <c r="C1178" t="inlineStr"/>
      <c r="D1178" s="3" t="inlineStr"/>
      <c r="E1178" t="inlineStr"/>
      <c r="F1178" s="4" t="n">
        <v>370</v>
      </c>
      <c r="G1178" t="inlineStr">
        <is>
          <t>VB</t>
        </is>
      </c>
      <c r="H1178" t="inlineStr">
        <is>
          <t>28199 Neustadt - Hohentor</t>
        </is>
      </c>
      <c r="I1178" s="5" t="n">
        <v>45512</v>
      </c>
      <c r="J1178" t="inlineStr">
        <is>
          <t>Sold</t>
        </is>
      </c>
      <c r="K1178" s="6">
        <f>HYPERLINK("https://www.kleinanzeigen.de/s-anzeige/surfen-windsurfen-fanatic-rabbit-mit-segel-und-weiterem-equipment/2831998831-230-13501", "Link")</f>
        <v/>
      </c>
      <c r="L1178" s="6">
        <f>HYPERLINK("C:\Projects\Kleinanzeigen-Scraper\offer_images\2831998831", "Link")</f>
        <v/>
      </c>
      <c r="M1178" t="inlineStr">
        <is>
          <t>privater Anbieter</t>
        </is>
      </c>
      <c r="N1178" s="6">
        <f>HYPERLINK("https://www.kleinanzeigen.de/s-bestandsliste.html?userId=16056095", "Link")</f>
        <v/>
      </c>
      <c r="O1178" s="7" t="n">
        <v>45549.57960648148</v>
      </c>
      <c r="P1178" s="3" t="inlineStr">
        <is>
          <t>266.09</t>
        </is>
      </c>
      <c r="Q1178" t="inlineStr">
        <is>
          <t>Köln</t>
        </is>
      </c>
    </row>
    <row r="1179">
      <c r="A1179" t="inlineStr">
        <is>
          <t>Dimensions not provided</t>
        </is>
      </c>
      <c r="B1179" t="inlineStr">
        <is>
          <t>JP Australia</t>
        </is>
      </c>
      <c r="C1179" t="inlineStr">
        <is>
          <t>freestyle wave</t>
        </is>
      </c>
      <c r="D1179" s="3" t="n">
        <v>114</v>
      </c>
      <c r="E1179" t="inlineStr">
        <is>
          <t>2023</t>
        </is>
      </c>
      <c r="F1179" s="4" t="n">
        <v>1.049</v>
      </c>
      <c r="G1179" t="inlineStr"/>
      <c r="H1179" t="inlineStr">
        <is>
          <t>41569 Nordrhein-Westfalen - Rommerskirchen</t>
        </is>
      </c>
      <c r="I1179" s="5" t="n">
        <v>45445</v>
      </c>
      <c r="J1179" t="inlineStr"/>
      <c r="K1179" s="6">
        <f>HYPERLINK("https://www.kleinanzeigen.de/s-anzeige/jp-australia-freestyle-wave-114/2777919182-230-19638", "Link")</f>
        <v/>
      </c>
      <c r="L1179" s="6">
        <f>HYPERLINK("C:\Projects\Kleinanzeigen-Scraper\offer_images\2777919182", "Link")</f>
        <v/>
      </c>
      <c r="M1179" t="inlineStr">
        <is>
          <t>Unbekannt</t>
        </is>
      </c>
      <c r="N1179" s="6">
        <f>HYPERLINK("https://www.kleinanzeigen.de/s-bestandsliste.html?userId=29158169", "Link")</f>
        <v/>
      </c>
      <c r="O1179" s="7" t="n">
        <v>45549.57959490741</v>
      </c>
      <c r="P1179" s="3" t="inlineStr">
        <is>
          <t>22.79</t>
        </is>
      </c>
      <c r="Q1179" t="inlineStr">
        <is>
          <t>Köln</t>
        </is>
      </c>
    </row>
    <row r="1180">
      <c r="A1180" t="inlineStr">
        <is>
          <t>265 cm x 75 cm</t>
        </is>
      </c>
      <c r="B1180" t="inlineStr">
        <is>
          <t>JP Australia Fun Ride</t>
        </is>
      </c>
      <c r="C1180" t="inlineStr">
        <is>
          <t>Freeride</t>
        </is>
      </c>
      <c r="D1180" s="3" t="n">
        <v>155</v>
      </c>
      <c r="E1180" t="inlineStr">
        <is>
          <t>2021</t>
        </is>
      </c>
      <c r="F1180" s="4" t="n">
        <v>850</v>
      </c>
      <c r="G1180" t="inlineStr">
        <is>
          <t>VB</t>
        </is>
      </c>
      <c r="H1180" t="inlineStr">
        <is>
          <t>04229 Leipzig - Schleußig</t>
        </is>
      </c>
      <c r="I1180" s="5" t="n">
        <v>45530</v>
      </c>
      <c r="J1180" t="inlineStr"/>
      <c r="K1180" s="6">
        <f>HYPERLINK("https://www.kleinanzeigen.de/s-anzeige/jp-australia-fun-ride-inkl-boardbag/2846721279-230-30155", "Link")</f>
        <v/>
      </c>
      <c r="L1180" s="6">
        <f>HYPERLINK("C:\Projects\Kleinanzeigen-Scraper\offer_images\2846721279", "Link")</f>
        <v/>
      </c>
      <c r="M1180" t="inlineStr">
        <is>
          <t>Oliver</t>
        </is>
      </c>
      <c r="N1180" s="6">
        <f>HYPERLINK("https://www.kleinanzeigen.de/s-bestandsliste.html?userId=37260508", "Link")</f>
        <v/>
      </c>
      <c r="O1180" s="7" t="n">
        <v>45549.57959490741</v>
      </c>
      <c r="P1180" s="3" t="inlineStr">
        <is>
          <t>358.53</t>
        </is>
      </c>
      <c r="Q1180" t="inlineStr">
        <is>
          <t>München</t>
        </is>
      </c>
    </row>
    <row r="1181">
      <c r="A1181" t="inlineStr">
        <is>
          <t>10'0"</t>
        </is>
      </c>
      <c r="B1181" t="inlineStr">
        <is>
          <t>Fanatic Ripper Air</t>
        </is>
      </c>
      <c r="C1181" t="inlineStr"/>
      <c r="D1181" s="3" t="n">
        <v>180</v>
      </c>
      <c r="E1181" t="inlineStr">
        <is>
          <t>2023</t>
        </is>
      </c>
      <c r="F1181" s="4" t="n">
        <v>290</v>
      </c>
      <c r="G1181" t="inlineStr"/>
      <c r="H1181" t="inlineStr">
        <is>
          <t>82418 Bayern - Murnau am Staffelsee</t>
        </is>
      </c>
      <c r="I1181" s="5" t="n">
        <v>45507</v>
      </c>
      <c r="J1181" t="inlineStr">
        <is>
          <t>Sold</t>
        </is>
      </c>
      <c r="K1181" s="6">
        <f>HYPERLINK("https://www.kleinanzeigen.de/s-anzeige/ripper-air-kinder-sup-board-aufblasbar-fanatic-2023/2827672947-230-10648", "Link")</f>
        <v/>
      </c>
      <c r="L1181" s="6">
        <f>HYPERLINK("C:\Projects\Kleinanzeigen-Scraper\offer_images\2827672947", "Link")</f>
        <v/>
      </c>
      <c r="M1181" t="inlineStr">
        <is>
          <t>Nic</t>
        </is>
      </c>
      <c r="N1181" s="6">
        <f>HYPERLINK("https://www.kleinanzeigen.de/s-bestandsliste.html?userId=143084014", "Link")</f>
        <v/>
      </c>
      <c r="O1181" s="7" t="n">
        <v>45549.57959490741</v>
      </c>
      <c r="P1181" s="3" t="inlineStr">
        <is>
          <t>57.83</t>
        </is>
      </c>
      <c r="Q1181" t="inlineStr">
        <is>
          <t>München</t>
        </is>
      </c>
    </row>
    <row r="1182">
      <c r="A1182" t="inlineStr">
        <is>
          <t>11'8</t>
        </is>
      </c>
      <c r="B1182" t="inlineStr">
        <is>
          <t>JP Australia</t>
        </is>
      </c>
      <c r="C1182" t="inlineStr">
        <is>
          <t>Allround</t>
        </is>
      </c>
      <c r="D1182" s="3" t="n">
        <v>199</v>
      </c>
      <c r="E1182" t="inlineStr"/>
      <c r="F1182" s="4" t="n">
        <v>250</v>
      </c>
      <c r="G1182" t="inlineStr">
        <is>
          <t>VB</t>
        </is>
      </c>
      <c r="H1182" t="inlineStr">
        <is>
          <t>26160 Niedersachsen - Bad Zwischenahn</t>
        </is>
      </c>
      <c r="I1182" s="5" t="n">
        <v>45501</v>
      </c>
      <c r="J1182" t="inlineStr">
        <is>
          <t>Sold</t>
        </is>
      </c>
      <c r="K1182" s="6">
        <f>HYPERLINK("https://www.kleinanzeigen.de/s-anzeige/jp-australia-sup-allround-11-8-mit-paddel/2823767543-230-2601", "Link")</f>
        <v/>
      </c>
      <c r="L1182" s="6">
        <f>HYPERLINK("C:\Projects\Kleinanzeigen-Scraper\offer_images\2823767543", "Link")</f>
        <v/>
      </c>
      <c r="M1182" t="inlineStr">
        <is>
          <t>Per Jürgens</t>
        </is>
      </c>
      <c r="N1182" s="6">
        <f>HYPERLINK("https://www.kleinanzeigen.de/s-bestandsliste.html?userId=51064017", "Link")</f>
        <v/>
      </c>
      <c r="O1182" s="7" t="n">
        <v>45549.57957175926</v>
      </c>
      <c r="P1182" s="3" t="inlineStr">
        <is>
          <t>260.27</t>
        </is>
      </c>
      <c r="Q1182" t="inlineStr">
        <is>
          <t>Köln</t>
        </is>
      </c>
    </row>
    <row r="1183">
      <c r="A1183" t="inlineStr"/>
      <c r="B1183" t="inlineStr">
        <is>
          <t>RRD Evolution Y25</t>
        </is>
      </c>
      <c r="C1183" t="inlineStr">
        <is>
          <t>Freeride</t>
        </is>
      </c>
      <c r="D1183" s="3" t="n">
        <v>155</v>
      </c>
      <c r="E1183" t="inlineStr"/>
      <c r="F1183" s="4" t="n">
        <v>699</v>
      </c>
      <c r="G1183" t="inlineStr">
        <is>
          <t>VB</t>
        </is>
      </c>
      <c r="H1183" t="inlineStr">
        <is>
          <t>23701 Kreis Ostholstein - Eutin</t>
        </is>
      </c>
      <c r="I1183" s="5" t="n">
        <v>45531</v>
      </c>
      <c r="J1183" t="inlineStr">
        <is>
          <t>Sold</t>
        </is>
      </c>
      <c r="K1183" s="6">
        <f>HYPERLINK("https://www.kleinanzeigen.de/s-anzeige/surfboard-surfbrett-rrd-evoultion-y25-lts-155-softskin/2847781669-230-10552", "Link")</f>
        <v/>
      </c>
      <c r="L1183" s="6">
        <f>HYPERLINK("C:\Projects\Kleinanzeigen-Scraper\offer_images\2847781669", "Link")</f>
        <v/>
      </c>
      <c r="M1183" t="inlineStr">
        <is>
          <t>Jan</t>
        </is>
      </c>
      <c r="N1183" s="6">
        <f>HYPERLINK("https://www.kleinanzeigen.de/s-bestandsliste.html?userId=134090081", "Link")</f>
        <v/>
      </c>
      <c r="O1183" s="7" t="n">
        <v>45549.57956018519</v>
      </c>
      <c r="P1183" s="3" t="inlineStr">
        <is>
          <t>431.90</t>
        </is>
      </c>
      <c r="Q1183" t="inlineStr">
        <is>
          <t>Köln</t>
        </is>
      </c>
    </row>
    <row r="1184">
      <c r="A1184" t="inlineStr">
        <is>
          <t>10'8" / 325cm x 33" / 84cm x 5'5" / 14cm</t>
        </is>
      </c>
      <c r="B1184" t="inlineStr">
        <is>
          <t>Starboard IGO ZEN</t>
        </is>
      </c>
      <c r="C1184" t="inlineStr">
        <is>
          <t>SUP</t>
        </is>
      </c>
      <c r="D1184" s="3" t="n">
        <v>309</v>
      </c>
      <c r="E1184" t="inlineStr">
        <is>
          <t>2023</t>
        </is>
      </c>
      <c r="F1184" s="4" t="n">
        <v>330</v>
      </c>
      <c r="G1184" t="inlineStr"/>
      <c r="H1184" t="inlineStr">
        <is>
          <t>53332 Nordrhein-Westfalen - Bornheim</t>
        </is>
      </c>
      <c r="I1184" s="5" t="n">
        <v>45543</v>
      </c>
      <c r="J1184" t="inlineStr"/>
      <c r="K1184" s="6">
        <f>HYPERLINK("https://www.kleinanzeigen.de/s-anzeige/starboard-inchable-sup-10-8-igo-zen-dropstich-top/2857957104-230-1606", "Link")</f>
        <v/>
      </c>
      <c r="L1184" s="6">
        <f>HYPERLINK("C:\Projects\Kleinanzeigen-Scraper\offer_images\2857957104", "Link")</f>
        <v/>
      </c>
      <c r="M1184" t="inlineStr">
        <is>
          <t>hoch|zu|frie|den</t>
        </is>
      </c>
      <c r="N1184" s="6">
        <f>HYPERLINK("https://www.kleinanzeigen.de/s-bestandsliste.html?userId=4147395", "Link")</f>
        <v/>
      </c>
      <c r="O1184" s="7" t="n">
        <v>45549.57956018519</v>
      </c>
      <c r="P1184" s="3" t="inlineStr">
        <is>
          <t>18.44</t>
        </is>
      </c>
      <c r="Q1184" t="inlineStr">
        <is>
          <t>Köln</t>
        </is>
      </c>
    </row>
    <row r="1185">
      <c r="A1185" t="inlineStr">
        <is>
          <t>139x42.5</t>
        </is>
      </c>
      <c r="B1185" t="inlineStr">
        <is>
          <t>Naish Antic</t>
        </is>
      </c>
      <c r="C1185" t="inlineStr">
        <is>
          <t>Wakestyle</t>
        </is>
      </c>
      <c r="D1185" s="3" t="inlineStr"/>
      <c r="E1185" t="inlineStr"/>
      <c r="F1185" s="4" t="n">
        <v>174</v>
      </c>
      <c r="G1185" t="inlineStr">
        <is>
          <t>VB</t>
        </is>
      </c>
      <c r="H1185" t="inlineStr">
        <is>
          <t>42281 Wuppertal - Oberbarmen</t>
        </is>
      </c>
      <c r="I1185" s="5" t="n">
        <v>45504</v>
      </c>
      <c r="J1185" t="inlineStr">
        <is>
          <t>Sold</t>
        </is>
      </c>
      <c r="K1185" s="6">
        <f>HYPERLINK("https://www.kleinanzeigen.de/s-anzeige/naish-antic-kiteboard-wakestyle-139x42-5-cm-wakeboard/2825825557-230-1570", "Link")</f>
        <v/>
      </c>
      <c r="L1185" s="6">
        <f>HYPERLINK("C:\Projects\Kleinanzeigen-Scraper\offer_images\2825825557", "Link")</f>
        <v/>
      </c>
      <c r="M1185" t="inlineStr">
        <is>
          <t>Johannes</t>
        </is>
      </c>
      <c r="N1185" s="6">
        <f>HYPERLINK("https://www.kleinanzeigen.de/s-bestandsliste.html?userId=62675232", "Link")</f>
        <v/>
      </c>
      <c r="O1185" s="7" t="n">
        <v>45549.57956018519</v>
      </c>
      <c r="P1185" s="3" t="inlineStr">
        <is>
          <t>42.02</t>
        </is>
      </c>
      <c r="Q1185" t="inlineStr">
        <is>
          <t>Köln</t>
        </is>
      </c>
    </row>
    <row r="1186">
      <c r="A1186" t="inlineStr"/>
      <c r="B1186" t="inlineStr">
        <is>
          <t>JP-Australia Ultimate Wave</t>
        </is>
      </c>
      <c r="C1186" t="inlineStr">
        <is>
          <t>Wave</t>
        </is>
      </c>
      <c r="D1186" s="3" t="n">
        <v>83</v>
      </c>
      <c r="E1186" t="inlineStr"/>
      <c r="F1186" s="4" t="n">
        <v>700</v>
      </c>
      <c r="G1186" t="inlineStr">
        <is>
          <t>VB</t>
        </is>
      </c>
      <c r="H1186" t="inlineStr">
        <is>
          <t>24105 Schleswig-Holstein - Kiel</t>
        </is>
      </c>
      <c r="I1186" s="5" t="n">
        <v>45492</v>
      </c>
      <c r="J1186" t="inlineStr"/>
      <c r="K1186" s="6">
        <f>HYPERLINK("https://www.kleinanzeigen.de/s-anzeige/jp-australia-ultimate-wave-83l-wave-windsurf-board/2815873920-230-708", "Link")</f>
        <v/>
      </c>
      <c r="L1186" s="6">
        <f>HYPERLINK("C:\Projects\Kleinanzeigen-Scraper\offer_images\2815873920", "Link")</f>
        <v/>
      </c>
      <c r="M1186" t="inlineStr">
        <is>
          <t>Leo Richter</t>
        </is>
      </c>
      <c r="N1186" s="6">
        <f>HYPERLINK("https://www.kleinanzeigen.de/s-bestandsliste.html?userId=56454387", "Link")</f>
        <v/>
      </c>
      <c r="O1186" s="7" t="n">
        <v>45549.57956018519</v>
      </c>
      <c r="P1186" s="3" t="inlineStr">
        <is>
          <t>435.05</t>
        </is>
      </c>
      <c r="Q1186" t="inlineStr">
        <is>
          <t>Köln</t>
        </is>
      </c>
    </row>
    <row r="1187">
      <c r="A1187" t="inlineStr">
        <is>
          <t>216cm x 56cm</t>
        </is>
      </c>
      <c r="B1187" t="inlineStr">
        <is>
          <t>Tabou Pocket</t>
        </is>
      </c>
      <c r="C1187" t="inlineStr">
        <is>
          <t>Wave</t>
        </is>
      </c>
      <c r="D1187" s="3" t="n">
        <v>87</v>
      </c>
      <c r="E1187" t="inlineStr"/>
      <c r="F1187" s="4" t="n">
        <v>320</v>
      </c>
      <c r="G1187" t="inlineStr">
        <is>
          <t>VB</t>
        </is>
      </c>
      <c r="H1187" t="inlineStr">
        <is>
          <t>22297 Hamburg-Nord - Hamburg Alsterdorf</t>
        </is>
      </c>
      <c r="I1187" s="5" t="n">
        <v>45432</v>
      </c>
      <c r="J1187" t="inlineStr"/>
      <c r="K1187" s="6">
        <f>HYPERLINK("https://www.kleinanzeigen.de/s-anzeige/tabou-pocket-waveboard-87l-laenge-216cm-breite-56cm/2767020602-230-16438", "Link")</f>
        <v/>
      </c>
      <c r="L1187" s="6">
        <f>HYPERLINK("C:\Projects\Kleinanzeigen-Scraper\offer_images\2767020602", "Link")</f>
        <v/>
      </c>
      <c r="M1187" t="inlineStr">
        <is>
          <t>Stephan.Schoop</t>
        </is>
      </c>
      <c r="N1187" s="6">
        <f>HYPERLINK("https://www.kleinanzeigen.de/s-bestandsliste.html?userId=41209044", "Link")</f>
        <v/>
      </c>
      <c r="O1187" s="7" t="n">
        <v>45549.57951388889</v>
      </c>
      <c r="P1187" s="3" t="inlineStr">
        <is>
          <t>362.41</t>
        </is>
      </c>
      <c r="Q1187" t="inlineStr">
        <is>
          <t>Köln</t>
        </is>
      </c>
    </row>
    <row r="1188">
      <c r="A1188" t="inlineStr">
        <is>
          <t>270cm x 80cm</t>
        </is>
      </c>
      <c r="B1188" t="inlineStr">
        <is>
          <t>Fanatic Stingray</t>
        </is>
      </c>
      <c r="C1188" t="inlineStr">
        <is>
          <t>Freeride</t>
        </is>
      </c>
      <c r="D1188" s="3" t="n">
        <v>170</v>
      </c>
      <c r="E1188" t="inlineStr"/>
      <c r="F1188" s="4" t="n">
        <v>255</v>
      </c>
      <c r="G1188" t="inlineStr">
        <is>
          <t>VB</t>
        </is>
      </c>
      <c r="H1188" t="inlineStr">
        <is>
          <t>93059 Bayern - Regensburg</t>
        </is>
      </c>
      <c r="I1188" s="5" t="n">
        <v>45529</v>
      </c>
      <c r="J1188" t="inlineStr">
        <is>
          <t>Sold</t>
        </is>
      </c>
      <c r="K1188" s="6">
        <f>HYPERLINK("https://www.kleinanzeigen.de/s-anzeige/windsurf-surfbrett-surfboard-fanatic-stingray170-0941-583-9373/2845556479-230-7657", "Link")</f>
        <v/>
      </c>
      <c r="L1188" s="6">
        <f>HYPERLINK("C:\Projects\Kleinanzeigen-Scraper\offer_images\2845556479", "Link")</f>
        <v/>
      </c>
      <c r="M1188" t="inlineStr">
        <is>
          <t>Markus</t>
        </is>
      </c>
      <c r="N1188" s="6">
        <f>HYPERLINK("https://www.kleinanzeigen.de/s-bestandsliste.html?userId=9145603", "Link")</f>
        <v/>
      </c>
      <c r="O1188" s="7" t="n">
        <v>45549.57951388889</v>
      </c>
      <c r="P1188" s="3" t="inlineStr">
        <is>
          <t>106.71</t>
        </is>
      </c>
      <c r="Q1188" t="inlineStr">
        <is>
          <t>München</t>
        </is>
      </c>
    </row>
    <row r="1189">
      <c r="A1189" t="inlineStr">
        <is>
          <t>79</t>
        </is>
      </c>
      <c r="B1189" t="inlineStr">
        <is>
          <t>Starboard x15</t>
        </is>
      </c>
      <c r="C1189" t="inlineStr"/>
      <c r="D1189" s="3" t="inlineStr"/>
      <c r="E1189" t="inlineStr">
        <is>
          <t>2024</t>
        </is>
      </c>
      <c r="F1189" s="4" t="n">
        <v>1.29</v>
      </c>
      <c r="G1189" t="inlineStr"/>
      <c r="H1189" t="inlineStr">
        <is>
          <t>04626 Thüringen - Schmoelln</t>
        </is>
      </c>
      <c r="I1189" s="5" t="n">
        <v>45512</v>
      </c>
      <c r="J1189" t="inlineStr">
        <is>
          <t>Sold</t>
        </is>
      </c>
      <c r="K1189" s="6">
        <f>HYPERLINK("https://www.kleinanzeigen.de/s-anzeige/starboard-x15-79-2024-neu/2831773441-230-4176", "Link")</f>
        <v/>
      </c>
      <c r="L1189" s="6">
        <f>HYPERLINK("C:\Projects\Kleinanzeigen-Scraper\offer_images\2831773441", "Link")</f>
        <v/>
      </c>
      <c r="M1189" t="inlineStr">
        <is>
          <t>Fritz</t>
        </is>
      </c>
      <c r="N1189" s="6">
        <f>HYPERLINK("https://www.kleinanzeigen.de/s-bestandsliste.html?userId=9166072", "Link")</f>
        <v/>
      </c>
      <c r="O1189" s="7" t="n">
        <v>45549.57949074074</v>
      </c>
      <c r="P1189" s="3" t="inlineStr">
        <is>
          <t>310.28</t>
        </is>
      </c>
      <c r="Q1189" t="inlineStr">
        <is>
          <t>München</t>
        </is>
      </c>
    </row>
    <row r="1190">
      <c r="A1190" t="inlineStr">
        <is>
          <t>229cm x 58cm</t>
        </is>
      </c>
      <c r="B1190" t="inlineStr">
        <is>
          <t>TABOU Pocket Wave</t>
        </is>
      </c>
      <c r="C1190" t="inlineStr">
        <is>
          <t>Wave</t>
        </is>
      </c>
      <c r="D1190" s="3" t="n">
        <v>84</v>
      </c>
      <c r="E1190" t="inlineStr">
        <is>
          <t>2007</t>
        </is>
      </c>
      <c r="F1190" s="4" t="n">
        <v>225</v>
      </c>
      <c r="G1190" t="inlineStr">
        <is>
          <t>VB</t>
        </is>
      </c>
      <c r="H1190" t="inlineStr">
        <is>
          <t>22765 Altona - Hamburg Ottensen</t>
        </is>
      </c>
      <c r="I1190" s="5" t="n">
        <v>45536</v>
      </c>
      <c r="J1190" t="inlineStr">
        <is>
          <t>Sold</t>
        </is>
      </c>
      <c r="K1190" s="6">
        <f>HYPERLINK("https://www.kleinanzeigen.de/s-anzeige/surfboard-tabou-pocket-wave-84l-carbon-sandwich/2851742133-230-9504", "Link")</f>
        <v/>
      </c>
      <c r="L1190" s="6">
        <f>HYPERLINK("C:\Projects\Kleinanzeigen-Scraper\offer_images\2851742133", "Link")</f>
        <v/>
      </c>
      <c r="M1190" t="inlineStr">
        <is>
          <t>Philipp Schneider</t>
        </is>
      </c>
      <c r="N1190" s="6">
        <f>HYPERLINK("https://www.kleinanzeigen.de/s-bestandsliste.html?userId=19961517", "Link")</f>
        <v/>
      </c>
      <c r="O1190" s="7" t="n">
        <v>45549.57946759259</v>
      </c>
      <c r="P1190" s="3" t="inlineStr">
        <is>
          <t>354.49</t>
        </is>
      </c>
      <c r="Q1190" t="inlineStr">
        <is>
          <t>Köln</t>
        </is>
      </c>
    </row>
    <row r="1191">
      <c r="A1191" t="inlineStr">
        <is>
          <t>5'5" x 19" x 2"</t>
        </is>
      </c>
      <c r="B1191" t="inlineStr">
        <is>
          <t>RRD Spark Ltd</t>
        </is>
      </c>
      <c r="C1191" t="inlineStr">
        <is>
          <t>directional</t>
        </is>
      </c>
      <c r="D1191" s="3" t="inlineStr"/>
      <c r="E1191" t="inlineStr"/>
      <c r="F1191" s="4" t="n">
        <v>250</v>
      </c>
      <c r="G1191" t="inlineStr">
        <is>
          <t>VB</t>
        </is>
      </c>
      <c r="H1191" t="inlineStr">
        <is>
          <t>82547 Bayern - Eurasburg</t>
        </is>
      </c>
      <c r="I1191" s="5" t="n">
        <v>45513</v>
      </c>
      <c r="J1191" t="inlineStr">
        <is>
          <t>Sold</t>
        </is>
      </c>
      <c r="K1191" s="6">
        <f>HYPERLINK("https://www.kleinanzeigen.de/s-anzeige/rrd-spark-ltd-5-5-kiteboard-directional/2832514467-230-6329", "Link")</f>
        <v/>
      </c>
      <c r="L1191" s="6">
        <f>HYPERLINK("C:\Projects\Kleinanzeigen-Scraper\offer_images\2832514467", "Link")</f>
        <v/>
      </c>
      <c r="M1191" t="inlineStr">
        <is>
          <t>Philipp Wermuth</t>
        </is>
      </c>
      <c r="N1191" s="6">
        <f>HYPERLINK("https://www.kleinanzeigen.de/s-bestandsliste.html?userId=60441203", "Link")</f>
        <v/>
      </c>
      <c r="O1191" s="7" t="n">
        <v>45549.57944444445</v>
      </c>
      <c r="P1191" s="3" t="inlineStr">
        <is>
          <t>33.53</t>
        </is>
      </c>
      <c r="Q1191" t="inlineStr">
        <is>
          <t>München</t>
        </is>
      </c>
    </row>
    <row r="1192">
      <c r="A1192" t="inlineStr">
        <is>
          <t>246.5cm x 69cm</t>
        </is>
      </c>
      <c r="B1192" t="inlineStr">
        <is>
          <t>Tabou</t>
        </is>
      </c>
      <c r="C1192" t="inlineStr">
        <is>
          <t>Freeride, Freemove, Freestyle</t>
        </is>
      </c>
      <c r="D1192" s="3" t="n">
        <v>115</v>
      </c>
      <c r="E1192" t="inlineStr"/>
      <c r="F1192" s="4" t="n">
        <v>130</v>
      </c>
      <c r="G1192" t="inlineStr"/>
      <c r="H1192" t="inlineStr">
        <is>
          <t>17213 Müritz - Landkreis - Malchow</t>
        </is>
      </c>
      <c r="I1192" s="5" t="n">
        <v>45459</v>
      </c>
      <c r="J1192" t="inlineStr"/>
      <c r="K1192" s="6">
        <f>HYPERLINK("https://www.kleinanzeigen.de/s-anzeige/windsurfboard-tabou-115l-freeride-freemove-freestyle-surfboard/2789682650-230-16553", "Link")</f>
        <v/>
      </c>
      <c r="L1192" s="6">
        <f>HYPERLINK("C:\Projects\Kleinanzeigen-Scraper\offer_images\2789682650", "Link")</f>
        <v/>
      </c>
      <c r="M1192" t="inlineStr">
        <is>
          <t>Prey , Andreas</t>
        </is>
      </c>
      <c r="N1192" s="6">
        <f>HYPERLINK("https://www.kleinanzeigen.de/s-bestandsliste.html?userId=23159303", "Link")</f>
        <v/>
      </c>
      <c r="O1192" s="7" t="n">
        <v>45549.57943287037</v>
      </c>
      <c r="P1192" s="3" t="inlineStr">
        <is>
          <t>465.90</t>
        </is>
      </c>
      <c r="Q1192" t="inlineStr">
        <is>
          <t>Köln</t>
        </is>
      </c>
    </row>
    <row r="1193">
      <c r="A1193" t="inlineStr">
        <is>
          <t>141/44.5</t>
        </is>
      </c>
      <c r="B1193" t="inlineStr">
        <is>
          <t>North Spike</t>
        </is>
      </c>
      <c r="C1193" t="inlineStr">
        <is>
          <t>Leichtwindboard</t>
        </is>
      </c>
      <c r="D1193" s="3" t="inlineStr"/>
      <c r="E1193" t="inlineStr"/>
      <c r="F1193" s="4" t="n">
        <v>250</v>
      </c>
      <c r="G1193" t="inlineStr">
        <is>
          <t>VB</t>
        </is>
      </c>
      <c r="H1193" t="inlineStr">
        <is>
          <t>30161 Hannover - Mitte</t>
        </is>
      </c>
      <c r="I1193" s="5" t="n">
        <v>45541</v>
      </c>
      <c r="J1193" t="inlineStr">
        <is>
          <t>Sold</t>
        </is>
      </c>
      <c r="K1193" s="6">
        <f>HYPERLINK("https://www.kleinanzeigen.de/s-anzeige/north-kiteboard-spike/2855858095-230-3172", "Link")</f>
        <v/>
      </c>
      <c r="L1193" s="6">
        <f>HYPERLINK("C:\Projects\Kleinanzeigen-Scraper\offer_images\2855858095", "Link")</f>
        <v/>
      </c>
      <c r="M1193" t="inlineStr">
        <is>
          <t>Fam</t>
        </is>
      </c>
      <c r="N1193" s="6">
        <f>HYPERLINK("https://www.kleinanzeigen.de/s-bestandsliste.html?userId=12936624", "Link")</f>
        <v/>
      </c>
      <c r="O1193" s="7" t="n">
        <v>45549.57942129629</v>
      </c>
      <c r="P1193" s="3" t="inlineStr">
        <is>
          <t>250.82</t>
        </is>
      </c>
      <c r="Q1193" t="inlineStr">
        <is>
          <t>Köln</t>
        </is>
      </c>
    </row>
    <row r="1194">
      <c r="A1194" t="inlineStr">
        <is>
          <t>219 cm x 58 cm</t>
        </is>
      </c>
      <c r="B1194" t="inlineStr">
        <is>
          <t>Naish S26 Assault</t>
        </is>
      </c>
      <c r="C1194" t="inlineStr">
        <is>
          <t>Wave</t>
        </is>
      </c>
      <c r="D1194" s="3" t="n">
        <v>85</v>
      </c>
      <c r="E1194" t="inlineStr">
        <is>
          <t>2023</t>
        </is>
      </c>
      <c r="F1194" s="4" t="n">
        <v>1.599</v>
      </c>
      <c r="G1194" t="inlineStr"/>
      <c r="H1194" t="inlineStr">
        <is>
          <t>82319 Bayern - Starnberg</t>
        </is>
      </c>
      <c r="I1194" s="5" t="n">
        <v>45561</v>
      </c>
      <c r="J1194" t="inlineStr"/>
      <c r="K1194" s="6">
        <f>HYPERLINK("https://www.kleinanzeigen.de/s-anzeige/naish-s26-assault-85-liter-2023-windsurfboard-neu/2433988859-230-5525", "Link")</f>
        <v/>
      </c>
      <c r="L1194" s="6">
        <f>HYPERLINK("C:\Projects\Kleinanzeigen-Scraper\offer_images\2433988859", "Link")</f>
        <v/>
      </c>
      <c r="M1194" t="inlineStr">
        <is>
          <t>No user name</t>
        </is>
      </c>
      <c r="N1194" s="6">
        <f>HYPERLINK("https://www.kleinanzeigen.deNo user link", "Link")</f>
        <v/>
      </c>
      <c r="O1194" s="7" t="n">
        <v>45549.57940972222</v>
      </c>
      <c r="P1194" s="3" t="inlineStr">
        <is>
          <t>23.17</t>
        </is>
      </c>
      <c r="Q1194" t="inlineStr">
        <is>
          <t>München</t>
        </is>
      </c>
    </row>
    <row r="1195">
      <c r="A1195" t="inlineStr"/>
      <c r="B1195" t="inlineStr">
        <is>
          <t>Fanatic Lite Bat</t>
        </is>
      </c>
      <c r="C1195" t="inlineStr"/>
      <c r="D1195" s="3" t="inlineStr"/>
      <c r="E1195" t="inlineStr"/>
      <c r="F1195" s="4" t="n">
        <v>270</v>
      </c>
      <c r="G1195" t="inlineStr">
        <is>
          <t>VB</t>
        </is>
      </c>
      <c r="H1195" t="inlineStr">
        <is>
          <t>77836 Baden-Württemberg - Rheinmünster</t>
        </is>
      </c>
      <c r="I1195" s="5" t="n">
        <v>45515</v>
      </c>
      <c r="J1195" t="inlineStr">
        <is>
          <t>Sold</t>
        </is>
      </c>
      <c r="K1195" s="6">
        <f>HYPERLINK("https://www.kleinanzeigen.de/s-anzeige/serfbrett-segelbrett-fanatic-lite-bat/2834692377-230-8748", "Link")</f>
        <v/>
      </c>
      <c r="L1195" s="6">
        <f>HYPERLINK("C:\Projects\Kleinanzeigen-Scraper\offer_images\2834692377", "Link")</f>
        <v/>
      </c>
      <c r="M1195" t="inlineStr">
        <is>
          <t>Justin</t>
        </is>
      </c>
      <c r="N1195" s="6">
        <f>HYPERLINK("https://www.kleinanzeigen.de/s-bestandsliste.html?userId=79709329", "Link")</f>
        <v/>
      </c>
      <c r="O1195" s="7" t="n">
        <v>45549.57940972222</v>
      </c>
      <c r="P1195" s="3" t="inlineStr">
        <is>
          <t>38.29</t>
        </is>
      </c>
      <c r="Q1195" t="inlineStr">
        <is>
          <t>Karlsruhe</t>
        </is>
      </c>
    </row>
    <row r="1196">
      <c r="A1196" t="inlineStr">
        <is>
          <t>180.3 cm x 55.9 cm</t>
        </is>
      </c>
      <c r="B1196" t="inlineStr">
        <is>
          <t>Duotone Sky Surf Foil</t>
        </is>
      </c>
      <c r="C1196" t="inlineStr">
        <is>
          <t>Foil</t>
        </is>
      </c>
      <c r="D1196" s="3" t="n">
        <v>60</v>
      </c>
      <c r="E1196" t="inlineStr">
        <is>
          <t>2021</t>
        </is>
      </c>
      <c r="F1196" s="4" t="n">
        <v>320</v>
      </c>
      <c r="G1196" t="inlineStr">
        <is>
          <t>VB</t>
        </is>
      </c>
      <c r="H1196" t="inlineStr">
        <is>
          <t>82319 Bayern - Starnberg</t>
        </is>
      </c>
      <c r="I1196" s="5" t="n">
        <v>45539</v>
      </c>
      <c r="J1196" t="inlineStr">
        <is>
          <t>Sold</t>
        </is>
      </c>
      <c r="K1196" s="6">
        <f>HYPERLINK("https://www.kleinanzeigen.de/s-anzeige/dtx-duotone-sky-surf-foil-5-11/1907381300-230-5525", "Link")</f>
        <v/>
      </c>
      <c r="L1196" s="6">
        <f>HYPERLINK("C:\Projects\Kleinanzeigen-Scraper\offer_images\1907381300", "Link")</f>
        <v/>
      </c>
      <c r="M1196" t="inlineStr">
        <is>
          <t>No user name</t>
        </is>
      </c>
      <c r="N1196" s="6">
        <f>HYPERLINK("https://www.kleinanzeigen.deNo user link", "Link")</f>
        <v/>
      </c>
      <c r="O1196" s="7" t="n">
        <v>45549.57940972222</v>
      </c>
      <c r="P1196" s="3" t="inlineStr">
        <is>
          <t>23.17</t>
        </is>
      </c>
      <c r="Q1196" t="inlineStr">
        <is>
          <t>München</t>
        </is>
      </c>
    </row>
    <row r="1197">
      <c r="A1197" t="inlineStr"/>
      <c r="B1197" t="inlineStr">
        <is>
          <t>RRD FSW</t>
        </is>
      </c>
      <c r="C1197" t="inlineStr">
        <is>
          <t>Freestyle Wave</t>
        </is>
      </c>
      <c r="D1197" s="3" t="n">
        <v>100</v>
      </c>
      <c r="E1197" t="inlineStr"/>
      <c r="F1197" s="4" t="inlineStr"/>
      <c r="G1197" t="inlineStr">
        <is>
          <t>VB</t>
        </is>
      </c>
      <c r="H1197" t="inlineStr">
        <is>
          <t>96450 Bayern - Coburg</t>
        </is>
      </c>
      <c r="I1197" s="5" t="n">
        <v>45544</v>
      </c>
      <c r="J1197" t="inlineStr"/>
      <c r="K1197" s="6">
        <f>HYPERLINK("https://www.kleinanzeigen.de/s-anzeige/rrd-fsw-100l-windsurfboard-6-6kg-mit-schlaufen/2858450003-230-6936", "Link")</f>
        <v/>
      </c>
      <c r="L1197" s="6">
        <f>HYPERLINK("C:\Projects\Kleinanzeigen-Scraper\offer_images\2858450003", "Link")</f>
        <v/>
      </c>
      <c r="M1197" t="inlineStr">
        <is>
          <t>m/w/d</t>
        </is>
      </c>
      <c r="N1197" s="6">
        <f>HYPERLINK("https://www.kleinanzeigen.de/s-bestandsliste.html?userId=131136578", "Link")</f>
        <v/>
      </c>
      <c r="O1197" s="7" t="n">
        <v>45549.57938657407</v>
      </c>
      <c r="P1197" s="3" t="inlineStr">
        <is>
          <t>226.42</t>
        </is>
      </c>
      <c r="Q1197" t="inlineStr">
        <is>
          <t>Böblingen</t>
        </is>
      </c>
    </row>
    <row r="1198">
      <c r="A1198" t="inlineStr">
        <is>
          <t>5.10</t>
        </is>
      </c>
      <c r="B1198" t="inlineStr">
        <is>
          <t>Starboard AMP</t>
        </is>
      </c>
      <c r="C1198" t="inlineStr">
        <is>
          <t>Shortboard</t>
        </is>
      </c>
      <c r="D1198" s="3" t="inlineStr"/>
      <c r="E1198" t="inlineStr"/>
      <c r="F1198" s="4" t="n">
        <v>180</v>
      </c>
      <c r="G1198" t="inlineStr"/>
      <c r="H1198" t="inlineStr">
        <is>
          <t>22083 Hamburg Barmbek - Hamburg Barmbek-Süd</t>
        </is>
      </c>
      <c r="I1198" s="5" t="n">
        <v>45541</v>
      </c>
      <c r="J1198" t="inlineStr">
        <is>
          <t>Sold</t>
        </is>
      </c>
      <c r="K1198" s="6">
        <f>HYPERLINK("https://www.kleinanzeigen.de/s-anzeige/starboard-amp-shortboard-wellenreiter-carbon-5-10/2830097784-230-9485", "Link")</f>
        <v/>
      </c>
      <c r="L1198" s="6">
        <f>HYPERLINK("C:\Projects\Kleinanzeigen-Scraper\offer_images\2830097784", "Link")</f>
        <v/>
      </c>
      <c r="M1198" t="inlineStr">
        <is>
          <t>Sven Schlüter</t>
        </is>
      </c>
      <c r="N1198" s="6">
        <f>HYPERLINK("https://www.kleinanzeigen.de/s-bestandsliste.html?userId=16458476", "Link")</f>
        <v/>
      </c>
      <c r="O1198" s="7" t="n">
        <v>45549.57938657407</v>
      </c>
      <c r="P1198" s="3" t="inlineStr">
        <is>
          <t>360.58</t>
        </is>
      </c>
      <c r="Q1198" t="inlineStr">
        <is>
          <t>Köln</t>
        </is>
      </c>
    </row>
    <row r="1199">
      <c r="A1199" t="inlineStr">
        <is>
          <t>255cm</t>
        </is>
      </c>
      <c r="B1199" t="inlineStr">
        <is>
          <t>Naish</t>
        </is>
      </c>
      <c r="C1199" t="inlineStr"/>
      <c r="D1199" s="3" t="inlineStr"/>
      <c r="E1199" t="inlineStr"/>
      <c r="F1199" s="4" t="n">
        <v>60</v>
      </c>
      <c r="G1199" t="inlineStr">
        <is>
          <t>VB</t>
        </is>
      </c>
      <c r="H1199" t="inlineStr">
        <is>
          <t>26842 Niedersachsen - Ostrhauderfehn</t>
        </is>
      </c>
      <c r="I1199" s="5" t="n">
        <v>45502</v>
      </c>
      <c r="J1199" t="inlineStr">
        <is>
          <t>Sold</t>
        </is>
      </c>
      <c r="K1199" s="6">
        <f>HYPERLINK("https://www.kleinanzeigen.de/s-anzeige/windsurf-board-naish-8-6-255cm/2824300615-230-2765", "Link")</f>
        <v/>
      </c>
      <c r="L1199" s="6">
        <f>HYPERLINK("C:\Projects\Kleinanzeigen-Scraper\offer_images\2824300615", "Link")</f>
        <v/>
      </c>
      <c r="M1199" t="inlineStr">
        <is>
          <t>Moin X</t>
        </is>
      </c>
      <c r="N1199" s="6">
        <f>HYPERLINK("https://www.kleinanzeigen.de/s-bestandsliste.html?userId=71171206", "Link")</f>
        <v/>
      </c>
      <c r="O1199" s="7" t="n">
        <v>45549.57938657407</v>
      </c>
      <c r="P1199" s="3" t="inlineStr">
        <is>
          <t>248.56</t>
        </is>
      </c>
      <c r="Q1199" t="inlineStr">
        <is>
          <t>Köln</t>
        </is>
      </c>
    </row>
    <row r="1200">
      <c r="A1200" t="inlineStr"/>
      <c r="B1200" t="inlineStr">
        <is>
          <t>Fanatic Gecko</t>
        </is>
      </c>
      <c r="C1200" t="inlineStr"/>
      <c r="D1200" s="3" t="n">
        <v>156</v>
      </c>
      <c r="E1200" t="inlineStr"/>
      <c r="F1200" s="4" t="n">
        <v>720</v>
      </c>
      <c r="G1200" t="inlineStr"/>
      <c r="H1200" t="inlineStr">
        <is>
          <t>20257 Eimsbüttel - Hamburg Eimsbüttel (Stadtteil)</t>
        </is>
      </c>
      <c r="I1200" s="5" t="n">
        <v>45529</v>
      </c>
      <c r="J1200" t="inlineStr">
        <is>
          <t>Sold</t>
        </is>
      </c>
      <c r="K1200" s="6">
        <f>HYPERLINK("https://www.kleinanzeigen.de/s-anzeige/anfaenger-aufsteiger-windsurfbrett-fanatic-gecko-156l/2845435337-230-9429", "Link")</f>
        <v/>
      </c>
      <c r="L1200" s="6">
        <f>HYPERLINK("C:\Projects\Kleinanzeigen-Scraper\offer_images\2845435337", "Link")</f>
        <v/>
      </c>
      <c r="M1200" t="inlineStr">
        <is>
          <t>eckbert</t>
        </is>
      </c>
      <c r="N1200" s="6">
        <f>HYPERLINK("https://www.kleinanzeigen.de/s-bestandsliste.html?userId=40296824", "Link")</f>
        <v/>
      </c>
      <c r="O1200" s="7" t="n">
        <v>45549.57938657407</v>
      </c>
      <c r="P1200" s="3" t="inlineStr">
        <is>
          <t>356.84</t>
        </is>
      </c>
      <c r="Q1200" t="inlineStr">
        <is>
          <t>Köln</t>
        </is>
      </c>
    </row>
    <row r="1201">
      <c r="A1201" t="inlineStr">
        <is>
          <t>268 x 66 cm</t>
        </is>
      </c>
      <c r="B1201" t="inlineStr">
        <is>
          <t>Starboard Carve</t>
        </is>
      </c>
      <c r="C1201" t="inlineStr">
        <is>
          <t>Freeride</t>
        </is>
      </c>
      <c r="D1201" s="3" t="n">
        <v>123</v>
      </c>
      <c r="E1201" t="inlineStr"/>
      <c r="F1201" s="4" t="n">
        <v>250</v>
      </c>
      <c r="G1201" t="inlineStr">
        <is>
          <t>VB</t>
        </is>
      </c>
      <c r="H1201" t="inlineStr">
        <is>
          <t>06118 Sachsen-Anhalt - Halle</t>
        </is>
      </c>
      <c r="I1201" s="5" t="n">
        <v>45535</v>
      </c>
      <c r="J1201" t="inlineStr">
        <is>
          <t>Sold</t>
        </is>
      </c>
      <c r="K1201" s="6">
        <f>HYPERLINK("https://www.kleinanzeigen.de/s-anzeige/windsurfboard-starboard-carve-123l/2850794898-230-2417", "Link")</f>
        <v/>
      </c>
      <c r="L1201" s="6">
        <f>HYPERLINK("C:\Projects\Kleinanzeigen-Scraper\offer_images\2850794898", "Link")</f>
        <v/>
      </c>
      <c r="M1201" t="inlineStr">
        <is>
          <t>Mandy</t>
        </is>
      </c>
      <c r="N1201" s="6">
        <f>HYPERLINK("https://www.kleinanzeigen.de/s-bestandsliste.html?userId=43720016", "Link")</f>
        <v/>
      </c>
      <c r="O1201" s="7" t="n">
        <v>45549.57936342592</v>
      </c>
      <c r="P1201" s="3" t="inlineStr">
        <is>
          <t>355.51</t>
        </is>
      </c>
      <c r="Q1201" t="inlineStr">
        <is>
          <t>Köln</t>
        </is>
      </c>
    </row>
    <row r="1202">
      <c r="A1202" t="inlineStr">
        <is>
          <t>136x39</t>
        </is>
      </c>
      <c r="B1202" t="inlineStr">
        <is>
          <t>Duotone Soleil</t>
        </is>
      </c>
      <c r="C1202" t="inlineStr"/>
      <c r="D1202" s="3" t="inlineStr"/>
      <c r="E1202" t="inlineStr"/>
      <c r="F1202" s="4" t="n">
        <v>340</v>
      </c>
      <c r="G1202" t="inlineStr">
        <is>
          <t>VB</t>
        </is>
      </c>
      <c r="H1202" t="inlineStr">
        <is>
          <t>74366 Baden-Württemberg - Kirchheim am Neckar</t>
        </is>
      </c>
      <c r="I1202" s="5" t="n">
        <v>45543</v>
      </c>
      <c r="J1202" t="inlineStr">
        <is>
          <t>Sold</t>
        </is>
      </c>
      <c r="K1202" s="6">
        <f>HYPERLINK("https://www.kleinanzeigen.de/s-anzeige/duotone-soleil-sls-136x39/2857727268-230-8774", "Link")</f>
        <v/>
      </c>
      <c r="L1202" s="6">
        <f>HYPERLINK("C:\Projects\Kleinanzeigen-Scraper\offer_images\2857727268", "Link")</f>
        <v/>
      </c>
      <c r="M1202" t="inlineStr">
        <is>
          <t>Lars Hoffmann</t>
        </is>
      </c>
      <c r="N1202" s="6">
        <f>HYPERLINK("https://www.kleinanzeigen.de/s-bestandsliste.html?userId=12261340", "Link")</f>
        <v/>
      </c>
      <c r="O1202" s="7" t="n">
        <v>45549.57934027778</v>
      </c>
      <c r="P1202" s="3" t="inlineStr">
        <is>
          <t>42.55</t>
        </is>
      </c>
      <c r="Q1202" t="inlineStr">
        <is>
          <t>Böblingen</t>
        </is>
      </c>
    </row>
    <row r="1203">
      <c r="A1203" t="inlineStr">
        <is>
          <t>Naish Supercross 250</t>
        </is>
      </c>
      <c r="B1203" t="inlineStr">
        <is>
          <t>Naish Supercross</t>
        </is>
      </c>
      <c r="C1203" t="inlineStr">
        <is>
          <t>Wave</t>
        </is>
      </c>
      <c r="D1203" s="3" t="n">
        <v>85</v>
      </c>
      <c r="E1203" t="inlineStr"/>
      <c r="F1203" s="4" t="n">
        <v>95</v>
      </c>
      <c r="G1203" t="inlineStr">
        <is>
          <t>VB</t>
        </is>
      </c>
      <c r="H1203" t="inlineStr">
        <is>
          <t>79576 Baden-Württemberg - Weil am Rhein</t>
        </is>
      </c>
      <c r="I1203" s="5" t="n">
        <v>45515</v>
      </c>
      <c r="J1203" t="inlineStr"/>
      <c r="K1203" s="6">
        <f>HYPERLINK("https://www.kleinanzeigen.de/s-anzeige/windsurfboard-waveboard-naish-supercross-250-/2834419541-230-8325", "Link")</f>
        <v/>
      </c>
      <c r="L1203" s="6">
        <f>HYPERLINK("C:\Projects\Kleinanzeigen-Scraper\offer_images\2834419541", "Link")</f>
        <v/>
      </c>
      <c r="M1203" t="inlineStr">
        <is>
          <t>Thomas Zumstein</t>
        </is>
      </c>
      <c r="N1203" s="6">
        <f>HYPERLINK("https://www.kleinanzeigen.de/s-bestandsliste.html?userId=10114058", "Link")</f>
        <v/>
      </c>
      <c r="O1203" s="7" t="n">
        <v>45549.57934027778</v>
      </c>
      <c r="P1203" s="3" t="inlineStr">
        <is>
          <t>59.25</t>
        </is>
      </c>
      <c r="Q1203" t="inlineStr">
        <is>
          <t>Bonndorf</t>
        </is>
      </c>
    </row>
    <row r="1204">
      <c r="A1204" t="inlineStr">
        <is>
          <t>244 x 75.5</t>
        </is>
      </c>
      <c r="B1204" t="inlineStr">
        <is>
          <t>Tabou</t>
        </is>
      </c>
      <c r="C1204" t="inlineStr">
        <is>
          <t>Freestyle</t>
        </is>
      </c>
      <c r="D1204" s="3" t="n">
        <v>125</v>
      </c>
      <c r="E1204" t="inlineStr">
        <is>
          <t>22/23</t>
        </is>
      </c>
      <c r="F1204" s="4" t="n">
        <v>1</v>
      </c>
      <c r="G1204" t="inlineStr">
        <is>
          <t>VB</t>
        </is>
      </c>
      <c r="H1204" t="inlineStr">
        <is>
          <t>13125 Berlin - Pankow</t>
        </is>
      </c>
      <c r="I1204" s="5" t="n">
        <v>45531</v>
      </c>
      <c r="J1204" t="inlineStr">
        <is>
          <t>Sold</t>
        </is>
      </c>
      <c r="K1204" s="6">
        <f>HYPERLINK("https://www.kleinanzeigen.de/s-anzeige/tausche-tabou-125-ltd-gegen-fanatic-freewave-115/2847784363-230-3466", "Link")</f>
        <v/>
      </c>
      <c r="L1204" s="6">
        <f>HYPERLINK("C:\Projects\Kleinanzeigen-Scraper\offer_images\2847784363", "Link")</f>
        <v/>
      </c>
      <c r="M1204" t="inlineStr">
        <is>
          <t>Schmidt Michael</t>
        </is>
      </c>
      <c r="N1204" s="6">
        <f>HYPERLINK("https://www.kleinanzeigen.de/s-bestandsliste.html?userId=34132350", "Link")</f>
        <v/>
      </c>
      <c r="O1204" s="7" t="n">
        <v>45549.57931712963</v>
      </c>
      <c r="P1204" s="3" t="inlineStr">
        <is>
          <t>486.44</t>
        </is>
      </c>
      <c r="Q1204" t="inlineStr">
        <is>
          <t>Köln</t>
        </is>
      </c>
    </row>
    <row r="1205">
      <c r="A1205" t="inlineStr"/>
      <c r="B1205" t="inlineStr">
        <is>
          <t>Goya Custom Pro 3</t>
        </is>
      </c>
      <c r="C1205" t="inlineStr"/>
      <c r="D1205" s="3" t="n">
        <v>99</v>
      </c>
      <c r="E1205" t="inlineStr"/>
      <c r="F1205" s="4" t="n">
        <v>1.3</v>
      </c>
      <c r="G1205" t="inlineStr"/>
      <c r="H1205" t="inlineStr">
        <is>
          <t>26127 Niedersachsen - Oldenburg</t>
        </is>
      </c>
      <c r="I1205" s="5" t="n">
        <v>45434</v>
      </c>
      <c r="J1205" t="inlineStr"/>
      <c r="K1205" s="6">
        <f>HYPERLINK("https://www.kleinanzeigen.de/s-anzeige/goya-custom-pro-3-99-liter-windsurfboard/2768657423-230-3112", "Link")</f>
        <v/>
      </c>
      <c r="L1205" s="6">
        <f>HYPERLINK("C:\Projects\Kleinanzeigen-Scraper\offer_images\2768657423", "Link")</f>
        <v/>
      </c>
      <c r="M1205" t="inlineStr">
        <is>
          <t>Jan Lauter</t>
        </is>
      </c>
      <c r="N1205" s="6">
        <f>HYPERLINK("https://www.kleinanzeigen.de/s-bestandsliste.html?userId=19817734", "Link")</f>
        <v/>
      </c>
      <c r="O1205" s="7" t="n">
        <v>45549.57931712963</v>
      </c>
      <c r="P1205" s="3" t="inlineStr">
        <is>
          <t>378.85</t>
        </is>
      </c>
      <c r="Q1205" t="inlineStr">
        <is>
          <t>Köln</t>
        </is>
      </c>
    </row>
    <row r="1206">
      <c r="A1206" t="inlineStr">
        <is>
          <t>12’6” x 28” (approx. 381 cm x 71 cm)</t>
        </is>
      </c>
      <c r="B1206" t="inlineStr">
        <is>
          <t>Starboard Generation Lite Tech</t>
        </is>
      </c>
      <c r="C1206" t="inlineStr"/>
      <c r="D1206" s="3" t="inlineStr"/>
      <c r="E1206" t="inlineStr"/>
      <c r="F1206" s="4" t="n">
        <v>700</v>
      </c>
      <c r="G1206" t="inlineStr"/>
      <c r="H1206" t="inlineStr">
        <is>
          <t>58093 Nordrhein-Westfalen - Hagen</t>
        </is>
      </c>
      <c r="I1206" s="5" t="n">
        <v>45516</v>
      </c>
      <c r="J1206" t="inlineStr"/>
      <c r="K1206" s="6">
        <f>HYPERLINK("https://www.kleinanzeigen.de/s-anzeige/starboard-generation-lite-tech-12-6-x-28-/2835429879-230-2011", "Link")</f>
        <v/>
      </c>
      <c r="L1206" s="6">
        <f>HYPERLINK("C:\Projects\Kleinanzeigen-Scraper\offer_images\2835429879", "Link")</f>
        <v/>
      </c>
      <c r="M1206" t="inlineStr">
        <is>
          <t>Christian</t>
        </is>
      </c>
      <c r="N1206" s="6">
        <f>HYPERLINK("https://www.kleinanzeigen.de/s-bestandsliste.html?userId=25044575", "Link")</f>
        <v/>
      </c>
      <c r="O1206" s="7" t="n">
        <v>45549.57931712963</v>
      </c>
      <c r="P1206" s="3" t="inlineStr">
        <is>
          <t>62.86</t>
        </is>
      </c>
      <c r="Q1206" t="inlineStr">
        <is>
          <t>Köln</t>
        </is>
      </c>
    </row>
    <row r="1207">
      <c r="A1207" t="inlineStr">
        <is>
          <t>76</t>
        </is>
      </c>
      <c r="B1207" t="inlineStr">
        <is>
          <t>Fanatic Quad 76 TE</t>
        </is>
      </c>
      <c r="C1207" t="inlineStr">
        <is>
          <t>Freestyle</t>
        </is>
      </c>
      <c r="D1207" s="3" t="inlineStr"/>
      <c r="E1207" t="inlineStr"/>
      <c r="F1207" s="4" t="n">
        <v>350</v>
      </c>
      <c r="G1207" t="inlineStr">
        <is>
          <t>VB</t>
        </is>
      </c>
      <c r="H1207" t="inlineStr">
        <is>
          <t>82467 Bayern - Garmisch-Partenkirchen</t>
        </is>
      </c>
      <c r="I1207" s="5" t="n">
        <v>45526</v>
      </c>
      <c r="J1207" t="inlineStr">
        <is>
          <t>Sold</t>
        </is>
      </c>
      <c r="K1207" s="6">
        <f>HYPERLINK("https://www.kleinanzeigen.de/s-anzeige/fanatic-quad-76-te/2843418065-230-6338", "Link")</f>
        <v/>
      </c>
      <c r="L1207" s="6">
        <f>HYPERLINK("C:\Projects\Kleinanzeigen-Scraper\offer_images\2843418065", "Link")</f>
        <v/>
      </c>
      <c r="M1207" t="inlineStr">
        <is>
          <t>Manuel</t>
        </is>
      </c>
      <c r="N1207" s="6">
        <f>HYPERLINK("https://www.kleinanzeigen.de/s-bestandsliste.html?userId=83104427", "Link")</f>
        <v/>
      </c>
      <c r="O1207" s="7" t="n">
        <v>45549.57930555556</v>
      </c>
      <c r="P1207" s="3" t="inlineStr">
        <is>
          <t>80.76</t>
        </is>
      </c>
      <c r="Q1207" t="inlineStr">
        <is>
          <t>München</t>
        </is>
      </c>
    </row>
    <row r="1208">
      <c r="A1208" t="inlineStr">
        <is>
          <t>128</t>
        </is>
      </c>
      <c r="B1208" t="inlineStr">
        <is>
          <t>TABOU MANTA 81 LTD</t>
        </is>
      </c>
      <c r="C1208" t="inlineStr">
        <is>
          <t>Freeride</t>
        </is>
      </c>
      <c r="D1208" s="3" t="n">
        <v>81</v>
      </c>
      <c r="E1208" t="inlineStr">
        <is>
          <t>2017</t>
        </is>
      </c>
      <c r="F1208" s="4" t="n">
        <v>1.111</v>
      </c>
      <c r="G1208" t="inlineStr">
        <is>
          <t>VB</t>
        </is>
      </c>
      <c r="H1208" t="inlineStr">
        <is>
          <t>86911 Bayern - Dießen</t>
        </is>
      </c>
      <c r="I1208" s="5" t="n">
        <v>44348</v>
      </c>
      <c r="J1208" t="inlineStr"/>
      <c r="K1208" s="6">
        <f>HYPERLINK("https://www.kleinanzeigen.de/s-anzeige/tabou-manta-81-ltd-2017-wie-neu-/1784148300-230-5566", "Link")</f>
        <v/>
      </c>
      <c r="L1208" s="6">
        <f>HYPERLINK("C:\Projects\Kleinanzeigen-Scraper\offer_images\1784148300", "Link")</f>
        <v/>
      </c>
      <c r="M1208" t="inlineStr">
        <is>
          <t>Thomas Fichtner</t>
        </is>
      </c>
      <c r="N1208" s="6">
        <f>HYPERLINK("https://www.kleinanzeigen.de/s-bestandsliste.html?userId=23901175", "Link")</f>
        <v/>
      </c>
      <c r="O1208" s="7" t="n">
        <v>45549.57930555556</v>
      </c>
      <c r="P1208" s="3" t="inlineStr">
        <is>
          <t>41.04</t>
        </is>
      </c>
      <c r="Q1208" t="inlineStr">
        <is>
          <t>München</t>
        </is>
      </c>
    </row>
    <row r="1209">
      <c r="A1209" t="inlineStr">
        <is>
          <t>214 x 56</t>
        </is>
      </c>
      <c r="B1209" t="inlineStr">
        <is>
          <t>Tabou Pocket</t>
        </is>
      </c>
      <c r="C1209" t="inlineStr">
        <is>
          <t>Wave</t>
        </is>
      </c>
      <c r="D1209" s="3" t="n">
        <v>77</v>
      </c>
      <c r="E1209" t="inlineStr"/>
      <c r="F1209" s="4" t="n">
        <v>300</v>
      </c>
      <c r="G1209" t="inlineStr"/>
      <c r="H1209" t="inlineStr">
        <is>
          <t>18528 Mecklenburg-Vorpommern - Bergen auf Rügen</t>
        </is>
      </c>
      <c r="I1209" s="5" t="n">
        <v>45536</v>
      </c>
      <c r="J1209" t="inlineStr"/>
      <c r="K1209" s="6">
        <f>HYPERLINK("https://www.kleinanzeigen.de/s-anzeige/windsurfboard-tabou-pocket-thruster-77-liter/2851832574-230-18644", "Link")</f>
        <v/>
      </c>
      <c r="L1209" s="6">
        <f>HYPERLINK("C:\Projects\Kleinanzeigen-Scraper\offer_images\2851832574", "Link")</f>
        <v/>
      </c>
      <c r="M1209" t="inlineStr">
        <is>
          <t>Falk Miron</t>
        </is>
      </c>
      <c r="N1209" s="6">
        <f>HYPERLINK("https://www.kleinanzeigen.de/s-bestandsliste.html?userId=18644128", "Link")</f>
        <v/>
      </c>
      <c r="O1209" s="7" t="n">
        <v>45549.57929398148</v>
      </c>
      <c r="P1209" s="3" t="inlineStr">
        <is>
          <t>582.28</t>
        </is>
      </c>
      <c r="Q1209" t="inlineStr">
        <is>
          <t>Köln</t>
        </is>
      </c>
    </row>
    <row r="1210">
      <c r="A1210" t="inlineStr"/>
      <c r="B1210" t="inlineStr">
        <is>
          <t>Tabou Rocket GT</t>
        </is>
      </c>
      <c r="C1210" t="inlineStr">
        <is>
          <t>Freeride</t>
        </is>
      </c>
      <c r="D1210" s="3" t="n">
        <v>145</v>
      </c>
      <c r="E1210" t="inlineStr">
        <is>
          <t>2010</t>
        </is>
      </c>
      <c r="F1210" s="4" t="n">
        <v>500</v>
      </c>
      <c r="G1210" t="inlineStr">
        <is>
          <t>VB</t>
        </is>
      </c>
      <c r="H1210" t="inlineStr">
        <is>
          <t>38108 Niedersachsen - Braunschweig</t>
        </is>
      </c>
      <c r="I1210" s="5" t="n">
        <v>45522</v>
      </c>
      <c r="J1210" t="inlineStr"/>
      <c r="K1210" s="6">
        <f>HYPERLINK("https://www.kleinanzeigen.de/s-anzeige/windsurfboard-tabou-rocket-gt-145l-aus-2010/2840150353-230-2464", "Link")</f>
        <v/>
      </c>
      <c r="L1210" s="6">
        <f>HYPERLINK("C:\Projects\Kleinanzeigen-Scraper\offer_images\2840150353", "Link")</f>
        <v/>
      </c>
      <c r="M1210" t="inlineStr">
        <is>
          <t>Paul</t>
        </is>
      </c>
      <c r="N1210" s="6">
        <f>HYPERLINK("https://www.kleinanzeigen.de/s-bestandsliste.html?userId=135760940", "Link")</f>
        <v/>
      </c>
      <c r="O1210" s="7" t="n">
        <v>45549.57929398148</v>
      </c>
      <c r="P1210" s="3" t="inlineStr">
        <is>
          <t>292.95</t>
        </is>
      </c>
      <c r="Q1210" t="inlineStr">
        <is>
          <t>Köln</t>
        </is>
      </c>
    </row>
    <row r="1211">
      <c r="A1211" t="inlineStr">
        <is>
          <t>237 x 66</t>
        </is>
      </c>
      <c r="B1211" t="inlineStr">
        <is>
          <t>Tabou 3S</t>
        </is>
      </c>
      <c r="C1211" t="inlineStr">
        <is>
          <t>Freeride</t>
        </is>
      </c>
      <c r="D1211" s="3" t="n">
        <v>107</v>
      </c>
      <c r="E1211" t="inlineStr"/>
      <c r="F1211" s="4" t="n">
        <v>170</v>
      </c>
      <c r="G1211" t="inlineStr"/>
      <c r="H1211" t="inlineStr">
        <is>
          <t>29699 Niedersachsen - Bomlitz</t>
        </is>
      </c>
      <c r="I1211" s="5" t="n">
        <v>45480</v>
      </c>
      <c r="J1211" t="inlineStr"/>
      <c r="K1211" s="6">
        <f>HYPERLINK("https://www.kleinanzeigen.de/s-anzeige/tabou-3s-107l-single-fin/2806112186-230-3293", "Link")</f>
        <v/>
      </c>
      <c r="L1211" s="6">
        <f>HYPERLINK("C:\Projects\Kleinanzeigen-Scraper\offer_images\2806112186", "Link")</f>
        <v/>
      </c>
      <c r="M1211" t="inlineStr">
        <is>
          <t>Marvin</t>
        </is>
      </c>
      <c r="N1211" s="6">
        <f>HYPERLINK("https://www.kleinanzeigen.de/s-bestandsliste.html?userId=18511564", "Link")</f>
        <v/>
      </c>
      <c r="O1211" s="7" t="n">
        <v>45549.57928240741</v>
      </c>
      <c r="P1211" s="3" t="inlineStr">
        <is>
          <t>286.63</t>
        </is>
      </c>
      <c r="Q1211" t="inlineStr">
        <is>
          <t>Köln</t>
        </is>
      </c>
    </row>
    <row r="1212">
      <c r="A1212" t="inlineStr">
        <is>
          <t>5'8"</t>
        </is>
      </c>
      <c r="B1212" t="inlineStr">
        <is>
          <t>DUOTONE Wam</t>
        </is>
      </c>
      <c r="C1212" t="inlineStr"/>
      <c r="D1212" s="3" t="inlineStr"/>
      <c r="E1212" t="inlineStr">
        <is>
          <t>2022</t>
        </is>
      </c>
      <c r="F1212" s="4" t="n">
        <v>579</v>
      </c>
      <c r="G1212" t="inlineStr"/>
      <c r="H1212" t="inlineStr">
        <is>
          <t>17509 Mecklenburg-Vorpommern - Loissin</t>
        </is>
      </c>
      <c r="I1212" s="5" t="n">
        <v>45547</v>
      </c>
      <c r="J1212" t="inlineStr">
        <is>
          <t>Sold</t>
        </is>
      </c>
      <c r="K1212" s="6">
        <f>HYPERLINK("https://www.kleinanzeigen.de/s-anzeige/duotone-wam-2022-5-8-testboard-/2735356157-230-21340", "Link")</f>
        <v/>
      </c>
      <c r="L1212" s="6">
        <f>HYPERLINK("C:\Projects\Kleinanzeigen-Scraper\offer_images\2735356157", "Link")</f>
        <v/>
      </c>
      <c r="M1212" t="inlineStr">
        <is>
          <t>No user name</t>
        </is>
      </c>
      <c r="N1212" s="6">
        <f>HYPERLINK("https://www.kleinanzeigen.deNo user link", "Link")</f>
        <v/>
      </c>
      <c r="O1212" s="7" t="n">
        <v>45549.57928240741</v>
      </c>
      <c r="P1212" s="3" t="inlineStr">
        <is>
          <t>568.47</t>
        </is>
      </c>
      <c r="Q1212" t="inlineStr">
        <is>
          <t>Köln</t>
        </is>
      </c>
    </row>
    <row r="1213">
      <c r="A1213" t="inlineStr">
        <is>
          <t>7'2</t>
        </is>
      </c>
      <c r="B1213" t="inlineStr">
        <is>
          <t>Duotone Downwind SLS</t>
        </is>
      </c>
      <c r="C1213" t="inlineStr">
        <is>
          <t>Downwind</t>
        </is>
      </c>
      <c r="D1213" s="3" t="n">
        <v>115</v>
      </c>
      <c r="E1213" t="inlineStr"/>
      <c r="F1213" s="4" t="n">
        <v>985</v>
      </c>
      <c r="G1213" t="inlineStr">
        <is>
          <t>VB</t>
        </is>
      </c>
      <c r="H1213" t="inlineStr">
        <is>
          <t>63075 Hessen - Offenbach</t>
        </is>
      </c>
      <c r="I1213" s="5" t="n">
        <v>45549</v>
      </c>
      <c r="J1213" t="inlineStr">
        <is>
          <t>Sold</t>
        </is>
      </c>
      <c r="K1213" s="6">
        <f>HYPERLINK("https://www.kleinanzeigen.de/s-anzeige/duotone-downind-sls-7-2-inkl-ion-board-bag/2862801675-230-4356", "Link")</f>
        <v/>
      </c>
      <c r="L1213" s="6">
        <f>HYPERLINK("C:\Projects\Kleinanzeigen-Scraper\offer_images\2862801675", "Link")</f>
        <v/>
      </c>
      <c r="M1213" t="inlineStr">
        <is>
          <t>Chr. Doetsch</t>
        </is>
      </c>
      <c r="N1213" s="6">
        <f>HYPERLINK("https://www.kleinanzeigen.de/s-bestandsliste.html?userId=18166072", "Link")</f>
        <v/>
      </c>
      <c r="O1213" s="7" t="n">
        <v>45549.57925925926</v>
      </c>
      <c r="P1213" s="3" t="inlineStr">
        <is>
          <t>127.53</t>
        </is>
      </c>
      <c r="Q1213" t="inlineStr">
        <is>
          <t>Karlsruhe</t>
        </is>
      </c>
    </row>
    <row r="1214">
      <c r="A1214" t="inlineStr">
        <is>
          <t>87</t>
        </is>
      </c>
      <c r="B1214" t="inlineStr">
        <is>
          <t>Tabou Pocket Air</t>
        </is>
      </c>
      <c r="C1214" t="inlineStr">
        <is>
          <t>Wing Foil</t>
        </is>
      </c>
      <c r="D1214" s="3" t="inlineStr"/>
      <c r="E1214" t="inlineStr">
        <is>
          <t>2023</t>
        </is>
      </c>
      <c r="F1214" s="4" t="n">
        <v>488</v>
      </c>
      <c r="G1214" t="inlineStr">
        <is>
          <t>VB</t>
        </is>
      </c>
      <c r="H1214" t="inlineStr">
        <is>
          <t>76767 Rheinland-Pfalz - Hagenbach</t>
        </is>
      </c>
      <c r="I1214" s="5" t="n">
        <v>45491</v>
      </c>
      <c r="J1214" t="inlineStr">
        <is>
          <t>Sold</t>
        </is>
      </c>
      <c r="K1214" s="6">
        <f>HYPERLINK("https://www.kleinanzeigen.de/s-anzeige/tabou-pocket-air-87-2023-wing-foil-board/2815106162-230-18408", "Link")</f>
        <v/>
      </c>
      <c r="L1214" s="6">
        <f>HYPERLINK("C:\Projects\Kleinanzeigen-Scraper\offer_images\2815106162", "Link")</f>
        <v/>
      </c>
      <c r="M1214" t="inlineStr">
        <is>
          <t>Hilmar</t>
        </is>
      </c>
      <c r="N1214" s="6">
        <f>HYPERLINK("https://www.kleinanzeigen.de/s-bestandsliste.html?userId=22388239", "Link")</f>
        <v/>
      </c>
      <c r="O1214" s="7" t="n">
        <v>45549.57923611111</v>
      </c>
      <c r="P1214" s="3" t="inlineStr">
        <is>
          <t>10.31</t>
        </is>
      </c>
      <c r="Q1214" t="inlineStr">
        <is>
          <t>Karlsruhe</t>
        </is>
      </c>
    </row>
    <row r="1215">
      <c r="A1215" t="inlineStr"/>
      <c r="B1215" t="inlineStr">
        <is>
          <t>JP Australia</t>
        </is>
      </c>
      <c r="C1215" t="inlineStr">
        <is>
          <t>Wave</t>
        </is>
      </c>
      <c r="D1215" s="3" t="n">
        <v>86</v>
      </c>
      <c r="E1215" t="inlineStr"/>
      <c r="F1215" s="4" t="n">
        <v>110</v>
      </c>
      <c r="G1215" t="inlineStr">
        <is>
          <t>VB</t>
        </is>
      </c>
      <c r="H1215" t="inlineStr">
        <is>
          <t>82110 Bayern - Germering</t>
        </is>
      </c>
      <c r="I1215" s="5" t="n">
        <v>45383</v>
      </c>
      <c r="J1215" t="inlineStr"/>
      <c r="K1215" s="6">
        <f>HYPERLINK("https://www.kleinanzeigen.de/s-anzeige/jp-australia-josh-stone-waveboard-ca-86l-surfbrett-windsurf/2722910664-230-6326", "Link")</f>
        <v/>
      </c>
      <c r="L1215" s="6">
        <f>HYPERLINK("C:\Projects\Kleinanzeigen-Scraper\offer_images\2722910664", "Link")</f>
        <v/>
      </c>
      <c r="M1215" t="inlineStr">
        <is>
          <t>Christoph</t>
        </is>
      </c>
      <c r="N1215" s="6">
        <f>HYPERLINK("https://www.kleinanzeigen.de/s-bestandsliste.html?userId=26609501", "Link")</f>
        <v/>
      </c>
      <c r="O1215" s="7" t="n">
        <v>45549.57923611111</v>
      </c>
      <c r="P1215" s="3" t="inlineStr">
        <is>
          <t>16.13</t>
        </is>
      </c>
      <c r="Q1215" t="inlineStr">
        <is>
          <t>München</t>
        </is>
      </c>
    </row>
    <row r="1216">
      <c r="A1216" t="inlineStr">
        <is>
          <t>235x65 cm</t>
        </is>
      </c>
      <c r="B1216" t="inlineStr">
        <is>
          <t>RRD X-Fire 105 Wood</t>
        </is>
      </c>
      <c r="C1216" t="inlineStr"/>
      <c r="D1216" s="3" t="n">
        <v>105</v>
      </c>
      <c r="E1216" t="inlineStr"/>
      <c r="F1216" s="4" t="n">
        <v>250</v>
      </c>
      <c r="G1216" t="inlineStr">
        <is>
          <t>VB</t>
        </is>
      </c>
      <c r="H1216" t="inlineStr">
        <is>
          <t>82402 Bayern - Seeshaupt</t>
        </is>
      </c>
      <c r="I1216" s="5" t="n">
        <v>45492</v>
      </c>
      <c r="J1216" t="inlineStr">
        <is>
          <t>Sold</t>
        </is>
      </c>
      <c r="K1216" s="6">
        <f>HYPERLINK("https://www.kleinanzeigen.de/s-anzeige/windsurfboard-rrd-x-fire-105-wood/2816086714-230-5616", "Link")</f>
        <v/>
      </c>
      <c r="L1216" s="6">
        <f>HYPERLINK("C:\Projects\Kleinanzeigen-Scraper\offer_images\2816086714", "Link")</f>
        <v/>
      </c>
      <c r="M1216" t="inlineStr">
        <is>
          <t>Nigel</t>
        </is>
      </c>
      <c r="N1216" s="6">
        <f>HYPERLINK("https://www.kleinanzeigen.de/s-bestandsliste.html?userId=18698823", "Link")</f>
        <v/>
      </c>
      <c r="O1216" s="7" t="n">
        <v>45549.57923611111</v>
      </c>
      <c r="P1216" s="3" t="inlineStr">
        <is>
          <t>42.19</t>
        </is>
      </c>
      <c r="Q1216" t="inlineStr">
        <is>
          <t>München</t>
        </is>
      </c>
    </row>
    <row r="1217">
      <c r="A1217" t="inlineStr">
        <is>
          <t>426 x 66 x 16</t>
        </is>
      </c>
      <c r="B1217" t="inlineStr">
        <is>
          <t>Starboard Allstar</t>
        </is>
      </c>
      <c r="C1217" t="inlineStr"/>
      <c r="D1217" s="3" t="inlineStr"/>
      <c r="E1217" t="inlineStr"/>
      <c r="F1217" s="4" t="n">
        <v>990</v>
      </c>
      <c r="G1217" t="inlineStr">
        <is>
          <t>VB</t>
        </is>
      </c>
      <c r="H1217" t="inlineStr">
        <is>
          <t>83714 Bayern - Miesbach</t>
        </is>
      </c>
      <c r="I1217" s="5" t="n">
        <v>45514</v>
      </c>
      <c r="J1217" t="inlineStr"/>
      <c r="K1217" s="6">
        <f>HYPERLINK("https://www.kleinanzeigen.de/s-anzeige/starboard-allstar-carbon-hardbord-sup-14-x-26/2833285938-230-5896", "Link")</f>
        <v/>
      </c>
      <c r="L1217" s="6">
        <f>HYPERLINK("C:\Projects\Kleinanzeigen-Scraper\offer_images\2833285938", "Link")</f>
        <v/>
      </c>
      <c r="M1217" t="inlineStr">
        <is>
          <t>Andreas Leder</t>
        </is>
      </c>
      <c r="N1217" s="6">
        <f>HYPERLINK("https://www.kleinanzeigen.de/s-bestandsliste.html?userId=36353942", "Link")</f>
        <v/>
      </c>
      <c r="O1217" s="7" t="n">
        <v>45549.57921296296</v>
      </c>
      <c r="P1217" s="3" t="inlineStr">
        <is>
          <t>41.62</t>
        </is>
      </c>
      <c r="Q1217" t="inlineStr">
        <is>
          <t>München</t>
        </is>
      </c>
    </row>
    <row r="1218">
      <c r="A1218" t="inlineStr">
        <is>
          <t>12'6 or 14'0</t>
        </is>
      </c>
      <c r="B1218" t="inlineStr">
        <is>
          <t>North Skipper</t>
        </is>
      </c>
      <c r="C1218" t="inlineStr">
        <is>
          <t>Inflatable SUP</t>
        </is>
      </c>
      <c r="D1218" s="3" t="inlineStr"/>
      <c r="E1218" t="inlineStr"/>
      <c r="F1218" s="4" t="n">
        <v>399</v>
      </c>
      <c r="G1218" t="inlineStr"/>
      <c r="H1218" t="inlineStr">
        <is>
          <t>46569 Nordrhein-Westfalen - Hünxe</t>
        </is>
      </c>
      <c r="I1218" s="5" t="n">
        <v>45546</v>
      </c>
      <c r="J1218" t="inlineStr">
        <is>
          <t>Sold</t>
        </is>
      </c>
      <c r="K1218" s="6">
        <f>HYPERLINK("https://www.kleinanzeigen.de/s-anzeige/mega-sale-north-skipper-sup-inflatable-board-isup-neu/2835485413-230-1383", "Link")</f>
        <v/>
      </c>
      <c r="L1218" s="6">
        <f>HYPERLINK("C:\Projects\Kleinanzeigen-Scraper\offer_images\2835485413", "Link")</f>
        <v/>
      </c>
      <c r="M1218" t="inlineStr">
        <is>
          <t>No user name</t>
        </is>
      </c>
      <c r="N1218" s="6">
        <f>HYPERLINK("https://www.kleinanzeigen.deNo user link", "Link")</f>
        <v/>
      </c>
      <c r="O1218" s="7" t="n">
        <v>45549.57918981482</v>
      </c>
      <c r="P1218" s="3" t="inlineStr">
        <is>
          <t>78.61</t>
        </is>
      </c>
      <c r="Q1218" t="inlineStr">
        <is>
          <t>Köln</t>
        </is>
      </c>
    </row>
    <row r="1219">
      <c r="A1219" t="inlineStr"/>
      <c r="B1219" t="inlineStr">
        <is>
          <t>JP Australia R-Winger</t>
        </is>
      </c>
      <c r="C1219" t="inlineStr">
        <is>
          <t>Wingfoil</t>
        </is>
      </c>
      <c r="D1219" s="3" t="n">
        <v>80</v>
      </c>
      <c r="E1219" t="inlineStr">
        <is>
          <t>2024</t>
        </is>
      </c>
      <c r="F1219" s="4" t="n">
        <v>1.39</v>
      </c>
      <c r="G1219" t="inlineStr">
        <is>
          <t>VB</t>
        </is>
      </c>
      <c r="H1219" t="inlineStr">
        <is>
          <t>87435 Bayern - Kempten</t>
        </is>
      </c>
      <c r="I1219" s="5" t="n">
        <v>45549</v>
      </c>
      <c r="J1219" t="inlineStr">
        <is>
          <t>Sold</t>
        </is>
      </c>
      <c r="K1219" s="6">
        <f>HYPERLINK("https://www.kleinanzeigen.de/s-anzeige/jp-australia-wingfoilboard-r-winger-80l/2863000628-230-7619", "Link")</f>
        <v/>
      </c>
      <c r="L1219" s="6">
        <f>HYPERLINK("C:\Projects\Kleinanzeigen-Scraper\offer_images\2863000628", "Link")</f>
        <v/>
      </c>
      <c r="M1219" t="inlineStr">
        <is>
          <t>N. Spring</t>
        </is>
      </c>
      <c r="N1219" s="6">
        <f>HYPERLINK("https://www.kleinanzeigen.de/s-bestandsliste.html?userId=34796808", "Link")</f>
        <v/>
      </c>
      <c r="O1219" s="7" t="n">
        <v>45549.57918981482</v>
      </c>
      <c r="P1219" s="3" t="inlineStr">
        <is>
          <t>104.77</t>
        </is>
      </c>
      <c r="Q1219" t="inlineStr">
        <is>
          <t>München</t>
        </is>
      </c>
    </row>
    <row r="1220">
      <c r="A1220" t="inlineStr">
        <is>
          <t>225x59</t>
        </is>
      </c>
      <c r="B1220" t="inlineStr">
        <is>
          <t>RRD WaveCult</t>
        </is>
      </c>
      <c r="C1220" t="inlineStr">
        <is>
          <t>Wave</t>
        </is>
      </c>
      <c r="D1220" s="3" t="n">
        <v>82</v>
      </c>
      <c r="E1220" t="inlineStr"/>
      <c r="F1220" s="4" t="n">
        <v>250</v>
      </c>
      <c r="G1220" t="inlineStr">
        <is>
          <t>VB</t>
        </is>
      </c>
      <c r="H1220" t="inlineStr">
        <is>
          <t>66119 Saarbrücken-Mitte - Alt-Saarbrücken</t>
        </is>
      </c>
      <c r="I1220" s="5" t="n">
        <v>45470</v>
      </c>
      <c r="J1220" t="inlineStr"/>
      <c r="K1220" s="6">
        <f>HYPERLINK("https://www.kleinanzeigen.de/s-anzeige/waveboard-surfboard-rrd-wavecult-82/2798670059-230-387", "Link")</f>
        <v/>
      </c>
      <c r="L1220" s="6">
        <f>HYPERLINK("C:\Projects\Kleinanzeigen-Scraper\offer_images\2798670059", "Link")</f>
        <v/>
      </c>
      <c r="M1220" t="inlineStr">
        <is>
          <t>Dirk Holtzmann</t>
        </is>
      </c>
      <c r="N1220" s="6">
        <f>HYPERLINK("https://www.kleinanzeigen.de/s-bestandsliste.html?userId=25978895", "Link")</f>
        <v/>
      </c>
      <c r="O1220" s="7" t="n">
        <v>45549.57918981482</v>
      </c>
      <c r="P1220" s="3" t="inlineStr">
        <is>
          <t>103.38</t>
        </is>
      </c>
      <c r="Q1220" t="inlineStr">
        <is>
          <t>Karlsruhe</t>
        </is>
      </c>
    </row>
    <row r="1221">
      <c r="A1221" t="inlineStr">
        <is>
          <t>134x42</t>
        </is>
      </c>
      <c r="B1221" t="inlineStr">
        <is>
          <t>Naish Monarch</t>
        </is>
      </c>
      <c r="C1221" t="inlineStr"/>
      <c r="D1221" s="3" t="inlineStr"/>
      <c r="E1221" t="inlineStr">
        <is>
          <t>2014</t>
        </is>
      </c>
      <c r="F1221" s="4" t="n">
        <v>490</v>
      </c>
      <c r="G1221" t="inlineStr"/>
      <c r="H1221" t="inlineStr">
        <is>
          <t>18055 Rostock - Stadtmitte</t>
        </is>
      </c>
      <c r="I1221" s="5" t="n">
        <v>45513</v>
      </c>
      <c r="J1221" t="inlineStr">
        <is>
          <t>Sold</t>
        </is>
      </c>
      <c r="K1221" s="6">
        <f>HYPERLINK("https://www.kleinanzeigen.de/s-anzeige/kiteboard-naish-monarch-134x42-2014-incl-pads/2832776931-230-157", "Link")</f>
        <v/>
      </c>
      <c r="L1221" s="6">
        <f>HYPERLINK("C:\Projects\Kleinanzeigen-Scraper\offer_images\2832776931", "Link")</f>
        <v/>
      </c>
      <c r="M1221" t="inlineStr">
        <is>
          <t>Katharina Blume</t>
        </is>
      </c>
      <c r="N1221" s="6">
        <f>HYPERLINK("https://www.kleinanzeigen.de/s-bestandsliste.html?userId=10967661", "Link")</f>
        <v/>
      </c>
      <c r="O1221" s="7" t="n">
        <v>45549.57918981482</v>
      </c>
      <c r="P1221" s="3" t="inlineStr">
        <is>
          <t>496.50</t>
        </is>
      </c>
      <c r="Q1221" t="inlineStr">
        <is>
          <t>Köln</t>
        </is>
      </c>
    </row>
    <row r="1222">
      <c r="A1222" t="inlineStr"/>
      <c r="B1222" t="inlineStr">
        <is>
          <t>Fanatic Goya</t>
        </is>
      </c>
      <c r="C1222" t="inlineStr">
        <is>
          <t>Wave</t>
        </is>
      </c>
      <c r="D1222" s="3" t="n">
        <v>81</v>
      </c>
      <c r="E1222" t="inlineStr"/>
      <c r="F1222" s="4" t="n">
        <v>80</v>
      </c>
      <c r="G1222" t="inlineStr">
        <is>
          <t>VB</t>
        </is>
      </c>
      <c r="H1222" t="inlineStr">
        <is>
          <t>53879 Nordrhein-Westfalen - Euskirchen</t>
        </is>
      </c>
      <c r="I1222" s="5" t="n">
        <v>45384</v>
      </c>
      <c r="J1222" t="inlineStr">
        <is>
          <t>Sold</t>
        </is>
      </c>
      <c r="K1222" s="6">
        <f>HYPERLINK("https://www.kleinanzeigen.de/s-anzeige/surfboard-fanatic-goya/2723671961-230-1893", "Link")</f>
        <v/>
      </c>
      <c r="L1222" s="6">
        <f>HYPERLINK("C:\Projects\Kleinanzeigen-Scraper\offer_images\2723671961", "Link")</f>
        <v/>
      </c>
      <c r="M1222" t="inlineStr">
        <is>
          <t>Mangels</t>
        </is>
      </c>
      <c r="N1222" s="6">
        <f>HYPERLINK("https://www.kleinanzeigen.de/s-bestandsliste.html?userId=1262248", "Link")</f>
        <v/>
      </c>
      <c r="O1222" s="7" t="n">
        <v>45549.57915509259</v>
      </c>
      <c r="P1222" s="3" t="inlineStr">
        <is>
          <t>33.78</t>
        </is>
      </c>
      <c r="Q1222" t="inlineStr">
        <is>
          <t>Köln</t>
        </is>
      </c>
    </row>
    <row r="1223">
      <c r="A1223" t="inlineStr"/>
      <c r="B1223" t="inlineStr">
        <is>
          <t>Starboard Wingboard</t>
        </is>
      </c>
      <c r="C1223" t="inlineStr"/>
      <c r="D1223" s="3" t="n">
        <v>115</v>
      </c>
      <c r="E1223" t="inlineStr"/>
      <c r="F1223" s="4" t="n">
        <v>480</v>
      </c>
      <c r="G1223" t="inlineStr">
        <is>
          <t>VB</t>
        </is>
      </c>
      <c r="H1223" t="inlineStr">
        <is>
          <t>21339 Niedersachsen - Lüneburg</t>
        </is>
      </c>
      <c r="I1223" s="5" t="n">
        <v>45531</v>
      </c>
      <c r="J1223" t="inlineStr">
        <is>
          <t>Sold</t>
        </is>
      </c>
      <c r="K1223" s="6">
        <f>HYPERLINK("https://www.kleinanzeigen.de/s-anzeige/starboard-wingboard-6-3-115l-/2847917655-230-3261", "Link")</f>
        <v/>
      </c>
      <c r="L1223" s="6">
        <f>HYPERLINK("C:\Projects\Kleinanzeigen-Scraper\offer_images\2847917655", "Link")</f>
        <v/>
      </c>
      <c r="M1223" t="inlineStr">
        <is>
          <t>Eike Christian</t>
        </is>
      </c>
      <c r="N1223" s="6">
        <f>HYPERLINK("https://www.kleinanzeigen.de/s-bestandsliste.html?userId=88633185", "Link")</f>
        <v/>
      </c>
      <c r="O1223" s="7" t="n">
        <v>45549.57914351852</v>
      </c>
      <c r="P1223" s="3" t="inlineStr">
        <is>
          <t>348.22</t>
        </is>
      </c>
      <c r="Q1223" t="inlineStr">
        <is>
          <t>Köln</t>
        </is>
      </c>
    </row>
    <row r="1224">
      <c r="A1224" t="inlineStr">
        <is>
          <t>142x43</t>
        </is>
      </c>
      <c r="B1224" t="inlineStr">
        <is>
          <t>North Gonzales</t>
        </is>
      </c>
      <c r="C1224" t="inlineStr">
        <is>
          <t>Freeride</t>
        </is>
      </c>
      <c r="D1224" s="3" t="inlineStr"/>
      <c r="E1224" t="inlineStr">
        <is>
          <t>2017</t>
        </is>
      </c>
      <c r="F1224" s="4" t="n">
        <v>250</v>
      </c>
      <c r="G1224" t="inlineStr"/>
      <c r="H1224" t="inlineStr">
        <is>
          <t>80336 München - Sendling</t>
        </is>
      </c>
      <c r="I1224" s="5" t="n">
        <v>45539</v>
      </c>
      <c r="J1224" t="inlineStr">
        <is>
          <t>Sold</t>
        </is>
      </c>
      <c r="K1224" s="6">
        <f>HYPERLINK("https://www.kleinanzeigen.de/s-anzeige/kite-board-gonzales-neu-142-2017-north-duotone-/2854592191-230-16383", "Link")</f>
        <v/>
      </c>
      <c r="L1224" s="6">
        <f>HYPERLINK("C:\Projects\Kleinanzeigen-Scraper\offer_images\2854592191", "Link")</f>
        <v/>
      </c>
      <c r="M1224" t="inlineStr">
        <is>
          <t>Notonlykite</t>
        </is>
      </c>
      <c r="N1224" s="6">
        <f>HYPERLINK("https://www.kleinanzeigen.de/s-bestandsliste.html?userId=141747500", "Link")</f>
        <v/>
      </c>
      <c r="O1224" s="7" t="n">
        <v>45549.57914351852</v>
      </c>
      <c r="P1224" s="3" t="inlineStr">
        <is>
          <t>1.19</t>
        </is>
      </c>
      <c r="Q1224" t="inlineStr">
        <is>
          <t>München</t>
        </is>
      </c>
    </row>
    <row r="1225">
      <c r="A1225" t="inlineStr"/>
      <c r="B1225" t="inlineStr">
        <is>
          <t>Fanatic Duotone Sky Wing</t>
        </is>
      </c>
      <c r="C1225" t="inlineStr">
        <is>
          <t>Wingfoil</t>
        </is>
      </c>
      <c r="D1225" s="3" t="n">
        <v>75</v>
      </c>
      <c r="E1225" t="inlineStr"/>
      <c r="F1225" s="4" t="n">
        <v>295</v>
      </c>
      <c r="G1225" t="inlineStr"/>
      <c r="H1225" t="inlineStr">
        <is>
          <t>20259 Eimsbüttel - Hamburg Eimsbüttel (Stadtteil)</t>
        </is>
      </c>
      <c r="I1225" s="5" t="n">
        <v>45549</v>
      </c>
      <c r="J1225" t="inlineStr">
        <is>
          <t>Sold</t>
        </is>
      </c>
      <c r="K1225" s="6">
        <f>HYPERLINK("https://www.kleinanzeigen.de/s-anzeige/fanatic-duotone-sky-wing-5-0-75l-wingfoil-wingfoilboard-skywing/2862762739-230-9427", "Link")</f>
        <v/>
      </c>
      <c r="L1225" s="6">
        <f>HYPERLINK("C:\Projects\Kleinanzeigen-Scraper\offer_images\2862762739", "Link")</f>
        <v/>
      </c>
      <c r="M1225" t="inlineStr">
        <is>
          <t>Erik</t>
        </is>
      </c>
      <c r="N1225" s="6">
        <f>HYPERLINK("https://www.kleinanzeigen.de/s-bestandsliste.html?userId=4126433", "Link")</f>
        <v/>
      </c>
      <c r="O1225" s="7" t="n">
        <v>45549.57913194445</v>
      </c>
      <c r="P1225" s="3" t="inlineStr">
        <is>
          <t>356.92</t>
        </is>
      </c>
      <c r="Q1225" t="inlineStr">
        <is>
          <t>Köln</t>
        </is>
      </c>
    </row>
    <row r="1226">
      <c r="A1226" t="inlineStr">
        <is>
          <t>12'6" x 26.5"</t>
        </is>
      </c>
      <c r="B1226" t="inlineStr">
        <is>
          <t>Fanatic Falcon Race Edition</t>
        </is>
      </c>
      <c r="C1226" t="inlineStr">
        <is>
          <t>Race</t>
        </is>
      </c>
      <c r="D1226" s="3" t="inlineStr"/>
      <c r="E1226" t="inlineStr"/>
      <c r="F1226" s="4" t="n">
        <v>500</v>
      </c>
      <c r="G1226" t="inlineStr">
        <is>
          <t>VB</t>
        </is>
      </c>
      <c r="H1226" t="inlineStr">
        <is>
          <t>48159 Münster (Westfalen) - Kinderhaus</t>
        </is>
      </c>
      <c r="I1226" s="5" t="n">
        <v>45508</v>
      </c>
      <c r="J1226" t="inlineStr">
        <is>
          <t>Sold</t>
        </is>
      </c>
      <c r="K1226" s="6">
        <f>HYPERLINK("https://www.kleinanzeigen.de/s-anzeige/fanatic-falcon-race-air-sup-12-6-gebraucht/2825391169-230-936", "Link")</f>
        <v/>
      </c>
      <c r="L1226" s="6">
        <f>HYPERLINK("C:\Projects\Kleinanzeigen-Scraper\offer_images\2825391169", "Link")</f>
        <v/>
      </c>
      <c r="M1226" t="inlineStr">
        <is>
          <t>FR</t>
        </is>
      </c>
      <c r="N1226" s="6">
        <f>HYPERLINK("https://www.kleinanzeigen.de/s-bestandsliste.html?userId=7679691", "Link")</f>
        <v/>
      </c>
      <c r="O1226" s="7" t="n">
        <v>45549.57912037037</v>
      </c>
      <c r="P1226" s="3" t="inlineStr">
        <is>
          <t>126.59</t>
        </is>
      </c>
      <c r="Q1226" t="inlineStr">
        <is>
          <t>Köln</t>
        </is>
      </c>
    </row>
    <row r="1227">
      <c r="A1227" t="inlineStr"/>
      <c r="B1227" t="inlineStr">
        <is>
          <t>RRD FreeStyle Wave</t>
        </is>
      </c>
      <c r="C1227" t="inlineStr">
        <is>
          <t>Freestyle Wave</t>
        </is>
      </c>
      <c r="D1227" s="3" t="inlineStr"/>
      <c r="E1227" t="inlineStr">
        <is>
          <t>Limited Edition</t>
        </is>
      </c>
      <c r="F1227" s="4" t="n">
        <v>350</v>
      </c>
      <c r="G1227" t="inlineStr">
        <is>
          <t>VB</t>
        </is>
      </c>
      <c r="H1227" t="inlineStr">
        <is>
          <t>58802 Nordrhein-Westfalen - Balve</t>
        </is>
      </c>
      <c r="I1227" s="5" t="n">
        <v>45490</v>
      </c>
      <c r="J1227" t="inlineStr">
        <is>
          <t>Sold</t>
        </is>
      </c>
      <c r="K1227" s="6">
        <f>HYPERLINK("https://www.kleinanzeigen.de/s-anzeige/rrd-freestyle-wave-85-limited-edition/2814589247-230-1414", "Link")</f>
        <v/>
      </c>
      <c r="L1227" s="6">
        <f>HYPERLINK("C:\Projects\Kleinanzeigen-Scraper\offer_images\2814589247", "Link")</f>
        <v/>
      </c>
      <c r="M1227" t="inlineStr">
        <is>
          <t>Heinz Theodor Vogel</t>
        </is>
      </c>
      <c r="N1227" s="6">
        <f>HYPERLINK("https://www.kleinanzeigen.de/s-bestandsliste.html?userId=29149293", "Link")</f>
        <v/>
      </c>
      <c r="O1227" s="7" t="n">
        <v>45549.57908564815</v>
      </c>
      <c r="P1227" s="3" t="inlineStr">
        <is>
          <t>76.54</t>
        </is>
      </c>
      <c r="Q1227" t="inlineStr">
        <is>
          <t>Köln</t>
        </is>
      </c>
    </row>
    <row r="1228">
      <c r="A1228" t="inlineStr">
        <is>
          <t>233 cm x 58 cm</t>
        </is>
      </c>
      <c r="B1228" t="inlineStr">
        <is>
          <t>Starboard Kode</t>
        </is>
      </c>
      <c r="C1228" t="inlineStr">
        <is>
          <t>FreeWave</t>
        </is>
      </c>
      <c r="D1228" s="3" t="n">
        <v>86</v>
      </c>
      <c r="E1228" t="inlineStr">
        <is>
          <t>2010</t>
        </is>
      </c>
      <c r="F1228" s="4" t="n">
        <v>225</v>
      </c>
      <c r="G1228" t="inlineStr">
        <is>
          <t>VB</t>
        </is>
      </c>
      <c r="H1228" t="inlineStr">
        <is>
          <t>21385 Niedersachsen - Amelinghausen</t>
        </is>
      </c>
      <c r="I1228" s="5" t="n">
        <v>45538</v>
      </c>
      <c r="J1228" t="inlineStr"/>
      <c r="K1228" s="6">
        <f>HYPERLINK("https://www.kleinanzeigen.de/s-anzeige/starboard-kode-86-aus-2010-wood-carbon-sehr-gut-erhalten/2853532610-230-20191", "Link")</f>
        <v/>
      </c>
      <c r="L1228" s="6">
        <f>HYPERLINK("C:\Projects\Kleinanzeigen-Scraper\offer_images\2853532610", "Link")</f>
        <v/>
      </c>
      <c r="M1228" t="inlineStr">
        <is>
          <t>Axel</t>
        </is>
      </c>
      <c r="N1228" s="6">
        <f>HYPERLINK("https://www.kleinanzeigen.de/s-bestandsliste.html?userId=27573435", "Link")</f>
        <v/>
      </c>
      <c r="O1228" s="7" t="n">
        <v>45549.57908564815</v>
      </c>
      <c r="P1228" s="3" t="inlineStr">
        <is>
          <t>329.77</t>
        </is>
      </c>
      <c r="Q1228" t="inlineStr">
        <is>
          <t>Köln</t>
        </is>
      </c>
    </row>
    <row r="1229">
      <c r="A1229" t="inlineStr">
        <is>
          <t>232 x 59 cm</t>
        </is>
      </c>
      <c r="B1229" t="inlineStr">
        <is>
          <t>RRD Freestyle Wave 84 Ltd. V2</t>
        </is>
      </c>
      <c r="C1229" t="inlineStr">
        <is>
          <t>Freewave</t>
        </is>
      </c>
      <c r="D1229" s="3" t="n">
        <v>84</v>
      </c>
      <c r="E1229" t="inlineStr"/>
      <c r="F1229" s="4" t="n">
        <v>280</v>
      </c>
      <c r="G1229" t="inlineStr"/>
      <c r="H1229" t="inlineStr">
        <is>
          <t>22880 Kreis Pinneberg - Wedel</t>
        </is>
      </c>
      <c r="I1229" s="5" t="n">
        <v>45520</v>
      </c>
      <c r="J1229" t="inlineStr">
        <is>
          <t>Sold</t>
        </is>
      </c>
      <c r="K1229" s="6">
        <f>HYPERLINK("https://www.kleinanzeigen.de/s-anzeige/rrd-freestyle-wave-84-ltd-v2-freewave/2838336488-230-756", "Link")</f>
        <v/>
      </c>
      <c r="L1229" s="6">
        <f>HYPERLINK("C:\Projects\Kleinanzeigen-Scraper\offer_images\2838336488", "Link")</f>
        <v/>
      </c>
      <c r="M1229" t="inlineStr">
        <is>
          <t>Björn</t>
        </is>
      </c>
      <c r="N1229" s="6">
        <f>HYPERLINK("https://www.kleinanzeigen.de/s-bestandsliste.html?userId=506614", "Link")</f>
        <v/>
      </c>
      <c r="O1229" s="7" t="n">
        <v>45549.5790625</v>
      </c>
      <c r="P1229" s="3" t="inlineStr">
        <is>
          <t>349.30</t>
        </is>
      </c>
      <c r="Q1229" t="inlineStr">
        <is>
          <t>Köln</t>
        </is>
      </c>
    </row>
    <row r="1230">
      <c r="A1230" t="inlineStr">
        <is>
          <t>260 x 59 cm</t>
        </is>
      </c>
      <c r="B1230" t="inlineStr">
        <is>
          <t>Naish</t>
        </is>
      </c>
      <c r="C1230" t="inlineStr">
        <is>
          <t>Wave</t>
        </is>
      </c>
      <c r="D1230" s="3" t="inlineStr"/>
      <c r="E1230" t="inlineStr"/>
      <c r="F1230" s="4" t="n">
        <v>150</v>
      </c>
      <c r="G1230" t="inlineStr"/>
      <c r="H1230" t="inlineStr">
        <is>
          <t>66346 Saarland - Püttlingen</t>
        </is>
      </c>
      <c r="I1230" s="5" t="n">
        <v>45466</v>
      </c>
      <c r="J1230" t="inlineStr">
        <is>
          <t>Sold</t>
        </is>
      </c>
      <c r="K1230" s="6">
        <f>HYPERLINK("https://www.kleinanzeigen.de/s-anzeige/naish-wave-board-8-9-surfbrett/2795788437-230-349", "Link")</f>
        <v/>
      </c>
      <c r="L1230" s="6">
        <f>HYPERLINK("C:\Projects\Kleinanzeigen-Scraper\offer_images\2795788437", "Link")</f>
        <v/>
      </c>
      <c r="M1230" t="inlineStr">
        <is>
          <t>Frank Gorzalnik</t>
        </is>
      </c>
      <c r="N1230" s="6">
        <f>HYPERLINK("https://www.kleinanzeigen.de/s-bestandsliste.html?userId=30600555", "Link")</f>
        <v/>
      </c>
      <c r="O1230" s="7" t="n">
        <v>45549.5790625</v>
      </c>
      <c r="P1230" s="3" t="inlineStr">
        <is>
          <t>113.90</t>
        </is>
      </c>
      <c r="Q1230" t="inlineStr">
        <is>
          <t>Karlsruhe</t>
        </is>
      </c>
    </row>
    <row r="1231">
      <c r="A1231" t="inlineStr">
        <is>
          <t>240.5 x 51 cm</t>
        </is>
      </c>
      <c r="B1231" t="inlineStr">
        <is>
          <t>Tabou 3S</t>
        </is>
      </c>
      <c r="C1231" t="inlineStr">
        <is>
          <t>Freestyle / Freemove / Wave</t>
        </is>
      </c>
      <c r="D1231" s="3" t="n">
        <v>88</v>
      </c>
      <c r="E1231" t="inlineStr"/>
      <c r="F1231" s="4" t="n">
        <v>180</v>
      </c>
      <c r="G1231" t="inlineStr">
        <is>
          <t>VB</t>
        </is>
      </c>
      <c r="H1231" t="inlineStr">
        <is>
          <t>48143 Münster (Westfalen) - Centrum</t>
        </is>
      </c>
      <c r="I1231" s="5" t="n">
        <v>45439</v>
      </c>
      <c r="J1231" t="inlineStr"/>
      <c r="K1231" s="6">
        <f>HYPERLINK("https://www.kleinanzeigen.de/s-anzeige/tabou-3s-windsurfboard-88-liter-freestyle-freemove-wave/2772714857-230-933", "Link")</f>
        <v/>
      </c>
      <c r="L1231" s="6">
        <f>HYPERLINK("C:\Projects\Kleinanzeigen-Scraper\offer_images\2772714857", "Link")</f>
        <v/>
      </c>
      <c r="M1231" t="inlineStr">
        <is>
          <t>Torge</t>
        </is>
      </c>
      <c r="N1231" s="6">
        <f>HYPERLINK("https://www.kleinanzeigen.de/s-bestandsliste.html?userId=15702403", "Link")</f>
        <v/>
      </c>
      <c r="O1231" s="7" t="n">
        <v>45549.5790625</v>
      </c>
      <c r="P1231" s="3" t="inlineStr">
        <is>
          <t>123.08</t>
        </is>
      </c>
      <c r="Q1231" t="inlineStr">
        <is>
          <t>Köln</t>
        </is>
      </c>
    </row>
    <row r="1232">
      <c r="A1232" t="inlineStr">
        <is>
          <t>Length: 233 cm, Width: 6 cm</t>
        </is>
      </c>
      <c r="B1232" t="inlineStr">
        <is>
          <t>Tabou 3S Classic</t>
        </is>
      </c>
      <c r="C1232" t="inlineStr">
        <is>
          <t>Freestyle</t>
        </is>
      </c>
      <c r="D1232" s="3" t="n">
        <v>97</v>
      </c>
      <c r="E1232" t="inlineStr"/>
      <c r="F1232" s="4" t="inlineStr"/>
      <c r="G1232" t="inlineStr">
        <is>
          <t>VB</t>
        </is>
      </c>
      <c r="H1232" t="inlineStr">
        <is>
          <t>30655 Hannover - Bothfeld-Vahrenheide</t>
        </is>
      </c>
      <c r="I1232" s="5" t="n">
        <v>45522</v>
      </c>
      <c r="J1232" t="inlineStr"/>
      <c r="K1232" s="6">
        <f>HYPERLINK("https://www.kleinanzeigen.de/s-anzeige/tabou-3s-classic-97-liter-ced/2839640700-230-19992", "Link")</f>
        <v/>
      </c>
      <c r="L1232" s="6">
        <f>HYPERLINK("C:\Projects\Kleinanzeigen-Scraper\offer_images\2839640700", "Link")</f>
        <v/>
      </c>
      <c r="M1232" t="inlineStr">
        <is>
          <t>Bernhard Ullrich</t>
        </is>
      </c>
      <c r="N1232" s="6">
        <f>HYPERLINK("https://www.kleinanzeigen.de/s-bestandsliste.html?userId=7797278", "Link")</f>
        <v/>
      </c>
      <c r="O1232" s="7" t="n">
        <v>45549.57903935185</v>
      </c>
      <c r="P1232" s="3" t="inlineStr">
        <is>
          <t>254.86</t>
        </is>
      </c>
      <c r="Q1232" t="inlineStr">
        <is>
          <t>Köln</t>
        </is>
      </c>
    </row>
    <row r="1233">
      <c r="A1233" t="inlineStr">
        <is>
          <t>Dimensions not specified</t>
        </is>
      </c>
      <c r="B1233" t="inlineStr">
        <is>
          <t>JP Australia FRC Free Ride Carve</t>
        </is>
      </c>
      <c r="C1233" t="inlineStr">
        <is>
          <t>Free Ride</t>
        </is>
      </c>
      <c r="D1233" s="3" t="n">
        <v>117</v>
      </c>
      <c r="E1233" t="inlineStr"/>
      <c r="F1233" s="4" t="n">
        <v>150</v>
      </c>
      <c r="G1233" t="inlineStr"/>
      <c r="H1233" t="inlineStr">
        <is>
          <t>73033 Baden-Württemberg - Göppingen</t>
        </is>
      </c>
      <c r="I1233" s="5" t="n">
        <v>45403</v>
      </c>
      <c r="J1233" t="inlineStr">
        <is>
          <t>Sold</t>
        </is>
      </c>
      <c r="K1233" s="6">
        <f>HYPERLINK("https://www.kleinanzeigen.de/s-anzeige/jp-australia-frc-free-ride-carve-windsurfboard-117l/2741690772-230-9024", "Link")</f>
        <v/>
      </c>
      <c r="L1233" s="6">
        <f>HYPERLINK("C:\Projects\Kleinanzeigen-Scraper\offer_images\2741690772", "Link")</f>
        <v/>
      </c>
      <c r="M1233" t="inlineStr">
        <is>
          <t>Gunter</t>
        </is>
      </c>
      <c r="N1233" s="6">
        <f>HYPERLINK("https://www.kleinanzeigen.de/s-bestandsliste.html?userId=32009477", "Link")</f>
        <v/>
      </c>
      <c r="O1233" s="7" t="n">
        <v>45549.57903935185</v>
      </c>
      <c r="P1233" s="3" t="inlineStr">
        <is>
          <t>49.75</t>
        </is>
      </c>
      <c r="Q1233" t="inlineStr">
        <is>
          <t>Böblingen</t>
        </is>
      </c>
    </row>
    <row r="1234">
      <c r="A1234" t="inlineStr">
        <is>
          <t>231 x 63</t>
        </is>
      </c>
      <c r="B1234" t="inlineStr">
        <is>
          <t>Duotone Fanatic Freewave SLS</t>
        </is>
      </c>
      <c r="C1234" t="inlineStr">
        <is>
          <t>Freewave</t>
        </is>
      </c>
      <c r="D1234" s="3" t="n">
        <v>105</v>
      </c>
      <c r="E1234" t="inlineStr">
        <is>
          <t>2024</t>
        </is>
      </c>
      <c r="F1234" s="4" t="n">
        <v>1.199</v>
      </c>
      <c r="G1234" t="inlineStr"/>
      <c r="H1234" t="inlineStr">
        <is>
          <t>63486 Hessen - Bruchköbel</t>
        </is>
      </c>
      <c r="I1234" s="5" t="n">
        <v>45561</v>
      </c>
      <c r="J1234" t="inlineStr"/>
      <c r="K1234" s="6">
        <f>HYPERLINK("https://www.kleinanzeigen.de/s-anzeige/duotone-fanatic-freewave-sls-105-2024/2855470802-230-4555", "Link")</f>
        <v/>
      </c>
      <c r="L1234" s="6">
        <f>HYPERLINK("C:\Projects\Kleinanzeigen-Scraper\offer_images\2855470802", "Link")</f>
        <v/>
      </c>
      <c r="M1234" t="inlineStr">
        <is>
          <t>jürgen wolf</t>
        </is>
      </c>
      <c r="N1234" s="6">
        <f>HYPERLINK("https://www.kleinanzeigen.de/s-bestandsliste.html?userId=27546956", "Link")</f>
        <v/>
      </c>
      <c r="O1234" s="7" t="n">
        <v>45549.5790162037</v>
      </c>
      <c r="P1234" s="3" t="inlineStr">
        <is>
          <t>136.28</t>
        </is>
      </c>
      <c r="Q1234" t="inlineStr">
        <is>
          <t>Karlsruhe</t>
        </is>
      </c>
    </row>
    <row r="1235">
      <c r="A1235" t="inlineStr"/>
      <c r="B1235" t="inlineStr">
        <is>
          <t>Tabou 3S Classic</t>
        </is>
      </c>
      <c r="C1235" t="inlineStr">
        <is>
          <t>Freestyle-Wave</t>
        </is>
      </c>
      <c r="D1235" s="3" t="n">
        <v>97</v>
      </c>
      <c r="E1235" t="inlineStr">
        <is>
          <t>2018</t>
        </is>
      </c>
      <c r="F1235" s="4" t="n">
        <v>370</v>
      </c>
      <c r="G1235" t="inlineStr">
        <is>
          <t>VB</t>
        </is>
      </c>
      <c r="H1235" t="inlineStr">
        <is>
          <t>22589 Hamburg - Sülldorf</t>
        </is>
      </c>
      <c r="I1235" s="5" t="n">
        <v>45479</v>
      </c>
      <c r="J1235" t="inlineStr"/>
      <c r="K1235" s="6">
        <f>HYPERLINK("https://www.kleinanzeigen.de/s-anzeige/tabou-3s-classic-97l-2018-/2805968260-230-29121", "Link")</f>
        <v/>
      </c>
      <c r="L1235" s="6">
        <f>HYPERLINK("C:\Projects\Kleinanzeigen-Scraper\offer_images\2805968260", "Link")</f>
        <v/>
      </c>
      <c r="M1235" t="inlineStr">
        <is>
          <t>Janus</t>
        </is>
      </c>
      <c r="N1235" s="6">
        <f>HYPERLINK("https://www.kleinanzeigen.de/s-bestandsliste.html?userId=142348592", "Link")</f>
        <v/>
      </c>
      <c r="O1235" s="7" t="n">
        <v>45549.5790162037</v>
      </c>
      <c r="P1235" s="3" t="inlineStr">
        <is>
          <t>352.31</t>
        </is>
      </c>
      <c r="Q1235" t="inlineStr">
        <is>
          <t>Köln</t>
        </is>
      </c>
    </row>
    <row r="1236">
      <c r="A1236" t="inlineStr">
        <is>
          <t>132 cm x 51 cm</t>
        </is>
      </c>
      <c r="B1236" t="inlineStr">
        <is>
          <t>FANATIC Sky Surf TE</t>
        </is>
      </c>
      <c r="C1236" t="inlineStr">
        <is>
          <t>Foilboard</t>
        </is>
      </c>
      <c r="D1236" s="3" t="n">
        <v>35</v>
      </c>
      <c r="E1236" t="inlineStr"/>
      <c r="F1236" s="4" t="n">
        <v>800</v>
      </c>
      <c r="G1236" t="inlineStr"/>
      <c r="H1236" t="inlineStr">
        <is>
          <t>21423 Niedersachsen - Winsen (Luhe)</t>
        </is>
      </c>
      <c r="I1236" s="5" t="n">
        <v>45563</v>
      </c>
      <c r="J1236" t="inlineStr"/>
      <c r="K1236" s="6">
        <f>HYPERLINK("https://www.kleinanzeigen.de/s-anzeige/fanatic-foilboard-sky-surf-te-4-4/2775718129-230-3223", "Link")</f>
        <v/>
      </c>
      <c r="L1236" s="6">
        <f>HYPERLINK("C:\Projects\Kleinanzeigen-Scraper\offer_images\2775718129", "Link")</f>
        <v/>
      </c>
      <c r="M1236" t="inlineStr">
        <is>
          <t>No user name</t>
        </is>
      </c>
      <c r="N1236" s="6">
        <f>HYPERLINK("https://www.kleinanzeigen.deNo user link", "Link")</f>
        <v/>
      </c>
      <c r="O1236" s="7" t="n">
        <v>45549.5790162037</v>
      </c>
      <c r="P1236" s="3" t="inlineStr">
        <is>
          <t>349.14</t>
        </is>
      </c>
      <c r="Q1236" t="inlineStr">
        <is>
          <t>Köln</t>
        </is>
      </c>
    </row>
    <row r="1237">
      <c r="A1237" t="inlineStr">
        <is>
          <t>138cm x 42cm</t>
        </is>
      </c>
      <c r="B1237" t="inlineStr">
        <is>
          <t>Naish Monarch S26</t>
        </is>
      </c>
      <c r="C1237" t="inlineStr">
        <is>
          <t>Freestyle</t>
        </is>
      </c>
      <c r="D1237" s="3" t="inlineStr"/>
      <c r="E1237" t="inlineStr">
        <is>
          <t>2022</t>
        </is>
      </c>
      <c r="F1237" s="4" t="n">
        <v>525</v>
      </c>
      <c r="G1237" t="inlineStr">
        <is>
          <t>VB</t>
        </is>
      </c>
      <c r="H1237" t="inlineStr">
        <is>
          <t>18586 Mecklenburg-Vorpommern - Mönchgut, Ostseebad</t>
        </is>
      </c>
      <c r="I1237" s="5" t="n">
        <v>45540</v>
      </c>
      <c r="J1237" t="inlineStr">
        <is>
          <t>Sold</t>
        </is>
      </c>
      <c r="K1237" s="6">
        <f>HYPERLINK("https://www.kleinanzeigen.de/s-anzeige/naish-s26-monarch-kiteboard-138cm-25-neu/1995322395-230-120", "Link")</f>
        <v/>
      </c>
      <c r="L1237" s="6">
        <f>HYPERLINK("C:\Projects\Kleinanzeigen-Scraper\offer_images\1995322395", "Link")</f>
        <v/>
      </c>
      <c r="M1237" t="inlineStr">
        <is>
          <t>No user name</t>
        </is>
      </c>
      <c r="N1237" s="6">
        <f>HYPERLINK("https://www.kleinanzeigen.deNo user link", "Link")</f>
        <v/>
      </c>
      <c r="O1237" s="7" t="n">
        <v>45549.5790162037</v>
      </c>
      <c r="P1237" s="3" t="inlineStr">
        <is>
          <t>591.22</t>
        </is>
      </c>
      <c r="Q1237" t="inlineStr">
        <is>
          <t>Köln</t>
        </is>
      </c>
    </row>
    <row r="1238">
      <c r="A1238" t="inlineStr">
        <is>
          <t>258 cm</t>
        </is>
      </c>
      <c r="B1238" t="inlineStr">
        <is>
          <t>Fanatic Fly</t>
        </is>
      </c>
      <c r="C1238" t="inlineStr">
        <is>
          <t>Wave</t>
        </is>
      </c>
      <c r="D1238" s="3" t="n">
        <v>83</v>
      </c>
      <c r="E1238" t="inlineStr"/>
      <c r="F1238" s="4" t="n">
        <v>25</v>
      </c>
      <c r="G1238" t="inlineStr"/>
      <c r="H1238" t="inlineStr">
        <is>
          <t>50997 Köln - Rodenkirchen</t>
        </is>
      </c>
      <c r="I1238" s="5" t="n">
        <v>45511</v>
      </c>
      <c r="J1238" t="inlineStr">
        <is>
          <t>Sold</t>
        </is>
      </c>
      <c r="K1238" s="6">
        <f>HYPERLINK("https://www.kleinanzeigen.de/s-anzeige/fanatic-fly-258-wave-board-ca-83-liter/2831425098-230-958", "Link")</f>
        <v/>
      </c>
      <c r="L1238" s="6">
        <f>HYPERLINK("C:\Projects\Kleinanzeigen-Scraper\offer_images\2831425098", "Link")</f>
        <v/>
      </c>
      <c r="M1238" t="inlineStr">
        <is>
          <t>Guido</t>
        </is>
      </c>
      <c r="N1238" s="6">
        <f>HYPERLINK("https://www.kleinanzeigen.de/s-bestandsliste.html?userId=16935257", "Link")</f>
        <v/>
      </c>
      <c r="O1238" s="7" t="n">
        <v>45549.57899305555</v>
      </c>
      <c r="P1238" s="3" t="inlineStr">
        <is>
          <t>8.98</t>
        </is>
      </c>
      <c r="Q1238" t="inlineStr">
        <is>
          <t>Köln</t>
        </is>
      </c>
    </row>
    <row r="1239">
      <c r="A1239" t="inlineStr">
        <is>
          <t>232/76 cm</t>
        </is>
      </c>
      <c r="B1239" t="inlineStr">
        <is>
          <t>Tabou Fifty</t>
        </is>
      </c>
      <c r="C1239" t="inlineStr">
        <is>
          <t>Foil/Surf</t>
        </is>
      </c>
      <c r="D1239" s="3" t="n">
        <v>125</v>
      </c>
      <c r="E1239" t="inlineStr"/>
      <c r="F1239" s="4" t="n">
        <v>1.39</v>
      </c>
      <c r="G1239" t="inlineStr"/>
      <c r="H1239" t="inlineStr">
        <is>
          <t>14167 Berlin - Steglitz</t>
        </is>
      </c>
      <c r="I1239" s="5" t="n">
        <v>45501</v>
      </c>
      <c r="J1239" t="inlineStr">
        <is>
          <t>Sold</t>
        </is>
      </c>
      <c r="K1239" s="6">
        <f>HYPERLINK("https://www.kleinanzeigen.de/s-anzeige/tabou-fifty-125-ltr-foil-surf/2822812111-230-9639", "Link")</f>
        <v/>
      </c>
      <c r="L1239" s="6">
        <f>HYPERLINK("C:\Projects\Kleinanzeigen-Scraper\offer_images\2822812111", "Link")</f>
        <v/>
      </c>
      <c r="M1239" t="inlineStr">
        <is>
          <t>Frank S.</t>
        </is>
      </c>
      <c r="N1239" s="6">
        <f>HYPERLINK("https://www.kleinanzeigen.de/s-bestandsliste.html?userId=20971530", "Link")</f>
        <v/>
      </c>
      <c r="O1239" s="7" t="n">
        <v>45549.57895833333</v>
      </c>
      <c r="P1239" s="3" t="inlineStr">
        <is>
          <t>465.76</t>
        </is>
      </c>
      <c r="Q1239" t="inlineStr">
        <is>
          <t>Köln</t>
        </is>
      </c>
    </row>
    <row r="1240">
      <c r="A1240" t="inlineStr">
        <is>
          <t>145 cm</t>
        </is>
      </c>
      <c r="B1240" t="inlineStr">
        <is>
          <t>DUOTONE Sky Style SLS</t>
        </is>
      </c>
      <c r="C1240" t="inlineStr"/>
      <c r="D1240" s="3" t="n">
        <v>65</v>
      </c>
      <c r="E1240" t="inlineStr">
        <is>
          <t>2024</t>
        </is>
      </c>
      <c r="F1240" s="4" t="n">
        <v>950</v>
      </c>
      <c r="G1240" t="inlineStr">
        <is>
          <t>VB</t>
        </is>
      </c>
      <c r="H1240" t="inlineStr">
        <is>
          <t>82467 Bayern - Garmisch-Partenkirchen</t>
        </is>
      </c>
      <c r="I1240" s="5" t="n">
        <v>45540</v>
      </c>
      <c r="J1240" t="inlineStr">
        <is>
          <t>Sold</t>
        </is>
      </c>
      <c r="K1240" s="6">
        <f>HYPERLINK("https://www.kleinanzeigen.de/s-anzeige/duotone-sky-style-sls-4-9-65-liter-modell-2024/2849005071-230-6338", "Link")</f>
        <v/>
      </c>
      <c r="L1240" s="6">
        <f>HYPERLINK("C:\Projects\Kleinanzeigen-Scraper\offer_images\2849005071", "Link")</f>
        <v/>
      </c>
      <c r="M1240" t="inlineStr">
        <is>
          <t>Felix</t>
        </is>
      </c>
      <c r="N1240" s="6">
        <f>HYPERLINK("https://www.kleinanzeigen.de/s-bestandsliste.html?userId=21198981", "Link")</f>
        <v/>
      </c>
      <c r="O1240" s="7" t="n">
        <v>45549.57895833333</v>
      </c>
      <c r="P1240" s="3" t="inlineStr">
        <is>
          <t>80.76</t>
        </is>
      </c>
      <c r="Q1240" t="inlineStr">
        <is>
          <t>München</t>
        </is>
      </c>
    </row>
    <row r="1241">
      <c r="A1241" t="inlineStr">
        <is>
          <t>233 x 59 cm</t>
        </is>
      </c>
      <c r="B1241" t="inlineStr">
        <is>
          <t>Simmer Freewave</t>
        </is>
      </c>
      <c r="C1241" t="inlineStr">
        <is>
          <t>Eurowave</t>
        </is>
      </c>
      <c r="D1241" s="3" t="n">
        <v>85</v>
      </c>
      <c r="E1241" t="inlineStr"/>
      <c r="F1241" s="4" t="n">
        <v>290</v>
      </c>
      <c r="G1241" t="inlineStr">
        <is>
          <t>VB</t>
        </is>
      </c>
      <c r="H1241" t="inlineStr">
        <is>
          <t>10247 Friedrichshain-Kreuzberg - Friedrichshain</t>
        </is>
      </c>
      <c r="I1241" s="5" t="n">
        <v>45496</v>
      </c>
      <c r="J1241" t="inlineStr"/>
      <c r="K1241" s="6">
        <f>HYPERLINK("https://www.kleinanzeigen.de/s-anzeige/simmer-freewave-85-l-mit-finnensatz-ultra-fins/2819623376-230-3353", "Link")</f>
        <v/>
      </c>
      <c r="L1241" s="6">
        <f>HYPERLINK("C:\Projects\Kleinanzeigen-Scraper\offer_images\2819623376", "Link")</f>
        <v/>
      </c>
      <c r="M1241" t="inlineStr">
        <is>
          <t>M. Lahr</t>
        </is>
      </c>
      <c r="N1241" s="6">
        <f>HYPERLINK("https://www.kleinanzeigen.de/s-bestandsliste.html?userId=9095236", "Link")</f>
        <v/>
      </c>
      <c r="O1241" s="7" t="n">
        <v>45549.57893518519</v>
      </c>
      <c r="P1241" s="3" t="inlineStr">
        <is>
          <t>481.24</t>
        </is>
      </c>
      <c r="Q1241" t="inlineStr">
        <is>
          <t>Köln</t>
        </is>
      </c>
    </row>
    <row r="1242">
      <c r="A1242" t="inlineStr"/>
      <c r="B1242" t="inlineStr">
        <is>
          <t>Tabou Rocket</t>
        </is>
      </c>
      <c r="C1242" t="inlineStr">
        <is>
          <t>Freeride</t>
        </is>
      </c>
      <c r="D1242" s="3" t="n">
        <v>125</v>
      </c>
      <c r="E1242" t="inlineStr"/>
      <c r="F1242" s="4" t="n">
        <v>395</v>
      </c>
      <c r="G1242" t="inlineStr">
        <is>
          <t>VB</t>
        </is>
      </c>
      <c r="H1242" t="inlineStr">
        <is>
          <t>24539 Schleswig-Holstein - Neumünster</t>
        </is>
      </c>
      <c r="I1242" s="5" t="n">
        <v>45541</v>
      </c>
      <c r="J1242" t="inlineStr"/>
      <c r="K1242" s="6">
        <f>HYPERLINK("https://www.kleinanzeigen.de/s-anzeige/tabou-rocket-125l-top/2845346153-230-648", "Link")</f>
        <v/>
      </c>
      <c r="L1242" s="6">
        <f>HYPERLINK("C:\Projects\Kleinanzeigen-Scraper\offer_images\2845346153", "Link")</f>
        <v/>
      </c>
      <c r="M1242" t="inlineStr">
        <is>
          <t>Frank</t>
        </is>
      </c>
      <c r="N1242" s="6">
        <f>HYPERLINK("https://www.kleinanzeigen.de/s-bestandsliste.html?userId=21856366", "Link")</f>
        <v/>
      </c>
      <c r="O1242" s="7" t="n">
        <v>45549.57893518519</v>
      </c>
      <c r="P1242" s="3" t="inlineStr">
        <is>
          <t>402.09</t>
        </is>
      </c>
      <c r="Q1242" t="inlineStr">
        <is>
          <t>Köln</t>
        </is>
      </c>
    </row>
    <row r="1243">
      <c r="A1243" t="inlineStr">
        <is>
          <t>5'10" x 25.5" x 3.3"</t>
        </is>
      </c>
      <c r="B1243" t="inlineStr">
        <is>
          <t>Starboard</t>
        </is>
      </c>
      <c r="C1243" t="inlineStr">
        <is>
          <t>Foil</t>
        </is>
      </c>
      <c r="D1243" s="3" t="n">
        <v>77</v>
      </c>
      <c r="E1243" t="inlineStr"/>
      <c r="F1243" s="4" t="n">
        <v>2</v>
      </c>
      <c r="G1243" t="inlineStr">
        <is>
          <t>VB</t>
        </is>
      </c>
      <c r="H1243" t="inlineStr">
        <is>
          <t>18609 Rügen - Ostseebad Binz</t>
        </is>
      </c>
      <c r="I1243" s="5" t="n">
        <v>45514</v>
      </c>
      <c r="J1243" t="inlineStr">
        <is>
          <t>Sold</t>
        </is>
      </c>
      <c r="K1243" s="6">
        <f>HYPERLINK("https://www.kleinanzeigen.de/s-anzeige/wing-foil-board-starboard-5-10-/2833563715-230-115", "Link")</f>
        <v/>
      </c>
      <c r="L1243" s="6">
        <f>HYPERLINK("C:\Projects\Kleinanzeigen-Scraper\offer_images\2833563715", "Link")</f>
        <v/>
      </c>
      <c r="M1243" t="inlineStr">
        <is>
          <t>Iven Behrenwolt</t>
        </is>
      </c>
      <c r="N1243" s="6">
        <f>HYPERLINK("https://www.kleinanzeigen.de/s-bestandsliste.html?userId=22833289", "Link")</f>
        <v/>
      </c>
      <c r="O1243" s="7" t="n">
        <v>45549.57891203704</v>
      </c>
      <c r="P1243" s="3" t="inlineStr">
        <is>
          <t>591.78</t>
        </is>
      </c>
      <c r="Q1243" t="inlineStr">
        <is>
          <t>Köln</t>
        </is>
      </c>
    </row>
    <row r="1244">
      <c r="A1244" t="inlineStr">
        <is>
          <t>12'6" x 30"</t>
        </is>
      </c>
      <c r="B1244" t="inlineStr">
        <is>
          <t>Starboard Touring</t>
        </is>
      </c>
      <c r="C1244" t="inlineStr">
        <is>
          <t>Touring</t>
        </is>
      </c>
      <c r="D1244" s="3" t="n">
        <v>355</v>
      </c>
      <c r="E1244" t="inlineStr"/>
      <c r="F1244" s="4" t="n">
        <v>570</v>
      </c>
      <c r="G1244" t="inlineStr">
        <is>
          <t>VB</t>
        </is>
      </c>
      <c r="H1244" t="inlineStr">
        <is>
          <t>55765 Rheinland-Pfalz - Birkenfeld</t>
        </is>
      </c>
      <c r="I1244" s="5" t="n">
        <v>45516</v>
      </c>
      <c r="J1244" t="inlineStr">
        <is>
          <t>Sold</t>
        </is>
      </c>
      <c r="K1244" s="6">
        <f>HYPERLINK("https://www.kleinanzeigen.de/s-anzeige/sup-starboard-touring-12-6-x-30-midseason-special-/2835596238-230-19578", "Link")</f>
        <v/>
      </c>
      <c r="L1244" s="6">
        <f>HYPERLINK("C:\Projects\Kleinanzeigen-Scraper\offer_images\2835596238", "Link")</f>
        <v/>
      </c>
      <c r="M1244" t="inlineStr">
        <is>
          <t>Marcus</t>
        </is>
      </c>
      <c r="N1244" s="6">
        <f>HYPERLINK("https://www.kleinanzeigen.de/s-bestandsliste.html?userId=73222231", "Link")</f>
        <v/>
      </c>
      <c r="O1244" s="7" t="n">
        <v>45549.57891203704</v>
      </c>
      <c r="P1244" s="3" t="inlineStr">
        <is>
          <t>113.25</t>
        </is>
      </c>
      <c r="Q1244" t="inlineStr">
        <is>
          <t>Karlsruhe</t>
        </is>
      </c>
    </row>
    <row r="1245">
      <c r="A1245" t="inlineStr"/>
      <c r="B1245" t="inlineStr">
        <is>
          <t>Fanatic Freewave</t>
        </is>
      </c>
      <c r="C1245" t="inlineStr">
        <is>
          <t>Freewave</t>
        </is>
      </c>
      <c r="D1245" s="3" t="n">
        <v>85</v>
      </c>
      <c r="E1245" t="inlineStr">
        <is>
          <t>2023</t>
        </is>
      </c>
      <c r="F1245" s="4" t="n">
        <v>1.5</v>
      </c>
      <c r="G1245" t="inlineStr">
        <is>
          <t>VB</t>
        </is>
      </c>
      <c r="H1245" t="inlineStr">
        <is>
          <t>87463 Bayern - Dietmannsried</t>
        </is>
      </c>
      <c r="I1245" s="5" t="n">
        <v>45514</v>
      </c>
      <c r="J1245" t="inlineStr">
        <is>
          <t>Sold</t>
        </is>
      </c>
      <c r="K1245" s="6">
        <f>HYPERLINK("https://www.kleinanzeigen.de/s-anzeige/windsurf-fanatic-freewave-textreme-2023-85l-neu-/2833332069-230-7623", "Link")</f>
        <v/>
      </c>
      <c r="L1245" s="6">
        <f>HYPERLINK("C:\Projects\Kleinanzeigen-Scraper\offer_images\2833332069", "Link")</f>
        <v/>
      </c>
      <c r="M1245" t="inlineStr">
        <is>
          <t>Robert Bircheneder</t>
        </is>
      </c>
      <c r="N1245" s="6">
        <f>HYPERLINK("https://www.kleinanzeigen.de/s-bestandsliste.html?userId=43544466", "Link")</f>
        <v/>
      </c>
      <c r="O1245" s="7" t="n">
        <v>45549.57888888889</v>
      </c>
      <c r="P1245" s="3" t="inlineStr">
        <is>
          <t>102.25</t>
        </is>
      </c>
      <c r="Q1245" t="inlineStr">
        <is>
          <t>München</t>
        </is>
      </c>
    </row>
    <row r="1246">
      <c r="A1246" t="inlineStr">
        <is>
          <t>Dimensions not specified</t>
        </is>
      </c>
      <c r="B1246" t="inlineStr">
        <is>
          <t>Fanatic Mega Shark</t>
        </is>
      </c>
      <c r="C1246" t="inlineStr">
        <is>
          <t>Freeride</t>
        </is>
      </c>
      <c r="D1246" s="3" t="n">
        <v>125</v>
      </c>
      <c r="E1246" t="inlineStr"/>
      <c r="F1246" s="4" t="n">
        <v>75</v>
      </c>
      <c r="G1246" t="inlineStr"/>
      <c r="H1246" t="inlineStr">
        <is>
          <t>55232 Rheinland-Pfalz - Alzey</t>
        </is>
      </c>
      <c r="I1246" s="5" t="n">
        <v>45523</v>
      </c>
      <c r="J1246" t="inlineStr">
        <is>
          <t>Sold</t>
        </is>
      </c>
      <c r="K1246" s="6">
        <f>HYPERLINK("https://www.kleinanzeigen.de/s-anzeige/windsurfboard-fanatic-mega-shark-125/2840827983-230-5067", "Link")</f>
        <v/>
      </c>
      <c r="L1246" s="6">
        <f>HYPERLINK("C:\Projects\Kleinanzeigen-Scraper\offer_images\2840827983", "Link")</f>
        <v/>
      </c>
      <c r="M1246" t="inlineStr">
        <is>
          <t>Doro</t>
        </is>
      </c>
      <c r="N1246" s="6">
        <f>HYPERLINK("https://www.kleinanzeigen.de/s-bestandsliste.html?userId=15732864", "Link")</f>
        <v/>
      </c>
      <c r="O1246" s="7" t="n">
        <v>45549.57888888889</v>
      </c>
      <c r="P1246" s="3" t="inlineStr">
        <is>
          <t>84.91</t>
        </is>
      </c>
      <c r="Q1246" t="inlineStr">
        <is>
          <t>Karlsruhe</t>
        </is>
      </c>
    </row>
    <row r="1247">
      <c r="A1247" t="inlineStr">
        <is>
          <t>242 x 60</t>
        </is>
      </c>
      <c r="B1247" t="inlineStr">
        <is>
          <t>Starboard Fish</t>
        </is>
      </c>
      <c r="C1247" t="inlineStr">
        <is>
          <t>Freestyle</t>
        </is>
      </c>
      <c r="D1247" s="3" t="n">
        <v>90</v>
      </c>
      <c r="E1247" t="inlineStr"/>
      <c r="F1247" s="4" t="n">
        <v>99</v>
      </c>
      <c r="G1247" t="inlineStr"/>
      <c r="H1247" t="inlineStr">
        <is>
          <t>18211 Bad Doberan - Landkreis - Bargeshagen</t>
        </is>
      </c>
      <c r="I1247" s="5" t="n">
        <v>45541</v>
      </c>
      <c r="J1247" t="inlineStr"/>
      <c r="K1247" s="6">
        <f>HYPERLINK("https://www.kleinanzeigen.de/s-anzeige/starboard-fish-90l-windsurfboard/2855630257-230-16583", "Link")</f>
        <v/>
      </c>
      <c r="L1247" s="6">
        <f>HYPERLINK("C:\Projects\Kleinanzeigen-Scraper\offer_images\2855630257", "Link")</f>
        <v/>
      </c>
      <c r="M1247" t="inlineStr">
        <is>
          <t>Dirk</t>
        </is>
      </c>
      <c r="N1247" s="6">
        <f>HYPERLINK("https://www.kleinanzeigen.de/s-bestandsliste.html?userId=141661148", "Link")</f>
        <v/>
      </c>
      <c r="O1247" s="7" t="n">
        <v>45549.57888888889</v>
      </c>
      <c r="P1247" s="3" t="inlineStr">
        <is>
          <t>490.50</t>
        </is>
      </c>
      <c r="Q1247" t="inlineStr">
        <is>
          <t>Köln</t>
        </is>
      </c>
    </row>
    <row r="1248">
      <c r="A1248" t="inlineStr">
        <is>
          <t>58cm</t>
        </is>
      </c>
      <c r="B1248" t="inlineStr">
        <is>
          <t>RRD Xifre</t>
        </is>
      </c>
      <c r="C1248" t="inlineStr">
        <is>
          <t>Slalom</t>
        </is>
      </c>
      <c r="D1248" s="3" t="n">
        <v>90</v>
      </c>
      <c r="E1248" t="inlineStr"/>
      <c r="F1248" s="4" t="n">
        <v>280</v>
      </c>
      <c r="G1248" t="inlineStr">
        <is>
          <t>VB</t>
        </is>
      </c>
      <c r="H1248" t="inlineStr">
        <is>
          <t>47665 Nordrhein-Westfalen - Sonsbeck</t>
        </is>
      </c>
      <c r="I1248" s="5" t="n">
        <v>45542</v>
      </c>
      <c r="J1248" t="inlineStr">
        <is>
          <t>Sold</t>
        </is>
      </c>
      <c r="K1248" s="6">
        <f>HYPERLINK("https://www.kleinanzeigen.de/s-anzeige/rrd-xifre-90l-58cm/2856458531-230-1404", "Link")</f>
        <v/>
      </c>
      <c r="L1248" s="6">
        <f>HYPERLINK("C:\Projects\Kleinanzeigen-Scraper\offer_images\2856458531", "Link")</f>
        <v/>
      </c>
      <c r="M1248" t="inlineStr">
        <is>
          <t>Becker Jan</t>
        </is>
      </c>
      <c r="N1248" s="6">
        <f>HYPERLINK("https://www.kleinanzeigen.de/s-bestandsliste.html?userId=91021997", "Link")</f>
        <v/>
      </c>
      <c r="O1248" s="7" t="n">
        <v>45549.57886574074</v>
      </c>
      <c r="P1248" s="3" t="inlineStr">
        <is>
          <t>86.26</t>
        </is>
      </c>
      <c r="Q1248" t="inlineStr">
        <is>
          <t>Köln</t>
        </is>
      </c>
    </row>
    <row r="1249">
      <c r="A1249" t="inlineStr">
        <is>
          <t>4'7" x 22.5" (139 cm x 57.15 cm)</t>
        </is>
      </c>
      <c r="B1249" t="inlineStr">
        <is>
          <t>Duotone Sky Style SLS</t>
        </is>
      </c>
      <c r="C1249" t="inlineStr">
        <is>
          <t>Freestyle/Wave/Race</t>
        </is>
      </c>
      <c r="D1249" s="3" t="n">
        <v>55</v>
      </c>
      <c r="E1249" t="inlineStr">
        <is>
          <t>2024</t>
        </is>
      </c>
      <c r="F1249" s="4" t="n">
        <v>900</v>
      </c>
      <c r="G1249" t="inlineStr">
        <is>
          <t>VB</t>
        </is>
      </c>
      <c r="H1249" t="inlineStr">
        <is>
          <t>24340 Schleswig-Holstein - Eckernförde</t>
        </is>
      </c>
      <c r="I1249" s="5" t="n">
        <v>45546</v>
      </c>
      <c r="J1249" t="inlineStr">
        <is>
          <t>Sold</t>
        </is>
      </c>
      <c r="K1249" s="6">
        <f>HYPERLINK("https://www.kleinanzeigen.de/s-anzeige/duotone-sky-style-sls-4-7-55l-2024-wing-foil-board/2859938556-230-13234", "Link")</f>
        <v/>
      </c>
      <c r="L1249" s="6">
        <f>HYPERLINK("C:\Projects\Kleinanzeigen-Scraper\offer_images\2859938556", "Link")</f>
        <v/>
      </c>
      <c r="M1249" t="inlineStr">
        <is>
          <t>Joost</t>
        </is>
      </c>
      <c r="N1249" s="6">
        <f>HYPERLINK("https://www.kleinanzeigen.de/s-bestandsliste.html?userId=77170974", "Link")</f>
        <v/>
      </c>
      <c r="O1249" s="7" t="n">
        <v>45549.57886574074</v>
      </c>
      <c r="P1249" s="3" t="inlineStr">
        <is>
          <t>434.69</t>
        </is>
      </c>
      <c r="Q1249" t="inlineStr">
        <is>
          <t>Köln</t>
        </is>
      </c>
    </row>
    <row r="1250">
      <c r="A1250" t="inlineStr"/>
      <c r="B1250" t="inlineStr">
        <is>
          <t>RRD Freestyle Wave LTD</t>
        </is>
      </c>
      <c r="C1250" t="inlineStr">
        <is>
          <t>Freestyle Wave</t>
        </is>
      </c>
      <c r="D1250" s="3" t="n">
        <v>114</v>
      </c>
      <c r="E1250" t="inlineStr">
        <is>
          <t>Y26</t>
        </is>
      </c>
      <c r="F1250" s="4" t="n">
        <v>999</v>
      </c>
      <c r="G1250" t="inlineStr">
        <is>
          <t>VB</t>
        </is>
      </c>
      <c r="H1250" t="inlineStr">
        <is>
          <t>24937 Schleswig-Holstein - Flensburg</t>
        </is>
      </c>
      <c r="I1250" s="5" t="n">
        <v>45511</v>
      </c>
      <c r="J1250" t="inlineStr"/>
      <c r="K1250" s="6">
        <f>HYPERLINK("https://www.kleinanzeigen.de/s-anzeige/rrd-freestyle-wave-ltd-y26-114l/2831027490-230-718", "Link")</f>
        <v/>
      </c>
      <c r="L1250" s="6">
        <f>HYPERLINK("C:\Projects\Kleinanzeigen-Scraper\offer_images\2831027490", "Link")</f>
        <v/>
      </c>
      <c r="M1250" t="inlineStr">
        <is>
          <t>Torsten Steffen</t>
        </is>
      </c>
      <c r="N1250" s="6">
        <f>HYPERLINK("https://www.kleinanzeigen.de/s-bestandsliste.html?userId=13010270", "Link")</f>
        <v/>
      </c>
      <c r="O1250" s="7" t="n">
        <v>45549.57884259259</v>
      </c>
      <c r="P1250" s="3" t="inlineStr">
        <is>
          <t>458.80</t>
        </is>
      </c>
      <c r="Q1250" t="inlineStr">
        <is>
          <t>Köln</t>
        </is>
      </c>
    </row>
    <row r="1251">
      <c r="A1251" t="inlineStr">
        <is>
          <t>130cm</t>
        </is>
      </c>
      <c r="B1251" t="inlineStr">
        <is>
          <t>Naish HERO</t>
        </is>
      </c>
      <c r="C1251" t="inlineStr"/>
      <c r="D1251" s="3" t="inlineStr"/>
      <c r="E1251" t="inlineStr"/>
      <c r="F1251" s="4" t="n">
        <v>280</v>
      </c>
      <c r="G1251" t="inlineStr">
        <is>
          <t>VB</t>
        </is>
      </c>
      <c r="H1251" t="inlineStr">
        <is>
          <t>25826 Nordfriesland - Sankt Peter-Ording</t>
        </is>
      </c>
      <c r="I1251" s="5" t="n">
        <v>45532</v>
      </c>
      <c r="J1251" t="inlineStr">
        <is>
          <t>Sold</t>
        </is>
      </c>
      <c r="K1251" s="6">
        <f>HYPERLINK("https://www.kleinanzeigen.de/s-anzeige/naish-kite-baord-hero-130cm/2848728130-230-594", "Link")</f>
        <v/>
      </c>
      <c r="L1251" s="6">
        <f>HYPERLINK("C:\Projects\Kleinanzeigen-Scraper\offer_images\2848728130", "Link")</f>
        <v/>
      </c>
      <c r="M1251" t="inlineStr">
        <is>
          <t>Kiteguide-SPO</t>
        </is>
      </c>
      <c r="N1251" s="6">
        <f>HYPERLINK("https://www.kleinanzeigen.de/s-bestandsliste.html?userId=140661117", "Link")</f>
        <v/>
      </c>
      <c r="O1251" s="7" t="n">
        <v>45549.57884259259</v>
      </c>
      <c r="P1251" s="3" t="inlineStr">
        <is>
          <t>391.43</t>
        </is>
      </c>
      <c r="Q1251" t="inlineStr">
        <is>
          <t>Köln</t>
        </is>
      </c>
    </row>
    <row r="1252">
      <c r="A1252" t="inlineStr">
        <is>
          <t>129/38</t>
        </is>
      </c>
      <c r="B1252" t="inlineStr">
        <is>
          <t>North X-Ride</t>
        </is>
      </c>
      <c r="C1252" t="inlineStr">
        <is>
          <t>Freeride</t>
        </is>
      </c>
      <c r="D1252" s="3" t="inlineStr"/>
      <c r="E1252" t="inlineStr"/>
      <c r="F1252" s="4" t="n">
        <v>200</v>
      </c>
      <c r="G1252" t="inlineStr"/>
      <c r="H1252" t="inlineStr">
        <is>
          <t>78464 Baden-Württemberg - Konstanz</t>
        </is>
      </c>
      <c r="I1252" s="5" t="n">
        <v>45545</v>
      </c>
      <c r="J1252" t="inlineStr">
        <is>
          <t>Sold</t>
        </is>
      </c>
      <c r="K1252" s="6">
        <f>HYPERLINK("https://www.kleinanzeigen.de/s-anzeige/north-kiteboard/2859790146-230-9387", "Link")</f>
        <v/>
      </c>
      <c r="L1252" s="6">
        <f>HYPERLINK("C:\Projects\Kleinanzeigen-Scraper\offer_images\2859790146", "Link")</f>
        <v/>
      </c>
      <c r="M1252" t="inlineStr">
        <is>
          <t>Finn Schröer</t>
        </is>
      </c>
      <c r="N1252" s="6">
        <f>HYPERLINK("https://www.kleinanzeigen.de/s-bestandsliste.html?userId=28201579", "Link")</f>
        <v/>
      </c>
      <c r="O1252" s="7" t="n">
        <v>45549.57883101852</v>
      </c>
      <c r="P1252" s="3" t="inlineStr">
        <is>
          <t>66.23</t>
        </is>
      </c>
      <c r="Q1252" t="inlineStr">
        <is>
          <t>Bonndorf</t>
        </is>
      </c>
    </row>
    <row r="1253">
      <c r="A1253" t="inlineStr">
        <is>
          <t>145cm x 43.5cm</t>
        </is>
      </c>
      <c r="B1253" t="inlineStr">
        <is>
          <t>Naish Hero 2020</t>
        </is>
      </c>
      <c r="C1253" t="inlineStr">
        <is>
          <t>Freeride</t>
        </is>
      </c>
      <c r="D1253" s="3" t="inlineStr"/>
      <c r="E1253" t="inlineStr">
        <is>
          <t>2020</t>
        </is>
      </c>
      <c r="F1253" s="4" t="n">
        <v>279</v>
      </c>
      <c r="G1253" t="inlineStr">
        <is>
          <t>VB</t>
        </is>
      </c>
      <c r="H1253" t="inlineStr">
        <is>
          <t>18586 Mecklenburg-Vorpommern - Mönchgut, Ostseebad</t>
        </is>
      </c>
      <c r="I1253" s="5" t="n">
        <v>45548</v>
      </c>
      <c r="J1253" t="inlineStr">
        <is>
          <t>Sold</t>
        </is>
      </c>
      <c r="K1253" s="6">
        <f>HYPERLINK("https://www.kleinanzeigen.de/s-anzeige/naish-hero-2020-kiteboard-test-35-s26-tt-hero-2022-15-neu/1560521027-230-120", "Link")</f>
        <v/>
      </c>
      <c r="L1253" s="6">
        <f>HYPERLINK("C:\Projects\Kleinanzeigen-Scraper\offer_images\1560521027", "Link")</f>
        <v/>
      </c>
      <c r="M1253" t="inlineStr">
        <is>
          <t>No user name</t>
        </is>
      </c>
      <c r="N1253" s="6">
        <f>HYPERLINK("https://www.kleinanzeigen.deNo user link", "Link")</f>
        <v/>
      </c>
      <c r="O1253" s="7" t="n">
        <v>45549.57880787037</v>
      </c>
      <c r="P1253" s="3" t="inlineStr">
        <is>
          <t>591.22</t>
        </is>
      </c>
      <c r="Q1253" t="inlineStr">
        <is>
          <t>Köln</t>
        </is>
      </c>
    </row>
    <row r="1254">
      <c r="A1254" t="inlineStr">
        <is>
          <t>150x45</t>
        </is>
      </c>
      <c r="B1254" t="inlineStr">
        <is>
          <t>RRD BS3 LightAir</t>
        </is>
      </c>
      <c r="C1254" t="inlineStr">
        <is>
          <t>Kite</t>
        </is>
      </c>
      <c r="D1254" s="3" t="inlineStr"/>
      <c r="E1254" t="inlineStr"/>
      <c r="F1254" s="4" t="n">
        <v>250</v>
      </c>
      <c r="G1254" t="inlineStr"/>
      <c r="H1254" t="inlineStr">
        <is>
          <t>10961 Friedrichshain-Kreuzberg - Kreuzberg</t>
        </is>
      </c>
      <c r="I1254" s="5" t="n">
        <v>45188</v>
      </c>
      <c r="J1254" t="inlineStr">
        <is>
          <t>Sold</t>
        </is>
      </c>
      <c r="K1254" s="6">
        <f>HYPERLINK("https://www.kleinanzeigen.de/s-anzeige/rrd-kite-board-with-straps-finnen-handel-und-board-bag/2549847374-230-3377", "Link")</f>
        <v/>
      </c>
      <c r="L1254" s="6">
        <f>HYPERLINK("C:\Projects\Kleinanzeigen-Scraper\offer_images\2549847374", "Link")</f>
        <v/>
      </c>
      <c r="M1254" t="inlineStr">
        <is>
          <t>Nermin</t>
        </is>
      </c>
      <c r="N1254" s="6">
        <f>HYPERLINK("https://www.kleinanzeigen.de/s-bestandsliste.html?userId=2206415", "Link")</f>
        <v/>
      </c>
      <c r="O1254" s="7" t="n">
        <v>45549.57880787037</v>
      </c>
      <c r="P1254" s="3" t="inlineStr">
        <is>
          <t>476.13</t>
        </is>
      </c>
      <c r="Q1254" t="inlineStr">
        <is>
          <t>Köln</t>
        </is>
      </c>
    </row>
    <row r="1255">
      <c r="A1255" t="inlineStr">
        <is>
          <t>11.0</t>
        </is>
      </c>
      <c r="B1255" t="inlineStr">
        <is>
          <t>JP Australia AllroundAir SL</t>
        </is>
      </c>
      <c r="C1255" t="inlineStr">
        <is>
          <t>Allround</t>
        </is>
      </c>
      <c r="D1255" s="3" t="inlineStr"/>
      <c r="E1255" t="inlineStr"/>
      <c r="F1255" s="4" t="n">
        <v>440</v>
      </c>
      <c r="G1255" t="inlineStr"/>
      <c r="H1255" t="inlineStr">
        <is>
          <t>22415 Hamburg-Nord - Hamburg Langenhorn</t>
        </is>
      </c>
      <c r="I1255" s="5" t="n">
        <v>45536</v>
      </c>
      <c r="J1255" t="inlineStr"/>
      <c r="K1255" s="6">
        <f>HYPERLINK("https://www.kleinanzeigen.de/s-anzeige/jp-australia-sup-premium-stand-up-paddling-board-mit-top-paddel/2851161978-230-9488", "Link")</f>
        <v/>
      </c>
      <c r="L1255" s="6">
        <f>HYPERLINK("C:\Projects\Kleinanzeigen-Scraper\offer_images\2851161978", "Link")</f>
        <v/>
      </c>
      <c r="M1255" t="inlineStr">
        <is>
          <t>mchl</t>
        </is>
      </c>
      <c r="N1255" s="6">
        <f>HYPERLINK("https://www.kleinanzeigen.de/s-bestandsliste.html?userId=20424350", "Link")</f>
        <v/>
      </c>
      <c r="O1255" s="7" t="n">
        <v>45549.57880787037</v>
      </c>
      <c r="P1255" s="3" t="inlineStr">
        <is>
          <t>366.01</t>
        </is>
      </c>
      <c r="Q1255" t="inlineStr">
        <is>
          <t>Köln</t>
        </is>
      </c>
    </row>
    <row r="1256">
      <c r="A1256" t="inlineStr">
        <is>
          <t>238x59</t>
        </is>
      </c>
      <c r="B1256" t="inlineStr">
        <is>
          <t>RRD Freestyle Wave 90 LTD</t>
        </is>
      </c>
      <c r="C1256" t="inlineStr">
        <is>
          <t>Freestyle Wave</t>
        </is>
      </c>
      <c r="D1256" s="3" t="n">
        <v>90</v>
      </c>
      <c r="E1256" t="inlineStr"/>
      <c r="F1256" s="4" t="n">
        <v>200</v>
      </c>
      <c r="G1256" t="inlineStr"/>
      <c r="H1256" t="inlineStr">
        <is>
          <t>34414 Nordrhein-Westfalen - Warburg</t>
        </is>
      </c>
      <c r="I1256" s="5" t="n">
        <v>45520</v>
      </c>
      <c r="J1256" t="inlineStr"/>
      <c r="K1256" s="6">
        <f>HYPERLINK("https://www.kleinanzeigen.de/s-anzeige/rrd-freestyle-wave-90-ltd/2838351111-230-1164", "Link")</f>
        <v/>
      </c>
      <c r="L1256" s="6">
        <f>HYPERLINK("C:\Projects\Kleinanzeigen-Scraper\offer_images\2838351111", "Link")</f>
        <v/>
      </c>
      <c r="M1256" t="inlineStr">
        <is>
          <t>Wulf Schirbel</t>
        </is>
      </c>
      <c r="N1256" s="6">
        <f>HYPERLINK("https://www.kleinanzeigen.de/s-bestandsliste.html?userId=66422376", "Link")</f>
        <v/>
      </c>
      <c r="O1256" s="7" t="n">
        <v>45549.57879629629</v>
      </c>
      <c r="P1256" s="3" t="inlineStr">
        <is>
          <t>162.99</t>
        </is>
      </c>
      <c r="Q1256" t="inlineStr">
        <is>
          <t>Köln</t>
        </is>
      </c>
    </row>
    <row r="1257">
      <c r="A1257" t="inlineStr">
        <is>
          <t>5'9</t>
        </is>
      </c>
      <c r="B1257" t="inlineStr">
        <is>
          <t>DUOTONE Pro Wam</t>
        </is>
      </c>
      <c r="C1257" t="inlineStr">
        <is>
          <t>Allrounder</t>
        </is>
      </c>
      <c r="D1257" s="3" t="inlineStr"/>
      <c r="E1257" t="inlineStr">
        <is>
          <t>2020</t>
        </is>
      </c>
      <c r="F1257" s="4" t="n">
        <v>599</v>
      </c>
      <c r="G1257" t="inlineStr"/>
      <c r="H1257" t="inlineStr">
        <is>
          <t>17509 Mecklenburg-Vorpommern - Loissin</t>
        </is>
      </c>
      <c r="I1257" s="5" t="n">
        <v>45547</v>
      </c>
      <c r="J1257" t="inlineStr">
        <is>
          <t>Sold</t>
        </is>
      </c>
      <c r="K1257" s="6">
        <f>HYPERLINK("https://www.kleinanzeigen.de/s-anzeige/duotone-pro-wam-2020-5-9-testboard-/2735356005-230-21340", "Link")</f>
        <v/>
      </c>
      <c r="L1257" s="6">
        <f>HYPERLINK("C:\Projects\Kleinanzeigen-Scraper\offer_images\2735356005", "Link")</f>
        <v/>
      </c>
      <c r="M1257" t="inlineStr">
        <is>
          <t>No user name</t>
        </is>
      </c>
      <c r="N1257" s="6">
        <f>HYPERLINK("https://www.kleinanzeigen.deNo user link", "Link")</f>
        <v/>
      </c>
      <c r="O1257" s="7" t="n">
        <v>45549.57878472222</v>
      </c>
      <c r="P1257" s="3" t="inlineStr">
        <is>
          <t>568.47</t>
        </is>
      </c>
      <c r="Q1257" t="inlineStr">
        <is>
          <t>Köln</t>
        </is>
      </c>
    </row>
    <row r="1258">
      <c r="A1258" t="inlineStr">
        <is>
          <t>Length: 323.5 cm, Width: 81.6 cm</t>
        </is>
      </c>
      <c r="B1258" t="inlineStr">
        <is>
          <t>Fanatic Fly Air Premium</t>
        </is>
      </c>
      <c r="C1258" t="inlineStr"/>
      <c r="D1258" s="3" t="n">
        <v>168</v>
      </c>
      <c r="E1258" t="inlineStr"/>
      <c r="F1258" s="4" t="n">
        <v>230</v>
      </c>
      <c r="G1258" t="inlineStr">
        <is>
          <t>VB</t>
        </is>
      </c>
      <c r="H1258" t="inlineStr">
        <is>
          <t>94036 Kr. Passau - Passau</t>
        </is>
      </c>
      <c r="I1258" s="5" t="n">
        <v>45539</v>
      </c>
      <c r="J1258" t="inlineStr">
        <is>
          <t>Sold</t>
        </is>
      </c>
      <c r="K1258" s="6">
        <f>HYPERLINK("https://www.kleinanzeigen.de/s-anzeige/fanatic-fly-air-premium-10-8/2854476306-230-7480", "Link")</f>
        <v/>
      </c>
      <c r="L1258" s="6">
        <f>HYPERLINK("C:\Projects\Kleinanzeigen-Scraper\offer_images\2854476306", "Link")</f>
        <v/>
      </c>
      <c r="M1258" t="inlineStr">
        <is>
          <t>Andreas</t>
        </is>
      </c>
      <c r="N1258" s="6">
        <f>HYPERLINK("https://www.kleinanzeigen.de/s-bestandsliste.html?userId=10926323", "Link")</f>
        <v/>
      </c>
      <c r="O1258" s="7" t="n">
        <v>45549.57878472222</v>
      </c>
      <c r="P1258" s="3" t="inlineStr">
        <is>
          <t>142.54</t>
        </is>
      </c>
      <c r="Q1258" t="inlineStr">
        <is>
          <t>München</t>
        </is>
      </c>
    </row>
    <row r="1259">
      <c r="A1259" t="inlineStr">
        <is>
          <t>282 cm</t>
        </is>
      </c>
      <c r="B1259" t="inlineStr">
        <is>
          <t>JP Australia</t>
        </is>
      </c>
      <c r="C1259" t="inlineStr">
        <is>
          <t>Freeride</t>
        </is>
      </c>
      <c r="D1259" s="3" t="n">
        <v>144</v>
      </c>
      <c r="E1259" t="inlineStr"/>
      <c r="F1259" s="4" t="n">
        <v>230</v>
      </c>
      <c r="G1259" t="inlineStr">
        <is>
          <t>VB</t>
        </is>
      </c>
      <c r="H1259" t="inlineStr">
        <is>
          <t>95032 Bayern - Hof (Saale)</t>
        </is>
      </c>
      <c r="I1259" s="5" t="n">
        <v>45482</v>
      </c>
      <c r="J1259" t="inlineStr"/>
      <c r="K1259" s="6">
        <f>HYPERLINK("https://www.kleinanzeigen.de/s-anzeige/windsurfboard-jp-australia-freeride-282-144l-inkl-bag-finnen/2808261227-230-7246", "Link")</f>
        <v/>
      </c>
      <c r="L1259" s="6">
        <f>HYPERLINK("C:\Projects\Kleinanzeigen-Scraper\offer_images\2808261227", "Link")</f>
        <v/>
      </c>
      <c r="M1259" t="inlineStr">
        <is>
          <t>Lea Wolfram</t>
        </is>
      </c>
      <c r="N1259" s="6">
        <f>HYPERLINK("https://www.kleinanzeigen.de/s-bestandsliste.html?userId=48851148", "Link")</f>
        <v/>
      </c>
      <c r="O1259" s="7" t="n">
        <v>45549.57878472222</v>
      </c>
      <c r="P1259" s="3" t="inlineStr">
        <is>
          <t>241.14</t>
        </is>
      </c>
      <c r="Q1259" t="inlineStr">
        <is>
          <t>München</t>
        </is>
      </c>
    </row>
    <row r="1260">
      <c r="A1260" t="inlineStr">
        <is>
          <t>255x78</t>
        </is>
      </c>
      <c r="B1260" t="inlineStr">
        <is>
          <t>Starboard Airplane</t>
        </is>
      </c>
      <c r="C1260" t="inlineStr"/>
      <c r="D1260" s="3" t="inlineStr"/>
      <c r="E1260" t="inlineStr">
        <is>
          <t>2021</t>
        </is>
      </c>
      <c r="F1260" s="4" t="n">
        <v>1.05</v>
      </c>
      <c r="G1260" t="inlineStr"/>
      <c r="H1260" t="inlineStr">
        <is>
          <t>82319 Bayern - Starnberg</t>
        </is>
      </c>
      <c r="I1260" s="5" t="n">
        <v>45550</v>
      </c>
      <c r="J1260" t="inlineStr"/>
      <c r="K1260" s="6">
        <f>HYPERLINK("https://www.kleinanzeigen.de/s-anzeige/starboard-airplane-255x78-center-fin/2450793175-230-5525", "Link")</f>
        <v/>
      </c>
      <c r="L1260" s="6">
        <f>HYPERLINK("C:\Projects\Kleinanzeigen-Scraper\offer_images\2450793175", "Link")</f>
        <v/>
      </c>
      <c r="M1260" t="inlineStr">
        <is>
          <t>No user name</t>
        </is>
      </c>
      <c r="N1260" s="6">
        <f>HYPERLINK("https://www.kleinanzeigen.deNo user link", "Link")</f>
        <v/>
      </c>
      <c r="O1260" s="7" t="n">
        <v>45549.57876157408</v>
      </c>
      <c r="P1260" s="3" t="inlineStr">
        <is>
          <t>23.17</t>
        </is>
      </c>
      <c r="Q1260" t="inlineStr">
        <is>
          <t>München</t>
        </is>
      </c>
    </row>
    <row r="1261">
      <c r="A1261" t="inlineStr">
        <is>
          <t>71</t>
        </is>
      </c>
      <c r="B1261" t="inlineStr">
        <is>
          <t>JP Australia</t>
        </is>
      </c>
      <c r="C1261" t="inlineStr">
        <is>
          <t>Slalom</t>
        </is>
      </c>
      <c r="D1261" s="3" t="n">
        <v>111</v>
      </c>
      <c r="E1261" t="inlineStr"/>
      <c r="F1261" s="4" t="n">
        <v>1</v>
      </c>
      <c r="G1261" t="inlineStr"/>
      <c r="H1261" t="inlineStr">
        <is>
          <t>99310 Thüringen - Arnstadt</t>
        </is>
      </c>
      <c r="I1261" s="5" t="n">
        <v>45496</v>
      </c>
      <c r="J1261" t="inlineStr"/>
      <c r="K1261" s="6">
        <f>HYPERLINK("https://www.kleinanzeigen.de/s-anzeige/jp-australia-slalom-board-71-111l-severne-neilpryde-duotone/2819302323-230-13826", "Link")</f>
        <v/>
      </c>
      <c r="L1261" s="6">
        <f>HYPERLINK("C:\Projects\Kleinanzeigen-Scraper\offer_images\2819302323", "Link")</f>
        <v/>
      </c>
      <c r="M1261" t="inlineStr">
        <is>
          <t>Johannes</t>
        </is>
      </c>
      <c r="N1261" s="6">
        <f>HYPERLINK("https://www.kleinanzeigen.de/s-bestandsliste.html?userId=132672640", "Link")</f>
        <v/>
      </c>
      <c r="O1261" s="7" t="n">
        <v>45549.57873842592</v>
      </c>
      <c r="P1261" s="3" t="inlineStr">
        <is>
          <t>272.16</t>
        </is>
      </c>
      <c r="Q1261" t="inlineStr">
        <is>
          <t>Karlsruhe</t>
        </is>
      </c>
    </row>
    <row r="1262">
      <c r="A1262" t="inlineStr">
        <is>
          <t>214 cm</t>
        </is>
      </c>
      <c r="B1262" t="inlineStr">
        <is>
          <t>Naish</t>
        </is>
      </c>
      <c r="C1262" t="inlineStr">
        <is>
          <t>Directional</t>
        </is>
      </c>
      <c r="D1262" s="3" t="inlineStr"/>
      <c r="E1262" t="inlineStr"/>
      <c r="F1262" s="4" t="n">
        <v>190</v>
      </c>
      <c r="G1262" t="inlineStr"/>
      <c r="H1262" t="inlineStr">
        <is>
          <t>41352 Nordrhein-Westfalen - Korschenbroich</t>
        </is>
      </c>
      <c r="I1262" s="5" t="n">
        <v>45498</v>
      </c>
      <c r="J1262" t="inlineStr">
        <is>
          <t>Sold</t>
        </is>
      </c>
      <c r="K1262" s="6">
        <f>HYPERLINK("https://www.kleinanzeigen.de/s-anzeige/kiteboard-directional-naish-kite-board-surfboard-groesse-7-0-/2821121226-230-1188", "Link")</f>
        <v/>
      </c>
      <c r="L1262" s="6">
        <f>HYPERLINK("C:\Projects\Kleinanzeigen-Scraper\offer_images\2821121226", "Link")</f>
        <v/>
      </c>
      <c r="M1262" t="inlineStr">
        <is>
          <t>Rudi</t>
        </is>
      </c>
      <c r="N1262" s="6">
        <f>HYPERLINK("https://www.kleinanzeigen.de/s-bestandsliste.html?userId=77804209", "Link")</f>
        <v/>
      </c>
      <c r="O1262" s="7" t="n">
        <v>45549.57871527778</v>
      </c>
      <c r="P1262" s="3" t="inlineStr">
        <is>
          <t>40.41</t>
        </is>
      </c>
      <c r="Q1262" t="inlineStr">
        <is>
          <t>Köln</t>
        </is>
      </c>
    </row>
    <row r="1263">
      <c r="A1263" t="inlineStr"/>
      <c r="B1263" t="inlineStr">
        <is>
          <t>Fanatic Lite Viper</t>
        </is>
      </c>
      <c r="C1263" t="inlineStr"/>
      <c r="D1263" s="3" t="inlineStr"/>
      <c r="E1263" t="inlineStr"/>
      <c r="F1263" s="4" t="n">
        <v>50</v>
      </c>
      <c r="G1263" t="inlineStr">
        <is>
          <t>VB</t>
        </is>
      </c>
      <c r="H1263" t="inlineStr">
        <is>
          <t>56072 Rheinland-Pfalz - Koblenz</t>
        </is>
      </c>
      <c r="I1263" s="5" t="n">
        <v>45507</v>
      </c>
      <c r="J1263" t="inlineStr">
        <is>
          <t>Sold</t>
        </is>
      </c>
      <c r="K1263" s="6">
        <f>HYPERLINK("https://www.kleinanzeigen.de/s-anzeige/surfbrett-fanatic-lite-viper/2828094237-230-5426", "Link")</f>
        <v/>
      </c>
      <c r="L1263" s="6">
        <f>HYPERLINK("C:\Projects\Kleinanzeigen-Scraper\offer_images\2828094237", "Link")</f>
        <v/>
      </c>
      <c r="M1263" t="inlineStr">
        <is>
          <t>Jennifer Sassi</t>
        </is>
      </c>
      <c r="N1263" s="6">
        <f>HYPERLINK("https://www.kleinanzeigen.de/s-bestandsliste.html?userId=7310220", "Link")</f>
        <v/>
      </c>
      <c r="O1263" s="7" t="n">
        <v>45549.57871527778</v>
      </c>
      <c r="P1263" s="3" t="inlineStr">
        <is>
          <t>76.49</t>
        </is>
      </c>
      <c r="Q1263" t="inlineStr">
        <is>
          <t>Köln</t>
        </is>
      </c>
    </row>
    <row r="1264">
      <c r="A1264" t="inlineStr">
        <is>
          <t>157 cm</t>
        </is>
      </c>
      <c r="B1264" t="inlineStr">
        <is>
          <t>Naish Haze TT</t>
        </is>
      </c>
      <c r="C1264" t="inlineStr">
        <is>
          <t>Light Wind Kiteboard/Wakeboard</t>
        </is>
      </c>
      <c r="D1264" s="3" t="inlineStr"/>
      <c r="E1264" t="inlineStr"/>
      <c r="F1264" s="4" t="n">
        <v>250</v>
      </c>
      <c r="G1264" t="inlineStr">
        <is>
          <t>VB</t>
        </is>
      </c>
      <c r="H1264" t="inlineStr">
        <is>
          <t>44799 Bochum - Bochum-Süd</t>
        </is>
      </c>
      <c r="I1264" s="5" t="n">
        <v>45528</v>
      </c>
      <c r="J1264" t="inlineStr">
        <is>
          <t>Sold</t>
        </is>
      </c>
      <c r="K1264" s="6">
        <f>HYPERLINK("https://www.kleinanzeigen.de/s-anzeige/naish-kiteboard-haze-tt-157-cabrinha-kite-11-0/2844796480-230-1949", "Link")</f>
        <v/>
      </c>
      <c r="L1264" s="6">
        <f>HYPERLINK("C:\Projects\Kleinanzeigen-Scraper\offer_images\2844796480", "Link")</f>
        <v/>
      </c>
      <c r="M1264" t="inlineStr">
        <is>
          <t>Mel P.</t>
        </is>
      </c>
      <c r="N1264" s="6">
        <f>HYPERLINK("https://www.kleinanzeigen.de/s-bestandsliste.html?userId=56940450", "Link")</f>
        <v/>
      </c>
      <c r="O1264" s="7" t="n">
        <v>45549.57871527778</v>
      </c>
      <c r="P1264" s="3" t="inlineStr">
        <is>
          <t>60.34</t>
        </is>
      </c>
      <c r="Q1264" t="inlineStr">
        <is>
          <t>Köln</t>
        </is>
      </c>
    </row>
    <row r="1265">
      <c r="A1265" t="inlineStr">
        <is>
          <t>6'7</t>
        </is>
      </c>
      <c r="B1265" t="inlineStr">
        <is>
          <t>Fanatic Sky Sup</t>
        </is>
      </c>
      <c r="C1265" t="inlineStr">
        <is>
          <t>SUP</t>
        </is>
      </c>
      <c r="D1265" s="3" t="inlineStr"/>
      <c r="E1265" t="inlineStr"/>
      <c r="F1265" s="4" t="n">
        <v>500</v>
      </c>
      <c r="G1265" t="inlineStr">
        <is>
          <t>VB</t>
        </is>
      </c>
      <c r="H1265" t="inlineStr">
        <is>
          <t>82211 Bayern - Herrsching</t>
        </is>
      </c>
      <c r="I1265" s="5" t="n">
        <v>45512</v>
      </c>
      <c r="J1265" t="inlineStr">
        <is>
          <t>Sold</t>
        </is>
      </c>
      <c r="K1265" s="6">
        <f>HYPERLINK("https://www.kleinanzeigen.de/s-anzeige/sup-fanatic-sky-sup-wing-board/2831888615-187-5520", "Link")</f>
        <v/>
      </c>
      <c r="L1265" s="6">
        <f>HYPERLINK("C:\Projects\Kleinanzeigen-Scraper\offer_images\2831888615", "Link")</f>
        <v/>
      </c>
      <c r="M1265" t="inlineStr">
        <is>
          <t>Gianluca Zgur</t>
        </is>
      </c>
      <c r="N1265" s="6">
        <f>HYPERLINK("https://www.kleinanzeigen.de/s-bestandsliste.html?userId=42749349", "Link")</f>
        <v/>
      </c>
      <c r="O1265" s="7" t="n">
        <v>45549.57869212963</v>
      </c>
      <c r="P1265" s="3" t="inlineStr">
        <is>
          <t>32.73</t>
        </is>
      </c>
      <c r="Q1265" t="inlineStr">
        <is>
          <t>München</t>
        </is>
      </c>
    </row>
    <row r="1266">
      <c r="A1266" t="inlineStr">
        <is>
          <t>Dimensions not provided</t>
        </is>
      </c>
      <c r="B1266" t="inlineStr">
        <is>
          <t>Starboard Evil Twin</t>
        </is>
      </c>
      <c r="C1266" t="inlineStr"/>
      <c r="D1266" s="3" t="n">
        <v>80</v>
      </c>
      <c r="E1266" t="inlineStr"/>
      <c r="F1266" s="4" t="n">
        <v>295</v>
      </c>
      <c r="G1266" t="inlineStr"/>
      <c r="H1266" t="inlineStr">
        <is>
          <t>58313 Nordrhein-Westfalen - Herdecke</t>
        </is>
      </c>
      <c r="I1266" s="5" t="n">
        <v>45517</v>
      </c>
      <c r="J1266" t="inlineStr"/>
      <c r="K1266" s="6">
        <f>HYPERLINK("https://www.kleinanzeigen.de/s-anzeige/starboard-evil-twin-80-l/2835949647-230-1423", "Link")</f>
        <v/>
      </c>
      <c r="L1266" s="6">
        <f>HYPERLINK("C:\Projects\Kleinanzeigen-Scraper\offer_images\2835949647", "Link")</f>
        <v/>
      </c>
      <c r="M1266" t="inlineStr">
        <is>
          <t>Achim L</t>
        </is>
      </c>
      <c r="N1266" s="6">
        <f>HYPERLINK("https://www.kleinanzeigen.de/s-bestandsliste.html?userId=137228815", "Link")</f>
        <v/>
      </c>
      <c r="O1266" s="7" t="n">
        <v>45549.57869212963</v>
      </c>
      <c r="P1266" s="3" t="inlineStr">
        <is>
          <t>62.57</t>
        </is>
      </c>
      <c r="Q1266" t="inlineStr">
        <is>
          <t>Köln</t>
        </is>
      </c>
    </row>
    <row r="1267">
      <c r="A1267" t="inlineStr"/>
      <c r="B1267" t="inlineStr">
        <is>
          <t>Naish Cobra, F2 Xenon</t>
        </is>
      </c>
      <c r="C1267" t="inlineStr"/>
      <c r="D1267" s="3" t="inlineStr"/>
      <c r="E1267" t="inlineStr"/>
      <c r="F1267" s="4" t="n">
        <v>40</v>
      </c>
      <c r="G1267" t="inlineStr"/>
      <c r="H1267" t="inlineStr">
        <is>
          <t>69115 Baden-Württemberg - Heidelberg</t>
        </is>
      </c>
      <c r="I1267" s="5" t="n">
        <v>45539</v>
      </c>
      <c r="J1267" t="inlineStr">
        <is>
          <t>Sold</t>
        </is>
      </c>
      <c r="K1267" s="6">
        <f>HYPERLINK("https://www.kleinanzeigen.de/s-anzeige/windsurfboard-surfbrett-naish-cobra-f2-xenon-lightwind-race/2854232152-230-9182", "Link")</f>
        <v/>
      </c>
      <c r="L1267" s="6">
        <f>HYPERLINK("C:\Projects\Kleinanzeigen-Scraper\offer_images\2854232152", "Link")</f>
        <v/>
      </c>
      <c r="M1267" t="inlineStr">
        <is>
          <t>Daniel</t>
        </is>
      </c>
      <c r="N1267" s="6">
        <f>HYPERLINK("https://www.kleinanzeigen.de/s-bestandsliste.html?userId=6871523", "Link")</f>
        <v/>
      </c>
      <c r="O1267" s="7" t="n">
        <v>45549.57868055555</v>
      </c>
      <c r="P1267" s="3" t="inlineStr">
        <is>
          <t>48.81</t>
        </is>
      </c>
      <c r="Q1267" t="inlineStr">
        <is>
          <t>Karlsruhe</t>
        </is>
      </c>
    </row>
    <row r="1268">
      <c r="A1268" t="inlineStr">
        <is>
          <t>138</t>
        </is>
      </c>
      <c r="B1268" t="inlineStr">
        <is>
          <t>Naish Monarch</t>
        </is>
      </c>
      <c r="C1268" t="inlineStr"/>
      <c r="D1268" s="3" t="inlineStr"/>
      <c r="E1268" t="inlineStr">
        <is>
          <t>2024</t>
        </is>
      </c>
      <c r="F1268" s="4" t="n">
        <v>449</v>
      </c>
      <c r="G1268" t="inlineStr"/>
      <c r="H1268" t="inlineStr">
        <is>
          <t>85521 Kr. München - Ottobrunn</t>
        </is>
      </c>
      <c r="I1268" s="5" t="n">
        <v>45529</v>
      </c>
      <c r="J1268" t="inlineStr">
        <is>
          <t>Sold</t>
        </is>
      </c>
      <c r="K1268" s="6">
        <f>HYPERLINK("https://www.kleinanzeigen.de/s-anzeige/kiteboard-naish-monarch-138-2024/2845415829-230-15597", "Link")</f>
        <v/>
      </c>
      <c r="L1268" s="6">
        <f>HYPERLINK("C:\Projects\Kleinanzeigen-Scraper\offer_images\2845415829", "Link")</f>
        <v/>
      </c>
      <c r="M1268" t="inlineStr">
        <is>
          <t>Dieter Raditsch</t>
        </is>
      </c>
      <c r="N1268" s="6">
        <f>HYPERLINK("https://www.kleinanzeigen.de/s-bestandsliste.html?userId=123269547", "Link")</f>
        <v/>
      </c>
      <c r="O1268" s="7" t="n">
        <v>45549.57868055555</v>
      </c>
      <c r="P1268" s="3" t="inlineStr">
        <is>
          <t>11.05</t>
        </is>
      </c>
      <c r="Q1268" t="inlineStr">
        <is>
          <t>München</t>
        </is>
      </c>
    </row>
    <row r="1269">
      <c r="A1269" t="inlineStr">
        <is>
          <t>130cm</t>
        </is>
      </c>
      <c r="B1269" t="inlineStr">
        <is>
          <t>Duotone Gonzales</t>
        </is>
      </c>
      <c r="C1269" t="inlineStr"/>
      <c r="D1269" s="3" t="inlineStr"/>
      <c r="E1269" t="inlineStr">
        <is>
          <t>2024</t>
        </is>
      </c>
      <c r="F1269" s="4" t="n">
        <v>329</v>
      </c>
      <c r="G1269" t="inlineStr"/>
      <c r="H1269" t="inlineStr">
        <is>
          <t>26427 Niedersachsen - Neuharlingersiel</t>
        </is>
      </c>
      <c r="I1269" s="5" t="n">
        <v>45541</v>
      </c>
      <c r="J1269" t="inlineStr">
        <is>
          <t>Sold</t>
        </is>
      </c>
      <c r="K1269" s="6">
        <f>HYPERLINK("https://www.kleinanzeigen.de/s-anzeige/duotone-gonzales-130cm-1-x-neu-1-x-leicht-gebr-2024/2855579349-230-17528", "Link")</f>
        <v/>
      </c>
      <c r="L1269" s="6">
        <f>HYPERLINK("C:\Projects\Kleinanzeigen-Scraper\offer_images\2855579349", "Link")</f>
        <v/>
      </c>
      <c r="M1269" t="inlineStr">
        <is>
          <t>Surfschule Windloop</t>
        </is>
      </c>
      <c r="N1269" s="6">
        <f>HYPERLINK("https://www.kleinanzeigen.de/s-bestandsliste.html?userId=66736229", "Link")</f>
        <v/>
      </c>
      <c r="O1269" s="7" t="n">
        <v>45549.57866898148</v>
      </c>
      <c r="P1269" s="3" t="inlineStr">
        <is>
          <t>304.19</t>
        </is>
      </c>
      <c r="Q1269" t="inlineStr">
        <is>
          <t>Köln</t>
        </is>
      </c>
    </row>
    <row r="1270">
      <c r="A1270" t="inlineStr">
        <is>
          <t>180cm x 76cm</t>
        </is>
      </c>
      <c r="B1270" t="inlineStr">
        <is>
          <t>RRD Pocket Rocket</t>
        </is>
      </c>
      <c r="C1270" t="inlineStr">
        <is>
          <t>Windfoil/Wingfoil</t>
        </is>
      </c>
      <c r="D1270" s="3" t="n">
        <v>120</v>
      </c>
      <c r="E1270" t="inlineStr"/>
      <c r="F1270" s="4" t="n">
        <v>400</v>
      </c>
      <c r="G1270" t="inlineStr">
        <is>
          <t>VB</t>
        </is>
      </c>
      <c r="H1270" t="inlineStr">
        <is>
          <t>23769 Kreis Ostholstein - Fehmarn</t>
        </is>
      </c>
      <c r="I1270" s="5" t="n">
        <v>45438</v>
      </c>
      <c r="J1270" t="inlineStr">
        <is>
          <t>Sold</t>
        </is>
      </c>
      <c r="K1270" s="6">
        <f>HYPERLINK("https://www.kleinanzeigen.de/s-anzeige/windfoil-wingfoil-board-rrd-pocket-rocket-180-e-tech/2771784126-230-19951", "Link")</f>
        <v/>
      </c>
      <c r="L1270" s="6">
        <f>HYPERLINK("C:\Projects\Kleinanzeigen-Scraper\offer_images\2771784126", "Link")</f>
        <v/>
      </c>
      <c r="M1270" t="inlineStr">
        <is>
          <t>Lavi</t>
        </is>
      </c>
      <c r="N1270" s="6">
        <f>HYPERLINK("https://www.kleinanzeigen.de/s-bestandsliste.html?userId=89299302", "Link")</f>
        <v/>
      </c>
      <c r="O1270" s="7" t="n">
        <v>45549.57865740741</v>
      </c>
      <c r="P1270" s="3" t="inlineStr">
        <is>
          <t>483.01</t>
        </is>
      </c>
      <c r="Q1270" t="inlineStr">
        <is>
          <t>Köln</t>
        </is>
      </c>
    </row>
    <row r="1271">
      <c r="A1271" t="inlineStr">
        <is>
          <t>133 x 41</t>
        </is>
      </c>
      <c r="B1271" t="inlineStr">
        <is>
          <t>RRD Poison</t>
        </is>
      </c>
      <c r="C1271" t="inlineStr">
        <is>
          <t>Kiteboard</t>
        </is>
      </c>
      <c r="D1271" s="3" t="inlineStr"/>
      <c r="E1271" t="inlineStr"/>
      <c r="F1271" s="4" t="n">
        <v>180</v>
      </c>
      <c r="G1271" t="inlineStr">
        <is>
          <t>VB</t>
        </is>
      </c>
      <c r="H1271" t="inlineStr">
        <is>
          <t>38640 Niedersachsen - Goslar</t>
        </is>
      </c>
      <c r="I1271" s="5" t="n">
        <v>45475</v>
      </c>
      <c r="J1271" t="inlineStr">
        <is>
          <t>Sold</t>
        </is>
      </c>
      <c r="K1271" s="6">
        <f>HYPERLINK("https://www.kleinanzeigen.de/s-anzeige/kiteboard-rrd-poison-133-x-41/2802416582-230-2694", "Link")</f>
        <v/>
      </c>
      <c r="L1271" s="6">
        <f>HYPERLINK("C:\Projects\Kleinanzeigen-Scraper\offer_images\2802416582", "Link")</f>
        <v/>
      </c>
      <c r="M1271" t="inlineStr">
        <is>
          <t>Wolf</t>
        </is>
      </c>
      <c r="N1271" s="6">
        <f>HYPERLINK("https://www.kleinanzeigen.de/s-bestandsliste.html?userId=8750467", "Link")</f>
        <v/>
      </c>
      <c r="O1271" s="7" t="n">
        <v>45549.57865740741</v>
      </c>
      <c r="P1271" s="3" t="inlineStr">
        <is>
          <t>264.65</t>
        </is>
      </c>
      <c r="Q1271" t="inlineStr">
        <is>
          <t>Köln</t>
        </is>
      </c>
    </row>
    <row r="1272">
      <c r="A1272" t="inlineStr">
        <is>
          <t>138x42</t>
        </is>
      </c>
      <c r="B1272" t="inlineStr">
        <is>
          <t>Ozone Toque V1</t>
        </is>
      </c>
      <c r="C1272" t="inlineStr">
        <is>
          <t>Freestyle</t>
        </is>
      </c>
      <c r="D1272" s="3" t="inlineStr"/>
      <c r="E1272" t="inlineStr"/>
      <c r="F1272" s="4" t="n">
        <v>260</v>
      </c>
      <c r="G1272" t="inlineStr">
        <is>
          <t>VB</t>
        </is>
      </c>
      <c r="H1272" t="inlineStr">
        <is>
          <t>04155 Leipzig - Gohlis-Mitte</t>
        </is>
      </c>
      <c r="I1272" s="5" t="n">
        <v>45547</v>
      </c>
      <c r="J1272" t="inlineStr">
        <is>
          <t>Sold</t>
        </is>
      </c>
      <c r="K1272" s="6">
        <f>HYPERLINK("https://www.kleinanzeigen.de/s-anzeige/ozone-toque-v1-refurbished-naish-apex-schlaufen/2861448695-230-4255", "Link")</f>
        <v/>
      </c>
      <c r="L1272" s="6">
        <f>HYPERLINK("C:\Projects\Kleinanzeigen-Scraper\offer_images\2861448695", "Link")</f>
        <v/>
      </c>
      <c r="M1272" t="inlineStr">
        <is>
          <t>Tom Rehin</t>
        </is>
      </c>
      <c r="N1272" s="6">
        <f>HYPERLINK("https://www.kleinanzeigen.de/s-bestandsliste.html?userId=22459624", "Link")</f>
        <v/>
      </c>
      <c r="O1272" s="7" t="n">
        <v>45549.57865740741</v>
      </c>
      <c r="P1272" s="3" t="inlineStr">
        <is>
          <t>362.90</t>
        </is>
      </c>
      <c r="Q1272" t="inlineStr">
        <is>
          <t>München</t>
        </is>
      </c>
    </row>
    <row r="1273">
      <c r="A1273" t="inlineStr">
        <is>
          <t>242cm x 66cm</t>
        </is>
      </c>
      <c r="B1273" t="inlineStr">
        <is>
          <t>Tabou 3S Classic</t>
        </is>
      </c>
      <c r="C1273" t="inlineStr">
        <is>
          <t>Freeride</t>
        </is>
      </c>
      <c r="D1273" s="3" t="n">
        <v>116</v>
      </c>
      <c r="E1273" t="inlineStr"/>
      <c r="F1273" s="4" t="n">
        <v>500</v>
      </c>
      <c r="G1273" t="inlineStr">
        <is>
          <t>VB</t>
        </is>
      </c>
      <c r="H1273" t="inlineStr">
        <is>
          <t>84416 Bayern - Taufkirchen Vils</t>
        </is>
      </c>
      <c r="I1273" s="5" t="n">
        <v>45389</v>
      </c>
      <c r="J1273" t="inlineStr"/>
      <c r="K1273" s="6">
        <f>HYPERLINK("https://www.kleinanzeigen.de/s-anzeige/tabou-3s-classic-116l-ced-auch-tausch-mit-rocket-oder-speedster/2728929234-230-13079", "Link")</f>
        <v/>
      </c>
      <c r="L1273" s="6">
        <f>HYPERLINK("C:\Projects\Kleinanzeigen-Scraper\offer_images\2728929234", "Link")</f>
        <v/>
      </c>
      <c r="M1273" t="inlineStr">
        <is>
          <t>Eisgruber Johann</t>
        </is>
      </c>
      <c r="N1273" s="6">
        <f>HYPERLINK("https://www.kleinanzeigen.de/s-bestandsliste.html?userId=5539992", "Link")</f>
        <v/>
      </c>
      <c r="O1273" s="7" t="n">
        <v>45549.57865740741</v>
      </c>
      <c r="P1273" s="3" t="inlineStr">
        <is>
          <t>47.56</t>
        </is>
      </c>
      <c r="Q1273" t="inlineStr">
        <is>
          <t>München</t>
        </is>
      </c>
    </row>
    <row r="1274">
      <c r="A1274" t="inlineStr"/>
      <c r="B1274" t="inlineStr">
        <is>
          <t>Starboard Futura</t>
        </is>
      </c>
      <c r="C1274" t="inlineStr">
        <is>
          <t>Freeride</t>
        </is>
      </c>
      <c r="D1274" s="3" t="n">
        <v>121</v>
      </c>
      <c r="E1274" t="inlineStr"/>
      <c r="F1274" s="4" t="n">
        <v>480</v>
      </c>
      <c r="G1274" t="inlineStr"/>
      <c r="H1274" t="inlineStr">
        <is>
          <t>44797 Bochum - Bochum-Süd</t>
        </is>
      </c>
      <c r="I1274" s="5" t="n">
        <v>45530</v>
      </c>
      <c r="J1274" t="inlineStr"/>
      <c r="K1274" s="6">
        <f>HYPERLINK("https://www.kleinanzeigen.de/s-anzeige/starboard-futura-121-carbon-inkl-boardbag-und-drake-finne-44-cm/2767295011-230-1950", "Link")</f>
        <v/>
      </c>
      <c r="L1274" s="6">
        <f>HYPERLINK("C:\Projects\Kleinanzeigen-Scraper\offer_images\2767295011", "Link")</f>
        <v/>
      </c>
      <c r="M1274" t="inlineStr">
        <is>
          <t>Jörg Muschiol</t>
        </is>
      </c>
      <c r="N1274" s="6">
        <f>HYPERLINK("https://www.kleinanzeigen.de/s-bestandsliste.html?userId=68060217", "Link")</f>
        <v/>
      </c>
      <c r="O1274" s="7" t="n">
        <v>45549.57863425926</v>
      </c>
      <c r="P1274" s="3" t="inlineStr">
        <is>
          <t>57.12</t>
        </is>
      </c>
      <c r="Q1274" t="inlineStr">
        <is>
          <t>Köln</t>
        </is>
      </c>
    </row>
    <row r="1275">
      <c r="A1275" t="inlineStr">
        <is>
          <t>250 x 78</t>
        </is>
      </c>
      <c r="B1275" t="inlineStr">
        <is>
          <t>Fanatic Eagle</t>
        </is>
      </c>
      <c r="C1275" t="inlineStr">
        <is>
          <t>Freeride</t>
        </is>
      </c>
      <c r="D1275" s="3" t="n">
        <v>150</v>
      </c>
      <c r="E1275" t="inlineStr">
        <is>
          <t>2023</t>
        </is>
      </c>
      <c r="F1275" s="4" t="n">
        <v>950</v>
      </c>
      <c r="G1275" t="inlineStr">
        <is>
          <t>VB</t>
        </is>
      </c>
      <c r="H1275" t="inlineStr">
        <is>
          <t>68794 Baden-Württemberg - Oberhausen-Rheinhausen</t>
        </is>
      </c>
      <c r="I1275" s="5" t="n">
        <v>45509</v>
      </c>
      <c r="J1275" t="inlineStr">
        <is>
          <t>Sold</t>
        </is>
      </c>
      <c r="K1275" s="6">
        <f>HYPERLINK("https://www.kleinanzeigen.de/s-anzeige/fanatic-eagle-150l-freeride-surfboard-wie-neu-mit-garantie/2829609665-230-8338", "Link")</f>
        <v/>
      </c>
      <c r="L1275" s="6">
        <f>HYPERLINK("C:\Projects\Kleinanzeigen-Scraper\offer_images\2829609665", "Link")</f>
        <v/>
      </c>
      <c r="M1275" t="inlineStr">
        <is>
          <t>Metzler</t>
        </is>
      </c>
      <c r="N1275" s="6">
        <f>HYPERLINK("https://www.kleinanzeigen.de/s-bestandsliste.html?userId=73550942", "Link")</f>
        <v/>
      </c>
      <c r="O1275" s="7" t="n">
        <v>45549.57863425926</v>
      </c>
      <c r="P1275" s="3" t="inlineStr">
        <is>
          <t>30.38</t>
        </is>
      </c>
      <c r="Q1275" t="inlineStr">
        <is>
          <t>Karlsruhe</t>
        </is>
      </c>
    </row>
    <row r="1276">
      <c r="A1276" t="inlineStr">
        <is>
          <t>5'8"</t>
        </is>
      </c>
      <c r="B1276" t="inlineStr">
        <is>
          <t>Fanatic Sky Air Premium</t>
        </is>
      </c>
      <c r="C1276" t="inlineStr"/>
      <c r="D1276" s="3" t="n">
        <v>120</v>
      </c>
      <c r="E1276" t="inlineStr"/>
      <c r="F1276" s="4" t="n">
        <v>450</v>
      </c>
      <c r="G1276" t="inlineStr"/>
      <c r="H1276" t="inlineStr">
        <is>
          <t>22359 Wandsbek - Hamburg Volksdorf</t>
        </is>
      </c>
      <c r="I1276" s="5" t="n">
        <v>45544</v>
      </c>
      <c r="J1276" t="inlineStr">
        <is>
          <t>Sold</t>
        </is>
      </c>
      <c r="K1276" s="6">
        <f>HYPERLINK("https://www.kleinanzeigen.de/s-anzeige/fanatic-sky-air-premium-5-8-120l/2858564263-230-16495", "Link")</f>
        <v/>
      </c>
      <c r="L1276" s="6">
        <f>HYPERLINK("C:\Projects\Kleinanzeigen-Scraper\offer_images\2858564263", "Link")</f>
        <v/>
      </c>
      <c r="M1276" t="inlineStr">
        <is>
          <t>Jan</t>
        </is>
      </c>
      <c r="N1276" s="6">
        <f>HYPERLINK("https://www.kleinanzeigen.de/s-bestandsliste.html?userId=3513794", "Link")</f>
        <v/>
      </c>
      <c r="O1276" s="7" t="n">
        <v>45549.57863425926</v>
      </c>
      <c r="P1276" s="3" t="inlineStr">
        <is>
          <t>371.96</t>
        </is>
      </c>
      <c r="Q1276" t="inlineStr">
        <is>
          <t>Köln</t>
        </is>
      </c>
    </row>
    <row r="1277">
      <c r="A1277" t="inlineStr">
        <is>
          <t>234 x 56 cm</t>
        </is>
      </c>
      <c r="B1277" t="inlineStr">
        <is>
          <t>Tabou 3S</t>
        </is>
      </c>
      <c r="C1277" t="inlineStr">
        <is>
          <t>Freeride</t>
        </is>
      </c>
      <c r="D1277" s="3" t="n">
        <v>86</v>
      </c>
      <c r="E1277" t="inlineStr">
        <is>
          <t>2015</t>
        </is>
      </c>
      <c r="F1277" s="4" t="n">
        <v>280</v>
      </c>
      <c r="G1277" t="inlineStr"/>
      <c r="H1277" t="inlineStr">
        <is>
          <t>28201 Neustadt - Buntentor</t>
        </is>
      </c>
      <c r="I1277" s="5" t="n">
        <v>45531</v>
      </c>
      <c r="J1277" t="inlineStr"/>
      <c r="K1277" s="6">
        <f>HYPERLINK("https://www.kleinanzeigen.de/s-anzeige/tabou-3s-86l/2848052063-230-13505", "Link")</f>
        <v/>
      </c>
      <c r="L1277" s="6">
        <f>HYPERLINK("C:\Projects\Kleinanzeigen-Scraper\offer_images\2848052063", "Link")</f>
        <v/>
      </c>
      <c r="M1277" t="inlineStr">
        <is>
          <t>Peter</t>
        </is>
      </c>
      <c r="N1277" s="6">
        <f>HYPERLINK("https://www.kleinanzeigen.de/s-bestandsliste.html?userId=25013240", "Link")</f>
        <v/>
      </c>
      <c r="O1277" s="7" t="n">
        <v>45549.57863425926</v>
      </c>
      <c r="P1277" s="3" t="inlineStr">
        <is>
          <t>267.67</t>
        </is>
      </c>
      <c r="Q1277" t="inlineStr">
        <is>
          <t>Köln</t>
        </is>
      </c>
    </row>
    <row r="1278">
      <c r="A1278" t="inlineStr">
        <is>
          <t>150L</t>
        </is>
      </c>
      <c r="B1278" t="inlineStr">
        <is>
          <t>JP Australia</t>
        </is>
      </c>
      <c r="C1278" t="inlineStr">
        <is>
          <t>Hydrofoil</t>
        </is>
      </c>
      <c r="D1278" s="3" t="n">
        <v>150</v>
      </c>
      <c r="E1278" t="inlineStr"/>
      <c r="F1278" s="4" t="n">
        <v>980</v>
      </c>
      <c r="G1278" t="inlineStr"/>
      <c r="H1278" t="inlineStr">
        <is>
          <t>27283 Niedersachsen - Verden</t>
        </is>
      </c>
      <c r="I1278" s="5" t="n">
        <v>45530</v>
      </c>
      <c r="J1278" t="inlineStr">
        <is>
          <t>Sold</t>
        </is>
      </c>
      <c r="K1278" s="6">
        <f>HYPERLINK("https://www.kleinanzeigen.de/s-anzeige/hydrofoil-150-jp-australia/2846752498-230-2725", "Link")</f>
        <v/>
      </c>
      <c r="L1278" s="6">
        <f>HYPERLINK("C:\Projects\Kleinanzeigen-Scraper\offer_images\2846752498", "Link")</f>
        <v/>
      </c>
      <c r="M1278" t="inlineStr">
        <is>
          <t>Martin Kolbohm</t>
        </is>
      </c>
      <c r="N1278" s="6">
        <f>HYPERLINK("https://www.kleinanzeigen.de/s-bestandsliste.html?userId=21200073", "Link")</f>
        <v/>
      </c>
      <c r="O1278" s="7" t="n">
        <v>45549.57861111111</v>
      </c>
      <c r="P1278" s="3" t="inlineStr">
        <is>
          <t>271.41</t>
        </is>
      </c>
      <c r="Q1278" t="inlineStr">
        <is>
          <t>Köln</t>
        </is>
      </c>
    </row>
    <row r="1279">
      <c r="A1279" t="inlineStr">
        <is>
          <t>5'5" x 21"</t>
        </is>
      </c>
      <c r="B1279" t="inlineStr">
        <is>
          <t>North Nugget</t>
        </is>
      </c>
      <c r="C1279" t="inlineStr">
        <is>
          <t>Waveboard</t>
        </is>
      </c>
      <c r="D1279" s="3" t="inlineStr"/>
      <c r="E1279" t="inlineStr"/>
      <c r="F1279" s="4" t="n">
        <v>349</v>
      </c>
      <c r="G1279" t="inlineStr"/>
      <c r="H1279" t="inlineStr">
        <is>
          <t>92670 Bayern - Windischeschenbach</t>
        </is>
      </c>
      <c r="I1279" s="5" t="n">
        <v>45542</v>
      </c>
      <c r="J1279" t="inlineStr">
        <is>
          <t>Sold</t>
        </is>
      </c>
      <c r="K1279" s="6">
        <f>HYPERLINK("https://www.kleinanzeigen.de/s-anzeige/waveboard-north-nugget-kiteboard/2856296056-230-7214", "Link")</f>
        <v/>
      </c>
      <c r="L1279" s="6">
        <f>HYPERLINK("C:\Projects\Kleinanzeigen-Scraper\offer_images\2856296056", "Link")</f>
        <v/>
      </c>
      <c r="M1279" t="inlineStr">
        <is>
          <t>Werner</t>
        </is>
      </c>
      <c r="N1279" s="6">
        <f>HYPERLINK("https://www.kleinanzeigen.de/s-bestandsliste.html?userId=7404167", "Link")</f>
        <v/>
      </c>
      <c r="O1279" s="7" t="n">
        <v>45549.57861111111</v>
      </c>
      <c r="P1279" s="3" t="inlineStr">
        <is>
          <t>190.05</t>
        </is>
      </c>
      <c r="Q1279" t="inlineStr">
        <is>
          <t>München</t>
        </is>
      </c>
    </row>
    <row r="1280">
      <c r="A1280" t="inlineStr">
        <is>
          <t>5'2" x 18" x 2"</t>
        </is>
      </c>
      <c r="B1280" t="inlineStr">
        <is>
          <t>COTAN RRD</t>
        </is>
      </c>
      <c r="C1280" t="inlineStr">
        <is>
          <t>Classic</t>
        </is>
      </c>
      <c r="D1280" s="3" t="inlineStr"/>
      <c r="E1280" t="inlineStr">
        <is>
          <t>Y25</t>
        </is>
      </c>
      <c r="F1280" s="4" t="n">
        <v>250</v>
      </c>
      <c r="G1280" t="inlineStr">
        <is>
          <t>VB</t>
        </is>
      </c>
      <c r="H1280" t="inlineStr">
        <is>
          <t>83334 Bayern - Inzell</t>
        </is>
      </c>
      <c r="I1280" s="5" t="n">
        <v>45543</v>
      </c>
      <c r="J1280" t="inlineStr"/>
      <c r="K1280" s="6">
        <f>HYPERLINK("https://www.kleinanzeigen.de/s-anzeige/cotan-rrd-board/2857522923-230-5872", "Link")</f>
        <v/>
      </c>
      <c r="L1280" s="6">
        <f>HYPERLINK("C:\Projects\Kleinanzeigen-Scraper\offer_images\2857522923", "Link")</f>
        <v/>
      </c>
      <c r="M1280" t="inlineStr">
        <is>
          <t>Huber. M</t>
        </is>
      </c>
      <c r="N1280" s="6">
        <f>HYPERLINK("https://www.kleinanzeigen.de/s-bestandsliste.html?userId=48117903", "Link")</f>
        <v/>
      </c>
      <c r="O1280" s="7" t="n">
        <v>45549.57858796296</v>
      </c>
      <c r="P1280" s="3" t="inlineStr">
        <is>
          <t>98.70</t>
        </is>
      </c>
      <c r="Q1280" t="inlineStr">
        <is>
          <t>München</t>
        </is>
      </c>
    </row>
    <row r="1281">
      <c r="A1281" t="inlineStr"/>
      <c r="B1281" t="inlineStr">
        <is>
          <t>Severne Nuevo</t>
        </is>
      </c>
      <c r="C1281" t="inlineStr">
        <is>
          <t>Freeride</t>
        </is>
      </c>
      <c r="D1281" s="3" t="n">
        <v>120</v>
      </c>
      <c r="E1281" t="inlineStr">
        <is>
          <t>2018</t>
        </is>
      </c>
      <c r="F1281" s="4" t="n">
        <v>1.1</v>
      </c>
      <c r="G1281" t="inlineStr"/>
      <c r="H1281" t="inlineStr">
        <is>
          <t>71549 Baden-Württemberg - Auenwald</t>
        </is>
      </c>
      <c r="I1281" s="5" t="n">
        <v>45501</v>
      </c>
      <c r="J1281" t="inlineStr"/>
      <c r="K1281" s="6">
        <f>HYPERLINK("https://www.kleinanzeigen.de/s-anzeige/severne-nuevo-120-l-windsurfbrett-surfbrett/2823014491-230-20234", "Link")</f>
        <v/>
      </c>
      <c r="L1281" s="6">
        <f>HYPERLINK("C:\Projects\Kleinanzeigen-Scraper\offer_images\2823014491", "Link")</f>
        <v/>
      </c>
      <c r="M1281" t="inlineStr">
        <is>
          <t>Sam</t>
        </is>
      </c>
      <c r="N1281" s="6">
        <f>HYPERLINK("https://www.kleinanzeigen.de/s-bestandsliste.html?userId=91227219", "Link")</f>
        <v/>
      </c>
      <c r="O1281" s="7" t="n">
        <v>45549.57858796296</v>
      </c>
      <c r="P1281" s="3" t="inlineStr">
        <is>
          <t>49.16</t>
        </is>
      </c>
      <c r="Q1281" t="inlineStr">
        <is>
          <t>Böblingen</t>
        </is>
      </c>
    </row>
    <row r="1282">
      <c r="A1282" t="inlineStr">
        <is>
          <t>9'1"</t>
        </is>
      </c>
      <c r="B1282" t="inlineStr">
        <is>
          <t>Naish Wave SUP GT</t>
        </is>
      </c>
      <c r="C1282" t="inlineStr">
        <is>
          <t>Wave</t>
        </is>
      </c>
      <c r="D1282" s="3" t="n">
        <v>150</v>
      </c>
      <c r="E1282" t="inlineStr"/>
      <c r="F1282" s="4" t="n">
        <v>650</v>
      </c>
      <c r="G1282" t="inlineStr">
        <is>
          <t>VB</t>
        </is>
      </c>
      <c r="H1282" t="inlineStr">
        <is>
          <t>63075 Hessen - Offenbach</t>
        </is>
      </c>
      <c r="I1282" s="5" t="n">
        <v>45492</v>
      </c>
      <c r="J1282" t="inlineStr">
        <is>
          <t>Sold</t>
        </is>
      </c>
      <c r="K1282" s="6">
        <f>HYPERLINK("https://www.kleinanzeigen.de/s-anzeige/top-naish-wave-sup-gt-9-1-inkl-paddel-leash-ion-boardbag-top-/2815910351-230-4356", "Link")</f>
        <v/>
      </c>
      <c r="L1282" s="6">
        <f>HYPERLINK("C:\Projects\Kleinanzeigen-Scraper\offer_images\2815910351", "Link")</f>
        <v/>
      </c>
      <c r="M1282" t="inlineStr">
        <is>
          <t>Chr. Doetsch</t>
        </is>
      </c>
      <c r="N1282" s="6">
        <f>HYPERLINK("https://www.kleinanzeigen.de/s-bestandsliste.html?userId=18166072", "Link")</f>
        <v/>
      </c>
      <c r="O1282" s="7" t="n">
        <v>45549.57857638889</v>
      </c>
      <c r="P1282" s="3" t="inlineStr">
        <is>
          <t>127.53</t>
        </is>
      </c>
      <c r="Q1282" t="inlineStr">
        <is>
          <t>Karlsruhe</t>
        </is>
      </c>
    </row>
    <row r="1283">
      <c r="A1283" t="inlineStr"/>
      <c r="B1283" t="inlineStr">
        <is>
          <t>Tabou DaCurve Quadster</t>
        </is>
      </c>
      <c r="C1283" t="inlineStr">
        <is>
          <t>Wave</t>
        </is>
      </c>
      <c r="D1283" s="3" t="n">
        <v>74</v>
      </c>
      <c r="E1283" t="inlineStr">
        <is>
          <t>2013</t>
        </is>
      </c>
      <c r="F1283" s="4" t="n">
        <v>150</v>
      </c>
      <c r="G1283" t="inlineStr">
        <is>
          <t>VB</t>
        </is>
      </c>
      <c r="H1283" t="inlineStr">
        <is>
          <t>20359 Hamburg-Mitte - Hamburg St. Pauli</t>
        </is>
      </c>
      <c r="I1283" s="5" t="n">
        <v>45491</v>
      </c>
      <c r="J1283" t="inlineStr"/>
      <c r="K1283" s="6">
        <f>HYPERLINK("https://www.kleinanzeigen.de/s-anzeige/windsurf-board-tabou-dacurve-quadster-74l-aus-2013/2815095520-230-9495", "Link")</f>
        <v/>
      </c>
      <c r="L1283" s="6">
        <f>HYPERLINK("C:\Projects\Kleinanzeigen-Scraper\offer_images\2815095520", "Link")</f>
        <v/>
      </c>
      <c r="M1283" t="inlineStr">
        <is>
          <t>Niklas</t>
        </is>
      </c>
      <c r="N1283" s="6">
        <f>HYPERLINK("https://www.kleinanzeigen.de/s-bestandsliste.html?userId=11198381", "Link")</f>
        <v/>
      </c>
      <c r="O1283" s="7" t="n">
        <v>45549.57856481482</v>
      </c>
      <c r="P1283" s="3" t="inlineStr">
        <is>
          <t>355.45</t>
        </is>
      </c>
      <c r="Q1283" t="inlineStr">
        <is>
          <t>Köln</t>
        </is>
      </c>
    </row>
    <row r="1284">
      <c r="A1284" t="inlineStr">
        <is>
          <t>294 cm x 60 cm</t>
        </is>
      </c>
      <c r="B1284" t="inlineStr">
        <is>
          <t>Fanatic Bee</t>
        </is>
      </c>
      <c r="C1284" t="inlineStr">
        <is>
          <t>Freeride</t>
        </is>
      </c>
      <c r="D1284" s="3" t="n">
        <v>135</v>
      </c>
      <c r="E1284" t="inlineStr">
        <is>
          <t>1998</t>
        </is>
      </c>
      <c r="F1284" s="4" t="n">
        <v>85</v>
      </c>
      <c r="G1284" t="inlineStr">
        <is>
          <t>VB</t>
        </is>
      </c>
      <c r="H1284" t="inlineStr">
        <is>
          <t>59399 Nordrhein-Westfalen - Olfen</t>
        </is>
      </c>
      <c r="I1284" s="5" t="n">
        <v>45516</v>
      </c>
      <c r="J1284" t="inlineStr">
        <is>
          <t>Sold</t>
        </is>
      </c>
      <c r="K1284" s="6">
        <f>HYPERLINK("https://www.kleinanzeigen.de/s-anzeige/fanatic-bee-294-surfboard/2835527475-230-1375", "Link")</f>
        <v/>
      </c>
      <c r="L1284" s="6">
        <f>HYPERLINK("C:\Projects\Kleinanzeigen-Scraper\offer_images\2835527475", "Link")</f>
        <v/>
      </c>
      <c r="M1284" t="inlineStr">
        <is>
          <t>Frank Korte</t>
        </is>
      </c>
      <c r="N1284" s="6">
        <f>HYPERLINK("https://www.kleinanzeigen.de/s-bestandsliste.html?userId=6127405", "Link")</f>
        <v/>
      </c>
      <c r="O1284" s="7" t="n">
        <v>45549.57855324074</v>
      </c>
      <c r="P1284" s="3" t="inlineStr">
        <is>
          <t>91.22</t>
        </is>
      </c>
      <c r="Q1284" t="inlineStr">
        <is>
          <t>Köln</t>
        </is>
      </c>
    </row>
    <row r="1285">
      <c r="A1285" t="inlineStr">
        <is>
          <t>5'4"</t>
        </is>
      </c>
      <c r="B1285" t="inlineStr">
        <is>
          <t>Fanatic Sky Wing</t>
        </is>
      </c>
      <c r="C1285" t="inlineStr"/>
      <c r="D1285" s="3" t="n">
        <v>95</v>
      </c>
      <c r="E1285" t="inlineStr"/>
      <c r="F1285" s="4" t="n">
        <v>450</v>
      </c>
      <c r="G1285" t="inlineStr"/>
      <c r="H1285" t="inlineStr">
        <is>
          <t>80801 München - Schwabing-West</t>
        </is>
      </c>
      <c r="I1285" s="5" t="n">
        <v>45544</v>
      </c>
      <c r="J1285" t="inlineStr">
        <is>
          <t>Sold</t>
        </is>
      </c>
      <c r="K1285" s="6">
        <f>HYPERLINK("https://www.kleinanzeigen.de/s-anzeige/fanatic-sky-wing-5-4-95-l/2858223003-230-16374", "Link")</f>
        <v/>
      </c>
      <c r="L1285" s="6">
        <f>HYPERLINK("C:\Projects\Kleinanzeigen-Scraper\offer_images\2858223003", "Link")</f>
        <v/>
      </c>
      <c r="M1285" t="inlineStr">
        <is>
          <t>Aleksander Brdjanin</t>
        </is>
      </c>
      <c r="N1285" s="6">
        <f>HYPERLINK("https://www.kleinanzeigen.de/s-bestandsliste.html?userId=45130170", "Link")</f>
        <v/>
      </c>
      <c r="O1285" s="7" t="n">
        <v>45549.57854166667</v>
      </c>
      <c r="P1285" s="3" t="inlineStr">
        <is>
          <t>2.49</t>
        </is>
      </c>
      <c r="Q1285" t="inlineStr">
        <is>
          <t>München</t>
        </is>
      </c>
    </row>
    <row r="1286">
      <c r="A1286" t="inlineStr">
        <is>
          <t>250 cm</t>
        </is>
      </c>
      <c r="B1286" t="inlineStr">
        <is>
          <t>Naish Supercross</t>
        </is>
      </c>
      <c r="C1286" t="inlineStr">
        <is>
          <t>Wave</t>
        </is>
      </c>
      <c r="D1286" s="3" t="n">
        <v>85</v>
      </c>
      <c r="E1286" t="inlineStr"/>
      <c r="F1286" s="4" t="n">
        <v>70</v>
      </c>
      <c r="G1286" t="inlineStr">
        <is>
          <t>VB</t>
        </is>
      </c>
      <c r="H1286" t="inlineStr">
        <is>
          <t>23730 Kreis Ostholstein - Neustadt in Holstein</t>
        </is>
      </c>
      <c r="I1286" s="5" t="n">
        <v>45505</v>
      </c>
      <c r="J1286" t="inlineStr">
        <is>
          <t>Sold</t>
        </is>
      </c>
      <c r="K1286" s="6">
        <f>HYPERLINK("https://www.kleinanzeigen.de/s-anzeige/surfboard-naish/2826048708-230-13579", "Link")</f>
        <v/>
      </c>
      <c r="L1286" s="6">
        <f>HYPERLINK("C:\Projects\Kleinanzeigen-Scraper\offer_images\2826048708", "Link")</f>
        <v/>
      </c>
      <c r="M1286" t="inlineStr">
        <is>
          <t>Frank</t>
        </is>
      </c>
      <c r="N1286" s="6">
        <f>HYPERLINK("https://www.kleinanzeigen.de/s-bestandsliste.html?userId=24834991", "Link")</f>
        <v/>
      </c>
      <c r="O1286" s="7" t="n">
        <v>45549.57853009259</v>
      </c>
      <c r="P1286" s="3" t="inlineStr">
        <is>
          <t>441.08</t>
        </is>
      </c>
      <c r="Q1286" t="inlineStr">
        <is>
          <t>Köln</t>
        </is>
      </c>
    </row>
    <row r="1287">
      <c r="A1287" t="inlineStr">
        <is>
          <t>269 cm x 67 cm</t>
        </is>
      </c>
      <c r="B1287" t="inlineStr">
        <is>
          <t>Starboard RIO S</t>
        </is>
      </c>
      <c r="C1287" t="inlineStr">
        <is>
          <t>Freeride</t>
        </is>
      </c>
      <c r="D1287" s="3" t="n">
        <v>180</v>
      </c>
      <c r="E1287" t="inlineStr"/>
      <c r="F1287" s="4" t="n">
        <v>475</v>
      </c>
      <c r="G1287" t="inlineStr">
        <is>
          <t>VB</t>
        </is>
      </c>
      <c r="H1287" t="inlineStr">
        <is>
          <t>23769 Kreis Ostholstein - Fehmarn</t>
        </is>
      </c>
      <c r="I1287" s="5" t="n">
        <v>45546</v>
      </c>
      <c r="J1287" t="inlineStr">
        <is>
          <t>Sold</t>
        </is>
      </c>
      <c r="K1287" s="6">
        <f>HYPERLINK("https://www.kleinanzeigen.de/s-anzeige/starboard-rio-s-einsteiger-freerider-mit-180-l-wie-neu-/2860512384-230-19951", "Link")</f>
        <v/>
      </c>
      <c r="L1287" s="6">
        <f>HYPERLINK("C:\Projects\Kleinanzeigen-Scraper\offer_images\2860512384", "Link")</f>
        <v/>
      </c>
      <c r="M1287" t="inlineStr">
        <is>
          <t>Patchworkvaddi</t>
        </is>
      </c>
      <c r="N1287" s="6">
        <f>HYPERLINK("https://www.kleinanzeigen.de/s-bestandsliste.html?userId=16427049", "Link")</f>
        <v/>
      </c>
      <c r="O1287" s="7" t="n">
        <v>45549.57851851852</v>
      </c>
      <c r="P1287" s="3" t="inlineStr">
        <is>
          <t>483.01</t>
        </is>
      </c>
      <c r="Q1287" t="inlineStr">
        <is>
          <t>Köln</t>
        </is>
      </c>
    </row>
    <row r="1288">
      <c r="A1288" t="inlineStr">
        <is>
          <t>12'6 x 27.5'</t>
        </is>
      </c>
      <c r="B1288" t="inlineStr">
        <is>
          <t>Fanatic Ray Pure</t>
        </is>
      </c>
      <c r="C1288" t="inlineStr"/>
      <c r="D1288" s="3" t="inlineStr"/>
      <c r="E1288" t="inlineStr">
        <is>
          <t>2017</t>
        </is>
      </c>
      <c r="F1288" s="4" t="n">
        <v>800</v>
      </c>
      <c r="G1288" t="inlineStr"/>
      <c r="H1288" t="inlineStr">
        <is>
          <t>45529 Nordrhein-Westfalen - Hattingen</t>
        </is>
      </c>
      <c r="I1288" s="5" t="n">
        <v>45512</v>
      </c>
      <c r="J1288" t="inlineStr">
        <is>
          <t>Sold</t>
        </is>
      </c>
      <c r="K1288" s="6">
        <f>HYPERLINK("https://www.kleinanzeigen.de/s-anzeige/sup-hardboard-fanatic-ray-pure-light-2017/2831925158-230-1871", "Link")</f>
        <v/>
      </c>
      <c r="L1288" s="6">
        <f>HYPERLINK("C:\Projects\Kleinanzeigen-Scraper\offer_images\2831925158", "Link")</f>
        <v/>
      </c>
      <c r="M1288" t="inlineStr">
        <is>
          <t>Brenneisen</t>
        </is>
      </c>
      <c r="N1288" s="6">
        <f>HYPERLINK("https://www.kleinanzeigen.de/s-bestandsliste.html?userId=10169112", "Link")</f>
        <v/>
      </c>
      <c r="O1288" s="7" t="n">
        <v>45549.57850694445</v>
      </c>
      <c r="P1288" s="3" t="inlineStr">
        <is>
          <t>53.45</t>
        </is>
      </c>
      <c r="Q1288" t="inlineStr">
        <is>
          <t>Köln</t>
        </is>
      </c>
    </row>
    <row r="1289">
      <c r="A1289" t="inlineStr">
        <is>
          <t>225x75</t>
        </is>
      </c>
      <c r="B1289" t="inlineStr">
        <is>
          <t>Tabou Manta</t>
        </is>
      </c>
      <c r="C1289" t="inlineStr">
        <is>
          <t>Freeride</t>
        </is>
      </c>
      <c r="D1289" s="3" t="n">
        <v>115</v>
      </c>
      <c r="E1289" t="inlineStr"/>
      <c r="F1289" s="4" t="n">
        <v>259</v>
      </c>
      <c r="G1289" t="inlineStr">
        <is>
          <t>VB</t>
        </is>
      </c>
      <c r="H1289" t="inlineStr">
        <is>
          <t>25746 Dithmarschen - Lohe-Rickelshof</t>
        </is>
      </c>
      <c r="I1289" s="5" t="n">
        <v>45527</v>
      </c>
      <c r="J1289" t="inlineStr">
        <is>
          <t>Sold</t>
        </is>
      </c>
      <c r="K1289" s="6">
        <f>HYPERLINK("https://www.kleinanzeigen.de/s-anzeige/windsurfboard-tabou-manta-115l-225x75-surfbrett-surfboard/2843897007-230-16650", "Link")</f>
        <v/>
      </c>
      <c r="L1289" s="6">
        <f>HYPERLINK("C:\Projects\Kleinanzeigen-Scraper\offer_images\2843897007", "Link")</f>
        <v/>
      </c>
      <c r="M1289" t="inlineStr">
        <is>
          <t>M. Elsen</t>
        </is>
      </c>
      <c r="N1289" s="6">
        <f>HYPERLINK("https://www.kleinanzeigen.de/s-bestandsliste.html?userId=2258653", "Link")</f>
        <v/>
      </c>
      <c r="O1289" s="7" t="n">
        <v>45549.57850694445</v>
      </c>
      <c r="P1289" s="3" t="inlineStr">
        <is>
          <t>389.26</t>
        </is>
      </c>
      <c r="Q1289" t="inlineStr">
        <is>
          <t>Köln</t>
        </is>
      </c>
    </row>
    <row r="1290">
      <c r="A1290" t="inlineStr"/>
      <c r="B1290" t="inlineStr">
        <is>
          <t>Tabou Pocket Air MTE Team</t>
        </is>
      </c>
      <c r="C1290" t="inlineStr"/>
      <c r="D1290" s="3" t="inlineStr">
        <is>
          <t>67 or 77</t>
        </is>
      </c>
      <c r="E1290" t="inlineStr">
        <is>
          <t>2024</t>
        </is>
      </c>
      <c r="F1290" s="4" t="inlineStr"/>
      <c r="G1290" t="inlineStr">
        <is>
          <t>VB</t>
        </is>
      </c>
      <c r="H1290" t="inlineStr">
        <is>
          <t>50321 Nordrhein-Westfalen - Brühl</t>
        </is>
      </c>
      <c r="I1290" s="5" t="n">
        <v>45528</v>
      </c>
      <c r="J1290" t="inlineStr"/>
      <c r="K1290" s="6">
        <f>HYPERLINK("https://www.kleinanzeigen.de/s-anzeige/tabou-pocket-air-mte-team-67-77l/2845006846-230-1158", "Link")</f>
        <v/>
      </c>
      <c r="L1290" s="6">
        <f>HYPERLINK("C:\Projects\Kleinanzeigen-Scraper\offer_images\2845006846", "Link")</f>
        <v/>
      </c>
      <c r="M1290" t="inlineStr">
        <is>
          <t>Konstantin</t>
        </is>
      </c>
      <c r="N1290" s="6">
        <f>HYPERLINK("https://www.kleinanzeigen.de/s-bestandsliste.html?userId=87242418", "Link")</f>
        <v/>
      </c>
      <c r="O1290" s="7" t="n">
        <v>45549.57848379629</v>
      </c>
      <c r="P1290" s="3" t="inlineStr">
        <is>
          <t>14.26</t>
        </is>
      </c>
      <c r="Q1290" t="inlineStr">
        <is>
          <t>Köln</t>
        </is>
      </c>
    </row>
    <row r="1291">
      <c r="A1291" t="inlineStr">
        <is>
          <t>240x77 cm</t>
        </is>
      </c>
      <c r="B1291" t="inlineStr">
        <is>
          <t>Rrd Firestorm</t>
        </is>
      </c>
      <c r="C1291" t="inlineStr"/>
      <c r="D1291" s="3" t="n">
        <v>138</v>
      </c>
      <c r="E1291" t="inlineStr"/>
      <c r="F1291" s="4" t="n">
        <v>750</v>
      </c>
      <c r="G1291" t="inlineStr">
        <is>
          <t>VB</t>
        </is>
      </c>
      <c r="H1291" t="inlineStr">
        <is>
          <t>27578 Häfen - Bremerhaven</t>
        </is>
      </c>
      <c r="I1291" s="5" t="n">
        <v>45519</v>
      </c>
      <c r="J1291" t="inlineStr"/>
      <c r="K1291" s="6">
        <f>HYPERLINK("https://www.kleinanzeigen.de/s-anzeige/rrd-firestorm-138-ltd-windsurfboard/2837505695-230-54", "Link")</f>
        <v/>
      </c>
      <c r="L1291" s="6">
        <f>HYPERLINK("C:\Projects\Kleinanzeigen-Scraper\offer_images\2837505695", "Link")</f>
        <v/>
      </c>
      <c r="M1291" t="inlineStr">
        <is>
          <t>D. Hirtreiter</t>
        </is>
      </c>
      <c r="N1291" s="6">
        <f>HYPERLINK("https://www.kleinanzeigen.de/s-bestandsliste.html?userId=85975022", "Link")</f>
        <v/>
      </c>
      <c r="O1291" s="7" t="n">
        <v>45549.57848379629</v>
      </c>
      <c r="P1291" s="3" t="inlineStr">
        <is>
          <t>315.40</t>
        </is>
      </c>
      <c r="Q1291" t="inlineStr">
        <is>
          <t>Köln</t>
        </is>
      </c>
    </row>
    <row r="1292">
      <c r="A1292" t="inlineStr">
        <is>
          <t>12'6" x 31" x 6"</t>
        </is>
      </c>
      <c r="B1292" t="inlineStr">
        <is>
          <t>JP Australia CRUISAIR SL</t>
        </is>
      </c>
      <c r="C1292" t="inlineStr">
        <is>
          <t>Cruising, Touring</t>
        </is>
      </c>
      <c r="D1292" s="3" t="n">
        <v>333</v>
      </c>
      <c r="E1292" t="inlineStr"/>
      <c r="F1292" s="4" t="n">
        <v>325</v>
      </c>
      <c r="G1292" t="inlineStr"/>
      <c r="H1292" t="inlineStr">
        <is>
          <t>14770 Brandenburg - Brandenburg an der Havel</t>
        </is>
      </c>
      <c r="I1292" s="5" t="n">
        <v>45528</v>
      </c>
      <c r="J1292" t="inlineStr"/>
      <c r="K1292" s="6">
        <f>HYPERLINK("https://www.kleinanzeigen.de/s-anzeige/jp-australia-cruisair-sl-stand-up-paddle-sup-board-neuwertig/2844763319-230-7739", "Link")</f>
        <v/>
      </c>
      <c r="L1292" s="6">
        <f>HYPERLINK("C:\Projects\Kleinanzeigen-Scraper\offer_images\2844763319", "Link")</f>
        <v/>
      </c>
      <c r="M1292" t="inlineStr">
        <is>
          <t>Privat</t>
        </is>
      </c>
      <c r="N1292" s="6">
        <f>HYPERLINK("https://www.kleinanzeigen.de/s-bestandsliste.html?userId=126156405", "Link")</f>
        <v/>
      </c>
      <c r="O1292" s="7" t="n">
        <v>45549.57848379629</v>
      </c>
      <c r="P1292" s="3" t="inlineStr">
        <is>
          <t>416.86</t>
        </is>
      </c>
      <c r="Q1292" t="inlineStr">
        <is>
          <t>Köln</t>
        </is>
      </c>
    </row>
    <row r="1293">
      <c r="A1293" t="inlineStr">
        <is>
          <t>115</t>
        </is>
      </c>
      <c r="B1293" t="inlineStr">
        <is>
          <t>Severne Alien</t>
        </is>
      </c>
      <c r="C1293" t="inlineStr">
        <is>
          <t>Windfoil</t>
        </is>
      </c>
      <c r="D1293" s="3" t="n">
        <v>115</v>
      </c>
      <c r="E1293" t="inlineStr"/>
      <c r="F1293" s="4" t="n">
        <v>800</v>
      </c>
      <c r="G1293" t="inlineStr"/>
      <c r="H1293" t="inlineStr">
        <is>
          <t>78224 Baden-Württemberg - Singen</t>
        </is>
      </c>
      <c r="I1293" s="5" t="n">
        <v>45515</v>
      </c>
      <c r="J1293" t="inlineStr"/>
      <c r="K1293" s="6">
        <f>HYPERLINK("https://www.kleinanzeigen.de/s-anzeige/windfoil-severne-windsurf/2834445307-230-9397", "Link")</f>
        <v/>
      </c>
      <c r="L1293" s="6">
        <f>HYPERLINK("C:\Projects\Kleinanzeigen-Scraper\offer_images\2834445307", "Link")</f>
        <v/>
      </c>
      <c r="M1293" t="inlineStr">
        <is>
          <t>Kai</t>
        </is>
      </c>
      <c r="N1293" s="6">
        <f>HYPERLINK("https://www.kleinanzeigen.de/s-bestandsliste.html?userId=43376827", "Link")</f>
        <v/>
      </c>
      <c r="O1293" s="7" t="n">
        <v>45549.57848379629</v>
      </c>
      <c r="P1293" s="3" t="inlineStr">
        <is>
          <t>40.33</t>
        </is>
      </c>
      <c r="Q1293" t="inlineStr">
        <is>
          <t>Bonndorf</t>
        </is>
      </c>
    </row>
    <row r="1294">
      <c r="A1294" t="inlineStr"/>
      <c r="B1294" t="inlineStr">
        <is>
          <t>Starboard Kode Tufskin</t>
        </is>
      </c>
      <c r="C1294" t="inlineStr">
        <is>
          <t>Freeride</t>
        </is>
      </c>
      <c r="D1294" s="3" t="n">
        <v>137</v>
      </c>
      <c r="E1294" t="inlineStr"/>
      <c r="F1294" s="4" t="n">
        <v>180</v>
      </c>
      <c r="G1294" t="inlineStr"/>
      <c r="H1294" t="inlineStr">
        <is>
          <t>22941 Schleswig-Holstein - Bargteheide</t>
        </is>
      </c>
      <c r="I1294" s="5" t="n">
        <v>45514</v>
      </c>
      <c r="J1294" t="inlineStr">
        <is>
          <t>Sold</t>
        </is>
      </c>
      <c r="K1294" s="6">
        <f>HYPERLINK("https://www.kleinanzeigen.de/s-anzeige/surfbrett-starboard-kode-tufskin-137-liter/2833485360-230-903", "Link")</f>
        <v/>
      </c>
      <c r="L1294" s="6">
        <f>HYPERLINK("C:\Projects\Kleinanzeigen-Scraper\offer_images\2833485360", "Link")</f>
        <v/>
      </c>
      <c r="M1294" t="inlineStr">
        <is>
          <t>Klaus</t>
        </is>
      </c>
      <c r="N1294" s="6">
        <f>HYPERLINK("https://www.kleinanzeigen.de/s-bestandsliste.html?userId=139191909", "Link")</f>
        <v/>
      </c>
      <c r="O1294" s="7" t="n">
        <v>45549.57848379629</v>
      </c>
      <c r="P1294" s="3" t="inlineStr">
        <is>
          <t>382.34</t>
        </is>
      </c>
      <c r="Q1294" t="inlineStr">
        <is>
          <t>Köln</t>
        </is>
      </c>
    </row>
    <row r="1295">
      <c r="A1295" t="inlineStr">
        <is>
          <t>245 cm x 63 cm</t>
        </is>
      </c>
      <c r="B1295" t="inlineStr">
        <is>
          <t>Fanatic SHARK</t>
        </is>
      </c>
      <c r="C1295" t="inlineStr">
        <is>
          <t>Freeride</t>
        </is>
      </c>
      <c r="D1295" s="3" t="n">
        <v>100</v>
      </c>
      <c r="E1295" t="inlineStr"/>
      <c r="F1295" s="4" t="n">
        <v>250</v>
      </c>
      <c r="G1295" t="inlineStr">
        <is>
          <t>VB</t>
        </is>
      </c>
      <c r="H1295" t="inlineStr">
        <is>
          <t>23769 Kreis Ostholstein - Fehmarn</t>
        </is>
      </c>
      <c r="I1295" s="5" t="n">
        <v>45546</v>
      </c>
      <c r="J1295" t="inlineStr">
        <is>
          <t>Sold</t>
        </is>
      </c>
      <c r="K1295" s="6">
        <f>HYPERLINK("https://www.kleinanzeigen.de/s-anzeige/fanatic-shark-100-top-freerider-mit-100-l/2860526730-230-19951", "Link")</f>
        <v/>
      </c>
      <c r="L1295" s="6">
        <f>HYPERLINK("C:\Projects\Kleinanzeigen-Scraper\offer_images\2860526730", "Link")</f>
        <v/>
      </c>
      <c r="M1295" t="inlineStr">
        <is>
          <t>Patchworkvaddi</t>
        </is>
      </c>
      <c r="N1295" s="6">
        <f>HYPERLINK("https://www.kleinanzeigen.de/s-bestandsliste.html?userId=16427049", "Link")</f>
        <v/>
      </c>
      <c r="O1295" s="7" t="n">
        <v>45549.57846064815</v>
      </c>
      <c r="P1295" s="3" t="inlineStr">
        <is>
          <t>483.01</t>
        </is>
      </c>
      <c r="Q1295" t="inlineStr">
        <is>
          <t>Köln</t>
        </is>
      </c>
    </row>
    <row r="1296">
      <c r="A1296" t="inlineStr"/>
      <c r="B1296" t="inlineStr">
        <is>
          <t>RRD Contest Wave Cult</t>
        </is>
      </c>
      <c r="C1296" t="inlineStr">
        <is>
          <t>Wave</t>
        </is>
      </c>
      <c r="D1296" s="3" t="n">
        <v>83</v>
      </c>
      <c r="E1296" t="inlineStr"/>
      <c r="F1296" s="4" t="n">
        <v>350</v>
      </c>
      <c r="G1296" t="inlineStr"/>
      <c r="H1296" t="inlineStr">
        <is>
          <t>26160 Niedersachsen - Bad Zwischenahn</t>
        </is>
      </c>
      <c r="I1296" s="5" t="n">
        <v>45515</v>
      </c>
      <c r="J1296" t="inlineStr"/>
      <c r="K1296" s="6">
        <f>HYPERLINK("https://www.kleinanzeigen.de/s-anzeige/rrd-contest-wave-cult-83-ltr/2834708758-230-2601", "Link")</f>
        <v/>
      </c>
      <c r="L1296" s="6">
        <f>HYPERLINK("C:\Projects\Kleinanzeigen-Scraper\offer_images\2834708758", "Link")</f>
        <v/>
      </c>
      <c r="M1296" t="inlineStr">
        <is>
          <t>Alex</t>
        </is>
      </c>
      <c r="N1296" s="6">
        <f>HYPERLINK("https://www.kleinanzeigen.de/s-bestandsliste.html?userId=41508818", "Link")</f>
        <v/>
      </c>
      <c r="O1296" s="7" t="n">
        <v>45549.57846064815</v>
      </c>
      <c r="P1296" s="3" t="inlineStr">
        <is>
          <t>260.27</t>
        </is>
      </c>
      <c r="Q1296" t="inlineStr">
        <is>
          <t>Köln</t>
        </is>
      </c>
    </row>
    <row r="1297">
      <c r="A1297" t="inlineStr">
        <is>
          <t>275cm</t>
        </is>
      </c>
      <c r="B1297" t="inlineStr">
        <is>
          <t>RRD Roberto Ricci Design</t>
        </is>
      </c>
      <c r="C1297" t="inlineStr">
        <is>
          <t>Longboard</t>
        </is>
      </c>
      <c r="D1297" s="3" t="inlineStr"/>
      <c r="E1297" t="inlineStr"/>
      <c r="F1297" s="4" t="n">
        <v>210</v>
      </c>
      <c r="G1297" t="inlineStr">
        <is>
          <t>VB</t>
        </is>
      </c>
      <c r="H1297" t="inlineStr">
        <is>
          <t>48565 Nordrhein-Westfalen - Steinfurt</t>
        </is>
      </c>
      <c r="I1297" s="5" t="n">
        <v>45529</v>
      </c>
      <c r="J1297" t="inlineStr"/>
      <c r="K1297" s="6">
        <f>HYPERLINK("https://www.kleinanzeigen.de/s-anzeige/wellenreiter-rrd-roberto-ricci-design-275cm-longboard/2845827663-230-1294", "Link")</f>
        <v/>
      </c>
      <c r="L1297" s="6">
        <f>HYPERLINK("C:\Projects\Kleinanzeigen-Scraper\offer_images\2845827663", "Link")</f>
        <v/>
      </c>
      <c r="M1297" t="inlineStr">
        <is>
          <t>TW</t>
        </is>
      </c>
      <c r="N1297" s="6">
        <f>HYPERLINK("https://www.kleinanzeigen.de/s-bestandsliste.html?userId=8464022", "Link")</f>
        <v/>
      </c>
      <c r="O1297" s="7" t="n">
        <v>45549.5784375</v>
      </c>
      <c r="P1297" s="3" t="inlineStr">
        <is>
          <t>138.19</t>
        </is>
      </c>
      <c r="Q1297" t="inlineStr">
        <is>
          <t>Köln</t>
        </is>
      </c>
    </row>
    <row r="1298">
      <c r="A1298" t="inlineStr">
        <is>
          <t>226 x 61</t>
        </is>
      </c>
      <c r="B1298" t="inlineStr">
        <is>
          <t>Starboard Kode</t>
        </is>
      </c>
      <c r="C1298" t="inlineStr">
        <is>
          <t>Freestyle</t>
        </is>
      </c>
      <c r="D1298" s="3" t="n">
        <v>93</v>
      </c>
      <c r="E1298" t="inlineStr"/>
      <c r="F1298" s="4" t="n">
        <v>500</v>
      </c>
      <c r="G1298" t="inlineStr"/>
      <c r="H1298" t="inlineStr">
        <is>
          <t>51069 Köln - Köln Dellbrück</t>
        </is>
      </c>
      <c r="I1298" s="5" t="n">
        <v>45515</v>
      </c>
      <c r="J1298" t="inlineStr"/>
      <c r="K1298" s="6">
        <f>HYPERLINK("https://www.kleinanzeigen.de/s-anzeige/starboard-kode-93-mit-bag-und-6-finnen/2834868518-230-18689", "Link")</f>
        <v/>
      </c>
      <c r="L1298" s="6">
        <f>HYPERLINK("C:\Projects\Kleinanzeigen-Scraper\offer_images\2834868518", "Link")</f>
        <v/>
      </c>
      <c r="M1298" t="inlineStr">
        <is>
          <t>Markus Gickler</t>
        </is>
      </c>
      <c r="N1298" s="6">
        <f>HYPERLINK("https://www.kleinanzeigen.de/s-bestandsliste.html?userId=15875640", "Link")</f>
        <v/>
      </c>
      <c r="O1298" s="7" t="n">
        <v>45549.57842592592</v>
      </c>
      <c r="P1298" s="3" t="inlineStr">
        <is>
          <t>9.37</t>
        </is>
      </c>
      <c r="Q1298" t="inlineStr">
        <is>
          <t>Köln</t>
        </is>
      </c>
    </row>
    <row r="1299">
      <c r="A1299" t="inlineStr"/>
      <c r="B1299" t="inlineStr">
        <is>
          <t>Starboard Carve</t>
        </is>
      </c>
      <c r="C1299" t="inlineStr">
        <is>
          <t>Freeride</t>
        </is>
      </c>
      <c r="D1299" s="3" t="n">
        <v>141</v>
      </c>
      <c r="E1299" t="inlineStr">
        <is>
          <t>2015</t>
        </is>
      </c>
      <c r="F1299" s="4" t="n">
        <v>590</v>
      </c>
      <c r="G1299" t="inlineStr">
        <is>
          <t>VB</t>
        </is>
      </c>
      <c r="H1299" t="inlineStr">
        <is>
          <t>31515 Niedersachsen - Wunstorf</t>
        </is>
      </c>
      <c r="I1299" s="5" t="n">
        <v>45527</v>
      </c>
      <c r="J1299" t="inlineStr"/>
      <c r="K1299" s="6">
        <f>HYPERLINK("https://www.kleinanzeigen.de/s-anzeige/starboard-carve-carbon-141l-2015-/2844250348-230-2930", "Link")</f>
        <v/>
      </c>
      <c r="L1299" s="6">
        <f>HYPERLINK("C:\Projects\Kleinanzeigen-Scraper\offer_images\2844250348", "Link")</f>
        <v/>
      </c>
      <c r="M1299" t="inlineStr">
        <is>
          <t>Justin H.</t>
        </is>
      </c>
      <c r="N1299" s="6">
        <f>HYPERLINK("https://www.kleinanzeigen.de/s-bestandsliste.html?userId=61877235", "Link")</f>
        <v/>
      </c>
      <c r="O1299" s="7" t="n">
        <v>45549.57841435185</v>
      </c>
      <c r="P1299" s="3" t="inlineStr">
        <is>
          <t>236.47</t>
        </is>
      </c>
      <c r="Q1299" t="inlineStr">
        <is>
          <t>Köln</t>
        </is>
      </c>
    </row>
    <row r="1300">
      <c r="A1300" t="inlineStr">
        <is>
          <t>14' x 23'</t>
        </is>
      </c>
      <c r="B1300" t="inlineStr">
        <is>
          <t>Starboard Sprint</t>
        </is>
      </c>
      <c r="C1300" t="inlineStr">
        <is>
          <t>Race</t>
        </is>
      </c>
      <c r="D1300" s="3" t="inlineStr"/>
      <c r="E1300" t="inlineStr"/>
      <c r="F1300" s="4" t="n">
        <v>649</v>
      </c>
      <c r="G1300" t="inlineStr">
        <is>
          <t>VB</t>
        </is>
      </c>
      <c r="H1300" t="inlineStr">
        <is>
          <t>44787 Bochum - Bochum-Mitte</t>
        </is>
      </c>
      <c r="I1300" s="5" t="n">
        <v>45520</v>
      </c>
      <c r="J1300" t="inlineStr"/>
      <c r="K1300" s="6">
        <f>HYPERLINK("https://www.kleinanzeigen.de/s-anzeige/starboard-sprint-14-x-23-sup-race/2838081015-230-1946", "Link")</f>
        <v/>
      </c>
      <c r="L1300" s="6">
        <f>HYPERLINK("C:\Projects\Kleinanzeigen-Scraper\offer_images\2838081015", "Link")</f>
        <v/>
      </c>
      <c r="M1300" t="inlineStr">
        <is>
          <t>Milanka Linde</t>
        </is>
      </c>
      <c r="N1300" s="6">
        <f>HYPERLINK("https://www.kleinanzeigen.de/s-bestandsliste.html?userId=49164231", "Link")</f>
        <v/>
      </c>
      <c r="O1300" s="7" t="n">
        <v>45549.57841435185</v>
      </c>
      <c r="P1300" s="3" t="inlineStr">
        <is>
          <t>63.06</t>
        </is>
      </c>
      <c r="Q1300" t="inlineStr">
        <is>
          <t>Köln</t>
        </is>
      </c>
    </row>
    <row r="1301">
      <c r="A1301" t="inlineStr">
        <is>
          <t>245 x 65.5</t>
        </is>
      </c>
      <c r="B1301" t="inlineStr">
        <is>
          <t>JP Australia Allride</t>
        </is>
      </c>
      <c r="C1301" t="inlineStr">
        <is>
          <t>Freeride</t>
        </is>
      </c>
      <c r="D1301" s="3" t="n">
        <v>116</v>
      </c>
      <c r="E1301" t="inlineStr"/>
      <c r="F1301" s="4" t="n">
        <v>250</v>
      </c>
      <c r="G1301" t="inlineStr">
        <is>
          <t>VB</t>
        </is>
      </c>
      <c r="H1301" t="inlineStr">
        <is>
          <t>87763 Bayern - Lautrach</t>
        </is>
      </c>
      <c r="I1301" s="5" t="n">
        <v>45515</v>
      </c>
      <c r="J1301" t="inlineStr"/>
      <c r="K1301" s="6">
        <f>HYPERLINK("https://www.kleinanzeigen.de/s-anzeige/jp-australia-allride-116-es-windsurf-surfboard-surfbrett/2834022916-230-7285", "Link")</f>
        <v/>
      </c>
      <c r="L1301" s="6">
        <f>HYPERLINK("C:\Projects\Kleinanzeigen-Scraper\offer_images\2834022916", "Link")</f>
        <v/>
      </c>
      <c r="M1301" t="inlineStr">
        <is>
          <t>Fabian Rauh</t>
        </is>
      </c>
      <c r="N1301" s="6">
        <f>HYPERLINK("https://www.kleinanzeigen.de/s-bestandsliste.html?userId=138751908", "Link")</f>
        <v/>
      </c>
      <c r="O1301" s="7" t="n">
        <v>45549.57841435185</v>
      </c>
      <c r="P1301" s="3" t="inlineStr">
        <is>
          <t>111.59</t>
        </is>
      </c>
      <c r="Q1301" t="inlineStr">
        <is>
          <t>München</t>
        </is>
      </c>
    </row>
    <row r="1302">
      <c r="A1302" t="inlineStr">
        <is>
          <t>231 cm x 76 cm</t>
        </is>
      </c>
      <c r="B1302" t="inlineStr">
        <is>
          <t>Fanatic Blast HRS</t>
        </is>
      </c>
      <c r="C1302" t="inlineStr">
        <is>
          <t>Freeride</t>
        </is>
      </c>
      <c r="D1302" s="3" t="n">
        <v>115</v>
      </c>
      <c r="E1302" t="inlineStr">
        <is>
          <t>2021</t>
        </is>
      </c>
      <c r="F1302" s="4" t="n">
        <v>499</v>
      </c>
      <c r="G1302" t="inlineStr">
        <is>
          <t>VB</t>
        </is>
      </c>
      <c r="H1302" t="inlineStr">
        <is>
          <t>23769 Fehmarn - Westfehmarn</t>
        </is>
      </c>
      <c r="I1302" s="5" t="n">
        <v>45566</v>
      </c>
      <c r="J1302" t="inlineStr"/>
      <c r="K1302" s="6">
        <f>HYPERLINK("https://www.kleinanzeigen.de/s-anzeige/fanatic-blast-hrs-115l/2752442490-230-430", "Link")</f>
        <v/>
      </c>
      <c r="L1302" s="6">
        <f>HYPERLINK("C:\Projects\Kleinanzeigen-Scraper\offer_images\2752442490", "Link")</f>
        <v/>
      </c>
      <c r="M1302" t="inlineStr">
        <is>
          <t>No user name</t>
        </is>
      </c>
      <c r="N1302" s="6">
        <f>HYPERLINK("https://www.kleinanzeigen.deNo user link", "Link")</f>
        <v/>
      </c>
      <c r="O1302" s="7" t="n">
        <v>45549.57841435185</v>
      </c>
      <c r="P1302" s="3" t="inlineStr">
        <is>
          <t>483.01</t>
        </is>
      </c>
      <c r="Q1302" t="inlineStr">
        <is>
          <t>Köln</t>
        </is>
      </c>
    </row>
    <row r="1303">
      <c r="A1303" t="inlineStr">
        <is>
          <t>132</t>
        </is>
      </c>
      <c r="B1303" t="inlineStr">
        <is>
          <t>Duotone Soleil</t>
        </is>
      </c>
      <c r="C1303" t="inlineStr">
        <is>
          <t>Kiteboard</t>
        </is>
      </c>
      <c r="D1303" s="3" t="inlineStr"/>
      <c r="E1303" t="inlineStr">
        <is>
          <t>2024</t>
        </is>
      </c>
      <c r="F1303" s="4" t="n">
        <v>649</v>
      </c>
      <c r="G1303" t="inlineStr">
        <is>
          <t>VB</t>
        </is>
      </c>
      <c r="H1303" t="inlineStr">
        <is>
          <t>26125 Niedersachsen - Oldenburg</t>
        </is>
      </c>
      <c r="I1303" s="5" t="n">
        <v>45545</v>
      </c>
      <c r="J1303" t="inlineStr">
        <is>
          <t>Sold</t>
        </is>
      </c>
      <c r="K1303" s="6">
        <f>HYPERLINK("https://www.kleinanzeigen.de/s-anzeige/duotone-kiteboard-soleil-inkl-ntt-bindung-s-m-2024-132/2859566802-230-3111", "Link")</f>
        <v/>
      </c>
      <c r="L1303" s="6">
        <f>HYPERLINK("C:\Projects\Kleinanzeigen-Scraper\offer_images\2859566802", "Link")</f>
        <v/>
      </c>
      <c r="M1303" t="inlineStr">
        <is>
          <t>No user name</t>
        </is>
      </c>
      <c r="N1303" s="6">
        <f>HYPERLINK("https://www.kleinanzeigen.deNo user link", "Link")</f>
        <v/>
      </c>
      <c r="O1303" s="7" t="n">
        <v>45549.57836805555</v>
      </c>
      <c r="P1303" s="3" t="inlineStr">
        <is>
          <t>264.10</t>
        </is>
      </c>
      <c r="Q1303" t="inlineStr">
        <is>
          <t>Köln</t>
        </is>
      </c>
    </row>
    <row r="1304">
      <c r="A1304" t="inlineStr">
        <is>
          <t>360</t>
        </is>
      </c>
      <c r="B1304" t="inlineStr">
        <is>
          <t>Xantos</t>
        </is>
      </c>
      <c r="C1304" t="inlineStr"/>
      <c r="D1304" s="3" t="inlineStr"/>
      <c r="E1304" t="inlineStr"/>
      <c r="F1304" s="4" t="n">
        <v>195</v>
      </c>
      <c r="G1304" t="inlineStr"/>
      <c r="H1304" t="inlineStr">
        <is>
          <t>87549 Bayern - Rettenberg</t>
        </is>
      </c>
      <c r="I1304" s="5" t="n">
        <v>45517</v>
      </c>
      <c r="J1304" t="inlineStr"/>
      <c r="K1304" s="6">
        <f>HYPERLINK("https://www.kleinanzeigen.de/s-anzeige/xantos-360-neilpryde/2836278202-230-5531", "Link")</f>
        <v/>
      </c>
      <c r="L1304" s="6">
        <f>HYPERLINK("C:\Projects\Kleinanzeigen-Scraper\offer_images\2836278202", "Link")</f>
        <v/>
      </c>
      <c r="M1304" t="inlineStr">
        <is>
          <t>Flick E.</t>
        </is>
      </c>
      <c r="N1304" s="6">
        <f>HYPERLINK("https://www.kleinanzeigen.de/s-bestandsliste.html?userId=94240633", "Link")</f>
        <v/>
      </c>
      <c r="O1304" s="7" t="n">
        <v>45549.57836805555</v>
      </c>
      <c r="P1304" s="3" t="inlineStr">
        <is>
          <t>114.30</t>
        </is>
      </c>
      <c r="Q1304" t="inlineStr">
        <is>
          <t>München</t>
        </is>
      </c>
    </row>
    <row r="1305">
      <c r="A1305" t="inlineStr"/>
      <c r="B1305" t="inlineStr">
        <is>
          <t>HTS Superfast L</t>
        </is>
      </c>
      <c r="C1305" t="inlineStr">
        <is>
          <t>Racing</t>
        </is>
      </c>
      <c r="D1305" s="3" t="n">
        <v>140</v>
      </c>
      <c r="E1305" t="inlineStr"/>
      <c r="F1305" s="4" t="n">
        <v>275</v>
      </c>
      <c r="G1305" t="inlineStr"/>
      <c r="H1305" t="inlineStr">
        <is>
          <t>22397 Wandsbek - Hamburg Lemsahl-Mellingstedt</t>
        </is>
      </c>
      <c r="I1305" s="5" t="n">
        <v>45530</v>
      </c>
      <c r="J1305" t="inlineStr">
        <is>
          <t>Sold</t>
        </is>
      </c>
      <c r="K1305" s="6">
        <f>HYPERLINK("https://www.kleinanzeigen.de/s-anzeige/windsurfboard-hts-superfast-l-aehnlich-jp-fanatic-tabou/2846897265-230-21154", "Link")</f>
        <v/>
      </c>
      <c r="L1305" s="6">
        <f>HYPERLINK("C:\Projects\Kleinanzeigen-Scraper\offer_images\2846897265", "Link")</f>
        <v/>
      </c>
      <c r="M1305" t="inlineStr">
        <is>
          <t>Tomforde</t>
        </is>
      </c>
      <c r="N1305" s="6">
        <f>HYPERLINK("https://www.kleinanzeigen.de/s-bestandsliste.html?userId=28665098", "Link")</f>
        <v/>
      </c>
      <c r="O1305" s="7" t="n">
        <v>45549.57835648148</v>
      </c>
      <c r="P1305" s="3" t="inlineStr">
        <is>
          <t>373.25</t>
        </is>
      </c>
      <c r="Q1305" t="inlineStr">
        <is>
          <t>Köln</t>
        </is>
      </c>
    </row>
    <row r="1306">
      <c r="A1306" t="inlineStr">
        <is>
          <t>236 x 85 cm</t>
        </is>
      </c>
      <c r="B1306" t="inlineStr">
        <is>
          <t>RRD Firemove LTE</t>
        </is>
      </c>
      <c r="C1306" t="inlineStr">
        <is>
          <t>Freemove</t>
        </is>
      </c>
      <c r="D1306" s="3" t="n">
        <v>135</v>
      </c>
      <c r="E1306" t="inlineStr">
        <is>
          <t>2022</t>
        </is>
      </c>
      <c r="F1306" s="4" t="n">
        <v>1.29</v>
      </c>
      <c r="G1306" t="inlineStr"/>
      <c r="H1306" t="inlineStr">
        <is>
          <t>38477 Niedersachsen - Jembke</t>
        </is>
      </c>
      <c r="I1306" s="5" t="n">
        <v>45529</v>
      </c>
      <c r="J1306" t="inlineStr"/>
      <c r="K1306" s="6">
        <f>HYPERLINK("https://www.kleinanzeigen.de/s-anzeige/windsurfboard-rrd-firemove-lte-2022-135-l-/2846205412-230-3088", "Link")</f>
        <v/>
      </c>
      <c r="L1306" s="6">
        <f>HYPERLINK("C:\Projects\Kleinanzeigen-Scraper\offer_images\2846205412", "Link")</f>
        <v/>
      </c>
      <c r="M1306" t="inlineStr">
        <is>
          <t>Holger</t>
        </is>
      </c>
      <c r="N1306" s="6">
        <f>HYPERLINK("https://www.kleinanzeigen.de/s-bestandsliste.html?userId=57318661", "Link")</f>
        <v/>
      </c>
      <c r="O1306" s="7" t="n">
        <v>45549.57833333333</v>
      </c>
      <c r="P1306" s="3" t="inlineStr">
        <is>
          <t>314.62</t>
        </is>
      </c>
      <c r="Q1306" t="inlineStr">
        <is>
          <t>Köln</t>
        </is>
      </c>
    </row>
    <row r="1307">
      <c r="A1307" t="inlineStr">
        <is>
          <t>233 cm x 78 cm</t>
        </is>
      </c>
      <c r="B1307" t="inlineStr">
        <is>
          <t>JP Australia FSW</t>
        </is>
      </c>
      <c r="C1307" t="inlineStr">
        <is>
          <t>Freestyle Wave</t>
        </is>
      </c>
      <c r="D1307" s="3" t="n">
        <v>85</v>
      </c>
      <c r="E1307" t="inlineStr"/>
      <c r="F1307" s="4" t="n">
        <v>270</v>
      </c>
      <c r="G1307" t="inlineStr"/>
      <c r="H1307" t="inlineStr">
        <is>
          <t>24105 Schleswig-Holstein - Kiel</t>
        </is>
      </c>
      <c r="I1307" s="5" t="n">
        <v>45529</v>
      </c>
      <c r="J1307" t="inlineStr"/>
      <c r="K1307" s="6">
        <f>HYPERLINK("https://www.kleinanzeigen.de/s-anzeige/jp-australia-fsw-85/2845599219-230-708", "Link")</f>
        <v/>
      </c>
      <c r="L1307" s="6">
        <f>HYPERLINK("C:\Projects\Kleinanzeigen-Scraper\offer_images\2845599219", "Link")</f>
        <v/>
      </c>
      <c r="M1307" t="inlineStr">
        <is>
          <t>Jan H.</t>
        </is>
      </c>
      <c r="N1307" s="6">
        <f>HYPERLINK("https://www.kleinanzeigen.de/s-bestandsliste.html?userId=85081129", "Link")</f>
        <v/>
      </c>
      <c r="O1307" s="7" t="n">
        <v>45549.57831018518</v>
      </c>
      <c r="P1307" s="3" t="inlineStr">
        <is>
          <t>435.05</t>
        </is>
      </c>
      <c r="Q1307" t="inlineStr">
        <is>
          <t>Köln</t>
        </is>
      </c>
    </row>
    <row r="1308">
      <c r="A1308" t="inlineStr"/>
      <c r="B1308" t="inlineStr">
        <is>
          <t>JP Australia Ultimate Wave Pro</t>
        </is>
      </c>
      <c r="C1308" t="inlineStr">
        <is>
          <t>Wave</t>
        </is>
      </c>
      <c r="D1308" s="3" t="n">
        <v>75</v>
      </c>
      <c r="E1308" t="inlineStr"/>
      <c r="F1308" s="4" t="n">
        <v>750</v>
      </c>
      <c r="G1308" t="inlineStr">
        <is>
          <t>VB</t>
        </is>
      </c>
      <c r="H1308" t="inlineStr">
        <is>
          <t>13465 Berlin - Reinickendorf</t>
        </is>
      </c>
      <c r="I1308" s="5" t="n">
        <v>45475</v>
      </c>
      <c r="J1308" t="inlineStr"/>
      <c r="K1308" s="6">
        <f>HYPERLINK("https://www.kleinanzeigen.de/s-anzeige/jp-australia-ultimate-wave-pro-75-l-so-gut-wie-neu-/2802313674-230-3454", "Link")</f>
        <v/>
      </c>
      <c r="L1308" s="6">
        <f>HYPERLINK("C:\Projects\Kleinanzeigen-Scraper\offer_images\2802313674", "Link")</f>
        <v/>
      </c>
      <c r="M1308" t="inlineStr">
        <is>
          <t>Markus</t>
        </is>
      </c>
      <c r="N1308" s="6">
        <f>HYPERLINK("https://www.kleinanzeigen.de/s-bestandsliste.html?userId=18401386", "Link")</f>
        <v/>
      </c>
      <c r="O1308" s="7" t="n">
        <v>45549.57831018518</v>
      </c>
      <c r="P1308" s="3" t="inlineStr">
        <is>
          <t>474.46</t>
        </is>
      </c>
      <c r="Q1308" t="inlineStr">
        <is>
          <t>Köln</t>
        </is>
      </c>
    </row>
    <row r="1309">
      <c r="A1309" t="inlineStr">
        <is>
          <t>240x87</t>
        </is>
      </c>
      <c r="B1309" t="inlineStr">
        <is>
          <t>RRD Firemove</t>
        </is>
      </c>
      <c r="C1309" t="inlineStr">
        <is>
          <t>foil ready</t>
        </is>
      </c>
      <c r="D1309" s="3" t="n">
        <v>155</v>
      </c>
      <c r="E1309" t="inlineStr">
        <is>
          <t>2022</t>
        </is>
      </c>
      <c r="F1309" s="4" t="n">
        <v>799</v>
      </c>
      <c r="G1309" t="inlineStr">
        <is>
          <t>VB</t>
        </is>
      </c>
      <c r="H1309" t="inlineStr">
        <is>
          <t>07768 Thüringen - Saale-Holzland-Kreis</t>
        </is>
      </c>
      <c r="I1309" s="5" t="n">
        <v>45160</v>
      </c>
      <c r="J1309" t="inlineStr">
        <is>
          <t>Sold</t>
        </is>
      </c>
      <c r="K1309" s="6">
        <f>HYPERLINK("https://www.kleinanzeigen.de/s-anzeige/preissenkung-rrd-surfboard-240x87-155l-foil-ready/2526809676-230-22001", "Link")</f>
        <v/>
      </c>
      <c r="L1309" s="6">
        <f>HYPERLINK("C:\Projects\Kleinanzeigen-Scraper\offer_images\2526809676", "Link")</f>
        <v/>
      </c>
      <c r="M1309" t="inlineStr">
        <is>
          <t>Frank</t>
        </is>
      </c>
      <c r="N1309" s="6">
        <f>HYPERLINK("https://www.kleinanzeigen.de/s-bestandsliste.html?userId=1876384", "Link")</f>
        <v/>
      </c>
      <c r="O1309" s="7" t="n">
        <v>45549.57831018518</v>
      </c>
      <c r="P1309" s="3" t="inlineStr">
        <is>
          <t>296.21</t>
        </is>
      </c>
      <c r="Q1309" t="inlineStr">
        <is>
          <t>München</t>
        </is>
      </c>
    </row>
    <row r="1310">
      <c r="A1310" t="inlineStr"/>
      <c r="B1310" t="inlineStr">
        <is>
          <t>RRD Firewave</t>
        </is>
      </c>
      <c r="C1310" t="inlineStr">
        <is>
          <t>Wave</t>
        </is>
      </c>
      <c r="D1310" s="3" t="n">
        <v>82</v>
      </c>
      <c r="E1310" t="inlineStr"/>
      <c r="F1310" s="4" t="n">
        <v>180</v>
      </c>
      <c r="G1310" t="inlineStr">
        <is>
          <t>VB</t>
        </is>
      </c>
      <c r="H1310" t="inlineStr">
        <is>
          <t>24116 Kiel - Schreventeich-Hasseldieksdamm</t>
        </is>
      </c>
      <c r="I1310" s="5" t="n">
        <v>45544</v>
      </c>
      <c r="J1310" t="inlineStr"/>
      <c r="K1310" s="6">
        <f>HYPERLINK("https://www.kleinanzeigen.de/s-anzeige/rrd-firewave-82-l-ltd-waveboard/2858437943-230-703", "Link")</f>
        <v/>
      </c>
      <c r="L1310" s="6">
        <f>HYPERLINK("C:\Projects\Kleinanzeigen-Scraper\offer_images\2858437943", "Link")</f>
        <v/>
      </c>
      <c r="M1310" t="inlineStr">
        <is>
          <t>Uli</t>
        </is>
      </c>
      <c r="N1310" s="6">
        <f>HYPERLINK("https://www.kleinanzeigen.de/s-bestandsliste.html?userId=7724755", "Link")</f>
        <v/>
      </c>
      <c r="O1310" s="7" t="n">
        <v>45549.57828703704</v>
      </c>
      <c r="P1310" s="3" t="inlineStr">
        <is>
          <t>432.62</t>
        </is>
      </c>
      <c r="Q1310" t="inlineStr">
        <is>
          <t>Köln</t>
        </is>
      </c>
    </row>
    <row r="1311">
      <c r="A1311" t="inlineStr"/>
      <c r="B1311" t="inlineStr">
        <is>
          <t>JP Australia</t>
        </is>
      </c>
      <c r="C1311" t="inlineStr">
        <is>
          <t>Wave</t>
        </is>
      </c>
      <c r="D1311" s="3" t="n">
        <v>83</v>
      </c>
      <c r="E1311" t="inlineStr"/>
      <c r="F1311" s="4" t="n">
        <v>85</v>
      </c>
      <c r="G1311" t="inlineStr">
        <is>
          <t>VB</t>
        </is>
      </c>
      <c r="H1311" t="inlineStr">
        <is>
          <t>12621 Berlin - Hellersdorf</t>
        </is>
      </c>
      <c r="I1311" s="5" t="n">
        <v>45027</v>
      </c>
      <c r="J1311" t="inlineStr"/>
      <c r="K1311" s="6">
        <f>HYPERLINK("https://www.kleinanzeigen.de/s-anzeige/jp-australia-waveboard-windsurfboard-83l/2412048488-230-3513", "Link")</f>
        <v/>
      </c>
      <c r="L1311" s="6">
        <f>HYPERLINK("C:\Projects\Kleinanzeigen-Scraper\offer_images\2412048488", "Link")</f>
        <v/>
      </c>
      <c r="M1311" t="inlineStr">
        <is>
          <t>Rica Bischof</t>
        </is>
      </c>
      <c r="N1311" s="6">
        <f>HYPERLINK("https://www.kleinanzeigen.de/s-bestandsliste.html?userId=32931406", "Link")</f>
        <v/>
      </c>
      <c r="O1311" s="7" t="n">
        <v>45549.57825231482</v>
      </c>
      <c r="P1311" s="3" t="inlineStr">
        <is>
          <t>488.85</t>
        </is>
      </c>
      <c r="Q1311" t="inlineStr">
        <is>
          <t>Köln</t>
        </is>
      </c>
    </row>
    <row r="1312">
      <c r="A1312" t="inlineStr">
        <is>
          <t>250x68 cm</t>
        </is>
      </c>
      <c r="B1312" t="inlineStr">
        <is>
          <t>Rrd Freestyle Wave</t>
        </is>
      </c>
      <c r="C1312" t="inlineStr">
        <is>
          <t>Freestyle Wave</t>
        </is>
      </c>
      <c r="D1312" s="3" t="n">
        <v>120</v>
      </c>
      <c r="E1312" t="inlineStr"/>
      <c r="F1312" s="4" t="n">
        <v>750</v>
      </c>
      <c r="G1312" t="inlineStr">
        <is>
          <t>VB</t>
        </is>
      </c>
      <c r="H1312" t="inlineStr">
        <is>
          <t>27578 Häfen - Bremerhaven</t>
        </is>
      </c>
      <c r="I1312" s="5" t="n">
        <v>45519</v>
      </c>
      <c r="J1312" t="inlineStr"/>
      <c r="K1312" s="6">
        <f>HYPERLINK("https://www.kleinanzeigen.de/s-anzeige/rrd-freestyle-wave-120-windsurfboard/2837498571-230-54", "Link")</f>
        <v/>
      </c>
      <c r="L1312" s="6">
        <f>HYPERLINK("C:\Projects\Kleinanzeigen-Scraper\offer_images\2837498571", "Link")</f>
        <v/>
      </c>
      <c r="M1312" t="inlineStr">
        <is>
          <t>D. Hirtreiter</t>
        </is>
      </c>
      <c r="N1312" s="6">
        <f>HYPERLINK("https://www.kleinanzeigen.de/s-bestandsliste.html?userId=85975022", "Link")</f>
        <v/>
      </c>
      <c r="O1312" s="7" t="n">
        <v>45549.57825231482</v>
      </c>
      <c r="P1312" s="3" t="inlineStr">
        <is>
          <t>315.40</t>
        </is>
      </c>
      <c r="Q1312" t="inlineStr">
        <is>
          <t>Köln</t>
        </is>
      </c>
    </row>
    <row r="1313">
      <c r="A1313" t="inlineStr">
        <is>
          <t>Dimensions not specified</t>
        </is>
      </c>
      <c r="B1313" t="inlineStr">
        <is>
          <t>RRD X-Fire LTD V10</t>
        </is>
      </c>
      <c r="C1313" t="inlineStr">
        <is>
          <t>Race</t>
        </is>
      </c>
      <c r="D1313" s="3" t="n">
        <v>108</v>
      </c>
      <c r="E1313" t="inlineStr"/>
      <c r="F1313" s="4" t="n">
        <v>849</v>
      </c>
      <c r="G1313" t="inlineStr">
        <is>
          <t>VB</t>
        </is>
      </c>
      <c r="H1313" t="inlineStr">
        <is>
          <t>91126 Bayern - Schwabach</t>
        </is>
      </c>
      <c r="I1313" s="5" t="n">
        <v>45203</v>
      </c>
      <c r="J1313" t="inlineStr"/>
      <c r="K1313" s="6">
        <f>HYPERLINK("https://www.kleinanzeigen.de/s-anzeige/rrd-x-fire-ltd-v10-108l-top-zustand-wie-neu-/2563223373-230-7251", "Link")</f>
        <v/>
      </c>
      <c r="L1313" s="6">
        <f>HYPERLINK("C:\Projects\Kleinanzeigen-Scraper\offer_images\2563223373", "Link")</f>
        <v/>
      </c>
      <c r="M1313" t="inlineStr">
        <is>
          <t>Hr. A.</t>
        </is>
      </c>
      <c r="N1313" s="6">
        <f>HYPERLINK("https://www.kleinanzeigen.de/s-bestandsliste.html?userId=6283007", "Link")</f>
        <v/>
      </c>
      <c r="O1313" s="7" t="n">
        <v>45549.57824074074</v>
      </c>
      <c r="P1313" s="3" t="inlineStr">
        <is>
          <t>137.42</t>
        </is>
      </c>
      <c r="Q1313" t="inlineStr">
        <is>
          <t>München</t>
        </is>
      </c>
    </row>
    <row r="1314">
      <c r="A1314" t="inlineStr">
        <is>
          <t>11'2" x 31" x 6"</t>
        </is>
      </c>
      <c r="B1314" t="inlineStr">
        <is>
          <t>Starboard iGo Zen</t>
        </is>
      </c>
      <c r="C1314" t="inlineStr">
        <is>
          <t>Allround</t>
        </is>
      </c>
      <c r="D1314" s="3" t="inlineStr"/>
      <c r="E1314" t="inlineStr"/>
      <c r="F1314" s="4" t="n">
        <v>200</v>
      </c>
      <c r="G1314" t="inlineStr"/>
      <c r="H1314" t="inlineStr">
        <is>
          <t>76646 Baden-Württemberg - Bruchsal</t>
        </is>
      </c>
      <c r="I1314" s="5" t="n">
        <v>45533</v>
      </c>
      <c r="J1314" t="inlineStr"/>
      <c r="K1314" s="6">
        <f>HYPERLINK("https://www.kleinanzeigen.de/s-anzeige/stand-up-paddle-sup-board-starboard-allround-igo-zen-11-2-/2849193441-230-8795", "Link")</f>
        <v/>
      </c>
      <c r="L1314" s="6">
        <f>HYPERLINK("C:\Projects\Kleinanzeigen-Scraper\offer_images\2849193441", "Link")</f>
        <v/>
      </c>
      <c r="M1314" t="inlineStr">
        <is>
          <t>Kaldi-Events</t>
        </is>
      </c>
      <c r="N1314" s="6">
        <f>HYPERLINK("https://www.kleinanzeigen.de/s-bestandsliste.html?userId=24102977", "Link")</f>
        <v/>
      </c>
      <c r="O1314" s="7" t="n">
        <v>45549.57822916667</v>
      </c>
      <c r="P1314" s="3" t="inlineStr">
        <is>
          <t>18.28</t>
        </is>
      </c>
      <c r="Q1314" t="inlineStr">
        <is>
          <t>Karlsruhe</t>
        </is>
      </c>
    </row>
    <row r="1315">
      <c r="A1315" t="inlineStr">
        <is>
          <t>250 x 83</t>
        </is>
      </c>
      <c r="B1315" t="inlineStr">
        <is>
          <t>FANATIC Gecko</t>
        </is>
      </c>
      <c r="C1315" t="inlineStr">
        <is>
          <t>Freeride</t>
        </is>
      </c>
      <c r="D1315" s="3" t="n">
        <v>145</v>
      </c>
      <c r="E1315" t="inlineStr"/>
      <c r="F1315" s="4" t="n">
        <v>795</v>
      </c>
      <c r="G1315" t="inlineStr">
        <is>
          <t>VB</t>
        </is>
      </c>
      <c r="H1315" t="inlineStr">
        <is>
          <t>23769 Kreis Ostholstein - Fehmarn</t>
        </is>
      </c>
      <c r="I1315" s="5" t="n">
        <v>45510</v>
      </c>
      <c r="J1315" t="inlineStr">
        <is>
          <t>Sold</t>
        </is>
      </c>
      <c r="K1315" s="6">
        <f>HYPERLINK("https://www.kleinanzeigen.de/s-anzeige/windsurfboard-surfboard-fanatic-gecko/2830309705-230-19951", "Link")</f>
        <v/>
      </c>
      <c r="L1315" s="6">
        <f>HYPERLINK("C:\Projects\Kleinanzeigen-Scraper\offer_images\2830309705", "Link")</f>
        <v/>
      </c>
      <c r="M1315" t="inlineStr">
        <is>
          <t>Bode</t>
        </is>
      </c>
      <c r="N1315" s="6">
        <f>HYPERLINK("https://www.kleinanzeigen.de/s-bestandsliste.html?userId=20046952", "Link")</f>
        <v/>
      </c>
      <c r="O1315" s="7" t="n">
        <v>45549.57820601852</v>
      </c>
      <c r="P1315" s="3" t="inlineStr">
        <is>
          <t>483.01</t>
        </is>
      </c>
      <c r="Q1315" t="inlineStr">
        <is>
          <t>Köln</t>
        </is>
      </c>
    </row>
    <row r="1316">
      <c r="A1316" t="inlineStr">
        <is>
          <t>10'4"</t>
        </is>
      </c>
      <c r="B1316" t="inlineStr">
        <is>
          <t>Fanatic Fly Air</t>
        </is>
      </c>
      <c r="C1316" t="inlineStr">
        <is>
          <t>allround</t>
        </is>
      </c>
      <c r="D1316" s="3" t="n">
        <v>284</v>
      </c>
      <c r="E1316" t="inlineStr">
        <is>
          <t>2021</t>
        </is>
      </c>
      <c r="F1316" s="4" t="n">
        <v>375</v>
      </c>
      <c r="G1316" t="inlineStr">
        <is>
          <t>VB</t>
        </is>
      </c>
      <c r="H1316" t="inlineStr">
        <is>
          <t>33619 Bielefeld - Dornberg</t>
        </is>
      </c>
      <c r="I1316" s="5" t="n">
        <v>45545</v>
      </c>
      <c r="J1316" t="inlineStr">
        <is>
          <t>Sold</t>
        </is>
      </c>
      <c r="K1316" s="6">
        <f>HYPERLINK("https://www.kleinanzeigen.de/s-anzeige/fanatic-fly-air-allround-sup-10-4-/2859694537-230-1061", "Link")</f>
        <v/>
      </c>
      <c r="L1316" s="6">
        <f>HYPERLINK("C:\Projects\Kleinanzeigen-Scraper\offer_images\2859694537", "Link")</f>
        <v/>
      </c>
      <c r="M1316" t="inlineStr">
        <is>
          <t>Stappi</t>
        </is>
      </c>
      <c r="N1316" s="6">
        <f>HYPERLINK("https://www.kleinanzeigen.de/s-bestandsliste.html?userId=142177528", "Link")</f>
        <v/>
      </c>
      <c r="O1316" s="7" t="n">
        <v>45549.57818287037</v>
      </c>
      <c r="P1316" s="3" t="inlineStr">
        <is>
          <t>161.64</t>
        </is>
      </c>
      <c r="Q1316" t="inlineStr">
        <is>
          <t>Köln</t>
        </is>
      </c>
    </row>
    <row r="1317">
      <c r="A1317" t="inlineStr">
        <is>
          <t>132x40</t>
        </is>
      </c>
      <c r="B1317" t="inlineStr">
        <is>
          <t>North Duotone</t>
        </is>
      </c>
      <c r="C1317" t="inlineStr">
        <is>
          <t>Twintip</t>
        </is>
      </c>
      <c r="D1317" s="3" t="inlineStr"/>
      <c r="E1317" t="inlineStr"/>
      <c r="F1317" s="4" t="n">
        <v>325</v>
      </c>
      <c r="G1317" t="inlineStr">
        <is>
          <t>VB</t>
        </is>
      </c>
      <c r="H1317" t="inlineStr">
        <is>
          <t>01445 Sachsen - Radebeul</t>
        </is>
      </c>
      <c r="I1317" s="5" t="n">
        <v>45539</v>
      </c>
      <c r="J1317" t="inlineStr">
        <is>
          <t>Sold</t>
        </is>
      </c>
      <c r="K1317" s="6">
        <f>HYPERLINK("https://www.kleinanzeigen.de/s-anzeige/schoenes-top-north-duotone-carbon-team-twintip-kiteboard-ntt/2854227273-230-4057", "Link")</f>
        <v/>
      </c>
      <c r="L1317" s="6">
        <f>HYPERLINK("C:\Projects\Kleinanzeigen-Scraper\offer_images\2854227273", "Link")</f>
        <v/>
      </c>
      <c r="M1317" t="inlineStr">
        <is>
          <t>D. GRUND</t>
        </is>
      </c>
      <c r="N1317" s="6">
        <f>HYPERLINK("https://www.kleinanzeigen.de/s-bestandsliste.html?userId=135298129", "Link")</f>
        <v/>
      </c>
      <c r="O1317" s="7" t="n">
        <v>45549.57818287037</v>
      </c>
      <c r="P1317" s="3" t="inlineStr">
        <is>
          <t>362.87</t>
        </is>
      </c>
      <c r="Q1317" t="inlineStr">
        <is>
          <t>München</t>
        </is>
      </c>
    </row>
    <row r="1318">
      <c r="A1318" t="inlineStr"/>
      <c r="B1318" t="inlineStr">
        <is>
          <t>RRD Firestorm V4</t>
        </is>
      </c>
      <c r="C1318" t="inlineStr">
        <is>
          <t>Freeride</t>
        </is>
      </c>
      <c r="D1318" s="3" t="n">
        <v>112</v>
      </c>
      <c r="E1318" t="inlineStr">
        <is>
          <t>2021</t>
        </is>
      </c>
      <c r="F1318" s="4" t="n">
        <v>599</v>
      </c>
      <c r="G1318" t="inlineStr"/>
      <c r="H1318" t="inlineStr">
        <is>
          <t>85521 Kr. München - Ottobrunn</t>
        </is>
      </c>
      <c r="I1318" s="5" t="n">
        <v>45536</v>
      </c>
      <c r="J1318" t="inlineStr"/>
      <c r="K1318" s="6">
        <f>HYPERLINK("https://www.kleinanzeigen.de/s-anzeige/rrd-freeride-112-liter-wood-v4-windsurfboard-hybridboard-foil-/2851736920-230-15597", "Link")</f>
        <v/>
      </c>
      <c r="L1318" s="6">
        <f>HYPERLINK("C:\Projects\Kleinanzeigen-Scraper\offer_images\2851736920", "Link")</f>
        <v/>
      </c>
      <c r="M1318" t="inlineStr">
        <is>
          <t>Peter J.</t>
        </is>
      </c>
      <c r="N1318" s="6">
        <f>HYPERLINK("https://www.kleinanzeigen.de/s-bestandsliste.html?userId=17296412", "Link")</f>
        <v/>
      </c>
      <c r="O1318" s="7" t="n">
        <v>45549.57818287037</v>
      </c>
      <c r="P1318" s="3" t="inlineStr">
        <is>
          <t>11.05</t>
        </is>
      </c>
      <c r="Q1318" t="inlineStr">
        <is>
          <t>München</t>
        </is>
      </c>
    </row>
    <row r="1319">
      <c r="A1319" t="inlineStr">
        <is>
          <t>111</t>
        </is>
      </c>
      <c r="B1319" t="inlineStr">
        <is>
          <t>RRD Firestorm Wood</t>
        </is>
      </c>
      <c r="C1319" t="inlineStr">
        <is>
          <t>Freeride</t>
        </is>
      </c>
      <c r="D1319" s="3" t="inlineStr"/>
      <c r="E1319" t="inlineStr"/>
      <c r="F1319" s="4" t="n">
        <v>370</v>
      </c>
      <c r="G1319" t="inlineStr">
        <is>
          <t>VB</t>
        </is>
      </c>
      <c r="H1319" t="inlineStr">
        <is>
          <t>91522 Bayern - Ansbach</t>
        </is>
      </c>
      <c r="I1319" s="5" t="n">
        <v>45545</v>
      </c>
      <c r="J1319" t="inlineStr"/>
      <c r="K1319" s="6">
        <f>HYPERLINK("https://www.kleinanzeigen.de/s-anzeige/windsurfboard-rrd-firestorm-wood-111/2859207784-230-6099", "Link")</f>
        <v/>
      </c>
      <c r="L1319" s="6">
        <f>HYPERLINK("C:\Projects\Kleinanzeigen-Scraper\offer_images\2859207784", "Link")</f>
        <v/>
      </c>
      <c r="M1319" t="inlineStr">
        <is>
          <t>Roland Deppe</t>
        </is>
      </c>
      <c r="N1319" s="6">
        <f>HYPERLINK("https://www.kleinanzeigen.de/s-bestandsliste.html?userId=35203839", "Link")</f>
        <v/>
      </c>
      <c r="O1319" s="7" t="n">
        <v>45549.57818287037</v>
      </c>
      <c r="P1319" s="3" t="inlineStr">
        <is>
          <t>134.68</t>
        </is>
      </c>
      <c r="Q1319" t="inlineStr">
        <is>
          <t>Böblingen</t>
        </is>
      </c>
    </row>
    <row r="1320">
      <c r="A1320" t="inlineStr">
        <is>
          <t>132 cm</t>
        </is>
      </c>
      <c r="B1320" t="inlineStr">
        <is>
          <t>North X Ride</t>
        </is>
      </c>
      <c r="C1320" t="inlineStr"/>
      <c r="D1320" s="3" t="inlineStr"/>
      <c r="E1320" t="inlineStr">
        <is>
          <t>2018</t>
        </is>
      </c>
      <c r="F1320" s="4" t="n">
        <v>320</v>
      </c>
      <c r="G1320" t="inlineStr">
        <is>
          <t>VB</t>
        </is>
      </c>
      <c r="H1320" t="inlineStr">
        <is>
          <t>65760 Hessen - Eschborn</t>
        </is>
      </c>
      <c r="I1320" s="5" t="n">
        <v>45537</v>
      </c>
      <c r="J1320" t="inlineStr">
        <is>
          <t>Sold</t>
        </is>
      </c>
      <c r="K1320" s="6">
        <f>HYPERLINK("https://www.kleinanzeigen.de/s-anzeige/north-x-ride-kiteboard/2852468452-230-4559", "Link")</f>
        <v/>
      </c>
      <c r="L1320" s="6">
        <f>HYPERLINK("C:\Projects\Kleinanzeigen-Scraper\offer_images\2852468452", "Link")</f>
        <v/>
      </c>
      <c r="M1320" t="inlineStr">
        <is>
          <t>Lasse Hofmeister</t>
        </is>
      </c>
      <c r="N1320" s="6">
        <f>HYPERLINK("https://www.kleinanzeigen.de/s-bestandsliste.html?userId=45666648", "Link")</f>
        <v/>
      </c>
      <c r="O1320" s="7" t="n">
        <v>45549.57815972222</v>
      </c>
      <c r="P1320" s="3" t="inlineStr">
        <is>
          <t>127.84</t>
        </is>
      </c>
      <c r="Q1320" t="inlineStr">
        <is>
          <t>Karlsruhe</t>
        </is>
      </c>
    </row>
    <row r="1321">
      <c r="A1321" t="inlineStr"/>
      <c r="B1321" t="inlineStr">
        <is>
          <t>JP Australia</t>
        </is>
      </c>
      <c r="C1321" t="inlineStr">
        <is>
          <t>SUP</t>
        </is>
      </c>
      <c r="D1321" s="3" t="inlineStr"/>
      <c r="E1321" t="inlineStr"/>
      <c r="F1321" s="4" t="n">
        <v>450</v>
      </c>
      <c r="G1321" t="inlineStr"/>
      <c r="H1321" t="inlineStr">
        <is>
          <t>22605 Altona - Hamburg Othmarschen</t>
        </is>
      </c>
      <c r="I1321" s="5" t="n">
        <v>45491</v>
      </c>
      <c r="J1321" t="inlineStr">
        <is>
          <t>Sold</t>
        </is>
      </c>
      <c r="K1321" s="6">
        <f>HYPERLINK("https://www.kleinanzeigen.de/s-anzeige/jp-australia-sup-board/2815389257-230-9502", "Link")</f>
        <v/>
      </c>
      <c r="L1321" s="6">
        <f>HYPERLINK("C:\Projects\Kleinanzeigen-Scraper\offer_images\2815389257", "Link")</f>
        <v/>
      </c>
      <c r="M1321" t="inlineStr">
        <is>
          <t>Frederik</t>
        </is>
      </c>
      <c r="N1321" s="6">
        <f>HYPERLINK("https://www.kleinanzeigen.de/s-bestandsliste.html?userId=63496251", "Link")</f>
        <v/>
      </c>
      <c r="O1321" s="7" t="n">
        <v>45549.57815972222</v>
      </c>
      <c r="P1321" s="3" t="inlineStr">
        <is>
          <t>352.41</t>
        </is>
      </c>
      <c r="Q1321" t="inlineStr">
        <is>
          <t>Köln</t>
        </is>
      </c>
    </row>
    <row r="1322">
      <c r="A1322" t="inlineStr"/>
      <c r="B1322" t="inlineStr">
        <is>
          <t>Fanatic NewWave TE</t>
        </is>
      </c>
      <c r="C1322" t="inlineStr">
        <is>
          <t>Twinser-Wave</t>
        </is>
      </c>
      <c r="D1322" s="3" t="inlineStr"/>
      <c r="E1322" t="inlineStr">
        <is>
          <t>2009</t>
        </is>
      </c>
      <c r="F1322" s="4" t="n">
        <v>150</v>
      </c>
      <c r="G1322" t="inlineStr">
        <is>
          <t>VB</t>
        </is>
      </c>
      <c r="H1322" t="inlineStr">
        <is>
          <t>10439 Pankow - Prenzlauer Berg</t>
        </is>
      </c>
      <c r="I1322" s="5" t="n">
        <v>45546</v>
      </c>
      <c r="J1322" t="inlineStr">
        <is>
          <t>Sold</t>
        </is>
      </c>
      <c r="K1322" s="6">
        <f>HYPERLINK("https://www.kleinanzeigen.de/s-anzeige/fanatic-newwave-te-twinser-waveboard-top/2860760512-230-3490", "Link")</f>
        <v/>
      </c>
      <c r="L1322" s="6">
        <f>HYPERLINK("C:\Projects\Kleinanzeigen-Scraper\offer_images\2860760512", "Link")</f>
        <v/>
      </c>
      <c r="M1322" t="inlineStr">
        <is>
          <t>Johannes Michels</t>
        </is>
      </c>
      <c r="N1322" s="6">
        <f>HYPERLINK("https://www.kleinanzeigen.de/s-bestandsliste.html?userId=16372092", "Link")</f>
        <v/>
      </c>
      <c r="O1322" s="7" t="n">
        <v>45549.57815972222</v>
      </c>
      <c r="P1322" s="3" t="inlineStr">
        <is>
          <t>479.25</t>
        </is>
      </c>
      <c r="Q1322" t="inlineStr">
        <is>
          <t>Köln</t>
        </is>
      </c>
    </row>
    <row r="1323">
      <c r="A1323" t="inlineStr">
        <is>
          <t>86</t>
        </is>
      </c>
      <c r="B1323" t="inlineStr">
        <is>
          <t>Fanatic Allwave</t>
        </is>
      </c>
      <c r="C1323" t="inlineStr">
        <is>
          <t>Wave</t>
        </is>
      </c>
      <c r="D1323" s="3" t="inlineStr"/>
      <c r="E1323" t="inlineStr">
        <is>
          <t>2008</t>
        </is>
      </c>
      <c r="F1323" s="4" t="n">
        <v>199</v>
      </c>
      <c r="G1323" t="inlineStr">
        <is>
          <t>VB</t>
        </is>
      </c>
      <c r="H1323" t="inlineStr">
        <is>
          <t>25479 Schleswig-Holstein - Ellerau</t>
        </is>
      </c>
      <c r="I1323" s="5" t="n">
        <v>45519</v>
      </c>
      <c r="J1323" t="inlineStr">
        <is>
          <t>Sold</t>
        </is>
      </c>
      <c r="K1323" s="6">
        <f>HYPERLINK("https://www.kleinanzeigen.de/s-anzeige/windsurfing-wave-board-allwave-fanatic/2837553069-230-630", "Link")</f>
        <v/>
      </c>
      <c r="L1323" s="6">
        <f>HYPERLINK("C:\Projects\Kleinanzeigen-Scraper\offer_images\2837553069", "Link")</f>
        <v/>
      </c>
      <c r="M1323" t="inlineStr">
        <is>
          <t>Christian Baier</t>
        </is>
      </c>
      <c r="N1323" s="6">
        <f>HYPERLINK("https://www.kleinanzeigen.de/s-bestandsliste.html?userId=13327292", "Link")</f>
        <v/>
      </c>
      <c r="O1323" s="7" t="n">
        <v>45549.57815972222</v>
      </c>
      <c r="P1323" s="3" t="inlineStr">
        <is>
          <t>372.82</t>
        </is>
      </c>
      <c r="Q1323" t="inlineStr">
        <is>
          <t>Köln</t>
        </is>
      </c>
    </row>
    <row r="1324">
      <c r="A1324" t="inlineStr">
        <is>
          <t>210 cm</t>
        </is>
      </c>
      <c r="B1324" t="inlineStr">
        <is>
          <t>Fanatic Stingray Ltd.</t>
        </is>
      </c>
      <c r="C1324" t="inlineStr">
        <is>
          <t>Wingfoil/Windsurffoil</t>
        </is>
      </c>
      <c r="D1324" s="3" t="n">
        <v>130</v>
      </c>
      <c r="E1324" t="inlineStr"/>
      <c r="F1324" s="4" t="n">
        <v>599</v>
      </c>
      <c r="G1324" t="inlineStr">
        <is>
          <t>VB</t>
        </is>
      </c>
      <c r="H1324" t="inlineStr">
        <is>
          <t>24229 Schleswig-Holstein - Schwedeneck</t>
        </is>
      </c>
      <c r="I1324" s="5" t="n">
        <v>45546</v>
      </c>
      <c r="J1324" t="inlineStr">
        <is>
          <t>Sold</t>
        </is>
      </c>
      <c r="K1324" s="6">
        <f>HYPERLINK("https://www.kleinanzeigen.de/s-anzeige/fanatic-wing-windfoil/2860491487-230-17470", "Link")</f>
        <v/>
      </c>
      <c r="L1324" s="6">
        <f>HYPERLINK("C:\Projects\Kleinanzeigen-Scraper\offer_images\2860491487", "Link")</f>
        <v/>
      </c>
      <c r="M1324" t="inlineStr">
        <is>
          <t>Tim Michaelis</t>
        </is>
      </c>
      <c r="N1324" s="6">
        <f>HYPERLINK("https://www.kleinanzeigen.de/s-bestandsliste.html?userId=8051879", "Link")</f>
        <v/>
      </c>
      <c r="O1324" s="7" t="n">
        <v>45549.57813657408</v>
      </c>
      <c r="P1324" s="3" t="inlineStr">
        <is>
          <t>445.58</t>
        </is>
      </c>
      <c r="Q1324" t="inlineStr">
        <is>
          <t>Köln</t>
        </is>
      </c>
    </row>
    <row r="1325">
      <c r="A1325" t="inlineStr">
        <is>
          <t>6.1</t>
        </is>
      </c>
      <c r="B1325" t="inlineStr">
        <is>
          <t>Naish Global</t>
        </is>
      </c>
      <c r="C1325" t="inlineStr">
        <is>
          <t>Wave</t>
        </is>
      </c>
      <c r="D1325" s="3" t="inlineStr"/>
      <c r="E1325" t="inlineStr"/>
      <c r="F1325" s="4" t="n">
        <v>210</v>
      </c>
      <c r="G1325" t="inlineStr"/>
      <c r="H1325" t="inlineStr">
        <is>
          <t>23816 Schleswig-Holstein - Neversdorf</t>
        </is>
      </c>
      <c r="I1325" s="5" t="n">
        <v>45459</v>
      </c>
      <c r="J1325" t="inlineStr">
        <is>
          <t>Sold</t>
        </is>
      </c>
      <c r="K1325" s="6">
        <f>HYPERLINK("https://www.kleinanzeigen.de/s-anzeige/naish-gobal-kite-waveboard-6-1/2789609084-230-891", "Link")</f>
        <v/>
      </c>
      <c r="L1325" s="6">
        <f>HYPERLINK("C:\Projects\Kleinanzeigen-Scraper\offer_images\2789609084", "Link")</f>
        <v/>
      </c>
      <c r="M1325" t="inlineStr">
        <is>
          <t>T.Kroll</t>
        </is>
      </c>
      <c r="N1325" s="6">
        <f>HYPERLINK("https://www.kleinanzeigen.de/s-bestandsliste.html?userId=6944685", "Link")</f>
        <v/>
      </c>
      <c r="O1325" s="7" t="n">
        <v>45549.57813657408</v>
      </c>
      <c r="P1325" s="3" t="inlineStr">
        <is>
          <t>393.75</t>
        </is>
      </c>
      <c r="Q1325" t="inlineStr">
        <is>
          <t>Köln</t>
        </is>
      </c>
    </row>
    <row r="1326">
      <c r="A1326" t="inlineStr">
        <is>
          <t>242 x 56 cm</t>
        </is>
      </c>
      <c r="B1326" t="inlineStr">
        <is>
          <t>Starboard</t>
        </is>
      </c>
      <c r="C1326" t="inlineStr">
        <is>
          <t>Wave</t>
        </is>
      </c>
      <c r="D1326" s="3" t="n">
        <v>80</v>
      </c>
      <c r="E1326" t="inlineStr"/>
      <c r="F1326" s="4" t="inlineStr">
        <is>
          <t>Zu verschenken</t>
        </is>
      </c>
      <c r="G1326" t="inlineStr"/>
      <c r="H1326" t="inlineStr">
        <is>
          <t>45721 Nordrhein-Westfalen - Haltern am See</t>
        </is>
      </c>
      <c r="I1326" s="5" t="n">
        <v>45523</v>
      </c>
      <c r="J1326" t="inlineStr">
        <is>
          <t>Sold</t>
        </is>
      </c>
      <c r="K1326" s="6">
        <f>HYPERLINK("https://www.kleinanzeigen.de/s-anzeige/starboard-80l-windsurfboard-mit-tasche-surfboard-waveboard/2840695610-230-1336", "Link")</f>
        <v/>
      </c>
      <c r="L1326" s="6">
        <f>HYPERLINK("C:\Projects\Kleinanzeigen-Scraper\offer_images\2840695610", "Link")</f>
        <v/>
      </c>
      <c r="M1326" t="inlineStr">
        <is>
          <t>Alexander</t>
        </is>
      </c>
      <c r="N1326" s="6">
        <f>HYPERLINK("https://www.kleinanzeigen.de/s-bestandsliste.html?userId=1171247", "Link")</f>
        <v/>
      </c>
      <c r="O1326" s="7" t="n">
        <v>45549.57813657408</v>
      </c>
      <c r="P1326" s="3" t="inlineStr">
        <is>
          <t>95.03</t>
        </is>
      </c>
      <c r="Q1326" t="inlineStr">
        <is>
          <t>Köln</t>
        </is>
      </c>
    </row>
    <row r="1327">
      <c r="A1327" t="inlineStr">
        <is>
          <t>180*76</t>
        </is>
      </c>
      <c r="B1327" t="inlineStr">
        <is>
          <t>RRD Pocket Rocket Y25</t>
        </is>
      </c>
      <c r="C1327" t="inlineStr">
        <is>
          <t>Foilboard</t>
        </is>
      </c>
      <c r="D1327" s="3" t="n">
        <v>122</v>
      </c>
      <c r="E1327" t="inlineStr"/>
      <c r="F1327" s="4" t="n">
        <v>544</v>
      </c>
      <c r="G1327" t="inlineStr">
        <is>
          <t>VB</t>
        </is>
      </c>
      <c r="H1327" t="inlineStr">
        <is>
          <t>14548 Brandenburg - Caputh</t>
        </is>
      </c>
      <c r="I1327" s="5" t="n">
        <v>45290</v>
      </c>
      <c r="J1327" t="inlineStr"/>
      <c r="K1327" s="6">
        <f>HYPERLINK("https://www.kleinanzeigen.de/s-anzeige/rrd-pocket-rocket-y25-180-76-122l-e-tech-foilboard/2639840002-230-19938", "Link")</f>
        <v/>
      </c>
      <c r="L1327" s="6">
        <f>HYPERLINK("C:\Projects\Kleinanzeigen-Scraper\offer_images\2639840002", "Link")</f>
        <v/>
      </c>
      <c r="M1327" t="inlineStr">
        <is>
          <t>TCT</t>
        </is>
      </c>
      <c r="N1327" s="6">
        <f>HYPERLINK("https://www.kleinanzeigen.de/s-bestandsliste.html?userId=20488644", "Link")</f>
        <v/>
      </c>
      <c r="O1327" s="7" t="n">
        <v>45549.57811342592</v>
      </c>
      <c r="P1327" s="3" t="inlineStr">
        <is>
          <t>438.74</t>
        </is>
      </c>
      <c r="Q1327" t="inlineStr">
        <is>
          <t>Köln</t>
        </is>
      </c>
    </row>
    <row r="1328">
      <c r="A1328" t="inlineStr"/>
      <c r="B1328" t="inlineStr">
        <is>
          <t>rrd Freestyle Avantstyle</t>
        </is>
      </c>
      <c r="C1328" t="inlineStr">
        <is>
          <t>Freestyle</t>
        </is>
      </c>
      <c r="D1328" s="3" t="n">
        <v>95</v>
      </c>
      <c r="E1328" t="inlineStr">
        <is>
          <t>2007</t>
        </is>
      </c>
      <c r="F1328" s="4" t="n">
        <v>70</v>
      </c>
      <c r="G1328" t="inlineStr">
        <is>
          <t>VB</t>
        </is>
      </c>
      <c r="H1328" t="inlineStr">
        <is>
          <t>69124 Baden-Württemberg - Heidelberg</t>
        </is>
      </c>
      <c r="I1328" s="5" t="n">
        <v>45543</v>
      </c>
      <c r="J1328" t="inlineStr"/>
      <c r="K1328" s="6">
        <f>HYPERLINK("https://www.kleinanzeigen.de/s-anzeige/windsurfbret-rrd-freestyle-avantstyle-m-95l/2857521568-230-9178", "Link")</f>
        <v/>
      </c>
      <c r="L1328" s="6">
        <f>HYPERLINK("C:\Projects\Kleinanzeigen-Scraper\offer_images\2857521568", "Link")</f>
        <v/>
      </c>
      <c r="M1328" t="inlineStr">
        <is>
          <t>Matthias</t>
        </is>
      </c>
      <c r="N1328" s="6">
        <f>HYPERLINK("https://www.kleinanzeigen.de/s-bestandsliste.html?userId=10048535", "Link")</f>
        <v/>
      </c>
      <c r="O1328" s="7" t="n">
        <v>45549.57810185185</v>
      </c>
      <c r="P1328" s="3" t="inlineStr">
        <is>
          <t>44.31</t>
        </is>
      </c>
      <c r="Q1328" t="inlineStr">
        <is>
          <t>Karlsruhe</t>
        </is>
      </c>
    </row>
    <row r="1329">
      <c r="A1329" t="inlineStr">
        <is>
          <t>427cm x 62.2cm x 15.2cm</t>
        </is>
      </c>
      <c r="B1329" t="inlineStr">
        <is>
          <t>Starboard Allstar</t>
        </is>
      </c>
      <c r="C1329" t="inlineStr">
        <is>
          <t>Race</t>
        </is>
      </c>
      <c r="D1329" s="3" t="inlineStr"/>
      <c r="E1329" t="inlineStr">
        <is>
          <t>2024</t>
        </is>
      </c>
      <c r="F1329" s="4" t="n">
        <v>899</v>
      </c>
      <c r="G1329" t="inlineStr">
        <is>
          <t>VB</t>
        </is>
      </c>
      <c r="H1329" t="inlineStr">
        <is>
          <t>57489 Nordrhein-Westfalen - Drolshagen</t>
        </is>
      </c>
      <c r="I1329" s="5" t="n">
        <v>45517</v>
      </c>
      <c r="J1329" t="inlineStr"/>
      <c r="K1329" s="6">
        <f>HYPERLINK("https://www.kleinanzeigen.de/s-anzeige/summer-sales-starboard-allstar-14-0x24-5-deluxelite-sup-board-24/2835886864-230-1530", "Link")</f>
        <v/>
      </c>
      <c r="L1329" s="6">
        <f>HYPERLINK("C:\Projects\Kleinanzeigen-Scraper\offer_images\2835886864", "Link")</f>
        <v/>
      </c>
      <c r="M1329" t="inlineStr">
        <is>
          <t>key2fun</t>
        </is>
      </c>
      <c r="N1329" s="6">
        <f>HYPERLINK("https://www.kleinanzeigen.de/s-bestandsliste.html?userId=68821592", "Link")</f>
        <v/>
      </c>
      <c r="O1329" s="7" t="n">
        <v>45549.57810185185</v>
      </c>
      <c r="P1329" s="3" t="inlineStr">
        <is>
          <t>58.85</t>
        </is>
      </c>
      <c r="Q1329" t="inlineStr">
        <is>
          <t>Köln</t>
        </is>
      </c>
    </row>
    <row r="1330">
      <c r="A1330" t="inlineStr"/>
      <c r="B1330" t="inlineStr">
        <is>
          <t>Fanatic Ultra Blast</t>
        </is>
      </c>
      <c r="C1330" t="inlineStr">
        <is>
          <t>Freeride</t>
        </is>
      </c>
      <c r="D1330" s="3" t="n">
        <v>130</v>
      </c>
      <c r="E1330" t="inlineStr"/>
      <c r="F1330" s="4" t="n">
        <v>1</v>
      </c>
      <c r="G1330" t="inlineStr">
        <is>
          <t>VB</t>
        </is>
      </c>
      <c r="H1330" t="inlineStr">
        <is>
          <t>15732 Brandenburg - Schulzendorf bei Eichwalde</t>
        </is>
      </c>
      <c r="I1330" s="5" t="n">
        <v>45509</v>
      </c>
      <c r="J1330" t="inlineStr">
        <is>
          <t>Sold</t>
        </is>
      </c>
      <c r="K1330" s="6">
        <f>HYPERLINK("https://www.kleinanzeigen.de/s-anzeige/fanatic-blast-130/2829490210-230-20325", "Link")</f>
        <v/>
      </c>
      <c r="L1330" s="6">
        <f>HYPERLINK("C:\Projects\Kleinanzeigen-Scraper\offer_images\2829490210", "Link")</f>
        <v/>
      </c>
      <c r="M1330" t="inlineStr">
        <is>
          <t>Chris</t>
        </is>
      </c>
      <c r="N1330" s="6">
        <f>HYPERLINK("https://www.kleinanzeigen.de/s-bestandsliste.html?userId=8400406", "Link")</f>
        <v/>
      </c>
      <c r="O1330" s="7" t="n">
        <v>45549.57809027778</v>
      </c>
      <c r="P1330" s="3" t="inlineStr">
        <is>
          <t>483.29</t>
        </is>
      </c>
      <c r="Q1330" t="inlineStr">
        <is>
          <t>Köln</t>
        </is>
      </c>
    </row>
    <row r="1331">
      <c r="A1331" t="inlineStr">
        <is>
          <t>381 x 81 x 15.2 cm</t>
        </is>
      </c>
      <c r="B1331" t="inlineStr">
        <is>
          <t>JP Australia CruisAir LE 3DS</t>
        </is>
      </c>
      <c r="C1331" t="inlineStr">
        <is>
          <t>Touring</t>
        </is>
      </c>
      <c r="D1331" s="3" t="n">
        <v>333</v>
      </c>
      <c r="E1331" t="inlineStr"/>
      <c r="F1331" s="4" t="n">
        <v>399</v>
      </c>
      <c r="G1331" t="inlineStr"/>
      <c r="H1331" t="inlineStr">
        <is>
          <t>76646 Baden-Württemberg - Bruchsal</t>
        </is>
      </c>
      <c r="I1331" s="5" t="n">
        <v>45533</v>
      </c>
      <c r="J1331" t="inlineStr"/>
      <c r="K1331" s="6">
        <f>HYPERLINK("https://www.kleinanzeigen.de/s-anzeige/stand-up-paddle-sup-board-jp-australia-cruisair-le-3ds-12-6-/2849177912-230-8795", "Link")</f>
        <v/>
      </c>
      <c r="L1331" s="6">
        <f>HYPERLINK("C:\Projects\Kleinanzeigen-Scraper\offer_images\2849177912", "Link")</f>
        <v/>
      </c>
      <c r="M1331" t="inlineStr">
        <is>
          <t>Kaldi-Events</t>
        </is>
      </c>
      <c r="N1331" s="6">
        <f>HYPERLINK("https://www.kleinanzeigen.de/s-bestandsliste.html?userId=24102977", "Link")</f>
        <v/>
      </c>
      <c r="O1331" s="7" t="n">
        <v>45549.5780787037</v>
      </c>
      <c r="P1331" s="3" t="inlineStr">
        <is>
          <t>18.28</t>
        </is>
      </c>
      <c r="Q1331" t="inlineStr">
        <is>
          <t>Karlsruhe</t>
        </is>
      </c>
    </row>
    <row r="1332">
      <c r="A1332" t="inlineStr">
        <is>
          <t>10' x 26' x 4.5' (304.8 x 66 x 11.5 cm)</t>
        </is>
      </c>
      <c r="B1332" t="inlineStr">
        <is>
          <t>Fanatic RIPPER AIR TOURING</t>
        </is>
      </c>
      <c r="C1332" t="inlineStr"/>
      <c r="D1332" s="3" t="inlineStr"/>
      <c r="E1332" t="inlineStr"/>
      <c r="F1332" s="4" t="n">
        <v>200</v>
      </c>
      <c r="G1332" t="inlineStr">
        <is>
          <t>VB</t>
        </is>
      </c>
      <c r="H1332" t="inlineStr">
        <is>
          <t>58452 Nordrhein-Westfalen - Witten</t>
        </is>
      </c>
      <c r="I1332" s="5" t="n">
        <v>45517</v>
      </c>
      <c r="J1332" t="inlineStr">
        <is>
          <t>Sold</t>
        </is>
      </c>
      <c r="K1332" s="6">
        <f>HYPERLINK("https://www.kleinanzeigen.de/s-anzeige/stand-up-paddle-board-sup-fanatic-ripper-air-touring-10x26x4-5/2836255841-230-1022", "Link")</f>
        <v/>
      </c>
      <c r="L1332" s="6">
        <f>HYPERLINK("C:\Projects\Kleinanzeigen-Scraper\offer_images\2836255841", "Link")</f>
        <v/>
      </c>
      <c r="M1332" t="inlineStr">
        <is>
          <t>Mister</t>
        </is>
      </c>
      <c r="N1332" s="6">
        <f>HYPERLINK("https://www.kleinanzeigen.de/s-bestandsliste.html?userId=12399941", "Link")</f>
        <v/>
      </c>
      <c r="O1332" s="7" t="n">
        <v>45549.5780787037</v>
      </c>
      <c r="P1332" s="3" t="inlineStr">
        <is>
          <t>59.27</t>
        </is>
      </c>
      <c r="Q1332" t="inlineStr">
        <is>
          <t>Köln</t>
        </is>
      </c>
    </row>
    <row r="1333">
      <c r="A1333" t="inlineStr">
        <is>
          <t>225x55</t>
        </is>
      </c>
      <c r="B1333" t="inlineStr">
        <is>
          <t>Tabou Pocket Wave</t>
        </is>
      </c>
      <c r="C1333" t="inlineStr">
        <is>
          <t>Wave</t>
        </is>
      </c>
      <c r="D1333" s="3" t="n">
        <v>72</v>
      </c>
      <c r="E1333" t="inlineStr"/>
      <c r="F1333" s="4" t="n">
        <v>179</v>
      </c>
      <c r="G1333" t="inlineStr"/>
      <c r="H1333" t="inlineStr">
        <is>
          <t>14612 Brandenburg - Falkensee</t>
        </is>
      </c>
      <c r="I1333" s="5" t="n">
        <v>45460</v>
      </c>
      <c r="J1333" t="inlineStr"/>
      <c r="K1333" s="6">
        <f>HYPERLINK("https://www.kleinanzeigen.de/s-anzeige/windsurfboard-tabou-pocket-wave-72l/2790623976-230-7729", "Link")</f>
        <v/>
      </c>
      <c r="L1333" s="6">
        <f>HYPERLINK("C:\Projects\Kleinanzeigen-Scraper\offer_images\2790623976", "Link")</f>
        <v/>
      </c>
      <c r="M1333" t="inlineStr">
        <is>
          <t>Dirk</t>
        </is>
      </c>
      <c r="N1333" s="6">
        <f>HYPERLINK("https://www.kleinanzeigen.de/s-bestandsliste.html?userId=530880", "Link")</f>
        <v/>
      </c>
      <c r="O1333" s="7" t="n">
        <v>45549.57806712963</v>
      </c>
      <c r="P1333" s="3" t="inlineStr">
        <is>
          <t>458.53</t>
        </is>
      </c>
      <c r="Q1333" t="inlineStr">
        <is>
          <t>Köln</t>
        </is>
      </c>
    </row>
    <row r="1334">
      <c r="A1334" t="inlineStr">
        <is>
          <t>232 cm x 59.5 cm</t>
        </is>
      </c>
      <c r="B1334" t="inlineStr">
        <is>
          <t>Tabou Pocket</t>
        </is>
      </c>
      <c r="C1334" t="inlineStr">
        <is>
          <t>Freestyle</t>
        </is>
      </c>
      <c r="D1334" s="3" t="n">
        <v>85</v>
      </c>
      <c r="E1334" t="inlineStr"/>
      <c r="F1334" s="4" t="n">
        <v>530</v>
      </c>
      <c r="G1334" t="inlineStr"/>
      <c r="H1334" t="inlineStr">
        <is>
          <t>04277 Leipzig - Connewitz</t>
        </is>
      </c>
      <c r="I1334" s="5" t="n">
        <v>45496</v>
      </c>
      <c r="J1334" t="inlineStr">
        <is>
          <t>Sold</t>
        </is>
      </c>
      <c r="K1334" s="6">
        <f>HYPERLINK("https://www.kleinanzeigen.de/s-anzeige/windsurfbrett-tabou-pocket-85l/2819176632-230-4267", "Link")</f>
        <v/>
      </c>
      <c r="L1334" s="6">
        <f>HYPERLINK("C:\Projects\Kleinanzeigen-Scraper\offer_images\2819176632", "Link")</f>
        <v/>
      </c>
      <c r="M1334" t="inlineStr">
        <is>
          <t>Andre Nehs</t>
        </is>
      </c>
      <c r="N1334" s="6">
        <f>HYPERLINK("https://www.kleinanzeigen.de/s-bestandsliste.html?userId=4151815", "Link")</f>
        <v/>
      </c>
      <c r="O1334" s="7" t="n">
        <v>45549.57805555555</v>
      </c>
      <c r="P1334" s="3" t="inlineStr">
        <is>
          <t>357.35</t>
        </is>
      </c>
      <c r="Q1334" t="inlineStr">
        <is>
          <t>München</t>
        </is>
      </c>
    </row>
    <row r="1335">
      <c r="A1335" t="inlineStr">
        <is>
          <t>14' (4.27m) x 25"</t>
        </is>
      </c>
      <c r="B1335" t="inlineStr">
        <is>
          <t>Naish Maliko Light S26</t>
        </is>
      </c>
      <c r="C1335" t="inlineStr"/>
      <c r="D1335" s="3" t="inlineStr"/>
      <c r="E1335" t="inlineStr">
        <is>
          <t>2023</t>
        </is>
      </c>
      <c r="F1335" s="4" t="n">
        <v>555</v>
      </c>
      <c r="G1335" t="inlineStr">
        <is>
          <t>VB</t>
        </is>
      </c>
      <c r="H1335" t="inlineStr">
        <is>
          <t>35396 Hessen - Gießen</t>
        </is>
      </c>
      <c r="I1335" s="5" t="n">
        <v>45501</v>
      </c>
      <c r="J1335" t="inlineStr">
        <is>
          <t>Sold</t>
        </is>
      </c>
      <c r="K1335" s="6">
        <f>HYPERLINK("https://www.kleinanzeigen.de/s-anzeige/14-isup-naish-maliko-light-s26-wie-neu/2822829587-230-4711", "Link")</f>
        <v/>
      </c>
      <c r="L1335" s="6">
        <f>HYPERLINK("C:\Projects\Kleinanzeigen-Scraper\offer_images\2822829587", "Link")</f>
        <v/>
      </c>
      <c r="M1335" t="inlineStr">
        <is>
          <t>Andreas</t>
        </is>
      </c>
      <c r="N1335" s="6">
        <f>HYPERLINK("https://www.kleinanzeigen.de/s-bestandsliste.html?userId=120836597", "Link")</f>
        <v/>
      </c>
      <c r="O1335" s="7" t="n">
        <v>45549.57805555555</v>
      </c>
      <c r="P1335" s="3" t="inlineStr">
        <is>
          <t>128.74</t>
        </is>
      </c>
      <c r="Q1335" t="inlineStr">
        <is>
          <t>Köln</t>
        </is>
      </c>
    </row>
    <row r="1336">
      <c r="A1336" t="inlineStr">
        <is>
          <t>225cm x 60cm</t>
        </is>
      </c>
      <c r="B1336" t="inlineStr">
        <is>
          <t>Fanatic SKATE TE</t>
        </is>
      </c>
      <c r="C1336" t="inlineStr">
        <is>
          <t>Freestyle</t>
        </is>
      </c>
      <c r="D1336" s="3" t="n">
        <v>85</v>
      </c>
      <c r="E1336" t="inlineStr">
        <is>
          <t>2023</t>
        </is>
      </c>
      <c r="F1336" s="4" t="n">
        <v>1.299</v>
      </c>
      <c r="G1336" t="inlineStr">
        <is>
          <t>VB</t>
        </is>
      </c>
      <c r="H1336" t="inlineStr">
        <is>
          <t>93055 Bayern - Regensburg</t>
        </is>
      </c>
      <c r="I1336" s="5" t="n">
        <v>45533</v>
      </c>
      <c r="J1336" t="inlineStr">
        <is>
          <t>Sold</t>
        </is>
      </c>
      <c r="K1336" s="6">
        <f>HYPERLINK("https://www.kleinanzeigen.de/s-anzeige/fanatic-skate-te-85-liter-windsurfboard-modell-2023/2849086316-230-7655", "Link")</f>
        <v/>
      </c>
      <c r="L1336" s="6">
        <f>HYPERLINK("C:\Projects\Kleinanzeigen-Scraper\offer_images\2849086316", "Link")</f>
        <v/>
      </c>
      <c r="M1336" t="inlineStr">
        <is>
          <t>Wolfgang</t>
        </is>
      </c>
      <c r="N1336" s="6">
        <f>HYPERLINK("https://www.kleinanzeigen.de/s-bestandsliste.html?userId=37428898", "Link")</f>
        <v/>
      </c>
      <c r="O1336" s="7" t="n">
        <v>45549.57805555555</v>
      </c>
      <c r="P1336" s="3" t="inlineStr">
        <is>
          <t>105.19</t>
        </is>
      </c>
      <c r="Q1336" t="inlineStr">
        <is>
          <t>München</t>
        </is>
      </c>
    </row>
    <row r="1337">
      <c r="A1337" t="inlineStr">
        <is>
          <t>250x82</t>
        </is>
      </c>
      <c r="B1337" t="inlineStr">
        <is>
          <t>Naish Bullet</t>
        </is>
      </c>
      <c r="C1337" t="inlineStr">
        <is>
          <t>Slalom/Freerace</t>
        </is>
      </c>
      <c r="D1337" s="3" t="n">
        <v>135</v>
      </c>
      <c r="E1337" t="inlineStr">
        <is>
          <t>2011</t>
        </is>
      </c>
      <c r="F1337" s="4" t="n">
        <v>530</v>
      </c>
      <c r="G1337" t="inlineStr">
        <is>
          <t>VB</t>
        </is>
      </c>
      <c r="H1337" t="inlineStr">
        <is>
          <t>40477 Düsseldorf - Pempelfort</t>
        </is>
      </c>
      <c r="I1337" s="5" t="n">
        <v>45466</v>
      </c>
      <c r="J1337" t="inlineStr">
        <is>
          <t>Sold</t>
        </is>
      </c>
      <c r="K1337" s="6">
        <f>HYPERLINK("https://www.kleinanzeigen.de/s-anzeige/naish-carbon-slalom-freerace-granprix-bullet-135-neu/2795704847-230-2082", "Link")</f>
        <v/>
      </c>
      <c r="L1337" s="6">
        <f>HYPERLINK("C:\Projects\Kleinanzeigen-Scraper\offer_images\2795704847", "Link")</f>
        <v/>
      </c>
      <c r="M1337" t="inlineStr">
        <is>
          <t>Schütze</t>
        </is>
      </c>
      <c r="N1337" s="6">
        <f>HYPERLINK("https://www.kleinanzeigen.de/s-bestandsliste.html?userId=79771085", "Link")</f>
        <v/>
      </c>
      <c r="O1337" s="7" t="n">
        <v>45549.57805555555</v>
      </c>
      <c r="P1337" s="3" t="inlineStr">
        <is>
          <t>35.36</t>
        </is>
      </c>
      <c r="Q1337" t="inlineStr">
        <is>
          <t>Köln</t>
        </is>
      </c>
    </row>
    <row r="1338">
      <c r="A1338" t="inlineStr"/>
      <c r="B1338" t="inlineStr">
        <is>
          <t>Fanatic Freewave</t>
        </is>
      </c>
      <c r="C1338" t="inlineStr">
        <is>
          <t>Freewave</t>
        </is>
      </c>
      <c r="D1338" s="3" t="n">
        <v>106</v>
      </c>
      <c r="E1338" t="inlineStr"/>
      <c r="F1338" s="4" t="n">
        <v>650</v>
      </c>
      <c r="G1338" t="inlineStr">
        <is>
          <t>VB</t>
        </is>
      </c>
      <c r="H1338" t="inlineStr">
        <is>
          <t>22415 Hamburg-Nord - Hamburg Langenhorn</t>
        </is>
      </c>
      <c r="I1338" s="5" t="n">
        <v>45543</v>
      </c>
      <c r="J1338" t="inlineStr">
        <is>
          <t>Sold</t>
        </is>
      </c>
      <c r="K1338" s="6">
        <f>HYPERLINK("https://www.kleinanzeigen.de/s-anzeige/windsurfboard-fanatic-freewave-106l/2858045303-230-9488", "Link")</f>
        <v/>
      </c>
      <c r="L1338" s="6">
        <f>HYPERLINK("C:\Projects\Kleinanzeigen-Scraper\offer_images\2858045303", "Link")</f>
        <v/>
      </c>
      <c r="M1338" t="inlineStr">
        <is>
          <t>Bahde</t>
        </is>
      </c>
      <c r="N1338" s="6">
        <f>HYPERLINK("https://www.kleinanzeigen.de/s-bestandsliste.html?userId=18403204", "Link")</f>
        <v/>
      </c>
      <c r="O1338" s="7" t="n">
        <v>45549.57804398148</v>
      </c>
      <c r="P1338" s="3" t="inlineStr">
        <is>
          <t>366.01</t>
        </is>
      </c>
      <c r="Q1338" t="inlineStr">
        <is>
          <t>Köln</t>
        </is>
      </c>
    </row>
    <row r="1339">
      <c r="A1339" t="inlineStr">
        <is>
          <t>264 x 86.1</t>
        </is>
      </c>
      <c r="B1339" t="inlineStr">
        <is>
          <t>Goya Surf Trainer</t>
        </is>
      </c>
      <c r="C1339" t="inlineStr">
        <is>
          <t>Beginner</t>
        </is>
      </c>
      <c r="D1339" s="3" t="n">
        <v>160</v>
      </c>
      <c r="E1339" t="inlineStr">
        <is>
          <t>2021</t>
        </is>
      </c>
      <c r="F1339" s="4" t="n">
        <v>775</v>
      </c>
      <c r="G1339" t="inlineStr">
        <is>
          <t>VB</t>
        </is>
      </c>
      <c r="H1339" t="inlineStr">
        <is>
          <t>38122 Niedersachsen - Braunschweig</t>
        </is>
      </c>
      <c r="I1339" s="5" t="n">
        <v>45483</v>
      </c>
      <c r="J1339" t="inlineStr">
        <is>
          <t>Sold</t>
        </is>
      </c>
      <c r="K1339" s="6">
        <f>HYPERLINK("https://www.kleinanzeigen.de/s-anzeige/goya-windsurf-board-surf-trainer-einsteigerboard-160/2808647213-230-2454", "Link")</f>
        <v/>
      </c>
      <c r="L1339" s="6">
        <f>HYPERLINK("C:\Projects\Kleinanzeigen-Scraper\offer_images\2808647213", "Link")</f>
        <v/>
      </c>
      <c r="M1339" t="inlineStr">
        <is>
          <t>Sven Kirsch</t>
        </is>
      </c>
      <c r="N1339" s="6">
        <f>HYPERLINK("https://www.kleinanzeigen.de/s-bestandsliste.html?userId=64955847", "Link")</f>
        <v/>
      </c>
      <c r="O1339" s="7" t="n">
        <v>45549.57803240741</v>
      </c>
      <c r="P1339" s="3" t="inlineStr">
        <is>
          <t>281.87</t>
        </is>
      </c>
      <c r="Q1339" t="inlineStr">
        <is>
          <t>Köln</t>
        </is>
      </c>
    </row>
    <row r="1340">
      <c r="A1340" t="inlineStr"/>
      <c r="B1340" t="inlineStr">
        <is>
          <t>Fanatic Freewave</t>
        </is>
      </c>
      <c r="C1340" t="inlineStr">
        <is>
          <t>Freeride</t>
        </is>
      </c>
      <c r="D1340" s="3" t="n">
        <v>95</v>
      </c>
      <c r="E1340" t="inlineStr"/>
      <c r="F1340" s="4" t="n">
        <v>180</v>
      </c>
      <c r="G1340" t="inlineStr"/>
      <c r="H1340" t="inlineStr">
        <is>
          <t>86911 Bayern - Dießen</t>
        </is>
      </c>
      <c r="I1340" s="5" t="n">
        <v>45541</v>
      </c>
      <c r="J1340" t="inlineStr">
        <is>
          <t>Sold</t>
        </is>
      </c>
      <c r="K1340" s="6">
        <f>HYPERLINK("https://www.kleinanzeigen.de/s-anzeige/fanatic-freewave-95l-surfboard-inkl-finnen-und-boardbag/2855414717-230-5566", "Link")</f>
        <v/>
      </c>
      <c r="L1340" s="6">
        <f>HYPERLINK("C:\Projects\Kleinanzeigen-Scraper\offer_images\2855414717", "Link")</f>
        <v/>
      </c>
      <c r="M1340" t="inlineStr">
        <is>
          <t>Manni</t>
        </is>
      </c>
      <c r="N1340" s="6">
        <f>HYPERLINK("https://www.kleinanzeigen.de/s-bestandsliste.html?userId=15809074", "Link")</f>
        <v/>
      </c>
      <c r="O1340" s="7" t="n">
        <v>45549.57803240741</v>
      </c>
      <c r="P1340" s="3" t="inlineStr">
        <is>
          <t>41.04</t>
        </is>
      </c>
      <c r="Q1340" t="inlineStr">
        <is>
          <t>München</t>
        </is>
      </c>
    </row>
    <row r="1341">
      <c r="A1341" t="inlineStr">
        <is>
          <t>294 cm x 60 cm</t>
        </is>
      </c>
      <c r="B1341" t="inlineStr">
        <is>
          <t>Fanatic bee294</t>
        </is>
      </c>
      <c r="C1341" t="inlineStr"/>
      <c r="D1341" s="3" t="n">
        <v>135</v>
      </c>
      <c r="E1341" t="inlineStr"/>
      <c r="F1341" s="4" t="n">
        <v>72</v>
      </c>
      <c r="G1341" t="inlineStr">
        <is>
          <t>VB</t>
        </is>
      </c>
      <c r="H1341" t="inlineStr">
        <is>
          <t>88367 Baden-Württemberg - Hohentengen</t>
        </is>
      </c>
      <c r="I1341" s="5" t="n">
        <v>45535</v>
      </c>
      <c r="J1341" t="inlineStr">
        <is>
          <t>Sold</t>
        </is>
      </c>
      <c r="K1341" s="6">
        <f>HYPERLINK("https://www.kleinanzeigen.de/s-anzeige/surfboard-fanatic-bee294/2850471134-230-8729", "Link")</f>
        <v/>
      </c>
      <c r="L1341" s="6">
        <f>HYPERLINK("C:\Projects\Kleinanzeigen-Scraper\offer_images\2850471134", "Link")</f>
        <v/>
      </c>
      <c r="M1341" t="inlineStr">
        <is>
          <t>C. Bessei</t>
        </is>
      </c>
      <c r="N1341" s="6">
        <f>HYPERLINK("https://www.kleinanzeigen.de/s-bestandsliste.html?userId=85102833", "Link")</f>
        <v/>
      </c>
      <c r="O1341" s="7" t="n">
        <v>45549.57803240741</v>
      </c>
      <c r="P1341" s="3" t="inlineStr">
        <is>
          <t>78.25</t>
        </is>
      </c>
      <c r="Q1341" t="inlineStr">
        <is>
          <t>Böblingen</t>
        </is>
      </c>
    </row>
    <row r="1342">
      <c r="A1342" t="inlineStr">
        <is>
          <t>177 cm x 69 cm</t>
        </is>
      </c>
      <c r="B1342" t="inlineStr">
        <is>
          <t>TABOU Pocket Air</t>
        </is>
      </c>
      <c r="C1342" t="inlineStr">
        <is>
          <t>Wingfoil / Windfoil</t>
        </is>
      </c>
      <c r="D1342" s="3" t="n">
        <v>97</v>
      </c>
      <c r="E1342" t="inlineStr"/>
      <c r="F1342" s="4" t="n">
        <v>550</v>
      </c>
      <c r="G1342" t="inlineStr"/>
      <c r="H1342" t="inlineStr">
        <is>
          <t>23775 Kreis Ostholstein - Großenbrode</t>
        </is>
      </c>
      <c r="I1342" s="5" t="n">
        <v>44759</v>
      </c>
      <c r="J1342" t="inlineStr">
        <is>
          <t>Sold</t>
        </is>
      </c>
      <c r="K1342" s="6">
        <f>HYPERLINK("https://www.kleinanzeigen.de/s-anzeige/tabou-wingfoil-windfoil-board-pocket-air-5-8-97l-neu-/1802411996-230-429", "Link")</f>
        <v/>
      </c>
      <c r="L1342" s="6">
        <f>HYPERLINK("C:\Projects\Kleinanzeigen-Scraper\offer_images\1802411996", "Link")</f>
        <v/>
      </c>
      <c r="M1342" t="inlineStr">
        <is>
          <t>Tobias Michelsen</t>
        </is>
      </c>
      <c r="N1342" s="6">
        <f>HYPERLINK("https://www.kleinanzeigen.de/s-bestandsliste.html?userId=47501726", "Link")</f>
        <v/>
      </c>
      <c r="O1342" s="7" t="n">
        <v>45549.57800925926</v>
      </c>
      <c r="P1342" s="3" t="inlineStr">
        <is>
          <t>471.97</t>
        </is>
      </c>
      <c r="Q1342" t="inlineStr">
        <is>
          <t>Köln</t>
        </is>
      </c>
    </row>
    <row r="1343">
      <c r="A1343" t="inlineStr"/>
      <c r="B1343" t="inlineStr">
        <is>
          <t>RRD Juice V4</t>
        </is>
      </c>
      <c r="C1343" t="inlineStr">
        <is>
          <t>Freestyle, Freeride</t>
        </is>
      </c>
      <c r="D1343" s="3" t="inlineStr"/>
      <c r="E1343" t="inlineStr">
        <is>
          <t>2018</t>
        </is>
      </c>
      <c r="F1343" s="4" t="n">
        <v>150</v>
      </c>
      <c r="G1343" t="inlineStr">
        <is>
          <t>VB</t>
        </is>
      </c>
      <c r="H1343" t="inlineStr">
        <is>
          <t>52080 Aachen - Aachen-Haaren</t>
        </is>
      </c>
      <c r="I1343" s="5" t="n">
        <v>45468</v>
      </c>
      <c r="J1343" t="inlineStr">
        <is>
          <t>Sold</t>
        </is>
      </c>
      <c r="K1343" s="6">
        <f>HYPERLINK("https://www.kleinanzeigen.de/s-anzeige/kiteboard-rrd-juice-v4-2018/2796873294-230-16879", "Link")</f>
        <v/>
      </c>
      <c r="L1343" s="6">
        <f>HYPERLINK("C:\Projects\Kleinanzeigen-Scraper\offer_images\2796873294", "Link")</f>
        <v/>
      </c>
      <c r="M1343" t="inlineStr">
        <is>
          <t>Niklas O.</t>
        </is>
      </c>
      <c r="N1343" s="6">
        <f>HYPERLINK("https://www.kleinanzeigen.de/s-bestandsliste.html?userId=13356394", "Link")</f>
        <v/>
      </c>
      <c r="O1343" s="7" t="n">
        <v>45549.57800925926</v>
      </c>
      <c r="P1343" s="3" t="inlineStr">
        <is>
          <t>58.05</t>
        </is>
      </c>
      <c r="Q1343" t="inlineStr">
        <is>
          <t>Köln</t>
        </is>
      </c>
    </row>
    <row r="1344">
      <c r="A1344" t="inlineStr"/>
      <c r="B1344" t="inlineStr">
        <is>
          <t>Fanatic Freewave</t>
        </is>
      </c>
      <c r="C1344" t="inlineStr">
        <is>
          <t>Freeride</t>
        </is>
      </c>
      <c r="D1344" s="3" t="n">
        <v>115</v>
      </c>
      <c r="E1344" t="inlineStr"/>
      <c r="F1344" s="4" t="n">
        <v>380</v>
      </c>
      <c r="G1344" t="inlineStr">
        <is>
          <t>VB</t>
        </is>
      </c>
      <c r="H1344" t="inlineStr">
        <is>
          <t>91301 Bayern - Forchheim</t>
        </is>
      </c>
      <c r="I1344" s="5" t="n">
        <v>45536</v>
      </c>
      <c r="J1344" t="inlineStr">
        <is>
          <t>Sold</t>
        </is>
      </c>
      <c r="K1344" s="6">
        <f>HYPERLINK("https://www.kleinanzeigen.de/s-anzeige/fanatic-freewave-115/2851353572-230-6278", "Link")</f>
        <v/>
      </c>
      <c r="L1344" s="6">
        <f>HYPERLINK("C:\Projects\Kleinanzeigen-Scraper\offer_images\2851353572", "Link")</f>
        <v/>
      </c>
      <c r="M1344" t="inlineStr">
        <is>
          <t>Michael Chistel</t>
        </is>
      </c>
      <c r="N1344" s="6">
        <f>HYPERLINK("https://www.kleinanzeigen.de/s-bestandsliste.html?userId=14371761", "Link")</f>
        <v/>
      </c>
      <c r="O1344" s="7" t="n">
        <v>45549.57800925926</v>
      </c>
      <c r="P1344" s="3" t="inlineStr">
        <is>
          <t>180.34</t>
        </is>
      </c>
      <c r="Q1344" t="inlineStr">
        <is>
          <t>München</t>
        </is>
      </c>
    </row>
    <row r="1345">
      <c r="A1345" t="inlineStr">
        <is>
          <t>5'8"</t>
        </is>
      </c>
      <c r="B1345" t="inlineStr">
        <is>
          <t>RRD Fatal Wave</t>
        </is>
      </c>
      <c r="C1345" t="inlineStr">
        <is>
          <t>Directional</t>
        </is>
      </c>
      <c r="D1345" s="3" t="inlineStr"/>
      <c r="E1345" t="inlineStr"/>
      <c r="F1345" s="4" t="n">
        <v>130</v>
      </c>
      <c r="G1345" t="inlineStr">
        <is>
          <t>VB</t>
        </is>
      </c>
      <c r="H1345" t="inlineStr">
        <is>
          <t>72074 Baden-Württemberg - Tübingen</t>
        </is>
      </c>
      <c r="I1345" s="5" t="n">
        <v>45548</v>
      </c>
      <c r="J1345" t="inlineStr">
        <is>
          <t>Sold</t>
        </is>
      </c>
      <c r="K1345" s="6">
        <f>HYPERLINK("https://www.kleinanzeigen.de/s-anzeige/kiteboard-directional-rrd-fatal-wave-5-8-/2861739551-230-9095", "Link")</f>
        <v/>
      </c>
      <c r="L1345" s="6">
        <f>HYPERLINK("C:\Projects\Kleinanzeigen-Scraper\offer_images\2861739551", "Link")</f>
        <v/>
      </c>
      <c r="M1345" t="inlineStr">
        <is>
          <t>Anna Schnapper</t>
        </is>
      </c>
      <c r="N1345" s="6">
        <f>HYPERLINK("https://www.kleinanzeigen.de/s-bestandsliste.html?userId=11024868", "Link")</f>
        <v/>
      </c>
      <c r="O1345" s="7" t="n">
        <v>45549.57800925926</v>
      </c>
      <c r="P1345" s="3" t="inlineStr">
        <is>
          <t>13.72</t>
        </is>
      </c>
      <c r="Q1345" t="inlineStr">
        <is>
          <t>Böblingen</t>
        </is>
      </c>
    </row>
    <row r="1346">
      <c r="A1346" t="inlineStr"/>
      <c r="B1346" t="inlineStr">
        <is>
          <t>JP Australia</t>
        </is>
      </c>
      <c r="C1346" t="inlineStr">
        <is>
          <t>Wave</t>
        </is>
      </c>
      <c r="D1346" s="3" t="n">
        <v>86</v>
      </c>
      <c r="E1346" t="inlineStr"/>
      <c r="F1346" s="4" t="n">
        <v>80</v>
      </c>
      <c r="G1346" t="inlineStr"/>
      <c r="H1346" t="inlineStr">
        <is>
          <t>21077 Harburg - Hamburg Rönneburg</t>
        </is>
      </c>
      <c r="I1346" s="5" t="n">
        <v>45493</v>
      </c>
      <c r="J1346" t="inlineStr"/>
      <c r="K1346" s="6">
        <f>HYPERLINK("https://www.kleinanzeigen.de/s-anzeige/jp-australia-waveboard-86l/2817025351-230-18309", "Link")</f>
        <v/>
      </c>
      <c r="L1346" s="6">
        <f>HYPERLINK("C:\Projects\Kleinanzeigen-Scraper\offer_images\2817025351", "Link")</f>
        <v/>
      </c>
      <c r="M1346" t="inlineStr">
        <is>
          <t>Bernd Urban</t>
        </is>
      </c>
      <c r="N1346" s="6">
        <f>HYPERLINK("https://www.kleinanzeigen.de/s-bestandsliste.html?userId=17426331", "Link")</f>
        <v/>
      </c>
      <c r="O1346" s="7" t="n">
        <v>45549.57800925926</v>
      </c>
      <c r="P1346" s="3" t="inlineStr">
        <is>
          <t>344.69</t>
        </is>
      </c>
      <c r="Q1346" t="inlineStr">
        <is>
          <t>Köln</t>
        </is>
      </c>
    </row>
    <row r="1347">
      <c r="A1347" t="inlineStr">
        <is>
          <t>14ft x 27in</t>
        </is>
      </c>
      <c r="B1347" t="inlineStr">
        <is>
          <t>Naish Glide</t>
        </is>
      </c>
      <c r="C1347" t="inlineStr">
        <is>
          <t>Downwind-Race</t>
        </is>
      </c>
      <c r="D1347" s="3" t="inlineStr"/>
      <c r="E1347" t="inlineStr">
        <is>
          <t>2019</t>
        </is>
      </c>
      <c r="F1347" s="4" t="n">
        <v>850</v>
      </c>
      <c r="G1347" t="inlineStr">
        <is>
          <t>VB</t>
        </is>
      </c>
      <c r="H1347" t="inlineStr">
        <is>
          <t>24848 Schleswig-Holstein - Kropp</t>
        </is>
      </c>
      <c r="I1347" s="5" t="n">
        <v>45495</v>
      </c>
      <c r="J1347" t="inlineStr"/>
      <c r="K1347" s="6">
        <f>HYPERLINK("https://www.kleinanzeigen.de/s-anzeige/naish-glide-14ft-x-27-sup-stand-up-paddle-board/2818671382-230-18102", "Link")</f>
        <v/>
      </c>
      <c r="L1347" s="6">
        <f>HYPERLINK("C:\Projects\Kleinanzeigen-Scraper\offer_images\2818671382", "Link")</f>
        <v/>
      </c>
      <c r="M1347" t="inlineStr">
        <is>
          <t>Sascha Solterbeck</t>
        </is>
      </c>
      <c r="N1347" s="6">
        <f>HYPERLINK("https://www.kleinanzeigen.de/s-bestandsliste.html?userId=28909745", "Link")</f>
        <v/>
      </c>
      <c r="O1347" s="7" t="n">
        <v>45549.57798611111</v>
      </c>
      <c r="P1347" s="3" t="inlineStr">
        <is>
          <t>421.42</t>
        </is>
      </c>
      <c r="Q1347" t="inlineStr">
        <is>
          <t>Köln</t>
        </is>
      </c>
    </row>
    <row r="1348">
      <c r="A1348" t="inlineStr">
        <is>
          <t>250cm x 69cm</t>
        </is>
      </c>
      <c r="B1348" t="inlineStr">
        <is>
          <t>TABOU Rocket</t>
        </is>
      </c>
      <c r="C1348" t="inlineStr">
        <is>
          <t>Freeride</t>
        </is>
      </c>
      <c r="D1348" s="3" t="n">
        <v>125</v>
      </c>
      <c r="E1348" t="inlineStr"/>
      <c r="F1348" s="4" t="n">
        <v>399</v>
      </c>
      <c r="G1348" t="inlineStr">
        <is>
          <t>VB</t>
        </is>
      </c>
      <c r="H1348" t="inlineStr">
        <is>
          <t>98527 Thüringen - Suhl</t>
        </is>
      </c>
      <c r="I1348" s="5" t="n">
        <v>45537</v>
      </c>
      <c r="J1348" t="inlineStr"/>
      <c r="K1348" s="6">
        <f>HYPERLINK("https://www.kleinanzeigen.de/s-anzeige/-surfbrett-tabou-rocket-125-liter-gepflegt-/2852642724-230-3732", "Link")</f>
        <v/>
      </c>
      <c r="L1348" s="6">
        <f>HYPERLINK("C:\Projects\Kleinanzeigen-Scraper\offer_images\2852642724", "Link")</f>
        <v/>
      </c>
      <c r="M1348" t="inlineStr">
        <is>
          <t>Familie Möller</t>
        </is>
      </c>
      <c r="N1348" s="6">
        <f>HYPERLINK("https://www.kleinanzeigen.de/s-bestandsliste.html?userId=10147435", "Link")</f>
        <v/>
      </c>
      <c r="O1348" s="7" t="n">
        <v>45549.57796296296</v>
      </c>
      <c r="P1348" s="3" t="inlineStr">
        <is>
          <t>241.77</t>
        </is>
      </c>
      <c r="Q1348" t="inlineStr">
        <is>
          <t>Karlsruhe</t>
        </is>
      </c>
    </row>
    <row r="1349">
      <c r="A1349" t="inlineStr">
        <is>
          <t>82</t>
        </is>
      </c>
      <c r="B1349" t="inlineStr">
        <is>
          <t>Fanatic Stubby TE</t>
        </is>
      </c>
      <c r="C1349" t="inlineStr">
        <is>
          <t>Wave</t>
        </is>
      </c>
      <c r="D1349" s="3" t="inlineStr"/>
      <c r="E1349" t="inlineStr">
        <is>
          <t>2019</t>
        </is>
      </c>
      <c r="F1349" s="4" t="n">
        <v>520</v>
      </c>
      <c r="G1349" t="inlineStr"/>
      <c r="H1349" t="inlineStr">
        <is>
          <t>22145 Hamburg - Hamburg-Nord</t>
        </is>
      </c>
      <c r="I1349" s="5" t="n">
        <v>45521</v>
      </c>
      <c r="J1349" t="inlineStr">
        <is>
          <t>Sold</t>
        </is>
      </c>
      <c r="K1349" s="6">
        <f>HYPERLINK("https://www.kleinanzeigen.de/s-anzeige/fanatic-stubby-82-te-2019-carbon-waveboard-top-severne-nano/2839020218-230-17006", "Link")</f>
        <v/>
      </c>
      <c r="L1349" s="6">
        <f>HYPERLINK("C:\Projects\Kleinanzeigen-Scraper\offer_images\2839020218", "Link")</f>
        <v/>
      </c>
      <c r="M1349" t="inlineStr">
        <is>
          <t>Ulf</t>
        </is>
      </c>
      <c r="N1349" s="6">
        <f>HYPERLINK("https://www.kleinanzeigen.de/s-bestandsliste.html?userId=50449475", "Link")</f>
        <v/>
      </c>
      <c r="O1349" s="7" t="n">
        <v>45549.57796296296</v>
      </c>
      <c r="P1349" s="3" t="inlineStr">
        <is>
          <t>371.39</t>
        </is>
      </c>
      <c r="Q1349" t="inlineStr">
        <is>
          <t>Köln</t>
        </is>
      </c>
    </row>
    <row r="1350">
      <c r="A1350" t="inlineStr">
        <is>
          <t>135</t>
        </is>
      </c>
      <c r="B1350" t="inlineStr">
        <is>
          <t>North Sense</t>
        </is>
      </c>
      <c r="C1350" t="inlineStr">
        <is>
          <t>Freeride</t>
        </is>
      </c>
      <c r="D1350" s="3" t="inlineStr"/>
      <c r="E1350" t="inlineStr"/>
      <c r="F1350" s="4" t="n">
        <v>450</v>
      </c>
      <c r="G1350" t="inlineStr">
        <is>
          <t>VB</t>
        </is>
      </c>
      <c r="H1350" t="inlineStr">
        <is>
          <t>93051 Bayern - Regensburg</t>
        </is>
      </c>
      <c r="I1350" s="5" t="n">
        <v>45544</v>
      </c>
      <c r="J1350" t="inlineStr">
        <is>
          <t>Sold</t>
        </is>
      </c>
      <c r="K1350" s="6">
        <f>HYPERLINK("https://www.kleinanzeigen.de/s-anzeige/north-sense-135-kite-foilboard/2858532890-230-7654", "Link")</f>
        <v/>
      </c>
      <c r="L1350" s="6">
        <f>HYPERLINK("C:\Projects\Kleinanzeigen-Scraper\offer_images\2858532890", "Link")</f>
        <v/>
      </c>
      <c r="M1350" t="inlineStr">
        <is>
          <t>Sebastian</t>
        </is>
      </c>
      <c r="N1350" s="6">
        <f>HYPERLINK("https://www.kleinanzeigen.de/s-bestandsliste.html?userId=12374555", "Link")</f>
        <v/>
      </c>
      <c r="O1350" s="7" t="n">
        <v>45549.57796296296</v>
      </c>
      <c r="P1350" s="3" t="inlineStr">
        <is>
          <t>103.13</t>
        </is>
      </c>
      <c r="Q1350" t="inlineStr">
        <is>
          <t>München</t>
        </is>
      </c>
    </row>
    <row r="1351">
      <c r="A1351" t="inlineStr">
        <is>
          <t>5'0'', 5'2'', 5'1'', 5'7'', 5'9'', 5'4''</t>
        </is>
      </c>
      <c r="B1351" t="inlineStr">
        <is>
          <t>Naish</t>
        </is>
      </c>
      <c r="C1351" t="inlineStr">
        <is>
          <t>Freestyle/Wave</t>
        </is>
      </c>
      <c r="D1351" s="3" t="inlineStr"/>
      <c r="E1351" t="inlineStr">
        <is>
          <t>S25/S26</t>
        </is>
      </c>
      <c r="F1351" s="4" t="n">
        <v>400</v>
      </c>
      <c r="G1351" t="inlineStr">
        <is>
          <t>VB</t>
        </is>
      </c>
      <c r="H1351" t="inlineStr">
        <is>
          <t>18586 Mecklenburg-Vorpommern - Mönchgut, Ostseebad</t>
        </is>
      </c>
      <c r="I1351" s="5" t="n">
        <v>45556</v>
      </c>
      <c r="J1351" t="inlineStr"/>
      <c r="K1351" s="6">
        <f>HYPERLINK("https://www.kleinanzeigen.de/s-anzeige/naish-waveboards-s25-s26-sale-40-60-skater-gecko-global/1791418194-230-120", "Link")</f>
        <v/>
      </c>
      <c r="L1351" s="6">
        <f>HYPERLINK("C:\Projects\Kleinanzeigen-Scraper\offer_images\1791418194", "Link")</f>
        <v/>
      </c>
      <c r="M1351" t="inlineStr">
        <is>
          <t>No user name</t>
        </is>
      </c>
      <c r="N1351" s="6">
        <f>HYPERLINK("https://www.kleinanzeigen.deNo user link", "Link")</f>
        <v/>
      </c>
      <c r="O1351" s="7" t="n">
        <v>45549.57795138889</v>
      </c>
      <c r="P1351" s="3" t="inlineStr">
        <is>
          <t>591.22</t>
        </is>
      </c>
      <c r="Q1351" t="inlineStr">
        <is>
          <t>Köln</t>
        </is>
      </c>
    </row>
    <row r="1352">
      <c r="A1352" t="inlineStr">
        <is>
          <t>Dimensions not provided</t>
        </is>
      </c>
      <c r="B1352" t="inlineStr">
        <is>
          <t>Fanatic X Ray</t>
        </is>
      </c>
      <c r="C1352" t="inlineStr">
        <is>
          <t>Freeride</t>
        </is>
      </c>
      <c r="D1352" s="3" t="n">
        <v>138</v>
      </c>
      <c r="E1352" t="inlineStr"/>
      <c r="F1352" s="4" t="n">
        <v>150</v>
      </c>
      <c r="G1352" t="inlineStr"/>
      <c r="H1352" t="inlineStr">
        <is>
          <t>21403 Niedersachsen - Wendisch Evern</t>
        </is>
      </c>
      <c r="I1352" s="5" t="n">
        <v>45534</v>
      </c>
      <c r="J1352" t="inlineStr">
        <is>
          <t>Sold</t>
        </is>
      </c>
      <c r="K1352" s="6">
        <f>HYPERLINK("https://www.kleinanzeigen.de/s-anzeige/fanatic-x-ray-138l/2849804687-230-3282", "Link")</f>
        <v/>
      </c>
      <c r="L1352" s="6">
        <f>HYPERLINK("C:\Projects\Kleinanzeigen-Scraper\offer_images\2849804687", "Link")</f>
        <v/>
      </c>
      <c r="M1352" t="inlineStr">
        <is>
          <t>A.T.</t>
        </is>
      </c>
      <c r="N1352" s="6">
        <f>HYPERLINK("https://www.kleinanzeigen.de/s-bestandsliste.html?userId=42833409", "Link")</f>
        <v/>
      </c>
      <c r="O1352" s="7" t="n">
        <v>45549.57793981482</v>
      </c>
      <c r="P1352" s="3" t="inlineStr">
        <is>
          <t>348.97</t>
        </is>
      </c>
      <c r="Q1352" t="inlineStr">
        <is>
          <t>Köln</t>
        </is>
      </c>
    </row>
    <row r="1353">
      <c r="A1353" t="inlineStr">
        <is>
          <t>133 x 39 cm</t>
        </is>
      </c>
      <c r="B1353" t="inlineStr">
        <is>
          <t>North Prime</t>
        </is>
      </c>
      <c r="C1353" t="inlineStr">
        <is>
          <t>TwinTip</t>
        </is>
      </c>
      <c r="D1353" s="3" t="inlineStr"/>
      <c r="E1353" t="inlineStr"/>
      <c r="F1353" s="4" t="n">
        <v>339</v>
      </c>
      <c r="G1353" t="inlineStr"/>
      <c r="H1353" t="inlineStr">
        <is>
          <t>46569 Nordrhein-Westfalen - Hünxe</t>
        </is>
      </c>
      <c r="I1353" s="5" t="n">
        <v>45542</v>
      </c>
      <c r="J1353" t="inlineStr">
        <is>
          <t>Sold</t>
        </is>
      </c>
      <c r="K1353" s="6">
        <f>HYPERLINK("https://www.kleinanzeigen.de/s-anzeige/north-prime-tt-board-133cm-neu-kiteboard/2028951534-230-1383", "Link")</f>
        <v/>
      </c>
      <c r="L1353" s="6">
        <f>HYPERLINK("C:\Projects\Kleinanzeigen-Scraper\offer_images\2028951534", "Link")</f>
        <v/>
      </c>
      <c r="M1353" t="inlineStr">
        <is>
          <t>No user name</t>
        </is>
      </c>
      <c r="N1353" s="6">
        <f>HYPERLINK("https://www.kleinanzeigen.deNo user link", "Link")</f>
        <v/>
      </c>
      <c r="O1353" s="7" t="n">
        <v>45549.57792824074</v>
      </c>
      <c r="P1353" s="3" t="inlineStr">
        <is>
          <t>78.61</t>
        </is>
      </c>
      <c r="Q1353" t="inlineStr">
        <is>
          <t>Köln</t>
        </is>
      </c>
    </row>
    <row r="1354">
      <c r="A1354" t="inlineStr">
        <is>
          <t>240 x 60 cm</t>
        </is>
      </c>
      <c r="B1354" t="inlineStr">
        <is>
          <t>Exocet Cross</t>
        </is>
      </c>
      <c r="C1354" t="inlineStr">
        <is>
          <t>Bump &amp; Jump</t>
        </is>
      </c>
      <c r="D1354" s="3" t="n">
        <v>94</v>
      </c>
      <c r="E1354" t="inlineStr"/>
      <c r="F1354" s="4" t="n">
        <v>245</v>
      </c>
      <c r="G1354" t="inlineStr">
        <is>
          <t>VB</t>
        </is>
      </c>
      <c r="H1354" t="inlineStr">
        <is>
          <t>22589 Altona - Hamburg Iserbrook</t>
        </is>
      </c>
      <c r="I1354" s="5" t="n">
        <v>45439</v>
      </c>
      <c r="J1354" t="inlineStr">
        <is>
          <t>Sold</t>
        </is>
      </c>
      <c r="K1354" s="6">
        <f>HYPERLINK("https://www.kleinanzeigen.de/s-anzeige/exocet-cross-94l-surfboard-windsurf-board-kein-jp-tabou-rrd/2772398240-230-9510", "Link")</f>
        <v/>
      </c>
      <c r="L1354" s="6">
        <f>HYPERLINK("C:\Projects\Kleinanzeigen-Scraper\offer_images\2772398240", "Link")</f>
        <v/>
      </c>
      <c r="M1354" t="inlineStr">
        <is>
          <t>Heiko Stock</t>
        </is>
      </c>
      <c r="N1354" s="6">
        <f>HYPERLINK("https://www.kleinanzeigen.de/s-bestandsliste.html?userId=5313813", "Link")</f>
        <v/>
      </c>
      <c r="O1354" s="7" t="n">
        <v>45549.57792824074</v>
      </c>
      <c r="P1354" s="3" t="inlineStr">
        <is>
          <t>352.31</t>
        </is>
      </c>
      <c r="Q1354" t="inlineStr">
        <is>
          <t>Köln</t>
        </is>
      </c>
    </row>
    <row r="1355">
      <c r="A1355" t="inlineStr">
        <is>
          <t>11'8" x 31"</t>
        </is>
      </c>
      <c r="B1355" t="inlineStr">
        <is>
          <t>JP Australia</t>
        </is>
      </c>
      <c r="C1355" t="inlineStr"/>
      <c r="D1355" s="3" t="inlineStr"/>
      <c r="E1355" t="inlineStr"/>
      <c r="F1355" s="4" t="n">
        <v>299</v>
      </c>
      <c r="G1355" t="inlineStr">
        <is>
          <t>VB</t>
        </is>
      </c>
      <c r="H1355" t="inlineStr">
        <is>
          <t>73037 Baden-Württemberg - Göppingen</t>
        </is>
      </c>
      <c r="I1355" s="5" t="n">
        <v>45544</v>
      </c>
      <c r="J1355" t="inlineStr"/>
      <c r="K1355" s="6">
        <f>HYPERLINK("https://www.kleinanzeigen.de/s-anzeige/jp-australia-11-8-x-31-stand-up-board-paddel-huelle-finne/2858779836-230-9026", "Link")</f>
        <v/>
      </c>
      <c r="L1355" s="6">
        <f>HYPERLINK("C:\Projects\Kleinanzeigen-Scraper\offer_images\2858779836", "Link")</f>
        <v/>
      </c>
      <c r="M1355" t="inlineStr">
        <is>
          <t>Staufferbüchse</t>
        </is>
      </c>
      <c r="N1355" s="6">
        <f>HYPERLINK("https://www.kleinanzeigen.de/s-bestandsliste.html?userId=134462011", "Link")</f>
        <v/>
      </c>
      <c r="O1355" s="7" t="n">
        <v>45549.57792824074</v>
      </c>
      <c r="P1355" s="3" t="inlineStr">
        <is>
          <t>53.47</t>
        </is>
      </c>
      <c r="Q1355" t="inlineStr">
        <is>
          <t>Böblingen</t>
        </is>
      </c>
    </row>
    <row r="1356">
      <c r="A1356" t="inlineStr">
        <is>
          <t>241x80</t>
        </is>
      </c>
      <c r="B1356" t="inlineStr">
        <is>
          <t>Starboard Futura</t>
        </is>
      </c>
      <c r="C1356" t="inlineStr">
        <is>
          <t>Freeride</t>
        </is>
      </c>
      <c r="D1356" s="3" t="n">
        <v>141</v>
      </c>
      <c r="E1356" t="inlineStr"/>
      <c r="F1356" s="4" t="n">
        <v>300</v>
      </c>
      <c r="G1356" t="inlineStr">
        <is>
          <t>VB</t>
        </is>
      </c>
      <c r="H1356" t="inlineStr">
        <is>
          <t>45768 Nordrhein-Westfalen - Marl</t>
        </is>
      </c>
      <c r="I1356" s="5" t="n">
        <v>45547</v>
      </c>
      <c r="J1356" t="inlineStr"/>
      <c r="K1356" s="6">
        <f>HYPERLINK("https://www.kleinanzeigen.de/s-anzeige/starboard-futura-141/2861372209-230-1774", "Link")</f>
        <v/>
      </c>
      <c r="L1356" s="6">
        <f>HYPERLINK("C:\Projects\Kleinanzeigen-Scraper\offer_images\2861372209", "Link")</f>
        <v/>
      </c>
      <c r="M1356" t="inlineStr">
        <is>
          <t>Privat</t>
        </is>
      </c>
      <c r="N1356" s="6">
        <f>HYPERLINK("https://www.kleinanzeigen.de/s-bestandsliste.html?userId=9608519", "Link")</f>
        <v/>
      </c>
      <c r="O1356" s="7" t="n">
        <v>45549.57791666667</v>
      </c>
      <c r="P1356" s="3" t="inlineStr">
        <is>
          <t>80.12</t>
        </is>
      </c>
      <c r="Q1356" t="inlineStr">
        <is>
          <t>Köln</t>
        </is>
      </c>
    </row>
    <row r="1357">
      <c r="A1357" t="inlineStr">
        <is>
          <t>4'7"</t>
        </is>
      </c>
      <c r="B1357" t="inlineStr">
        <is>
          <t>Duotone Sky Style SLS</t>
        </is>
      </c>
      <c r="C1357" t="inlineStr">
        <is>
          <t>Wing Foil</t>
        </is>
      </c>
      <c r="D1357" s="3" t="n">
        <v>55</v>
      </c>
      <c r="E1357" t="inlineStr"/>
      <c r="F1357" s="4" t="n">
        <v>1</v>
      </c>
      <c r="G1357" t="inlineStr">
        <is>
          <t>VB</t>
        </is>
      </c>
      <c r="H1357" t="inlineStr">
        <is>
          <t>82041 Kr. München - Oberhaching</t>
        </is>
      </c>
      <c r="I1357" s="5" t="n">
        <v>45543</v>
      </c>
      <c r="J1357" t="inlineStr">
        <is>
          <t>Sold</t>
        </is>
      </c>
      <c r="K1357" s="6">
        <f>HYPERLINK("https://www.kleinanzeigen.de/s-anzeige/duotone-sky-style-sls-4-7-wing-foil-board/2857913171-230-17092", "Link")</f>
        <v/>
      </c>
      <c r="L1357" s="6">
        <f>HYPERLINK("C:\Projects\Kleinanzeigen-Scraper\offer_images\2857913171", "Link")</f>
        <v/>
      </c>
      <c r="M1357" t="inlineStr">
        <is>
          <t>Karin Gertenbach</t>
        </is>
      </c>
      <c r="N1357" s="6">
        <f>HYPERLINK("https://www.kleinanzeigen.de/s-bestandsliste.html?userId=27384519", "Link")</f>
        <v/>
      </c>
      <c r="O1357" s="7" t="n">
        <v>45549.57790509259</v>
      </c>
      <c r="P1357" s="3" t="inlineStr">
        <is>
          <t>12.39</t>
        </is>
      </c>
      <c r="Q1357" t="inlineStr">
        <is>
          <t>München</t>
        </is>
      </c>
    </row>
    <row r="1358">
      <c r="A1358" t="inlineStr">
        <is>
          <t>12.6 x 28</t>
        </is>
      </c>
      <c r="B1358" t="inlineStr">
        <is>
          <t>Starboard Generation</t>
        </is>
      </c>
      <c r="C1358" t="inlineStr"/>
      <c r="D1358" s="3" t="inlineStr"/>
      <c r="E1358" t="inlineStr">
        <is>
          <t>2023</t>
        </is>
      </c>
      <c r="F1358" s="4" t="n">
        <v>1.54</v>
      </c>
      <c r="G1358" t="inlineStr"/>
      <c r="H1358" t="inlineStr">
        <is>
          <t>14770 Brandenburg - Brandenburg an der Havel</t>
        </is>
      </c>
      <c r="I1358" s="5" t="n">
        <v>45530</v>
      </c>
      <c r="J1358" t="inlineStr"/>
      <c r="K1358" s="6">
        <f>HYPERLINK("https://www.kleinanzeigen.de/s-anzeige/sup-starboard-generation-12-6-x-28-hardboard-restbestaende-2024/2846860582-230-7739", "Link")</f>
        <v/>
      </c>
      <c r="L1358" s="6">
        <f>HYPERLINK("C:\Projects\Kleinanzeigen-Scraper\offer_images\2846860582", "Link")</f>
        <v/>
      </c>
      <c r="M1358" t="inlineStr">
        <is>
          <t>BORAVENT</t>
        </is>
      </c>
      <c r="N1358" s="6">
        <f>HYPERLINK("https://www.kleinanzeigen.de/s-bestandsliste.html?userId=55973585", "Link")</f>
        <v/>
      </c>
      <c r="O1358" s="7" t="n">
        <v>45549.57788194445</v>
      </c>
      <c r="P1358" s="3" t="inlineStr">
        <is>
          <t>416.86</t>
        </is>
      </c>
      <c r="Q1358" t="inlineStr">
        <is>
          <t>Köln</t>
        </is>
      </c>
    </row>
    <row r="1359">
      <c r="A1359" t="inlineStr">
        <is>
          <t>14 x 28</t>
        </is>
      </c>
      <c r="B1359" t="inlineStr">
        <is>
          <t>Starboard The Wall de Lux DC</t>
        </is>
      </c>
      <c r="C1359" t="inlineStr">
        <is>
          <t>Touring</t>
        </is>
      </c>
      <c r="D1359" s="3" t="n">
        <v>302</v>
      </c>
      <c r="E1359" t="inlineStr"/>
      <c r="F1359" s="4" t="n">
        <v>999</v>
      </c>
      <c r="G1359" t="inlineStr">
        <is>
          <t>VB</t>
        </is>
      </c>
      <c r="H1359" t="inlineStr">
        <is>
          <t>81667 München - Au-Haidhausen</t>
        </is>
      </c>
      <c r="I1359" s="5" t="n">
        <v>45530</v>
      </c>
      <c r="J1359" t="inlineStr"/>
      <c r="K1359" s="6">
        <f>HYPERLINK("https://www.kleinanzeigen.de/s-anzeige/sup-starboard-14-x-28-the-wall-de-lux-dc-24-isup/2846623922-230-6454", "Link")</f>
        <v/>
      </c>
      <c r="L1359" s="6">
        <f>HYPERLINK("C:\Projects\Kleinanzeigen-Scraper\offer_images\2846623922", "Link")</f>
        <v/>
      </c>
      <c r="M1359" t="inlineStr">
        <is>
          <t>Guido Meier</t>
        </is>
      </c>
      <c r="N1359" s="6">
        <f>HYPERLINK("https://www.kleinanzeigen.de/s-bestandsliste.html?userId=11953205", "Link")</f>
        <v/>
      </c>
      <c r="O1359" s="7" t="n">
        <v>45549.5778587963</v>
      </c>
      <c r="P1359" s="3" t="inlineStr">
        <is>
          <t>2.06</t>
        </is>
      </c>
      <c r="Q1359" t="inlineStr">
        <is>
          <t>München</t>
        </is>
      </c>
    </row>
    <row r="1360">
      <c r="A1360" t="inlineStr">
        <is>
          <t>138x41.5</t>
        </is>
      </c>
      <c r="B1360" t="inlineStr">
        <is>
          <t>Naish Motion</t>
        </is>
      </c>
      <c r="C1360" t="inlineStr"/>
      <c r="D1360" s="3" t="inlineStr"/>
      <c r="E1360" t="inlineStr"/>
      <c r="F1360" s="4" t="n">
        <v>320</v>
      </c>
      <c r="G1360" t="inlineStr">
        <is>
          <t>VB</t>
        </is>
      </c>
      <c r="H1360" t="inlineStr">
        <is>
          <t>97422 Bayern - Schweinfurt</t>
        </is>
      </c>
      <c r="I1360" s="5" t="n">
        <v>45538</v>
      </c>
      <c r="J1360" t="inlineStr">
        <is>
          <t>Sold</t>
        </is>
      </c>
      <c r="K1360" s="6">
        <f>HYPERLINK("https://www.kleinanzeigen.de/s-anzeige/kiteboard-naish-motion-138x41-5-topp-/2853163564-230-6858", "Link")</f>
        <v/>
      </c>
      <c r="L1360" s="6">
        <f>HYPERLINK("C:\Projects\Kleinanzeigen-Scraper\offer_images\2853163564", "Link")</f>
        <v/>
      </c>
      <c r="M1360" t="inlineStr">
        <is>
          <t>M.P</t>
        </is>
      </c>
      <c r="N1360" s="6">
        <f>HYPERLINK("https://www.kleinanzeigen.de/s-bestandsliste.html?userId=67490763", "Link")</f>
        <v/>
      </c>
      <c r="O1360" s="7" t="n">
        <v>45549.5778587963</v>
      </c>
      <c r="P1360" s="3" t="inlineStr">
        <is>
          <t>176.76</t>
        </is>
      </c>
      <c r="Q1360" t="inlineStr">
        <is>
          <t>Karlsruhe</t>
        </is>
      </c>
    </row>
    <row r="1361">
      <c r="A1361" t="inlineStr">
        <is>
          <t>277 cm</t>
        </is>
      </c>
      <c r="B1361" t="inlineStr">
        <is>
          <t>Mistral Screamer</t>
        </is>
      </c>
      <c r="C1361" t="inlineStr">
        <is>
          <t>Freeride</t>
        </is>
      </c>
      <c r="D1361" s="3" t="n">
        <v>103</v>
      </c>
      <c r="E1361" t="inlineStr"/>
      <c r="F1361" s="4" t="n">
        <v>50</v>
      </c>
      <c r="G1361" t="inlineStr"/>
      <c r="H1361" t="inlineStr">
        <is>
          <t>41564 Nordrhein-Westfalen - Kaarst</t>
        </is>
      </c>
      <c r="I1361" s="5" t="n">
        <v>45548</v>
      </c>
      <c r="J1361" t="inlineStr">
        <is>
          <t>Sold</t>
        </is>
      </c>
      <c r="K1361" s="6">
        <f>HYPERLINK("https://www.kleinanzeigen.de/s-anzeige/windsurf-board-mistral-screamer/2862332149-230-2107", "Link")</f>
        <v/>
      </c>
      <c r="L1361" s="6">
        <f>HYPERLINK("C:\Projects\Kleinanzeigen-Scraper\offer_images\2862332149", "Link")</f>
        <v/>
      </c>
      <c r="M1361" t="inlineStr">
        <is>
          <t>Hans-Jürgen</t>
        </is>
      </c>
      <c r="N1361" s="6">
        <f>HYPERLINK("https://www.kleinanzeigen.de/s-bestandsliste.html?userId=67801432", "Link")</f>
        <v/>
      </c>
      <c r="O1361" s="7" t="n">
        <v>45549.5778587963</v>
      </c>
      <c r="P1361" s="3" t="inlineStr">
        <is>
          <t>39.22</t>
        </is>
      </c>
      <c r="Q1361" t="inlineStr">
        <is>
          <t>Köln</t>
        </is>
      </c>
    </row>
    <row r="1362">
      <c r="A1362" t="inlineStr">
        <is>
          <t>245 cm x 70 cm</t>
        </is>
      </c>
      <c r="B1362" t="inlineStr">
        <is>
          <t>Duotone Eagle SLS</t>
        </is>
      </c>
      <c r="C1362" t="inlineStr">
        <is>
          <t>Freeride</t>
        </is>
      </c>
      <c r="D1362" s="3" t="n">
        <v>120</v>
      </c>
      <c r="E1362" t="inlineStr">
        <is>
          <t>2024</t>
        </is>
      </c>
      <c r="F1362" s="4" t="n">
        <v>1.499</v>
      </c>
      <c r="G1362" t="inlineStr">
        <is>
          <t>VB</t>
        </is>
      </c>
      <c r="H1362" t="inlineStr">
        <is>
          <t>23769 Fehmarn - Westfehmarn</t>
        </is>
      </c>
      <c r="I1362" s="5" t="n">
        <v>45539</v>
      </c>
      <c r="J1362" t="inlineStr">
        <is>
          <t>Sold</t>
        </is>
      </c>
      <c r="K1362" s="6">
        <f>HYPERLINK("https://www.kleinanzeigen.de/s-anzeige/duotone-eagle-sls-2024/2781175179-230-430", "Link")</f>
        <v/>
      </c>
      <c r="L1362" s="6">
        <f>HYPERLINK("C:\Projects\Kleinanzeigen-Scraper\offer_images\2781175179", "Link")</f>
        <v/>
      </c>
      <c r="M1362" t="inlineStr">
        <is>
          <t>No user name</t>
        </is>
      </c>
      <c r="N1362" s="6">
        <f>HYPERLINK("https://www.kleinanzeigen.deNo user link", "Link")</f>
        <v/>
      </c>
      <c r="O1362" s="7" t="n">
        <v>45549.5778587963</v>
      </c>
      <c r="P1362" s="3" t="inlineStr">
        <is>
          <t>483.01</t>
        </is>
      </c>
      <c r="Q1362" t="inlineStr">
        <is>
          <t>Köln</t>
        </is>
      </c>
    </row>
    <row r="1363">
      <c r="A1363" t="inlineStr">
        <is>
          <t>144x41.5</t>
        </is>
      </c>
      <c r="B1363" t="inlineStr">
        <is>
          <t>Naish</t>
        </is>
      </c>
      <c r="C1363" t="inlineStr"/>
      <c r="D1363" s="3" t="inlineStr"/>
      <c r="E1363" t="inlineStr"/>
      <c r="F1363" s="4" t="n">
        <v>269</v>
      </c>
      <c r="G1363" t="inlineStr">
        <is>
          <t>VB</t>
        </is>
      </c>
      <c r="H1363" t="inlineStr">
        <is>
          <t>87669 Bayern - Rieden a. Forggensee</t>
        </is>
      </c>
      <c r="I1363" s="5" t="n">
        <v>45518</v>
      </c>
      <c r="J1363" t="inlineStr">
        <is>
          <t>Sold</t>
        </is>
      </c>
      <c r="K1363" s="6">
        <f>HYPERLINK("https://www.kleinanzeigen.de/s-anzeige/kiteboard-naish-144-inkl-schlaufen-und-finnen/2836568151-230-6570", "Link")</f>
        <v/>
      </c>
      <c r="L1363" s="6">
        <f>HYPERLINK("C:\Projects\Kleinanzeigen-Scraper\offer_images\2836568151", "Link")</f>
        <v/>
      </c>
      <c r="M1363" t="inlineStr">
        <is>
          <t>Henrik Otto</t>
        </is>
      </c>
      <c r="N1363" s="6">
        <f>HYPERLINK("https://www.kleinanzeigen.de/s-bestandsliste.html?userId=28204943", "Link")</f>
        <v/>
      </c>
      <c r="O1363" s="7" t="n">
        <v>45549.57783564815</v>
      </c>
      <c r="P1363" s="3" t="inlineStr">
        <is>
          <t>86.30</t>
        </is>
      </c>
      <c r="Q1363" t="inlineStr">
        <is>
          <t>München</t>
        </is>
      </c>
    </row>
    <row r="1364">
      <c r="A1364" t="inlineStr"/>
      <c r="B1364" t="inlineStr">
        <is>
          <t>Fanatic Gecko 148L LTD</t>
        </is>
      </c>
      <c r="C1364" t="inlineStr">
        <is>
          <t>Freeride</t>
        </is>
      </c>
      <c r="D1364" s="3" t="n">
        <v>148</v>
      </c>
      <c r="E1364" t="inlineStr">
        <is>
          <t>40 Jahre Fanatic Edition</t>
        </is>
      </c>
      <c r="F1364" s="4" t="n">
        <v>985</v>
      </c>
      <c r="G1364" t="inlineStr">
        <is>
          <t>VB</t>
        </is>
      </c>
      <c r="H1364" t="inlineStr">
        <is>
          <t>46483 Nordrhein-Westfalen - Wesel</t>
        </is>
      </c>
      <c r="I1364" s="5" t="n">
        <v>45532</v>
      </c>
      <c r="J1364" t="inlineStr">
        <is>
          <t>Sold</t>
        </is>
      </c>
      <c r="K1364" s="6">
        <f>HYPERLINK("https://www.kleinanzeigen.de/s-anzeige/fanatic-gecko-148l-ltd-freeride-windsurfboard/2848684868-230-1867", "Link")</f>
        <v/>
      </c>
      <c r="L1364" s="6">
        <f>HYPERLINK("C:\Projects\Kleinanzeigen-Scraper\offer_images\2848684868", "Link")</f>
        <v/>
      </c>
      <c r="M1364" t="inlineStr">
        <is>
          <t>R. Klimek</t>
        </is>
      </c>
      <c r="N1364" s="6">
        <f>HYPERLINK("https://www.kleinanzeigen.de/s-bestandsliste.html?userId=15874144", "Link")</f>
        <v/>
      </c>
      <c r="O1364" s="7" t="n">
        <v>45549.57783564815</v>
      </c>
      <c r="P1364" s="3" t="inlineStr">
        <is>
          <t>83.87</t>
        </is>
      </c>
      <c r="Q1364" t="inlineStr">
        <is>
          <t>Köln</t>
        </is>
      </c>
    </row>
    <row r="1365">
      <c r="A1365" t="inlineStr">
        <is>
          <t>239.8 x 74.8 x 12.6</t>
        </is>
      </c>
      <c r="B1365" t="inlineStr">
        <is>
          <t>Goya Bolt</t>
        </is>
      </c>
      <c r="C1365" t="inlineStr">
        <is>
          <t>Freerace</t>
        </is>
      </c>
      <c r="D1365" s="3" t="n">
        <v>127</v>
      </c>
      <c r="E1365" t="inlineStr"/>
      <c r="F1365" s="4" t="n">
        <v>1.149</v>
      </c>
      <c r="G1365" t="inlineStr">
        <is>
          <t>VB</t>
        </is>
      </c>
      <c r="H1365" t="inlineStr">
        <is>
          <t>28865 Niedersachsen - Lilienthal</t>
        </is>
      </c>
      <c r="I1365" s="5" t="n">
        <v>45370</v>
      </c>
      <c r="J1365" t="inlineStr"/>
      <c r="K1365" s="6">
        <f>HYPERLINK("https://www.kleinanzeigen.de/s-anzeige/goya-bolt-127l-freerace-inkl-mfc-boardbag-finne/2710626567-230-2650", "Link")</f>
        <v/>
      </c>
      <c r="L1365" s="6">
        <f>HYPERLINK("C:\Projects\Kleinanzeigen-Scraper\offer_images\2710626567", "Link")</f>
        <v/>
      </c>
      <c r="M1365" t="inlineStr">
        <is>
          <t>Carsten</t>
        </is>
      </c>
      <c r="N1365" s="6">
        <f>HYPERLINK("https://www.kleinanzeigen.de/s-bestandsliste.html?userId=16705124", "Link")</f>
        <v/>
      </c>
      <c r="O1365" s="7" t="n">
        <v>45549.57783564815</v>
      </c>
      <c r="P1365" s="3" t="inlineStr">
        <is>
          <t>280.02</t>
        </is>
      </c>
      <c r="Q1365" t="inlineStr">
        <is>
          <t>Köln</t>
        </is>
      </c>
    </row>
    <row r="1366">
      <c r="A1366" t="inlineStr">
        <is>
          <t>143 x 42</t>
        </is>
      </c>
      <c r="B1366" t="inlineStr">
        <is>
          <t>North Flare</t>
        </is>
      </c>
      <c r="C1366" t="inlineStr">
        <is>
          <t>Wakestyle / Park</t>
        </is>
      </c>
      <c r="D1366" s="3" t="inlineStr"/>
      <c r="E1366" t="inlineStr"/>
      <c r="F1366" s="4" t="n">
        <v>340</v>
      </c>
      <c r="G1366" t="inlineStr">
        <is>
          <t>VB</t>
        </is>
      </c>
      <c r="H1366" t="inlineStr">
        <is>
          <t>63322 Hessen - Rödermark</t>
        </is>
      </c>
      <c r="I1366" s="5" t="n">
        <v>45539</v>
      </c>
      <c r="J1366" t="inlineStr">
        <is>
          <t>Sold</t>
        </is>
      </c>
      <c r="K1366" s="6">
        <f>HYPERLINK("https://www.kleinanzeigen.de/s-anzeige/north-flare-kiteboarding-board/2854478723-230-4514", "Link")</f>
        <v/>
      </c>
      <c r="L1366" s="6">
        <f>HYPERLINK("C:\Projects\Kleinanzeigen-Scraper\offer_images\2854478723", "Link")</f>
        <v/>
      </c>
      <c r="M1366" t="inlineStr">
        <is>
          <t>David jeuck</t>
        </is>
      </c>
      <c r="N1366" s="6">
        <f>HYPERLINK("https://www.kleinanzeigen.de/s-bestandsliste.html?userId=72768602", "Link")</f>
        <v/>
      </c>
      <c r="O1366" s="7" t="n">
        <v>45549.57783564815</v>
      </c>
      <c r="P1366" s="3" t="inlineStr">
        <is>
          <t>111.99</t>
        </is>
      </c>
      <c r="Q1366" t="inlineStr">
        <is>
          <t>Karlsruhe</t>
        </is>
      </c>
    </row>
    <row r="1367">
      <c r="A1367" t="inlineStr">
        <is>
          <t>117</t>
        </is>
      </c>
      <c r="B1367" t="inlineStr">
        <is>
          <t>Fanatic Blast</t>
        </is>
      </c>
      <c r="C1367" t="inlineStr">
        <is>
          <t>Freeride</t>
        </is>
      </c>
      <c r="D1367" s="3" t="n">
        <v>117</v>
      </c>
      <c r="E1367" t="inlineStr">
        <is>
          <t>2023</t>
        </is>
      </c>
      <c r="F1367" s="4" t="n">
        <v>750</v>
      </c>
      <c r="G1367" t="inlineStr">
        <is>
          <t>VB</t>
        </is>
      </c>
      <c r="H1367" t="inlineStr">
        <is>
          <t>83727 Bayern - Schliersee</t>
        </is>
      </c>
      <c r="I1367" s="5" t="n">
        <v>45507</v>
      </c>
      <c r="J1367" t="inlineStr">
        <is>
          <t>Sold</t>
        </is>
      </c>
      <c r="K1367" s="6">
        <f>HYPERLINK("https://www.kleinanzeigen.de/s-anzeige/surfboard-fanatic-blast-117-l-freeride/2828006482-230-5897", "Link")</f>
        <v/>
      </c>
      <c r="L1367" s="6">
        <f>HYPERLINK("C:\Projects\Kleinanzeigen-Scraper\offer_images\2828006482", "Link")</f>
        <v/>
      </c>
      <c r="M1367" t="inlineStr">
        <is>
          <t>Jörg</t>
        </is>
      </c>
      <c r="N1367" s="6">
        <f>HYPERLINK("https://www.kleinanzeigen.de/s-bestandsliste.html?userId=56489826", "Link")</f>
        <v/>
      </c>
      <c r="O1367" s="7" t="n">
        <v>45549.57782407408</v>
      </c>
      <c r="P1367" s="3" t="inlineStr">
        <is>
          <t>54.23</t>
        </is>
      </c>
      <c r="Q1367" t="inlineStr">
        <is>
          <t>München</t>
        </is>
      </c>
    </row>
    <row r="1368">
      <c r="A1368" t="inlineStr">
        <is>
          <t>93</t>
        </is>
      </c>
      <c r="B1368" t="inlineStr">
        <is>
          <t>Fanatic Grip</t>
        </is>
      </c>
      <c r="C1368" t="inlineStr">
        <is>
          <t>Wave</t>
        </is>
      </c>
      <c r="D1368" s="3" t="inlineStr"/>
      <c r="E1368" t="inlineStr">
        <is>
          <t>2023</t>
        </is>
      </c>
      <c r="F1368" s="4" t="n">
        <v>999</v>
      </c>
      <c r="G1368" t="inlineStr">
        <is>
          <t>VB</t>
        </is>
      </c>
      <c r="H1368" t="inlineStr">
        <is>
          <t>21465 Schleswig-Holstein - Reinbek</t>
        </is>
      </c>
      <c r="I1368" s="5" t="n">
        <v>45530</v>
      </c>
      <c r="J1368" t="inlineStr">
        <is>
          <t>Sold</t>
        </is>
      </c>
      <c r="K1368" s="6">
        <f>HYPERLINK("https://www.kleinanzeigen.de/s-anzeige/fanatic-grip-93-te-2023er/2846918825-230-13590", "Link")</f>
        <v/>
      </c>
      <c r="L1368" s="6">
        <f>HYPERLINK("C:\Projects\Kleinanzeigen-Scraper\offer_images\2846918825", "Link")</f>
        <v/>
      </c>
      <c r="M1368" t="inlineStr">
        <is>
          <t>Christian von Holten</t>
        </is>
      </c>
      <c r="N1368" s="6">
        <f>HYPERLINK("https://www.kleinanzeigen.de/s-bestandsliste.html?userId=566678", "Link")</f>
        <v/>
      </c>
      <c r="O1368" s="7" t="n">
        <v>45549.57782407408</v>
      </c>
      <c r="P1368" s="3" t="inlineStr">
        <is>
          <t>366.85</t>
        </is>
      </c>
      <c r="Q1368" t="inlineStr">
        <is>
          <t>Köln</t>
        </is>
      </c>
    </row>
    <row r="1369">
      <c r="A1369" t="inlineStr">
        <is>
          <t>232 cm x 64 cm</t>
        </is>
      </c>
      <c r="B1369" t="inlineStr">
        <is>
          <t>RRD FSW</t>
        </is>
      </c>
      <c r="C1369" t="inlineStr">
        <is>
          <t>Freestyle Wave</t>
        </is>
      </c>
      <c r="D1369" s="3" t="n">
        <v>104</v>
      </c>
      <c r="E1369" t="inlineStr"/>
      <c r="F1369" s="4" t="n">
        <v>465</v>
      </c>
      <c r="G1369" t="inlineStr"/>
      <c r="H1369" t="inlineStr">
        <is>
          <t>81476 München - Thalk.Obersendl.-Forsten-Fürstenr.-Solln</t>
        </is>
      </c>
      <c r="I1369" s="5" t="n">
        <v>45541</v>
      </c>
      <c r="J1369" t="inlineStr">
        <is>
          <t>Sold</t>
        </is>
      </c>
      <c r="K1369" s="6">
        <f>HYPERLINK("https://www.kleinanzeigen.de/s-anzeige/rrd-fsw-freestyle-wave-104l-v4-windsurf-board-brett/2856060909-230-6436", "Link")</f>
        <v/>
      </c>
      <c r="L1369" s="6">
        <f>HYPERLINK("C:\Projects\Kleinanzeigen-Scraper\offer_images\2856060909", "Link")</f>
        <v/>
      </c>
      <c r="M1369" t="inlineStr">
        <is>
          <t>Mike</t>
        </is>
      </c>
      <c r="N1369" s="6">
        <f>HYPERLINK("https://www.kleinanzeigen.de/s-bestandsliste.html?userId=27971111", "Link")</f>
        <v/>
      </c>
      <c r="O1369" s="7" t="n">
        <v>45549.57780092592</v>
      </c>
      <c r="P1369" s="3" t="inlineStr">
        <is>
          <t>8.19</t>
        </is>
      </c>
      <c r="Q1369" t="inlineStr">
        <is>
          <t>München</t>
        </is>
      </c>
    </row>
    <row r="1370">
      <c r="A1370" t="inlineStr"/>
      <c r="B1370" t="inlineStr">
        <is>
          <t>Fanatic Grip</t>
        </is>
      </c>
      <c r="C1370" t="inlineStr">
        <is>
          <t>Wave</t>
        </is>
      </c>
      <c r="D1370" s="3" t="n">
        <v>76</v>
      </c>
      <c r="E1370" t="inlineStr">
        <is>
          <t>2018</t>
        </is>
      </c>
      <c r="F1370" s="4" t="n">
        <v>400</v>
      </c>
      <c r="G1370" t="inlineStr">
        <is>
          <t>VB</t>
        </is>
      </c>
      <c r="H1370" t="inlineStr">
        <is>
          <t>18055 Rostock - Stadtmitte</t>
        </is>
      </c>
      <c r="I1370" s="5" t="n">
        <v>45533</v>
      </c>
      <c r="J1370" t="inlineStr">
        <is>
          <t>Sold</t>
        </is>
      </c>
      <c r="K1370" s="6">
        <f>HYPERLINK("https://www.kleinanzeigen.de/s-anzeige/fanatic-grip-76-liter-wave-windsurfboard-/2849469455-230-157", "Link")</f>
        <v/>
      </c>
      <c r="L1370" s="6">
        <f>HYPERLINK("C:\Projects\Kleinanzeigen-Scraper\offer_images\2849469455", "Link")</f>
        <v/>
      </c>
      <c r="M1370" t="inlineStr">
        <is>
          <t>Flo</t>
        </is>
      </c>
      <c r="N1370" s="6">
        <f>HYPERLINK("https://www.kleinanzeigen.de/s-bestandsliste.html?userId=81965440", "Link")</f>
        <v/>
      </c>
      <c r="O1370" s="7" t="n">
        <v>45549.57780092592</v>
      </c>
      <c r="P1370" s="3" t="inlineStr">
        <is>
          <t>496.50</t>
        </is>
      </c>
      <c r="Q1370" t="inlineStr">
        <is>
          <t>Köln</t>
        </is>
      </c>
    </row>
    <row r="1371">
      <c r="A1371" t="inlineStr">
        <is>
          <t>Dimensions not provided</t>
        </is>
      </c>
      <c r="B1371" t="inlineStr">
        <is>
          <t>Mistral, Tabou, Starboard</t>
        </is>
      </c>
      <c r="C1371" t="inlineStr"/>
      <c r="D1371" s="3" t="n">
        <v>105</v>
      </c>
      <c r="E1371" t="inlineStr"/>
      <c r="F1371" s="4" t="n">
        <v>150</v>
      </c>
      <c r="G1371" t="inlineStr"/>
      <c r="H1371" t="inlineStr">
        <is>
          <t>71522 Baden-Württemberg - Backnang</t>
        </is>
      </c>
      <c r="I1371" s="5" t="n">
        <v>45441</v>
      </c>
      <c r="J1371" t="inlineStr"/>
      <c r="K1371" s="6">
        <f>HYPERLINK("https://www.kleinanzeigen.de/s-anzeige/surfbrett-surfboard-mistral-tabou-starboard/2774318039-230-8355", "Link")</f>
        <v/>
      </c>
      <c r="L1371" s="6">
        <f>HYPERLINK("C:\Projects\Kleinanzeigen-Scraper\offer_images\2774318039", "Link")</f>
        <v/>
      </c>
      <c r="M1371" t="inlineStr">
        <is>
          <t>Celine Backnang</t>
        </is>
      </c>
      <c r="N1371" s="6">
        <f>HYPERLINK("https://www.kleinanzeigen.de/s-bestandsliste.html?userId=141196728", "Link")</f>
        <v/>
      </c>
      <c r="O1371" s="7" t="n">
        <v>45549.57780092592</v>
      </c>
      <c r="P1371" s="3" t="inlineStr">
        <is>
          <t>45.09</t>
        </is>
      </c>
      <c r="Q1371" t="inlineStr">
        <is>
          <t>Böblingen</t>
        </is>
      </c>
    </row>
    <row r="1372">
      <c r="A1372" t="inlineStr">
        <is>
          <t>125</t>
        </is>
      </c>
      <c r="B1372" t="inlineStr">
        <is>
          <t>Starboard Kode</t>
        </is>
      </c>
      <c r="C1372" t="inlineStr">
        <is>
          <t>Freeride</t>
        </is>
      </c>
      <c r="D1372" s="3" t="inlineStr"/>
      <c r="E1372" t="inlineStr"/>
      <c r="F1372" s="4" t="n">
        <v>70</v>
      </c>
      <c r="G1372" t="inlineStr"/>
      <c r="H1372" t="inlineStr">
        <is>
          <t>90480 Nürnberg (Mittelfr) - Oststadt</t>
        </is>
      </c>
      <c r="I1372" s="5" t="n">
        <v>45544</v>
      </c>
      <c r="J1372" t="inlineStr"/>
      <c r="K1372" s="6">
        <f>HYPERLINK("https://www.kleinanzeigen.de/s-anzeige/windsurf-board-starboard-kode-122custom/2858350804-230-6818", "Link")</f>
        <v/>
      </c>
      <c r="L1372" s="6">
        <f>HYPERLINK("C:\Projects\Kleinanzeigen-Scraper\offer_images\2858350804", "Link")</f>
        <v/>
      </c>
      <c r="M1372" t="inlineStr">
        <is>
          <t>Bolte Björn</t>
        </is>
      </c>
      <c r="N1372" s="6">
        <f>HYPERLINK("https://www.kleinanzeigen.de/s-bestandsliste.html?userId=39343324", "Link")</f>
        <v/>
      </c>
      <c r="O1372" s="7" t="n">
        <v>45549.57777777778</v>
      </c>
      <c r="P1372" s="3" t="inlineStr">
        <is>
          <t>148.86</t>
        </is>
      </c>
      <c r="Q1372" t="inlineStr">
        <is>
          <t>München</t>
        </is>
      </c>
    </row>
    <row r="1373">
      <c r="A1373" t="inlineStr">
        <is>
          <t>8.3</t>
        </is>
      </c>
      <c r="B1373" t="inlineStr">
        <is>
          <t>Naish</t>
        </is>
      </c>
      <c r="C1373" t="inlineStr">
        <is>
          <t>Wave</t>
        </is>
      </c>
      <c r="D1373" s="3" t="inlineStr"/>
      <c r="E1373" t="inlineStr"/>
      <c r="F1373" s="4" t="inlineStr"/>
      <c r="G1373" t="inlineStr">
        <is>
          <t>VB</t>
        </is>
      </c>
      <c r="H1373" t="inlineStr">
        <is>
          <t>58332 Nordrhein-Westfalen - Schwelm</t>
        </is>
      </c>
      <c r="I1373" s="5" t="n">
        <v>45512</v>
      </c>
      <c r="J1373" t="inlineStr"/>
      <c r="K1373" s="6">
        <f>HYPERLINK("https://www.kleinanzeigen.de/s-anzeige/naish-wave-surfbrett-8-3-weitere-bretter-segel-etc-/2832195448-230-1558", "Link")</f>
        <v/>
      </c>
      <c r="L1373" s="6">
        <f>HYPERLINK("C:\Projects\Kleinanzeigen-Scraper\offer_images\2832195448", "Link")</f>
        <v/>
      </c>
      <c r="M1373" t="inlineStr">
        <is>
          <t>Privat</t>
        </is>
      </c>
      <c r="N1373" s="6">
        <f>HYPERLINK("https://www.kleinanzeigen.de/s-bestandsliste.html?userId=12066572", "Link")</f>
        <v/>
      </c>
      <c r="O1373" s="7" t="n">
        <v>45549.57777777778</v>
      </c>
      <c r="P1373" s="3" t="inlineStr">
        <is>
          <t>44.94</t>
        </is>
      </c>
      <c r="Q1373" t="inlineStr">
        <is>
          <t>Köln</t>
        </is>
      </c>
    </row>
    <row r="1374">
      <c r="A1374" t="inlineStr">
        <is>
          <t>145</t>
        </is>
      </c>
      <c r="B1374" t="inlineStr">
        <is>
          <t>Tabou Bullit</t>
        </is>
      </c>
      <c r="C1374" t="inlineStr">
        <is>
          <t>Freeride</t>
        </is>
      </c>
      <c r="D1374" s="3" t="inlineStr"/>
      <c r="E1374" t="inlineStr"/>
      <c r="F1374" s="4" t="n">
        <v>450</v>
      </c>
      <c r="G1374" t="inlineStr">
        <is>
          <t>VB</t>
        </is>
      </c>
      <c r="H1374" t="inlineStr">
        <is>
          <t>79804 Baden-Württemberg - Dogern</t>
        </is>
      </c>
      <c r="I1374" s="5" t="n">
        <v>45524</v>
      </c>
      <c r="J1374" t="inlineStr">
        <is>
          <t>Sold</t>
        </is>
      </c>
      <c r="K1374" s="6">
        <f>HYPERLINK("https://www.kleinanzeigen.de/s-anzeige/surfbrett-windsurfbrett-tabou-bullit-145/2842238581-230-8300", "Link")</f>
        <v/>
      </c>
      <c r="L1374" s="6">
        <f>HYPERLINK("C:\Projects\Kleinanzeigen-Scraper\offer_images\2842238581", "Link")</f>
        <v/>
      </c>
      <c r="M1374" t="inlineStr">
        <is>
          <t>Thomas Gethke</t>
        </is>
      </c>
      <c r="N1374" s="6">
        <f>HYPERLINK("https://www.kleinanzeigen.de/s-bestandsliste.html?userId=6226478", "Link")</f>
        <v/>
      </c>
      <c r="O1374" s="7" t="n">
        <v>45549.57777777778</v>
      </c>
      <c r="P1374" s="3" t="inlineStr">
        <is>
          <t>26.60</t>
        </is>
      </c>
      <c r="Q1374" t="inlineStr">
        <is>
          <t>Bonndorf</t>
        </is>
      </c>
    </row>
    <row r="1375">
      <c r="A1375" t="inlineStr">
        <is>
          <t>5'3</t>
        </is>
      </c>
      <c r="B1375" t="inlineStr">
        <is>
          <t>DUOTONE Pro Voke</t>
        </is>
      </c>
      <c r="C1375" t="inlineStr">
        <is>
          <t>Strapless Freestyle</t>
        </is>
      </c>
      <c r="D1375" s="3" t="inlineStr"/>
      <c r="E1375" t="inlineStr">
        <is>
          <t>2020</t>
        </is>
      </c>
      <c r="F1375" s="4" t="n">
        <v>608</v>
      </c>
      <c r="G1375" t="inlineStr"/>
      <c r="H1375" t="inlineStr">
        <is>
          <t>17509 Mecklenburg-Vorpommern - Loissin</t>
        </is>
      </c>
      <c r="I1375" s="5" t="n">
        <v>45547</v>
      </c>
      <c r="J1375" t="inlineStr">
        <is>
          <t>Sold</t>
        </is>
      </c>
      <c r="K1375" s="6">
        <f>HYPERLINK("https://www.kleinanzeigen.de/s-anzeige/duotone-pro-voke-2020-5-3-testboard-/2735355989-230-21340", "Link")</f>
        <v/>
      </c>
      <c r="L1375" s="6">
        <f>HYPERLINK("C:\Projects\Kleinanzeigen-Scraper\offer_images\2735355989", "Link")</f>
        <v/>
      </c>
      <c r="M1375" t="inlineStr">
        <is>
          <t>No user name</t>
        </is>
      </c>
      <c r="N1375" s="6">
        <f>HYPERLINK("https://www.kleinanzeigen.deNo user link", "Link")</f>
        <v/>
      </c>
      <c r="O1375" s="7" t="n">
        <v>45549.57777777778</v>
      </c>
      <c r="P1375" s="3" t="inlineStr">
        <is>
          <t>568.47</t>
        </is>
      </c>
      <c r="Q1375" t="inlineStr">
        <is>
          <t>Köln</t>
        </is>
      </c>
    </row>
    <row r="1376">
      <c r="A1376" t="inlineStr"/>
      <c r="B1376" t="inlineStr">
        <is>
          <t>Tabou Rocket LTD</t>
        </is>
      </c>
      <c r="C1376" t="inlineStr">
        <is>
          <t>Freeride</t>
        </is>
      </c>
      <c r="D1376" s="3" t="n">
        <v>105</v>
      </c>
      <c r="E1376" t="inlineStr"/>
      <c r="F1376" s="4" t="n">
        <v>605</v>
      </c>
      <c r="G1376" t="inlineStr">
        <is>
          <t>VB</t>
        </is>
      </c>
      <c r="H1376" t="inlineStr">
        <is>
          <t>83395 Bayern - Freilassing</t>
        </is>
      </c>
      <c r="I1376" s="5" t="n">
        <v>45543</v>
      </c>
      <c r="J1376" t="inlineStr">
        <is>
          <t>Sold</t>
        </is>
      </c>
      <c r="K1376" s="6">
        <f>HYPERLINK("https://www.kleinanzeigen.de/s-anzeige/tabou-rocket-ltd-105-neuwertig/2857184955-230-6273", "Link")</f>
        <v/>
      </c>
      <c r="L1376" s="6">
        <f>HYPERLINK("C:\Projects\Kleinanzeigen-Scraper\offer_images\2857184955", "Link")</f>
        <v/>
      </c>
      <c r="M1376" t="inlineStr">
        <is>
          <t>Rupert Promintzer</t>
        </is>
      </c>
      <c r="N1376" s="6">
        <f>HYPERLINK("https://www.kleinanzeigen.de/s-bestandsliste.html?userId=24350255", "Link")</f>
        <v/>
      </c>
      <c r="O1376" s="7" t="n">
        <v>45549.57775462963</v>
      </c>
      <c r="P1376" s="3" t="inlineStr">
        <is>
          <t>108.85</t>
        </is>
      </c>
      <c r="Q1376" t="inlineStr">
        <is>
          <t>München</t>
        </is>
      </c>
    </row>
    <row r="1377">
      <c r="A1377" t="inlineStr">
        <is>
          <t>5'0</t>
        </is>
      </c>
      <c r="B1377" t="inlineStr">
        <is>
          <t>Duotone Hybrid SLS</t>
        </is>
      </c>
      <c r="C1377" t="inlineStr">
        <is>
          <t>Waveboard/Foil</t>
        </is>
      </c>
      <c r="D1377" s="3" t="inlineStr"/>
      <c r="E1377" t="inlineStr">
        <is>
          <t>2024</t>
        </is>
      </c>
      <c r="F1377" s="4" t="n">
        <v>714</v>
      </c>
      <c r="G1377" t="inlineStr"/>
      <c r="H1377" t="inlineStr">
        <is>
          <t>22457 Eimsbüttel - Hamburg Schnelsen</t>
        </is>
      </c>
      <c r="I1377" s="5" t="n">
        <v>45547</v>
      </c>
      <c r="J1377" t="inlineStr">
        <is>
          <t>Sold</t>
        </is>
      </c>
      <c r="K1377" s="6">
        <f>HYPERLINK("https://www.kleinanzeigen.de/s-anzeige/duotone-hybrid-sls-kitebard-waveboard-foil-neu-5-0-2024/2861076747-230-9492", "Link")</f>
        <v/>
      </c>
      <c r="L1377" s="6">
        <f>HYPERLINK("C:\Projects\Kleinanzeigen-Scraper\offer_images\2861076747", "Link")</f>
        <v/>
      </c>
      <c r="M1377" t="inlineStr">
        <is>
          <t>No user name</t>
        </is>
      </c>
      <c r="N1377" s="6">
        <f>HYPERLINK("https://www.kleinanzeigen.deNo user link", "Link")</f>
        <v/>
      </c>
      <c r="O1377" s="7" t="n">
        <v>45549.57775462963</v>
      </c>
      <c r="P1377" s="3" t="inlineStr">
        <is>
          <t>362.41</t>
        </is>
      </c>
      <c r="Q1377" t="inlineStr">
        <is>
          <t>Köln</t>
        </is>
      </c>
    </row>
    <row r="1378">
      <c r="A1378" t="inlineStr">
        <is>
          <t>230 x 74</t>
        </is>
      </c>
      <c r="B1378" t="inlineStr">
        <is>
          <t>Simmer Style Monster G6</t>
        </is>
      </c>
      <c r="C1378" t="inlineStr"/>
      <c r="D1378" s="3" t="n">
        <v>116</v>
      </c>
      <c r="E1378" t="inlineStr">
        <is>
          <t>2023</t>
        </is>
      </c>
      <c r="F1378" s="4" t="n">
        <v>1.2</v>
      </c>
      <c r="G1378" t="inlineStr"/>
      <c r="H1378" t="inlineStr">
        <is>
          <t>79395 Baden-Württemberg - Neuenburg am Rhein</t>
        </is>
      </c>
      <c r="I1378" s="5" t="n">
        <v>45368</v>
      </c>
      <c r="J1378" t="inlineStr"/>
      <c r="K1378" s="6">
        <f>HYPERLINK("https://www.kleinanzeigen.de/s-anzeige/neu-simmer-style-monster-g6-116-2023-kein-starboard-patrik/2708619100-230-8032", "Link")</f>
        <v/>
      </c>
      <c r="L1378" s="6">
        <f>HYPERLINK("C:\Projects\Kleinanzeigen-Scraper\offer_images\2708619100", "Link")</f>
        <v/>
      </c>
      <c r="M1378" t="inlineStr">
        <is>
          <t>Chris</t>
        </is>
      </c>
      <c r="N1378" s="6">
        <f>HYPERLINK("https://www.kleinanzeigen.de/s-bestandsliste.html?userId=77004472", "Link")</f>
        <v/>
      </c>
      <c r="O1378" s="7" t="n">
        <v>45549.57775462963</v>
      </c>
      <c r="P1378" s="3" t="inlineStr">
        <is>
          <t>56.92</t>
        </is>
      </c>
      <c r="Q1378" t="inlineStr">
        <is>
          <t>Bonndorf</t>
        </is>
      </c>
    </row>
    <row r="1379">
      <c r="A1379" t="inlineStr">
        <is>
          <t>220 cm</t>
        </is>
      </c>
      <c r="B1379" t="inlineStr">
        <is>
          <t>Tabou DaBomb</t>
        </is>
      </c>
      <c r="C1379" t="inlineStr"/>
      <c r="D1379" s="3" t="n">
        <v>84</v>
      </c>
      <c r="E1379" t="inlineStr">
        <is>
          <t>2024</t>
        </is>
      </c>
      <c r="F1379" s="4" t="n">
        <v>1.2</v>
      </c>
      <c r="G1379" t="inlineStr">
        <is>
          <t>VB</t>
        </is>
      </c>
      <c r="H1379" t="inlineStr">
        <is>
          <t>24539 Schleswig-Holstein - Neumünster</t>
        </is>
      </c>
      <c r="I1379" s="5" t="n">
        <v>45514</v>
      </c>
      <c r="J1379" t="inlineStr"/>
      <c r="K1379" s="6">
        <f>HYPERLINK("https://www.kleinanzeigen.de/s-anzeige/tabou-dabomb-84-liter-2024-zu-verkaufen-/2833482600-230-648", "Link")</f>
        <v/>
      </c>
      <c r="L1379" s="6">
        <f>HYPERLINK("C:\Projects\Kleinanzeigen-Scraper\offer_images\2833482600", "Link")</f>
        <v/>
      </c>
      <c r="M1379" t="inlineStr">
        <is>
          <t>Lars</t>
        </is>
      </c>
      <c r="N1379" s="6">
        <f>HYPERLINK("https://www.kleinanzeigen.de/s-bestandsliste.html?userId=129937829", "Link")</f>
        <v/>
      </c>
      <c r="O1379" s="7" t="n">
        <v>45549.57771990741</v>
      </c>
      <c r="P1379" s="3" t="inlineStr">
        <is>
          <t>402.09</t>
        </is>
      </c>
      <c r="Q1379" t="inlineStr">
        <is>
          <t>Köln</t>
        </is>
      </c>
    </row>
    <row r="1380">
      <c r="A1380" t="inlineStr">
        <is>
          <t>250 x 58 cm</t>
        </is>
      </c>
      <c r="B1380" t="inlineStr">
        <is>
          <t>Fanatic Cross CX90</t>
        </is>
      </c>
      <c r="C1380" t="inlineStr">
        <is>
          <t>Freeride</t>
        </is>
      </c>
      <c r="D1380" s="3" t="n">
        <v>89</v>
      </c>
      <c r="E1380" t="inlineStr"/>
      <c r="F1380" s="4" t="n">
        <v>110</v>
      </c>
      <c r="G1380" t="inlineStr">
        <is>
          <t>VB</t>
        </is>
      </c>
      <c r="H1380" t="inlineStr">
        <is>
          <t>53721 Nordrhein-Westfalen - Siegburg</t>
        </is>
      </c>
      <c r="I1380" s="5" t="n">
        <v>45546</v>
      </c>
      <c r="J1380" t="inlineStr">
        <is>
          <t>Sold</t>
        </is>
      </c>
      <c r="K1380" s="6">
        <f>HYPERLINK("https://www.kleinanzeigen.de/s-anzeige/surfbrett-fanatic-cross-cx90-mit-boardbag-preis-vb/2553820511-230-1670", "Link")</f>
        <v/>
      </c>
      <c r="L1380" s="6">
        <f>HYPERLINK("C:\Projects\Kleinanzeigen-Scraper\offer_images\2553820511", "Link")</f>
        <v/>
      </c>
      <c r="M1380" t="inlineStr">
        <is>
          <t>Andre Hähnel</t>
        </is>
      </c>
      <c r="N1380" s="6">
        <f>HYPERLINK("https://www.kleinanzeigen.de/s-bestandsliste.html?userId=25469979", "Link")</f>
        <v/>
      </c>
      <c r="O1380" s="7" t="n">
        <v>45549.57770833333</v>
      </c>
      <c r="P1380" s="3" t="inlineStr">
        <is>
          <t>23.77</t>
        </is>
      </c>
      <c r="Q1380" t="inlineStr">
        <is>
          <t>Köln</t>
        </is>
      </c>
    </row>
    <row r="1381">
      <c r="A1381" t="inlineStr">
        <is>
          <t>7'0" x 28"</t>
        </is>
      </c>
      <c r="B1381" t="inlineStr">
        <is>
          <t>JP Australia Foil IPR</t>
        </is>
      </c>
      <c r="C1381" t="inlineStr">
        <is>
          <t>Foil</t>
        </is>
      </c>
      <c r="D1381" s="3" t="inlineStr"/>
      <c r="E1381" t="inlineStr"/>
      <c r="F1381" s="4" t="n">
        <v>649</v>
      </c>
      <c r="G1381" t="inlineStr"/>
      <c r="H1381" t="inlineStr">
        <is>
          <t>67346 Rheinland-Pfalz - Speyer</t>
        </is>
      </c>
      <c r="I1381" s="5" t="n">
        <v>45311</v>
      </c>
      <c r="J1381" t="inlineStr">
        <is>
          <t>Sold</t>
        </is>
      </c>
      <c r="K1381" s="6">
        <f>HYPERLINK("https://www.kleinanzeigen.de/s-anzeige/jp-australia-foil-ipr-wingfoil-board/2658167662-230-5365", "Link")</f>
        <v/>
      </c>
      <c r="L1381" s="6">
        <f>HYPERLINK("C:\Projects\Kleinanzeigen-Scraper\offer_images\2658167662", "Link")</f>
        <v/>
      </c>
      <c r="M1381" t="inlineStr">
        <is>
          <t>Trittbrett - Trend&amp;Sport</t>
        </is>
      </c>
      <c r="N1381" s="6">
        <f>HYPERLINK("https://www.kleinanzeigen.de/s-bestandsliste.html?userId=33159760", "Link")</f>
        <v/>
      </c>
      <c r="O1381" s="7" t="n">
        <v>45549.57770833333</v>
      </c>
      <c r="P1381" s="3" t="inlineStr">
        <is>
          <t>35.76</t>
        </is>
      </c>
      <c r="Q1381" t="inlineStr">
        <is>
          <t>Karlsruhe</t>
        </is>
      </c>
    </row>
    <row r="1382">
      <c r="A1382" t="inlineStr"/>
      <c r="B1382" t="inlineStr">
        <is>
          <t>Starboard</t>
        </is>
      </c>
      <c r="C1382" t="inlineStr"/>
      <c r="D1382" s="3" t="n">
        <v>123</v>
      </c>
      <c r="E1382" t="inlineStr"/>
      <c r="F1382" s="4" t="n">
        <v>120</v>
      </c>
      <c r="G1382" t="inlineStr"/>
      <c r="H1382" t="inlineStr">
        <is>
          <t>24229 Schleswig-Holstein - Strande</t>
        </is>
      </c>
      <c r="I1382" s="5" t="n">
        <v>45519</v>
      </c>
      <c r="J1382" t="inlineStr"/>
      <c r="K1382" s="6">
        <f>HYPERLINK("https://www.kleinanzeigen.de/s-anzeige/surfbrett-windsurfbrett-starboard-123-liter/2837810646-230-671", "Link")</f>
        <v/>
      </c>
      <c r="L1382" s="6">
        <f>HYPERLINK("C:\Projects\Kleinanzeigen-Scraper\offer_images\2837810646", "Link")</f>
        <v/>
      </c>
      <c r="M1382" t="inlineStr">
        <is>
          <t>J.Rogge</t>
        </is>
      </c>
      <c r="N1382" s="6">
        <f>HYPERLINK("https://www.kleinanzeigen.de/s-bestandsliste.html?userId=36131959", "Link")</f>
        <v/>
      </c>
      <c r="O1382" s="7" t="n">
        <v>45549.57770833333</v>
      </c>
      <c r="P1382" s="3" t="inlineStr">
        <is>
          <t>445.58</t>
        </is>
      </c>
      <c r="Q1382" t="inlineStr">
        <is>
          <t>Köln</t>
        </is>
      </c>
    </row>
    <row r="1383">
      <c r="A1383" t="inlineStr">
        <is>
          <t>151</t>
        </is>
      </c>
      <c r="B1383" t="inlineStr">
        <is>
          <t>Duotone Gonzales</t>
        </is>
      </c>
      <c r="C1383" t="inlineStr">
        <is>
          <t>Kiteboard</t>
        </is>
      </c>
      <c r="D1383" s="3" t="inlineStr"/>
      <c r="E1383" t="inlineStr">
        <is>
          <t>2023</t>
        </is>
      </c>
      <c r="F1383" s="4" t="n">
        <v>339</v>
      </c>
      <c r="G1383" t="inlineStr">
        <is>
          <t>VB</t>
        </is>
      </c>
      <c r="H1383" t="inlineStr">
        <is>
          <t>26125 Niedersachsen - Oldenburg</t>
        </is>
      </c>
      <c r="I1383" s="5" t="n">
        <v>45545</v>
      </c>
      <c r="J1383" t="inlineStr">
        <is>
          <t>Sold</t>
        </is>
      </c>
      <c r="K1383" s="6">
        <f>HYPERLINK("https://www.kleinanzeigen.de/s-anzeige/duotone-kiteboard-gonzales-151-mit-bindung-2023-entity-xl/2859562768-230-3111", "Link")</f>
        <v/>
      </c>
      <c r="L1383" s="6">
        <f>HYPERLINK("C:\Projects\Kleinanzeigen-Scraper\offer_images\2859562768", "Link")</f>
        <v/>
      </c>
      <c r="M1383" t="inlineStr">
        <is>
          <t>No user name</t>
        </is>
      </c>
      <c r="N1383" s="6">
        <f>HYPERLINK("https://www.kleinanzeigen.deNo user link", "Link")</f>
        <v/>
      </c>
      <c r="O1383" s="7" t="n">
        <v>45549.57769675926</v>
      </c>
      <c r="P1383" s="3" t="inlineStr">
        <is>
          <t>264.10</t>
        </is>
      </c>
      <c r="Q1383" t="inlineStr">
        <is>
          <t>Köln</t>
        </is>
      </c>
    </row>
    <row r="1384">
      <c r="A1384" t="inlineStr"/>
      <c r="B1384" t="inlineStr">
        <is>
          <t>RRD TwinTip</t>
        </is>
      </c>
      <c r="C1384" t="inlineStr">
        <is>
          <t>Freestyle</t>
        </is>
      </c>
      <c r="D1384" s="3" t="n">
        <v>100</v>
      </c>
      <c r="E1384" t="inlineStr"/>
      <c r="F1384" s="4" t="n">
        <v>160</v>
      </c>
      <c r="G1384" t="inlineStr">
        <is>
          <t>VB</t>
        </is>
      </c>
      <c r="H1384" t="inlineStr">
        <is>
          <t>88138 Bayern - Weißensberg</t>
        </is>
      </c>
      <c r="I1384" s="5" t="n">
        <v>45509</v>
      </c>
      <c r="J1384" t="inlineStr"/>
      <c r="K1384" s="6">
        <f>HYPERLINK("https://www.kleinanzeigen.de/s-anzeige/rrd-twintip-100/2829659219-230-7705", "Link")</f>
        <v/>
      </c>
      <c r="L1384" s="6">
        <f>HYPERLINK("C:\Projects\Kleinanzeigen-Scraper\offer_images\2829659219", "Link")</f>
        <v/>
      </c>
      <c r="M1384" t="inlineStr">
        <is>
          <t>Alex</t>
        </is>
      </c>
      <c r="N1384" s="6">
        <f>HYPERLINK("https://www.kleinanzeigen.de/s-bestandsliste.html?userId=14619788", "Link")</f>
        <v/>
      </c>
      <c r="O1384" s="7" t="n">
        <v>45549.57769675926</v>
      </c>
      <c r="P1384" s="3" t="inlineStr">
        <is>
          <t>106.94</t>
        </is>
      </c>
      <c r="Q1384" t="inlineStr">
        <is>
          <t>Bonndorf</t>
        </is>
      </c>
    </row>
    <row r="1385">
      <c r="A1385" t="inlineStr">
        <is>
          <t>426 x 63.5 x 21 cm</t>
        </is>
      </c>
      <c r="B1385" t="inlineStr">
        <is>
          <t>JP-Australia</t>
        </is>
      </c>
      <c r="C1385" t="inlineStr">
        <is>
          <t>Touring/Race</t>
        </is>
      </c>
      <c r="D1385" s="3" t="n">
        <v>277</v>
      </c>
      <c r="E1385" t="inlineStr">
        <is>
          <t>2018</t>
        </is>
      </c>
      <c r="F1385" s="4" t="n">
        <v>733</v>
      </c>
      <c r="G1385" t="inlineStr">
        <is>
          <t>VB</t>
        </is>
      </c>
      <c r="H1385" t="inlineStr">
        <is>
          <t>83544 Bayern - Albaching</t>
        </is>
      </c>
      <c r="I1385" s="5" t="n">
        <v>45530</v>
      </c>
      <c r="J1385" t="inlineStr"/>
      <c r="K1385" s="6">
        <f>HYPERLINK("https://www.kleinanzeigen.de/s-anzeige/sup-touring-race-hardboard-jp-australia-14-flatwater-bag/2684452993-230-6063", "Link")</f>
        <v/>
      </c>
      <c r="L1385" s="6">
        <f>HYPERLINK("C:\Projects\Kleinanzeigen-Scraper\offer_images\2684452993", "Link")</f>
        <v/>
      </c>
      <c r="M1385" t="inlineStr">
        <is>
          <t>Michael Schubert</t>
        </is>
      </c>
      <c r="N1385" s="6">
        <f>HYPERLINK("https://www.kleinanzeigen.de/s-bestandsliste.html?userId=19693032", "Link")</f>
        <v/>
      </c>
      <c r="O1385" s="7" t="n">
        <v>45549.57768518518</v>
      </c>
      <c r="P1385" s="3" t="inlineStr">
        <is>
          <t>39.69</t>
        </is>
      </c>
      <c r="Q1385" t="inlineStr">
        <is>
          <t>München</t>
        </is>
      </c>
    </row>
    <row r="1386">
      <c r="A1386" t="inlineStr">
        <is>
          <t>291 cm x 59 cm</t>
        </is>
      </c>
      <c r="B1386" t="inlineStr">
        <is>
          <t>Fanatic Ultra Shark</t>
        </is>
      </c>
      <c r="C1386" t="inlineStr"/>
      <c r="D1386" s="3" t="inlineStr"/>
      <c r="E1386" t="inlineStr"/>
      <c r="F1386" s="4" t="inlineStr"/>
      <c r="G1386" t="inlineStr">
        <is>
          <t>VB</t>
        </is>
      </c>
      <c r="H1386" t="inlineStr">
        <is>
          <t>18209 Bad Doberan - Landkreis - Bad Doberan</t>
        </is>
      </c>
      <c r="I1386" s="5" t="n">
        <v>45515</v>
      </c>
      <c r="J1386" t="inlineStr">
        <is>
          <t>Sold</t>
        </is>
      </c>
      <c r="K1386" s="6">
        <f>HYPERLINK("https://www.kleinanzeigen.de/s-anzeige/surfbreet-surfboard-fanatic-ultra-shark-291/2834651057-230-138", "Link")</f>
        <v/>
      </c>
      <c r="L1386" s="6">
        <f>HYPERLINK("C:\Projects\Kleinanzeigen-Scraper\offer_images\2834651057", "Link")</f>
        <v/>
      </c>
      <c r="M1386" t="inlineStr">
        <is>
          <t>Franciska</t>
        </is>
      </c>
      <c r="N1386" s="6">
        <f>HYPERLINK("https://www.kleinanzeigen.de/s-bestandsliste.html?userId=2399926", "Link")</f>
        <v/>
      </c>
      <c r="O1386" s="7" t="n">
        <v>45549.57767361111</v>
      </c>
      <c r="P1386" s="3" t="inlineStr">
        <is>
          <t>483.98</t>
        </is>
      </c>
      <c r="Q1386" t="inlineStr">
        <is>
          <t>Köln</t>
        </is>
      </c>
    </row>
    <row r="1387">
      <c r="A1387" t="inlineStr"/>
      <c r="B1387" t="inlineStr">
        <is>
          <t>Starboard Ignite</t>
        </is>
      </c>
      <c r="C1387" t="inlineStr"/>
      <c r="D1387" s="3" t="n">
        <v>93</v>
      </c>
      <c r="E1387" t="inlineStr">
        <is>
          <t>2023</t>
        </is>
      </c>
      <c r="F1387" s="4" t="n">
        <v>850</v>
      </c>
      <c r="G1387" t="inlineStr"/>
      <c r="H1387" t="inlineStr">
        <is>
          <t>47608 Nordrhein-Westfalen - Geldern</t>
        </is>
      </c>
      <c r="I1387" s="5" t="n">
        <v>45542</v>
      </c>
      <c r="J1387" t="inlineStr"/>
      <c r="K1387" s="6">
        <f>HYPERLINK("https://www.kleinanzeigen.de/s-anzeige/starboard-ignite-2023-93l/2856586861-230-1151", "Link")</f>
        <v/>
      </c>
      <c r="L1387" s="6">
        <f>HYPERLINK("C:\Projects\Kleinanzeigen-Scraper\offer_images\2856586861", "Link")</f>
        <v/>
      </c>
      <c r="M1387" t="inlineStr">
        <is>
          <t>Anika</t>
        </is>
      </c>
      <c r="N1387" s="6">
        <f>HYPERLINK("https://www.kleinanzeigen.de/s-bestandsliste.html?userId=23964745", "Link")</f>
        <v/>
      </c>
      <c r="O1387" s="7" t="n">
        <v>45549.57767361111</v>
      </c>
      <c r="P1387" s="3" t="inlineStr">
        <is>
          <t>79.36</t>
        </is>
      </c>
      <c r="Q1387" t="inlineStr">
        <is>
          <t>Köln</t>
        </is>
      </c>
    </row>
    <row r="1388">
      <c r="A1388" t="inlineStr">
        <is>
          <t>10'10</t>
        </is>
      </c>
      <c r="B1388" t="inlineStr">
        <is>
          <t>Naish Nalu GS</t>
        </is>
      </c>
      <c r="C1388" t="inlineStr"/>
      <c r="D1388" s="3" t="n">
        <v>20</v>
      </c>
      <c r="E1388" t="inlineStr">
        <is>
          <t>2021</t>
        </is>
      </c>
      <c r="F1388" s="4" t="n">
        <v>950</v>
      </c>
      <c r="G1388" t="inlineStr"/>
      <c r="H1388" t="inlineStr">
        <is>
          <t>24229 Schleswig-Holstein - Dänischenhagen</t>
        </is>
      </c>
      <c r="I1388" s="5" t="n">
        <v>45489</v>
      </c>
      <c r="J1388" t="inlineStr">
        <is>
          <t>Sold</t>
        </is>
      </c>
      <c r="K1388" s="6">
        <f>HYPERLINK("https://www.kleinanzeigen.de/s-anzeige/sup-hardboard-naish-nalu-gs-10-10-neu-/2813763129-230-17472", "Link")</f>
        <v/>
      </c>
      <c r="L1388" s="6">
        <f>HYPERLINK("C:\Projects\Kleinanzeigen-Scraper\offer_images\2813763129", "Link")</f>
        <v/>
      </c>
      <c r="M1388" t="inlineStr">
        <is>
          <t>Tim Reichardt</t>
        </is>
      </c>
      <c r="N1388" s="6">
        <f>HYPERLINK("https://www.kleinanzeigen.de/s-bestandsliste.html?userId=28479624", "Link")</f>
        <v/>
      </c>
      <c r="O1388" s="7" t="n">
        <v>45549.57766203704</v>
      </c>
      <c r="P1388" s="3" t="inlineStr">
        <is>
          <t>445.58</t>
        </is>
      </c>
      <c r="Q1388" t="inlineStr">
        <is>
          <t>Köln</t>
        </is>
      </c>
    </row>
    <row r="1389">
      <c r="A1389" t="inlineStr">
        <is>
          <t>237 cm x 81 cm</t>
        </is>
      </c>
      <c r="B1389" t="inlineStr">
        <is>
          <t>Tabou Rocket Plus Team</t>
        </is>
      </c>
      <c r="C1389" t="inlineStr">
        <is>
          <t>Freeride</t>
        </is>
      </c>
      <c r="D1389" s="3" t="n">
        <v>133</v>
      </c>
      <c r="E1389" t="inlineStr"/>
      <c r="F1389" s="4" t="n">
        <v>1.4</v>
      </c>
      <c r="G1389" t="inlineStr">
        <is>
          <t>VB</t>
        </is>
      </c>
      <c r="H1389" t="inlineStr">
        <is>
          <t>67071 Rheinland-Pfalz - Ludwigshafen</t>
        </is>
      </c>
      <c r="I1389" s="5" t="n">
        <v>45544</v>
      </c>
      <c r="J1389" t="inlineStr">
        <is>
          <t>Sold</t>
        </is>
      </c>
      <c r="K1389" s="6">
        <f>HYPERLINK("https://www.kleinanzeigen.de/s-anzeige/surfboard-tabou-rocket-plus-team-133-carbon-flex/2858852161-230-5191", "Link")</f>
        <v/>
      </c>
      <c r="L1389" s="6">
        <f>HYPERLINK("C:\Projects\Kleinanzeigen-Scraper\offer_images\2858852161", "Link")</f>
        <v/>
      </c>
      <c r="M1389" t="inlineStr">
        <is>
          <t>Peter</t>
        </is>
      </c>
      <c r="N1389" s="6">
        <f>HYPERLINK("https://www.kleinanzeigen.de/s-bestandsliste.html?userId=35224675", "Link")</f>
        <v/>
      </c>
      <c r="O1389" s="7" t="n">
        <v>45549.57766203704</v>
      </c>
      <c r="P1389" s="3" t="inlineStr">
        <is>
          <t>52.34</t>
        </is>
      </c>
      <c r="Q1389" t="inlineStr">
        <is>
          <t>Karlsruhe</t>
        </is>
      </c>
    </row>
    <row r="1390">
      <c r="A1390" t="inlineStr">
        <is>
          <t>228 x 81</t>
        </is>
      </c>
      <c r="B1390" t="inlineStr">
        <is>
          <t>RRD X-Fire</t>
        </is>
      </c>
      <c r="C1390" t="inlineStr">
        <is>
          <t>Slalom</t>
        </is>
      </c>
      <c r="D1390" s="3" t="n">
        <v>122</v>
      </c>
      <c r="E1390" t="inlineStr"/>
      <c r="F1390" s="4" t="n">
        <v>485</v>
      </c>
      <c r="G1390" t="inlineStr">
        <is>
          <t>VB</t>
        </is>
      </c>
      <c r="H1390" t="inlineStr">
        <is>
          <t>81929 München - Bogenhausen</t>
        </is>
      </c>
      <c r="I1390" s="5" t="n">
        <v>45433</v>
      </c>
      <c r="J1390" t="inlineStr"/>
      <c r="K1390" s="6">
        <f>HYPERLINK("https://www.kleinanzeigen.de/s-anzeige/windsurfboard-rrd-x-fire-122-ltd-carbon/2767130246-230-6526", "Link")</f>
        <v/>
      </c>
      <c r="L1390" s="6">
        <f>HYPERLINK("C:\Projects\Kleinanzeigen-Scraper\offer_images\2767130246", "Link")</f>
        <v/>
      </c>
      <c r="M1390" t="inlineStr">
        <is>
          <t>Kristian</t>
        </is>
      </c>
      <c r="N1390" s="6">
        <f>HYPERLINK("https://www.kleinanzeigen.de/s-bestandsliste.html?userId=17237642", "Link")</f>
        <v/>
      </c>
      <c r="O1390" s="7" t="n">
        <v>45549.57765046296</v>
      </c>
      <c r="P1390" s="3" t="inlineStr">
        <is>
          <t>6.89</t>
        </is>
      </c>
      <c r="Q1390" t="inlineStr">
        <is>
          <t>München</t>
        </is>
      </c>
    </row>
    <row r="1391">
      <c r="A1391" t="inlineStr">
        <is>
          <t>150 cm</t>
        </is>
      </c>
      <c r="B1391" t="inlineStr">
        <is>
          <t>RRD BS3</t>
        </is>
      </c>
      <c r="C1391" t="inlineStr">
        <is>
          <t>Kiteboard</t>
        </is>
      </c>
      <c r="D1391" s="3" t="inlineStr"/>
      <c r="E1391" t="inlineStr"/>
      <c r="F1391" s="4" t="n">
        <v>330</v>
      </c>
      <c r="G1391" t="inlineStr"/>
      <c r="H1391" t="inlineStr">
        <is>
          <t>74199 Baden-Württemberg - Untergruppenbach</t>
        </is>
      </c>
      <c r="I1391" s="5" t="n">
        <v>45533</v>
      </c>
      <c r="J1391" t="inlineStr">
        <is>
          <t>Sold</t>
        </is>
      </c>
      <c r="K1391" s="6">
        <f>HYPERLINK("https://www.kleinanzeigen.de/s-anzeige/kiteboard-door-rrd-150cm/2849235154-230-9244", "Link")</f>
        <v/>
      </c>
      <c r="L1391" s="6">
        <f>HYPERLINK("C:\Projects\Kleinanzeigen-Scraper\offer_images\2849235154", "Link")</f>
        <v/>
      </c>
      <c r="M1391" t="inlineStr">
        <is>
          <t>Frank</t>
        </is>
      </c>
      <c r="N1391" s="6">
        <f>HYPERLINK("https://www.kleinanzeigen.de/s-bestandsliste.html?userId=7027819", "Link")</f>
        <v/>
      </c>
      <c r="O1391" s="7" t="n">
        <v>45549.57763888889</v>
      </c>
      <c r="P1391" s="3" t="inlineStr">
        <is>
          <t>52.92</t>
        </is>
      </c>
      <c r="Q1391" t="inlineStr">
        <is>
          <t>Böblingen</t>
        </is>
      </c>
    </row>
    <row r="1392">
      <c r="A1392" t="inlineStr">
        <is>
          <t>244 cm x 63 cm</t>
        </is>
      </c>
      <c r="B1392" t="inlineStr">
        <is>
          <t>RRD Freestyle Wave 105 LTD</t>
        </is>
      </c>
      <c r="C1392" t="inlineStr">
        <is>
          <t>Freestyle Wave</t>
        </is>
      </c>
      <c r="D1392" s="3" t="n">
        <v>105</v>
      </c>
      <c r="E1392" t="inlineStr"/>
      <c r="F1392" s="4" t="n">
        <v>375</v>
      </c>
      <c r="G1392" t="inlineStr">
        <is>
          <t>VB</t>
        </is>
      </c>
      <c r="H1392" t="inlineStr">
        <is>
          <t>23909 Herzogtum Lauenburg - Ratzeburg</t>
        </is>
      </c>
      <c r="I1392" s="5" t="n">
        <v>45546</v>
      </c>
      <c r="J1392" t="inlineStr">
        <is>
          <t>Sold</t>
        </is>
      </c>
      <c r="K1392" s="6">
        <f>HYPERLINK("https://www.kleinanzeigen.de/s-anzeige/rrd-freestyle-wave-105-ltd-top-zustand-/2860155135-230-811", "Link")</f>
        <v/>
      </c>
      <c r="L1392" s="6">
        <f>HYPERLINK("C:\Projects\Kleinanzeigen-Scraper\offer_images\2860155135", "Link")</f>
        <v/>
      </c>
      <c r="M1392" t="inlineStr">
        <is>
          <t>Silvia S.</t>
        </is>
      </c>
      <c r="N1392" s="6">
        <f>HYPERLINK("https://www.kleinanzeigen.de/s-bestandsliste.html?userId=86555296", "Link")</f>
        <v/>
      </c>
      <c r="O1392" s="7" t="n">
        <v>45549.57763888889</v>
      </c>
      <c r="P1392" s="3" t="inlineStr">
        <is>
          <t>401.75</t>
        </is>
      </c>
      <c r="Q1392" t="inlineStr">
        <is>
          <t>Köln</t>
        </is>
      </c>
    </row>
    <row r="1393">
      <c r="A1393" t="inlineStr"/>
      <c r="B1393" t="inlineStr">
        <is>
          <t>Fanatic HOT BAT</t>
        </is>
      </c>
      <c r="C1393" t="inlineStr"/>
      <c r="D1393" s="3" t="inlineStr"/>
      <c r="E1393" t="inlineStr"/>
      <c r="F1393" s="4" t="n">
        <v>100</v>
      </c>
      <c r="G1393" t="inlineStr"/>
      <c r="H1393" t="inlineStr">
        <is>
          <t>50259 Nordrhein-Westfalen - Pulheim</t>
        </is>
      </c>
      <c r="I1393" s="5" t="n">
        <v>45545</v>
      </c>
      <c r="J1393" t="inlineStr">
        <is>
          <t>Sold</t>
        </is>
      </c>
      <c r="K1393" s="6">
        <f>HYPERLINK("https://www.kleinanzeigen.de/s-anzeige/fanatic-hot-bat-surfboard/2859534822-230-1889", "Link")</f>
        <v/>
      </c>
      <c r="L1393" s="6">
        <f>HYPERLINK("C:\Projects\Kleinanzeigen-Scraper\offer_images\2859534822", "Link")</f>
        <v/>
      </c>
      <c r="M1393" t="inlineStr">
        <is>
          <t>Sascha Breiter</t>
        </is>
      </c>
      <c r="N1393" s="6">
        <f>HYPERLINK("https://www.kleinanzeigen.de/s-bestandsliste.html?userId=11217243", "Link")</f>
        <v/>
      </c>
      <c r="O1393" s="7" t="n">
        <v>45549.57762731481</v>
      </c>
      <c r="P1393" s="3" t="inlineStr">
        <is>
          <t>13.20</t>
        </is>
      </c>
      <c r="Q1393" t="inlineStr">
        <is>
          <t>Köln</t>
        </is>
      </c>
    </row>
    <row r="1394">
      <c r="A1394" t="inlineStr">
        <is>
          <t>250 cm x 67.5 cm</t>
        </is>
      </c>
      <c r="B1394" t="inlineStr">
        <is>
          <t>JP Australia x-cite Ride</t>
        </is>
      </c>
      <c r="C1394" t="inlineStr">
        <is>
          <t>Freeride</t>
        </is>
      </c>
      <c r="D1394" s="3" t="n">
        <v>120</v>
      </c>
      <c r="E1394" t="inlineStr"/>
      <c r="F1394" s="4" t="n">
        <v>350</v>
      </c>
      <c r="G1394" t="inlineStr">
        <is>
          <t>VB</t>
        </is>
      </c>
      <c r="H1394" t="inlineStr">
        <is>
          <t>57439 Nordrhein-Westfalen - Attendorn</t>
        </is>
      </c>
      <c r="I1394" s="5" t="n">
        <v>45526</v>
      </c>
      <c r="J1394" t="inlineStr"/>
      <c r="K1394" s="6">
        <f>HYPERLINK("https://www.kleinanzeigen.de/s-anzeige/jp-australia-x-cite-ride-120l-surfbrett/2843461738-230-1481", "Link")</f>
        <v/>
      </c>
      <c r="L1394" s="6">
        <f>HYPERLINK("C:\Projects\Kleinanzeigen-Scraper\offer_images\2843461738", "Link")</f>
        <v/>
      </c>
      <c r="M1394" t="inlineStr">
        <is>
          <t>Andre</t>
        </is>
      </c>
      <c r="N1394" s="6">
        <f>HYPERLINK("https://www.kleinanzeigen.de/s-bestandsliste.html?userId=5728875", "Link")</f>
        <v/>
      </c>
      <c r="O1394" s="7" t="n">
        <v>45549.57762731481</v>
      </c>
      <c r="P1394" s="3" t="inlineStr">
        <is>
          <t>66.42</t>
        </is>
      </c>
      <c r="Q1394" t="inlineStr">
        <is>
          <t>Köln</t>
        </is>
      </c>
    </row>
    <row r="1395">
      <c r="A1395" t="inlineStr">
        <is>
          <t>295 x 59</t>
        </is>
      </c>
      <c r="B1395" t="inlineStr">
        <is>
          <t>F2 Xantos</t>
        </is>
      </c>
      <c r="C1395" t="inlineStr"/>
      <c r="D1395" s="3" t="n">
        <v>127</v>
      </c>
      <c r="E1395" t="inlineStr"/>
      <c r="F1395" s="4" t="n">
        <v>299</v>
      </c>
      <c r="G1395" t="inlineStr"/>
      <c r="H1395" t="inlineStr">
        <is>
          <t>09111 Sachsen - Chemnitz</t>
        </is>
      </c>
      <c r="I1395" s="5" t="n">
        <v>45547</v>
      </c>
      <c r="J1395" t="inlineStr">
        <is>
          <t>Sold</t>
        </is>
      </c>
      <c r="K1395" s="6">
        <f>HYPERLINK("https://www.kleinanzeigen.de/s-anzeige/windsurf-board-f2-xantos-127-liter-gut-gebraucht/2861660487-230-3886", "Link")</f>
        <v/>
      </c>
      <c r="L1395" s="6">
        <f>HYPERLINK("C:\Projects\Kleinanzeigen-Scraper\offer_images\2861660487", "Link")</f>
        <v/>
      </c>
      <c r="M1395" t="inlineStr">
        <is>
          <t>olaf</t>
        </is>
      </c>
      <c r="N1395" s="6">
        <f>HYPERLINK("https://www.kleinanzeigen.de/s-bestandsliste.html?userId=8857923", "Link")</f>
        <v/>
      </c>
      <c r="O1395" s="7" t="n">
        <v>45549.57762731481</v>
      </c>
      <c r="P1395" s="3" t="inlineStr">
        <is>
          <t>315.71</t>
        </is>
      </c>
      <c r="Q1395" t="inlineStr">
        <is>
          <t>München</t>
        </is>
      </c>
    </row>
    <row r="1396">
      <c r="A1396" t="inlineStr">
        <is>
          <t>238x67</t>
        </is>
      </c>
      <c r="B1396" t="inlineStr">
        <is>
          <t>Naish Stratos</t>
        </is>
      </c>
      <c r="C1396" t="inlineStr">
        <is>
          <t>Freeride</t>
        </is>
      </c>
      <c r="D1396" s="3" t="n">
        <v>115</v>
      </c>
      <c r="E1396" t="inlineStr">
        <is>
          <t>2024</t>
        </is>
      </c>
      <c r="F1396" s="4" t="n">
        <v>1.495</v>
      </c>
      <c r="G1396" t="inlineStr">
        <is>
          <t>VB</t>
        </is>
      </c>
      <c r="H1396" t="inlineStr">
        <is>
          <t>82319 Bayern - Starnberg</t>
        </is>
      </c>
      <c r="I1396" s="5" t="n">
        <v>45547</v>
      </c>
      <c r="J1396" t="inlineStr"/>
      <c r="K1396" s="6">
        <f>HYPERLINK("https://www.kleinanzeigen.de/s-anzeige/naish-stratos-115-liter-sehr-guter-zustand/2787968774-230-5525", "Link")</f>
        <v/>
      </c>
      <c r="L1396" s="6">
        <f>HYPERLINK("C:\Projects\Kleinanzeigen-Scraper\offer_images\2787968774", "Link")</f>
        <v/>
      </c>
      <c r="M1396" t="inlineStr">
        <is>
          <t>No user name</t>
        </is>
      </c>
      <c r="N1396" s="6">
        <f>HYPERLINK("https://www.kleinanzeigen.deNo user link", "Link")</f>
        <v/>
      </c>
      <c r="O1396" s="7" t="n">
        <v>45549.57762731481</v>
      </c>
      <c r="P1396" s="3" t="inlineStr">
        <is>
          <t>23.17</t>
        </is>
      </c>
      <c r="Q1396" t="inlineStr">
        <is>
          <t>München</t>
        </is>
      </c>
    </row>
    <row r="1397">
      <c r="A1397" t="inlineStr">
        <is>
          <t>14x26.5</t>
        </is>
      </c>
      <c r="B1397" t="inlineStr">
        <is>
          <t>JP Australia</t>
        </is>
      </c>
      <c r="C1397" t="inlineStr">
        <is>
          <t>Race</t>
        </is>
      </c>
      <c r="D1397" s="3" t="inlineStr"/>
      <c r="E1397" t="inlineStr"/>
      <c r="F1397" s="4" t="n">
        <v>700</v>
      </c>
      <c r="G1397" t="inlineStr"/>
      <c r="H1397" t="inlineStr">
        <is>
          <t>04610 Thüringen - Meuselwitz</t>
        </is>
      </c>
      <c r="I1397" s="5" t="n">
        <v>45510</v>
      </c>
      <c r="J1397" t="inlineStr"/>
      <c r="K1397" s="6">
        <f>HYPERLINK("https://www.kleinanzeigen.de/s-anzeige/carbon-sup-jp-australia-race-all-water-14x26-5-hardboard/2830628959-230-2317", "Link")</f>
        <v/>
      </c>
      <c r="L1397" s="6">
        <f>HYPERLINK("C:\Projects\Kleinanzeigen-Scraper\offer_images\2830628959", "Link")</f>
        <v/>
      </c>
      <c r="M1397" t="inlineStr">
        <is>
          <t>Micha</t>
        </is>
      </c>
      <c r="N1397" s="6">
        <f>HYPERLINK("https://www.kleinanzeigen.de/s-bestandsliste.html?userId=83081546", "Link")</f>
        <v/>
      </c>
      <c r="O1397" s="7" t="n">
        <v>45549.57758101852</v>
      </c>
      <c r="P1397" s="3" t="inlineStr">
        <is>
          <t>330.01</t>
        </is>
      </c>
      <c r="Q1397" t="inlineStr">
        <is>
          <t>München</t>
        </is>
      </c>
    </row>
    <row r="1398">
      <c r="A1398" t="inlineStr"/>
      <c r="B1398" t="inlineStr">
        <is>
          <t>Naish Hover Ascend</t>
        </is>
      </c>
      <c r="C1398" t="inlineStr"/>
      <c r="D1398" s="3" t="n">
        <v>102</v>
      </c>
      <c r="E1398" t="inlineStr"/>
      <c r="F1398" s="4" t="n">
        <v>1.25</v>
      </c>
      <c r="G1398" t="inlineStr">
        <is>
          <t>VB</t>
        </is>
      </c>
      <c r="H1398" t="inlineStr">
        <is>
          <t>91207 Bayern - Lauf a.d. Pegnitz</t>
        </is>
      </c>
      <c r="I1398" s="5" t="n">
        <v>45541</v>
      </c>
      <c r="J1398" t="inlineStr"/>
      <c r="K1398" s="6">
        <f>HYPERLINK("https://www.kleinanzeigen.de/s-anzeige/naish-hover-carbon-ascend-102l/2855625563-230-6362", "Link")</f>
        <v/>
      </c>
      <c r="L1398" s="6">
        <f>HYPERLINK("C:\Projects\Kleinanzeigen-Scraper\offer_images\2855625563", "Link")</f>
        <v/>
      </c>
      <c r="M1398" t="inlineStr">
        <is>
          <t>Rapke Markus</t>
        </is>
      </c>
      <c r="N1398" s="6">
        <f>HYPERLINK("https://www.kleinanzeigen.de/s-bestandsliste.html?userId=31676758", "Link")</f>
        <v/>
      </c>
      <c r="O1398" s="7" t="n">
        <v>45549.57758101852</v>
      </c>
      <c r="P1398" s="3" t="inlineStr">
        <is>
          <t>157.63</t>
        </is>
      </c>
      <c r="Q1398" t="inlineStr">
        <is>
          <t>München</t>
        </is>
      </c>
    </row>
    <row r="1399">
      <c r="A1399" t="inlineStr">
        <is>
          <t>5'4</t>
        </is>
      </c>
      <c r="B1399" t="inlineStr">
        <is>
          <t>Naish Mutant</t>
        </is>
      </c>
      <c r="C1399" t="inlineStr"/>
      <c r="D1399" s="3" t="inlineStr"/>
      <c r="E1399" t="inlineStr"/>
      <c r="F1399" s="4" t="n">
        <v>50</v>
      </c>
      <c r="G1399" t="inlineStr">
        <is>
          <t>VB</t>
        </is>
      </c>
      <c r="H1399" t="inlineStr">
        <is>
          <t>83435 Bayern - Bad Reichenhall</t>
        </is>
      </c>
      <c r="I1399" s="5" t="n">
        <v>45511</v>
      </c>
      <c r="J1399" t="inlineStr">
        <is>
          <t>Sold</t>
        </is>
      </c>
      <c r="K1399" s="6">
        <f>HYPERLINK("https://www.kleinanzeigen.de/s-anzeige/naish-kiteboard-mutant-5-4/2831676332-230-5881", "Link")</f>
        <v/>
      </c>
      <c r="L1399" s="6">
        <f>HYPERLINK("C:\Projects\Kleinanzeigen-Scraper\offer_images\2831676332", "Link")</f>
        <v/>
      </c>
      <c r="M1399" t="inlineStr">
        <is>
          <t>Nina</t>
        </is>
      </c>
      <c r="N1399" s="6">
        <f>HYPERLINK("https://www.kleinanzeigen.de/s-bestandsliste.html?userId=73276330", "Link")</f>
        <v/>
      </c>
      <c r="O1399" s="7" t="n">
        <v>45549.57755787037</v>
      </c>
      <c r="P1399" s="3" t="inlineStr">
        <is>
          <t>104.89</t>
        </is>
      </c>
      <c r="Q1399" t="inlineStr">
        <is>
          <t>München</t>
        </is>
      </c>
    </row>
    <row r="1400">
      <c r="A1400" t="inlineStr">
        <is>
          <t>253×67 cm</t>
        </is>
      </c>
      <c r="B1400" t="inlineStr">
        <is>
          <t>RRD</t>
        </is>
      </c>
      <c r="C1400" t="inlineStr"/>
      <c r="D1400" s="3" t="n">
        <v>120</v>
      </c>
      <c r="E1400" t="inlineStr"/>
      <c r="F1400" s="4" t="n">
        <v>215</v>
      </c>
      <c r="G1400" t="inlineStr"/>
      <c r="H1400" t="inlineStr">
        <is>
          <t>63607 Hessen - Wächtersbach</t>
        </is>
      </c>
      <c r="I1400" s="5" t="n">
        <v>45484</v>
      </c>
      <c r="J1400" t="inlineStr"/>
      <c r="K1400" s="6">
        <f>HYPERLINK("https://www.kleinanzeigen.de/s-anzeige/windsurfboard-rrd/2809553084-230-4867", "Link")</f>
        <v/>
      </c>
      <c r="L1400" s="6">
        <f>HYPERLINK("C:\Projects\Kleinanzeigen-Scraper\offer_images\2809553084", "Link")</f>
        <v/>
      </c>
      <c r="M1400" t="inlineStr">
        <is>
          <t>Alfons Damß</t>
        </is>
      </c>
      <c r="N1400" s="6">
        <f>HYPERLINK("https://www.kleinanzeigen.de/s-bestandsliste.html?userId=57751114", "Link")</f>
        <v/>
      </c>
      <c r="O1400" s="7" t="n">
        <v>45549.57755787037</v>
      </c>
      <c r="P1400" s="3" t="inlineStr">
        <is>
          <t>153.14</t>
        </is>
      </c>
      <c r="Q1400" t="inlineStr">
        <is>
          <t>Karlsruhe</t>
        </is>
      </c>
    </row>
    <row r="1401">
      <c r="A1401" t="inlineStr">
        <is>
          <t>5'4"</t>
        </is>
      </c>
      <c r="B1401" t="inlineStr">
        <is>
          <t>RRD Pop</t>
        </is>
      </c>
      <c r="C1401" t="inlineStr">
        <is>
          <t>Directional Waveboard</t>
        </is>
      </c>
      <c r="D1401" s="3" t="inlineStr"/>
      <c r="E1401" t="inlineStr"/>
      <c r="F1401" s="4" t="n">
        <v>99</v>
      </c>
      <c r="G1401" t="inlineStr">
        <is>
          <t>VB</t>
        </is>
      </c>
      <c r="H1401" t="inlineStr">
        <is>
          <t>10409 Pankow - Prenzlauer Berg</t>
        </is>
      </c>
      <c r="I1401" s="5" t="n">
        <v>45543</v>
      </c>
      <c r="J1401" t="inlineStr">
        <is>
          <t>Sold</t>
        </is>
      </c>
      <c r="K1401" s="6">
        <f>HYPERLINK("https://www.kleinanzeigen.de/s-anzeige/rrd-pop-shortboard-surfboard-strapless-kiteboard-5-4-/2857412340-230-3494", "Link")</f>
        <v/>
      </c>
      <c r="L1401" s="6">
        <f>HYPERLINK("C:\Projects\Kleinanzeigen-Scraper\offer_images\2857412340", "Link")</f>
        <v/>
      </c>
      <c r="M1401" t="inlineStr">
        <is>
          <t>Stefan von Brand</t>
        </is>
      </c>
      <c r="N1401" s="6">
        <f>HYPERLINK("https://www.kleinanzeigen.de/s-bestandsliste.html?userId=32668497", "Link")</f>
        <v/>
      </c>
      <c r="O1401" s="7" t="n">
        <v>45549.57753472222</v>
      </c>
      <c r="P1401" s="3" t="inlineStr">
        <is>
          <t>480.79</t>
        </is>
      </c>
      <c r="Q1401" t="inlineStr">
        <is>
          <t>Köln</t>
        </is>
      </c>
    </row>
    <row r="1402">
      <c r="A1402" t="inlineStr">
        <is>
          <t>Dimensions not specified</t>
        </is>
      </c>
      <c r="B1402" t="inlineStr">
        <is>
          <t>Fanatic Gecko</t>
        </is>
      </c>
      <c r="C1402" t="inlineStr">
        <is>
          <t>Freeride</t>
        </is>
      </c>
      <c r="D1402" s="3" t="n">
        <v>112</v>
      </c>
      <c r="E1402" t="inlineStr">
        <is>
          <t>2018</t>
        </is>
      </c>
      <c r="F1402" s="4" t="n">
        <v>649</v>
      </c>
      <c r="G1402" t="inlineStr"/>
      <c r="H1402" t="inlineStr">
        <is>
          <t>30451 Hannover - Linden-Limmer</t>
        </is>
      </c>
      <c r="I1402" s="5" t="n">
        <v>45523</v>
      </c>
      <c r="J1402" t="inlineStr">
        <is>
          <t>Sold</t>
        </is>
      </c>
      <c r="K1402" s="6">
        <f>HYPERLINK("https://www.kleinanzeigen.de/s-anzeige/fanatic-gecko-112l-hrs-windsurfboard/2840989542-230-3196", "Link")</f>
        <v/>
      </c>
      <c r="L1402" s="6">
        <f>HYPERLINK("C:\Projects\Kleinanzeigen-Scraper\offer_images\2840989542", "Link")</f>
        <v/>
      </c>
      <c r="M1402" t="inlineStr">
        <is>
          <t>Matti</t>
        </is>
      </c>
      <c r="N1402" s="6">
        <f>HYPERLINK("https://www.kleinanzeigen.de/s-bestandsliste.html?userId=37333676", "Link")</f>
        <v/>
      </c>
      <c r="O1402" s="7" t="n">
        <v>45549.57753472222</v>
      </c>
      <c r="P1402" s="3" t="inlineStr">
        <is>
          <t>248.08</t>
        </is>
      </c>
      <c r="Q1402" t="inlineStr">
        <is>
          <t>Köln</t>
        </is>
      </c>
    </row>
    <row r="1403">
      <c r="A1403" t="inlineStr"/>
      <c r="B1403" t="inlineStr">
        <is>
          <t>Starboard Hyper</t>
        </is>
      </c>
      <c r="C1403" t="inlineStr"/>
      <c r="D1403" s="3" t="n">
        <v>88</v>
      </c>
      <c r="E1403" t="inlineStr">
        <is>
          <t>2023</t>
        </is>
      </c>
      <c r="F1403" s="4" t="n">
        <v>900</v>
      </c>
      <c r="G1403" t="inlineStr"/>
      <c r="H1403" t="inlineStr">
        <is>
          <t>47608 Nordrhein-Westfalen - Geldern</t>
        </is>
      </c>
      <c r="I1403" s="5" t="n">
        <v>45511</v>
      </c>
      <c r="J1403" t="inlineStr"/>
      <c r="K1403" s="6">
        <f>HYPERLINK("https://www.kleinanzeigen.de/s-anzeige/starboard-hyper-88l-2023-finnen/2831627856-230-1151", "Link")</f>
        <v/>
      </c>
      <c r="L1403" s="6">
        <f>HYPERLINK("C:\Projects\Kleinanzeigen-Scraper\offer_images\2831627856", "Link")</f>
        <v/>
      </c>
      <c r="M1403" t="inlineStr">
        <is>
          <t>Anika</t>
        </is>
      </c>
      <c r="N1403" s="6">
        <f>HYPERLINK("https://www.kleinanzeigen.de/s-bestandsliste.html?userId=23964745", "Link")</f>
        <v/>
      </c>
      <c r="O1403" s="7" t="n">
        <v>45549.57751157408</v>
      </c>
      <c r="P1403" s="3" t="inlineStr">
        <is>
          <t>79.36</t>
        </is>
      </c>
      <c r="Q1403" t="inlineStr">
        <is>
          <t>Köln</t>
        </is>
      </c>
    </row>
    <row r="1404">
      <c r="A1404" t="inlineStr">
        <is>
          <t>209cm x 76cm</t>
        </is>
      </c>
      <c r="B1404" t="inlineStr">
        <is>
          <t>Starboard</t>
        </is>
      </c>
      <c r="C1404" t="inlineStr">
        <is>
          <t>Freeride</t>
        </is>
      </c>
      <c r="D1404" s="3" t="n">
        <v>125</v>
      </c>
      <c r="E1404" t="inlineStr"/>
      <c r="F1404" s="4" t="n">
        <v>600</v>
      </c>
      <c r="G1404" t="inlineStr">
        <is>
          <t>VB</t>
        </is>
      </c>
      <c r="H1404" t="inlineStr">
        <is>
          <t>12203 Berlin - Steglitz</t>
        </is>
      </c>
      <c r="I1404" s="5" t="n">
        <v>45535</v>
      </c>
      <c r="J1404" t="inlineStr"/>
      <c r="K1404" s="6">
        <f>HYPERLINK("https://www.kleinanzeigen.de/s-anzeige/foilboard-starboard-freeride-125l-kein-jp-tabou-fnatic/2850653614-230-3416", "Link")</f>
        <v/>
      </c>
      <c r="L1404" s="6">
        <f>HYPERLINK("C:\Projects\Kleinanzeigen-Scraper\offer_images\2850653614", "Link")</f>
        <v/>
      </c>
      <c r="M1404" t="inlineStr">
        <is>
          <t>Viktor Brandt</t>
        </is>
      </c>
      <c r="N1404" s="6">
        <f>HYPERLINK("https://www.kleinanzeigen.de/s-bestandsliste.html?userId=68128218", "Link")</f>
        <v/>
      </c>
      <c r="O1404" s="7" t="n">
        <v>45549.57751157408</v>
      </c>
      <c r="P1404" s="3" t="inlineStr">
        <is>
          <t>468.79</t>
        </is>
      </c>
      <c r="Q1404" t="inlineStr">
        <is>
          <t>Köln</t>
        </is>
      </c>
    </row>
    <row r="1405">
      <c r="A1405" t="inlineStr">
        <is>
          <t>234cm x 56cm</t>
        </is>
      </c>
      <c r="B1405" t="inlineStr">
        <is>
          <t>Naish Global Wave</t>
        </is>
      </c>
      <c r="C1405" t="inlineStr">
        <is>
          <t>Wave</t>
        </is>
      </c>
      <c r="D1405" s="3" t="n">
        <v>78</v>
      </c>
      <c r="E1405" t="inlineStr"/>
      <c r="F1405" s="4" t="n">
        <v>170</v>
      </c>
      <c r="G1405" t="inlineStr">
        <is>
          <t>VB</t>
        </is>
      </c>
      <c r="H1405" t="inlineStr">
        <is>
          <t>56076 Rheinland-Pfalz - Koblenz</t>
        </is>
      </c>
      <c r="I1405" s="5" t="n">
        <v>45543</v>
      </c>
      <c r="J1405" t="inlineStr"/>
      <c r="K1405" s="6">
        <f>HYPERLINK("https://www.kleinanzeigen.de/s-anzeige/naish-global-wave-78/2857771197-230-5423", "Link")</f>
        <v/>
      </c>
      <c r="L1405" s="6">
        <f>HYPERLINK("C:\Projects\Kleinanzeigen-Scraper\offer_images\2857771197", "Link")</f>
        <v/>
      </c>
      <c r="M1405" t="inlineStr">
        <is>
          <t>Ralf</t>
        </is>
      </c>
      <c r="N1405" s="6">
        <f>HYPERLINK("https://www.kleinanzeigen.de/s-bestandsliste.html?userId=31056953", "Link")</f>
        <v/>
      </c>
      <c r="O1405" s="7" t="n">
        <v>45549.57751157408</v>
      </c>
      <c r="P1405" s="3" t="inlineStr">
        <is>
          <t>82.82</t>
        </is>
      </c>
      <c r="Q1405" t="inlineStr">
        <is>
          <t>Köln</t>
        </is>
      </c>
    </row>
    <row r="1406">
      <c r="A1406" t="inlineStr">
        <is>
          <t>365 cm x 80 cm</t>
        </is>
      </c>
      <c r="B1406" t="inlineStr">
        <is>
          <t>FANATIC</t>
        </is>
      </c>
      <c r="C1406" t="inlineStr"/>
      <c r="D1406" s="3" t="n">
        <v>271</v>
      </c>
      <c r="E1406" t="inlineStr"/>
      <c r="F1406" s="4" t="n">
        <v>395</v>
      </c>
      <c r="G1406" t="inlineStr">
        <is>
          <t>VB</t>
        </is>
      </c>
      <c r="H1406" t="inlineStr">
        <is>
          <t>83115 Bayern - Neubeuern</t>
        </is>
      </c>
      <c r="I1406" s="5" t="n">
        <v>45566</v>
      </c>
      <c r="J1406" t="inlineStr"/>
      <c r="K1406" s="6">
        <f>HYPERLINK("https://www.kleinanzeigen.de/s-anzeige/fanatic-sup-hardboard-mit-echtholzdeck-bambus-/2848141612-230-7576", "Link")</f>
        <v/>
      </c>
      <c r="L1406" s="6">
        <f>HYPERLINK("C:\Projects\Kleinanzeigen-Scraper\offer_images\2848141612", "Link")</f>
        <v/>
      </c>
      <c r="M1406" t="inlineStr">
        <is>
          <t>J. Hahn</t>
        </is>
      </c>
      <c r="N1406" s="6">
        <f>HYPERLINK("https://www.kleinanzeigen.de/s-bestandsliste.html?userId=10153947", "Link")</f>
        <v/>
      </c>
      <c r="O1406" s="7" t="n">
        <v>45549.57748842592</v>
      </c>
      <c r="P1406" s="3" t="inlineStr">
        <is>
          <t>57.98</t>
        </is>
      </c>
      <c r="Q1406" t="inlineStr">
        <is>
          <t>München</t>
        </is>
      </c>
    </row>
    <row r="1407">
      <c r="A1407" t="inlineStr"/>
      <c r="B1407" t="inlineStr">
        <is>
          <t>Fanatic Falcon</t>
        </is>
      </c>
      <c r="C1407" t="inlineStr"/>
      <c r="D1407" s="3" t="n">
        <v>115</v>
      </c>
      <c r="E1407" t="inlineStr"/>
      <c r="F1407" s="4" t="n">
        <v>1</v>
      </c>
      <c r="G1407" t="inlineStr">
        <is>
          <t>VB</t>
        </is>
      </c>
      <c r="H1407" t="inlineStr">
        <is>
          <t>49509 Nordrhein-Westfalen - Recke</t>
        </is>
      </c>
      <c r="I1407" s="5" t="n">
        <v>45540</v>
      </c>
      <c r="J1407" t="inlineStr">
        <is>
          <t>Sold</t>
        </is>
      </c>
      <c r="K1407" s="6">
        <f>HYPERLINK("https://www.kleinanzeigen.de/s-anzeige/fanatic-falcon-surfboard/2854636906-230-1911", "Link")</f>
        <v/>
      </c>
      <c r="L1407" s="6">
        <f>HYPERLINK("C:\Projects\Kleinanzeigen-Scraper\offer_images\2854636906", "Link")</f>
        <v/>
      </c>
      <c r="M1407" t="inlineStr">
        <is>
          <t>Rainer</t>
        </is>
      </c>
      <c r="N1407" s="6">
        <f>HYPERLINK("https://www.kleinanzeigen.de/s-bestandsliste.html?userId=7954103", "Link")</f>
        <v/>
      </c>
      <c r="O1407" s="7" t="n">
        <v>45549.57746527778</v>
      </c>
      <c r="P1407" s="3" t="inlineStr">
        <is>
          <t>165.95</t>
        </is>
      </c>
      <c r="Q1407" t="inlineStr">
        <is>
          <t>Köln</t>
        </is>
      </c>
    </row>
    <row r="1408">
      <c r="A1408" t="inlineStr"/>
      <c r="B1408" t="inlineStr">
        <is>
          <t>Fanatic Skate</t>
        </is>
      </c>
      <c r="C1408" t="inlineStr">
        <is>
          <t>Freestyle</t>
        </is>
      </c>
      <c r="D1408" s="3" t="n">
        <v>99</v>
      </c>
      <c r="E1408" t="inlineStr">
        <is>
          <t>2020</t>
        </is>
      </c>
      <c r="F1408" s="4" t="n">
        <v>850</v>
      </c>
      <c r="G1408" t="inlineStr"/>
      <c r="H1408" t="inlineStr">
        <is>
          <t>89264 Bayern - Weißenhorn</t>
        </is>
      </c>
      <c r="I1408" s="5" t="n">
        <v>45515</v>
      </c>
      <c r="J1408" t="inlineStr">
        <is>
          <t>Sold</t>
        </is>
      </c>
      <c r="K1408" s="6">
        <f>HYPERLINK("https://www.kleinanzeigen.de/s-anzeige/fanatic-skate-2020-team-edition-99l/2834393614-230-6686", "Link")</f>
        <v/>
      </c>
      <c r="L1408" s="6">
        <f>HYPERLINK("C:\Projects\Kleinanzeigen-Scraper\offer_images\2834393614", "Link")</f>
        <v/>
      </c>
      <c r="M1408" t="inlineStr">
        <is>
          <t>Michael Raschke</t>
        </is>
      </c>
      <c r="N1408" s="6">
        <f>HYPERLINK("https://www.kleinanzeigen.de/s-bestandsliste.html?userId=37397550", "Link")</f>
        <v/>
      </c>
      <c r="O1408" s="7" t="n">
        <v>45549.57746527778</v>
      </c>
      <c r="P1408" s="3" t="inlineStr">
        <is>
          <t>98.31</t>
        </is>
      </c>
      <c r="Q1408" t="inlineStr">
        <is>
          <t>Böblingen</t>
        </is>
      </c>
    </row>
    <row r="1409">
      <c r="A1409" t="inlineStr">
        <is>
          <t>5.8</t>
        </is>
      </c>
      <c r="B1409" t="inlineStr">
        <is>
          <t>RRD Barracuda LTE</t>
        </is>
      </c>
      <c r="C1409" t="inlineStr">
        <is>
          <t>Wave</t>
        </is>
      </c>
      <c r="D1409" s="3" t="inlineStr"/>
      <c r="E1409" t="inlineStr">
        <is>
          <t>2022</t>
        </is>
      </c>
      <c r="F1409" s="4" t="n">
        <v>500</v>
      </c>
      <c r="G1409" t="inlineStr"/>
      <c r="H1409" t="inlineStr">
        <is>
          <t>22765 Altona - Hamburg Ottensen</t>
        </is>
      </c>
      <c r="I1409" s="5" t="n">
        <v>45533</v>
      </c>
      <c r="J1409" t="inlineStr">
        <is>
          <t>Sold</t>
        </is>
      </c>
      <c r="K1409" s="6">
        <f>HYPERLINK("https://www.kleinanzeigen.de/s-anzeige/rrd-barracuda-lte-5-8-waveboard-kitesurf-kiteboard/2849046841-230-9504", "Link")</f>
        <v/>
      </c>
      <c r="L1409" s="6">
        <f>HYPERLINK("C:\Projects\Kleinanzeigen-Scraper\offer_images\2849046841", "Link")</f>
        <v/>
      </c>
      <c r="M1409" t="inlineStr">
        <is>
          <t>Di lorenzo</t>
        </is>
      </c>
      <c r="N1409" s="6">
        <f>HYPERLINK("https://www.kleinanzeigen.de/s-bestandsliste.html?userId=12607707", "Link")</f>
        <v/>
      </c>
      <c r="O1409" s="7" t="n">
        <v>45549.57746527778</v>
      </c>
      <c r="P1409" s="3" t="inlineStr">
        <is>
          <t>354.49</t>
        </is>
      </c>
      <c r="Q1409" t="inlineStr">
        <is>
          <t>Köln</t>
        </is>
      </c>
    </row>
    <row r="1410">
      <c r="A1410" t="inlineStr">
        <is>
          <t>76</t>
        </is>
      </c>
      <c r="B1410" t="inlineStr">
        <is>
          <t>FANATIC GRIP TE</t>
        </is>
      </c>
      <c r="C1410" t="inlineStr">
        <is>
          <t>Freestyle</t>
        </is>
      </c>
      <c r="D1410" s="3" t="inlineStr"/>
      <c r="E1410" t="inlineStr">
        <is>
          <t>2019</t>
        </is>
      </c>
      <c r="F1410" s="4" t="n">
        <v>650</v>
      </c>
      <c r="G1410" t="inlineStr"/>
      <c r="H1410" t="inlineStr">
        <is>
          <t>52134 Nordrhein-Westfalen - Herzogenrath</t>
        </is>
      </c>
      <c r="I1410" s="5" t="n">
        <v>45538</v>
      </c>
      <c r="J1410" t="inlineStr">
        <is>
          <t>Sold</t>
        </is>
      </c>
      <c r="K1410" s="6">
        <f>HYPERLINK("https://www.kleinanzeigen.de/s-anzeige/fanatic-grip-te-76-aus-2019/2853116960-230-1712", "Link")</f>
        <v/>
      </c>
      <c r="L1410" s="6">
        <f>HYPERLINK("C:\Projects\Kleinanzeigen-Scraper\offer_images\2853116960", "Link")</f>
        <v/>
      </c>
      <c r="M1410" t="inlineStr">
        <is>
          <t>Karin Buchholz</t>
        </is>
      </c>
      <c r="N1410" s="6">
        <f>HYPERLINK("https://www.kleinanzeigen.de/s-bestandsliste.html?userId=31104342", "Link")</f>
        <v/>
      </c>
      <c r="O1410" s="7" t="n">
        <v>45549.57746527778</v>
      </c>
      <c r="P1410" s="3" t="inlineStr">
        <is>
          <t>59.57</t>
        </is>
      </c>
      <c r="Q1410" t="inlineStr">
        <is>
          <t>Köln</t>
        </is>
      </c>
    </row>
    <row r="1411">
      <c r="A1411" t="inlineStr">
        <is>
          <t>200cm x 70cm</t>
        </is>
      </c>
      <c r="B1411" t="inlineStr">
        <is>
          <t>Severne Alien</t>
        </is>
      </c>
      <c r="C1411" t="inlineStr">
        <is>
          <t>Foil</t>
        </is>
      </c>
      <c r="D1411" s="3" t="n">
        <v>115</v>
      </c>
      <c r="E1411" t="inlineStr"/>
      <c r="F1411" s="4" t="n">
        <v>850</v>
      </c>
      <c r="G1411" t="inlineStr">
        <is>
          <t>VB</t>
        </is>
      </c>
      <c r="H1411" t="inlineStr">
        <is>
          <t>95233 Bayern - Helmbrechts</t>
        </is>
      </c>
      <c r="I1411" s="5" t="n">
        <v>45483</v>
      </c>
      <c r="J1411" t="inlineStr"/>
      <c r="K1411" s="6">
        <f>HYPERLINK("https://www.kleinanzeigen.de/s-anzeige/severne-alien-115-windsurf-foil-board/2809218430-230-7230", "Link")</f>
        <v/>
      </c>
      <c r="L1411" s="6">
        <f>HYPERLINK("C:\Projects\Kleinanzeigen-Scraper\offer_images\2809218430", "Link")</f>
        <v/>
      </c>
      <c r="M1411" t="inlineStr">
        <is>
          <t>Christian</t>
        </is>
      </c>
      <c r="N1411" s="6">
        <f>HYPERLINK("https://www.kleinanzeigen.de/s-bestandsliste.html?userId=17897410", "Link")</f>
        <v/>
      </c>
      <c r="O1411" s="7" t="n">
        <v>45549.57744212963</v>
      </c>
      <c r="P1411" s="3" t="inlineStr">
        <is>
          <t>234.86</t>
        </is>
      </c>
      <c r="Q1411" t="inlineStr">
        <is>
          <t>München</t>
        </is>
      </c>
    </row>
    <row r="1412">
      <c r="A1412" t="inlineStr">
        <is>
          <t>5.5</t>
        </is>
      </c>
      <c r="B1412" t="inlineStr">
        <is>
          <t>North Seek Air</t>
        </is>
      </c>
      <c r="C1412" t="inlineStr">
        <is>
          <t>Foilboard</t>
        </is>
      </c>
      <c r="D1412" s="3" t="n">
        <v>123</v>
      </c>
      <c r="E1412" t="inlineStr">
        <is>
          <t>2024</t>
        </is>
      </c>
      <c r="F1412" s="4" t="n">
        <v>750</v>
      </c>
      <c r="G1412" t="inlineStr"/>
      <c r="H1412" t="inlineStr">
        <is>
          <t>27476 Niedersachsen - Cuxhaven</t>
        </is>
      </c>
      <c r="I1412" s="5" t="n">
        <v>45544</v>
      </c>
      <c r="J1412" t="inlineStr">
        <is>
          <t>Sold</t>
        </is>
      </c>
      <c r="K1412" s="6">
        <f>HYPERLINK("https://www.kleinanzeigen.de/s-anzeige/north-seek-air-5-5-modell-2024-foilboard-neu-/2847726482-230-3299", "Link")</f>
        <v/>
      </c>
      <c r="L1412" s="6">
        <f>HYPERLINK("C:\Projects\Kleinanzeigen-Scraper\offer_images\2847726482", "Link")</f>
        <v/>
      </c>
      <c r="M1412" t="inlineStr">
        <is>
          <t>Marcopolo</t>
        </is>
      </c>
      <c r="N1412" s="6">
        <f>HYPERLINK("https://www.kleinanzeigen.de/s-bestandsliste.html?userId=143576629", "Link")</f>
        <v/>
      </c>
      <c r="O1412" s="7" t="n">
        <v>45549.57744212963</v>
      </c>
      <c r="P1412" s="3" t="inlineStr">
        <is>
          <t>344.28</t>
        </is>
      </c>
      <c r="Q1412" t="inlineStr">
        <is>
          <t>Köln</t>
        </is>
      </c>
    </row>
    <row r="1413">
      <c r="A1413" t="inlineStr">
        <is>
          <t>142 x 43</t>
        </is>
      </c>
      <c r="B1413" t="inlineStr">
        <is>
          <t>Duotone Jaime</t>
        </is>
      </c>
      <c r="C1413" t="inlineStr"/>
      <c r="D1413" s="3" t="inlineStr"/>
      <c r="E1413" t="inlineStr">
        <is>
          <t>2022</t>
        </is>
      </c>
      <c r="F1413" s="4" t="n">
        <v>500</v>
      </c>
      <c r="G1413" t="inlineStr"/>
      <c r="H1413" t="inlineStr">
        <is>
          <t>80339 München - Schwanthalerhöhe</t>
        </is>
      </c>
      <c r="I1413" s="5" t="n">
        <v>45543</v>
      </c>
      <c r="J1413" t="inlineStr">
        <is>
          <t>Sold</t>
        </is>
      </c>
      <c r="K1413" s="6">
        <f>HYPERLINK("https://www.kleinanzeigen.de/s-anzeige/duotone-jaime-142-x-43-neuwertig/2857122688-230-6444", "Link")</f>
        <v/>
      </c>
      <c r="L1413" s="6">
        <f>HYPERLINK("C:\Projects\Kleinanzeigen-Scraper\offer_images\2857122688", "Link")</f>
        <v/>
      </c>
      <c r="M1413" t="inlineStr">
        <is>
          <t>Fabio</t>
        </is>
      </c>
      <c r="N1413" s="6">
        <f>HYPERLINK("https://www.kleinanzeigen.de/s-bestandsliste.html?userId=29755210", "Link")</f>
        <v/>
      </c>
      <c r="O1413" s="7" t="n">
        <v>45549.57741898148</v>
      </c>
      <c r="P1413" s="3" t="inlineStr">
        <is>
          <t>2.57</t>
        </is>
      </c>
      <c r="Q1413" t="inlineStr">
        <is>
          <t>München</t>
        </is>
      </c>
    </row>
    <row r="1414">
      <c r="A1414" t="inlineStr"/>
      <c r="B1414" t="inlineStr">
        <is>
          <t>Tabou Rocket</t>
        </is>
      </c>
      <c r="C1414" t="inlineStr">
        <is>
          <t>Freeride</t>
        </is>
      </c>
      <c r="D1414" s="3" t="n">
        <v>135</v>
      </c>
      <c r="E1414" t="inlineStr"/>
      <c r="F1414" s="4" t="n">
        <v>500</v>
      </c>
      <c r="G1414" t="inlineStr">
        <is>
          <t>VB</t>
        </is>
      </c>
      <c r="H1414" t="inlineStr">
        <is>
          <t>59469 Nordrhein-Westfalen - Ense</t>
        </is>
      </c>
      <c r="I1414" s="5" t="n">
        <v>45519</v>
      </c>
      <c r="J1414" t="inlineStr"/>
      <c r="K1414" s="6">
        <f>HYPERLINK("https://www.kleinanzeigen.de/s-anzeige/surfboard-tabou-rocket-135-liter/2837379887-230-1816", "Link")</f>
        <v/>
      </c>
      <c r="L1414" s="6">
        <f>HYPERLINK("C:\Projects\Kleinanzeigen-Scraper\offer_images\2837379887", "Link")</f>
        <v/>
      </c>
      <c r="M1414" t="inlineStr">
        <is>
          <t>Leonie Landwehr</t>
        </is>
      </c>
      <c r="N1414" s="6">
        <f>HYPERLINK("https://www.kleinanzeigen.de/s-bestandsliste.html?userId=50123130", "Link")</f>
        <v/>
      </c>
      <c r="O1414" s="7" t="n">
        <v>45549.57741898148</v>
      </c>
      <c r="P1414" s="3" t="inlineStr">
        <is>
          <t>94.85</t>
        </is>
      </c>
      <c r="Q1414" t="inlineStr">
        <is>
          <t>Köln</t>
        </is>
      </c>
    </row>
    <row r="1415">
      <c r="A1415" t="inlineStr"/>
      <c r="B1415" t="inlineStr">
        <is>
          <t>Starboard Flare</t>
        </is>
      </c>
      <c r="C1415" t="inlineStr"/>
      <c r="D1415" s="3" t="n">
        <v>60</v>
      </c>
      <c r="E1415" t="inlineStr"/>
      <c r="F1415" s="4" t="n">
        <v>280</v>
      </c>
      <c r="G1415" t="inlineStr">
        <is>
          <t>VB</t>
        </is>
      </c>
      <c r="H1415" t="inlineStr">
        <is>
          <t>13585 Berlin - Spandau</t>
        </is>
      </c>
      <c r="I1415" s="5" t="n">
        <v>45534</v>
      </c>
      <c r="J1415" t="inlineStr"/>
      <c r="K1415" s="6">
        <f>HYPERLINK("https://www.kleinanzeigen.de/s-anzeige/starboard-flare-kids-60l/2849928655-230-3438", "Link")</f>
        <v/>
      </c>
      <c r="L1415" s="6">
        <f>HYPERLINK("C:\Projects\Kleinanzeigen-Scraper\offer_images\2849928655", "Link")</f>
        <v/>
      </c>
      <c r="M1415" t="inlineStr">
        <is>
          <t>Benno</t>
        </is>
      </c>
      <c r="N1415" s="6">
        <f>HYPERLINK("https://www.kleinanzeigen.de/s-bestandsliste.html?userId=3480996", "Link")</f>
        <v/>
      </c>
      <c r="O1415" s="7" t="n">
        <v>45549.57741898148</v>
      </c>
      <c r="P1415" s="3" t="inlineStr">
        <is>
          <t>465.98</t>
        </is>
      </c>
      <c r="Q1415" t="inlineStr">
        <is>
          <t>Köln</t>
        </is>
      </c>
    </row>
    <row r="1416">
      <c r="A1416" t="inlineStr">
        <is>
          <t xml:space="preserve">Length: , Width: </t>
        </is>
      </c>
      <c r="B1416" t="inlineStr">
        <is>
          <t>Tabou Manta 64</t>
        </is>
      </c>
      <c r="C1416" t="inlineStr">
        <is>
          <t>Slalom</t>
        </is>
      </c>
      <c r="D1416" s="3" t="n">
        <v>98</v>
      </c>
      <c r="E1416" t="inlineStr"/>
      <c r="F1416" s="4" t="n">
        <v>290</v>
      </c>
      <c r="G1416" t="inlineStr"/>
      <c r="H1416" t="inlineStr">
        <is>
          <t>33803 Nordrhein-Westfalen - Steinhagen</t>
        </is>
      </c>
      <c r="I1416" s="5" t="n">
        <v>45534</v>
      </c>
      <c r="J1416" t="inlineStr"/>
      <c r="K1416" s="6">
        <f>HYPERLINK("https://www.kleinanzeigen.de/s-anzeige/tabou-manta-64-98-liter-slalomboard-mit-3-finnen/2850019376-230-1642", "Link")</f>
        <v/>
      </c>
      <c r="L1416" s="6">
        <f>HYPERLINK("C:\Projects\Kleinanzeigen-Scraper\offer_images\2850019376", "Link")</f>
        <v/>
      </c>
      <c r="M1416" t="inlineStr">
        <is>
          <t>Ralph</t>
        </is>
      </c>
      <c r="N1416" s="6">
        <f>HYPERLINK("https://www.kleinanzeigen.de/s-bestandsliste.html?userId=1738682", "Link")</f>
        <v/>
      </c>
      <c r="O1416" s="7" t="n">
        <v>45549.57740740741</v>
      </c>
      <c r="P1416" s="3" t="inlineStr">
        <is>
          <t>153.21</t>
        </is>
      </c>
      <c r="Q1416" t="inlineStr">
        <is>
          <t>Köln</t>
        </is>
      </c>
    </row>
    <row r="1417">
      <c r="A1417" t="inlineStr"/>
      <c r="B1417" t="inlineStr">
        <is>
          <t>Goya FXR</t>
        </is>
      </c>
      <c r="C1417" t="inlineStr">
        <is>
          <t>Freeride</t>
        </is>
      </c>
      <c r="D1417" s="3" t="n">
        <v>105</v>
      </c>
      <c r="E1417" t="inlineStr"/>
      <c r="F1417" s="4" t="n">
        <v>120</v>
      </c>
      <c r="G1417" t="inlineStr"/>
      <c r="H1417" t="inlineStr">
        <is>
          <t>22453 Hamburg-Nord - Hamburg Groß Borstel</t>
        </is>
      </c>
      <c r="I1417" s="5" t="n">
        <v>45501</v>
      </c>
      <c r="J1417" t="inlineStr"/>
      <c r="K1417" s="6">
        <f>HYPERLINK("https://www.kleinanzeigen.de/s-anzeige/windsurfboard-105-liter-goya-fxr-freeride/2823349772-230-16478", "Link")</f>
        <v/>
      </c>
      <c r="L1417" s="6">
        <f>HYPERLINK("C:\Projects\Kleinanzeigen-Scraper\offer_images\2823349772", "Link")</f>
        <v/>
      </c>
      <c r="M1417" t="inlineStr">
        <is>
          <t>Max</t>
        </is>
      </c>
      <c r="N1417" s="6">
        <f>HYPERLINK("https://www.kleinanzeigen.de/s-bestandsliste.html?userId=4165294", "Link")</f>
        <v/>
      </c>
      <c r="O1417" s="7" t="n">
        <v>45549.57740740741</v>
      </c>
      <c r="P1417" s="3" t="inlineStr">
        <is>
          <t>361.03</t>
        </is>
      </c>
      <c r="Q1417" t="inlineStr">
        <is>
          <t>Köln</t>
        </is>
      </c>
    </row>
    <row r="1418">
      <c r="A1418" t="inlineStr">
        <is>
          <t>343cm x 68cm</t>
        </is>
      </c>
      <c r="B1418" t="inlineStr">
        <is>
          <t>Fanatic Lite Viper</t>
        </is>
      </c>
      <c r="C1418" t="inlineStr">
        <is>
          <t>Freeride</t>
        </is>
      </c>
      <c r="D1418" s="3" t="n">
        <v>187</v>
      </c>
      <c r="E1418" t="inlineStr"/>
      <c r="F1418" s="4" t="n">
        <v>30</v>
      </c>
      <c r="G1418" t="inlineStr"/>
      <c r="H1418" t="inlineStr">
        <is>
          <t>71686 Baden-Württemberg - Remseck am Neckar</t>
        </is>
      </c>
      <c r="I1418" s="5" t="n">
        <v>45520</v>
      </c>
      <c r="J1418" t="inlineStr">
        <is>
          <t>Sold</t>
        </is>
      </c>
      <c r="K1418" s="6">
        <f>HYPERLINK("https://www.kleinanzeigen.de/s-anzeige/fanatic-lite-viper-surfbrett-retro-design-gut-erhalten/2838373561-230-8422", "Link")</f>
        <v/>
      </c>
      <c r="L1418" s="6">
        <f>HYPERLINK("C:\Projects\Kleinanzeigen-Scraper\offer_images\2838373561", "Link")</f>
        <v/>
      </c>
      <c r="M1418" t="inlineStr">
        <is>
          <t>Kostron</t>
        </is>
      </c>
      <c r="N1418" s="6">
        <f>HYPERLINK("https://www.kleinanzeigen.de/s-bestandsliste.html?userId=37536366", "Link")</f>
        <v/>
      </c>
      <c r="O1418" s="7" t="n">
        <v>45549.57737268518</v>
      </c>
      <c r="P1418" s="3" t="inlineStr">
        <is>
          <t>31.75</t>
        </is>
      </c>
      <c r="Q1418" t="inlineStr">
        <is>
          <t>Böblingen</t>
        </is>
      </c>
    </row>
    <row r="1419">
      <c r="A1419" t="inlineStr"/>
      <c r="B1419" t="inlineStr">
        <is>
          <t>Naish Hover GS</t>
        </is>
      </c>
      <c r="C1419" t="inlineStr">
        <is>
          <t>Wingfoil</t>
        </is>
      </c>
      <c r="D1419" s="3" t="n">
        <v>110</v>
      </c>
      <c r="E1419" t="inlineStr">
        <is>
          <t>2021</t>
        </is>
      </c>
      <c r="F1419" s="4" t="n">
        <v>900</v>
      </c>
      <c r="G1419" t="inlineStr">
        <is>
          <t>VB</t>
        </is>
      </c>
      <c r="H1419" t="inlineStr">
        <is>
          <t>20251 Hamburg-Nord - Hamburg Eppendorf</t>
        </is>
      </c>
      <c r="I1419" s="5" t="n">
        <v>45512</v>
      </c>
      <c r="J1419" t="inlineStr">
        <is>
          <t>Sold</t>
        </is>
      </c>
      <c r="K1419" s="6">
        <f>HYPERLINK("https://www.kleinanzeigen.de/s-anzeige/naish-s26-hover-gs-110l-wingfoil-board/2832039350-230-9475", "Link")</f>
        <v/>
      </c>
      <c r="L1419" s="6">
        <f>HYPERLINK("C:\Projects\Kleinanzeigen-Scraper\offer_images\2832039350", "Link")</f>
        <v/>
      </c>
      <c r="M1419" t="inlineStr">
        <is>
          <t>Nina_S</t>
        </is>
      </c>
      <c r="N1419" s="6">
        <f>HYPERLINK("https://www.kleinanzeigen.de/s-bestandsliste.html?userId=135642417", "Link")</f>
        <v/>
      </c>
      <c r="O1419" s="7" t="n">
        <v>45549.57737268518</v>
      </c>
      <c r="P1419" s="3" t="inlineStr">
        <is>
          <t>360.06</t>
        </is>
      </c>
      <c r="Q1419" t="inlineStr">
        <is>
          <t>Köln</t>
        </is>
      </c>
    </row>
    <row r="1420">
      <c r="A1420" t="inlineStr"/>
      <c r="B1420" t="inlineStr">
        <is>
          <t>RRD SX</t>
        </is>
      </c>
      <c r="C1420" t="inlineStr">
        <is>
          <t>Freeride</t>
        </is>
      </c>
      <c r="D1420" s="3" t="n">
        <v>105</v>
      </c>
      <c r="E1420" t="inlineStr"/>
      <c r="F1420" s="4" t="n">
        <v>245</v>
      </c>
      <c r="G1420" t="inlineStr">
        <is>
          <t>VB</t>
        </is>
      </c>
      <c r="H1420" t="inlineStr">
        <is>
          <t>27476 Niedersachsen - Cuxhaven</t>
        </is>
      </c>
      <c r="I1420" s="5" t="n">
        <v>45537</v>
      </c>
      <c r="J1420" t="inlineStr"/>
      <c r="K1420" s="6">
        <f>HYPERLINK("https://www.kleinanzeigen.de/s-anzeige/rrd-sx-105-l-mit-bag/2852781685-230-3299", "Link")</f>
        <v/>
      </c>
      <c r="L1420" s="6">
        <f>HYPERLINK("C:\Projects\Kleinanzeigen-Scraper\offer_images\2852781685", "Link")</f>
        <v/>
      </c>
      <c r="M1420" t="inlineStr">
        <is>
          <t>Lars</t>
        </is>
      </c>
      <c r="N1420" s="6">
        <f>HYPERLINK("https://www.kleinanzeigen.de/s-bestandsliste.html?userId=74371854", "Link")</f>
        <v/>
      </c>
      <c r="O1420" s="7" t="n">
        <v>45549.57736111111</v>
      </c>
      <c r="P1420" s="3" t="inlineStr">
        <is>
          <t>344.28</t>
        </is>
      </c>
      <c r="Q1420" t="inlineStr">
        <is>
          <t>Köln</t>
        </is>
      </c>
    </row>
    <row r="1421">
      <c r="A1421" t="inlineStr">
        <is>
          <t>5'11"</t>
        </is>
      </c>
      <c r="B1421" t="inlineStr">
        <is>
          <t>RRD Maquina V4</t>
        </is>
      </c>
      <c r="C1421" t="inlineStr">
        <is>
          <t>Wave</t>
        </is>
      </c>
      <c r="D1421" s="3" t="inlineStr"/>
      <c r="E1421" t="inlineStr"/>
      <c r="F1421" s="4" t="n">
        <v>299</v>
      </c>
      <c r="G1421" t="inlineStr"/>
      <c r="H1421" t="inlineStr">
        <is>
          <t>22457 Eimsbüttel - Hamburg Schnelsen</t>
        </is>
      </c>
      <c r="I1421" s="5" t="n">
        <v>45550</v>
      </c>
      <c r="J1421" t="inlineStr">
        <is>
          <t>Sold</t>
        </is>
      </c>
      <c r="K1421" s="6">
        <f>HYPERLINK("https://www.kleinanzeigen.de/s-anzeige/directional-kiteboard-rrd-maquina-v4-5-11-gebraucht-g/2253830228-230-9492", "Link")</f>
        <v/>
      </c>
      <c r="L1421" s="6">
        <f>HYPERLINK("C:\Projects\Kleinanzeigen-Scraper\offer_images\2253830228", "Link")</f>
        <v/>
      </c>
      <c r="M1421" t="inlineStr">
        <is>
          <t>No user name</t>
        </is>
      </c>
      <c r="N1421" s="6">
        <f>HYPERLINK("https://www.kleinanzeigen.deNo user link", "Link")</f>
        <v/>
      </c>
      <c r="O1421" s="7" t="n">
        <v>45549.57733796296</v>
      </c>
      <c r="P1421" s="3" t="inlineStr">
        <is>
          <t>362.41</t>
        </is>
      </c>
      <c r="Q1421" t="inlineStr">
        <is>
          <t>Köln</t>
        </is>
      </c>
    </row>
    <row r="1422">
      <c r="A1422" t="inlineStr">
        <is>
          <t>132 cm x 39 cm</t>
        </is>
      </c>
      <c r="B1422" t="inlineStr">
        <is>
          <t>Naish Alana</t>
        </is>
      </c>
      <c r="C1422" t="inlineStr">
        <is>
          <t>Freeride/Freestyle</t>
        </is>
      </c>
      <c r="D1422" s="3" t="inlineStr"/>
      <c r="E1422" t="inlineStr">
        <is>
          <t>2022</t>
        </is>
      </c>
      <c r="F1422" s="4" t="n">
        <v>466</v>
      </c>
      <c r="G1422" t="inlineStr">
        <is>
          <t>VB</t>
        </is>
      </c>
      <c r="H1422" t="inlineStr">
        <is>
          <t>18586 Mecklenburg-Vorpommern - Mönchgut, Ostseebad</t>
        </is>
      </c>
      <c r="I1422" s="5" t="n">
        <v>45548</v>
      </c>
      <c r="J1422" t="inlineStr"/>
      <c r="K1422" s="6">
        <f>HYPERLINK("https://www.kleinanzeigen.de/s-anzeige/naish-alana-s26-2022-15-neu/1560435589-230-120", "Link")</f>
        <v/>
      </c>
      <c r="L1422" s="6">
        <f>HYPERLINK("C:\Projects\Kleinanzeigen-Scraper\offer_images\1560435589", "Link")</f>
        <v/>
      </c>
      <c r="M1422" t="inlineStr">
        <is>
          <t>No user name</t>
        </is>
      </c>
      <c r="N1422" s="6">
        <f>HYPERLINK("https://www.kleinanzeigen.deNo user link", "Link")</f>
        <v/>
      </c>
      <c r="O1422" s="7" t="n">
        <v>45549.57733796296</v>
      </c>
      <c r="P1422" s="3" t="inlineStr">
        <is>
          <t>591.22</t>
        </is>
      </c>
      <c r="Q1422" t="inlineStr">
        <is>
          <t>Köln</t>
        </is>
      </c>
    </row>
    <row r="1423">
      <c r="A1423" t="inlineStr">
        <is>
          <t>Dimensions not specified</t>
        </is>
      </c>
      <c r="B1423" t="inlineStr">
        <is>
          <t>Fanatic Blast</t>
        </is>
      </c>
      <c r="C1423" t="inlineStr">
        <is>
          <t>Freeride</t>
        </is>
      </c>
      <c r="D1423" s="3" t="n">
        <v>140</v>
      </c>
      <c r="E1423" t="inlineStr"/>
      <c r="F1423" s="4" t="n">
        <v>800</v>
      </c>
      <c r="G1423" t="inlineStr">
        <is>
          <t>VB</t>
        </is>
      </c>
      <c r="H1423" t="inlineStr">
        <is>
          <t>66625 Saarland - Nohfelden</t>
        </is>
      </c>
      <c r="I1423" s="5" t="n">
        <v>45506</v>
      </c>
      <c r="J1423" t="inlineStr">
        <is>
          <t>Sold</t>
        </is>
      </c>
      <c r="K1423" s="6">
        <f>HYPERLINK("https://www.kleinanzeigen.de/s-anzeige/surfbrett-fanatic-blast-gebraucht-/2827423572-242-317", "Link")</f>
        <v/>
      </c>
      <c r="L1423" s="6">
        <f>HYPERLINK("C:\Projects\Kleinanzeigen-Scraper\offer_images\2827423572", "Link")</f>
        <v/>
      </c>
      <c r="M1423" t="inlineStr">
        <is>
          <t>Weber Franziskus</t>
        </is>
      </c>
      <c r="N1423" s="6">
        <f>HYPERLINK("https://www.kleinanzeigen.de/s-bestandsliste.html?userId=76994457", "Link")</f>
        <v/>
      </c>
      <c r="O1423" s="7" t="n">
        <v>45549.57732638889</v>
      </c>
      <c r="P1423" s="3" t="inlineStr">
        <is>
          <t>113.60</t>
        </is>
      </c>
      <c r="Q1423" t="inlineStr">
        <is>
          <t>Karlsruhe</t>
        </is>
      </c>
    </row>
    <row r="1424">
      <c r="A1424" t="inlineStr"/>
      <c r="B1424" t="inlineStr">
        <is>
          <t>JP Australia</t>
        </is>
      </c>
      <c r="C1424" t="inlineStr">
        <is>
          <t>Slalom</t>
        </is>
      </c>
      <c r="D1424" s="3" t="n">
        <v>97</v>
      </c>
      <c r="E1424" t="inlineStr">
        <is>
          <t>2021</t>
        </is>
      </c>
      <c r="F1424" s="4" t="n">
        <v>890</v>
      </c>
      <c r="G1424" t="inlineStr">
        <is>
          <t>VB</t>
        </is>
      </c>
      <c r="H1424" t="inlineStr">
        <is>
          <t>22045 Wandsbek - Hamburg Tonndorf</t>
        </is>
      </c>
      <c r="I1424" s="5" t="n">
        <v>45444</v>
      </c>
      <c r="J1424" t="inlineStr">
        <is>
          <t>Sold</t>
        </is>
      </c>
      <c r="K1424" s="6">
        <f>HYPERLINK("https://www.kleinanzeigen.de/s-anzeige/jp-australia-slalom-board-97l-2021/2777008365-230-17135", "Link")</f>
        <v/>
      </c>
      <c r="L1424" s="6">
        <f>HYPERLINK("C:\Projects\Kleinanzeigen-Scraper\offer_images\2777008365", "Link")</f>
        <v/>
      </c>
      <c r="M1424" t="inlineStr">
        <is>
          <t>Nadia J.</t>
        </is>
      </c>
      <c r="N1424" s="6">
        <f>HYPERLINK("https://www.kleinanzeigen.de/s-bestandsliste.html?userId=79389459", "Link")</f>
        <v/>
      </c>
      <c r="O1424" s="7" t="n">
        <v>45549.57732638889</v>
      </c>
      <c r="P1424" s="3" t="inlineStr">
        <is>
          <t>364.91</t>
        </is>
      </c>
      <c r="Q1424" t="inlineStr">
        <is>
          <t>Köln</t>
        </is>
      </c>
    </row>
    <row r="1425">
      <c r="A1425" t="inlineStr">
        <is>
          <t>5'10</t>
        </is>
      </c>
      <c r="B1425" t="inlineStr">
        <is>
          <t>Fanatic Sky Air Premium</t>
        </is>
      </c>
      <c r="C1425" t="inlineStr"/>
      <c r="D1425" s="3" t="inlineStr"/>
      <c r="E1425" t="inlineStr"/>
      <c r="F1425" s="4" t="inlineStr"/>
      <c r="G1425" t="inlineStr">
        <is>
          <t>VB</t>
        </is>
      </c>
      <c r="H1425" t="inlineStr">
        <is>
          <t>64668 Hessen - Rimbach</t>
        </is>
      </c>
      <c r="I1425" s="5" t="n">
        <v>45546</v>
      </c>
      <c r="J1425" t="inlineStr">
        <is>
          <t>Sold</t>
        </is>
      </c>
      <c r="K1425" s="6">
        <f>HYPERLINK("https://www.kleinanzeigen.de/s-anzeige/fanatic-sky-air-premium-5-10-zerschnitten/2860219589-230-4775", "Link")</f>
        <v/>
      </c>
      <c r="L1425" s="6">
        <f>HYPERLINK("C:\Projects\Kleinanzeigen-Scraper\offer_images\2860219589", "Link")</f>
        <v/>
      </c>
      <c r="M1425" t="inlineStr">
        <is>
          <t>Sebastian</t>
        </is>
      </c>
      <c r="N1425" s="6">
        <f>HYPERLINK("https://www.kleinanzeigen.de/s-bestandsliste.html?userId=33881226", "Link")</f>
        <v/>
      </c>
      <c r="O1425" s="7" t="n">
        <v>45549.57731481481</v>
      </c>
      <c r="P1425" s="3" t="inlineStr">
        <is>
          <t>73.59</t>
        </is>
      </c>
      <c r="Q1425" t="inlineStr">
        <is>
          <t>Karlsruhe</t>
        </is>
      </c>
    </row>
    <row r="1426">
      <c r="A1426" t="inlineStr">
        <is>
          <t>5'2</t>
        </is>
      </c>
      <c r="B1426" t="inlineStr">
        <is>
          <t>Fanatic Sky Wing</t>
        </is>
      </c>
      <c r="C1426" t="inlineStr"/>
      <c r="D1426" s="3" t="n">
        <v>85</v>
      </c>
      <c r="E1426" t="inlineStr"/>
      <c r="F1426" s="4" t="n">
        <v>610</v>
      </c>
      <c r="G1426" t="inlineStr">
        <is>
          <t>VB</t>
        </is>
      </c>
      <c r="H1426" t="inlineStr">
        <is>
          <t>22453 Eimsbüttel - Hamburg Niendorf</t>
        </is>
      </c>
      <c r="I1426" s="5" t="n">
        <v>45545</v>
      </c>
      <c r="J1426" t="inlineStr">
        <is>
          <t>Sold</t>
        </is>
      </c>
      <c r="K1426" s="6">
        <f>HYPERLINK("https://www.kleinanzeigen.de/s-anzeige/fanatic-sky-wing-5-2-85-liter/2859796785-230-9493", "Link")</f>
        <v/>
      </c>
      <c r="L1426" s="6">
        <f>HYPERLINK("C:\Projects\Kleinanzeigen-Scraper\offer_images\2859796785", "Link")</f>
        <v/>
      </c>
      <c r="M1426" t="inlineStr">
        <is>
          <t>f bauer</t>
        </is>
      </c>
      <c r="N1426" s="6">
        <f>HYPERLINK("https://www.kleinanzeigen.de/s-bestandsliste.html?userId=10176911", "Link")</f>
        <v/>
      </c>
      <c r="O1426" s="7" t="n">
        <v>45549.57731481481</v>
      </c>
      <c r="P1426" s="3" t="inlineStr">
        <is>
          <t>361.03</t>
        </is>
      </c>
      <c r="Q1426" t="inlineStr">
        <is>
          <t>Köln</t>
        </is>
      </c>
    </row>
    <row r="1427">
      <c r="A1427" t="inlineStr">
        <is>
          <t>7'11"</t>
        </is>
      </c>
      <c r="B1427" t="inlineStr">
        <is>
          <t>Fanatic All Wave</t>
        </is>
      </c>
      <c r="C1427" t="inlineStr"/>
      <c r="D1427" s="3" t="n">
        <v>110</v>
      </c>
      <c r="E1427" t="inlineStr"/>
      <c r="F1427" s="4" t="n">
        <v>439</v>
      </c>
      <c r="G1427" t="inlineStr">
        <is>
          <t>VB</t>
        </is>
      </c>
      <c r="H1427" t="inlineStr">
        <is>
          <t>65185 Hessen - Wiesbaden</t>
        </is>
      </c>
      <c r="I1427" s="5" t="n">
        <v>45531</v>
      </c>
      <c r="J1427" t="inlineStr">
        <is>
          <t>Sold</t>
        </is>
      </c>
      <c r="K1427" s="6">
        <f>HYPERLINK("https://www.kleinanzeigen.de/s-anzeige/fanatic-all-wave-sup-7-11-surf/2847878762-230-4906", "Link")</f>
        <v/>
      </c>
      <c r="L1427" s="6">
        <f>HYPERLINK("C:\Projects\Kleinanzeigen-Scraper\offer_images\2847878762", "Link")</f>
        <v/>
      </c>
      <c r="M1427" t="inlineStr">
        <is>
          <t>Nils</t>
        </is>
      </c>
      <c r="N1427" s="6">
        <f>HYPERLINK("https://www.kleinanzeigen.de/s-bestandsliste.html?userId=20650572", "Link")</f>
        <v/>
      </c>
      <c r="O1427" s="7" t="n">
        <v>45549.57731481481</v>
      </c>
      <c r="P1427" s="3" t="inlineStr">
        <is>
          <t>119.42</t>
        </is>
      </c>
      <c r="Q1427" t="inlineStr">
        <is>
          <t>Karlsruhe</t>
        </is>
      </c>
    </row>
    <row r="1428">
      <c r="A1428" t="inlineStr">
        <is>
          <t>250 cm</t>
        </is>
      </c>
      <c r="B1428" t="inlineStr">
        <is>
          <t>Naish Supercross</t>
        </is>
      </c>
      <c r="C1428" t="inlineStr">
        <is>
          <t>Wave</t>
        </is>
      </c>
      <c r="D1428" s="3" t="n">
        <v>85</v>
      </c>
      <c r="E1428" t="inlineStr"/>
      <c r="F1428" s="4" t="n">
        <v>70</v>
      </c>
      <c r="G1428" t="inlineStr">
        <is>
          <t>VB</t>
        </is>
      </c>
      <c r="H1428" t="inlineStr">
        <is>
          <t>23730 Kreis Ostholstein - Neustadt in Holstein</t>
        </is>
      </c>
      <c r="I1428" s="5" t="n">
        <v>45533</v>
      </c>
      <c r="J1428" t="inlineStr">
        <is>
          <t>Sold</t>
        </is>
      </c>
      <c r="K1428" s="6">
        <f>HYPERLINK("https://www.kleinanzeigen.de/s-anzeige/surfboard-naish-supercross-250/2849426827-230-13579", "Link")</f>
        <v/>
      </c>
      <c r="L1428" s="6">
        <f>HYPERLINK("C:\Projects\Kleinanzeigen-Scraper\offer_images\2849426827", "Link")</f>
        <v/>
      </c>
      <c r="M1428" t="inlineStr">
        <is>
          <t>Frank</t>
        </is>
      </c>
      <c r="N1428" s="6">
        <f>HYPERLINK("https://www.kleinanzeigen.de/s-bestandsliste.html?userId=24834991", "Link")</f>
        <v/>
      </c>
      <c r="O1428" s="7" t="n">
        <v>45549.57729166667</v>
      </c>
      <c r="P1428" s="3" t="inlineStr">
        <is>
          <t>441.08</t>
        </is>
      </c>
      <c r="Q1428" t="inlineStr">
        <is>
          <t>Köln</t>
        </is>
      </c>
    </row>
    <row r="1429">
      <c r="A1429" t="inlineStr">
        <is>
          <t>148cm x 55cm</t>
        </is>
      </c>
      <c r="B1429" t="inlineStr">
        <is>
          <t>Tabou Tiny Team</t>
        </is>
      </c>
      <c r="C1429" t="inlineStr">
        <is>
          <t>Winging, Proning</t>
        </is>
      </c>
      <c r="D1429" s="3" t="n">
        <v>46</v>
      </c>
      <c r="E1429" t="inlineStr">
        <is>
          <t>2024</t>
        </is>
      </c>
      <c r="F1429" s="4" t="n">
        <v>699</v>
      </c>
      <c r="G1429" t="inlineStr">
        <is>
          <t>VB</t>
        </is>
      </c>
      <c r="H1429" t="inlineStr">
        <is>
          <t>46145 Nordrhein-Westfalen - Oberhausen</t>
        </is>
      </c>
      <c r="I1429" s="5" t="n">
        <v>45543</v>
      </c>
      <c r="J1429" t="inlineStr">
        <is>
          <t>Sold</t>
        </is>
      </c>
      <c r="K1429" s="6">
        <f>HYPERLINK("https://www.kleinanzeigen.de/s-anzeige/tabou-tiny-team-2024-4-10x19-1-x46l/2857020211-230-1292", "Link")</f>
        <v/>
      </c>
      <c r="L1429" s="6">
        <f>HYPERLINK("C:\Projects\Kleinanzeigen-Scraper\offer_images\2857020211", "Link")</f>
        <v/>
      </c>
      <c r="M1429" t="inlineStr">
        <is>
          <t>Hans</t>
        </is>
      </c>
      <c r="N1429" s="6">
        <f>HYPERLINK("https://www.kleinanzeigen.de/s-bestandsliste.html?userId=76425705", "Link")</f>
        <v/>
      </c>
      <c r="O1429" s="7" t="n">
        <v>45549.57729166667</v>
      </c>
      <c r="P1429" s="3" t="inlineStr">
        <is>
          <t>67.30</t>
        </is>
      </c>
      <c r="Q1429" t="inlineStr">
        <is>
          <t>Köln</t>
        </is>
      </c>
    </row>
    <row r="1430">
      <c r="A1430" t="inlineStr">
        <is>
          <t>236 x 85</t>
        </is>
      </c>
      <c r="B1430" t="inlineStr">
        <is>
          <t>RRD Firemove E-Tech</t>
        </is>
      </c>
      <c r="C1430" t="inlineStr">
        <is>
          <t>Freemove</t>
        </is>
      </c>
      <c r="D1430" s="3" t="n">
        <v>135</v>
      </c>
      <c r="E1430" t="inlineStr">
        <is>
          <t>2021</t>
        </is>
      </c>
      <c r="F1430" s="4" t="n">
        <v>599</v>
      </c>
      <c r="G1430" t="inlineStr">
        <is>
          <t>VB</t>
        </is>
      </c>
      <c r="H1430" t="inlineStr">
        <is>
          <t>23769 Fehmarn - Westfehmarn</t>
        </is>
      </c>
      <c r="I1430" s="5" t="n">
        <v>45539</v>
      </c>
      <c r="J1430" t="inlineStr"/>
      <c r="K1430" s="6">
        <f>HYPERLINK("https://www.kleinanzeigen.de/s-anzeige/rrd-firemove-e-tech-135l/2755745488-230-430", "Link")</f>
        <v/>
      </c>
      <c r="L1430" s="6">
        <f>HYPERLINK("C:\Projects\Kleinanzeigen-Scraper\offer_images\2755745488", "Link")</f>
        <v/>
      </c>
      <c r="M1430" t="inlineStr">
        <is>
          <t>No user name</t>
        </is>
      </c>
      <c r="N1430" s="6">
        <f>HYPERLINK("https://www.kleinanzeigen.deNo user link", "Link")</f>
        <v/>
      </c>
      <c r="O1430" s="7" t="n">
        <v>45549.57729166667</v>
      </c>
      <c r="P1430" s="3" t="inlineStr">
        <is>
          <t>483.01</t>
        </is>
      </c>
      <c r="Q1430" t="inlineStr">
        <is>
          <t>Köln</t>
        </is>
      </c>
    </row>
    <row r="1431">
      <c r="A1431" t="inlineStr">
        <is>
          <t>135 x 40</t>
        </is>
      </c>
      <c r="B1431" t="inlineStr">
        <is>
          <t>North x-Ride</t>
        </is>
      </c>
      <c r="C1431" t="inlineStr">
        <is>
          <t>Allround</t>
        </is>
      </c>
      <c r="D1431" s="3" t="inlineStr"/>
      <c r="E1431" t="inlineStr">
        <is>
          <t>2017</t>
        </is>
      </c>
      <c r="F1431" s="4" t="n">
        <v>299</v>
      </c>
      <c r="G1431" t="inlineStr">
        <is>
          <t>VB</t>
        </is>
      </c>
      <c r="H1431" t="inlineStr">
        <is>
          <t>27578 Häfen - Bremerhaven</t>
        </is>
      </c>
      <c r="I1431" s="5" t="n">
        <v>45536</v>
      </c>
      <c r="J1431" t="inlineStr">
        <is>
          <t>Sold</t>
        </is>
      </c>
      <c r="K1431" s="6">
        <f>HYPERLINK("https://www.kleinanzeigen.de/s-anzeige/north-x-ride-2017-135-x-40/2851668198-230-54", "Link")</f>
        <v/>
      </c>
      <c r="L1431" s="6">
        <f>HYPERLINK("C:\Projects\Kleinanzeigen-Scraper\offer_images\2851668198", "Link")</f>
        <v/>
      </c>
      <c r="M1431" t="inlineStr">
        <is>
          <t>Torben</t>
        </is>
      </c>
      <c r="N1431" s="6">
        <f>HYPERLINK("https://www.kleinanzeigen.de/s-bestandsliste.html?userId=10881601", "Link")</f>
        <v/>
      </c>
      <c r="O1431" s="7" t="n">
        <v>45549.57726851852</v>
      </c>
      <c r="P1431" s="3" t="inlineStr">
        <is>
          <t>315.40</t>
        </is>
      </c>
      <c r="Q1431" t="inlineStr">
        <is>
          <t>Köln</t>
        </is>
      </c>
    </row>
    <row r="1432">
      <c r="A1432" t="inlineStr"/>
      <c r="B1432" t="inlineStr">
        <is>
          <t>Fanatic Blast LTD</t>
        </is>
      </c>
      <c r="C1432" t="inlineStr">
        <is>
          <t>Freeride</t>
        </is>
      </c>
      <c r="D1432" s="3" t="n">
        <v>130</v>
      </c>
      <c r="E1432" t="inlineStr"/>
      <c r="F1432" s="4" t="n">
        <v>590</v>
      </c>
      <c r="G1432" t="inlineStr"/>
      <c r="H1432" t="inlineStr">
        <is>
          <t>10179 Berlin - Mitte</t>
        </is>
      </c>
      <c r="I1432" s="5" t="n">
        <v>45534</v>
      </c>
      <c r="J1432" t="inlineStr">
        <is>
          <t>Sold</t>
        </is>
      </c>
      <c r="K1432" s="6">
        <f>HYPERLINK("https://www.kleinanzeigen.de/s-anzeige/fanatic-blast-ltd-130-l-foil-ready/2850064736-230-3521", "Link")</f>
        <v/>
      </c>
      <c r="L1432" s="6">
        <f>HYPERLINK("C:\Projects\Kleinanzeigen-Scraper\offer_images\2850064736", "Link")</f>
        <v/>
      </c>
      <c r="M1432" t="inlineStr">
        <is>
          <t>Daniel</t>
        </is>
      </c>
      <c r="N1432" s="6">
        <f>HYPERLINK("https://www.kleinanzeigen.de/s-bestandsliste.html?userId=47013193", "Link")</f>
        <v/>
      </c>
      <c r="O1432" s="7" t="n">
        <v>45549.57726851852</v>
      </c>
      <c r="P1432" s="3" t="inlineStr">
        <is>
          <t>477.91</t>
        </is>
      </c>
      <c r="Q1432" t="inlineStr">
        <is>
          <t>Köln</t>
        </is>
      </c>
    </row>
    <row r="1433">
      <c r="A1433" t="inlineStr">
        <is>
          <t>Dimensions not specified</t>
        </is>
      </c>
      <c r="B1433" t="inlineStr">
        <is>
          <t>Tabou Bullit</t>
        </is>
      </c>
      <c r="C1433" t="inlineStr">
        <is>
          <t>Freeride</t>
        </is>
      </c>
      <c r="D1433" s="3" t="n">
        <v>145</v>
      </c>
      <c r="E1433" t="inlineStr">
        <is>
          <t>2022</t>
        </is>
      </c>
      <c r="F1433" s="4" t="n">
        <v>600</v>
      </c>
      <c r="G1433" t="inlineStr">
        <is>
          <t>VB</t>
        </is>
      </c>
      <c r="H1433" t="inlineStr">
        <is>
          <t>67240 Rheinland-Pfalz - Bobenheim-Roxheim</t>
        </is>
      </c>
      <c r="I1433" s="5" t="n">
        <v>45527</v>
      </c>
      <c r="J1433" t="inlineStr"/>
      <c r="K1433" s="6">
        <f>HYPERLINK("https://www.kleinanzeigen.de/s-anzeige/tabou-bullit-145-ltr-/2843927764-230-5187", "Link")</f>
        <v/>
      </c>
      <c r="L1433" s="6">
        <f>HYPERLINK("C:\Projects\Kleinanzeigen-Scraper\offer_images\2843927764", "Link")</f>
        <v/>
      </c>
      <c r="M1433" t="inlineStr">
        <is>
          <t>Frank Ipsen2</t>
        </is>
      </c>
      <c r="N1433" s="6">
        <f>HYPERLINK("https://www.kleinanzeigen.de/s-bestandsliste.html?userId=138607218", "Link")</f>
        <v/>
      </c>
      <c r="O1433" s="7" t="n">
        <v>45549.57726851852</v>
      </c>
      <c r="P1433" s="3" t="inlineStr">
        <is>
          <t>63.50</t>
        </is>
      </c>
      <c r="Q1433" t="inlineStr">
        <is>
          <t>Karlsruhe</t>
        </is>
      </c>
    </row>
    <row r="1434">
      <c r="A1434" t="inlineStr"/>
      <c r="B1434" t="inlineStr">
        <is>
          <t>Naish Hover Ascend</t>
        </is>
      </c>
      <c r="C1434" t="inlineStr">
        <is>
          <t>Wingfoil</t>
        </is>
      </c>
      <c r="D1434" s="3" t="n">
        <v>62</v>
      </c>
      <c r="E1434" t="inlineStr"/>
      <c r="F1434" s="4" t="n">
        <v>900</v>
      </c>
      <c r="G1434" t="inlineStr">
        <is>
          <t>VB</t>
        </is>
      </c>
      <c r="H1434" t="inlineStr">
        <is>
          <t>83395 Bayern - Freilassing</t>
        </is>
      </c>
      <c r="I1434" s="5" t="n">
        <v>45513</v>
      </c>
      <c r="J1434" t="inlineStr"/>
      <c r="K1434" s="6">
        <f>HYPERLINK("https://www.kleinanzeigen.de/s-anzeige/naish-hover-ascend-carbon-62l/2833144614-230-6273", "Link")</f>
        <v/>
      </c>
      <c r="L1434" s="6">
        <f>HYPERLINK("C:\Projects\Kleinanzeigen-Scraper\offer_images\2833144614", "Link")</f>
        <v/>
      </c>
      <c r="M1434" t="inlineStr">
        <is>
          <t>Hannes</t>
        </is>
      </c>
      <c r="N1434" s="6">
        <f>HYPERLINK("https://www.kleinanzeigen.de/s-bestandsliste.html?userId=125303914", "Link")</f>
        <v/>
      </c>
      <c r="O1434" s="7" t="n">
        <v>45549.57724537037</v>
      </c>
      <c r="P1434" s="3" t="inlineStr">
        <is>
          <t>108.85</t>
        </is>
      </c>
      <c r="Q1434" t="inlineStr">
        <is>
          <t>München</t>
        </is>
      </c>
    </row>
    <row r="1435">
      <c r="A1435" t="inlineStr">
        <is>
          <t>76</t>
        </is>
      </c>
      <c r="B1435" t="inlineStr">
        <is>
          <t>RRD WaveThruster</t>
        </is>
      </c>
      <c r="C1435" t="inlineStr">
        <is>
          <t>Wave</t>
        </is>
      </c>
      <c r="D1435" s="3" t="inlineStr"/>
      <c r="E1435" t="inlineStr"/>
      <c r="F1435" s="4" t="n">
        <v>200</v>
      </c>
      <c r="G1435" t="inlineStr"/>
      <c r="H1435" t="inlineStr">
        <is>
          <t>40589 Düsseldorf - Benrath</t>
        </is>
      </c>
      <c r="I1435" s="5" t="n">
        <v>45506</v>
      </c>
      <c r="J1435" t="inlineStr">
        <is>
          <t>Sold</t>
        </is>
      </c>
      <c r="K1435" s="6">
        <f>HYPERLINK("https://www.kleinanzeigen.de/s-anzeige/rrd-wavethruster-76/2827032184-230-16754", "Link")</f>
        <v/>
      </c>
      <c r="L1435" s="6">
        <f>HYPERLINK("C:\Projects\Kleinanzeigen-Scraper\offer_images\2827032184", "Link")</f>
        <v/>
      </c>
      <c r="M1435" t="inlineStr">
        <is>
          <t>Tim heinz</t>
        </is>
      </c>
      <c r="N1435" s="6">
        <f>HYPERLINK("https://www.kleinanzeigen.de/s-bestandsliste.html?userId=50149418", "Link")</f>
        <v/>
      </c>
      <c r="O1435" s="7" t="n">
        <v>45549.5772337963</v>
      </c>
      <c r="P1435" s="3" t="inlineStr">
        <is>
          <t>26.72</t>
        </is>
      </c>
      <c r="Q1435" t="inlineStr">
        <is>
          <t>Köln</t>
        </is>
      </c>
    </row>
    <row r="1436">
      <c r="A1436" t="inlineStr">
        <is>
          <t>Dimensions not specified</t>
        </is>
      </c>
      <c r="B1436" t="inlineStr">
        <is>
          <t>Tabou mad cow</t>
        </is>
      </c>
      <c r="C1436" t="inlineStr"/>
      <c r="D1436" s="3" t="n">
        <v>82</v>
      </c>
      <c r="E1436" t="inlineStr"/>
      <c r="F1436" s="4" t="n">
        <v>30</v>
      </c>
      <c r="G1436" t="inlineStr">
        <is>
          <t>VB</t>
        </is>
      </c>
      <c r="H1436" t="inlineStr">
        <is>
          <t>40699 Nordrhein-Westfalen - Erkrath</t>
        </is>
      </c>
      <c r="I1436" s="5" t="n">
        <v>45142</v>
      </c>
      <c r="J1436" t="inlineStr"/>
      <c r="K1436" s="6">
        <f>HYPERLINK("https://www.kleinanzeigen.de/s-anzeige/windsurfboard-windsurfing-tabou-mad-cow-82l/2511871660-230-1401", "Link")</f>
        <v/>
      </c>
      <c r="L1436" s="6">
        <f>HYPERLINK("C:\Projects\Kleinanzeigen-Scraper\offer_images\2511871660", "Link")</f>
        <v/>
      </c>
      <c r="M1436" t="inlineStr">
        <is>
          <t>Burkhard</t>
        </is>
      </c>
      <c r="N1436" s="6">
        <f>HYPERLINK("https://www.kleinanzeigen.de/s-bestandsliste.html?userId=33373836", "Link")</f>
        <v/>
      </c>
      <c r="O1436" s="7" t="n">
        <v>45549.57722222222</v>
      </c>
      <c r="P1436" s="3" t="inlineStr">
        <is>
          <t>31.43</t>
        </is>
      </c>
      <c r="Q1436" t="inlineStr">
        <is>
          <t>Köln</t>
        </is>
      </c>
    </row>
    <row r="1437">
      <c r="A1437" t="inlineStr"/>
      <c r="B1437" t="inlineStr">
        <is>
          <t>JP Australia FRC</t>
        </is>
      </c>
      <c r="C1437" t="inlineStr"/>
      <c r="D1437" s="3" t="n">
        <v>104</v>
      </c>
      <c r="E1437" t="inlineStr"/>
      <c r="F1437" s="4" t="n">
        <v>400</v>
      </c>
      <c r="G1437" t="inlineStr"/>
      <c r="H1437" t="inlineStr">
        <is>
          <t>88161 Bayern - Lindenberg im Allgäu</t>
        </is>
      </c>
      <c r="I1437" s="5" t="n">
        <v>45531</v>
      </c>
      <c r="J1437" t="inlineStr"/>
      <c r="K1437" s="6">
        <f>HYPERLINK("https://www.kleinanzeigen.de/s-anzeige/surfboard-jp-australia-frc-104-l-mit-boardbag/2848033467-230-8596", "Link")</f>
        <v/>
      </c>
      <c r="L1437" s="6">
        <f>HYPERLINK("C:\Projects\Kleinanzeigen-Scraper\offer_images\2848033467", "Link")</f>
        <v/>
      </c>
      <c r="M1437" t="inlineStr">
        <is>
          <t>Frank Reisinger</t>
        </is>
      </c>
      <c r="N1437" s="6">
        <f>HYPERLINK("https://www.kleinanzeigen.de/s-bestandsliste.html?userId=130614574", "Link")</f>
        <v/>
      </c>
      <c r="O1437" s="7" t="n">
        <v>45549.57721064815</v>
      </c>
      <c r="P1437" s="3" t="inlineStr">
        <is>
          <t>118.20</t>
        </is>
      </c>
      <c r="Q1437" t="inlineStr">
        <is>
          <t>Bonndorf</t>
        </is>
      </c>
    </row>
    <row r="1438">
      <c r="A1438" t="inlineStr">
        <is>
          <t>345 cm</t>
        </is>
      </c>
      <c r="B1438" t="inlineStr">
        <is>
          <t>Fanatic Hot</t>
        </is>
      </c>
      <c r="C1438" t="inlineStr"/>
      <c r="D1438" s="3" t="inlineStr"/>
      <c r="E1438" t="inlineStr"/>
      <c r="F1438" s="4" t="inlineStr"/>
      <c r="G1438" t="inlineStr">
        <is>
          <t>VB</t>
        </is>
      </c>
      <c r="H1438" t="inlineStr">
        <is>
          <t>79224 Freiburg im Breisgau - Umkirch</t>
        </is>
      </c>
      <c r="I1438" s="5" t="n">
        <v>45520</v>
      </c>
      <c r="J1438" t="inlineStr">
        <is>
          <t>Sold</t>
        </is>
      </c>
      <c r="K1438" s="6">
        <f>HYPERLINK("https://www.kleinanzeigen.de/s-anzeige/fanatic-vip-er-hot-345cm-surfbrett/2838148211-230-9373", "Link")</f>
        <v/>
      </c>
      <c r="L1438" s="6">
        <f>HYPERLINK("C:\Projects\Kleinanzeigen-Scraper\offer_images\2838148211", "Link")</f>
        <v/>
      </c>
      <c r="M1438" t="inlineStr">
        <is>
          <t>M.S.</t>
        </is>
      </c>
      <c r="N1438" s="6">
        <f>HYPERLINK("https://www.kleinanzeigen.de/s-bestandsliste.html?userId=17556790", "Link")</f>
        <v/>
      </c>
      <c r="O1438" s="7" t="n">
        <v>45549.57719907408</v>
      </c>
      <c r="P1438" s="3" t="inlineStr">
        <is>
          <t>48.72</t>
        </is>
      </c>
      <c r="Q1438" t="inlineStr">
        <is>
          <t>Bonndorf</t>
        </is>
      </c>
    </row>
    <row r="1439">
      <c r="A1439" t="inlineStr">
        <is>
          <t>99l</t>
        </is>
      </c>
      <c r="B1439" t="inlineStr">
        <is>
          <t>Duotone/Fanatic Skate</t>
        </is>
      </c>
      <c r="C1439" t="inlineStr">
        <is>
          <t>Freestyle</t>
        </is>
      </c>
      <c r="D1439" s="3" t="n">
        <v>99</v>
      </c>
      <c r="E1439" t="inlineStr">
        <is>
          <t>2024</t>
        </is>
      </c>
      <c r="F1439" s="4" t="n">
        <v>1.34</v>
      </c>
      <c r="G1439" t="inlineStr"/>
      <c r="H1439" t="inlineStr">
        <is>
          <t>83646 Bayern - Bad Tölz</t>
        </is>
      </c>
      <c r="I1439" s="5" t="n">
        <v>45534</v>
      </c>
      <c r="J1439" t="inlineStr">
        <is>
          <t>Sold</t>
        </is>
      </c>
      <c r="K1439" s="6">
        <f>HYPERLINK("https://www.kleinanzeigen.de/s-anzeige/duotone-fanatic-skate-99l-2024/2849830061-230-5883", "Link")</f>
        <v/>
      </c>
      <c r="L1439" s="6">
        <f>HYPERLINK("C:\Projects\Kleinanzeigen-Scraper\offer_images\2849830061", "Link")</f>
        <v/>
      </c>
      <c r="M1439" t="inlineStr">
        <is>
          <t>Tobi</t>
        </is>
      </c>
      <c r="N1439" s="6">
        <f>HYPERLINK("https://www.kleinanzeigen.de/s-bestandsliste.html?userId=63604291", "Link")</f>
        <v/>
      </c>
      <c r="O1439" s="7" t="n">
        <v>45549.57719907408</v>
      </c>
      <c r="P1439" s="3" t="inlineStr">
        <is>
          <t>43.27</t>
        </is>
      </c>
      <c r="Q1439" t="inlineStr">
        <is>
          <t>München</t>
        </is>
      </c>
    </row>
    <row r="1440">
      <c r="A1440" t="inlineStr"/>
      <c r="B1440" t="inlineStr">
        <is>
          <t>Naish Hover</t>
        </is>
      </c>
      <c r="C1440" t="inlineStr"/>
      <c r="D1440" s="3" t="n">
        <v>75</v>
      </c>
      <c r="E1440" t="inlineStr">
        <is>
          <t>2023</t>
        </is>
      </c>
      <c r="F1440" s="4" t="n">
        <v>499</v>
      </c>
      <c r="G1440" t="inlineStr"/>
      <c r="H1440" t="inlineStr">
        <is>
          <t>25436 Kreis Pinneberg - Moorrege</t>
        </is>
      </c>
      <c r="I1440" s="5" t="n">
        <v>45528</v>
      </c>
      <c r="J1440" t="inlineStr"/>
      <c r="K1440" s="6">
        <f>HYPERLINK("https://www.kleinanzeigen.de/s-anzeige/naish-hover-carbon-ultra-75-l-aus-2023-fast-neuwertig-/2833962045-230-16681", "Link")</f>
        <v/>
      </c>
      <c r="L1440" s="6">
        <f>HYPERLINK("C:\Projects\Kleinanzeigen-Scraper\offer_images\2833962045", "Link")</f>
        <v/>
      </c>
      <c r="M1440" t="inlineStr">
        <is>
          <t>T.G</t>
        </is>
      </c>
      <c r="N1440" s="6">
        <f>HYPERLINK("https://www.kleinanzeigen.de/s-bestandsliste.html?userId=10616923", "Link")</f>
        <v/>
      </c>
      <c r="O1440" s="7" t="n">
        <v>45549.5771875</v>
      </c>
      <c r="P1440" s="3" t="inlineStr">
        <is>
          <t>356.69</t>
        </is>
      </c>
      <c r="Q1440" t="inlineStr">
        <is>
          <t>Köln</t>
        </is>
      </c>
    </row>
    <row r="1441">
      <c r="A1441" t="inlineStr"/>
      <c r="B1441" t="inlineStr">
        <is>
          <t>JP Australia</t>
        </is>
      </c>
      <c r="C1441" t="inlineStr"/>
      <c r="D1441" s="3" t="n">
        <v>91</v>
      </c>
      <c r="E1441" t="inlineStr"/>
      <c r="F1441" s="4" t="n">
        <v>160</v>
      </c>
      <c r="G1441" t="inlineStr"/>
      <c r="H1441" t="inlineStr">
        <is>
          <t>24369 Schleswig-Holstein - Waabs</t>
        </is>
      </c>
      <c r="I1441" s="5" t="n">
        <v>45432</v>
      </c>
      <c r="J1441" t="inlineStr"/>
      <c r="K1441" s="6">
        <f>HYPERLINK("https://www.kleinanzeigen.de/s-anzeige/surfbrett-jp-australia-91-liter/2766231696-230-517", "Link")</f>
        <v/>
      </c>
      <c r="L1441" s="6">
        <f>HYPERLINK("C:\Projects\Kleinanzeigen-Scraper\offer_images\2766231696", "Link")</f>
        <v/>
      </c>
      <c r="M1441" t="inlineStr">
        <is>
          <t>Surfschule Localwindheroes</t>
        </is>
      </c>
      <c r="N1441" s="6">
        <f>HYPERLINK("https://www.kleinanzeigen.de/s-bestandsliste.html?userId=16920473", "Link")</f>
        <v/>
      </c>
      <c r="O1441" s="7" t="n">
        <v>45549.5771875</v>
      </c>
      <c r="P1441" s="3" t="inlineStr">
        <is>
          <t>449.10</t>
        </is>
      </c>
      <c r="Q1441" t="inlineStr">
        <is>
          <t>Köln</t>
        </is>
      </c>
    </row>
    <row r="1442">
      <c r="A1442" t="inlineStr">
        <is>
          <t>5.10</t>
        </is>
      </c>
      <c r="B1442" t="inlineStr">
        <is>
          <t>Starboard AMP</t>
        </is>
      </c>
      <c r="C1442" t="inlineStr">
        <is>
          <t>Shortboard</t>
        </is>
      </c>
      <c r="D1442" s="3" t="inlineStr"/>
      <c r="E1442" t="inlineStr"/>
      <c r="F1442" s="4" t="n">
        <v>180</v>
      </c>
      <c r="G1442" t="inlineStr"/>
      <c r="H1442" t="inlineStr">
        <is>
          <t>22083 Hamburg Barmbek - Hamburg Barmbek-Süd</t>
        </is>
      </c>
      <c r="I1442" s="5" t="n">
        <v>45544</v>
      </c>
      <c r="J1442" t="inlineStr">
        <is>
          <t>Sold</t>
        </is>
      </c>
      <c r="K1442" s="6">
        <f>HYPERLINK("https://www.kleinanzeigen.de/s-anzeige/wellenreiter-starboard-amp-shortboard-wellenreiter-carbon-5-10/2858605523-230-9485", "Link")</f>
        <v/>
      </c>
      <c r="L1442" s="6">
        <f>HYPERLINK("C:\Projects\Kleinanzeigen-Scraper\offer_images\2858605523", "Link")</f>
        <v/>
      </c>
      <c r="M1442" t="inlineStr">
        <is>
          <t>Sven Schlüter</t>
        </is>
      </c>
      <c r="N1442" s="6">
        <f>HYPERLINK("https://www.kleinanzeigen.de/s-bestandsliste.html?userId=16458476", "Link")</f>
        <v/>
      </c>
      <c r="O1442" s="7" t="n">
        <v>45549.57717592592</v>
      </c>
      <c r="P1442" s="3" t="inlineStr">
        <is>
          <t>360.58</t>
        </is>
      </c>
      <c r="Q1442" t="inlineStr">
        <is>
          <t>Köln</t>
        </is>
      </c>
    </row>
    <row r="1443">
      <c r="A1443" t="inlineStr">
        <is>
          <t>238 x 58</t>
        </is>
      </c>
      <c r="B1443" t="inlineStr">
        <is>
          <t>RRD Freestyle Wave 85 LTD</t>
        </is>
      </c>
      <c r="C1443" t="inlineStr">
        <is>
          <t>Freestyle Wave</t>
        </is>
      </c>
      <c r="D1443" s="3" t="n">
        <v>85</v>
      </c>
      <c r="E1443" t="inlineStr">
        <is>
          <t>2009</t>
        </is>
      </c>
      <c r="F1443" s="4" t="n">
        <v>450</v>
      </c>
      <c r="G1443" t="inlineStr"/>
      <c r="H1443" t="inlineStr">
        <is>
          <t>51702 Nordrhein-Westfalen - Bergneustadt</t>
        </is>
      </c>
      <c r="I1443" s="5" t="n">
        <v>45004</v>
      </c>
      <c r="J1443" t="inlineStr"/>
      <c r="K1443" s="6">
        <f>HYPERLINK("https://www.kleinanzeigen.de/s-anzeige/rrd-freestyle-wave-85-ltd-unter-6-kg-finne-boardbag-1a/2389542408-230-1461", "Link")</f>
        <v/>
      </c>
      <c r="L1443" s="6">
        <f>HYPERLINK("C:\Projects\Kleinanzeigen-Scraper\offer_images\2389542408", "Link")</f>
        <v/>
      </c>
      <c r="M1443" t="inlineStr">
        <is>
          <t>Wolfgang Arns</t>
        </is>
      </c>
      <c r="N1443" s="6">
        <f>HYPERLINK("https://www.kleinanzeigen.de/s-bestandsliste.html?userId=14498201", "Link")</f>
        <v/>
      </c>
      <c r="O1443" s="7" t="n">
        <v>45549.57716435185</v>
      </c>
      <c r="P1443" s="3" t="inlineStr">
        <is>
          <t>50.95</t>
        </is>
      </c>
      <c r="Q1443" t="inlineStr">
        <is>
          <t>Köln</t>
        </is>
      </c>
    </row>
    <row r="1444">
      <c r="A1444" t="inlineStr">
        <is>
          <t>3'11"</t>
        </is>
      </c>
      <c r="B1444" t="inlineStr">
        <is>
          <t>Duotone Pace</t>
        </is>
      </c>
      <c r="C1444" t="inlineStr">
        <is>
          <t>Foilboard</t>
        </is>
      </c>
      <c r="D1444" s="3" t="inlineStr"/>
      <c r="E1444" t="inlineStr"/>
      <c r="F1444" s="4" t="n">
        <v>300</v>
      </c>
      <c r="G1444" t="inlineStr">
        <is>
          <t>VB</t>
        </is>
      </c>
      <c r="H1444" t="inlineStr">
        <is>
          <t>50968 Köln - Raderthal</t>
        </is>
      </c>
      <c r="I1444" s="5" t="n">
        <v>45543</v>
      </c>
      <c r="J1444" t="inlineStr">
        <is>
          <t>Sold</t>
        </is>
      </c>
      <c r="K1444" s="6">
        <f>HYPERLINK("https://www.kleinanzeigen.de/s-anzeige/duotone-pace-foilboard-3-11-/2857754196-230-955", "Link")</f>
        <v/>
      </c>
      <c r="L1444" s="6">
        <f>HYPERLINK("C:\Projects\Kleinanzeigen-Scraper\offer_images\2857754196", "Link")</f>
        <v/>
      </c>
      <c r="M1444" t="inlineStr">
        <is>
          <t>Pohl, Philipp</t>
        </is>
      </c>
      <c r="N1444" s="6">
        <f>HYPERLINK("https://www.kleinanzeigen.de/s-bestandsliste.html?userId=2437054", "Link")</f>
        <v/>
      </c>
      <c r="O1444" s="7" t="n">
        <v>45549.57714120371</v>
      </c>
      <c r="P1444" s="3" t="inlineStr">
        <is>
          <t>4.01</t>
        </is>
      </c>
      <c r="Q1444" t="inlineStr">
        <is>
          <t>Köln</t>
        </is>
      </c>
    </row>
    <row r="1445">
      <c r="A1445" t="inlineStr">
        <is>
          <t>10'8</t>
        </is>
      </c>
      <c r="B1445" t="inlineStr">
        <is>
          <t>Fanatic Fly Air</t>
        </is>
      </c>
      <c r="C1445" t="inlineStr"/>
      <c r="D1445" s="3" t="inlineStr"/>
      <c r="E1445" t="inlineStr"/>
      <c r="F1445" s="4" t="n">
        <v>349</v>
      </c>
      <c r="G1445" t="inlineStr"/>
      <c r="H1445" t="inlineStr">
        <is>
          <t>22457 Eimsbüttel - Hamburg Schnelsen</t>
        </is>
      </c>
      <c r="I1445" s="5" t="n">
        <v>45550</v>
      </c>
      <c r="J1445" t="inlineStr">
        <is>
          <t>Sold</t>
        </is>
      </c>
      <c r="K1445" s="6">
        <f>HYPERLINK("https://www.kleinanzeigen.de/s-anzeige/fanatic-fly-air-isup-sup-10-8/1861540798-230-9492", "Link")</f>
        <v/>
      </c>
      <c r="L1445" s="6">
        <f>HYPERLINK("C:\Projects\Kleinanzeigen-Scraper\offer_images\1861540798", "Link")</f>
        <v/>
      </c>
      <c r="M1445" t="inlineStr">
        <is>
          <t>No user name</t>
        </is>
      </c>
      <c r="N1445" s="6">
        <f>HYPERLINK("https://www.kleinanzeigen.deNo user link", "Link")</f>
        <v/>
      </c>
      <c r="O1445" s="7" t="n">
        <v>45549.57714120371</v>
      </c>
      <c r="P1445" s="3" t="inlineStr">
        <is>
          <t>362.41</t>
        </is>
      </c>
      <c r="Q1445" t="inlineStr">
        <is>
          <t>Köln</t>
        </is>
      </c>
    </row>
    <row r="1446">
      <c r="A1446" t="inlineStr">
        <is>
          <t>278 cm x 58 cm</t>
        </is>
      </c>
      <c r="B1446" t="inlineStr">
        <is>
          <t>Fanatic Gecko</t>
        </is>
      </c>
      <c r="C1446" t="inlineStr">
        <is>
          <t>Freeride</t>
        </is>
      </c>
      <c r="D1446" s="3" t="n">
        <v>105</v>
      </c>
      <c r="E1446" t="inlineStr"/>
      <c r="F1446" s="4" t="n">
        <v>50</v>
      </c>
      <c r="G1446" t="inlineStr">
        <is>
          <t>VB</t>
        </is>
      </c>
      <c r="H1446" t="inlineStr">
        <is>
          <t>26603 Niedersachsen - Aurich</t>
        </is>
      </c>
      <c r="I1446" s="5" t="n">
        <v>45562</v>
      </c>
      <c r="J1446" t="inlineStr"/>
      <c r="K1446" s="6">
        <f>HYPERLINK("https://www.kleinanzeigen.de/s-anzeige/surfbrett-fanatic-geko-105l/2845379402-230-3032", "Link")</f>
        <v/>
      </c>
      <c r="L1446" s="6">
        <f>HYPERLINK("C:\Projects\Kleinanzeigen-Scraper\offer_images\2845379402", "Link")</f>
        <v/>
      </c>
      <c r="M1446" t="inlineStr">
        <is>
          <t>Flow</t>
        </is>
      </c>
      <c r="N1446" s="6">
        <f>HYPERLINK("https://www.kleinanzeigen.de/s-bestandsliste.html?userId=15379287", "Link")</f>
        <v/>
      </c>
      <c r="O1446" s="7" t="n">
        <v>45549.57714120371</v>
      </c>
      <c r="P1446" s="3" t="inlineStr">
        <is>
          <t>284.11</t>
        </is>
      </c>
      <c r="Q1446" t="inlineStr">
        <is>
          <t>Köln</t>
        </is>
      </c>
    </row>
    <row r="1447">
      <c r="A1447" t="inlineStr"/>
      <c r="B1447" t="inlineStr">
        <is>
          <t>Fanatic Freewave STB Team Edition</t>
        </is>
      </c>
      <c r="C1447" t="inlineStr">
        <is>
          <t>Freewave</t>
        </is>
      </c>
      <c r="D1447" s="3" t="n">
        <v>105</v>
      </c>
      <c r="E1447" t="inlineStr"/>
      <c r="F1447" s="4" t="n">
        <v>790</v>
      </c>
      <c r="G1447" t="inlineStr">
        <is>
          <t>VB</t>
        </is>
      </c>
      <c r="H1447" t="inlineStr">
        <is>
          <t>71067 Baden-Württemberg - Sindelfingen</t>
        </is>
      </c>
      <c r="I1447" s="5" t="n">
        <v>45521</v>
      </c>
      <c r="J1447" t="inlineStr">
        <is>
          <t>Sold</t>
        </is>
      </c>
      <c r="K1447" s="6">
        <f>HYPERLINK("https://www.kleinanzeigen.de/s-anzeige/fanatic-freewave-stb-team-edition-105-1a-zustand/2838967192-230-8992", "Link")</f>
        <v/>
      </c>
      <c r="L1447" s="6">
        <f>HYPERLINK("C:\Projects\Kleinanzeigen-Scraper\offer_images\2838967192", "Link")</f>
        <v/>
      </c>
      <c r="M1447" t="inlineStr">
        <is>
          <t>T.Z.</t>
        </is>
      </c>
      <c r="N1447" s="6">
        <f>HYPERLINK("https://www.kleinanzeigen.de/s-bestandsliste.html?userId=12397391", "Link")</f>
        <v/>
      </c>
      <c r="O1447" s="7" t="n">
        <v>45549.57714120371</v>
      </c>
      <c r="P1447" s="3" t="inlineStr">
        <is>
          <t>5.96</t>
        </is>
      </c>
      <c r="Q1447" t="inlineStr">
        <is>
          <t>Böblingen</t>
        </is>
      </c>
    </row>
    <row r="1448">
      <c r="A1448" t="inlineStr">
        <is>
          <t>141 x 65 cm</t>
        </is>
      </c>
      <c r="B1448" t="inlineStr">
        <is>
          <t>Furi Wing Thing V3</t>
        </is>
      </c>
      <c r="C1448" t="inlineStr">
        <is>
          <t>Wing Board</t>
        </is>
      </c>
      <c r="D1448" s="3" t="n">
        <v>80</v>
      </c>
      <c r="E1448" t="inlineStr"/>
      <c r="F1448" s="4" t="n">
        <v>589</v>
      </c>
      <c r="G1448" t="inlineStr">
        <is>
          <t>VB</t>
        </is>
      </c>
      <c r="H1448" t="inlineStr">
        <is>
          <t>59457 Nordrhein-Westfalen - Werl</t>
        </is>
      </c>
      <c r="I1448" s="5" t="n">
        <v>45545</v>
      </c>
      <c r="J1448" t="inlineStr">
        <is>
          <t>Sold</t>
        </is>
      </c>
      <c r="K1448" s="6">
        <f>HYPERLINK("https://www.kleinanzeigen.de/s-anzeige/furi-wing-thing-v3-wing-board-wingfoil-80l-duotone-indiana-gong/2859128182-230-1449", "Link")</f>
        <v/>
      </c>
      <c r="L1448" s="6">
        <f>HYPERLINK("C:\Projects\Kleinanzeigen-Scraper\offer_images\2859128182", "Link")</f>
        <v/>
      </c>
      <c r="M1448" t="inlineStr">
        <is>
          <t>HeK</t>
        </is>
      </c>
      <c r="N1448" s="6">
        <f>HYPERLINK("https://www.kleinanzeigen.de/s-bestandsliste.html?userId=85644224", "Link")</f>
        <v/>
      </c>
      <c r="O1448" s="7" t="n">
        <v>45549.57711805555</v>
      </c>
      <c r="P1448" s="3" t="inlineStr">
        <is>
          <t>95.02</t>
        </is>
      </c>
      <c r="Q1448" t="inlineStr">
        <is>
          <t>Köln</t>
        </is>
      </c>
    </row>
    <row r="1449">
      <c r="A1449" t="inlineStr">
        <is>
          <t>274x57 cm</t>
        </is>
      </c>
      <c r="B1449" t="inlineStr">
        <is>
          <t>Fanatic Bee</t>
        </is>
      </c>
      <c r="C1449" t="inlineStr"/>
      <c r="D1449" s="3" t="n">
        <v>103</v>
      </c>
      <c r="E1449" t="inlineStr"/>
      <c r="F1449" s="4" t="n">
        <v>150</v>
      </c>
      <c r="G1449" t="inlineStr">
        <is>
          <t>VB</t>
        </is>
      </c>
      <c r="H1449" t="inlineStr">
        <is>
          <t>79199 Freiburg im Breisgau - Kirchzarten</t>
        </is>
      </c>
      <c r="I1449" s="5" t="n">
        <v>45543</v>
      </c>
      <c r="J1449" t="inlineStr">
        <is>
          <t>Sold</t>
        </is>
      </c>
      <c r="K1449" s="6">
        <f>HYPERLINK("https://www.kleinanzeigen.de/s-anzeige/surfboard-fanatic-bee-274/2857288837-230-9357", "Link")</f>
        <v/>
      </c>
      <c r="L1449" s="6">
        <f>HYPERLINK("C:\Projects\Kleinanzeigen-Scraper\offer_images\2857288837", "Link")</f>
        <v/>
      </c>
      <c r="M1449" t="inlineStr">
        <is>
          <t>Stefan</t>
        </is>
      </c>
      <c r="N1449" s="6">
        <f>HYPERLINK("https://www.kleinanzeigen.de/s-bestandsliste.html?userId=44680490", "Link")</f>
        <v/>
      </c>
      <c r="O1449" s="7" t="n">
        <v>45549.57711805555</v>
      </c>
      <c r="P1449" s="3" t="inlineStr">
        <is>
          <t>32.95</t>
        </is>
      </c>
      <c r="Q1449" t="inlineStr">
        <is>
          <t>Bonndorf</t>
        </is>
      </c>
    </row>
    <row r="1450">
      <c r="A1450" t="inlineStr">
        <is>
          <t>132 x 39</t>
        </is>
      </c>
      <c r="B1450" t="inlineStr">
        <is>
          <t>Naish Alana</t>
        </is>
      </c>
      <c r="C1450" t="inlineStr"/>
      <c r="D1450" s="3" t="inlineStr"/>
      <c r="E1450" t="inlineStr"/>
      <c r="F1450" s="4" t="n">
        <v>350</v>
      </c>
      <c r="G1450" t="inlineStr">
        <is>
          <t>VB</t>
        </is>
      </c>
      <c r="H1450" t="inlineStr">
        <is>
          <t>80469 Ludwigsvorstadt-Isarvorstadt - Isarvorstadt</t>
        </is>
      </c>
      <c r="I1450" s="5" t="n">
        <v>45518</v>
      </c>
      <c r="J1450" t="inlineStr">
        <is>
          <t>Sold</t>
        </is>
      </c>
      <c r="K1450" s="6">
        <f>HYPERLINK("https://www.kleinanzeigen.de/s-anzeige/kiteboard-naish-alana-132cm/2836628116-230-6434", "Link")</f>
        <v/>
      </c>
      <c r="L1450" s="6">
        <f>HYPERLINK("C:\Projects\Kleinanzeigen-Scraper\offer_images\2836628116", "Link")</f>
        <v/>
      </c>
      <c r="M1450" t="inlineStr">
        <is>
          <t>Nika Zim</t>
        </is>
      </c>
      <c r="N1450" s="6">
        <f>HYPERLINK("https://www.kleinanzeigen.de/s-bestandsliste.html?userId=57809440", "Link")</f>
        <v/>
      </c>
      <c r="O1450" s="7" t="n">
        <v>45549.57709490741</v>
      </c>
      <c r="P1450" s="3" t="inlineStr">
        <is>
          <t>0.84</t>
        </is>
      </c>
      <c r="Q1450" t="inlineStr">
        <is>
          <t>München</t>
        </is>
      </c>
    </row>
    <row r="1451">
      <c r="A1451" t="inlineStr">
        <is>
          <t>284 cm x 59 cm</t>
        </is>
      </c>
      <c r="B1451" t="inlineStr">
        <is>
          <t>Fanatic Bee</t>
        </is>
      </c>
      <c r="C1451" t="inlineStr">
        <is>
          <t>Freeride, Freestyle</t>
        </is>
      </c>
      <c r="D1451" s="3" t="n">
        <v>117</v>
      </c>
      <c r="E1451" t="inlineStr"/>
      <c r="F1451" s="4" t="n">
        <v>120</v>
      </c>
      <c r="G1451" t="inlineStr">
        <is>
          <t>VB</t>
        </is>
      </c>
      <c r="H1451" t="inlineStr">
        <is>
          <t>27572 Häfen - Bremerhaven</t>
        </is>
      </c>
      <c r="I1451" s="5" t="n">
        <v>45512</v>
      </c>
      <c r="J1451" t="inlineStr">
        <is>
          <t>Sold</t>
        </is>
      </c>
      <c r="K1451" s="6">
        <f>HYPERLINK("https://www.kleinanzeigen.de/s-anzeige/fanatic-bee-284-windsurfboard-mit-zubehoer/2832010108-230-56", "Link")</f>
        <v/>
      </c>
      <c r="L1451" s="6">
        <f>HYPERLINK("C:\Projects\Kleinanzeigen-Scraper\offer_images\2832010108", "Link")</f>
        <v/>
      </c>
      <c r="M1451" t="inlineStr">
        <is>
          <t>T.B.</t>
        </is>
      </c>
      <c r="N1451" s="6">
        <f>HYPERLINK("https://www.kleinanzeigen.de/s-bestandsliste.html?userId=2695188", "Link")</f>
        <v/>
      </c>
      <c r="O1451" s="7" t="n">
        <v>45549.57708333333</v>
      </c>
      <c r="P1451" s="3" t="inlineStr">
        <is>
          <t>306.60</t>
        </is>
      </c>
      <c r="Q1451" t="inlineStr">
        <is>
          <t>Köln</t>
        </is>
      </c>
    </row>
    <row r="1452">
      <c r="A1452" t="inlineStr">
        <is>
          <t>233 cm</t>
        </is>
      </c>
      <c r="B1452" t="inlineStr">
        <is>
          <t>Tabou Pocket</t>
        </is>
      </c>
      <c r="C1452" t="inlineStr">
        <is>
          <t>Freeride</t>
        </is>
      </c>
      <c r="D1452" s="3" t="n">
        <v>93</v>
      </c>
      <c r="E1452" t="inlineStr"/>
      <c r="F1452" s="4" t="n">
        <v>350</v>
      </c>
      <c r="G1452" t="inlineStr">
        <is>
          <t>VB</t>
        </is>
      </c>
      <c r="H1452" t="inlineStr">
        <is>
          <t>33617 Bielefeld - Gadderbaum</t>
        </is>
      </c>
      <c r="I1452" s="5" t="n">
        <v>45525</v>
      </c>
      <c r="J1452" t="inlineStr"/>
      <c r="K1452" s="6">
        <f>HYPERLINK("https://www.kleinanzeigen.de/s-anzeige/waveboard-tabou-pocket-93l-kein-fanatic-jp/2842870735-230-1059", "Link")</f>
        <v/>
      </c>
      <c r="L1452" s="6">
        <f>HYPERLINK("C:\Projects\Kleinanzeigen-Scraper\offer_images\2842870735", "Link")</f>
        <v/>
      </c>
      <c r="M1452" t="inlineStr">
        <is>
          <t>Tim M</t>
        </is>
      </c>
      <c r="N1452" s="6">
        <f>HYPERLINK("https://www.kleinanzeigen.de/s-bestandsliste.html?userId=12236302", "Link")</f>
        <v/>
      </c>
      <c r="O1452" s="7" t="n">
        <v>45549.57707175926</v>
      </c>
      <c r="P1452" s="3" t="inlineStr">
        <is>
          <t>160.92</t>
        </is>
      </c>
      <c r="Q1452" t="inlineStr">
        <is>
          <t>Köln</t>
        </is>
      </c>
    </row>
    <row r="1453">
      <c r="A1453" t="inlineStr">
        <is>
          <t>141 cm</t>
        </is>
      </c>
      <c r="B1453" t="inlineStr">
        <is>
          <t>Duotone Select</t>
        </is>
      </c>
      <c r="C1453" t="inlineStr"/>
      <c r="D1453" s="3" t="inlineStr"/>
      <c r="E1453" t="inlineStr">
        <is>
          <t>2023</t>
        </is>
      </c>
      <c r="F1453" s="4" t="n">
        <v>380</v>
      </c>
      <c r="G1453" t="inlineStr"/>
      <c r="H1453" t="inlineStr">
        <is>
          <t>90451 Nürnberg (Mittelfr) - Aussenstadt-Sued</t>
        </is>
      </c>
      <c r="I1453" s="5" t="n">
        <v>45542</v>
      </c>
      <c r="J1453" t="inlineStr">
        <is>
          <t>Sold</t>
        </is>
      </c>
      <c r="K1453" s="6">
        <f>HYPERLINK("https://www.kleinanzeigen.de/s-anzeige/duotone-select-141-modell-2023/2650293418-230-6836", "Link")</f>
        <v/>
      </c>
      <c r="L1453" s="6">
        <f>HYPERLINK("C:\Projects\Kleinanzeigen-Scraper\offer_images\2650293418", "Link")</f>
        <v/>
      </c>
      <c r="M1453" t="inlineStr">
        <is>
          <t>No user name</t>
        </is>
      </c>
      <c r="N1453" s="6">
        <f>HYPERLINK("https://www.kleinanzeigen.deNo user link", "Link")</f>
        <v/>
      </c>
      <c r="O1453" s="7" t="n">
        <v>45549.57707175926</v>
      </c>
      <c r="P1453" s="3" t="inlineStr">
        <is>
          <t>145.92</t>
        </is>
      </c>
      <c r="Q1453" t="inlineStr">
        <is>
          <t>München</t>
        </is>
      </c>
    </row>
    <row r="1454">
      <c r="A1454" t="inlineStr">
        <is>
          <t>247 x 66</t>
        </is>
      </c>
      <c r="B1454" t="inlineStr">
        <is>
          <t>Fanatic Eagle</t>
        </is>
      </c>
      <c r="C1454" t="inlineStr">
        <is>
          <t>Freeride</t>
        </is>
      </c>
      <c r="D1454" s="3" t="n">
        <v>113</v>
      </c>
      <c r="E1454" t="inlineStr"/>
      <c r="F1454" s="4" t="n">
        <v>285</v>
      </c>
      <c r="G1454" t="inlineStr"/>
      <c r="H1454" t="inlineStr">
        <is>
          <t>23717 Kreis Ostholstein - Kasseedorf</t>
        </is>
      </c>
      <c r="I1454" s="5" t="n">
        <v>45553</v>
      </c>
      <c r="J1454" t="inlineStr"/>
      <c r="K1454" s="6">
        <f>HYPERLINK("https://www.kleinanzeigen.de/s-anzeige/surfbrett-fanatic-eagle-113-mit-viel-zubehoer/2831970825-230-457", "Link")</f>
        <v/>
      </c>
      <c r="L1454" s="6">
        <f>HYPERLINK("C:\Projects\Kleinanzeigen-Scraper\offer_images\2831970825", "Link")</f>
        <v/>
      </c>
      <c r="M1454" t="inlineStr">
        <is>
          <t>Kirsten</t>
        </is>
      </c>
      <c r="N1454" s="6">
        <f>HYPERLINK("https://www.kleinanzeigen.de/s-bestandsliste.html?userId=56928731", "Link")</f>
        <v/>
      </c>
      <c r="O1454" s="7" t="n">
        <v>45549.57707175926</v>
      </c>
      <c r="P1454" s="3" t="inlineStr">
        <is>
          <t>439.51</t>
        </is>
      </c>
      <c r="Q1454" t="inlineStr">
        <is>
          <t>Köln</t>
        </is>
      </c>
    </row>
    <row r="1455">
      <c r="A1455" t="inlineStr">
        <is>
          <t>14 x 29.5</t>
        </is>
      </c>
      <c r="B1455" t="inlineStr">
        <is>
          <t>Starboard Sprint</t>
        </is>
      </c>
      <c r="C1455" t="inlineStr">
        <is>
          <t>Race/Touring</t>
        </is>
      </c>
      <c r="D1455" s="3" t="inlineStr"/>
      <c r="E1455" t="inlineStr">
        <is>
          <t>2023</t>
        </is>
      </c>
      <c r="F1455" s="4" t="n">
        <v>1.499</v>
      </c>
      <c r="G1455" t="inlineStr">
        <is>
          <t>VB</t>
        </is>
      </c>
      <c r="H1455" t="inlineStr">
        <is>
          <t>81667 München - Au-Haidhausen</t>
        </is>
      </c>
      <c r="I1455" s="5" t="n">
        <v>45529</v>
      </c>
      <c r="J1455" t="inlineStr"/>
      <c r="K1455" s="6">
        <f>HYPERLINK("https://www.kleinanzeigen.de/s-anzeige/starboard-carbon-wood-raceboard-sprint-14-x-29-5/2846288072-230-6454", "Link")</f>
        <v/>
      </c>
      <c r="L1455" s="6">
        <f>HYPERLINK("C:\Projects\Kleinanzeigen-Scraper\offer_images\2846288072", "Link")</f>
        <v/>
      </c>
      <c r="M1455" t="inlineStr">
        <is>
          <t>Guido Meier</t>
        </is>
      </c>
      <c r="N1455" s="6">
        <f>HYPERLINK("https://www.kleinanzeigen.de/s-bestandsliste.html?userId=11953205", "Link")</f>
        <v/>
      </c>
      <c r="O1455" s="7" t="n">
        <v>45549.57703703704</v>
      </c>
      <c r="P1455" s="3" t="inlineStr">
        <is>
          <t>2.06</t>
        </is>
      </c>
      <c r="Q1455" t="inlineStr">
        <is>
          <t>München</t>
        </is>
      </c>
    </row>
    <row r="1456">
      <c r="A1456" t="inlineStr">
        <is>
          <t>Length: 227 cm, Width: 69 cm</t>
        </is>
      </c>
      <c r="B1456" t="inlineStr">
        <is>
          <t>Naish Carbon Ultra</t>
        </is>
      </c>
      <c r="C1456" t="inlineStr"/>
      <c r="D1456" s="3" t="n">
        <v>140</v>
      </c>
      <c r="E1456" t="inlineStr"/>
      <c r="F1456" s="4" t="n">
        <v>849</v>
      </c>
      <c r="G1456" t="inlineStr">
        <is>
          <t>VB</t>
        </is>
      </c>
      <c r="H1456" t="inlineStr">
        <is>
          <t>83607 Bayern - Holzkirchen</t>
        </is>
      </c>
      <c r="I1456" s="5" t="n">
        <v>45486</v>
      </c>
      <c r="J1456" t="inlineStr">
        <is>
          <t>Sold</t>
        </is>
      </c>
      <c r="K1456" s="6">
        <f>HYPERLINK("https://www.kleinanzeigen.de/s-anzeige/naish-carbon-ultra-140l/2811013994-230-6192", "Link")</f>
        <v/>
      </c>
      <c r="L1456" s="6">
        <f>HYPERLINK("C:\Projects\Kleinanzeigen-Scraper\offer_images\2811013994", "Link")</f>
        <v/>
      </c>
      <c r="M1456" t="inlineStr">
        <is>
          <t>Hofberger</t>
        </is>
      </c>
      <c r="N1456" s="6">
        <f>HYPERLINK("https://www.kleinanzeigen.de/s-bestandsliste.html?userId=23236305", "Link")</f>
        <v/>
      </c>
      <c r="O1456" s="7" t="n">
        <v>45549.57702546296</v>
      </c>
      <c r="P1456" s="3" t="inlineStr">
        <is>
          <t>30.60</t>
        </is>
      </c>
      <c r="Q1456" t="inlineStr">
        <is>
          <t>München</t>
        </is>
      </c>
    </row>
    <row r="1457">
      <c r="A1457" t="inlineStr">
        <is>
          <t>104</t>
        </is>
      </c>
      <c r="B1457" t="inlineStr">
        <is>
          <t>Naish All Terrain</t>
        </is>
      </c>
      <c r="C1457" t="inlineStr"/>
      <c r="D1457" s="3" t="inlineStr"/>
      <c r="E1457" t="inlineStr"/>
      <c r="F1457" s="4" t="n">
        <v>200</v>
      </c>
      <c r="G1457" t="inlineStr">
        <is>
          <t>VB</t>
        </is>
      </c>
      <c r="H1457" t="inlineStr">
        <is>
          <t>23769 Kreis Ostholstein - Fehmarn</t>
        </is>
      </c>
      <c r="I1457" s="5" t="n">
        <v>45546</v>
      </c>
      <c r="J1457" t="inlineStr">
        <is>
          <t>Sold</t>
        </is>
      </c>
      <c r="K1457" s="6">
        <f>HYPERLINK("https://www.kleinanzeigen.de/s-anzeige/naish-all-terrain-104/2860450598-230-19951", "Link")</f>
        <v/>
      </c>
      <c r="L1457" s="6">
        <f>HYPERLINK("C:\Projects\Kleinanzeigen-Scraper\offer_images\2860450598", "Link")</f>
        <v/>
      </c>
      <c r="M1457" t="inlineStr">
        <is>
          <t>Marcus</t>
        </is>
      </c>
      <c r="N1457" s="6">
        <f>HYPERLINK("https://www.kleinanzeigen.de/s-bestandsliste.html?userId=117944128", "Link")</f>
        <v/>
      </c>
      <c r="O1457" s="7" t="n">
        <v>45549.57701388889</v>
      </c>
      <c r="P1457" s="3" t="inlineStr">
        <is>
          <t>483.01</t>
        </is>
      </c>
      <c r="Q1457" t="inlineStr">
        <is>
          <t>Köln</t>
        </is>
      </c>
    </row>
    <row r="1458">
      <c r="A1458" t="inlineStr">
        <is>
          <t>6'2" x 18 1/2" x 2 5/16"</t>
        </is>
      </c>
      <c r="B1458" t="inlineStr">
        <is>
          <t>NORTH Pro Series</t>
        </is>
      </c>
      <c r="C1458" t="inlineStr">
        <is>
          <t>Directional</t>
        </is>
      </c>
      <c r="D1458" s="3" t="n">
        <v>27.2</v>
      </c>
      <c r="E1458" t="inlineStr"/>
      <c r="F1458" s="4" t="n">
        <v>330</v>
      </c>
      <c r="G1458" t="inlineStr"/>
      <c r="H1458" t="inlineStr">
        <is>
          <t>12107 Berlin - Tempelhof</t>
        </is>
      </c>
      <c r="I1458" s="5" t="n">
        <v>45543</v>
      </c>
      <c r="J1458" t="inlineStr">
        <is>
          <t>Sold</t>
        </is>
      </c>
      <c r="K1458" s="6">
        <f>HYPERLINK("https://www.kleinanzeigen.de/s-anzeige/north-pro-series-wave-6-2-directional-wellenreiter-kite-board/2857237309-230-3407", "Link")</f>
        <v/>
      </c>
      <c r="L1458" s="6">
        <f>HYPERLINK("C:\Projects\Kleinanzeigen-Scraper\offer_images\2857237309", "Link")</f>
        <v/>
      </c>
      <c r="M1458" t="inlineStr">
        <is>
          <t>Mr M</t>
        </is>
      </c>
      <c r="N1458" s="6">
        <f>HYPERLINK("https://www.kleinanzeigen.de/s-bestandsliste.html?userId=19767700", "Link")</f>
        <v/>
      </c>
      <c r="O1458" s="7" t="n">
        <v>45549.57701388889</v>
      </c>
      <c r="P1458" s="3" t="inlineStr">
        <is>
          <t>473.64</t>
        </is>
      </c>
      <c r="Q1458" t="inlineStr">
        <is>
          <t>Köln</t>
        </is>
      </c>
    </row>
    <row r="1459">
      <c r="A1459" t="inlineStr">
        <is>
          <t>236 cm x 64 cm</t>
        </is>
      </c>
      <c r="B1459" t="inlineStr">
        <is>
          <t>Tabou Rocket</t>
        </is>
      </c>
      <c r="C1459" t="inlineStr">
        <is>
          <t>Freeride</t>
        </is>
      </c>
      <c r="D1459" s="3" t="n">
        <v>115</v>
      </c>
      <c r="E1459" t="inlineStr"/>
      <c r="F1459" s="4" t="n">
        <v>289</v>
      </c>
      <c r="G1459" t="inlineStr">
        <is>
          <t>VB</t>
        </is>
      </c>
      <c r="H1459" t="inlineStr">
        <is>
          <t>31515 Niedersachsen - Wunstorf</t>
        </is>
      </c>
      <c r="I1459" s="5" t="n">
        <v>45537</v>
      </c>
      <c r="J1459" t="inlineStr"/>
      <c r="K1459" s="6">
        <f>HYPERLINK("https://www.kleinanzeigen.de/s-anzeige/tabou-rocket-115l-custom-design-mit-carbon-finne-und-boardbag/2852409533-230-2930", "Link")</f>
        <v/>
      </c>
      <c r="L1459" s="6">
        <f>HYPERLINK("C:\Projects\Kleinanzeigen-Scraper\offer_images\2852409533", "Link")</f>
        <v/>
      </c>
      <c r="M1459" t="inlineStr">
        <is>
          <t>VG Thorsten</t>
        </is>
      </c>
      <c r="N1459" s="6">
        <f>HYPERLINK("https://www.kleinanzeigen.de/s-bestandsliste.html?userId=35843044", "Link")</f>
        <v/>
      </c>
      <c r="O1459" s="7" t="n">
        <v>45549.57699074074</v>
      </c>
      <c r="P1459" s="3" t="inlineStr">
        <is>
          <t>236.47</t>
        </is>
      </c>
      <c r="Q1459" t="inlineStr">
        <is>
          <t>Köln</t>
        </is>
      </c>
    </row>
    <row r="1460">
      <c r="A1460" t="inlineStr">
        <is>
          <t>228cm x 58cm</t>
        </is>
      </c>
      <c r="B1460" t="inlineStr">
        <is>
          <t>RRD Freestyle Wave V4</t>
        </is>
      </c>
      <c r="C1460" t="inlineStr">
        <is>
          <t>Freestyle Wave</t>
        </is>
      </c>
      <c r="D1460" s="3" t="n">
        <v>84</v>
      </c>
      <c r="E1460" t="inlineStr"/>
      <c r="F1460" s="4" t="n">
        <v>265</v>
      </c>
      <c r="G1460" t="inlineStr"/>
      <c r="H1460" t="inlineStr">
        <is>
          <t>82061 Kr. München - Neuried Kr München</t>
        </is>
      </c>
      <c r="I1460" s="5" t="n">
        <v>45506</v>
      </c>
      <c r="J1460" t="inlineStr"/>
      <c r="K1460" s="6">
        <f>HYPERLINK("https://www.kleinanzeigen.de/s-anzeige/rrd-freestyle-wave-84l-v4/2827184468-230-6336", "Link")</f>
        <v/>
      </c>
      <c r="L1460" s="6">
        <f>HYPERLINK("C:\Projects\Kleinanzeigen-Scraper\offer_images\2827184468", "Link")</f>
        <v/>
      </c>
      <c r="M1460" t="inlineStr">
        <is>
          <t>Michael</t>
        </is>
      </c>
      <c r="N1460" s="6">
        <f>HYPERLINK("https://www.kleinanzeigen.de/s-bestandsliste.html?userId=19648801", "Link")</f>
        <v/>
      </c>
      <c r="O1460" s="7" t="n">
        <v>45549.57696759259</v>
      </c>
      <c r="P1460" s="3" t="inlineStr">
        <is>
          <t>9.29</t>
        </is>
      </c>
      <c r="Q1460" t="inlineStr">
        <is>
          <t>München</t>
        </is>
      </c>
    </row>
    <row r="1461">
      <c r="A1461" t="inlineStr">
        <is>
          <t>315x86</t>
        </is>
      </c>
      <c r="B1461" t="inlineStr">
        <is>
          <t>RRD Windsup Airevo</t>
        </is>
      </c>
      <c r="C1461" t="inlineStr">
        <is>
          <t>Convertible SUP and Windsurfboard</t>
        </is>
      </c>
      <c r="D1461" s="3" t="inlineStr"/>
      <c r="E1461" t="inlineStr"/>
      <c r="F1461" s="4" t="n">
        <v>350</v>
      </c>
      <c r="G1461" t="inlineStr"/>
      <c r="H1461" t="inlineStr">
        <is>
          <t>52393 Nordrhein-Westfalen - Hürtgenwald</t>
        </is>
      </c>
      <c r="I1461" s="5" t="n">
        <v>45493</v>
      </c>
      <c r="J1461" t="inlineStr">
        <is>
          <t>Sold</t>
        </is>
      </c>
      <c r="K1461" s="6">
        <f>HYPERLINK("https://www.kleinanzeigen.de/s-anzeige/rrd-windsup-airevo-convertible-sup-und-windsurfboard-np-699-/2816655366-230-1704", "Link")</f>
        <v/>
      </c>
      <c r="L1461" s="6">
        <f>HYPERLINK("C:\Projects\Kleinanzeigen-Scraper\offer_images\2816655366", "Link")</f>
        <v/>
      </c>
      <c r="M1461" t="inlineStr">
        <is>
          <t>Heinz</t>
        </is>
      </c>
      <c r="N1461" s="6">
        <f>HYPERLINK("https://www.kleinanzeigen.de/s-bestandsliste.html?userId=635132", "Link")</f>
        <v/>
      </c>
      <c r="O1461" s="7" t="n">
        <v>45549.57694444444</v>
      </c>
      <c r="P1461" s="3" t="inlineStr">
        <is>
          <t>48.18</t>
        </is>
      </c>
      <c r="Q1461" t="inlineStr">
        <is>
          <t>Köln</t>
        </is>
      </c>
    </row>
    <row r="1462">
      <c r="A1462" t="inlineStr">
        <is>
          <t>5'4</t>
        </is>
      </c>
      <c r="B1462" t="inlineStr">
        <is>
          <t>Fanatic Sky Wing</t>
        </is>
      </c>
      <c r="C1462" t="inlineStr"/>
      <c r="D1462" s="3" t="n">
        <v>95</v>
      </c>
      <c r="E1462" t="inlineStr"/>
      <c r="F1462" s="4" t="n">
        <v>650</v>
      </c>
      <c r="G1462" t="inlineStr">
        <is>
          <t>VB</t>
        </is>
      </c>
      <c r="H1462" t="inlineStr">
        <is>
          <t>44225 Dortmund - Hombruch</t>
        </is>
      </c>
      <c r="I1462" s="5" t="n">
        <v>45505</v>
      </c>
      <c r="J1462" t="inlineStr">
        <is>
          <t>Sold</t>
        </is>
      </c>
      <c r="K1462" s="6">
        <f>HYPERLINK("https://www.kleinanzeigen.de/s-anzeige/fanatic-sky-wing-95l-5-4/2826677739-230-1091", "Link")</f>
        <v/>
      </c>
      <c r="L1462" s="6">
        <f>HYPERLINK("C:\Projects\Kleinanzeigen-Scraper\offer_images\2826677739", "Link")</f>
        <v/>
      </c>
      <c r="M1462" t="inlineStr">
        <is>
          <t>Philipp</t>
        </is>
      </c>
      <c r="N1462" s="6">
        <f>HYPERLINK("https://www.kleinanzeigen.de/s-bestandsliste.html?userId=19599618", "Link")</f>
        <v/>
      </c>
      <c r="O1462" s="7" t="n">
        <v>45549.5769212963</v>
      </c>
      <c r="P1462" s="3" t="inlineStr">
        <is>
          <t>68.92</t>
        </is>
      </c>
      <c r="Q1462" t="inlineStr">
        <is>
          <t>Köln</t>
        </is>
      </c>
    </row>
    <row r="1463">
      <c r="A1463" t="inlineStr">
        <is>
          <t>128 x 64.5 cm</t>
        </is>
      </c>
      <c r="B1463" t="inlineStr">
        <is>
          <t>Tabou Twister</t>
        </is>
      </c>
      <c r="C1463" t="inlineStr">
        <is>
          <t>Freestyle</t>
        </is>
      </c>
      <c r="D1463" s="3" t="n">
        <v>107</v>
      </c>
      <c r="E1463" t="inlineStr"/>
      <c r="F1463" s="4" t="n">
        <v>599</v>
      </c>
      <c r="G1463" t="inlineStr">
        <is>
          <t>VB</t>
        </is>
      </c>
      <c r="H1463" t="inlineStr">
        <is>
          <t>88682 Baden-Württemberg - Salem</t>
        </is>
      </c>
      <c r="I1463" s="5" t="n">
        <v>45499</v>
      </c>
      <c r="J1463" t="inlineStr"/>
      <c r="K1463" s="6">
        <f>HYPERLINK("https://www.kleinanzeigen.de/s-anzeige/tabou-twister-107-surfboard-inkl-boardbag-freestyle-neuwertig/2821620334-230-9206", "Link")</f>
        <v/>
      </c>
      <c r="L1463" s="6">
        <f>HYPERLINK("C:\Projects\Kleinanzeigen-Scraper\offer_images\2821620334", "Link")</f>
        <v/>
      </c>
      <c r="M1463" t="inlineStr">
        <is>
          <t>Tobias</t>
        </is>
      </c>
      <c r="N1463" s="6">
        <f>HYPERLINK("https://www.kleinanzeigen.de/s-bestandsliste.html?userId=72236851", "Link")</f>
        <v/>
      </c>
      <c r="O1463" s="7" t="n">
        <v>45549.5769212963</v>
      </c>
      <c r="P1463" s="3" t="inlineStr">
        <is>
          <t>71.86</t>
        </is>
      </c>
      <c r="Q1463" t="inlineStr">
        <is>
          <t>Bonndorf</t>
        </is>
      </c>
    </row>
    <row r="1464">
      <c r="A1464" t="inlineStr"/>
      <c r="B1464" t="inlineStr">
        <is>
          <t>Severne Fox</t>
        </is>
      </c>
      <c r="C1464" t="inlineStr">
        <is>
          <t>Freeride</t>
        </is>
      </c>
      <c r="D1464" s="3" t="n">
        <v>105</v>
      </c>
      <c r="E1464" t="inlineStr">
        <is>
          <t>2021</t>
        </is>
      </c>
      <c r="F1464" s="4" t="n">
        <v>800</v>
      </c>
      <c r="G1464" t="inlineStr">
        <is>
          <t>VB</t>
        </is>
      </c>
      <c r="H1464" t="inlineStr">
        <is>
          <t>41516 Nordrhein-Westfalen - Grevenbroich</t>
        </is>
      </c>
      <c r="I1464" s="5" t="n">
        <v>45548</v>
      </c>
      <c r="J1464" t="inlineStr">
        <is>
          <t>Sold</t>
        </is>
      </c>
      <c r="K1464" s="6">
        <f>HYPERLINK("https://www.kleinanzeigen.de/s-anzeige/severne-fox-105/2840080246-230-1823", "Link")</f>
        <v/>
      </c>
      <c r="L1464" s="6">
        <f>HYPERLINK("C:\Projects\Kleinanzeigen-Scraper\offer_images\2840080246", "Link")</f>
        <v/>
      </c>
      <c r="M1464" t="inlineStr">
        <is>
          <t>Privat</t>
        </is>
      </c>
      <c r="N1464" s="6">
        <f>HYPERLINK("https://www.kleinanzeigen.de/s-bestandsliste.html?userId=87292234", "Link")</f>
        <v/>
      </c>
      <c r="O1464" s="7" t="n">
        <v>45549.57689814815</v>
      </c>
      <c r="P1464" s="3" t="inlineStr">
        <is>
          <t>29.41</t>
        </is>
      </c>
      <c r="Q1464" t="inlineStr">
        <is>
          <t>Köln</t>
        </is>
      </c>
    </row>
    <row r="1465">
      <c r="A1465" t="inlineStr"/>
      <c r="B1465" t="inlineStr">
        <is>
          <t>Naish Hover Alana</t>
        </is>
      </c>
      <c r="C1465" t="inlineStr">
        <is>
          <t>Wing Foil</t>
        </is>
      </c>
      <c r="D1465" s="3" t="n">
        <v>75</v>
      </c>
      <c r="E1465" t="inlineStr">
        <is>
          <t>S26</t>
        </is>
      </c>
      <c r="F1465" s="4" t="n">
        <v>839</v>
      </c>
      <c r="G1465" t="inlineStr"/>
      <c r="H1465" t="inlineStr">
        <is>
          <t>18586 Mecklenburg-Vorpommern - Mönchgut, Ostseebad</t>
        </is>
      </c>
      <c r="I1465" s="5" t="n">
        <v>45539</v>
      </c>
      <c r="J1465" t="inlineStr">
        <is>
          <t>Sold</t>
        </is>
      </c>
      <c r="K1465" s="6">
        <f>HYPERLINK("https://www.kleinanzeigen.de/s-anzeige/naish-s26-hover-alana-wing-foil-board/2781191559-230-120", "Link")</f>
        <v/>
      </c>
      <c r="L1465" s="6">
        <f>HYPERLINK("C:\Projects\Kleinanzeigen-Scraper\offer_images\2781191559", "Link")</f>
        <v/>
      </c>
      <c r="M1465" t="inlineStr">
        <is>
          <t>No user name</t>
        </is>
      </c>
      <c r="N1465" s="6">
        <f>HYPERLINK("https://www.kleinanzeigen.deNo user link", "Link")</f>
        <v/>
      </c>
      <c r="O1465" s="7" t="n">
        <v>45549.57689814815</v>
      </c>
      <c r="P1465" s="3" t="inlineStr">
        <is>
          <t>591.22</t>
        </is>
      </c>
      <c r="Q1465" t="inlineStr">
        <is>
          <t>Köln</t>
        </is>
      </c>
    </row>
    <row r="1466">
      <c r="A1466" t="inlineStr">
        <is>
          <t>4'6" (21L), 4'10" (25L), 5'2" (28L)</t>
        </is>
      </c>
      <c r="B1466" t="inlineStr">
        <is>
          <t>Naish S26 Kite Foil Crossover</t>
        </is>
      </c>
      <c r="C1466" t="inlineStr">
        <is>
          <t>Crossover</t>
        </is>
      </c>
      <c r="D1466" s="3" t="inlineStr">
        <is>
          <t>21, 25, 28</t>
        </is>
      </c>
      <c r="E1466" t="inlineStr"/>
      <c r="F1466" s="4" t="n">
        <v>1.159</v>
      </c>
      <c r="G1466" t="inlineStr"/>
      <c r="H1466" t="inlineStr">
        <is>
          <t>18586 Mecklenburg-Vorpommern - Mönchgut, Ostseebad</t>
        </is>
      </c>
      <c r="I1466" s="5" t="n">
        <v>45542</v>
      </c>
      <c r="J1466" t="inlineStr">
        <is>
          <t>Sold</t>
        </is>
      </c>
      <c r="K1466" s="6">
        <f>HYPERLINK("https://www.kleinanzeigen.de/s-anzeige/naish-s26-kite-foil-crossover-test-ab-mai-auf-ruegen/2028562326-230-120", "Link")</f>
        <v/>
      </c>
      <c r="L1466" s="6">
        <f>HYPERLINK("C:\Projects\Kleinanzeigen-Scraper\offer_images\2028562326", "Link")</f>
        <v/>
      </c>
      <c r="M1466" t="inlineStr">
        <is>
          <t>No user name</t>
        </is>
      </c>
      <c r="N1466" s="6">
        <f>HYPERLINK("https://www.kleinanzeigen.deNo user link", "Link")</f>
        <v/>
      </c>
      <c r="O1466" s="7" t="n">
        <v>45549.57689814815</v>
      </c>
      <c r="P1466" s="3" t="inlineStr">
        <is>
          <t>591.22</t>
        </is>
      </c>
      <c r="Q1466" t="inlineStr">
        <is>
          <t>Köln</t>
        </is>
      </c>
    </row>
    <row r="1467">
      <c r="A1467" t="inlineStr">
        <is>
          <t>12'6" x 26"</t>
        </is>
      </c>
      <c r="B1467" t="inlineStr">
        <is>
          <t>XQ Max Fanatic RRD Mistral</t>
        </is>
      </c>
      <c r="C1467" t="inlineStr"/>
      <c r="D1467" s="3" t="inlineStr"/>
      <c r="E1467" t="inlineStr"/>
      <c r="F1467" s="4" t="n">
        <v>180</v>
      </c>
      <c r="G1467" t="inlineStr"/>
      <c r="H1467" t="inlineStr">
        <is>
          <t>32825 Nordrhein-Westfalen - Blomberg</t>
        </is>
      </c>
      <c r="I1467" s="5" t="n">
        <v>45504</v>
      </c>
      <c r="J1467" t="inlineStr">
        <is>
          <t>Sold</t>
        </is>
      </c>
      <c r="K1467" s="6">
        <f>HYPERLINK("https://www.kleinanzeigen.de/s-anzeige/sup-stand-up-board-xq-max-fanatic-rrd-mistral/2825651951-230-1276", "Link")</f>
        <v/>
      </c>
      <c r="L1467" s="6">
        <f>HYPERLINK("C:\Projects\Kleinanzeigen-Scraper\offer_images\2825651951", "Link")</f>
        <v/>
      </c>
      <c r="M1467" t="inlineStr">
        <is>
          <t>Ulrich</t>
        </is>
      </c>
      <c r="N1467" s="6">
        <f>HYPERLINK("https://www.kleinanzeigen.de/s-bestandsliste.html?userId=19709369", "Link")</f>
        <v/>
      </c>
      <c r="O1467" s="7" t="n">
        <v>45549.57688657408</v>
      </c>
      <c r="P1467" s="3" t="inlineStr">
        <is>
          <t>184.29</t>
        </is>
      </c>
      <c r="Q1467" t="inlineStr">
        <is>
          <t>Köln</t>
        </is>
      </c>
    </row>
    <row r="1468">
      <c r="A1468" t="inlineStr">
        <is>
          <t>6'11</t>
        </is>
      </c>
      <c r="B1468" t="inlineStr">
        <is>
          <t>Fanatic Sky SUP</t>
        </is>
      </c>
      <c r="C1468" t="inlineStr">
        <is>
          <t>Wingfoil</t>
        </is>
      </c>
      <c r="D1468" s="3" t="n">
        <v>142</v>
      </c>
      <c r="E1468" t="inlineStr"/>
      <c r="F1468" s="4" t="n">
        <v>999</v>
      </c>
      <c r="G1468" t="inlineStr"/>
      <c r="H1468" t="inlineStr">
        <is>
          <t>24235 Schleswig-Holstein - Stein (Probstei)</t>
        </is>
      </c>
      <c r="I1468" s="5" t="n">
        <v>45534</v>
      </c>
      <c r="J1468" t="inlineStr">
        <is>
          <t>Sold</t>
        </is>
      </c>
      <c r="K1468" s="6">
        <f>HYPERLINK("https://www.kleinanzeigen.de/s-anzeige/fanatic-sky-sup-wingfoil-board-6-11-anfaengerboard-komplettset/2850082342-230-19456", "Link")</f>
        <v/>
      </c>
      <c r="L1468" s="6">
        <f>HYPERLINK("C:\Projects\Kleinanzeigen-Scraper\offer_images\2850082342", "Link")</f>
        <v/>
      </c>
      <c r="M1468" t="inlineStr">
        <is>
          <t>Tatort-Hawaii</t>
        </is>
      </c>
      <c r="N1468" s="6">
        <f>HYPERLINK("https://www.kleinanzeigen.de/s-bestandsliste.html?userId=65290662", "Link")</f>
        <v/>
      </c>
      <c r="O1468" s="7" t="n">
        <v>45549.57688657408</v>
      </c>
      <c r="P1468" s="3" t="inlineStr">
        <is>
          <t>443.73</t>
        </is>
      </c>
      <c r="Q1468" t="inlineStr">
        <is>
          <t>Köln</t>
        </is>
      </c>
    </row>
    <row r="1469">
      <c r="A1469" t="inlineStr">
        <is>
          <t>93</t>
        </is>
      </c>
      <c r="B1469" t="inlineStr">
        <is>
          <t>JP Australia Ultimate Wave Pro</t>
        </is>
      </c>
      <c r="C1469" t="inlineStr">
        <is>
          <t>Wave</t>
        </is>
      </c>
      <c r="D1469" s="3" t="inlineStr"/>
      <c r="E1469" t="inlineStr">
        <is>
          <t>2024</t>
        </is>
      </c>
      <c r="F1469" s="4" t="n">
        <v>1.49</v>
      </c>
      <c r="G1469" t="inlineStr"/>
      <c r="H1469" t="inlineStr">
        <is>
          <t>82211 Bayern - Herrsching</t>
        </is>
      </c>
      <c r="I1469" s="5" t="n">
        <v>45539</v>
      </c>
      <c r="J1469" t="inlineStr"/>
      <c r="K1469" s="6">
        <f>HYPERLINK("https://www.kleinanzeigen.de/s-anzeige/jp-australia-ultimate-wave-pro-93-2024-neu/2854116497-230-5520", "Link")</f>
        <v/>
      </c>
      <c r="L1469" s="6">
        <f>HYPERLINK("C:\Projects\Kleinanzeigen-Scraper\offer_images\2854116497", "Link")</f>
        <v/>
      </c>
      <c r="M1469" t="inlineStr">
        <is>
          <t>A.Laufer</t>
        </is>
      </c>
      <c r="N1469" s="6">
        <f>HYPERLINK("https://www.kleinanzeigen.de/s-bestandsliste.html?userId=466896", "Link")</f>
        <v/>
      </c>
      <c r="O1469" s="7" t="n">
        <v>45549.576875</v>
      </c>
      <c r="P1469" s="3" t="inlineStr">
        <is>
          <t>32.73</t>
        </is>
      </c>
      <c r="Q1469" t="inlineStr">
        <is>
          <t>München</t>
        </is>
      </c>
    </row>
    <row r="1470">
      <c r="A1470" t="inlineStr">
        <is>
          <t>127 cm x 36 cm</t>
        </is>
      </c>
      <c r="B1470" t="inlineStr">
        <is>
          <t>RRD Placebo</t>
        </is>
      </c>
      <c r="C1470" t="inlineStr">
        <is>
          <t>Twintip</t>
        </is>
      </c>
      <c r="D1470" s="3" t="inlineStr"/>
      <c r="E1470" t="inlineStr">
        <is>
          <t>2020</t>
        </is>
      </c>
      <c r="F1470" s="4" t="n">
        <v>180</v>
      </c>
      <c r="G1470" t="inlineStr"/>
      <c r="H1470" t="inlineStr">
        <is>
          <t>70569 Stuttgart - Vaihingen</t>
        </is>
      </c>
      <c r="I1470" s="5" t="n">
        <v>45046</v>
      </c>
      <c r="J1470" t="inlineStr">
        <is>
          <t>Sold</t>
        </is>
      </c>
      <c r="K1470" s="6">
        <f>HYPERLINK("https://www.kleinanzeigen.de/s-anzeige/kite-board-rrd-placebo-127-cm-x-36-cm/2428905580-230-9300", "Link")</f>
        <v/>
      </c>
      <c r="L1470" s="6">
        <f>HYPERLINK("C:\Projects\Kleinanzeigen-Scraper\offer_images\2428905580", "Link")</f>
        <v/>
      </c>
      <c r="M1470" t="inlineStr">
        <is>
          <t>Gerd S.</t>
        </is>
      </c>
      <c r="N1470" s="6">
        <f>HYPERLINK("https://www.kleinanzeigen.de/s-bestandsliste.html?userId=29596487", "Link")</f>
        <v/>
      </c>
      <c r="O1470" s="7" t="n">
        <v>45549.57684027778</v>
      </c>
      <c r="P1470" s="3" t="inlineStr">
        <is>
          <t>11.51</t>
        </is>
      </c>
      <c r="Q1470" t="inlineStr">
        <is>
          <t>Böblingen</t>
        </is>
      </c>
    </row>
    <row r="1471">
      <c r="A1471" t="inlineStr">
        <is>
          <t>250 x 79</t>
        </is>
      </c>
      <c r="B1471" t="inlineStr">
        <is>
          <t>Tabou Rocket LTD</t>
        </is>
      </c>
      <c r="C1471" t="inlineStr">
        <is>
          <t>Freeride</t>
        </is>
      </c>
      <c r="D1471" s="3" t="n">
        <v>145</v>
      </c>
      <c r="E1471" t="inlineStr">
        <is>
          <t>2022</t>
        </is>
      </c>
      <c r="F1471" s="4" t="n">
        <v>890</v>
      </c>
      <c r="G1471" t="inlineStr"/>
      <c r="H1471" t="inlineStr">
        <is>
          <t>04275 Leipzig - Leipzig, Südvorstadt</t>
        </is>
      </c>
      <c r="I1471" s="5" t="n">
        <v>45536</v>
      </c>
      <c r="J1471" t="inlineStr"/>
      <c r="K1471" s="6">
        <f>HYPERLINK("https://www.kleinanzeigen.de/s-anzeige/tabou-rocket-ltd-145-liter-neuwertig/2851814375-230-4266", "Link")</f>
        <v/>
      </c>
      <c r="L1471" s="6">
        <f>HYPERLINK("C:\Projects\Kleinanzeigen-Scraper\offer_images\2851814375", "Link")</f>
        <v/>
      </c>
      <c r="M1471" t="inlineStr">
        <is>
          <t>Scholbe</t>
        </is>
      </c>
      <c r="N1471" s="6">
        <f>HYPERLINK("https://www.kleinanzeigen.de/s-bestandsliste.html?userId=13009763", "Link")</f>
        <v/>
      </c>
      <c r="O1471" s="7" t="n">
        <v>45549.57684027778</v>
      </c>
      <c r="P1471" s="3" t="inlineStr">
        <is>
          <t>358.81</t>
        </is>
      </c>
      <c r="Q1471" t="inlineStr">
        <is>
          <t>München</t>
        </is>
      </c>
    </row>
    <row r="1472">
      <c r="A1472" t="inlineStr">
        <is>
          <t>140</t>
        </is>
      </c>
      <c r="B1472" t="inlineStr">
        <is>
          <t>Tabou Rocket</t>
        </is>
      </c>
      <c r="C1472" t="inlineStr">
        <is>
          <t>Freeride</t>
        </is>
      </c>
      <c r="D1472" s="3" t="inlineStr"/>
      <c r="E1472" t="inlineStr">
        <is>
          <t>2015</t>
        </is>
      </c>
      <c r="F1472" s="4" t="n">
        <v>290</v>
      </c>
      <c r="G1472" t="inlineStr"/>
      <c r="H1472" t="inlineStr">
        <is>
          <t>59269 Nordrhein-Westfalen - Beckum</t>
        </is>
      </c>
      <c r="I1472" s="5" t="n">
        <v>45501</v>
      </c>
      <c r="J1472" t="inlineStr">
        <is>
          <t>Sold</t>
        </is>
      </c>
      <c r="K1472" s="6">
        <f>HYPERLINK("https://www.kleinanzeigen.de/s-anzeige/surfboard-tabou-rocket-140/2823827743-230-1434", "Link")</f>
        <v/>
      </c>
      <c r="L1472" s="6">
        <f>HYPERLINK("C:\Projects\Kleinanzeigen-Scraper\offer_images\2823827743", "Link")</f>
        <v/>
      </c>
      <c r="M1472" t="inlineStr">
        <is>
          <t>Becker</t>
        </is>
      </c>
      <c r="N1472" s="6">
        <f>HYPERLINK("https://www.kleinanzeigen.de/s-bestandsliste.html?userId=7147882", "Link")</f>
        <v/>
      </c>
      <c r="O1472" s="7" t="n">
        <v>45549.57681712963</v>
      </c>
      <c r="P1472" s="3" t="inlineStr">
        <is>
          <t>119.78</t>
        </is>
      </c>
      <c r="Q1472" t="inlineStr">
        <is>
          <t>Köln</t>
        </is>
      </c>
    </row>
    <row r="1473">
      <c r="A1473" t="inlineStr">
        <is>
          <t>228 cm x 85 cm</t>
        </is>
      </c>
      <c r="B1473" t="inlineStr">
        <is>
          <t>JP Australia</t>
        </is>
      </c>
      <c r="C1473" t="inlineStr">
        <is>
          <t>Slalom/Race</t>
        </is>
      </c>
      <c r="D1473" s="3" t="n">
        <v>131</v>
      </c>
      <c r="E1473" t="inlineStr">
        <is>
          <t>2017</t>
        </is>
      </c>
      <c r="F1473" s="4" t="n">
        <v>565</v>
      </c>
      <c r="G1473" t="inlineStr">
        <is>
          <t>VB</t>
        </is>
      </c>
      <c r="H1473" t="inlineStr">
        <is>
          <t>27568 Häfen - Bremerhaven</t>
        </is>
      </c>
      <c r="I1473" s="5" t="n">
        <v>45537</v>
      </c>
      <c r="J1473" t="inlineStr"/>
      <c r="K1473" s="6">
        <f>HYPERLINK("https://www.kleinanzeigen.de/s-anzeige/jp-australia-slalom-pro-edition-race-board-85-cm/2852264357-230-7", "Link")</f>
        <v/>
      </c>
      <c r="L1473" s="6">
        <f>HYPERLINK("C:\Projects\Kleinanzeigen-Scraper\offer_images\2852264357", "Link")</f>
        <v/>
      </c>
      <c r="M1473" t="inlineStr">
        <is>
          <t>Dietmar</t>
        </is>
      </c>
      <c r="N1473" s="6">
        <f>HYPERLINK("https://www.kleinanzeigen.de/s-bestandsliste.html?userId=22041845", "Link")</f>
        <v/>
      </c>
      <c r="O1473" s="7" t="n">
        <v>45549.57681712963</v>
      </c>
      <c r="P1473" s="3" t="inlineStr">
        <is>
          <t>312.07</t>
        </is>
      </c>
      <c r="Q1473" t="inlineStr">
        <is>
          <t>Köln</t>
        </is>
      </c>
    </row>
    <row r="1474">
      <c r="A1474" t="inlineStr">
        <is>
          <t>381 x 81 x 15.2 cm</t>
        </is>
      </c>
      <c r="B1474" t="inlineStr">
        <is>
          <t>JP Australia CruisAir LE 3DS</t>
        </is>
      </c>
      <c r="C1474" t="inlineStr">
        <is>
          <t>Touring</t>
        </is>
      </c>
      <c r="D1474" s="3" t="n">
        <v>333</v>
      </c>
      <c r="E1474" t="inlineStr"/>
      <c r="F1474" s="4" t="n">
        <v>349</v>
      </c>
      <c r="G1474" t="inlineStr">
        <is>
          <t>VB</t>
        </is>
      </c>
      <c r="H1474" t="inlineStr">
        <is>
          <t>76646 Baden-Württemberg - Bruchsal</t>
        </is>
      </c>
      <c r="I1474" s="5" t="n">
        <v>45533</v>
      </c>
      <c r="J1474" t="inlineStr"/>
      <c r="K1474" s="6">
        <f>HYPERLINK("https://www.kleinanzeigen.de/s-anzeige/stand-up-paddle-sup-board-jp-australia-cruisair-le-3ds-12-6-/2849171872-230-8795", "Link")</f>
        <v/>
      </c>
      <c r="L1474" s="6">
        <f>HYPERLINK("C:\Projects\Kleinanzeigen-Scraper\offer_images\2849171872", "Link")</f>
        <v/>
      </c>
      <c r="M1474" t="inlineStr">
        <is>
          <t>Kaldi-Events</t>
        </is>
      </c>
      <c r="N1474" s="6">
        <f>HYPERLINK("https://www.kleinanzeigen.de/s-bestandsliste.html?userId=24102977", "Link")</f>
        <v/>
      </c>
      <c r="O1474" s="7" t="n">
        <v>45549.57681712963</v>
      </c>
      <c r="P1474" s="3" t="inlineStr">
        <is>
          <t>18.28</t>
        </is>
      </c>
      <c r="Q1474" t="inlineStr">
        <is>
          <t>Karlsruhe</t>
        </is>
      </c>
    </row>
    <row r="1475">
      <c r="A1475" t="inlineStr">
        <is>
          <t>2.70m x 0.80m</t>
        </is>
      </c>
      <c r="B1475" t="inlineStr">
        <is>
          <t>FANATIC E-RAY 170</t>
        </is>
      </c>
      <c r="C1475" t="inlineStr"/>
      <c r="D1475" s="3" t="n">
        <v>155</v>
      </c>
      <c r="E1475" t="inlineStr"/>
      <c r="F1475" s="4" t="n">
        <v>489</v>
      </c>
      <c r="G1475" t="inlineStr"/>
      <c r="H1475" t="inlineStr">
        <is>
          <t>37124 Niedersachsen - Rosdorf</t>
        </is>
      </c>
      <c r="I1475" s="5" t="n">
        <v>45564</v>
      </c>
      <c r="J1475" t="inlineStr"/>
      <c r="K1475" s="6">
        <f>HYPERLINK("https://www.kleinanzeigen.de/s-anzeige/surfbrett-fanatic-e-ray-170-lae-2-70m-br-80cm-155l-neuwertig/2825865520-230-3133", "Link")</f>
        <v/>
      </c>
      <c r="L1475" s="6">
        <f>HYPERLINK("C:\Projects\Kleinanzeigen-Scraper\offer_images\2825865520", "Link")</f>
        <v/>
      </c>
      <c r="M1475" t="inlineStr">
        <is>
          <t>No user name</t>
        </is>
      </c>
      <c r="N1475" s="6">
        <f>HYPERLINK("https://www.kleinanzeigen.deNo user link", "Link")</f>
        <v/>
      </c>
      <c r="O1475" s="7" t="n">
        <v>45549.57681712963</v>
      </c>
      <c r="P1475" s="3" t="inlineStr">
        <is>
          <t>214.72</t>
        </is>
      </c>
      <c r="Q1475" t="inlineStr">
        <is>
          <t>Köln</t>
        </is>
      </c>
    </row>
    <row r="1476">
      <c r="A1476" t="inlineStr">
        <is>
          <t>Dimensions not provided</t>
        </is>
      </c>
      <c r="B1476" t="inlineStr">
        <is>
          <t>Fanatic</t>
        </is>
      </c>
      <c r="C1476" t="inlineStr"/>
      <c r="D1476" s="3" t="n">
        <v>84</v>
      </c>
      <c r="E1476" t="inlineStr"/>
      <c r="F1476" s="4" t="n">
        <v>20</v>
      </c>
      <c r="G1476" t="inlineStr"/>
      <c r="H1476" t="inlineStr">
        <is>
          <t>24229 Schleswig-Holstein - Strande</t>
        </is>
      </c>
      <c r="I1476" s="5" t="n">
        <v>45519</v>
      </c>
      <c r="J1476" t="inlineStr">
        <is>
          <t>Sold</t>
        </is>
      </c>
      <c r="K1476" s="6">
        <f>HYPERLINK("https://www.kleinanzeigen.de/s-anzeige/fanatic-surfbrett-84-l-windsurfen/2837808491-230-671", "Link")</f>
        <v/>
      </c>
      <c r="L1476" s="6">
        <f>HYPERLINK("C:\Projects\Kleinanzeigen-Scraper\offer_images\2837808491", "Link")</f>
        <v/>
      </c>
      <c r="M1476" t="inlineStr">
        <is>
          <t>J.Rogge</t>
        </is>
      </c>
      <c r="N1476" s="6">
        <f>HYPERLINK("https://www.kleinanzeigen.de/s-bestandsliste.html?userId=36131959", "Link")</f>
        <v/>
      </c>
      <c r="O1476" s="7" t="n">
        <v>45549.57680555555</v>
      </c>
      <c r="P1476" s="3" t="inlineStr">
        <is>
          <t>445.58</t>
        </is>
      </c>
      <c r="Q1476" t="inlineStr">
        <is>
          <t>Köln</t>
        </is>
      </c>
    </row>
    <row r="1477">
      <c r="A1477" t="inlineStr">
        <is>
          <t>12.0</t>
        </is>
      </c>
      <c r="B1477" t="inlineStr">
        <is>
          <t>RRD Y26 AIR EVO</t>
        </is>
      </c>
      <c r="C1477" t="inlineStr">
        <is>
          <t>Convertible SUP/Windsurf</t>
        </is>
      </c>
      <c r="D1477" s="3" t="inlineStr"/>
      <c r="E1477" t="inlineStr">
        <is>
          <t>2023</t>
        </is>
      </c>
      <c r="F1477" s="4" t="n">
        <v>599</v>
      </c>
      <c r="G1477" t="inlineStr"/>
      <c r="H1477" t="inlineStr">
        <is>
          <t>82319 Bayern - Starnberg</t>
        </is>
      </c>
      <c r="I1477" s="5" t="n">
        <v>45547</v>
      </c>
      <c r="J1477" t="inlineStr"/>
      <c r="K1477" s="6">
        <f>HYPERLINK("https://www.kleinanzeigen.de/s-anzeige/rrd-y26-air-evo-conv-tourer-12-0-stand-up-paddel-windsurfoption/2836174919-230-5525", "Link")</f>
        <v/>
      </c>
      <c r="L1477" s="6">
        <f>HYPERLINK("C:\Projects\Kleinanzeigen-Scraper\offer_images\2836174919", "Link")</f>
        <v/>
      </c>
      <c r="M1477" t="inlineStr">
        <is>
          <t>No user name</t>
        </is>
      </c>
      <c r="N1477" s="6">
        <f>HYPERLINK("https://www.kleinanzeigen.deNo user link", "Link")</f>
        <v/>
      </c>
      <c r="O1477" s="7" t="n">
        <v>45549.57679398148</v>
      </c>
      <c r="P1477" s="3" t="inlineStr">
        <is>
          <t>23.17</t>
        </is>
      </c>
      <c r="Q1477" t="inlineStr">
        <is>
          <t>München</t>
        </is>
      </c>
    </row>
    <row r="1478">
      <c r="A1478" t="inlineStr">
        <is>
          <t>284 cm x 59 cm</t>
        </is>
      </c>
      <c r="B1478" t="inlineStr">
        <is>
          <t>Fanatic Bee</t>
        </is>
      </c>
      <c r="C1478" t="inlineStr">
        <is>
          <t>Slalom</t>
        </is>
      </c>
      <c r="D1478" s="3" t="n">
        <v>117</v>
      </c>
      <c r="E1478" t="inlineStr"/>
      <c r="F1478" s="4" t="n">
        <v>50</v>
      </c>
      <c r="G1478" t="inlineStr"/>
      <c r="H1478" t="inlineStr">
        <is>
          <t>70499 Stuttgart - Weilimdorf</t>
        </is>
      </c>
      <c r="I1478" s="5" t="n">
        <v>45533</v>
      </c>
      <c r="J1478" t="inlineStr">
        <is>
          <t>Sold</t>
        </is>
      </c>
      <c r="K1478" s="6">
        <f>HYPERLINK("https://www.kleinanzeigen.de/s-anzeige/fanatic-bee-284-284-cm-117-liter-surfboard-surfbrett/2849339571-230-9592", "Link")</f>
        <v/>
      </c>
      <c r="L1478" s="6">
        <f>HYPERLINK("C:\Projects\Kleinanzeigen-Scraper\offer_images\2849339571", "Link")</f>
        <v/>
      </c>
      <c r="M1478" t="inlineStr">
        <is>
          <t>Birgit Schlüter</t>
        </is>
      </c>
      <c r="N1478" s="6">
        <f>HYPERLINK("https://www.kleinanzeigen.de/s-bestandsliste.html?userId=38426921", "Link")</f>
        <v/>
      </c>
      <c r="O1478" s="7" t="n">
        <v>45549.57679398148</v>
      </c>
      <c r="P1478" s="3" t="inlineStr">
        <is>
          <t>17.84</t>
        </is>
      </c>
      <c r="Q1478" t="inlineStr">
        <is>
          <t>Böblingen</t>
        </is>
      </c>
    </row>
    <row r="1479">
      <c r="A1479" t="inlineStr">
        <is>
          <t>216cm x 57.2cm</t>
        </is>
      </c>
      <c r="B1479" t="inlineStr">
        <is>
          <t>Naish Hover Downwind</t>
        </is>
      </c>
      <c r="C1479" t="inlineStr">
        <is>
          <t>Wingfoil</t>
        </is>
      </c>
      <c r="D1479" s="3" t="n">
        <v>105</v>
      </c>
      <c r="E1479" t="inlineStr"/>
      <c r="F1479" s="4" t="n">
        <v>1.08</v>
      </c>
      <c r="G1479" t="inlineStr"/>
      <c r="H1479" t="inlineStr">
        <is>
          <t>85049 Bayern - Ingolstadt</t>
        </is>
      </c>
      <c r="I1479" s="5" t="n">
        <v>45527</v>
      </c>
      <c r="J1479" t="inlineStr">
        <is>
          <t>Sold</t>
        </is>
      </c>
      <c r="K1479" s="6">
        <f>HYPERLINK("https://www.kleinanzeigen.de/s-anzeige/naish-hover-downwind-board-105l-wingfoilboard/2844261563-230-7611", "Link")</f>
        <v/>
      </c>
      <c r="L1479" s="6">
        <f>HYPERLINK("C:\Projects\Kleinanzeigen-Scraper\offer_images\2844261563", "Link")</f>
        <v/>
      </c>
      <c r="M1479" t="inlineStr">
        <is>
          <t>WG</t>
        </is>
      </c>
      <c r="N1479" s="6">
        <f>HYPERLINK("https://www.kleinanzeigen.de/s-bestandsliste.html?userId=16554844", "Link")</f>
        <v/>
      </c>
      <c r="O1479" s="7" t="n">
        <v>45549.57678240741</v>
      </c>
      <c r="P1479" s="3" t="inlineStr">
        <is>
          <t>71.06</t>
        </is>
      </c>
      <c r="Q1479" t="inlineStr">
        <is>
          <t>München</t>
        </is>
      </c>
    </row>
    <row r="1480">
      <c r="A1480" t="inlineStr">
        <is>
          <t>238x68</t>
        </is>
      </c>
      <c r="B1480" t="inlineStr">
        <is>
          <t>RRD Twintip</t>
        </is>
      </c>
      <c r="C1480" t="inlineStr">
        <is>
          <t>Freestyle</t>
        </is>
      </c>
      <c r="D1480" s="3" t="n">
        <v>110</v>
      </c>
      <c r="E1480" t="inlineStr">
        <is>
          <t>Limited Edition</t>
        </is>
      </c>
      <c r="F1480" s="4" t="n">
        <v>490</v>
      </c>
      <c r="G1480" t="inlineStr"/>
      <c r="H1480" t="inlineStr">
        <is>
          <t>17139 Mecklenburg-Vorpommern - Malchin</t>
        </is>
      </c>
      <c r="I1480" s="5" t="n">
        <v>45055</v>
      </c>
      <c r="J1480" t="inlineStr"/>
      <c r="K1480" s="6">
        <f>HYPERLINK("https://www.kleinanzeigen.de/s-anzeige/surfboard-rrd-twintip-110-limited-edition-boardbag-finne/2437893001-230-74", "Link")</f>
        <v/>
      </c>
      <c r="L1480" s="6">
        <f>HYPERLINK("C:\Projects\Kleinanzeigen-Scraper\offer_images\2437893001", "Link")</f>
        <v/>
      </c>
      <c r="M1480" t="inlineStr">
        <is>
          <t>der kleinanzeiger</t>
        </is>
      </c>
      <c r="N1480" s="6">
        <f>HYPERLINK("https://www.kleinanzeigen.de/s-bestandsliste.html?userId=977696", "Link")</f>
        <v/>
      </c>
      <c r="O1480" s="7" t="n">
        <v>45549.57677083334</v>
      </c>
      <c r="P1480" s="3" t="inlineStr">
        <is>
          <t>502.61</t>
        </is>
      </c>
      <c r="Q1480" t="inlineStr">
        <is>
          <t>Köln</t>
        </is>
      </c>
    </row>
    <row r="1481">
      <c r="A1481" t="inlineStr">
        <is>
          <t>135cm</t>
        </is>
      </c>
      <c r="B1481" t="inlineStr">
        <is>
          <t>Naish Thorn</t>
        </is>
      </c>
      <c r="C1481" t="inlineStr"/>
      <c r="D1481" s="3" t="inlineStr"/>
      <c r="E1481" t="inlineStr"/>
      <c r="F1481" s="4" t="n">
        <v>95</v>
      </c>
      <c r="G1481" t="inlineStr">
        <is>
          <t>VB</t>
        </is>
      </c>
      <c r="H1481" t="inlineStr">
        <is>
          <t>89423 Bayern - Gundelfingen a. d. Donau</t>
        </is>
      </c>
      <c r="I1481" s="5" t="n">
        <v>45479</v>
      </c>
      <c r="J1481" t="inlineStr">
        <is>
          <t>Sold</t>
        </is>
      </c>
      <c r="K1481" s="6">
        <f>HYPERLINK("https://www.kleinanzeigen.de/s-anzeige/kiteboard-naish-thorn-groesse-135cm/2805684093-230-7113", "Link")</f>
        <v/>
      </c>
      <c r="L1481" s="6">
        <f>HYPERLINK("C:\Projects\Kleinanzeigen-Scraper\offer_images\2805684093", "Link")</f>
        <v/>
      </c>
      <c r="M1481" t="inlineStr">
        <is>
          <t>Anne</t>
        </is>
      </c>
      <c r="N1481" s="6">
        <f>HYPERLINK("https://www.kleinanzeigen.de/s-bestandsliste.html?userId=15092732", "Link")</f>
        <v/>
      </c>
      <c r="O1481" s="7" t="n">
        <v>45549.57677083334</v>
      </c>
      <c r="P1481" s="3" t="inlineStr">
        <is>
          <t>98.41</t>
        </is>
      </c>
      <c r="Q1481" t="inlineStr">
        <is>
          <t>München</t>
        </is>
      </c>
    </row>
    <row r="1482">
      <c r="A1482" t="inlineStr">
        <is>
          <t>236 x 64</t>
        </is>
      </c>
      <c r="B1482" t="inlineStr">
        <is>
          <t>Severne Dyno 3</t>
        </is>
      </c>
      <c r="C1482" t="inlineStr">
        <is>
          <t>Freestylewave</t>
        </is>
      </c>
      <c r="D1482" s="3" t="n">
        <v>115</v>
      </c>
      <c r="E1482" t="inlineStr">
        <is>
          <t>2022</t>
        </is>
      </c>
      <c r="F1482" s="4" t="n">
        <v>801</v>
      </c>
      <c r="G1482" t="inlineStr"/>
      <c r="H1482" t="inlineStr">
        <is>
          <t>16348 Brandenburg - Wandlitz</t>
        </is>
      </c>
      <c r="I1482" s="5" t="n">
        <v>45516</v>
      </c>
      <c r="J1482" t="inlineStr"/>
      <c r="K1482" s="6">
        <f>HYPERLINK("https://www.kleinanzeigen.de/s-anzeige/severne-dyno-3-aus-2022/2835377286-230-7891", "Link")</f>
        <v/>
      </c>
      <c r="L1482" s="6">
        <f>HYPERLINK("C:\Projects\Kleinanzeigen-Scraper\offer_images\2835377286", "Link")</f>
        <v/>
      </c>
      <c r="M1482" t="inlineStr">
        <is>
          <t>Sven</t>
        </is>
      </c>
      <c r="N1482" s="6">
        <f>HYPERLINK("https://www.kleinanzeigen.de/s-bestandsliste.html?userId=39033070", "Link")</f>
        <v/>
      </c>
      <c r="O1482" s="7" t="n">
        <v>45549.57674768518</v>
      </c>
      <c r="P1482" s="3" t="inlineStr">
        <is>
          <t>493.28</t>
        </is>
      </c>
      <c r="Q1482" t="inlineStr">
        <is>
          <t>Köln</t>
        </is>
      </c>
    </row>
    <row r="1483">
      <c r="A1483" t="inlineStr">
        <is>
          <t>8' 5"</t>
        </is>
      </c>
      <c r="B1483" t="inlineStr">
        <is>
          <t>Mistral Naish</t>
        </is>
      </c>
      <c r="C1483" t="inlineStr">
        <is>
          <t>Wave</t>
        </is>
      </c>
      <c r="D1483" s="3" t="inlineStr"/>
      <c r="E1483" t="inlineStr"/>
      <c r="F1483" s="4" t="n">
        <v>55</v>
      </c>
      <c r="G1483" t="inlineStr"/>
      <c r="H1483" t="inlineStr">
        <is>
          <t>13088 Pankow - Weissensee</t>
        </is>
      </c>
      <c r="I1483" s="5" t="n">
        <v>45480</v>
      </c>
      <c r="J1483" t="inlineStr">
        <is>
          <t>Sold</t>
        </is>
      </c>
      <c r="K1483" s="6">
        <f>HYPERLINK("https://www.kleinanzeigen.de/s-anzeige/mistral-naish-waveboard-8-5-surfbrett-waveboard/2806455963-230-3477", "Link")</f>
        <v/>
      </c>
      <c r="L1483" s="6">
        <f>HYPERLINK("C:\Projects\Kleinanzeigen-Scraper\offer_images\2806455963", "Link")</f>
        <v/>
      </c>
      <c r="M1483" t="inlineStr">
        <is>
          <t>Norbert</t>
        </is>
      </c>
      <c r="N1483" s="6">
        <f>HYPERLINK("https://www.kleinanzeigen.de/s-bestandsliste.html?userId=640014", "Link")</f>
        <v/>
      </c>
      <c r="O1483" s="7" t="n">
        <v>45549.57674768518</v>
      </c>
      <c r="P1483" s="3" t="inlineStr">
        <is>
          <t>483.60</t>
        </is>
      </c>
      <c r="Q1483" t="inlineStr">
        <is>
          <t>Köln</t>
        </is>
      </c>
    </row>
    <row r="1484">
      <c r="A1484" t="inlineStr">
        <is>
          <t>6'7"</t>
        </is>
      </c>
      <c r="B1484" t="inlineStr">
        <is>
          <t>Fanatic Sky SUP</t>
        </is>
      </c>
      <c r="C1484" t="inlineStr">
        <is>
          <t>Foil</t>
        </is>
      </c>
      <c r="D1484" s="3" t="n">
        <v>125</v>
      </c>
      <c r="E1484" t="inlineStr"/>
      <c r="F1484" s="4" t="n">
        <v>680</v>
      </c>
      <c r="G1484" t="inlineStr"/>
      <c r="H1484" t="inlineStr">
        <is>
          <t>38102 Niedersachsen - Braunschweig</t>
        </is>
      </c>
      <c r="I1484" s="5" t="n">
        <v>45513</v>
      </c>
      <c r="J1484" t="inlineStr">
        <is>
          <t>Sold</t>
        </is>
      </c>
      <c r="K1484" s="6">
        <f>HYPERLINK("https://www.kleinanzeigen.de/s-anzeige/fanatic-sky-sup-6-7-wing-foil-board-125-l/2832632736-230-2460", "Link")</f>
        <v/>
      </c>
      <c r="L1484" s="6">
        <f>HYPERLINK("C:\Projects\Kleinanzeigen-Scraper\offer_images\2832632736", "Link")</f>
        <v/>
      </c>
      <c r="M1484" t="inlineStr">
        <is>
          <t>Jan</t>
        </is>
      </c>
      <c r="N1484" s="6">
        <f>HYPERLINK("https://www.kleinanzeigen.de/s-bestandsliste.html?userId=48430469", "Link")</f>
        <v/>
      </c>
      <c r="O1484" s="7" t="n">
        <v>45549.57672453704</v>
      </c>
      <c r="P1484" s="3" t="inlineStr">
        <is>
          <t>287.38</t>
        </is>
      </c>
      <c r="Q1484" t="inlineStr">
        <is>
          <t>Köln</t>
        </is>
      </c>
    </row>
    <row r="1485">
      <c r="A1485" t="inlineStr">
        <is>
          <t>114</t>
        </is>
      </c>
      <c r="B1485" t="inlineStr">
        <is>
          <t>RRD WAVE CULT</t>
        </is>
      </c>
      <c r="C1485" t="inlineStr">
        <is>
          <t>Wave</t>
        </is>
      </c>
      <c r="D1485" s="3" t="inlineStr"/>
      <c r="E1485" t="inlineStr"/>
      <c r="F1485" s="4" t="n">
        <v>899</v>
      </c>
      <c r="G1485" t="inlineStr">
        <is>
          <t>VB</t>
        </is>
      </c>
      <c r="H1485" t="inlineStr">
        <is>
          <t>13187 Berlin - Pankow</t>
        </is>
      </c>
      <c r="I1485" s="5" t="n">
        <v>45556</v>
      </c>
      <c r="J1485" t="inlineStr"/>
      <c r="K1485" s="6">
        <f>HYPERLINK("https://www.kleinanzeigen.de/s-anzeige/rrd-wave-cult-surfboard-114-ltd/2803047333-230-3473", "Link")</f>
        <v/>
      </c>
      <c r="L1485" s="6">
        <f>HYPERLINK("C:\Projects\Kleinanzeigen-Scraper\offer_images\2803047333", "Link")</f>
        <v/>
      </c>
      <c r="M1485" t="inlineStr">
        <is>
          <t>Rik Steinert</t>
        </is>
      </c>
      <c r="N1485" s="6">
        <f>HYPERLINK("https://www.kleinanzeigen.de/s-bestandsliste.html?userId=14003607", "Link")</f>
        <v/>
      </c>
      <c r="O1485" s="7" t="n">
        <v>45549.57672453704</v>
      </c>
      <c r="P1485" s="3" t="inlineStr">
        <is>
          <t>480.03</t>
        </is>
      </c>
      <c r="Q1485" t="inlineStr">
        <is>
          <t>Köln</t>
        </is>
      </c>
    </row>
    <row r="1486">
      <c r="A1486" t="inlineStr"/>
      <c r="B1486" t="inlineStr">
        <is>
          <t>Fanatic triwave</t>
        </is>
      </c>
      <c r="C1486" t="inlineStr"/>
      <c r="D1486" s="3" t="n">
        <v>82</v>
      </c>
      <c r="E1486" t="inlineStr"/>
      <c r="F1486" s="4" t="n">
        <v>350</v>
      </c>
      <c r="G1486" t="inlineStr">
        <is>
          <t>VB</t>
        </is>
      </c>
      <c r="H1486" t="inlineStr">
        <is>
          <t>24103 Kiel - Mitte</t>
        </is>
      </c>
      <c r="I1486" s="5" t="n">
        <v>45543</v>
      </c>
      <c r="J1486" t="inlineStr">
        <is>
          <t>Sold</t>
        </is>
      </c>
      <c r="K1486" s="6">
        <f>HYPERLINK("https://www.kleinanzeigen.de/s-anzeige/fanatic-triwave-82-l-windsurfboard/2857582844-230-710", "Link")</f>
        <v/>
      </c>
      <c r="L1486" s="6">
        <f>HYPERLINK("C:\Projects\Kleinanzeigen-Scraper\offer_images\2857582844", "Link")</f>
        <v/>
      </c>
      <c r="M1486" t="inlineStr">
        <is>
          <t>Sonja Lugowski</t>
        </is>
      </c>
      <c r="N1486" s="6">
        <f>HYPERLINK("https://www.kleinanzeigen.de/s-bestandsliste.html?userId=83263294", "Link")</f>
        <v/>
      </c>
      <c r="O1486" s="7" t="n">
        <v>45549.57672453704</v>
      </c>
      <c r="P1486" s="3" t="inlineStr">
        <is>
          <t>433.13</t>
        </is>
      </c>
      <c r="Q1486" t="inlineStr">
        <is>
          <t>Köln</t>
        </is>
      </c>
    </row>
    <row r="1487">
      <c r="A1487" t="inlineStr">
        <is>
          <t xml:space="preserve">Length:  x Width: </t>
        </is>
      </c>
      <c r="B1487" t="inlineStr">
        <is>
          <t>Tabou 3S</t>
        </is>
      </c>
      <c r="C1487" t="inlineStr">
        <is>
          <t>Freeride</t>
        </is>
      </c>
      <c r="D1487" s="3" t="n">
        <v>97</v>
      </c>
      <c r="E1487" t="inlineStr"/>
      <c r="F1487" s="4" t="n">
        <v>999</v>
      </c>
      <c r="G1487" t="inlineStr">
        <is>
          <t>VB</t>
        </is>
      </c>
      <c r="H1487" t="inlineStr">
        <is>
          <t>58452 Nordrhein-Westfalen - Witten</t>
        </is>
      </c>
      <c r="I1487" s="5" t="n">
        <v>45502</v>
      </c>
      <c r="J1487" t="inlineStr">
        <is>
          <t>Sold</t>
        </is>
      </c>
      <c r="K1487" s="6">
        <f>HYPERLINK("https://www.kleinanzeigen.de/s-anzeige/tabou-3s-carbon-neuwertig/2824467364-230-1022", "Link")</f>
        <v/>
      </c>
      <c r="L1487" s="6">
        <f>HYPERLINK("C:\Projects\Kleinanzeigen-Scraper\offer_images\2824467364", "Link")</f>
        <v/>
      </c>
      <c r="M1487" t="inlineStr">
        <is>
          <t>Bodo</t>
        </is>
      </c>
      <c r="N1487" s="6">
        <f>HYPERLINK("https://www.kleinanzeigen.de/s-bestandsliste.html?userId=85679947", "Link")</f>
        <v/>
      </c>
      <c r="O1487" s="7" t="n">
        <v>45549.57672453704</v>
      </c>
      <c r="P1487" s="3" t="inlineStr">
        <is>
          <t>59.27</t>
        </is>
      </c>
      <c r="Q1487" t="inlineStr">
        <is>
          <t>Köln</t>
        </is>
      </c>
    </row>
    <row r="1488">
      <c r="A1488" t="inlineStr"/>
      <c r="B1488" t="inlineStr">
        <is>
          <t>Severne Dyno</t>
        </is>
      </c>
      <c r="C1488" t="inlineStr"/>
      <c r="D1488" s="3" t="n">
        <v>115</v>
      </c>
      <c r="E1488" t="inlineStr"/>
      <c r="F1488" s="4" t="n">
        <v>1.35</v>
      </c>
      <c r="G1488" t="inlineStr"/>
      <c r="H1488" t="inlineStr">
        <is>
          <t>85630 Kr. München - Grasbrunn</t>
        </is>
      </c>
      <c r="I1488" s="5" t="n">
        <v>45528</v>
      </c>
      <c r="J1488" t="inlineStr"/>
      <c r="K1488" s="6">
        <f>HYPERLINK("https://www.kleinanzeigen.de/s-anzeige/severne-dyno-115-l-7-kg/2844730553-230-6184", "Link")</f>
        <v/>
      </c>
      <c r="L1488" s="6">
        <f>HYPERLINK("C:\Projects\Kleinanzeigen-Scraper\offer_images\2844730553", "Link")</f>
        <v/>
      </c>
      <c r="M1488" t="inlineStr">
        <is>
          <t>Wir</t>
        </is>
      </c>
      <c r="N1488" s="6">
        <f>HYPERLINK("https://www.kleinanzeigen.de/s-bestandsliste.html?userId=8574103", "Link")</f>
        <v/>
      </c>
      <c r="O1488" s="7" t="n">
        <v>45549.57670138889</v>
      </c>
      <c r="P1488" s="3" t="inlineStr">
        <is>
          <t>14.39</t>
        </is>
      </c>
      <c r="Q1488" t="inlineStr">
        <is>
          <t>München</t>
        </is>
      </c>
    </row>
    <row r="1489">
      <c r="A1489" t="inlineStr">
        <is>
          <t>255 cm x 61.5 cm</t>
        </is>
      </c>
      <c r="B1489" t="inlineStr">
        <is>
          <t>Mistral Naish Titan</t>
        </is>
      </c>
      <c r="C1489" t="inlineStr">
        <is>
          <t>Freeride</t>
        </is>
      </c>
      <c r="D1489" s="3" t="n">
        <v>110</v>
      </c>
      <c r="E1489" t="inlineStr"/>
      <c r="F1489" s="4" t="n">
        <v>150</v>
      </c>
      <c r="G1489" t="inlineStr"/>
      <c r="H1489" t="inlineStr">
        <is>
          <t>01445 Sachsen - Radebeul</t>
        </is>
      </c>
      <c r="I1489" s="5" t="n">
        <v>45509</v>
      </c>
      <c r="J1489" t="inlineStr"/>
      <c r="K1489" s="6">
        <f>HYPERLINK("https://www.kleinanzeigen.de/s-anzeige/mistral-naish-titan-freeride-110-liter-windsurfen-surfbrett/2830027549-230-4057", "Link")</f>
        <v/>
      </c>
      <c r="L1489" s="6">
        <f>HYPERLINK("C:\Projects\Kleinanzeigen-Scraper\offer_images\2830027549", "Link")</f>
        <v/>
      </c>
      <c r="M1489" t="inlineStr">
        <is>
          <t>Sebastian Popp</t>
        </is>
      </c>
      <c r="N1489" s="6">
        <f>HYPERLINK("https://www.kleinanzeigen.de/s-bestandsliste.html?userId=8321040", "Link")</f>
        <v/>
      </c>
      <c r="O1489" s="7" t="n">
        <v>45549.57670138889</v>
      </c>
      <c r="P1489" s="3" t="inlineStr">
        <is>
          <t>362.87</t>
        </is>
      </c>
      <c r="Q1489" t="inlineStr">
        <is>
          <t>München</t>
        </is>
      </c>
    </row>
    <row r="1490">
      <c r="A1490" t="inlineStr">
        <is>
          <t>224 x 58 cm</t>
        </is>
      </c>
      <c r="B1490" t="inlineStr">
        <is>
          <t>RRD Freestyle Wave LTD</t>
        </is>
      </c>
      <c r="C1490" t="inlineStr">
        <is>
          <t>Freestyle Wave</t>
        </is>
      </c>
      <c r="D1490" s="3" t="n">
        <v>84</v>
      </c>
      <c r="E1490" t="inlineStr">
        <is>
          <t>2021</t>
        </is>
      </c>
      <c r="F1490" s="4" t="n">
        <v>880</v>
      </c>
      <c r="G1490" t="inlineStr">
        <is>
          <t>VB</t>
        </is>
      </c>
      <c r="H1490" t="inlineStr">
        <is>
          <t>23556 Schleswig-Holstein - Lübeck</t>
        </is>
      </c>
      <c r="I1490" s="5" t="n">
        <v>45544</v>
      </c>
      <c r="J1490" t="inlineStr"/>
      <c r="K1490" s="6">
        <f>HYPERLINK("https://www.kleinanzeigen.de/s-anzeige/rrd-freestyle-wave-ltd-84-liter-surfboard/2858929758-230-413", "Link")</f>
        <v/>
      </c>
      <c r="L1490" s="6">
        <f>HYPERLINK("C:\Projects\Kleinanzeigen-Scraper\offer_images\2858929758", "Link")</f>
        <v/>
      </c>
      <c r="M1490" t="inlineStr">
        <is>
          <t>Katrin</t>
        </is>
      </c>
      <c r="N1490" s="6">
        <f>HYPERLINK("https://www.kleinanzeigen.de/s-bestandsliste.html?userId=18901980", "Link")</f>
        <v/>
      </c>
      <c r="O1490" s="7" t="n">
        <v>45549.57667824074</v>
      </c>
      <c r="P1490" s="3" t="inlineStr">
        <is>
          <t>409.59</t>
        </is>
      </c>
      <c r="Q1490" t="inlineStr">
        <is>
          <t>Köln</t>
        </is>
      </c>
    </row>
    <row r="1491">
      <c r="A1491" t="inlineStr"/>
      <c r="B1491" t="inlineStr">
        <is>
          <t>Fanatic Sky Air Premium</t>
        </is>
      </c>
      <c r="C1491" t="inlineStr"/>
      <c r="D1491" s="3" t="n">
        <v>150</v>
      </c>
      <c r="E1491" t="inlineStr"/>
      <c r="F1491" s="4" t="n">
        <v>500</v>
      </c>
      <c r="G1491" t="inlineStr">
        <is>
          <t>VB</t>
        </is>
      </c>
      <c r="H1491" t="inlineStr">
        <is>
          <t>78224 Baden-Württemberg - Singen</t>
        </is>
      </c>
      <c r="I1491" s="5" t="n">
        <v>45545</v>
      </c>
      <c r="J1491" t="inlineStr">
        <is>
          <t>Sold</t>
        </is>
      </c>
      <c r="K1491" s="6">
        <f>HYPERLINK("https://www.kleinanzeigen.de/s-anzeige/fanatic-sky-air-premium-150-l-option-wing-foil-/2859442693-230-9397", "Link")</f>
        <v/>
      </c>
      <c r="L1491" s="6">
        <f>HYPERLINK("C:\Projects\Kleinanzeigen-Scraper\offer_images\2859442693", "Link")</f>
        <v/>
      </c>
      <c r="M1491" t="inlineStr">
        <is>
          <t>Lollo</t>
        </is>
      </c>
      <c r="N1491" s="6">
        <f>HYPERLINK("https://www.kleinanzeigen.de/s-bestandsliste.html?userId=120053462", "Link")</f>
        <v/>
      </c>
      <c r="O1491" s="7" t="n">
        <v>45549.57667824074</v>
      </c>
      <c r="P1491" s="3" t="inlineStr">
        <is>
          <t>40.33</t>
        </is>
      </c>
      <c r="Q1491" t="inlineStr">
        <is>
          <t>Bonndorf</t>
        </is>
      </c>
    </row>
    <row r="1492">
      <c r="A1492" t="inlineStr">
        <is>
          <t>Dimensions not specified</t>
        </is>
      </c>
      <c r="B1492" t="inlineStr">
        <is>
          <t>Starboard Sonic</t>
        </is>
      </c>
      <c r="C1492" t="inlineStr">
        <is>
          <t>Freeride</t>
        </is>
      </c>
      <c r="D1492" s="3" t="n">
        <v>122</v>
      </c>
      <c r="E1492" t="inlineStr"/>
      <c r="F1492" s="4" t="n">
        <v>220</v>
      </c>
      <c r="G1492" t="inlineStr">
        <is>
          <t>VB</t>
        </is>
      </c>
      <c r="H1492" t="inlineStr">
        <is>
          <t>30982 Niedersachsen - Pattensen</t>
        </is>
      </c>
      <c r="I1492" s="5" t="n">
        <v>45550</v>
      </c>
      <c r="J1492" t="inlineStr">
        <is>
          <t>Sold</t>
        </is>
      </c>
      <c r="K1492" s="6">
        <f>HYPERLINK("https://www.kleinanzeigen.de/s-anzeige/surfbrett-starboard-sonic-122-l/2850361770-230-2898", "Link")</f>
        <v/>
      </c>
      <c r="L1492" s="6">
        <f>HYPERLINK("C:\Projects\Kleinanzeigen-Scraper\offer_images\2850361770", "Link")</f>
        <v/>
      </c>
      <c r="M1492" t="inlineStr">
        <is>
          <t>Schilling</t>
        </is>
      </c>
      <c r="N1492" s="6">
        <f>HYPERLINK("https://www.kleinanzeigen.de/s-bestandsliste.html?userId=14067415", "Link")</f>
        <v/>
      </c>
      <c r="O1492" s="7" t="n">
        <v>45549.57667824074</v>
      </c>
      <c r="P1492" s="3" t="inlineStr">
        <is>
          <t>241.72</t>
        </is>
      </c>
      <c r="Q1492" t="inlineStr">
        <is>
          <t>Köln</t>
        </is>
      </c>
    </row>
    <row r="1493">
      <c r="A1493" t="inlineStr">
        <is>
          <t>248 cm x 52.8 cm</t>
        </is>
      </c>
      <c r="B1493" t="inlineStr">
        <is>
          <t>JP-Australia Wave 75</t>
        </is>
      </c>
      <c r="C1493" t="inlineStr">
        <is>
          <t>Wave</t>
        </is>
      </c>
      <c r="D1493" s="3" t="n">
        <v>75</v>
      </c>
      <c r="E1493" t="inlineStr"/>
      <c r="F1493" s="4" t="n">
        <v>490</v>
      </c>
      <c r="G1493" t="inlineStr">
        <is>
          <t>VB</t>
        </is>
      </c>
      <c r="H1493" t="inlineStr">
        <is>
          <t>40822 Nordrhein-Westfalen - Mettmann</t>
        </is>
      </c>
      <c r="I1493" s="5" t="n">
        <v>45483</v>
      </c>
      <c r="J1493" t="inlineStr">
        <is>
          <t>Sold</t>
        </is>
      </c>
      <c r="K1493" s="6">
        <f>HYPERLINK("https://www.kleinanzeigen.de/s-anzeige/jp-australia-windsurf-board-wave-75-carbon-full-wood-sandwich-/2808719286-230-1522", "Link")</f>
        <v/>
      </c>
      <c r="L1493" s="6">
        <f>HYPERLINK("C:\Projects\Kleinanzeigen-Scraper\offer_images\2808719286", "Link")</f>
        <v/>
      </c>
      <c r="M1493" t="inlineStr">
        <is>
          <t>Volker</t>
        </is>
      </c>
      <c r="N1493" s="6">
        <f>HYPERLINK("https://www.kleinanzeigen.de/s-bestandsliste.html?userId=42036912", "Link")</f>
        <v/>
      </c>
      <c r="O1493" s="7" t="n">
        <v>45549.57667824074</v>
      </c>
      <c r="P1493" s="3" t="inlineStr">
        <is>
          <t>35.17</t>
        </is>
      </c>
      <c r="Q1493" t="inlineStr">
        <is>
          <t>Köln</t>
        </is>
      </c>
    </row>
    <row r="1494">
      <c r="A1494" t="inlineStr">
        <is>
          <t>237 x 81 cm</t>
        </is>
      </c>
      <c r="B1494" t="inlineStr">
        <is>
          <t>Tabou Rocket + 133 LTD</t>
        </is>
      </c>
      <c r="C1494" t="inlineStr">
        <is>
          <t>Freeride</t>
        </is>
      </c>
      <c r="D1494" s="3" t="n">
        <v>133</v>
      </c>
      <c r="E1494" t="inlineStr">
        <is>
          <t>2022</t>
        </is>
      </c>
      <c r="F1494" s="4" t="n">
        <v>795</v>
      </c>
      <c r="G1494" t="inlineStr"/>
      <c r="H1494" t="inlineStr">
        <is>
          <t>23775 Kreis Ostholstein - Großenbrode</t>
        </is>
      </c>
      <c r="I1494" s="5" t="n">
        <v>45548</v>
      </c>
      <c r="J1494" t="inlineStr">
        <is>
          <t>Sold</t>
        </is>
      </c>
      <c r="K1494" s="6">
        <f>HYPERLINK("https://www.kleinanzeigen.de/s-anzeige/tabou-rocket-133-ltd-top-zustand-/2862470909-230-429", "Link")</f>
        <v/>
      </c>
      <c r="L1494" s="6">
        <f>HYPERLINK("C:\Projects\Kleinanzeigen-Scraper\offer_images\2862470909", "Link")</f>
        <v/>
      </c>
      <c r="M1494" t="inlineStr">
        <is>
          <t>heiligenhafen</t>
        </is>
      </c>
      <c r="N1494" s="6">
        <f>HYPERLINK("https://www.kleinanzeigen.de/s-bestandsliste.html?userId=21083285", "Link")</f>
        <v/>
      </c>
      <c r="O1494" s="7" t="n">
        <v>45549.57667824074</v>
      </c>
      <c r="P1494" s="3" t="inlineStr">
        <is>
          <t>471.97</t>
        </is>
      </c>
      <c r="Q1494" t="inlineStr">
        <is>
          <t>Köln</t>
        </is>
      </c>
    </row>
    <row r="1495">
      <c r="A1495" t="inlineStr">
        <is>
          <t>12'6 x 30</t>
        </is>
      </c>
      <c r="B1495" t="inlineStr">
        <is>
          <t>Starboard Touring</t>
        </is>
      </c>
      <c r="C1495" t="inlineStr">
        <is>
          <t>SUP/Windsurf</t>
        </is>
      </c>
      <c r="D1495" s="3" t="n">
        <v>355</v>
      </c>
      <c r="E1495" t="inlineStr"/>
      <c r="F1495" s="4" t="n">
        <v>599</v>
      </c>
      <c r="G1495" t="inlineStr"/>
      <c r="H1495" t="inlineStr">
        <is>
          <t>23845 Schleswig-Holstein - Bühnsdorf</t>
        </is>
      </c>
      <c r="I1495" s="5" t="n">
        <v>45535</v>
      </c>
      <c r="J1495" t="inlineStr"/>
      <c r="K1495" s="6">
        <f>HYPERLINK("https://www.kleinanzeigen.de/s-anzeige/starboard-windsurfing-sup-touring-12-6-x-30-6-355-l-/2850631569-230-19805", "Link")</f>
        <v/>
      </c>
      <c r="L1495" s="6">
        <f>HYPERLINK("C:\Projects\Kleinanzeigen-Scraper\offer_images\2850631569", "Link")</f>
        <v/>
      </c>
      <c r="M1495" t="inlineStr">
        <is>
          <t>Karsten Jahnke</t>
        </is>
      </c>
      <c r="N1495" s="6">
        <f>HYPERLINK("https://www.kleinanzeigen.de/s-bestandsliste.html?userId=49629807", "Link")</f>
        <v/>
      </c>
      <c r="O1495" s="7" t="n">
        <v>45549.57665509259</v>
      </c>
      <c r="P1495" s="3" t="inlineStr">
        <is>
          <t>389.72</t>
        </is>
      </c>
      <c r="Q1495" t="inlineStr">
        <is>
          <t>Köln</t>
        </is>
      </c>
    </row>
    <row r="1496">
      <c r="A1496" t="inlineStr"/>
      <c r="B1496" t="inlineStr"/>
      <c r="C1496" t="inlineStr"/>
      <c r="D1496" s="3" t="inlineStr"/>
      <c r="E1496" t="inlineStr"/>
      <c r="F1496" s="4" t="inlineStr">
        <is>
          <t>No price</t>
        </is>
      </c>
      <c r="G1496" t="inlineStr"/>
      <c r="H1496" t="inlineStr">
        <is>
          <t>82211 Bayern - Herrsching</t>
        </is>
      </c>
      <c r="I1496" s="5" t="n">
        <v>45548</v>
      </c>
      <c r="J1496" t="inlineStr">
        <is>
          <t>Sold</t>
        </is>
      </c>
      <c r="K1496" s="6">
        <f>HYPERLINK("https://www.kleinanzeigen.de/s-anzeige/windsurf-bretter-boards-oder-als-sup-verwendbar-zu-verschenken/2862411079-192-5520", "Link")</f>
        <v/>
      </c>
      <c r="L1496" s="6">
        <f>HYPERLINK("C:\Projects\Kleinanzeigen-Scraper\offer_images\2862411079", "Link")</f>
        <v/>
      </c>
      <c r="M1496" t="inlineStr">
        <is>
          <t>Paul</t>
        </is>
      </c>
      <c r="N1496" s="6">
        <f>HYPERLINK("https://www.kleinanzeigen.de/s-bestandsliste.html?userId=3420269", "Link")</f>
        <v/>
      </c>
      <c r="O1496" s="7" t="n">
        <v>45549.57665509259</v>
      </c>
      <c r="P1496" s="3" t="inlineStr">
        <is>
          <t>32.73</t>
        </is>
      </c>
      <c r="Q1496" t="inlineStr">
        <is>
          <t>München</t>
        </is>
      </c>
    </row>
    <row r="1497">
      <c r="A1497" t="inlineStr">
        <is>
          <t>73</t>
        </is>
      </c>
      <c r="B1497" t="inlineStr">
        <is>
          <t>Tabou DaCurve</t>
        </is>
      </c>
      <c r="C1497" t="inlineStr">
        <is>
          <t>Wave</t>
        </is>
      </c>
      <c r="D1497" s="3" t="inlineStr"/>
      <c r="E1497" t="inlineStr"/>
      <c r="F1497" s="4" t="n">
        <v>159</v>
      </c>
      <c r="G1497" t="inlineStr"/>
      <c r="H1497" t="inlineStr">
        <is>
          <t>48145 Münster (Westfalen) - Centrum</t>
        </is>
      </c>
      <c r="I1497" s="5" t="n">
        <v>45396</v>
      </c>
      <c r="J1497" t="inlineStr"/>
      <c r="K1497" s="6">
        <f>HYPERLINK("https://www.kleinanzeigen.de/s-anzeige/tabou-dacurve-73-wave-board-windsurf/2734843958-230-932", "Link")</f>
        <v/>
      </c>
      <c r="L1497" s="6">
        <f>HYPERLINK("C:\Projects\Kleinanzeigen-Scraper\offer_images\2734843958", "Link")</f>
        <v/>
      </c>
      <c r="M1497" t="inlineStr">
        <is>
          <t>Sven</t>
        </is>
      </c>
      <c r="N1497" s="6">
        <f>HYPERLINK("https://www.kleinanzeigen.de/s-bestandsliste.html?userId=13580459", "Link")</f>
        <v/>
      </c>
      <c r="O1497" s="7" t="n">
        <v>45549.57663194444</v>
      </c>
      <c r="P1497" s="3" t="inlineStr">
        <is>
          <t>124.19</t>
        </is>
      </c>
      <c r="Q1497" t="inlineStr">
        <is>
          <t>Köln</t>
        </is>
      </c>
    </row>
    <row r="1498">
      <c r="A1498" t="inlineStr">
        <is>
          <t>14x26</t>
        </is>
      </c>
      <c r="B1498" t="inlineStr">
        <is>
          <t>Fanatic Blitz</t>
        </is>
      </c>
      <c r="C1498" t="inlineStr">
        <is>
          <t>Allwater</t>
        </is>
      </c>
      <c r="D1498" s="3" t="inlineStr"/>
      <c r="E1498" t="inlineStr">
        <is>
          <t>3.5 years old</t>
        </is>
      </c>
      <c r="F1498" s="4" t="n">
        <v>850</v>
      </c>
      <c r="G1498" t="inlineStr">
        <is>
          <t>VB</t>
        </is>
      </c>
      <c r="H1498" t="inlineStr">
        <is>
          <t>86438 Bayern - Kissing</t>
        </is>
      </c>
      <c r="I1498" s="5" t="n">
        <v>45505</v>
      </c>
      <c r="J1498" t="inlineStr">
        <is>
          <t>Sold</t>
        </is>
      </c>
      <c r="K1498" s="6">
        <f>HYPERLINK("https://www.kleinanzeigen.de/s-anzeige/fanatic-blitz-carbon-14x26-allwater-standuppaddling-hardboard-sup/2826328837-230-7144", "Link")</f>
        <v/>
      </c>
      <c r="L1498" s="6">
        <f>HYPERLINK("C:\Projects\Kleinanzeigen-Scraper\offer_images\2826328837", "Link")</f>
        <v/>
      </c>
      <c r="M1498" t="inlineStr">
        <is>
          <t>Thomas Hanel</t>
        </is>
      </c>
      <c r="N1498" s="6">
        <f>HYPERLINK("https://www.kleinanzeigen.de/s-bestandsliste.html?userId=32708746", "Link")</f>
        <v/>
      </c>
      <c r="O1498" s="7" t="n">
        <v>45549.57663194444</v>
      </c>
      <c r="P1498" s="3" t="inlineStr">
        <is>
          <t>48.30</t>
        </is>
      </c>
      <c r="Q1498" t="inlineStr">
        <is>
          <t>München</t>
        </is>
      </c>
    </row>
    <row r="1499">
      <c r="A1499" t="inlineStr">
        <is>
          <t>244.7 x 64 cm</t>
        </is>
      </c>
      <c r="B1499" t="inlineStr">
        <is>
          <t>Tabou Rocket</t>
        </is>
      </c>
      <c r="C1499" t="inlineStr">
        <is>
          <t>Freeride</t>
        </is>
      </c>
      <c r="D1499" s="3" t="n">
        <v>115</v>
      </c>
      <c r="E1499" t="inlineStr"/>
      <c r="F1499" s="4" t="n">
        <v>350</v>
      </c>
      <c r="G1499" t="inlineStr">
        <is>
          <t>VB</t>
        </is>
      </c>
      <c r="H1499" t="inlineStr">
        <is>
          <t>86368 Bayern - Gersthofen</t>
        </is>
      </c>
      <c r="I1499" s="5" t="n">
        <v>45528</v>
      </c>
      <c r="J1499" t="inlineStr"/>
      <c r="K1499" s="6">
        <f>HYPERLINK("https://www.kleinanzeigen.de/s-anzeige/tabou-rocket-115-l/2844793296-230-7042", "Link")</f>
        <v/>
      </c>
      <c r="L1499" s="6">
        <f>HYPERLINK("C:\Projects\Kleinanzeigen-Scraper\offer_images\2844793296", "Link")</f>
        <v/>
      </c>
      <c r="M1499" t="inlineStr">
        <is>
          <t>Andrejas</t>
        </is>
      </c>
      <c r="N1499" s="6">
        <f>HYPERLINK("https://www.kleinanzeigen.de/s-bestandsliste.html?userId=133145324", "Link")</f>
        <v/>
      </c>
      <c r="O1499" s="7" t="n">
        <v>45549.57663194444</v>
      </c>
      <c r="P1499" s="3" t="inlineStr">
        <is>
          <t>64.62</t>
        </is>
      </c>
      <c r="Q1499" t="inlineStr">
        <is>
          <t>München</t>
        </is>
      </c>
    </row>
    <row r="1500">
      <c r="A1500" t="inlineStr"/>
      <c r="B1500" t="inlineStr">
        <is>
          <t>Tabou Twister</t>
        </is>
      </c>
      <c r="C1500" t="inlineStr">
        <is>
          <t>Freestyle</t>
        </is>
      </c>
      <c r="D1500" s="3" t="n">
        <v>90</v>
      </c>
      <c r="E1500" t="inlineStr">
        <is>
          <t>2014</t>
        </is>
      </c>
      <c r="F1500" s="4" t="n">
        <v>50</v>
      </c>
      <c r="G1500" t="inlineStr"/>
      <c r="H1500" t="inlineStr">
        <is>
          <t>24143 Kiel - Gaarden</t>
        </is>
      </c>
      <c r="I1500" s="5" t="n">
        <v>45208</v>
      </c>
      <c r="J1500" t="inlineStr"/>
      <c r="K1500" s="6">
        <f>HYPERLINK("https://www.kleinanzeigen.de/s-anzeige/tabou-twister-90l-von-2014/2567993183-230-702", "Link")</f>
        <v/>
      </c>
      <c r="L1500" s="6">
        <f>HYPERLINK("C:\Projects\Kleinanzeigen-Scraper\offer_images\2567993183", "Link")</f>
        <v/>
      </c>
      <c r="M1500" t="inlineStr">
        <is>
          <t>Johannes Loser</t>
        </is>
      </c>
      <c r="N1500" s="6">
        <f>HYPERLINK("https://www.kleinanzeigen.de/s-bestandsliste.html?userId=64053170", "Link")</f>
        <v/>
      </c>
      <c r="O1500" s="7" t="n">
        <v>45549.57663194444</v>
      </c>
      <c r="P1500" s="3" t="inlineStr">
        <is>
          <t>432.09</t>
        </is>
      </c>
      <c r="Q1500" t="inlineStr">
        <is>
          <t>Köln</t>
        </is>
      </c>
    </row>
    <row r="1501">
      <c r="A1501" t="inlineStr"/>
      <c r="B1501" t="inlineStr">
        <is>
          <t>JP Australia Twinser</t>
        </is>
      </c>
      <c r="C1501" t="inlineStr">
        <is>
          <t>Quad</t>
        </is>
      </c>
      <c r="D1501" s="3" t="n">
        <v>82</v>
      </c>
      <c r="E1501" t="inlineStr"/>
      <c r="F1501" s="4" t="n">
        <v>300</v>
      </c>
      <c r="G1501" t="inlineStr"/>
      <c r="H1501" t="inlineStr">
        <is>
          <t>48147 Münster (Westfalen) - Wienburg</t>
        </is>
      </c>
      <c r="I1501" s="5" t="n">
        <v>45377</v>
      </c>
      <c r="J1501" t="inlineStr">
        <is>
          <t>Sold</t>
        </is>
      </c>
      <c r="K1501" s="6">
        <f>HYPERLINK("https://www.kleinanzeigen.de/s-anzeige/jp-australia-twinser-quad-82l-windsurf-brett/2718067413-230-24217", "Link")</f>
        <v/>
      </c>
      <c r="L1501" s="6">
        <f>HYPERLINK("C:\Projects\Kleinanzeigen-Scraper\offer_images\2718067413", "Link")</f>
        <v/>
      </c>
      <c r="M1501" t="inlineStr">
        <is>
          <t>Pia Köhler</t>
        </is>
      </c>
      <c r="N1501" s="6">
        <f>HYPERLINK("https://www.kleinanzeigen.de/s-bestandsliste.html?userId=56431850", "Link")</f>
        <v/>
      </c>
      <c r="O1501" s="7" t="n">
        <v>45549.5766087963</v>
      </c>
      <c r="P1501" s="3" t="inlineStr">
        <is>
          <t>124.93</t>
        </is>
      </c>
      <c r="Q1501" t="inlineStr">
        <is>
          <t>Köln</t>
        </is>
      </c>
    </row>
    <row r="1502">
      <c r="A1502" t="inlineStr">
        <is>
          <t>242cm x 62cm</t>
        </is>
      </c>
      <c r="B1502" t="inlineStr">
        <is>
          <t>RRD FreeStyleWave</t>
        </is>
      </c>
      <c r="C1502" t="inlineStr">
        <is>
          <t>FreestyleWave</t>
        </is>
      </c>
      <c r="D1502" s="3" t="n">
        <v>111</v>
      </c>
      <c r="E1502" t="inlineStr"/>
      <c r="F1502" s="4" t="n">
        <v>350</v>
      </c>
      <c r="G1502" t="inlineStr"/>
      <c r="H1502" t="inlineStr">
        <is>
          <t>81369 München - Sendling</t>
        </is>
      </c>
      <c r="I1502" s="5" t="n">
        <v>45536</v>
      </c>
      <c r="J1502" t="inlineStr"/>
      <c r="K1502" s="6">
        <f>HYPERLINK("https://www.kleinanzeigen.de/s-anzeige/windsurfbrett-rrd-freestylewave-111l-vollcarbon/2851234403-230-16382", "Link")</f>
        <v/>
      </c>
      <c r="L1502" s="6">
        <f>HYPERLINK("C:\Projects\Kleinanzeigen-Scraper\offer_images\2851234403", "Link")</f>
        <v/>
      </c>
      <c r="M1502" t="inlineStr">
        <is>
          <t>Moritz von Unold</t>
        </is>
      </c>
      <c r="N1502" s="6">
        <f>HYPERLINK("https://www.kleinanzeigen.de/s-bestandsliste.html?userId=24552406", "Link")</f>
        <v/>
      </c>
      <c r="O1502" s="7" t="n">
        <v>45549.57658564814</v>
      </c>
      <c r="P1502" s="3" t="inlineStr">
        <is>
          <t>4.53</t>
        </is>
      </c>
      <c r="Q1502" t="inlineStr">
        <is>
          <t>München</t>
        </is>
      </c>
    </row>
    <row r="1503">
      <c r="A1503" t="inlineStr">
        <is>
          <t>238 cm x 74 cm</t>
        </is>
      </c>
      <c r="B1503" t="inlineStr">
        <is>
          <t>RRD Freemove</t>
        </is>
      </c>
      <c r="C1503" t="inlineStr">
        <is>
          <t>Freemove</t>
        </is>
      </c>
      <c r="D1503" s="3" t="n">
        <v>112</v>
      </c>
      <c r="E1503" t="inlineStr"/>
      <c r="F1503" s="4" t="n">
        <v>575</v>
      </c>
      <c r="G1503" t="inlineStr">
        <is>
          <t>VB</t>
        </is>
      </c>
      <c r="H1503" t="inlineStr">
        <is>
          <t>82110 Bayern - Germering</t>
        </is>
      </c>
      <c r="I1503" s="5" t="n">
        <v>45401</v>
      </c>
      <c r="J1503" t="inlineStr"/>
      <c r="K1503" s="6">
        <f>HYPERLINK("https://www.kleinanzeigen.de/s-anzeige/surfbrett-rrd-freemove-112l-e-tech/2739299441-230-6326", "Link")</f>
        <v/>
      </c>
      <c r="L1503" s="6">
        <f>HYPERLINK("C:\Projects\Kleinanzeigen-Scraper\offer_images\2739299441", "Link")</f>
        <v/>
      </c>
      <c r="M1503" t="inlineStr">
        <is>
          <t>Sunset-64</t>
        </is>
      </c>
      <c r="N1503" s="6">
        <f>HYPERLINK("https://www.kleinanzeigen.de/s-bestandsliste.html?userId=140081780", "Link")</f>
        <v/>
      </c>
      <c r="O1503" s="7" t="n">
        <v>45549.57657407408</v>
      </c>
      <c r="P1503" s="3" t="inlineStr">
        <is>
          <t>16.13</t>
        </is>
      </c>
      <c r="Q1503" t="inlineStr">
        <is>
          <t>München</t>
        </is>
      </c>
    </row>
    <row r="1504">
      <c r="A1504" t="inlineStr">
        <is>
          <t>Dimensions not specified</t>
        </is>
      </c>
      <c r="B1504" t="inlineStr">
        <is>
          <t>Fanatic Cross</t>
        </is>
      </c>
      <c r="C1504" t="inlineStr">
        <is>
          <t>Crossover</t>
        </is>
      </c>
      <c r="D1504" s="3" t="n">
        <v>110</v>
      </c>
      <c r="E1504" t="inlineStr"/>
      <c r="F1504" s="4" t="n">
        <v>70</v>
      </c>
      <c r="G1504" t="inlineStr">
        <is>
          <t>VB</t>
        </is>
      </c>
      <c r="H1504" t="inlineStr">
        <is>
          <t>31515 Niedersachsen - Wunstorf</t>
        </is>
      </c>
      <c r="I1504" s="5" t="n">
        <v>45541</v>
      </c>
      <c r="J1504" t="inlineStr">
        <is>
          <t>Sold</t>
        </is>
      </c>
      <c r="K1504" s="6">
        <f>HYPERLINK("https://www.kleinanzeigen.de/s-anzeige/fanatic-cross-110-windsurfboard/2855405107-230-2930", "Link")</f>
        <v/>
      </c>
      <c r="L1504" s="6">
        <f>HYPERLINK("C:\Projects\Kleinanzeigen-Scraper\offer_images\2855405107", "Link")</f>
        <v/>
      </c>
      <c r="M1504" t="inlineStr">
        <is>
          <t>Nina Günther</t>
        </is>
      </c>
      <c r="N1504" s="6">
        <f>HYPERLINK("https://www.kleinanzeigen.de/s-bestandsliste.html?userId=59560345", "Link")</f>
        <v/>
      </c>
      <c r="O1504" s="7" t="n">
        <v>45549.57657407408</v>
      </c>
      <c r="P1504" s="3" t="inlineStr">
        <is>
          <t>236.47</t>
        </is>
      </c>
      <c r="Q1504" t="inlineStr">
        <is>
          <t>Köln</t>
        </is>
      </c>
    </row>
    <row r="1505">
      <c r="A1505" t="inlineStr"/>
      <c r="B1505" t="inlineStr">
        <is>
          <t>Naish Galaxy</t>
        </is>
      </c>
      <c r="C1505" t="inlineStr"/>
      <c r="D1505" s="3" t="n">
        <v>125</v>
      </c>
      <c r="E1505" t="inlineStr"/>
      <c r="F1505" s="4" t="n">
        <v>1.1</v>
      </c>
      <c r="G1505" t="inlineStr"/>
      <c r="H1505" t="inlineStr">
        <is>
          <t>71332 Baden-Württemberg - Waiblingen</t>
        </is>
      </c>
      <c r="I1505" s="5" t="n">
        <v>45495</v>
      </c>
      <c r="J1505" t="inlineStr">
        <is>
          <t>Sold</t>
        </is>
      </c>
      <c r="K1505" s="6">
        <f>HYPERLINK("https://www.kleinanzeigen.de/s-anzeige/naish-galaxy-s-glass-sandwich-125l-neuwertig-mit-boardbag/2818779751-230-9044", "Link")</f>
        <v/>
      </c>
      <c r="L1505" s="6">
        <f>HYPERLINK("C:\Projects\Kleinanzeigen-Scraper\offer_images\2818779751", "Link")</f>
        <v/>
      </c>
      <c r="M1505" t="inlineStr">
        <is>
          <t>RT</t>
        </is>
      </c>
      <c r="N1505" s="6">
        <f>HYPERLINK("https://www.kleinanzeigen.de/s-bestandsliste.html?userId=65028784", "Link")</f>
        <v/>
      </c>
      <c r="O1505" s="7" t="n">
        <v>45549.57657407408</v>
      </c>
      <c r="P1505" s="3" t="inlineStr">
        <is>
          <t>29.10</t>
        </is>
      </c>
      <c r="Q1505" t="inlineStr">
        <is>
          <t>Böblingen</t>
        </is>
      </c>
    </row>
    <row r="1506">
      <c r="A1506" t="inlineStr"/>
      <c r="B1506" t="inlineStr">
        <is>
          <t>North Charge</t>
        </is>
      </c>
      <c r="C1506" t="inlineStr">
        <is>
          <t>Wave</t>
        </is>
      </c>
      <c r="D1506" s="3" t="inlineStr"/>
      <c r="E1506" t="inlineStr">
        <is>
          <t>2023</t>
        </is>
      </c>
      <c r="F1506" s="4" t="n">
        <v>735</v>
      </c>
      <c r="G1506" t="inlineStr"/>
      <c r="H1506" t="inlineStr">
        <is>
          <t>22457 Eimsbüttel - Hamburg Schnelsen</t>
        </is>
      </c>
      <c r="I1506" s="5" t="n">
        <v>45537</v>
      </c>
      <c r="J1506" t="inlineStr">
        <is>
          <t>Sold</t>
        </is>
      </c>
      <c r="K1506" s="6">
        <f>HYPERLINK("https://www.kleinanzeigen.de/s-anzeige/north-charge-2023-kiteboard-waveboard-kitesurfen/2779630299-230-9492", "Link")</f>
        <v/>
      </c>
      <c r="L1506" s="6">
        <f>HYPERLINK("C:\Projects\Kleinanzeigen-Scraper\offer_images\2779630299", "Link")</f>
        <v/>
      </c>
      <c r="M1506" t="inlineStr">
        <is>
          <t>No user name</t>
        </is>
      </c>
      <c r="N1506" s="6">
        <f>HYPERLINK("https://www.kleinanzeigen.deNo user link", "Link")</f>
        <v/>
      </c>
      <c r="O1506" s="7" t="n">
        <v>45549.57652777778</v>
      </c>
      <c r="P1506" s="3" t="inlineStr">
        <is>
          <t>362.41</t>
        </is>
      </c>
      <c r="Q1506" t="inlineStr">
        <is>
          <t>Köln</t>
        </is>
      </c>
    </row>
    <row r="1507">
      <c r="A1507" t="inlineStr"/>
      <c r="B1507" t="inlineStr">
        <is>
          <t>Starboard Carve</t>
        </is>
      </c>
      <c r="C1507" t="inlineStr">
        <is>
          <t>Freeride</t>
        </is>
      </c>
      <c r="D1507" s="3" t="n">
        <v>135</v>
      </c>
      <c r="E1507" t="inlineStr">
        <is>
          <t>2021</t>
        </is>
      </c>
      <c r="F1507" s="4" t="n">
        <v>900</v>
      </c>
      <c r="G1507" t="inlineStr">
        <is>
          <t>VB</t>
        </is>
      </c>
      <c r="H1507" t="inlineStr">
        <is>
          <t>12157 Berlin - Schöneberg</t>
        </is>
      </c>
      <c r="I1507" s="5" t="n">
        <v>45523</v>
      </c>
      <c r="J1507" t="inlineStr"/>
      <c r="K1507" s="6">
        <f>HYPERLINK("https://www.kleinanzeigen.de/s-anzeige/windsurfboard-starboard-carve-2021-135l/2841204303-230-9648", "Link")</f>
        <v/>
      </c>
      <c r="L1507" s="6">
        <f>HYPERLINK("C:\Projects\Kleinanzeigen-Scraper\offer_images\2841204303", "Link")</f>
        <v/>
      </c>
      <c r="M1507" t="inlineStr">
        <is>
          <t>Michael Zetzmann</t>
        </is>
      </c>
      <c r="N1507" s="6">
        <f>HYPERLINK("https://www.kleinanzeigen.de/s-bestandsliste.html?userId=33302737", "Link")</f>
        <v/>
      </c>
      <c r="O1507" s="7" t="n">
        <v>45549.57652777778</v>
      </c>
      <c r="P1507" s="3" t="inlineStr">
        <is>
          <t>471.82</t>
        </is>
      </c>
      <c r="Q1507" t="inlineStr">
        <is>
          <t>Köln</t>
        </is>
      </c>
    </row>
    <row r="1508">
      <c r="A1508" t="inlineStr">
        <is>
          <t>5'5"</t>
        </is>
      </c>
      <c r="B1508" t="inlineStr">
        <is>
          <t>Duotone Whip SLS</t>
        </is>
      </c>
      <c r="C1508" t="inlineStr">
        <is>
          <t>Wave</t>
        </is>
      </c>
      <c r="D1508" s="3" t="inlineStr"/>
      <c r="E1508" t="inlineStr">
        <is>
          <t>2022</t>
        </is>
      </c>
      <c r="F1508" s="4" t="n">
        <v>589</v>
      </c>
      <c r="G1508" t="inlineStr">
        <is>
          <t>VB</t>
        </is>
      </c>
      <c r="H1508" t="inlineStr">
        <is>
          <t>20259 Eimsbüttel - Hamburg Eimsbüttel (Stadtteil)</t>
        </is>
      </c>
      <c r="I1508" s="5" t="n">
        <v>45546</v>
      </c>
      <c r="J1508" t="inlineStr">
        <is>
          <t>Sold</t>
        </is>
      </c>
      <c r="K1508" s="6">
        <f>HYPERLINK("https://www.kleinanzeigen.de/s-anzeige/duotone-whip-sls-5-5-sehr-guter-zustand-wellenreiter/2860267340-230-9427", "Link")</f>
        <v/>
      </c>
      <c r="L1508" s="6">
        <f>HYPERLINK("C:\Projects\Kleinanzeigen-Scraper\offer_images\2860267340", "Link")</f>
        <v/>
      </c>
      <c r="M1508" t="inlineStr">
        <is>
          <t>Christian</t>
        </is>
      </c>
      <c r="N1508" s="6">
        <f>HYPERLINK("https://www.kleinanzeigen.de/s-bestandsliste.html?userId=5235719", "Link")</f>
        <v/>
      </c>
      <c r="O1508" s="7" t="n">
        <v>45549.57652777778</v>
      </c>
      <c r="P1508" s="3" t="inlineStr">
        <is>
          <t>356.92</t>
        </is>
      </c>
      <c r="Q1508" t="inlineStr">
        <is>
          <t>Köln</t>
        </is>
      </c>
    </row>
    <row r="1509">
      <c r="A1509" t="inlineStr">
        <is>
          <t>76</t>
        </is>
      </c>
      <c r="B1509" t="inlineStr">
        <is>
          <t>Tabou</t>
        </is>
      </c>
      <c r="C1509" t="inlineStr">
        <is>
          <t>Wave</t>
        </is>
      </c>
      <c r="D1509" s="3" t="inlineStr"/>
      <c r="E1509" t="inlineStr"/>
      <c r="F1509" s="4" t="n">
        <v>400</v>
      </c>
      <c r="G1509" t="inlineStr">
        <is>
          <t>VB</t>
        </is>
      </c>
      <c r="H1509" t="inlineStr">
        <is>
          <t>87527 Bayern - Sonthofen</t>
        </is>
      </c>
      <c r="I1509" s="5" t="n">
        <v>45395</v>
      </c>
      <c r="J1509" t="inlineStr"/>
      <c r="K1509" s="6">
        <f>HYPERLINK("https://www.kleinanzeigen.de/s-anzeige/tabou-waveboard-76-mit-boardbag/2733958022-230-5537", "Link")</f>
        <v/>
      </c>
      <c r="L1509" s="6">
        <f>HYPERLINK("C:\Projects\Kleinanzeigen-Scraper\offer_images\2733958022", "Link")</f>
        <v/>
      </c>
      <c r="M1509" t="inlineStr">
        <is>
          <t>Christian</t>
        </is>
      </c>
      <c r="N1509" s="6">
        <f>HYPERLINK("https://www.kleinanzeigen.de/s-bestandsliste.html?userId=13709341", "Link")</f>
        <v/>
      </c>
      <c r="O1509" s="7" t="n">
        <v>45549.57651620371</v>
      </c>
      <c r="P1509" s="3" t="inlineStr">
        <is>
          <t>118.69</t>
        </is>
      </c>
      <c r="Q1509" t="inlineStr">
        <is>
          <t>München</t>
        </is>
      </c>
    </row>
    <row r="1510">
      <c r="A1510" t="inlineStr">
        <is>
          <t>3'2" (97cm), 3'8" (112cm), 4'2" (127cm), 4'8" (142cm)</t>
        </is>
      </c>
      <c r="B1510" t="inlineStr">
        <is>
          <t>Naish Kite Foil Hover Custom</t>
        </is>
      </c>
      <c r="C1510" t="inlineStr">
        <is>
          <t>Foil</t>
        </is>
      </c>
      <c r="D1510" s="3" t="inlineStr">
        <is>
          <t>9.5, 12, 14, 16</t>
        </is>
      </c>
      <c r="E1510" t="inlineStr">
        <is>
          <t>S26</t>
        </is>
      </c>
      <c r="F1510" s="4" t="n">
        <v>1.049</v>
      </c>
      <c r="G1510" t="inlineStr"/>
      <c r="H1510" t="inlineStr">
        <is>
          <t>18586 Mecklenburg-Vorpommern - Mönchgut, Ostseebad</t>
        </is>
      </c>
      <c r="I1510" s="5" t="n">
        <v>45542</v>
      </c>
      <c r="J1510" t="inlineStr">
        <is>
          <t>Sold</t>
        </is>
      </c>
      <c r="K1510" s="6">
        <f>HYPERLINK("https://www.kleinanzeigen.de/s-anzeige/naish-s26-kite-foil-hover-custom-test-ab-mai-auf-ruegen/2028519103-230-120", "Link")</f>
        <v/>
      </c>
      <c r="L1510" s="6">
        <f>HYPERLINK("C:\Projects\Kleinanzeigen-Scraper\offer_images\2028519103", "Link")</f>
        <v/>
      </c>
      <c r="M1510" t="inlineStr">
        <is>
          <t>No user name</t>
        </is>
      </c>
      <c r="N1510" s="6">
        <f>HYPERLINK("https://www.kleinanzeigen.deNo user link", "Link")</f>
        <v/>
      </c>
      <c r="O1510" s="7" t="n">
        <v>45549.57651620371</v>
      </c>
      <c r="P1510" s="3" t="inlineStr">
        <is>
          <t>591.22</t>
        </is>
      </c>
      <c r="Q1510" t="inlineStr">
        <is>
          <t>Köln</t>
        </is>
      </c>
    </row>
    <row r="1511">
      <c r="A1511" t="inlineStr">
        <is>
          <t>143 x 61 cm</t>
        </is>
      </c>
      <c r="B1511" t="inlineStr">
        <is>
          <t>Tabou Pocket Air</t>
        </is>
      </c>
      <c r="C1511" t="inlineStr">
        <is>
          <t>Wingfoil</t>
        </is>
      </c>
      <c r="D1511" s="3" t="n">
        <v>77</v>
      </c>
      <c r="E1511" t="inlineStr">
        <is>
          <t>2024</t>
        </is>
      </c>
      <c r="F1511" s="4" t="n">
        <v>597</v>
      </c>
      <c r="G1511" t="inlineStr">
        <is>
          <t>VB</t>
        </is>
      </c>
      <c r="H1511" t="inlineStr">
        <is>
          <t>76767 Rheinland-Pfalz - Hagenbach</t>
        </is>
      </c>
      <c r="I1511" s="5" t="n">
        <v>45491</v>
      </c>
      <c r="J1511" t="inlineStr">
        <is>
          <t>Sold</t>
        </is>
      </c>
      <c r="K1511" s="6">
        <f>HYPERLINK("https://www.kleinanzeigen.de/s-anzeige/wingfoil-board-tabou-pocket-air-77-aus-2024-wie-neu-/2815107183-230-18408", "Link")</f>
        <v/>
      </c>
      <c r="L1511" s="6">
        <f>HYPERLINK("C:\Projects\Kleinanzeigen-Scraper\offer_images\2815107183", "Link")</f>
        <v/>
      </c>
      <c r="M1511" t="inlineStr">
        <is>
          <t>Hilmar</t>
        </is>
      </c>
      <c r="N1511" s="6">
        <f>HYPERLINK("https://www.kleinanzeigen.de/s-bestandsliste.html?userId=22388239", "Link")</f>
        <v/>
      </c>
      <c r="O1511" s="7" t="n">
        <v>45549.57650462963</v>
      </c>
      <c r="P1511" s="3" t="inlineStr">
        <is>
          <t>10.31</t>
        </is>
      </c>
      <c r="Q1511" t="inlineStr">
        <is>
          <t>Karlsruhe</t>
        </is>
      </c>
    </row>
    <row r="1512">
      <c r="A1512" t="inlineStr">
        <is>
          <t>240x60</t>
        </is>
      </c>
      <c r="B1512" t="inlineStr">
        <is>
          <t>RRD Freestyle Wave</t>
        </is>
      </c>
      <c r="C1512" t="inlineStr">
        <is>
          <t>Freestyle Wave</t>
        </is>
      </c>
      <c r="D1512" s="3" t="n">
        <v>96</v>
      </c>
      <c r="E1512" t="inlineStr"/>
      <c r="F1512" s="4" t="n">
        <v>320</v>
      </c>
      <c r="G1512" t="inlineStr">
        <is>
          <t>VB</t>
        </is>
      </c>
      <c r="H1512" t="inlineStr">
        <is>
          <t>41372 Nordrhein-Westfalen - Niederkrüchten</t>
        </is>
      </c>
      <c r="I1512" s="5" t="n">
        <v>45507</v>
      </c>
      <c r="J1512" t="inlineStr">
        <is>
          <t>Sold</t>
        </is>
      </c>
      <c r="K1512" s="6">
        <f>HYPERLINK("https://www.kleinanzeigen.de/s-anzeige/rrd-freestyle-wave-96l/2827596985-230-1184", "Link")</f>
        <v/>
      </c>
      <c r="L1512" s="6">
        <f>HYPERLINK("C:\Projects\Kleinanzeigen-Scraper\offer_images\2827596985", "Link")</f>
        <v/>
      </c>
      <c r="M1512" t="inlineStr">
        <is>
          <t>Van der Weyden</t>
        </is>
      </c>
      <c r="N1512" s="6">
        <f>HYPERLINK("https://www.kleinanzeigen.de/s-bestandsliste.html?userId=25268540", "Link")</f>
        <v/>
      </c>
      <c r="O1512" s="7" t="n">
        <v>45549.57650462963</v>
      </c>
      <c r="P1512" s="3" t="inlineStr">
        <is>
          <t>63.76</t>
        </is>
      </c>
      <c r="Q1512" t="inlineStr">
        <is>
          <t>Köln</t>
        </is>
      </c>
    </row>
    <row r="1513">
      <c r="A1513" t="inlineStr">
        <is>
          <t>177.8 cm x 73.7 cm x 10.9 cm</t>
        </is>
      </c>
      <c r="B1513" t="inlineStr">
        <is>
          <t>Naish S25 Hover Carbon Ultra</t>
        </is>
      </c>
      <c r="C1513" t="inlineStr">
        <is>
          <t>Wing &amp; SUP</t>
        </is>
      </c>
      <c r="D1513" s="3" t="n">
        <v>110</v>
      </c>
      <c r="E1513" t="inlineStr"/>
      <c r="F1513" s="4" t="n">
        <v>420</v>
      </c>
      <c r="G1513" t="inlineStr">
        <is>
          <t>VB</t>
        </is>
      </c>
      <c r="H1513" t="inlineStr">
        <is>
          <t>58300 Nordrhein-Westfalen - Wetter (Ruhr)</t>
        </is>
      </c>
      <c r="I1513" s="5" t="n">
        <v>45540</v>
      </c>
      <c r="J1513" t="inlineStr">
        <is>
          <t>Sold</t>
        </is>
      </c>
      <c r="K1513" s="6">
        <f>HYPERLINK("https://www.kleinanzeigen.de/s-anzeige/wing-sup-naish-s25-hover-carbon-ultra-wing-sup-board-110-l/2855180606-230-1418", "Link")</f>
        <v/>
      </c>
      <c r="L1513" s="6">
        <f>HYPERLINK("C:\Projects\Kleinanzeigen-Scraper\offer_images\2855180606", "Link")</f>
        <v/>
      </c>
      <c r="M1513" t="inlineStr">
        <is>
          <t>Patrick Messingfeld</t>
        </is>
      </c>
      <c r="N1513" s="6">
        <f>HYPERLINK("https://www.kleinanzeigen.de/s-bestandsliste.html?userId=74153005", "Link")</f>
        <v/>
      </c>
      <c r="O1513" s="7" t="n">
        <v>45549.57650462963</v>
      </c>
      <c r="P1513" s="3" t="inlineStr">
        <is>
          <t>56.63</t>
        </is>
      </c>
      <c r="Q1513" t="inlineStr">
        <is>
          <t>Köln</t>
        </is>
      </c>
    </row>
    <row r="1514">
      <c r="A1514" t="inlineStr">
        <is>
          <t>10.2'</t>
        </is>
      </c>
      <c r="B1514" t="inlineStr">
        <is>
          <t>F2 GLIDE</t>
        </is>
      </c>
      <c r="C1514" t="inlineStr">
        <is>
          <t>Windsurf/SUP</t>
        </is>
      </c>
      <c r="D1514" s="3" t="inlineStr"/>
      <c r="E1514" t="inlineStr"/>
      <c r="F1514" s="4" t="n">
        <v>849</v>
      </c>
      <c r="G1514" t="inlineStr"/>
      <c r="H1514" t="inlineStr">
        <is>
          <t>95028 Bayern - Hof (Saale)</t>
        </is>
      </c>
      <c r="I1514" s="5" t="n">
        <v>45546</v>
      </c>
      <c r="J1514" t="inlineStr">
        <is>
          <t>Sold</t>
        </is>
      </c>
      <c r="K1514" s="6">
        <f>HYPERLINK("https://www.kleinanzeigen.de/s-anzeige/f2-glide-windsurf-sup-10-2-grey-board-allround-wing-4-0-qm/2835109755-230-7244", "Link")</f>
        <v/>
      </c>
      <c r="L1514" s="6">
        <f>HYPERLINK("C:\Projects\Kleinanzeigen-Scraper\offer_images\2835109755", "Link")</f>
        <v/>
      </c>
      <c r="M1514" t="inlineStr">
        <is>
          <t>No user name</t>
        </is>
      </c>
      <c r="N1514" s="6">
        <f>HYPERLINK("https://www.kleinanzeigen.deNo user link", "Link")</f>
        <v/>
      </c>
      <c r="O1514" s="7" t="n">
        <v>45549.57648148148</v>
      </c>
      <c r="P1514" s="3" t="inlineStr">
        <is>
          <t>244.83</t>
        </is>
      </c>
      <c r="Q1514" t="inlineStr">
        <is>
          <t>München</t>
        </is>
      </c>
    </row>
    <row r="1515">
      <c r="A1515" t="inlineStr">
        <is>
          <t>245 x 58 cm</t>
        </is>
      </c>
      <c r="B1515" t="inlineStr">
        <is>
          <t>JP Australia Freestyle Wave 84 III</t>
        </is>
      </c>
      <c r="C1515" t="inlineStr">
        <is>
          <t>Freestyle Wave</t>
        </is>
      </c>
      <c r="D1515" s="3" t="n">
        <v>84</v>
      </c>
      <c r="E1515" t="inlineStr"/>
      <c r="F1515" s="4" t="n">
        <v>140</v>
      </c>
      <c r="G1515" t="inlineStr"/>
      <c r="H1515" t="inlineStr">
        <is>
          <t>69493 Baden-Württemberg - Hirschberg a.d. Bergstr.</t>
        </is>
      </c>
      <c r="I1515" s="5" t="n">
        <v>45430</v>
      </c>
      <c r="J1515" t="inlineStr"/>
      <c r="K1515" s="6">
        <f>HYPERLINK("https://www.kleinanzeigen.de/s-anzeige/windsurfboard-jp-australia-freestyle-wave-84-iii-mit-boardbag/2764367656-230-8269", "Link")</f>
        <v/>
      </c>
      <c r="L1515" s="6">
        <f>HYPERLINK("C:\Projects\Kleinanzeigen-Scraper\offer_images\2764367656", "Link")</f>
        <v/>
      </c>
      <c r="M1515" t="inlineStr">
        <is>
          <t>Hans</t>
        </is>
      </c>
      <c r="N1515" s="6">
        <f>HYPERLINK("https://www.kleinanzeigen.de/s-bestandsliste.html?userId=4069206", "Link")</f>
        <v/>
      </c>
      <c r="O1515" s="7" t="n">
        <v>45549.57646990741</v>
      </c>
      <c r="P1515" s="3" t="inlineStr">
        <is>
          <t>58.94</t>
        </is>
      </c>
      <c r="Q1515" t="inlineStr">
        <is>
          <t>Karlsruhe</t>
        </is>
      </c>
    </row>
    <row r="1516">
      <c r="A1516" t="inlineStr"/>
      <c r="B1516" t="inlineStr">
        <is>
          <t>Tabou Rocket</t>
        </is>
      </c>
      <c r="C1516" t="inlineStr">
        <is>
          <t>Freeride</t>
        </is>
      </c>
      <c r="D1516" s="3" t="n">
        <v>115</v>
      </c>
      <c r="E1516" t="inlineStr"/>
      <c r="F1516" s="4" t="n">
        <v>150</v>
      </c>
      <c r="G1516" t="inlineStr"/>
      <c r="H1516" t="inlineStr">
        <is>
          <t>80937 München - Milbertshofen - Am Hart</t>
        </is>
      </c>
      <c r="I1516" s="5" t="n">
        <v>45514</v>
      </c>
      <c r="J1516" t="inlineStr"/>
      <c r="K1516" s="6">
        <f>HYPERLINK("https://www.kleinanzeigen.de/s-anzeige/surfboard-tabou-rocket-115/2833930033-230-6451", "Link")</f>
        <v/>
      </c>
      <c r="L1516" s="6">
        <f>HYPERLINK("C:\Projects\Kleinanzeigen-Scraper\offer_images\2833930033", "Link")</f>
        <v/>
      </c>
      <c r="M1516" t="inlineStr">
        <is>
          <t>Kerstin und Thomas Graf</t>
        </is>
      </c>
      <c r="N1516" s="6">
        <f>HYPERLINK("https://www.kleinanzeigen.de/s-bestandsliste.html?userId=9219483", "Link")</f>
        <v/>
      </c>
      <c r="O1516" s="7" t="n">
        <v>45549.57646990741</v>
      </c>
      <c r="P1516" s="3" t="inlineStr">
        <is>
          <t>9.35</t>
        </is>
      </c>
      <c r="Q1516" t="inlineStr">
        <is>
          <t>München</t>
        </is>
      </c>
    </row>
    <row r="1517">
      <c r="A1517" t="inlineStr">
        <is>
          <t>132x41</t>
        </is>
      </c>
      <c r="B1517" t="inlineStr">
        <is>
          <t>RRD Roberto Ricci</t>
        </is>
      </c>
      <c r="C1517" t="inlineStr"/>
      <c r="D1517" s="3" t="inlineStr"/>
      <c r="E1517" t="inlineStr"/>
      <c r="F1517" s="4" t="inlineStr"/>
      <c r="G1517" t="inlineStr">
        <is>
          <t>VB</t>
        </is>
      </c>
      <c r="H1517" t="inlineStr">
        <is>
          <t>70378 Stuttgart - Mühlhausen</t>
        </is>
      </c>
      <c r="I1517" s="5" t="n">
        <v>45493</v>
      </c>
      <c r="J1517" t="inlineStr">
        <is>
          <t>Sold</t>
        </is>
      </c>
      <c r="K1517" s="6">
        <f>HYPERLINK("https://www.kleinanzeigen.de/s-anzeige/rrd-roberto-ricci-poision-limited-kiteboard-132x41/2816596846-230-9334", "Link")</f>
        <v/>
      </c>
      <c r="L1517" s="6">
        <f>HYPERLINK("C:\Projects\Kleinanzeigen-Scraper\offer_images\2816596846", "Link")</f>
        <v/>
      </c>
      <c r="M1517" t="inlineStr">
        <is>
          <t>Stephanie</t>
        </is>
      </c>
      <c r="N1517" s="6">
        <f>HYPERLINK("https://www.kleinanzeigen.de/s-bestandsliste.html?userId=92231455", "Link")</f>
        <v/>
      </c>
      <c r="O1517" s="7" t="n">
        <v>45549.57646990741</v>
      </c>
      <c r="P1517" s="3" t="inlineStr">
        <is>
          <t>25.30</t>
        </is>
      </c>
      <c r="Q1517" t="inlineStr">
        <is>
          <t>Böblingen</t>
        </is>
      </c>
    </row>
    <row r="1518">
      <c r="A1518" t="inlineStr">
        <is>
          <t>138 x 40 cm</t>
        </is>
      </c>
      <c r="B1518" t="inlineStr">
        <is>
          <t>Duotone Porsche Pink Pig</t>
        </is>
      </c>
      <c r="C1518" t="inlineStr"/>
      <c r="D1518" s="3" t="inlineStr"/>
      <c r="E1518" t="inlineStr"/>
      <c r="F1518" s="4" t="n">
        <v>999</v>
      </c>
      <c r="G1518" t="inlineStr">
        <is>
          <t>VB</t>
        </is>
      </c>
      <c r="H1518" t="inlineStr">
        <is>
          <t>26349 Niedersachsen - Jade</t>
        </is>
      </c>
      <c r="I1518" s="5" t="n">
        <v>45541</v>
      </c>
      <c r="J1518" t="inlineStr">
        <is>
          <t>Sold</t>
        </is>
      </c>
      <c r="K1518" s="6">
        <f>HYPERLINK("https://www.kleinanzeigen.de/s-anzeige/duotone-porsche-pink-pig-limited-edition-board/2855583570-230-3006", "Link")</f>
        <v/>
      </c>
      <c r="L1518" s="6">
        <f>HYPERLINK("C:\Projects\Kleinanzeigen-Scraper\offer_images\2855583570", "Link")</f>
        <v/>
      </c>
      <c r="M1518" t="inlineStr">
        <is>
          <t>Christian Ebert</t>
        </is>
      </c>
      <c r="N1518" s="6">
        <f>HYPERLINK("https://www.kleinanzeigen.de/s-bestandsliste.html?userId=18041643", "Link")</f>
        <v/>
      </c>
      <c r="O1518" s="7" t="n">
        <v>45549.57644675926</v>
      </c>
      <c r="P1518" s="3" t="inlineStr">
        <is>
          <t>281.53</t>
        </is>
      </c>
      <c r="Q1518" t="inlineStr">
        <is>
          <t>Köln</t>
        </is>
      </c>
    </row>
    <row r="1519">
      <c r="A1519" t="inlineStr"/>
      <c r="B1519" t="inlineStr">
        <is>
          <t>Fanatic Stingray</t>
        </is>
      </c>
      <c r="C1519" t="inlineStr">
        <is>
          <t>Foil Board</t>
        </is>
      </c>
      <c r="D1519" s="3" t="n">
        <v>115</v>
      </c>
      <c r="E1519" t="inlineStr"/>
      <c r="F1519" s="4" t="n">
        <v>490</v>
      </c>
      <c r="G1519" t="inlineStr">
        <is>
          <t>VB</t>
        </is>
      </c>
      <c r="H1519" t="inlineStr">
        <is>
          <t>87561 Bayern - Oberstdorf</t>
        </is>
      </c>
      <c r="I1519" s="5" t="n">
        <v>45515</v>
      </c>
      <c r="J1519" t="inlineStr">
        <is>
          <t>Sold</t>
        </is>
      </c>
      <c r="K1519" s="6">
        <f>HYPERLINK("https://www.kleinanzeigen.de/s-anzeige/fanatic-stingray-115-foil-board/2834620988-230-5529", "Link")</f>
        <v/>
      </c>
      <c r="L1519" s="6">
        <f>HYPERLINK("C:\Projects\Kleinanzeigen-Scraper\offer_images\2834620988", "Link")</f>
        <v/>
      </c>
      <c r="M1519" t="inlineStr">
        <is>
          <t>Sina Vogler</t>
        </is>
      </c>
      <c r="N1519" s="6">
        <f>HYPERLINK("https://www.kleinanzeigen.de/s-bestandsliste.html?userId=66897733", "Link")</f>
        <v/>
      </c>
      <c r="O1519" s="7" t="n">
        <v>45549.57644675926</v>
      </c>
      <c r="P1519" s="3" t="inlineStr">
        <is>
          <t>128.77</t>
        </is>
      </c>
      <c r="Q1519" t="inlineStr">
        <is>
          <t>München</t>
        </is>
      </c>
    </row>
    <row r="1520">
      <c r="A1520" t="inlineStr">
        <is>
          <t>Dimensions not specified</t>
        </is>
      </c>
      <c r="B1520" t="inlineStr">
        <is>
          <t>Fanatic Shark</t>
        </is>
      </c>
      <c r="C1520" t="inlineStr">
        <is>
          <t>Freeride</t>
        </is>
      </c>
      <c r="D1520" s="3" t="n">
        <v>150</v>
      </c>
      <c r="E1520" t="inlineStr"/>
      <c r="F1520" s="4" t="n">
        <v>340</v>
      </c>
      <c r="G1520" t="inlineStr"/>
      <c r="H1520" t="inlineStr">
        <is>
          <t>87435 Bayern - Kempten</t>
        </is>
      </c>
      <c r="I1520" s="5" t="n">
        <v>45543</v>
      </c>
      <c r="J1520" t="inlineStr">
        <is>
          <t>Sold</t>
        </is>
      </c>
      <c r="K1520" s="6">
        <f>HYPERLINK("https://www.kleinanzeigen.de/s-anzeige/surfbrett-fanatic-shark-150-liter/2857260100-230-7619", "Link")</f>
        <v/>
      </c>
      <c r="L1520" s="6">
        <f>HYPERLINK("C:\Projects\Kleinanzeigen-Scraper\offer_images\2857260100", "Link")</f>
        <v/>
      </c>
      <c r="M1520" t="inlineStr">
        <is>
          <t>Robert</t>
        </is>
      </c>
      <c r="N1520" s="6">
        <f>HYPERLINK("https://www.kleinanzeigen.de/s-bestandsliste.html?userId=27491270", "Link")</f>
        <v/>
      </c>
      <c r="O1520" s="7" t="n">
        <v>45549.57644675926</v>
      </c>
      <c r="P1520" s="3" t="inlineStr">
        <is>
          <t>104.77</t>
        </is>
      </c>
      <c r="Q1520" t="inlineStr">
        <is>
          <t>München</t>
        </is>
      </c>
    </row>
    <row r="1521">
      <c r="A1521" t="inlineStr">
        <is>
          <t>152cm x 61cm</t>
        </is>
      </c>
      <c r="B1521" t="inlineStr">
        <is>
          <t>Fanatic Sky Wing</t>
        </is>
      </c>
      <c r="C1521" t="inlineStr">
        <is>
          <t>Foil</t>
        </is>
      </c>
      <c r="D1521" s="3" t="n">
        <v>75</v>
      </c>
      <c r="E1521" t="inlineStr">
        <is>
          <t>2023</t>
        </is>
      </c>
      <c r="F1521" s="4" t="n">
        <v>750</v>
      </c>
      <c r="G1521" t="inlineStr"/>
      <c r="H1521" t="inlineStr">
        <is>
          <t>13587 Berlin - Spandau</t>
        </is>
      </c>
      <c r="I1521" s="5" t="n">
        <v>45525</v>
      </c>
      <c r="J1521" t="inlineStr">
        <is>
          <t>Sold</t>
        </is>
      </c>
      <c r="K1521" s="6">
        <f>HYPERLINK("https://www.kleinanzeigen.de/s-anzeige/fanatic-sky-wing-2023-in-der-groesse-5-0-/2842333664-230-3436", "Link")</f>
        <v/>
      </c>
      <c r="L1521" s="6">
        <f>HYPERLINK("C:\Projects\Kleinanzeigen-Scraper\offer_images\2842333664", "Link")</f>
        <v/>
      </c>
      <c r="M1521" t="inlineStr">
        <is>
          <t>Christoph</t>
        </is>
      </c>
      <c r="N1521" s="6">
        <f>HYPERLINK("https://www.kleinanzeigen.de/s-bestandsliste.html?userId=4881966", "Link")</f>
        <v/>
      </c>
      <c r="O1521" s="7" t="n">
        <v>45549.57643518518</v>
      </c>
      <c r="P1521" s="3" t="inlineStr">
        <is>
          <t>466.07</t>
        </is>
      </c>
      <c r="Q1521" t="inlineStr">
        <is>
          <t>Köln</t>
        </is>
      </c>
    </row>
    <row r="1522">
      <c r="A1522" t="inlineStr">
        <is>
          <t>152cm x 45cm</t>
        </is>
      </c>
      <c r="B1522" t="inlineStr">
        <is>
          <t>Naish Orbit</t>
        </is>
      </c>
      <c r="C1522" t="inlineStr">
        <is>
          <t>Freeride</t>
        </is>
      </c>
      <c r="D1522" s="3" t="inlineStr"/>
      <c r="E1522" t="inlineStr">
        <is>
          <t>2022</t>
        </is>
      </c>
      <c r="F1522" s="4" t="n">
        <v>421</v>
      </c>
      <c r="G1522" t="inlineStr">
        <is>
          <t>VB</t>
        </is>
      </c>
      <c r="H1522" t="inlineStr">
        <is>
          <t>18586 Mecklenburg-Vorpommern - Mönchgut, Ostseebad</t>
        </is>
      </c>
      <c r="I1522" s="5" t="n">
        <v>45548</v>
      </c>
      <c r="J1522" t="inlineStr"/>
      <c r="K1522" s="6">
        <f>HYPERLINK("https://www.kleinanzeigen.de/s-anzeige/naish-orbit-2020-test-35-orbit-2022-15-neu-mit-pads-20-/1560597740-230-120", "Link")</f>
        <v/>
      </c>
      <c r="L1522" s="6">
        <f>HYPERLINK("C:\Projects\Kleinanzeigen-Scraper\offer_images\1560597740", "Link")</f>
        <v/>
      </c>
      <c r="M1522" t="inlineStr">
        <is>
          <t>No user name</t>
        </is>
      </c>
      <c r="N1522" s="6">
        <f>HYPERLINK("https://www.kleinanzeigen.deNo user link", "Link")</f>
        <v/>
      </c>
      <c r="O1522" s="7" t="n">
        <v>45549.57642361111</v>
      </c>
      <c r="P1522" s="3" t="inlineStr">
        <is>
          <t>591.22</t>
        </is>
      </c>
      <c r="Q1522" t="inlineStr">
        <is>
          <t>Köln</t>
        </is>
      </c>
    </row>
    <row r="1523">
      <c r="A1523" t="inlineStr">
        <is>
          <t>6.5 x 29.5</t>
        </is>
      </c>
      <c r="B1523" t="inlineStr">
        <is>
          <t>Starboard AIR FOIL DSC</t>
        </is>
      </c>
      <c r="C1523" t="inlineStr">
        <is>
          <t>inflatable</t>
        </is>
      </c>
      <c r="D1523" s="3" t="inlineStr"/>
      <c r="E1523" t="inlineStr">
        <is>
          <t>2023</t>
        </is>
      </c>
      <c r="F1523" s="4" t="n">
        <v>650</v>
      </c>
      <c r="G1523" t="inlineStr"/>
      <c r="H1523" t="inlineStr">
        <is>
          <t>38446 Niedersachsen - Wolfsburg</t>
        </is>
      </c>
      <c r="I1523" s="5" t="n">
        <v>45536</v>
      </c>
      <c r="J1523" t="inlineStr">
        <is>
          <t>Sold</t>
        </is>
      </c>
      <c r="K1523" s="6">
        <f>HYPERLINK("https://www.kleinanzeigen.de/s-anzeige/2023-starboard-6-5-x-29-5-air-foil-dsc-inflateable-wingboard/2852043365-230-3076", "Link")</f>
        <v/>
      </c>
      <c r="L1523" s="6">
        <f>HYPERLINK("C:\Projects\Kleinanzeigen-Scraper\offer_images\2852043365", "Link")</f>
        <v/>
      </c>
      <c r="M1523" t="inlineStr">
        <is>
          <t>Jens Schäfer</t>
        </is>
      </c>
      <c r="N1523" s="6">
        <f>HYPERLINK("https://www.kleinanzeigen.de/s-bestandsliste.html?userId=5038992", "Link")</f>
        <v/>
      </c>
      <c r="O1523" s="7" t="n">
        <v>45549.57640046296</v>
      </c>
      <c r="P1523" s="3" t="inlineStr">
        <is>
          <t>313.32</t>
        </is>
      </c>
      <c r="Q1523" t="inlineStr">
        <is>
          <t>Köln</t>
        </is>
      </c>
    </row>
    <row r="1524">
      <c r="A1524" t="inlineStr"/>
      <c r="B1524" t="inlineStr">
        <is>
          <t>Fanatic Hot Boa</t>
        </is>
      </c>
      <c r="C1524" t="inlineStr">
        <is>
          <t>Wave/Slalom</t>
        </is>
      </c>
      <c r="D1524" s="3" t="inlineStr"/>
      <c r="E1524" t="inlineStr">
        <is>
          <t>1990s</t>
        </is>
      </c>
      <c r="F1524" s="4" t="n">
        <v>50</v>
      </c>
      <c r="G1524" t="inlineStr"/>
      <c r="H1524" t="inlineStr">
        <is>
          <t>26131 Niedersachsen - Oldenburg</t>
        </is>
      </c>
      <c r="I1524" s="5" t="n">
        <v>45508</v>
      </c>
      <c r="J1524" t="inlineStr">
        <is>
          <t>Sold</t>
        </is>
      </c>
      <c r="K1524" s="6">
        <f>HYPERLINK("https://www.kleinanzeigen.de/s-anzeige/fanatic-hot-boa-surfboard/2828870179-230-3109", "Link")</f>
        <v/>
      </c>
      <c r="L1524" s="6">
        <f>HYPERLINK("C:\Projects\Kleinanzeigen-Scraper\offer_images\2828870179", "Link")</f>
        <v/>
      </c>
      <c r="M1524" t="inlineStr">
        <is>
          <t>Hauke</t>
        </is>
      </c>
      <c r="N1524" s="6">
        <f>HYPERLINK("https://www.kleinanzeigen.de/s-bestandsliste.html?userId=5890637", "Link")</f>
        <v/>
      </c>
      <c r="O1524" s="7" t="n">
        <v>45549.57640046296</v>
      </c>
      <c r="P1524" s="3" t="inlineStr">
        <is>
          <t>257.10</t>
        </is>
      </c>
      <c r="Q1524" t="inlineStr">
        <is>
          <t>Köln</t>
        </is>
      </c>
    </row>
    <row r="1525">
      <c r="A1525" t="inlineStr"/>
      <c r="B1525" t="inlineStr">
        <is>
          <t>Tabou Rocket</t>
        </is>
      </c>
      <c r="C1525" t="inlineStr">
        <is>
          <t>Freemove</t>
        </is>
      </c>
      <c r="D1525" s="3" t="n">
        <v>105</v>
      </c>
      <c r="E1525" t="inlineStr"/>
      <c r="F1525" s="4" t="n">
        <v>300</v>
      </c>
      <c r="G1525" t="inlineStr"/>
      <c r="H1525" t="inlineStr">
        <is>
          <t>85301 Bayern - Schweitenkirchen</t>
        </is>
      </c>
      <c r="I1525" s="5" t="n">
        <v>45478</v>
      </c>
      <c r="J1525" t="inlineStr">
        <is>
          <t>Sold</t>
        </is>
      </c>
      <c r="K1525" s="6">
        <f>HYPERLINK("https://www.kleinanzeigen.de/s-anzeige/tabou-rocket-105-surfbrett-windsurfbrett-surfboard-no-3s/2804538207-230-5847", "Link")</f>
        <v/>
      </c>
      <c r="L1525" s="6">
        <f>HYPERLINK("C:\Projects\Kleinanzeigen-Scraper\offer_images\2804538207", "Link")</f>
        <v/>
      </c>
      <c r="M1525" t="inlineStr">
        <is>
          <t>Michael Laußer</t>
        </is>
      </c>
      <c r="N1525" s="6">
        <f>HYPERLINK("https://www.kleinanzeigen.de/s-bestandsliste.html?userId=6669985", "Link")</f>
        <v/>
      </c>
      <c r="O1525" s="7" t="n">
        <v>45549.57637731481</v>
      </c>
      <c r="P1525" s="3" t="inlineStr">
        <is>
          <t>43.29</t>
        </is>
      </c>
      <c r="Q1525" t="inlineStr">
        <is>
          <t>München</t>
        </is>
      </c>
    </row>
    <row r="1526">
      <c r="A1526" t="inlineStr">
        <is>
          <t>135cm</t>
        </is>
      </c>
      <c r="B1526" t="inlineStr">
        <is>
          <t>Naish Thorn</t>
        </is>
      </c>
      <c r="C1526" t="inlineStr"/>
      <c r="D1526" s="3" t="inlineStr"/>
      <c r="E1526" t="inlineStr"/>
      <c r="F1526" s="4" t="n">
        <v>95</v>
      </c>
      <c r="G1526" t="inlineStr">
        <is>
          <t>VB</t>
        </is>
      </c>
      <c r="H1526" t="inlineStr">
        <is>
          <t>89423 Bayern - Gundelfingen a. d. Donau</t>
        </is>
      </c>
      <c r="I1526" s="5" t="n">
        <v>45536</v>
      </c>
      <c r="J1526" t="inlineStr">
        <is>
          <t>Sold</t>
        </is>
      </c>
      <c r="K1526" s="6">
        <f>HYPERLINK("https://www.kleinanzeigen.de/s-anzeige/kiteboard-naish-thorn-groesse-135cm/2851861392-230-7113", "Link")</f>
        <v/>
      </c>
      <c r="L1526" s="6">
        <f>HYPERLINK("C:\Projects\Kleinanzeigen-Scraper\offer_images\2851861392", "Link")</f>
        <v/>
      </c>
      <c r="M1526" t="inlineStr">
        <is>
          <t>Anne</t>
        </is>
      </c>
      <c r="N1526" s="6">
        <f>HYPERLINK("https://www.kleinanzeigen.de/s-bestandsliste.html?userId=15092732", "Link")</f>
        <v/>
      </c>
      <c r="O1526" s="7" t="n">
        <v>45549.57637731481</v>
      </c>
      <c r="P1526" s="3" t="inlineStr">
        <is>
          <t>98.41</t>
        </is>
      </c>
      <c r="Q1526" t="inlineStr">
        <is>
          <t>München</t>
        </is>
      </c>
    </row>
    <row r="1527">
      <c r="A1527" t="inlineStr">
        <is>
          <t>240 x 59</t>
        </is>
      </c>
      <c r="B1527" t="inlineStr">
        <is>
          <t>RRD X-fire Limited Edition</t>
        </is>
      </c>
      <c r="C1527" t="inlineStr">
        <is>
          <t>Slalom</t>
        </is>
      </c>
      <c r="D1527" s="3" t="n">
        <v>90</v>
      </c>
      <c r="E1527" t="inlineStr"/>
      <c r="F1527" s="4" t="n">
        <v>450</v>
      </c>
      <c r="G1527" t="inlineStr"/>
      <c r="H1527" t="inlineStr">
        <is>
          <t>40599 Düsseldorf - Benrath</t>
        </is>
      </c>
      <c r="I1527" s="5" t="n">
        <v>45545</v>
      </c>
      <c r="J1527" t="inlineStr"/>
      <c r="K1527" s="6">
        <f>HYPERLINK("https://www.kleinanzeigen.de/s-anzeige/slalom-board-rrd-x-fire-limited-edition-90-rrd-jacket-in-l/2859331442-230-2074", "Link")</f>
        <v/>
      </c>
      <c r="L1527" s="6">
        <f>HYPERLINK("C:\Projects\Kleinanzeigen-Scraper\offer_images\2859331442", "Link")</f>
        <v/>
      </c>
      <c r="M1527" t="inlineStr">
        <is>
          <t>Submarine</t>
        </is>
      </c>
      <c r="N1527" s="6">
        <f>HYPERLINK("https://www.kleinanzeigen.de/s-bestandsliste.html?userId=74970415", "Link")</f>
        <v/>
      </c>
      <c r="O1527" s="7" t="n">
        <v>45549.57637731481</v>
      </c>
      <c r="P1527" s="3" t="inlineStr">
        <is>
          <t>27.81</t>
        </is>
      </c>
      <c r="Q1527" t="inlineStr">
        <is>
          <t>Köln</t>
        </is>
      </c>
    </row>
    <row r="1528">
      <c r="A1528" t="inlineStr">
        <is>
          <t>12'0" x 32" x 6"</t>
        </is>
      </c>
      <c r="B1528" t="inlineStr">
        <is>
          <t>JP Australia</t>
        </is>
      </c>
      <c r="C1528" t="inlineStr">
        <is>
          <t>SUP</t>
        </is>
      </c>
      <c r="D1528" s="3" t="inlineStr"/>
      <c r="E1528" t="inlineStr"/>
      <c r="F1528" s="4" t="n">
        <v>390</v>
      </c>
      <c r="G1528" t="inlineStr"/>
      <c r="H1528" t="inlineStr">
        <is>
          <t>78467 Baden-Württemberg - Konstanz</t>
        </is>
      </c>
      <c r="I1528" s="5" t="n">
        <v>45512</v>
      </c>
      <c r="J1528" t="inlineStr"/>
      <c r="K1528" s="6">
        <f>HYPERLINK("https://www.kleinanzeigen.de/s-anzeige/jp-australia-sup-mit-carbon-paddel-mit-zubehoer/2831978295-230-9389", "Link")</f>
        <v/>
      </c>
      <c r="L1528" s="6">
        <f>HYPERLINK("C:\Projects\Kleinanzeigen-Scraper\offer_images\2831978295", "Link")</f>
        <v/>
      </c>
      <c r="M1528" t="inlineStr">
        <is>
          <t>Hardy Specker</t>
        </is>
      </c>
      <c r="N1528" s="6">
        <f>HYPERLINK("https://www.kleinanzeigen.de/s-bestandsliste.html?userId=23347586", "Link")</f>
        <v/>
      </c>
      <c r="O1528" s="7" t="n">
        <v>45549.57636574074</v>
      </c>
      <c r="P1528" s="3" t="inlineStr">
        <is>
          <t>62.51</t>
        </is>
      </c>
      <c r="Q1528" t="inlineStr">
        <is>
          <t>Bonndorf</t>
        </is>
      </c>
    </row>
    <row r="1529">
      <c r="A1529" t="inlineStr">
        <is>
          <t>80" x 30" x 4"</t>
        </is>
      </c>
      <c r="B1529" t="inlineStr">
        <is>
          <t>RRD</t>
        </is>
      </c>
      <c r="C1529" t="inlineStr"/>
      <c r="D1529" s="3" t="inlineStr"/>
      <c r="E1529" t="inlineStr"/>
      <c r="F1529" s="4" t="n">
        <v>99</v>
      </c>
      <c r="G1529" t="inlineStr"/>
      <c r="H1529" t="inlineStr">
        <is>
          <t>88142 Bayern - Wasserburg</t>
        </is>
      </c>
      <c r="I1529" s="5" t="n">
        <v>45515</v>
      </c>
      <c r="J1529" t="inlineStr">
        <is>
          <t>Sold</t>
        </is>
      </c>
      <c r="K1529" s="6">
        <f>HYPERLINK("https://www.kleinanzeigen.de/s-anzeige/rrd-kinder-sup-surfbrett-stand-up-paddle-board/2834368362-230-7708", "Link")</f>
        <v/>
      </c>
      <c r="L1529" s="6">
        <f>HYPERLINK("C:\Projects\Kleinanzeigen-Scraper\offer_images\2834368362", "Link")</f>
        <v/>
      </c>
      <c r="M1529" t="inlineStr">
        <is>
          <t>Micha</t>
        </is>
      </c>
      <c r="N1529" s="6">
        <f>HYPERLINK("https://www.kleinanzeigen.de/s-bestandsliste.html?userId=5287334", "Link")</f>
        <v/>
      </c>
      <c r="O1529" s="7" t="n">
        <v>45549.57633101852</v>
      </c>
      <c r="P1529" s="3" t="inlineStr">
        <is>
          <t>101.15</t>
        </is>
      </c>
      <c r="Q1529" t="inlineStr">
        <is>
          <t>Bonndorf</t>
        </is>
      </c>
    </row>
    <row r="1530">
      <c r="A1530" t="inlineStr">
        <is>
          <t>9'3</t>
        </is>
      </c>
      <c r="B1530" t="inlineStr">
        <is>
          <t>RRD</t>
        </is>
      </c>
      <c r="C1530" t="inlineStr">
        <is>
          <t>Longboard</t>
        </is>
      </c>
      <c r="D1530" s="3" t="inlineStr"/>
      <c r="E1530" t="inlineStr"/>
      <c r="F1530" s="4" t="n">
        <v>580</v>
      </c>
      <c r="G1530" t="inlineStr">
        <is>
          <t>VB</t>
        </is>
      </c>
      <c r="H1530" t="inlineStr">
        <is>
          <t>58300 Nordrhein-Westfalen - Wetter (Ruhr)</t>
        </is>
      </c>
      <c r="I1530" s="5" t="n">
        <v>45273</v>
      </c>
      <c r="J1530" t="inlineStr"/>
      <c r="K1530" s="6">
        <f>HYPERLINK("https://www.kleinanzeigen.de/s-anzeige/longboard-9-3-rrd/2628183137-230-1418", "Link")</f>
        <v/>
      </c>
      <c r="L1530" s="6">
        <f>HYPERLINK("C:\Projects\Kleinanzeigen-Scraper\offer_images\2628183137", "Link")</f>
        <v/>
      </c>
      <c r="M1530" t="inlineStr">
        <is>
          <t>Kern</t>
        </is>
      </c>
      <c r="N1530" s="6">
        <f>HYPERLINK("https://www.kleinanzeigen.de/s-bestandsliste.html?userId=27310968", "Link")</f>
        <v/>
      </c>
      <c r="O1530" s="7" t="n">
        <v>45549.57631944444</v>
      </c>
      <c r="P1530" s="3" t="inlineStr">
        <is>
          <t>56.63</t>
        </is>
      </c>
      <c r="Q1530" t="inlineStr">
        <is>
          <t>Köln</t>
        </is>
      </c>
    </row>
    <row r="1531">
      <c r="A1531" t="inlineStr"/>
      <c r="B1531" t="inlineStr">
        <is>
          <t>RRD Freestyle Wave</t>
        </is>
      </c>
      <c r="C1531" t="inlineStr">
        <is>
          <t>Freestyle Wave</t>
        </is>
      </c>
      <c r="D1531" s="3" t="inlineStr"/>
      <c r="E1531" t="inlineStr"/>
      <c r="F1531" s="4" t="n">
        <v>250</v>
      </c>
      <c r="G1531" t="inlineStr"/>
      <c r="H1531" t="inlineStr">
        <is>
          <t>06846 Sachsen-Anhalt - Dessau-Roßlau</t>
        </is>
      </c>
      <c r="I1531" s="5" t="n">
        <v>45536</v>
      </c>
      <c r="J1531" t="inlineStr"/>
      <c r="K1531" s="6">
        <f>HYPERLINK("https://www.kleinanzeigen.de/s-anzeige/rrd-freestyle-wave-board/2851523573-230-2405", "Link")</f>
        <v/>
      </c>
      <c r="L1531" s="6">
        <f>HYPERLINK("C:\Projects\Kleinanzeigen-Scraper\offer_images\2851523573", "Link")</f>
        <v/>
      </c>
      <c r="M1531" t="inlineStr">
        <is>
          <t>Andreas Kopf</t>
        </is>
      </c>
      <c r="N1531" s="6">
        <f>HYPERLINK("https://www.kleinanzeigen.de/s-bestandsliste.html?userId=65239316", "Link")</f>
        <v/>
      </c>
      <c r="O1531" s="7" t="n">
        <v>45549.57631944444</v>
      </c>
      <c r="P1531" s="3" t="inlineStr">
        <is>
          <t>377.25</t>
        </is>
      </c>
      <c r="Q1531" t="inlineStr">
        <is>
          <t>Köln</t>
        </is>
      </c>
    </row>
    <row r="1532">
      <c r="A1532" t="inlineStr"/>
      <c r="B1532" t="inlineStr">
        <is>
          <t>Tabou Rocket LTD</t>
        </is>
      </c>
      <c r="C1532" t="inlineStr">
        <is>
          <t>Freeride</t>
        </is>
      </c>
      <c r="D1532" s="3" t="n">
        <v>125</v>
      </c>
      <c r="E1532" t="inlineStr">
        <is>
          <t>2023</t>
        </is>
      </c>
      <c r="F1532" s="4" t="n">
        <v>850</v>
      </c>
      <c r="G1532" t="inlineStr">
        <is>
          <t>VB</t>
        </is>
      </c>
      <c r="H1532" t="inlineStr">
        <is>
          <t>87629 Bayern - Füssen</t>
        </is>
      </c>
      <c r="I1532" s="5" t="n">
        <v>45485</v>
      </c>
      <c r="J1532" t="inlineStr"/>
      <c r="K1532" s="6">
        <f>HYPERLINK("https://www.kleinanzeigen.de/s-anzeige/tabou-rocket-ltd-windsurf-board-125l-mit-schlaufen-und-finne/2810303849-230-6564", "Link")</f>
        <v/>
      </c>
      <c r="L1532" s="6">
        <f>HYPERLINK("C:\Projects\Kleinanzeigen-Scraper\offer_images\2810303849", "Link")</f>
        <v/>
      </c>
      <c r="M1532" t="inlineStr">
        <is>
          <t>Elena L.</t>
        </is>
      </c>
      <c r="N1532" s="6">
        <f>HYPERLINK("https://www.kleinanzeigen.de/s-bestandsliste.html?userId=11440825", "Link")</f>
        <v/>
      </c>
      <c r="O1532" s="7" t="n">
        <v>45549.57630787037</v>
      </c>
      <c r="P1532" s="3" t="inlineStr">
        <is>
          <t>92.19</t>
        </is>
      </c>
      <c r="Q1532" t="inlineStr">
        <is>
          <t>München</t>
        </is>
      </c>
    </row>
    <row r="1533">
      <c r="A1533" t="inlineStr"/>
      <c r="B1533" t="inlineStr">
        <is>
          <t>Fanatic</t>
        </is>
      </c>
      <c r="C1533" t="inlineStr"/>
      <c r="D1533" s="3" t="inlineStr"/>
      <c r="E1533" t="inlineStr"/>
      <c r="F1533" s="4" t="n">
        <v>55</v>
      </c>
      <c r="G1533" t="inlineStr">
        <is>
          <t>VB</t>
        </is>
      </c>
      <c r="H1533" t="inlineStr">
        <is>
          <t>88697 Baden-Württemberg - Bermatingen</t>
        </is>
      </c>
      <c r="I1533" s="5" t="n">
        <v>45520</v>
      </c>
      <c r="J1533" t="inlineStr">
        <is>
          <t>Sold</t>
        </is>
      </c>
      <c r="K1533" s="6">
        <f>HYPERLINK("https://www.kleinanzeigen.de/s-anzeige/fanatic-surfbrett/2838628803-230-9218", "Link")</f>
        <v/>
      </c>
      <c r="L1533" s="6">
        <f>HYPERLINK("C:\Projects\Kleinanzeigen-Scraper\offer_images\2838628803", "Link")</f>
        <v/>
      </c>
      <c r="M1533" t="inlineStr">
        <is>
          <t>Önder Örnek</t>
        </is>
      </c>
      <c r="N1533" s="6">
        <f>HYPERLINK("https://www.kleinanzeigen.de/s-bestandsliste.html?userId=23101657", "Link")</f>
        <v/>
      </c>
      <c r="O1533" s="7" t="n">
        <v>45549.57630787037</v>
      </c>
      <c r="P1533" s="3" t="inlineStr">
        <is>
          <t>75.43</t>
        </is>
      </c>
      <c r="Q1533" t="inlineStr">
        <is>
          <t>Bonndorf</t>
        </is>
      </c>
    </row>
    <row r="1534">
      <c r="A1534" t="inlineStr">
        <is>
          <t>9'8" x 32"</t>
        </is>
      </c>
      <c r="B1534" t="inlineStr">
        <is>
          <t>Fanatic Fly Air Premium</t>
        </is>
      </c>
      <c r="C1534" t="inlineStr">
        <is>
          <t>SUP</t>
        </is>
      </c>
      <c r="D1534" s="3" t="n">
        <v>213</v>
      </c>
      <c r="E1534" t="inlineStr">
        <is>
          <t>2021</t>
        </is>
      </c>
      <c r="F1534" s="4" t="n">
        <v>569</v>
      </c>
      <c r="G1534" t="inlineStr">
        <is>
          <t>VB</t>
        </is>
      </c>
      <c r="H1534" t="inlineStr">
        <is>
          <t>18586 Mecklenburg-Vorpommern - Mönchgut, Ostseebad</t>
        </is>
      </c>
      <c r="I1534" s="5" t="n">
        <v>45543</v>
      </c>
      <c r="J1534" t="inlineStr">
        <is>
          <t>Sold</t>
        </is>
      </c>
      <c r="K1534" s="6">
        <f>HYPERLINK("https://www.kleinanzeigen.de/s-anzeige/fanatic-fly-air-premium-9-8-2021-sup-mit-ws-option-neu-40-/1178032313-230-120", "Link")</f>
        <v/>
      </c>
      <c r="L1534" s="6">
        <f>HYPERLINK("C:\Projects\Kleinanzeigen-Scraper\offer_images\1178032313", "Link")</f>
        <v/>
      </c>
      <c r="M1534" t="inlineStr">
        <is>
          <t>No user name</t>
        </is>
      </c>
      <c r="N1534" s="6">
        <f>HYPERLINK("https://www.kleinanzeigen.deNo user link", "Link")</f>
        <v/>
      </c>
      <c r="O1534" s="7" t="n">
        <v>45549.5762962963</v>
      </c>
      <c r="P1534" s="3" t="inlineStr">
        <is>
          <t>591.22</t>
        </is>
      </c>
      <c r="Q1534" t="inlineStr">
        <is>
          <t>Köln</t>
        </is>
      </c>
    </row>
    <row r="1535">
      <c r="A1535" t="inlineStr">
        <is>
          <t>84</t>
        </is>
      </c>
      <c r="B1535" t="inlineStr">
        <is>
          <t>Goya Custom Quad</t>
        </is>
      </c>
      <c r="C1535" t="inlineStr">
        <is>
          <t>Wave</t>
        </is>
      </c>
      <c r="D1535" s="3" t="inlineStr"/>
      <c r="E1535" t="inlineStr">
        <is>
          <t>2018</t>
        </is>
      </c>
      <c r="F1535" s="4" t="inlineStr"/>
      <c r="G1535" t="inlineStr">
        <is>
          <t>VB</t>
        </is>
      </c>
      <c r="H1535" t="inlineStr">
        <is>
          <t>82223 Bayern - Eichenau</t>
        </is>
      </c>
      <c r="I1535" s="5" t="n">
        <v>45533</v>
      </c>
      <c r="J1535" t="inlineStr">
        <is>
          <t>Sold</t>
        </is>
      </c>
      <c r="K1535" s="6">
        <f>HYPERLINK("https://www.kleinanzeigen.de/s-anzeige/goya-custom-quad-84-2018-/2849027098-230-16921", "Link")</f>
        <v/>
      </c>
      <c r="L1535" s="6">
        <f>HYPERLINK("C:\Projects\Kleinanzeigen-Scraper\offer_images\2849027098", "Link")</f>
        <v/>
      </c>
      <c r="M1535" t="inlineStr">
        <is>
          <t>Stefan</t>
        </is>
      </c>
      <c r="N1535" s="6">
        <f>HYPERLINK("https://www.kleinanzeigen.de/s-bestandsliste.html?userId=30451407", "Link")</f>
        <v/>
      </c>
      <c r="O1535" s="7" t="n">
        <v>45549.5762962963</v>
      </c>
      <c r="P1535" s="3" t="inlineStr">
        <is>
          <t>19.02</t>
        </is>
      </c>
      <c r="Q1535" t="inlineStr">
        <is>
          <t>München</t>
        </is>
      </c>
    </row>
    <row r="1536">
      <c r="A1536" t="inlineStr">
        <is>
          <t>230cm x 59.5cm</t>
        </is>
      </c>
      <c r="B1536" t="inlineStr">
        <is>
          <t>Tabou 3S</t>
        </is>
      </c>
      <c r="C1536" t="inlineStr">
        <is>
          <t>Freestyle Wave</t>
        </is>
      </c>
      <c r="D1536" s="3" t="n">
        <v>86</v>
      </c>
      <c r="E1536" t="inlineStr">
        <is>
          <t>2015</t>
        </is>
      </c>
      <c r="F1536" s="4" t="n">
        <v>430</v>
      </c>
      <c r="G1536" t="inlineStr"/>
      <c r="H1536" t="inlineStr">
        <is>
          <t>45525 Nordrhein-Westfalen - Hattingen</t>
        </is>
      </c>
      <c r="I1536" s="5" t="n">
        <v>45439</v>
      </c>
      <c r="J1536" t="inlineStr"/>
      <c r="K1536" s="6">
        <f>HYPERLINK("https://www.kleinanzeigen.de/s-anzeige/tabou-3s-freestyle-wave-86/2772356238-230-1870", "Link")</f>
        <v/>
      </c>
      <c r="L1536" s="6">
        <f>HYPERLINK("C:\Projects\Kleinanzeigen-Scraper\offer_images\2772356238", "Link")</f>
        <v/>
      </c>
      <c r="M1536" t="inlineStr">
        <is>
          <t>Nico</t>
        </is>
      </c>
      <c r="N1536" s="6">
        <f>HYPERLINK("https://www.kleinanzeigen.de/s-bestandsliste.html?userId=10115885", "Link")</f>
        <v/>
      </c>
      <c r="O1536" s="7" t="n">
        <v>45549.57627314814</v>
      </c>
      <c r="P1536" s="3" t="inlineStr">
        <is>
          <t>53.25</t>
        </is>
      </c>
      <c r="Q1536" t="inlineStr">
        <is>
          <t>Köln</t>
        </is>
      </c>
    </row>
    <row r="1537">
      <c r="A1537" t="inlineStr"/>
      <c r="B1537" t="inlineStr">
        <is>
          <t>Naish Hover GS</t>
        </is>
      </c>
      <c r="C1537" t="inlineStr">
        <is>
          <t>Wingfoil</t>
        </is>
      </c>
      <c r="D1537" s="3" t="n">
        <v>110</v>
      </c>
      <c r="E1537" t="inlineStr"/>
      <c r="F1537" s="4" t="n">
        <v>550</v>
      </c>
      <c r="G1537" t="inlineStr">
        <is>
          <t>VB</t>
        </is>
      </c>
      <c r="H1537" t="inlineStr">
        <is>
          <t>22885 Schleswig-Holstein - Barsbüttel</t>
        </is>
      </c>
      <c r="I1537" s="5" t="n">
        <v>45548</v>
      </c>
      <c r="J1537" t="inlineStr">
        <is>
          <t>Sold</t>
        </is>
      </c>
      <c r="K1537" s="6">
        <f>HYPERLINK("https://www.kleinanzeigen.de/s-anzeige/naish-wingfoil-board-s26-hover-gs-110l-wingfoil-top-/2861769343-230-615", "Link")</f>
        <v/>
      </c>
      <c r="L1537" s="6">
        <f>HYPERLINK("C:\Projects\Kleinanzeigen-Scraper\offer_images\2861769343", "Link")</f>
        <v/>
      </c>
      <c r="M1537" t="inlineStr">
        <is>
          <t>Mario</t>
        </is>
      </c>
      <c r="N1537" s="6">
        <f>HYPERLINK("https://www.kleinanzeigen.de/s-bestandsliste.html?userId=3825323", "Link")</f>
        <v/>
      </c>
      <c r="O1537" s="7" t="n">
        <v>45549.57627314814</v>
      </c>
      <c r="P1537" s="3" t="inlineStr">
        <is>
          <t>367.82</t>
        </is>
      </c>
      <c r="Q1537" t="inlineStr">
        <is>
          <t>Köln</t>
        </is>
      </c>
    </row>
    <row r="1538">
      <c r="A1538" t="inlineStr">
        <is>
          <t>295x63</t>
        </is>
      </c>
      <c r="B1538" t="inlineStr">
        <is>
          <t>Fanatic Lite Rabbit</t>
        </is>
      </c>
      <c r="C1538" t="inlineStr"/>
      <c r="D1538" s="3" t="inlineStr"/>
      <c r="E1538" t="inlineStr"/>
      <c r="F1538" s="4" t="n">
        <v>70</v>
      </c>
      <c r="G1538" t="inlineStr"/>
      <c r="H1538" t="inlineStr">
        <is>
          <t>33818 Nordrhein-Westfalen - Leopoldshöhe</t>
        </is>
      </c>
      <c r="I1538" s="5" t="n">
        <v>45541</v>
      </c>
      <c r="J1538" t="inlineStr">
        <is>
          <t>Sold</t>
        </is>
      </c>
      <c r="K1538" s="6">
        <f>HYPERLINK("https://www.kleinanzeigen.de/s-anzeige/sup-surfbrett-fanatic-lite-rabbit-signiert/2855502134-230-1654", "Link")</f>
        <v/>
      </c>
      <c r="L1538" s="6">
        <f>HYPERLINK("C:\Projects\Kleinanzeigen-Scraper\offer_images\2855502134", "Link")</f>
        <v/>
      </c>
      <c r="M1538" t="inlineStr">
        <is>
          <t>brandes</t>
        </is>
      </c>
      <c r="N1538" s="6">
        <f>HYPERLINK("https://www.kleinanzeigen.de/s-bestandsliste.html?userId=12327239", "Link")</f>
        <v/>
      </c>
      <c r="O1538" s="7" t="n">
        <v>45549.57625</v>
      </c>
      <c r="P1538" s="3" t="inlineStr">
        <is>
          <t>169.65</t>
        </is>
      </c>
      <c r="Q1538" t="inlineStr">
        <is>
          <t>Köln</t>
        </is>
      </c>
    </row>
    <row r="1539">
      <c r="A1539" t="inlineStr">
        <is>
          <t>6'7" x 25" x 4.2"</t>
        </is>
      </c>
      <c r="B1539" t="inlineStr">
        <is>
          <t>Starboard</t>
        </is>
      </c>
      <c r="C1539" t="inlineStr">
        <is>
          <t>Foil</t>
        </is>
      </c>
      <c r="D1539" s="3" t="n">
        <v>115</v>
      </c>
      <c r="E1539" t="inlineStr"/>
      <c r="F1539" s="4" t="n">
        <v>1.499</v>
      </c>
      <c r="G1539" t="inlineStr"/>
      <c r="H1539" t="inlineStr">
        <is>
          <t>18609 Rügen - Ostseebad Binz</t>
        </is>
      </c>
      <c r="I1539" s="5" t="n">
        <v>45514</v>
      </c>
      <c r="J1539" t="inlineStr">
        <is>
          <t>Sold</t>
        </is>
      </c>
      <c r="K1539" s="6">
        <f>HYPERLINK("https://www.kleinanzeigen.de/s-anzeige/wing-foil-board-starboard-6-7-/2833551302-230-115", "Link")</f>
        <v/>
      </c>
      <c r="L1539" s="6">
        <f>HYPERLINK("C:\Projects\Kleinanzeigen-Scraper\offer_images\2833551302", "Link")</f>
        <v/>
      </c>
      <c r="M1539" t="inlineStr">
        <is>
          <t>Iven Behrenwolt</t>
        </is>
      </c>
      <c r="N1539" s="6">
        <f>HYPERLINK("https://www.kleinanzeigen.de/s-bestandsliste.html?userId=22833289", "Link")</f>
        <v/>
      </c>
      <c r="O1539" s="7" t="n">
        <v>45549.57625</v>
      </c>
      <c r="P1539" s="3" t="inlineStr">
        <is>
          <t>591.78</t>
        </is>
      </c>
      <c r="Q1539" t="inlineStr">
        <is>
          <t>Köln</t>
        </is>
      </c>
    </row>
    <row r="1540">
      <c r="A1540" t="inlineStr">
        <is>
          <t>218 x 62.5 cm</t>
        </is>
      </c>
      <c r="B1540" t="inlineStr">
        <is>
          <t>Severne Psycho</t>
        </is>
      </c>
      <c r="C1540" t="inlineStr"/>
      <c r="D1540" s="3" t="n">
        <v>102</v>
      </c>
      <c r="E1540" t="inlineStr">
        <is>
          <t>2022</t>
        </is>
      </c>
      <c r="F1540" s="4" t="n">
        <v>750</v>
      </c>
      <c r="G1540" t="inlineStr">
        <is>
          <t>VB</t>
        </is>
      </c>
      <c r="H1540" t="inlineStr">
        <is>
          <t>52062 Aachen - Aachen-Mitte</t>
        </is>
      </c>
      <c r="I1540" s="5" t="n">
        <v>45519</v>
      </c>
      <c r="J1540" t="inlineStr"/>
      <c r="K1540" s="6">
        <f>HYPERLINK("https://www.kleinanzeigen.de/s-anzeige/severne-psycho-102-liter/2837436775-230-1925", "Link")</f>
        <v/>
      </c>
      <c r="L1540" s="6">
        <f>HYPERLINK("C:\Projects\Kleinanzeigen-Scraper\offer_images\2837436775", "Link")</f>
        <v/>
      </c>
      <c r="M1540" t="inlineStr">
        <is>
          <t>Anna B.</t>
        </is>
      </c>
      <c r="N1540" s="6">
        <f>HYPERLINK("https://www.kleinanzeigen.de/s-bestandsliste.html?userId=18564946", "Link")</f>
        <v/>
      </c>
      <c r="O1540" s="7" t="n">
        <v>45549.57622685185</v>
      </c>
      <c r="P1540" s="3" t="inlineStr">
        <is>
          <t>63.29</t>
        </is>
      </c>
      <c r="Q1540" t="inlineStr">
        <is>
          <t>Köln</t>
        </is>
      </c>
    </row>
    <row r="1541">
      <c r="A1541" t="inlineStr">
        <is>
          <t xml:space="preserve">Dimensions </t>
        </is>
      </c>
      <c r="B1541" t="inlineStr">
        <is>
          <t>Tabou Rocket</t>
        </is>
      </c>
      <c r="C1541" t="inlineStr">
        <is>
          <t>Freeride</t>
        </is>
      </c>
      <c r="D1541" s="3" t="n">
        <v>115</v>
      </c>
      <c r="E1541" t="inlineStr"/>
      <c r="F1541" s="4" t="n">
        <v>260</v>
      </c>
      <c r="G1541" t="inlineStr">
        <is>
          <t>VB</t>
        </is>
      </c>
      <c r="H1541" t="inlineStr">
        <is>
          <t>97353 Bayern - Wiesentheid</t>
        </is>
      </c>
      <c r="I1541" s="5" t="n">
        <v>45504</v>
      </c>
      <c r="J1541" t="inlineStr"/>
      <c r="K1541" s="6">
        <f>HYPERLINK("https://www.kleinanzeigen.de/s-anzeige/tabou-rocket-115-freeride-surfbrett/2825714370-230-6759", "Link")</f>
        <v/>
      </c>
      <c r="L1541" s="6">
        <f>HYPERLINK("C:\Projects\Kleinanzeigen-Scraper\offer_images\2825714370", "Link")</f>
        <v/>
      </c>
      <c r="M1541" t="inlineStr">
        <is>
          <t>Thomas</t>
        </is>
      </c>
      <c r="N1541" s="6">
        <f>HYPERLINK("https://www.kleinanzeigen.de/s-bestandsliste.html?userId=1340137", "Link")</f>
        <v/>
      </c>
      <c r="O1541" s="7" t="n">
        <v>45549.57622685185</v>
      </c>
      <c r="P1541" s="3" t="inlineStr">
        <is>
          <t>159.07</t>
        </is>
      </c>
      <c r="Q1541" t="inlineStr">
        <is>
          <t>Böblingen</t>
        </is>
      </c>
    </row>
    <row r="1542">
      <c r="A1542" t="inlineStr">
        <is>
          <t>140x41.5</t>
        </is>
      </c>
      <c r="B1542" t="inlineStr">
        <is>
          <t>North X Ride</t>
        </is>
      </c>
      <c r="C1542" t="inlineStr">
        <is>
          <t>Kite</t>
        </is>
      </c>
      <c r="D1542" s="3" t="inlineStr"/>
      <c r="E1542" t="inlineStr"/>
      <c r="F1542" s="4" t="n">
        <v>249</v>
      </c>
      <c r="G1542" t="inlineStr"/>
      <c r="H1542" t="inlineStr">
        <is>
          <t>22941 Schleswig-Holstein - Bargteheide</t>
        </is>
      </c>
      <c r="I1542" s="5" t="n">
        <v>45540</v>
      </c>
      <c r="J1542" t="inlineStr">
        <is>
          <t>Sold</t>
        </is>
      </c>
      <c r="K1542" s="6">
        <f>HYPERLINK("https://www.kleinanzeigen.de/s-anzeige/kite-board-north-x-ride-140-north-bindung-einsteiger-aufsteiger/2855049488-230-903", "Link")</f>
        <v/>
      </c>
      <c r="L1542" s="6">
        <f>HYPERLINK("C:\Projects\Kleinanzeigen-Scraper\offer_images\2855049488", "Link")</f>
        <v/>
      </c>
      <c r="M1542" t="inlineStr">
        <is>
          <t>Frank Stolle</t>
        </is>
      </c>
      <c r="N1542" s="6">
        <f>HYPERLINK("https://www.kleinanzeigen.de/s-bestandsliste.html?userId=7675554", "Link")</f>
        <v/>
      </c>
      <c r="O1542" s="7" t="n">
        <v>45549.57622685185</v>
      </c>
      <c r="P1542" s="3" t="inlineStr">
        <is>
          <t>382.34</t>
        </is>
      </c>
      <c r="Q1542" t="inlineStr">
        <is>
          <t>Köln</t>
        </is>
      </c>
    </row>
    <row r="1543">
      <c r="A1543" t="inlineStr">
        <is>
          <t>9.1 x 32</t>
        </is>
      </c>
      <c r="B1543" t="inlineStr">
        <is>
          <t>Naish Wave</t>
        </is>
      </c>
      <c r="C1543" t="inlineStr"/>
      <c r="D1543" s="3" t="n">
        <v>150</v>
      </c>
      <c r="E1543" t="inlineStr"/>
      <c r="F1543" s="4" t="n">
        <v>450</v>
      </c>
      <c r="G1543" t="inlineStr">
        <is>
          <t>VB</t>
        </is>
      </c>
      <c r="H1543" t="inlineStr">
        <is>
          <t>63607 Hessen - Wächtersbach</t>
        </is>
      </c>
      <c r="I1543" s="5" t="n">
        <v>45516</v>
      </c>
      <c r="J1543" t="inlineStr"/>
      <c r="K1543" s="6">
        <f>HYPERLINK("https://www.kleinanzeigen.de/s-anzeige/naish-wave-sup/2835132016-230-4867", "Link")</f>
        <v/>
      </c>
      <c r="L1543" s="6">
        <f>HYPERLINK("C:\Projects\Kleinanzeigen-Scraper\offer_images\2835132016", "Link")</f>
        <v/>
      </c>
      <c r="M1543" t="inlineStr">
        <is>
          <t>Rainer</t>
        </is>
      </c>
      <c r="N1543" s="6">
        <f>HYPERLINK("https://www.kleinanzeigen.de/s-bestandsliste.html?userId=22527741", "Link")</f>
        <v/>
      </c>
      <c r="O1543" s="7" t="n">
        <v>45549.57621527778</v>
      </c>
      <c r="P1543" s="3" t="inlineStr">
        <is>
          <t>153.14</t>
        </is>
      </c>
      <c r="Q1543" t="inlineStr">
        <is>
          <t>Karlsruhe</t>
        </is>
      </c>
    </row>
    <row r="1544">
      <c r="A1544" t="inlineStr">
        <is>
          <t>238 x 90 cm</t>
        </is>
      </c>
      <c r="B1544" t="inlineStr">
        <is>
          <t>RRD Firemove</t>
        </is>
      </c>
      <c r="C1544" t="inlineStr">
        <is>
          <t>Freemove</t>
        </is>
      </c>
      <c r="D1544" s="3" t="inlineStr"/>
      <c r="E1544" t="inlineStr"/>
      <c r="F1544" s="4" t="n">
        <v>690</v>
      </c>
      <c r="G1544" t="inlineStr"/>
      <c r="H1544" t="inlineStr">
        <is>
          <t>63579 Hessen - Freigericht</t>
        </is>
      </c>
      <c r="I1544" s="5" t="n">
        <v>45481</v>
      </c>
      <c r="J1544" t="inlineStr"/>
      <c r="K1544" s="6">
        <f>HYPERLINK("https://www.kleinanzeigen.de/s-anzeige/rrd-firemove-140-e-tech-windsurfbrett-mit-schlaufen/2807280438-230-7404", "Link")</f>
        <v/>
      </c>
      <c r="L1544" s="6">
        <f>HYPERLINK("C:\Projects\Kleinanzeigen-Scraper\offer_images\2807280438", "Link")</f>
        <v/>
      </c>
      <c r="M1544" t="inlineStr">
        <is>
          <t>Patrik Glatz</t>
        </is>
      </c>
      <c r="N1544" s="6">
        <f>HYPERLINK("https://www.kleinanzeigen.de/s-bestandsliste.html?userId=19845165", "Link")</f>
        <v/>
      </c>
      <c r="O1544" s="7" t="n">
        <v>45549.57620370371</v>
      </c>
      <c r="P1544" s="3" t="inlineStr">
        <is>
          <t>137.44</t>
        </is>
      </c>
      <c r="Q1544" t="inlineStr">
        <is>
          <t>Karlsruhe</t>
        </is>
      </c>
    </row>
    <row r="1545">
      <c r="A1545" t="inlineStr"/>
      <c r="B1545" t="inlineStr">
        <is>
          <t>BIC Tabou</t>
        </is>
      </c>
      <c r="C1545" t="inlineStr">
        <is>
          <t>Wave</t>
        </is>
      </c>
      <c r="D1545" s="3" t="n">
        <v>90</v>
      </c>
      <c r="E1545" t="inlineStr"/>
      <c r="F1545" s="4" t="n">
        <v>60</v>
      </c>
      <c r="G1545" t="inlineStr"/>
      <c r="H1545" t="inlineStr">
        <is>
          <t>24975 Schleswig-Holstein - Maasbüll</t>
        </is>
      </c>
      <c r="I1545" s="5" t="n">
        <v>45543</v>
      </c>
      <c r="J1545" t="inlineStr">
        <is>
          <t>Sold</t>
        </is>
      </c>
      <c r="K1545" s="6">
        <f>HYPERLINK("https://www.kleinanzeigen.de/s-anzeige/surfbrett-bic-tabou-waveboard-90liter/2857122928-230-725", "Link")</f>
        <v/>
      </c>
      <c r="L1545" s="6">
        <f>HYPERLINK("C:\Projects\Kleinanzeigen-Scraper\offer_images\2857122928", "Link")</f>
        <v/>
      </c>
      <c r="M1545" t="inlineStr">
        <is>
          <t>Tom Swane</t>
        </is>
      </c>
      <c r="N1545" s="6">
        <f>HYPERLINK("https://www.kleinanzeigen.de/s-bestandsliste.html?userId=8423221", "Link")</f>
        <v/>
      </c>
      <c r="O1545" s="7" t="n">
        <v>45549.57620370371</v>
      </c>
      <c r="P1545" s="3" t="inlineStr">
        <is>
          <t>458.46</t>
        </is>
      </c>
      <c r="Q1545" t="inlineStr">
        <is>
          <t>Köln</t>
        </is>
      </c>
    </row>
    <row r="1546">
      <c r="A1546" t="inlineStr"/>
      <c r="B1546" t="inlineStr">
        <is>
          <t>Fanatic Hawk LTD</t>
        </is>
      </c>
      <c r="C1546" t="inlineStr"/>
      <c r="D1546" s="3" t="n">
        <v>100</v>
      </c>
      <c r="E1546" t="inlineStr">
        <is>
          <t>2010</t>
        </is>
      </c>
      <c r="F1546" s="4" t="n">
        <v>430</v>
      </c>
      <c r="G1546" t="inlineStr">
        <is>
          <t>VB</t>
        </is>
      </c>
      <c r="H1546" t="inlineStr">
        <is>
          <t>23843 Schleswig-Holstein - Bad Oldesloe</t>
        </is>
      </c>
      <c r="I1546" s="5" t="n">
        <v>45543</v>
      </c>
      <c r="J1546" t="inlineStr">
        <is>
          <t>Sold</t>
        </is>
      </c>
      <c r="K1546" s="6">
        <f>HYPERLINK("https://www.kleinanzeigen.de/s-anzeige/surfboard-fanatic-hawk-ltd-100-l-carbon-6-kg-inkl-orig-boardbag/2857776201-230-12923", "Link")</f>
        <v/>
      </c>
      <c r="L1546" s="6">
        <f>HYPERLINK("C:\Projects\Kleinanzeigen-Scraper\offer_images\2857776201", "Link")</f>
        <v/>
      </c>
      <c r="M1546" t="inlineStr">
        <is>
          <t>Jens Schmidtmann</t>
        </is>
      </c>
      <c r="N1546" s="6">
        <f>HYPERLINK("https://www.kleinanzeigen.de/s-bestandsliste.html?userId=2525", "Link")</f>
        <v/>
      </c>
      <c r="O1546" s="7" t="n">
        <v>45549.57620370371</v>
      </c>
      <c r="P1546" s="3" t="inlineStr">
        <is>
          <t>393.04</t>
        </is>
      </c>
      <c r="Q1546" t="inlineStr">
        <is>
          <t>Köln</t>
        </is>
      </c>
    </row>
    <row r="1547">
      <c r="A1547" t="inlineStr"/>
      <c r="B1547" t="inlineStr">
        <is>
          <t>Starboard</t>
        </is>
      </c>
      <c r="C1547" t="inlineStr">
        <is>
          <t>Freeride</t>
        </is>
      </c>
      <c r="D1547" s="3" t="inlineStr"/>
      <c r="E1547" t="inlineStr"/>
      <c r="F1547" s="4" t="n">
        <v>444</v>
      </c>
      <c r="G1547" t="inlineStr">
        <is>
          <t>VB</t>
        </is>
      </c>
      <c r="H1547" t="inlineStr">
        <is>
          <t>66606 Saarland - St. Wendel</t>
        </is>
      </c>
      <c r="I1547" s="5" t="n">
        <v>45536</v>
      </c>
      <c r="J1547" t="inlineStr"/>
      <c r="K1547" s="6">
        <f>HYPERLINK("https://www.kleinanzeigen.de/s-anzeige/surfbrett-starboard-fruehgleiter/2851430695-230-316", "Link")</f>
        <v/>
      </c>
      <c r="L1547" s="6">
        <f>HYPERLINK("C:\Projects\Kleinanzeigen-Scraper\offer_images\2851430695", "Link")</f>
        <v/>
      </c>
      <c r="M1547" t="inlineStr">
        <is>
          <t>Frank</t>
        </is>
      </c>
      <c r="N1547" s="6">
        <f>HYPERLINK("https://www.kleinanzeigen.de/s-bestandsliste.html?userId=2001185", "Link")</f>
        <v/>
      </c>
      <c r="O1547" s="7" t="n">
        <v>45549.57618055555</v>
      </c>
      <c r="P1547" s="3" t="inlineStr">
        <is>
          <t>102.07</t>
        </is>
      </c>
      <c r="Q1547" t="inlineStr">
        <is>
          <t>Karlsruhe</t>
        </is>
      </c>
    </row>
    <row r="1548">
      <c r="A1548" t="inlineStr">
        <is>
          <t>14'0" x 28"</t>
        </is>
      </c>
      <c r="B1548" t="inlineStr">
        <is>
          <t>Starboard Waterline Lite Tech</t>
        </is>
      </c>
      <c r="C1548" t="inlineStr">
        <is>
          <t>Touren Board</t>
        </is>
      </c>
      <c r="D1548" s="3" t="n">
        <v>259</v>
      </c>
      <c r="E1548" t="inlineStr">
        <is>
          <t>2023</t>
        </is>
      </c>
      <c r="F1548" s="4" t="n">
        <v>899</v>
      </c>
      <c r="G1548" t="inlineStr"/>
      <c r="H1548" t="inlineStr">
        <is>
          <t>72525 Baden-Württemberg - Münsingen</t>
        </is>
      </c>
      <c r="I1548" s="5" t="n">
        <v>45555</v>
      </c>
      <c r="J1548" t="inlineStr"/>
      <c r="K1548" s="6">
        <f>HYPERLINK("https://www.kleinanzeigen.de/s-anzeige/starboard-14-0-x-28-waterline-lite-tech-sup-hardboard-testboard/2768845938-230-7996", "Link")</f>
        <v/>
      </c>
      <c r="L1548" s="6">
        <f>HYPERLINK("C:\Projects\Kleinanzeigen-Scraper\offer_images\2768845938", "Link")</f>
        <v/>
      </c>
      <c r="M1548" t="inlineStr">
        <is>
          <t>No user name</t>
        </is>
      </c>
      <c r="N1548" s="6">
        <f>HYPERLINK("https://www.kleinanzeigen.deNo user link", "Link")</f>
        <v/>
      </c>
      <c r="O1548" s="7" t="n">
        <v>45549.57616898148</v>
      </c>
      <c r="P1548" s="3" t="inlineStr">
        <is>
          <t>50.83</t>
        </is>
      </c>
      <c r="Q1548" t="inlineStr">
        <is>
          <t>Böblingen</t>
        </is>
      </c>
    </row>
    <row r="1549">
      <c r="A1549" t="inlineStr"/>
      <c r="B1549" t="inlineStr">
        <is>
          <t>RRD SX</t>
        </is>
      </c>
      <c r="C1549" t="inlineStr"/>
      <c r="D1549" s="3" t="n">
        <v>105</v>
      </c>
      <c r="E1549" t="inlineStr"/>
      <c r="F1549" s="4" t="n">
        <v>299</v>
      </c>
      <c r="G1549" t="inlineStr"/>
      <c r="H1549" t="inlineStr">
        <is>
          <t>09111 Sachsen - Chemnitz</t>
        </is>
      </c>
      <c r="I1549" s="5" t="n">
        <v>45191</v>
      </c>
      <c r="J1549" t="inlineStr"/>
      <c r="K1549" s="6">
        <f>HYPERLINK("https://www.kleinanzeigen.de/s-anzeige/windsurf-board-rrd-sx-105-liter-gut-gebrauchter-zustand/2551800707-230-3886", "Link")</f>
        <v/>
      </c>
      <c r="L1549" s="6">
        <f>HYPERLINK("C:\Projects\Kleinanzeigen-Scraper\offer_images\2551800707", "Link")</f>
        <v/>
      </c>
      <c r="M1549" t="inlineStr">
        <is>
          <t>olaf</t>
        </is>
      </c>
      <c r="N1549" s="6">
        <f>HYPERLINK("https://www.kleinanzeigen.de/s-bestandsliste.html?userId=8857923", "Link")</f>
        <v/>
      </c>
      <c r="O1549" s="7" t="n">
        <v>45549.57616898148</v>
      </c>
      <c r="P1549" s="3" t="inlineStr">
        <is>
          <t>315.71</t>
        </is>
      </c>
      <c r="Q1549" t="inlineStr">
        <is>
          <t>München</t>
        </is>
      </c>
    </row>
    <row r="1550">
      <c r="A1550" t="inlineStr"/>
      <c r="B1550" t="inlineStr">
        <is>
          <t>RRD Z-ride</t>
        </is>
      </c>
      <c r="C1550" t="inlineStr">
        <is>
          <t>Freeride</t>
        </is>
      </c>
      <c r="D1550" s="3" t="n">
        <v>120</v>
      </c>
      <c r="E1550" t="inlineStr"/>
      <c r="F1550" s="4" t="n">
        <v>195</v>
      </c>
      <c r="G1550" t="inlineStr">
        <is>
          <t>VB</t>
        </is>
      </c>
      <c r="H1550" t="inlineStr">
        <is>
          <t>83254 Bayern - Breitbrunn am Chiemsee</t>
        </is>
      </c>
      <c r="I1550" s="5" t="n">
        <v>45492</v>
      </c>
      <c r="J1550" t="inlineStr">
        <is>
          <t>Sold</t>
        </is>
      </c>
      <c r="K1550" s="6">
        <f>HYPERLINK("https://www.kleinanzeigen.de/s-anzeige/rrd-z-ride-120-surfboard/2816137401-230-5713", "Link")</f>
        <v/>
      </c>
      <c r="L1550" s="6">
        <f>HYPERLINK("C:\Projects\Kleinanzeigen-Scraper\offer_images\2816137401", "Link")</f>
        <v/>
      </c>
      <c r="M1550" t="inlineStr">
        <is>
          <t>Jürgen</t>
        </is>
      </c>
      <c r="N1550" s="6">
        <f>HYPERLINK("https://www.kleinanzeigen.de/s-bestandsliste.html?userId=136269537", "Link")</f>
        <v/>
      </c>
      <c r="O1550" s="7" t="n">
        <v>45549.57616898148</v>
      </c>
      <c r="P1550" s="3" t="inlineStr">
        <is>
          <t>67.20</t>
        </is>
      </c>
      <c r="Q1550" t="inlineStr">
        <is>
          <t>München</t>
        </is>
      </c>
    </row>
    <row r="1551">
      <c r="A1551" t="inlineStr">
        <is>
          <t>260 cm</t>
        </is>
      </c>
      <c r="B1551" t="inlineStr">
        <is>
          <t>Naish Supercross</t>
        </is>
      </c>
      <c r="C1551" t="inlineStr">
        <is>
          <t>Supercross</t>
        </is>
      </c>
      <c r="D1551" s="3" t="n">
        <v>114</v>
      </c>
      <c r="E1551" t="inlineStr"/>
      <c r="F1551" s="4" t="n">
        <v>120</v>
      </c>
      <c r="G1551" t="inlineStr">
        <is>
          <t>VB</t>
        </is>
      </c>
      <c r="H1551" t="inlineStr">
        <is>
          <t>22085 Hamburg-Nord - Hamburg Uhlenhorst</t>
        </is>
      </c>
      <c r="I1551" s="5" t="n">
        <v>45500</v>
      </c>
      <c r="J1551" t="inlineStr"/>
      <c r="K1551" s="6">
        <f>HYPERLINK("https://www.kleinanzeigen.de/s-anzeige/surfboard-surfbrett-naish-supercross-260-114-liter/2822768352-230-9486", "Link")</f>
        <v/>
      </c>
      <c r="L1551" s="6">
        <f>HYPERLINK("C:\Projects\Kleinanzeigen-Scraper\offer_images\2822768352", "Link")</f>
        <v/>
      </c>
      <c r="M1551" t="inlineStr">
        <is>
          <t>Jörg RIstau</t>
        </is>
      </c>
      <c r="N1551" s="6">
        <f>HYPERLINK("https://www.kleinanzeigen.de/s-bestandsliste.html?userId=33385898", "Link")</f>
        <v/>
      </c>
      <c r="O1551" s="7" t="n">
        <v>45549.57616898148</v>
      </c>
      <c r="P1551" s="3" t="inlineStr">
        <is>
          <t>359.41</t>
        </is>
      </c>
      <c r="Q1551" t="inlineStr">
        <is>
          <t>Köln</t>
        </is>
      </c>
    </row>
    <row r="1552">
      <c r="A1552" t="inlineStr">
        <is>
          <t>10'4"</t>
        </is>
      </c>
      <c r="B1552" t="inlineStr">
        <is>
          <t>Fanatic Diamond Air</t>
        </is>
      </c>
      <c r="C1552" t="inlineStr">
        <is>
          <t>Allround</t>
        </is>
      </c>
      <c r="D1552" s="3" t="n">
        <v>284</v>
      </c>
      <c r="E1552" t="inlineStr">
        <is>
          <t>2021</t>
        </is>
      </c>
      <c r="F1552" s="4" t="n">
        <v>487</v>
      </c>
      <c r="G1552" t="inlineStr">
        <is>
          <t>VB</t>
        </is>
      </c>
      <c r="H1552" t="inlineStr">
        <is>
          <t>18586 Mecklenburg-Vorpommern - Mönchgut, Ostseebad</t>
        </is>
      </c>
      <c r="I1552" s="5" t="n">
        <v>45544</v>
      </c>
      <c r="J1552" t="inlineStr">
        <is>
          <t>Sold</t>
        </is>
      </c>
      <c r="K1552" s="6">
        <f>HYPERLINK("https://www.kleinanzeigen.de/s-anzeige/fanatic-sup-2021-diamond-air-10-4-35-neu/1526382369-230-120", "Link")</f>
        <v/>
      </c>
      <c r="L1552" s="6">
        <f>HYPERLINK("C:\Projects\Kleinanzeigen-Scraper\offer_images\1526382369", "Link")</f>
        <v/>
      </c>
      <c r="M1552" t="inlineStr">
        <is>
          <t>No user name</t>
        </is>
      </c>
      <c r="N1552" s="6">
        <f>HYPERLINK("https://www.kleinanzeigen.deNo user link", "Link")</f>
        <v/>
      </c>
      <c r="O1552" s="7" t="n">
        <v>45549.57614583334</v>
      </c>
      <c r="P1552" s="3" t="inlineStr">
        <is>
          <t>591.22</t>
        </is>
      </c>
      <c r="Q1552" t="inlineStr">
        <is>
          <t>Köln</t>
        </is>
      </c>
    </row>
    <row r="1553">
      <c r="A1553" t="inlineStr"/>
      <c r="B1553" t="inlineStr">
        <is>
          <t>Severne Dyno</t>
        </is>
      </c>
      <c r="C1553" t="inlineStr">
        <is>
          <t>Freestylewave</t>
        </is>
      </c>
      <c r="D1553" s="3" t="n">
        <v>75</v>
      </c>
      <c r="E1553" t="inlineStr"/>
      <c r="F1553" s="4" t="n">
        <v>1.69</v>
      </c>
      <c r="G1553" t="inlineStr">
        <is>
          <t>VB</t>
        </is>
      </c>
      <c r="H1553" t="inlineStr">
        <is>
          <t>80997 München - Allach-Untermenzing</t>
        </is>
      </c>
      <c r="I1553" s="5" t="n">
        <v>45518</v>
      </c>
      <c r="J1553" t="inlineStr"/>
      <c r="K1553" s="6">
        <f>HYPERLINK("https://www.kleinanzeigen.de/s-anzeige/severne-dyno-freestylewave-board-75-liter-wie-neu/2836663640-230-6449", "Link")</f>
        <v/>
      </c>
      <c r="L1553" s="6">
        <f>HYPERLINK("C:\Projects\Kleinanzeigen-Scraper\offer_images\2836663640", "Link")</f>
        <v/>
      </c>
      <c r="M1553" t="inlineStr">
        <is>
          <t>Markus Schröder</t>
        </is>
      </c>
      <c r="N1553" s="6">
        <f>HYPERLINK("https://www.kleinanzeigen.de/s-bestandsliste.html?userId=18093815", "Link")</f>
        <v/>
      </c>
      <c r="O1553" s="7" t="n">
        <v>45549.57614583334</v>
      </c>
      <c r="P1553" s="3" t="inlineStr">
        <is>
          <t>8.83</t>
        </is>
      </c>
      <c r="Q1553" t="inlineStr">
        <is>
          <t>München</t>
        </is>
      </c>
    </row>
    <row r="1554">
      <c r="A1554" t="inlineStr">
        <is>
          <t>258cm x 73cm</t>
        </is>
      </c>
      <c r="B1554" t="inlineStr">
        <is>
          <t>Naish GT130</t>
        </is>
      </c>
      <c r="C1554" t="inlineStr">
        <is>
          <t>Freeride</t>
        </is>
      </c>
      <c r="D1554" s="3" t="n">
        <v>130</v>
      </c>
      <c r="E1554" t="inlineStr"/>
      <c r="F1554" s="4" t="n">
        <v>375</v>
      </c>
      <c r="G1554" t="inlineStr"/>
      <c r="H1554" t="inlineStr">
        <is>
          <t>78315 Baden-Württemberg - Radolfzell am Bodensee</t>
        </is>
      </c>
      <c r="I1554" s="5" t="n">
        <v>45545</v>
      </c>
      <c r="J1554" t="inlineStr"/>
      <c r="K1554" s="6">
        <f>HYPERLINK("https://www.kleinanzeigen.de/s-anzeige/naish-gt130-windsurfboard-fruehgleiter/2859081101-230-8190", "Link")</f>
        <v/>
      </c>
      <c r="L1554" s="6">
        <f>HYPERLINK("C:\Projects\Kleinanzeigen-Scraper\offer_images\2859081101", "Link")</f>
        <v/>
      </c>
      <c r="M1554" t="inlineStr">
        <is>
          <t>SilverSurfer</t>
        </is>
      </c>
      <c r="N1554" s="6">
        <f>HYPERLINK("https://www.kleinanzeigen.de/s-bestandsliste.html?userId=138556160", "Link")</f>
        <v/>
      </c>
      <c r="O1554" s="7" t="n">
        <v>45549.57614583334</v>
      </c>
      <c r="P1554" s="3" t="inlineStr">
        <is>
          <t>48.46</t>
        </is>
      </c>
      <c r="Q1554" t="inlineStr">
        <is>
          <t>Bonndorf</t>
        </is>
      </c>
    </row>
    <row r="1555">
      <c r="A1555" t="inlineStr">
        <is>
          <t>282 cm</t>
        </is>
      </c>
      <c r="B1555" t="inlineStr">
        <is>
          <t>Fanatic Ultra Ray</t>
        </is>
      </c>
      <c r="C1555" t="inlineStr">
        <is>
          <t>Slalom</t>
        </is>
      </c>
      <c r="D1555" s="3" t="n">
        <v>111</v>
      </c>
      <c r="E1555" t="inlineStr"/>
      <c r="F1555" s="4" t="n">
        <v>60</v>
      </c>
      <c r="G1555" t="inlineStr"/>
      <c r="H1555" t="inlineStr">
        <is>
          <t>26131 Niedersachsen - Oldenburg</t>
        </is>
      </c>
      <c r="I1555" s="5" t="n">
        <v>45508</v>
      </c>
      <c r="J1555" t="inlineStr">
        <is>
          <t>Sold</t>
        </is>
      </c>
      <c r="K1555" s="6">
        <f>HYPERLINK("https://www.kleinanzeigen.de/s-anzeige/fanatic-ultra-ray-282-surfboard/2828878014-230-3109", "Link")</f>
        <v/>
      </c>
      <c r="L1555" s="6">
        <f>HYPERLINK("C:\Projects\Kleinanzeigen-Scraper\offer_images\2828878014", "Link")</f>
        <v/>
      </c>
      <c r="M1555" t="inlineStr">
        <is>
          <t>Hauke</t>
        </is>
      </c>
      <c r="N1555" s="6">
        <f>HYPERLINK("https://www.kleinanzeigen.de/s-bestandsliste.html?userId=5890637", "Link")</f>
        <v/>
      </c>
      <c r="O1555" s="7" t="n">
        <v>45549.57612268518</v>
      </c>
      <c r="P1555" s="3" t="inlineStr">
        <is>
          <t>257.10</t>
        </is>
      </c>
      <c r="Q1555" t="inlineStr">
        <is>
          <t>Köln</t>
        </is>
      </c>
    </row>
    <row r="1556">
      <c r="A1556" t="inlineStr">
        <is>
          <t>171cm x 70cm x 12.5cm</t>
        </is>
      </c>
      <c r="B1556" t="inlineStr">
        <is>
          <t>Custom (similar to Fanatic)</t>
        </is>
      </c>
      <c r="C1556" t="inlineStr">
        <is>
          <t>Wingboard</t>
        </is>
      </c>
      <c r="D1556" s="3" t="n">
        <v>115</v>
      </c>
      <c r="E1556" t="inlineStr"/>
      <c r="F1556" s="4" t="n">
        <v>274</v>
      </c>
      <c r="G1556" t="inlineStr"/>
      <c r="H1556" t="inlineStr">
        <is>
          <t>83395 Bayern - Freilassing</t>
        </is>
      </c>
      <c r="I1556" s="5" t="n">
        <v>45524</v>
      </c>
      <c r="J1556" t="inlineStr">
        <is>
          <t>Sold</t>
        </is>
      </c>
      <c r="K1556" s="6">
        <f>HYPERLINK("https://www.kleinanzeigen.de/s-anzeige/wingboard-115-liter-5-7-custom-aehnlich-fanatic/2842253214-230-6273", "Link")</f>
        <v/>
      </c>
      <c r="L1556" s="6">
        <f>HYPERLINK("C:\Projects\Kleinanzeigen-Scraper\offer_images\2842253214", "Link")</f>
        <v/>
      </c>
      <c r="M1556" t="inlineStr">
        <is>
          <t>Fabian</t>
        </is>
      </c>
      <c r="N1556" s="6">
        <f>HYPERLINK("https://www.kleinanzeigen.de/s-bestandsliste.html?userId=8938861", "Link")</f>
        <v/>
      </c>
      <c r="O1556" s="7" t="n">
        <v>45549.57612268518</v>
      </c>
      <c r="P1556" s="3" t="inlineStr">
        <is>
          <t>108.85</t>
        </is>
      </c>
      <c r="Q1556" t="inlineStr">
        <is>
          <t>München</t>
        </is>
      </c>
    </row>
    <row r="1557">
      <c r="A1557" t="inlineStr">
        <is>
          <t>4'9''</t>
        </is>
      </c>
      <c r="B1557" t="inlineStr">
        <is>
          <t>Fanatic x Duotone Sky Style TE</t>
        </is>
      </c>
      <c r="C1557" t="inlineStr">
        <is>
          <t>Wingboard</t>
        </is>
      </c>
      <c r="D1557" s="3" t="n">
        <v>65</v>
      </c>
      <c r="E1557" t="inlineStr"/>
      <c r="F1557" s="4" t="n">
        <v>920</v>
      </c>
      <c r="G1557" t="inlineStr">
        <is>
          <t>VB</t>
        </is>
      </c>
      <c r="H1557" t="inlineStr">
        <is>
          <t>24235 Schleswig-Holstein - Stein (Probstei)</t>
        </is>
      </c>
      <c r="I1557" s="5" t="n">
        <v>45546</v>
      </c>
      <c r="J1557" t="inlineStr">
        <is>
          <t>Sold</t>
        </is>
      </c>
      <c r="K1557" s="6">
        <f>HYPERLINK("https://www.kleinanzeigen.de/s-anzeige/fanatic-x-duotone-sky-style-te-wing-wingboard-4-9-/2860507953-230-19456", "Link")</f>
        <v/>
      </c>
      <c r="L1557" s="6">
        <f>HYPERLINK("C:\Projects\Kleinanzeigen-Scraper\offer_images\2860507953", "Link")</f>
        <v/>
      </c>
      <c r="M1557" t="inlineStr">
        <is>
          <t>Tatort-Hawaii</t>
        </is>
      </c>
      <c r="N1557" s="6">
        <f>HYPERLINK("https://www.kleinanzeigen.de/s-bestandsliste.html?userId=65290662", "Link")</f>
        <v/>
      </c>
      <c r="O1557" s="7" t="n">
        <v>45549.57609953704</v>
      </c>
      <c r="P1557" s="3" t="inlineStr">
        <is>
          <t>443.73</t>
        </is>
      </c>
      <c r="Q1557" t="inlineStr">
        <is>
          <t>Köln</t>
        </is>
      </c>
    </row>
    <row r="1558">
      <c r="A1558" t="inlineStr"/>
      <c r="B1558" t="inlineStr">
        <is>
          <t>Fanatic Cross</t>
        </is>
      </c>
      <c r="C1558" t="inlineStr">
        <is>
          <t>Freeride</t>
        </is>
      </c>
      <c r="D1558" s="3" t="inlineStr"/>
      <c r="E1558" t="inlineStr"/>
      <c r="F1558" s="4" t="n">
        <v>80</v>
      </c>
      <c r="G1558" t="inlineStr">
        <is>
          <t>VB</t>
        </is>
      </c>
      <c r="H1558" t="inlineStr">
        <is>
          <t>69121 Baden-Württemberg - Heidelberg</t>
        </is>
      </c>
      <c r="I1558" s="5" t="n">
        <v>45507</v>
      </c>
      <c r="J1558" t="inlineStr">
        <is>
          <t>Sold</t>
        </is>
      </c>
      <c r="K1558" s="6">
        <f>HYPERLINK("https://www.kleinanzeigen.de/s-anzeige/windsurfbrett-fanatic-cross-carbon-sandwich/2828073741-230-9180", "Link")</f>
        <v/>
      </c>
      <c r="L1558" s="6">
        <f>HYPERLINK("C:\Projects\Kleinanzeigen-Scraper\offer_images\2828073741", "Link")</f>
        <v/>
      </c>
      <c r="M1558" t="inlineStr">
        <is>
          <t>Michael Ott</t>
        </is>
      </c>
      <c r="N1558" s="6">
        <f>HYPERLINK("https://www.kleinanzeigen.de/s-bestandsliste.html?userId=4363240", "Link")</f>
        <v/>
      </c>
      <c r="O1558" s="7" t="n">
        <v>45549.57609953704</v>
      </c>
      <c r="P1558" s="3" t="inlineStr">
        <is>
          <t>52.06</t>
        </is>
      </c>
      <c r="Q1558" t="inlineStr">
        <is>
          <t>Karlsruhe</t>
        </is>
      </c>
    </row>
    <row r="1559">
      <c r="A1559" t="inlineStr">
        <is>
          <t>8'4</t>
        </is>
      </c>
      <c r="B1559" t="inlineStr">
        <is>
          <t>Naish Competition Wave</t>
        </is>
      </c>
      <c r="C1559" t="inlineStr">
        <is>
          <t>Wave</t>
        </is>
      </c>
      <c r="D1559" s="3" t="n">
        <v>76</v>
      </c>
      <c r="E1559" t="inlineStr"/>
      <c r="F1559" s="4" t="n">
        <v>110</v>
      </c>
      <c r="G1559" t="inlineStr"/>
      <c r="H1559" t="inlineStr">
        <is>
          <t>23568 Schleswig-Holstein - Lübeck</t>
        </is>
      </c>
      <c r="I1559" s="5" t="n">
        <v>45543</v>
      </c>
      <c r="J1559" t="inlineStr"/>
      <c r="K1559" s="6">
        <f>HYPERLINK("https://www.kleinanzeigen.de/s-anzeige/naish-competition-wave-surfboard-8-4/2857606448-230-418", "Link")</f>
        <v/>
      </c>
      <c r="L1559" s="6">
        <f>HYPERLINK("C:\Projects\Kleinanzeigen-Scraper\offer_images\2857606448", "Link")</f>
        <v/>
      </c>
      <c r="M1559" t="inlineStr">
        <is>
          <t>Christian</t>
        </is>
      </c>
      <c r="N1559" s="6">
        <f>HYPERLINK("https://www.kleinanzeigen.de/s-bestandsliste.html?userId=29867609", "Link")</f>
        <v/>
      </c>
      <c r="O1559" s="7" t="n">
        <v>45549.57608796296</v>
      </c>
      <c r="P1559" s="3" t="inlineStr">
        <is>
          <t>418.25</t>
        </is>
      </c>
      <c r="Q1559" t="inlineStr">
        <is>
          <t>Köln</t>
        </is>
      </c>
    </row>
    <row r="1560">
      <c r="A1560" t="inlineStr">
        <is>
          <t>236 cm x 63 cm</t>
        </is>
      </c>
      <c r="B1560" t="inlineStr">
        <is>
          <t>Naish S26 Starship</t>
        </is>
      </c>
      <c r="C1560" t="inlineStr">
        <is>
          <t>Freemove</t>
        </is>
      </c>
      <c r="D1560" s="3" t="n">
        <v>105</v>
      </c>
      <c r="E1560" t="inlineStr">
        <is>
          <t>2023</t>
        </is>
      </c>
      <c r="F1560" s="4" t="n">
        <v>1.199</v>
      </c>
      <c r="G1560" t="inlineStr"/>
      <c r="H1560" t="inlineStr">
        <is>
          <t>82319 Bayern - Starnberg</t>
        </is>
      </c>
      <c r="I1560" s="5" t="n">
        <v>45553</v>
      </c>
      <c r="J1560" t="inlineStr"/>
      <c r="K1560" s="6">
        <f>HYPERLINK("https://www.kleinanzeigen.de/s-anzeige/naish-s26-starship-freemove-windsurfboard-105-gebraucht/2426860203-230-5525", "Link")</f>
        <v/>
      </c>
      <c r="L1560" s="6">
        <f>HYPERLINK("C:\Projects\Kleinanzeigen-Scraper\offer_images\2426860203", "Link")</f>
        <v/>
      </c>
      <c r="M1560" t="inlineStr">
        <is>
          <t>No user name</t>
        </is>
      </c>
      <c r="N1560" s="6">
        <f>HYPERLINK("https://www.kleinanzeigen.deNo user link", "Link")</f>
        <v/>
      </c>
      <c r="O1560" s="7" t="n">
        <v>45549.57607638889</v>
      </c>
      <c r="P1560" s="3" t="inlineStr">
        <is>
          <t>23.17</t>
        </is>
      </c>
      <c r="Q1560" t="inlineStr">
        <is>
          <t>München</t>
        </is>
      </c>
    </row>
    <row r="1561">
      <c r="A1561" t="inlineStr">
        <is>
          <t>229 x 60 cm</t>
        </is>
      </c>
      <c r="B1561" t="inlineStr">
        <is>
          <t>RRD Freestyle Wave 90 LTD V4</t>
        </is>
      </c>
      <c r="C1561" t="inlineStr">
        <is>
          <t>Freestyle Wave</t>
        </is>
      </c>
      <c r="D1561" s="3" t="n">
        <v>90</v>
      </c>
      <c r="E1561" t="inlineStr"/>
      <c r="F1561" s="4" t="n">
        <v>590</v>
      </c>
      <c r="G1561" t="inlineStr"/>
      <c r="H1561" t="inlineStr">
        <is>
          <t>23769 Fehmarn - Westfehmarn</t>
        </is>
      </c>
      <c r="I1561" s="5" t="n">
        <v>45520</v>
      </c>
      <c r="J1561" t="inlineStr">
        <is>
          <t>Sold</t>
        </is>
      </c>
      <c r="K1561" s="6">
        <f>HYPERLINK("https://www.kleinanzeigen.de/s-anzeige/rrd-freestyle-wave-90-ltd-v4-freewave/2838332491-230-430", "Link")</f>
        <v/>
      </c>
      <c r="L1561" s="6">
        <f>HYPERLINK("C:\Projects\Kleinanzeigen-Scraper\offer_images\2838332491", "Link")</f>
        <v/>
      </c>
      <c r="M1561" t="inlineStr">
        <is>
          <t>Björn</t>
        </is>
      </c>
      <c r="N1561" s="6">
        <f>HYPERLINK("https://www.kleinanzeigen.de/s-bestandsliste.html?userId=506614", "Link")</f>
        <v/>
      </c>
      <c r="O1561" s="7" t="n">
        <v>45549.57606481481</v>
      </c>
      <c r="P1561" s="3" t="inlineStr">
        <is>
          <t>483.01</t>
        </is>
      </c>
      <c r="Q1561" t="inlineStr">
        <is>
          <t>Köln</t>
        </is>
      </c>
    </row>
    <row r="1562">
      <c r="A1562" t="inlineStr">
        <is>
          <t>120 x 46 cm</t>
        </is>
      </c>
      <c r="B1562" t="inlineStr">
        <is>
          <t>North Scoop</t>
        </is>
      </c>
      <c r="C1562" t="inlineStr">
        <is>
          <t>Foilboard</t>
        </is>
      </c>
      <c r="D1562" s="3" t="inlineStr"/>
      <c r="E1562" t="inlineStr"/>
      <c r="F1562" s="4" t="n">
        <v>450</v>
      </c>
      <c r="G1562" t="inlineStr">
        <is>
          <t>VB</t>
        </is>
      </c>
      <c r="H1562" t="inlineStr">
        <is>
          <t>86573 Bayern - Obergriesbach</t>
        </is>
      </c>
      <c r="I1562" s="5" t="n">
        <v>45547</v>
      </c>
      <c r="J1562" t="inlineStr">
        <is>
          <t>Sold</t>
        </is>
      </c>
      <c r="K1562" s="6">
        <f>HYPERLINK("https://www.kleinanzeigen.de/s-anzeige/north-scoop-foilboard-120cm/2861433546-230-7197", "Link")</f>
        <v/>
      </c>
      <c r="L1562" s="6">
        <f>HYPERLINK("C:\Projects\Kleinanzeigen-Scraper\offer_images\2861433546", "Link")</f>
        <v/>
      </c>
      <c r="M1562" t="inlineStr">
        <is>
          <t>Daniel</t>
        </is>
      </c>
      <c r="N1562" s="6">
        <f>HYPERLINK("https://www.kleinanzeigen.de/s-bestandsliste.html?userId=144265443", "Link")</f>
        <v/>
      </c>
      <c r="O1562" s="7" t="n">
        <v>45549.57606481481</v>
      </c>
      <c r="P1562" s="3" t="inlineStr">
        <is>
          <t>49.21</t>
        </is>
      </c>
      <c r="Q1562" t="inlineStr">
        <is>
          <t>München</t>
        </is>
      </c>
    </row>
    <row r="1563">
      <c r="A1563" t="inlineStr">
        <is>
          <t>11'2" x 32"</t>
        </is>
      </c>
      <c r="B1563" t="inlineStr">
        <is>
          <t>Starboard Igo</t>
        </is>
      </c>
      <c r="C1563" t="inlineStr"/>
      <c r="D1563" s="3" t="n">
        <v>342</v>
      </c>
      <c r="E1563" t="inlineStr"/>
      <c r="F1563" s="4" t="n">
        <v>650</v>
      </c>
      <c r="G1563" t="inlineStr"/>
      <c r="H1563" t="inlineStr">
        <is>
          <t>58507 Nordrhein-Westfalen - Lüdenscheid</t>
        </is>
      </c>
      <c r="I1563" s="5" t="n">
        <v>45548</v>
      </c>
      <c r="J1563" t="inlineStr"/>
      <c r="K1563" s="6">
        <f>HYPERLINK("https://www.kleinanzeigen.de/s-anzeige/sup-starboard-igo-11-2x32-deluxe-light-neuestes-modell-top/2861858215-230-1808", "Link")</f>
        <v/>
      </c>
      <c r="L1563" s="6">
        <f>HYPERLINK("C:\Projects\Kleinanzeigen-Scraper\offer_images\2861858215", "Link")</f>
        <v/>
      </c>
      <c r="M1563" t="inlineStr">
        <is>
          <t>HM</t>
        </is>
      </c>
      <c r="N1563" s="6">
        <f>HYPERLINK("https://www.kleinanzeigen.de/s-bestandsliste.html?userId=23303716", "Link")</f>
        <v/>
      </c>
      <c r="O1563" s="7" t="n">
        <v>45549.57605324074</v>
      </c>
      <c r="P1563" s="3" t="inlineStr">
        <is>
          <t>57.41</t>
        </is>
      </c>
      <c r="Q1563" t="inlineStr">
        <is>
          <t>Köln</t>
        </is>
      </c>
    </row>
    <row r="1564">
      <c r="A1564" t="inlineStr">
        <is>
          <t>275x64</t>
        </is>
      </c>
      <c r="B1564" t="inlineStr">
        <is>
          <t>JP Australia</t>
        </is>
      </c>
      <c r="C1564" t="inlineStr">
        <is>
          <t>Freeride</t>
        </is>
      </c>
      <c r="D1564" s="3" t="n">
        <v>129</v>
      </c>
      <c r="E1564" t="inlineStr"/>
      <c r="F1564" s="4" t="n">
        <v>85</v>
      </c>
      <c r="G1564" t="inlineStr">
        <is>
          <t>VB</t>
        </is>
      </c>
      <c r="H1564" t="inlineStr">
        <is>
          <t>23769 Kreis Ostholstein - Fehmarn</t>
        </is>
      </c>
      <c r="I1564" s="5" t="n">
        <v>45494</v>
      </c>
      <c r="J1564" t="inlineStr">
        <is>
          <t>Sold</t>
        </is>
      </c>
      <c r="K1564" s="6">
        <f>HYPERLINK("https://www.kleinanzeigen.de/s-anzeige/jp-australia-surfboard-129/2817320157-230-19951", "Link")</f>
        <v/>
      </c>
      <c r="L1564" s="6">
        <f>HYPERLINK("C:\Projects\Kleinanzeigen-Scraper\offer_images\2817320157", "Link")</f>
        <v/>
      </c>
      <c r="M1564" t="inlineStr">
        <is>
          <t>Jan-Mathis Gabler</t>
        </is>
      </c>
      <c r="N1564" s="6">
        <f>HYPERLINK("https://www.kleinanzeigen.de/s-bestandsliste.html?userId=12070637", "Link")</f>
        <v/>
      </c>
      <c r="O1564" s="7" t="n">
        <v>45549.57605324074</v>
      </c>
      <c r="P1564" s="3" t="inlineStr">
        <is>
          <t>483.01</t>
        </is>
      </c>
      <c r="Q1564" t="inlineStr">
        <is>
          <t>Köln</t>
        </is>
      </c>
    </row>
    <row r="1565">
      <c r="A1565" t="inlineStr">
        <is>
          <t>12.6 x 29 x 79</t>
        </is>
      </c>
      <c r="B1565" t="inlineStr">
        <is>
          <t>Starboard</t>
        </is>
      </c>
      <c r="C1565" t="inlineStr">
        <is>
          <t>Touring</t>
        </is>
      </c>
      <c r="D1565" s="3" t="inlineStr"/>
      <c r="E1565" t="inlineStr"/>
      <c r="F1565" s="4" t="n">
        <v>550</v>
      </c>
      <c r="G1565" t="inlineStr">
        <is>
          <t>VB</t>
        </is>
      </c>
      <c r="H1565" t="inlineStr">
        <is>
          <t>21406 Niedersachsen - Melbeck</t>
        </is>
      </c>
      <c r="I1565" s="5" t="n">
        <v>45530</v>
      </c>
      <c r="J1565" t="inlineStr"/>
      <c r="K1565" s="6">
        <f>HYPERLINK("https://www.kleinanzeigen.de/s-anzeige/sup-starboard-hardboard-12-6/2846583509-230-3279", "Link")</f>
        <v/>
      </c>
      <c r="L1565" s="6">
        <f>HYPERLINK("C:\Projects\Kleinanzeigen-Scraper\offer_images\2846583509", "Link")</f>
        <v/>
      </c>
      <c r="M1565" t="inlineStr">
        <is>
          <t>Thorsten Zur</t>
        </is>
      </c>
      <c r="N1565" s="6">
        <f>HYPERLINK("https://www.kleinanzeigen.de/s-bestandsliste.html?userId=50007670", "Link")</f>
        <v/>
      </c>
      <c r="O1565" s="7" t="n">
        <v>45549.57605324074</v>
      </c>
      <c r="P1565" s="3" t="inlineStr">
        <is>
          <t>340.84</t>
        </is>
      </c>
      <c r="Q1565" t="inlineStr">
        <is>
          <t>Köln</t>
        </is>
      </c>
    </row>
    <row r="1566">
      <c r="A1566" t="inlineStr">
        <is>
          <t>320 cm x 30"</t>
        </is>
      </c>
      <c r="B1566" t="inlineStr">
        <is>
          <t>Naish Alana Air</t>
        </is>
      </c>
      <c r="C1566" t="inlineStr">
        <is>
          <t>iSUP</t>
        </is>
      </c>
      <c r="D1566" s="3" t="inlineStr"/>
      <c r="E1566" t="inlineStr"/>
      <c r="F1566" s="4" t="n">
        <v>325</v>
      </c>
      <c r="G1566" t="inlineStr">
        <is>
          <t>VB</t>
        </is>
      </c>
      <c r="H1566" t="inlineStr">
        <is>
          <t>18209 Mecklenburg-Vorpommern - Steffenshagen</t>
        </is>
      </c>
      <c r="I1566" s="5" t="n">
        <v>45502</v>
      </c>
      <c r="J1566" t="inlineStr">
        <is>
          <t>Sold</t>
        </is>
      </c>
      <c r="K1566" s="6">
        <f>HYPERLINK("https://www.kleinanzeigen.de/s-anzeige/naish-alana-air-10-6-isup-stand-up-paddling-board-sup-versand/2824406898-230-25847", "Link")</f>
        <v/>
      </c>
      <c r="L1566" s="6">
        <f>HYPERLINK("C:\Projects\Kleinanzeigen-Scraper\offer_images\2824406898", "Link")</f>
        <v/>
      </c>
      <c r="M1566" t="inlineStr">
        <is>
          <t>Susanne</t>
        </is>
      </c>
      <c r="N1566" s="6">
        <f>HYPERLINK("https://www.kleinanzeigen.de/s-bestandsliste.html?userId=23427859", "Link")</f>
        <v/>
      </c>
      <c r="O1566" s="7" t="n">
        <v>45549.57604166667</v>
      </c>
      <c r="P1566" s="3" t="inlineStr">
        <is>
          <t>483.98</t>
        </is>
      </c>
      <c r="Q1566" t="inlineStr">
        <is>
          <t>Köln</t>
        </is>
      </c>
    </row>
    <row r="1567">
      <c r="A1567" t="inlineStr">
        <is>
          <t>242x62 cm</t>
        </is>
      </c>
      <c r="B1567" t="inlineStr">
        <is>
          <t>RRD FreeStyleWave 101 Limited Edition</t>
        </is>
      </c>
      <c r="C1567" t="inlineStr">
        <is>
          <t>Freestyle</t>
        </is>
      </c>
      <c r="D1567" s="3" t="n">
        <v>101</v>
      </c>
      <c r="E1567" t="inlineStr"/>
      <c r="F1567" s="4" t="n">
        <v>400</v>
      </c>
      <c r="G1567" t="inlineStr"/>
      <c r="H1567" t="inlineStr">
        <is>
          <t>27283 Niedersachsen - Verden</t>
        </is>
      </c>
      <c r="I1567" s="5" t="n">
        <v>45549</v>
      </c>
      <c r="J1567" t="inlineStr"/>
      <c r="K1567" s="6">
        <f>HYPERLINK("https://www.kleinanzeigen.de/s-anzeige/rrd-freestylewave-101-limited-edition-windsurfboard/2796801368-230-2725", "Link")</f>
        <v/>
      </c>
      <c r="L1567" s="6">
        <f>HYPERLINK("C:\Projects\Kleinanzeigen-Scraper\offer_images\2796801368", "Link")</f>
        <v/>
      </c>
      <c r="M1567" t="inlineStr">
        <is>
          <t>Michael Schäfer</t>
        </is>
      </c>
      <c r="N1567" s="6">
        <f>HYPERLINK("https://www.kleinanzeigen.de/s-bestandsliste.html?userId=40929588", "Link")</f>
        <v/>
      </c>
      <c r="O1567" s="7" t="n">
        <v>45549.57604166667</v>
      </c>
      <c r="P1567" s="3" t="inlineStr">
        <is>
          <t>271.41</t>
        </is>
      </c>
      <c r="Q1567" t="inlineStr">
        <is>
          <t>Köln</t>
        </is>
      </c>
    </row>
    <row r="1568">
      <c r="A1568" t="inlineStr"/>
      <c r="B1568" t="inlineStr">
        <is>
          <t>Tabou</t>
        </is>
      </c>
      <c r="C1568" t="inlineStr">
        <is>
          <t>Freestyle</t>
        </is>
      </c>
      <c r="D1568" s="3" t="n">
        <v>110</v>
      </c>
      <c r="E1568" t="inlineStr"/>
      <c r="F1568" s="4" t="n">
        <v>260</v>
      </c>
      <c r="G1568" t="inlineStr">
        <is>
          <t>VB</t>
        </is>
      </c>
      <c r="H1568" t="inlineStr">
        <is>
          <t>52080 Aachen - Aachen-Haaren</t>
        </is>
      </c>
      <c r="I1568" s="5" t="n">
        <v>45520</v>
      </c>
      <c r="J1568" t="inlineStr"/>
      <c r="K1568" s="6">
        <f>HYPERLINK("https://www.kleinanzeigen.de/s-anzeige/tabou-freestyle-board-110l/2838611708-230-16879", "Link")</f>
        <v/>
      </c>
      <c r="L1568" s="6">
        <f>HYPERLINK("C:\Projects\Kleinanzeigen-Scraper\offer_images\2838611708", "Link")</f>
        <v/>
      </c>
      <c r="M1568" t="inlineStr">
        <is>
          <t>Jakob</t>
        </is>
      </c>
      <c r="N1568" s="6">
        <f>HYPERLINK("https://www.kleinanzeigen.de/s-bestandsliste.html?userId=92381066", "Link")</f>
        <v/>
      </c>
      <c r="O1568" s="7" t="n">
        <v>45549.57604166667</v>
      </c>
      <c r="P1568" s="3" t="inlineStr">
        <is>
          <t>58.05</t>
        </is>
      </c>
      <c r="Q1568" t="inlineStr">
        <is>
          <t>Köln</t>
        </is>
      </c>
    </row>
    <row r="1569">
      <c r="A1569" t="inlineStr">
        <is>
          <t>14"x30"</t>
        </is>
      </c>
      <c r="B1569" t="inlineStr">
        <is>
          <t>STARBOARD Waterline Carbon Top</t>
        </is>
      </c>
      <c r="C1569" t="inlineStr"/>
      <c r="D1569" s="3" t="inlineStr"/>
      <c r="E1569" t="inlineStr"/>
      <c r="F1569" s="4" t="n">
        <v>1.3</v>
      </c>
      <c r="G1569" t="inlineStr"/>
      <c r="H1569" t="inlineStr">
        <is>
          <t>88131 Bayern - Lindau</t>
        </is>
      </c>
      <c r="I1569" s="5" t="n">
        <v>45540</v>
      </c>
      <c r="J1569" t="inlineStr"/>
      <c r="K1569" s="6">
        <f>HYPERLINK("https://www.kleinanzeigen.de/s-anzeige/starboard-waterline-carbon-top-14-x30-wie-neu/2855318561-230-7707", "Link")</f>
        <v/>
      </c>
      <c r="L1569" s="6">
        <f>HYPERLINK("C:\Projects\Kleinanzeigen-Scraper\offer_images\2855318561", "Link")</f>
        <v/>
      </c>
      <c r="M1569" t="inlineStr">
        <is>
          <t>Alexander</t>
        </is>
      </c>
      <c r="N1569" s="6">
        <f>HYPERLINK("https://www.kleinanzeigen.de/s-bestandsliste.html?userId=22026583", "Link")</f>
        <v/>
      </c>
      <c r="O1569" s="7" t="n">
        <v>45549.57601851852</v>
      </c>
      <c r="P1569" s="3" t="inlineStr">
        <is>
          <t>104.13</t>
        </is>
      </c>
      <c r="Q1569" t="inlineStr">
        <is>
          <t>Bonndorf</t>
        </is>
      </c>
    </row>
    <row r="1570">
      <c r="A1570" t="inlineStr">
        <is>
          <t>185</t>
        </is>
      </c>
      <c r="B1570" t="inlineStr">
        <is>
          <t>Gun Sails</t>
        </is>
      </c>
      <c r="C1570" t="inlineStr"/>
      <c r="D1570" s="3" t="inlineStr"/>
      <c r="E1570" t="inlineStr"/>
      <c r="F1570" s="4" t="n">
        <v>50</v>
      </c>
      <c r="G1570" t="inlineStr">
        <is>
          <t>VB</t>
        </is>
      </c>
      <c r="H1570" t="inlineStr">
        <is>
          <t>04159 Leipzig - Möckern</t>
        </is>
      </c>
      <c r="I1570" s="5" t="n">
        <v>45523</v>
      </c>
      <c r="J1570" t="inlineStr">
        <is>
          <t>Sold</t>
        </is>
      </c>
      <c r="K1570" s="6">
        <f>HYPERLINK("https://www.kleinanzeigen.de/s-anzeige/gun-sails-board-185-inkl-tasche/2840902895-230-4254", "Link")</f>
        <v/>
      </c>
      <c r="L1570" s="6">
        <f>HYPERLINK("C:\Projects\Kleinanzeigen-Scraper\offer_images\2840902895", "Link")</f>
        <v/>
      </c>
      <c r="M1570" t="inlineStr">
        <is>
          <t>chris</t>
        </is>
      </c>
      <c r="N1570" s="6">
        <f>HYPERLINK("https://www.kleinanzeigen.de/s-bestandsliste.html?userId=13362419", "Link")</f>
        <v/>
      </c>
      <c r="O1570" s="7" t="n">
        <v>45549.57601851852</v>
      </c>
      <c r="P1570" s="3" t="inlineStr">
        <is>
          <t>364.41</t>
        </is>
      </c>
      <c r="Q1570" t="inlineStr">
        <is>
          <t>München</t>
        </is>
      </c>
    </row>
    <row r="1571">
      <c r="A1571" t="inlineStr">
        <is>
          <t>225x85</t>
        </is>
      </c>
      <c r="B1571" t="inlineStr">
        <is>
          <t>RRD Firemove Flight</t>
        </is>
      </c>
      <c r="C1571" t="inlineStr">
        <is>
          <t>Freemove</t>
        </is>
      </c>
      <c r="D1571" s="3" t="n">
        <v>135</v>
      </c>
      <c r="E1571" t="inlineStr">
        <is>
          <t>2025</t>
        </is>
      </c>
      <c r="F1571" s="4" t="n">
        <v>910</v>
      </c>
      <c r="G1571" t="inlineStr">
        <is>
          <t>VB</t>
        </is>
      </c>
      <c r="H1571" t="inlineStr">
        <is>
          <t>35216 Hessen - Biedenkopf</t>
        </is>
      </c>
      <c r="I1571" s="5" t="n">
        <v>45507</v>
      </c>
      <c r="J1571" t="inlineStr">
        <is>
          <t>Sold</t>
        </is>
      </c>
      <c r="K1571" s="6">
        <f>HYPERLINK("https://www.kleinanzeigen.de/s-anzeige/rrd-firemove-flight-135-lts-y25-ltd-bauweise/2827904604-230-1471", "Link")</f>
        <v/>
      </c>
      <c r="L1571" s="6">
        <f>HYPERLINK("C:\Projects\Kleinanzeigen-Scraper\offer_images\2827904604", "Link")</f>
        <v/>
      </c>
      <c r="M1571" t="inlineStr">
        <is>
          <t>Julia Elisabeth Schwarz</t>
        </is>
      </c>
      <c r="N1571" s="6">
        <f>HYPERLINK("https://www.kleinanzeigen.de/s-bestandsliste.html?userId=44834215", "Link")</f>
        <v/>
      </c>
      <c r="O1571" s="7" t="n">
        <v>45549.57599537037</v>
      </c>
      <c r="P1571" s="3" t="inlineStr">
        <is>
          <t>109.63</t>
        </is>
      </c>
      <c r="Q1571" t="inlineStr">
        <is>
          <t>Köln</t>
        </is>
      </c>
    </row>
    <row r="1572">
      <c r="A1572" t="inlineStr">
        <is>
          <t>279 cm</t>
        </is>
      </c>
      <c r="B1572" t="inlineStr">
        <is>
          <t>Naish Enduro</t>
        </is>
      </c>
      <c r="C1572" t="inlineStr">
        <is>
          <t>Freeride</t>
        </is>
      </c>
      <c r="D1572" s="3" t="n">
        <v>120</v>
      </c>
      <c r="E1572" t="inlineStr"/>
      <c r="F1572" s="4" t="n">
        <v>249</v>
      </c>
      <c r="G1572" t="inlineStr">
        <is>
          <t>VB</t>
        </is>
      </c>
      <c r="H1572" t="inlineStr">
        <is>
          <t>91054 Bayern - Erlangen</t>
        </is>
      </c>
      <c r="I1572" s="5" t="n">
        <v>45506</v>
      </c>
      <c r="J1572" t="inlineStr">
        <is>
          <t>Sold</t>
        </is>
      </c>
      <c r="K1572" s="6">
        <f>HYPERLINK("https://www.kleinanzeigen.de/s-anzeige/wind-surfboard-naish-enduro-120l/2815608439-230-6800", "Link")</f>
        <v/>
      </c>
      <c r="L1572" s="6">
        <f>HYPERLINK("C:\Projects\Kleinanzeigen-Scraper\offer_images\2815608439", "Link")</f>
        <v/>
      </c>
      <c r="M1572" t="inlineStr">
        <is>
          <t>Karlheinz Aigner</t>
        </is>
      </c>
      <c r="N1572" s="6">
        <f>HYPERLINK("https://www.kleinanzeigen.de/s-bestandsliste.html?userId=28961628", "Link")</f>
        <v/>
      </c>
      <c r="O1572" s="7" t="n">
        <v>45549.57599537037</v>
      </c>
      <c r="P1572" s="3" t="inlineStr">
        <is>
          <t>168.21</t>
        </is>
      </c>
      <c r="Q1572" t="inlineStr">
        <is>
          <t>München</t>
        </is>
      </c>
    </row>
    <row r="1573">
      <c r="A1573" t="inlineStr">
        <is>
          <t>244x53</t>
        </is>
      </c>
      <c r="B1573" t="inlineStr">
        <is>
          <t>Starboard Trance</t>
        </is>
      </c>
      <c r="C1573" t="inlineStr">
        <is>
          <t>Wave</t>
        </is>
      </c>
      <c r="D1573" s="3" t="n">
        <v>74</v>
      </c>
      <c r="E1573" t="inlineStr"/>
      <c r="F1573" s="4" t="n">
        <v>95</v>
      </c>
      <c r="G1573" t="inlineStr">
        <is>
          <t>VB</t>
        </is>
      </c>
      <c r="H1573" t="inlineStr">
        <is>
          <t>33607 Bielefeld - Bielefeld (Innenstadt)</t>
        </is>
      </c>
      <c r="I1573" s="5" t="n">
        <v>45529</v>
      </c>
      <c r="J1573" t="inlineStr"/>
      <c r="K1573" s="6">
        <f>HYPERLINK("https://www.kleinanzeigen.de/s-anzeige/starboard-trance-74-surfboard-unbenutzt-mit-neuen-fussschlaufen/2846127512-230-1069", "Link")</f>
        <v/>
      </c>
      <c r="L1573" s="6">
        <f>HYPERLINK("C:\Projects\Kleinanzeigen-Scraper\offer_images\2846127512", "Link")</f>
        <v/>
      </c>
      <c r="M1573" t="inlineStr">
        <is>
          <t>Horst</t>
        </is>
      </c>
      <c r="N1573" s="6">
        <f>HYPERLINK("https://www.kleinanzeigen.de/s-bestandsliste.html?userId=18007600", "Link")</f>
        <v/>
      </c>
      <c r="O1573" s="7" t="n">
        <v>45549.57599537037</v>
      </c>
      <c r="P1573" s="3" t="inlineStr">
        <is>
          <t>164.50</t>
        </is>
      </c>
      <c r="Q1573" t="inlineStr">
        <is>
          <t>Köln</t>
        </is>
      </c>
    </row>
    <row r="1574">
      <c r="A1574" t="inlineStr"/>
      <c r="B1574" t="inlineStr">
        <is>
          <t>Naish</t>
        </is>
      </c>
      <c r="C1574" t="inlineStr"/>
      <c r="D1574" s="3" t="inlineStr">
        <is>
          <t>42, 52</t>
        </is>
      </c>
      <c r="E1574" t="inlineStr">
        <is>
          <t>2024</t>
        </is>
      </c>
      <c r="F1574" s="4" t="n">
        <v>675</v>
      </c>
      <c r="G1574" t="inlineStr"/>
      <c r="H1574" t="inlineStr">
        <is>
          <t>23769 Kreis Ostholstein - Fehmarn</t>
        </is>
      </c>
      <c r="I1574" s="5" t="n">
        <v>45536</v>
      </c>
      <c r="J1574" t="inlineStr"/>
      <c r="K1574" s="6">
        <f>HYPERLINK("https://www.kleinanzeigen.de/s-anzeige/2024-naish-hover-42-und-52-liter/2851148233-230-19951", "Link")</f>
        <v/>
      </c>
      <c r="L1574" s="6">
        <f>HYPERLINK("C:\Projects\Kleinanzeigen-Scraper\offer_images\2851148233", "Link")</f>
        <v/>
      </c>
      <c r="M1574" t="inlineStr">
        <is>
          <t>Xander</t>
        </is>
      </c>
      <c r="N1574" s="6">
        <f>HYPERLINK("https://www.kleinanzeigen.de/s-bestandsliste.html?userId=121819845", "Link")</f>
        <v/>
      </c>
      <c r="O1574" s="7" t="n">
        <v>45549.57597222222</v>
      </c>
      <c r="P1574" s="3" t="inlineStr">
        <is>
          <t>483.01</t>
        </is>
      </c>
      <c r="Q1574" t="inlineStr">
        <is>
          <t>Köln</t>
        </is>
      </c>
    </row>
    <row r="1575">
      <c r="A1575" t="inlineStr">
        <is>
          <t>10'8" x 33"</t>
        </is>
      </c>
      <c r="B1575" t="inlineStr">
        <is>
          <t>Starboard iGO</t>
        </is>
      </c>
      <c r="C1575" t="inlineStr">
        <is>
          <t>Allround SUP</t>
        </is>
      </c>
      <c r="D1575" s="3" t="inlineStr"/>
      <c r="E1575" t="inlineStr">
        <is>
          <t>2023</t>
        </is>
      </c>
      <c r="F1575" s="4" t="n">
        <v>499</v>
      </c>
      <c r="G1575" t="inlineStr">
        <is>
          <t>VB</t>
        </is>
      </c>
      <c r="H1575" t="inlineStr">
        <is>
          <t>81667 München - Au-Haidhausen</t>
        </is>
      </c>
      <c r="I1575" s="5" t="n">
        <v>45530</v>
      </c>
      <c r="J1575" t="inlineStr"/>
      <c r="K1575" s="6">
        <f>HYPERLINK("https://www.kleinanzeigen.de/s-anzeige/sup-board-stand-up-paddling-starboard-igo-10-8-x-33-de-lux-sc-23/2846740788-230-6454", "Link")</f>
        <v/>
      </c>
      <c r="L1575" s="6">
        <f>HYPERLINK("C:\Projects\Kleinanzeigen-Scraper\offer_images\2846740788", "Link")</f>
        <v/>
      </c>
      <c r="M1575" t="inlineStr">
        <is>
          <t>Guido Meier</t>
        </is>
      </c>
      <c r="N1575" s="6">
        <f>HYPERLINK("https://www.kleinanzeigen.de/s-bestandsliste.html?userId=11953205", "Link")</f>
        <v/>
      </c>
      <c r="O1575" s="7" t="n">
        <v>45549.57597222222</v>
      </c>
      <c r="P1575" s="3" t="inlineStr">
        <is>
          <t>2.06</t>
        </is>
      </c>
      <c r="Q1575" t="inlineStr">
        <is>
          <t>München</t>
        </is>
      </c>
    </row>
    <row r="1576">
      <c r="A1576" t="inlineStr">
        <is>
          <t>258 cm x 55 cm</t>
        </is>
      </c>
      <c r="B1576" t="inlineStr">
        <is>
          <t>Mistral Naish</t>
        </is>
      </c>
      <c r="C1576" t="inlineStr">
        <is>
          <t>Freemove</t>
        </is>
      </c>
      <c r="D1576" s="3" t="n">
        <v>85</v>
      </c>
      <c r="E1576" t="inlineStr"/>
      <c r="F1576" s="4" t="inlineStr"/>
      <c r="G1576" t="inlineStr">
        <is>
          <t>VB</t>
        </is>
      </c>
      <c r="H1576" t="inlineStr">
        <is>
          <t>82538 Bayern - Geretsried</t>
        </is>
      </c>
      <c r="I1576" s="5" t="n">
        <v>45140</v>
      </c>
      <c r="J1576" t="inlineStr"/>
      <c r="K1576" s="6">
        <f>HYPERLINK("https://www.kleinanzeigen.de/s-anzeige/naish-freemove-freestyle-wave-surfbrett-finne-bag-jp-rrd/2510284096-230-6330", "Link")</f>
        <v/>
      </c>
      <c r="L1576" s="6">
        <f>HYPERLINK("C:\Projects\Kleinanzeigen-Scraper\offer_images\2510284096", "Link")</f>
        <v/>
      </c>
      <c r="M1576" t="inlineStr">
        <is>
          <t>Sam</t>
        </is>
      </c>
      <c r="N1576" s="6">
        <f>HYPERLINK("https://www.kleinanzeigen.de/s-bestandsliste.html?userId=17949752", "Link")</f>
        <v/>
      </c>
      <c r="O1576" s="7" t="n">
        <v>45549.57594907407</v>
      </c>
      <c r="P1576" s="3" t="inlineStr">
        <is>
          <t>30.25</t>
        </is>
      </c>
      <c r="Q1576" t="inlineStr">
        <is>
          <t>München</t>
        </is>
      </c>
    </row>
    <row r="1577">
      <c r="A1577" t="inlineStr">
        <is>
          <t>139x41</t>
        </is>
      </c>
      <c r="B1577" t="inlineStr">
        <is>
          <t>RRD Placebo V4</t>
        </is>
      </c>
      <c r="C1577" t="inlineStr">
        <is>
          <t>twintip</t>
        </is>
      </c>
      <c r="D1577" s="3" t="inlineStr"/>
      <c r="E1577" t="inlineStr"/>
      <c r="F1577" s="4" t="n">
        <v>120</v>
      </c>
      <c r="G1577" t="inlineStr"/>
      <c r="H1577" t="inlineStr">
        <is>
          <t>80687 München - Laim</t>
        </is>
      </c>
      <c r="I1577" s="5" t="n">
        <v>45521</v>
      </c>
      <c r="J1577" t="inlineStr">
        <is>
          <t>Sold</t>
        </is>
      </c>
      <c r="K1577" s="6">
        <f>HYPERLINK("https://www.kleinanzeigen.de/s-anzeige/rrd-placebo-v4-twintip-kiteboard-139x41/2839043104-230-6432", "Link")</f>
        <v/>
      </c>
      <c r="L1577" s="6">
        <f>HYPERLINK("C:\Projects\Kleinanzeigen-Scraper\offer_images\2839043104", "Link")</f>
        <v/>
      </c>
      <c r="M1577" t="inlineStr">
        <is>
          <t>peterkad1</t>
        </is>
      </c>
      <c r="N1577" s="6">
        <f>HYPERLINK("https://www.kleinanzeigen.de/s-bestandsliste.html?userId=139695313", "Link")</f>
        <v/>
      </c>
      <c r="O1577" s="7" t="n">
        <v>45549.57594907407</v>
      </c>
      <c r="P1577" s="3" t="inlineStr">
        <is>
          <t>3.99</t>
        </is>
      </c>
      <c r="Q1577" t="inlineStr">
        <is>
          <t>München</t>
        </is>
      </c>
    </row>
    <row r="1578">
      <c r="A1578" t="inlineStr"/>
      <c r="B1578" t="inlineStr">
        <is>
          <t>Naish Hover Wind Foil Crossover</t>
        </is>
      </c>
      <c r="C1578" t="inlineStr">
        <is>
          <t>Crossover</t>
        </is>
      </c>
      <c r="D1578" s="3" t="n">
        <v>131</v>
      </c>
      <c r="E1578" t="inlineStr">
        <is>
          <t>S26</t>
        </is>
      </c>
      <c r="F1578" s="4" t="n">
        <v>1.644</v>
      </c>
      <c r="G1578" t="inlineStr"/>
      <c r="H1578" t="inlineStr">
        <is>
          <t>18586 Mecklenburg-Vorpommern - Mönchgut, Ostseebad</t>
        </is>
      </c>
      <c r="I1578" s="5" t="n">
        <v>45539</v>
      </c>
      <c r="J1578" t="inlineStr"/>
      <c r="K1578" s="6">
        <f>HYPERLINK("https://www.kleinanzeigen.de/s-anzeige/naish-s26-hover-wind-foil-crossover/2781212918-230-120", "Link")</f>
        <v/>
      </c>
      <c r="L1578" s="6">
        <f>HYPERLINK("C:\Projects\Kleinanzeigen-Scraper\offer_images\2781212918", "Link")</f>
        <v/>
      </c>
      <c r="M1578" t="inlineStr">
        <is>
          <t>No user name</t>
        </is>
      </c>
      <c r="N1578" s="6">
        <f>HYPERLINK("https://www.kleinanzeigen.deNo user link", "Link")</f>
        <v/>
      </c>
      <c r="O1578" s="7" t="n">
        <v>45549.57594907407</v>
      </c>
      <c r="P1578" s="3" t="inlineStr">
        <is>
          <t>591.22</t>
        </is>
      </c>
      <c r="Q1578" t="inlineStr">
        <is>
          <t>Köln</t>
        </is>
      </c>
    </row>
    <row r="1579">
      <c r="A1579" t="inlineStr">
        <is>
          <t>240x64 cm</t>
        </is>
      </c>
      <c r="B1579" t="inlineStr">
        <is>
          <t>Starboard</t>
        </is>
      </c>
      <c r="C1579" t="inlineStr"/>
      <c r="D1579" s="3" t="n">
        <v>115</v>
      </c>
      <c r="E1579" t="inlineStr"/>
      <c r="F1579" s="4" t="n">
        <v>250</v>
      </c>
      <c r="G1579" t="inlineStr">
        <is>
          <t>VB</t>
        </is>
      </c>
      <c r="H1579" t="inlineStr">
        <is>
          <t>76706 Baden-Württemberg - Dettenheim</t>
        </is>
      </c>
      <c r="I1579" s="5" t="n">
        <v>45527</v>
      </c>
      <c r="J1579" t="inlineStr">
        <is>
          <t>Sold</t>
        </is>
      </c>
      <c r="K1579" s="6">
        <f>HYPERLINK("https://www.kleinanzeigen.de/s-anzeige/surfbrett-starboard-115-l/2844043949-230-8822", "Link")</f>
        <v/>
      </c>
      <c r="L1579" s="6">
        <f>HYPERLINK("C:\Projects\Kleinanzeigen-Scraper\offer_images\2844043949", "Link")</f>
        <v/>
      </c>
      <c r="M1579" t="inlineStr">
        <is>
          <t>MicMac</t>
        </is>
      </c>
      <c r="N1579" s="6">
        <f>HYPERLINK("https://www.kleinanzeigen.de/s-bestandsliste.html?userId=140941814", "Link")</f>
        <v/>
      </c>
      <c r="O1579" s="7" t="n">
        <v>45549.57592592593</v>
      </c>
      <c r="P1579" s="3" t="inlineStr">
        <is>
          <t>18.27</t>
        </is>
      </c>
      <c r="Q1579" t="inlineStr">
        <is>
          <t>Karlsruhe</t>
        </is>
      </c>
    </row>
    <row r="1580">
      <c r="A1580" t="inlineStr"/>
      <c r="B1580" t="inlineStr">
        <is>
          <t>Tabou Bullit</t>
        </is>
      </c>
      <c r="C1580" t="inlineStr">
        <is>
          <t>Freeride</t>
        </is>
      </c>
      <c r="D1580" s="3" t="n">
        <v>155</v>
      </c>
      <c r="E1580" t="inlineStr"/>
      <c r="F1580" s="4" t="n">
        <v>500</v>
      </c>
      <c r="G1580" t="inlineStr">
        <is>
          <t>VB</t>
        </is>
      </c>
      <c r="H1580" t="inlineStr">
        <is>
          <t>33014 Nordrhein-Westfalen - Bad Driburg</t>
        </is>
      </c>
      <c r="I1580" s="5" t="n">
        <v>45540</v>
      </c>
      <c r="J1580" t="inlineStr"/>
      <c r="K1580" s="6">
        <f>HYPERLINK("https://www.kleinanzeigen.de/s-anzeige/windsurfboard-tabou-bullit-155l/2854794348-230-1244", "Link")</f>
        <v/>
      </c>
      <c r="L1580" s="6">
        <f>HYPERLINK("C:\Projects\Kleinanzeigen-Scraper\offer_images\2854794348", "Link")</f>
        <v/>
      </c>
      <c r="M1580" t="inlineStr">
        <is>
          <t>Felix</t>
        </is>
      </c>
      <c r="N1580" s="6">
        <f>HYPERLINK("https://www.kleinanzeigen.de/s-bestandsliste.html?userId=80788535", "Link")</f>
        <v/>
      </c>
      <c r="O1580" s="7" t="n">
        <v>45549.57592592593</v>
      </c>
      <c r="P1580" s="3" t="inlineStr">
        <is>
          <t>170.46</t>
        </is>
      </c>
      <c r="Q1580" t="inlineStr">
        <is>
          <t>Köln</t>
        </is>
      </c>
    </row>
    <row r="1581">
      <c r="A1581" t="inlineStr">
        <is>
          <t>Dimensions not specified</t>
        </is>
      </c>
      <c r="B1581" t="inlineStr">
        <is>
          <t>Tabou 3S+ LTD</t>
        </is>
      </c>
      <c r="C1581" t="inlineStr"/>
      <c r="D1581" s="3" t="n">
        <v>106</v>
      </c>
      <c r="E1581" t="inlineStr">
        <is>
          <t>2021</t>
        </is>
      </c>
      <c r="F1581" s="4" t="n">
        <v>899</v>
      </c>
      <c r="G1581" t="inlineStr">
        <is>
          <t>VB</t>
        </is>
      </c>
      <c r="H1581" t="inlineStr">
        <is>
          <t>23769 Fehmarn - Westfehmarn</t>
        </is>
      </c>
      <c r="I1581" s="5" t="n">
        <v>45566</v>
      </c>
      <c r="J1581" t="inlineStr"/>
      <c r="K1581" s="6">
        <f>HYPERLINK("https://www.kleinanzeigen.de/s-anzeige/tabou-3s-ltd-106l/2752358316-230-430", "Link")</f>
        <v/>
      </c>
      <c r="L1581" s="6">
        <f>HYPERLINK("C:\Projects\Kleinanzeigen-Scraper\offer_images\2752358316", "Link")</f>
        <v/>
      </c>
      <c r="M1581" t="inlineStr">
        <is>
          <t>No user name</t>
        </is>
      </c>
      <c r="N1581" s="6">
        <f>HYPERLINK("https://www.kleinanzeigen.deNo user link", "Link")</f>
        <v/>
      </c>
      <c r="O1581" s="7" t="n">
        <v>45549.57591435185</v>
      </c>
      <c r="P1581" s="3" t="inlineStr">
        <is>
          <t>483.01</t>
        </is>
      </c>
      <c r="Q1581" t="inlineStr">
        <is>
          <t>Köln</t>
        </is>
      </c>
    </row>
    <row r="1582">
      <c r="A1582" t="inlineStr"/>
      <c r="B1582" t="inlineStr">
        <is>
          <t>Naish Hover Carbon Ultra</t>
        </is>
      </c>
      <c r="C1582" t="inlineStr">
        <is>
          <t>Wingfoil</t>
        </is>
      </c>
      <c r="D1582" s="3" t="n">
        <v>110</v>
      </c>
      <c r="E1582" t="inlineStr">
        <is>
          <t>2023</t>
        </is>
      </c>
      <c r="F1582" s="4" t="n">
        <v>750</v>
      </c>
      <c r="G1582" t="inlineStr"/>
      <c r="H1582" t="inlineStr">
        <is>
          <t>91207 Bayern - Lauf a.d. Pegnitz</t>
        </is>
      </c>
      <c r="I1582" s="5" t="n">
        <v>45539</v>
      </c>
      <c r="J1582" t="inlineStr"/>
      <c r="K1582" s="6">
        <f>HYPERLINK("https://www.kleinanzeigen.de/s-anzeige/naish-hover-carbon-ultra-110l/2854297510-230-6362", "Link")</f>
        <v/>
      </c>
      <c r="L1582" s="6">
        <f>HYPERLINK("C:\Projects\Kleinanzeigen-Scraper\offer_images\2854297510", "Link")</f>
        <v/>
      </c>
      <c r="M1582" t="inlineStr">
        <is>
          <t>Rapke Markus</t>
        </is>
      </c>
      <c r="N1582" s="6">
        <f>HYPERLINK("https://www.kleinanzeigen.de/s-bestandsliste.html?userId=31676758", "Link")</f>
        <v/>
      </c>
      <c r="O1582" s="7" t="n">
        <v>45549.57590277777</v>
      </c>
      <c r="P1582" s="3" t="inlineStr">
        <is>
          <t>157.63</t>
        </is>
      </c>
      <c r="Q1582" t="inlineStr">
        <is>
          <t>München</t>
        </is>
      </c>
    </row>
    <row r="1583">
      <c r="A1583" t="inlineStr"/>
      <c r="B1583" t="inlineStr">
        <is>
          <t>Tabou Rocket MTE</t>
        </is>
      </c>
      <c r="C1583" t="inlineStr">
        <is>
          <t>Freeride</t>
        </is>
      </c>
      <c r="D1583" s="3" t="n">
        <v>145</v>
      </c>
      <c r="E1583" t="inlineStr">
        <is>
          <t>2022</t>
        </is>
      </c>
      <c r="F1583" s="4" t="n">
        <v>599</v>
      </c>
      <c r="G1583" t="inlineStr">
        <is>
          <t>VB</t>
        </is>
      </c>
      <c r="H1583" t="inlineStr">
        <is>
          <t>23769 Fehmarn - Westfehmarn</t>
        </is>
      </c>
      <c r="I1583" s="5" t="n">
        <v>45566</v>
      </c>
      <c r="J1583" t="inlineStr"/>
      <c r="K1583" s="6">
        <f>HYPERLINK("https://www.kleinanzeigen.de/s-anzeige/tabou-rocket-145l/2752432966-230-430", "Link")</f>
        <v/>
      </c>
      <c r="L1583" s="6">
        <f>HYPERLINK("C:\Projects\Kleinanzeigen-Scraper\offer_images\2752432966", "Link")</f>
        <v/>
      </c>
      <c r="M1583" t="inlineStr">
        <is>
          <t>No user name</t>
        </is>
      </c>
      <c r="N1583" s="6">
        <f>HYPERLINK("https://www.kleinanzeigen.deNo user link", "Link")</f>
        <v/>
      </c>
      <c r="O1583" s="7" t="n">
        <v>45549.57586805556</v>
      </c>
      <c r="P1583" s="3" t="inlineStr">
        <is>
          <t>483.01</t>
        </is>
      </c>
      <c r="Q1583" t="inlineStr">
        <is>
          <t>Köln</t>
        </is>
      </c>
    </row>
    <row r="1584">
      <c r="A1584" t="inlineStr">
        <is>
          <t>129LTR</t>
        </is>
      </c>
      <c r="B1584" t="inlineStr">
        <is>
          <t>RRD X-FIRE V10</t>
        </is>
      </c>
      <c r="C1584" t="inlineStr">
        <is>
          <t>Freeride</t>
        </is>
      </c>
      <c r="D1584" s="3" t="n">
        <v>129</v>
      </c>
      <c r="E1584" t="inlineStr"/>
      <c r="F1584" s="4" t="n">
        <v>675</v>
      </c>
      <c r="G1584" t="inlineStr">
        <is>
          <t>VB</t>
        </is>
      </c>
      <c r="H1584" t="inlineStr">
        <is>
          <t>24376 Schleswig-Holstein - Kappeln</t>
        </is>
      </c>
      <c r="I1584" s="5" t="n">
        <v>45389</v>
      </c>
      <c r="J1584" t="inlineStr"/>
      <c r="K1584" s="6">
        <f>HYPERLINK("https://www.kleinanzeigen.de/s-anzeige/rrd-x-fire-v10-129ltr/2728587229-230-18638", "Link")</f>
        <v/>
      </c>
      <c r="L1584" s="6">
        <f>HYPERLINK("C:\Projects\Kleinanzeigen-Scraper\offer_images\2728587229", "Link")</f>
        <v/>
      </c>
      <c r="M1584" t="inlineStr">
        <is>
          <t>Malte Steckmest</t>
        </is>
      </c>
      <c r="N1584" s="6">
        <f>HYPERLINK("https://www.kleinanzeigen.de/s-bestandsliste.html?userId=18835311", "Link")</f>
        <v/>
      </c>
      <c r="O1584" s="7" t="n">
        <v>45549.57586805556</v>
      </c>
      <c r="P1584" s="3" t="inlineStr">
        <is>
          <t>461.27</t>
        </is>
      </c>
      <c r="Q1584" t="inlineStr">
        <is>
          <t>Köln</t>
        </is>
      </c>
    </row>
    <row r="1585">
      <c r="A1585" t="inlineStr">
        <is>
          <t>Dimensions not specified</t>
        </is>
      </c>
      <c r="B1585" t="inlineStr">
        <is>
          <t>Naish Global Wave</t>
        </is>
      </c>
      <c r="C1585" t="inlineStr">
        <is>
          <t>Wave</t>
        </is>
      </c>
      <c r="D1585" s="3" t="n">
        <v>87</v>
      </c>
      <c r="E1585" t="inlineStr"/>
      <c r="F1585" s="4" t="n">
        <v>89</v>
      </c>
      <c r="G1585" t="inlineStr"/>
      <c r="H1585" t="inlineStr">
        <is>
          <t>53773 Nordrhein-Westfalen - Hennef (Sieg)</t>
        </is>
      </c>
      <c r="I1585" s="5" t="n">
        <v>45495</v>
      </c>
      <c r="J1585" t="inlineStr">
        <is>
          <t>Sold</t>
        </is>
      </c>
      <c r="K1585" s="6">
        <f>HYPERLINK("https://www.kleinanzeigen.de/s-anzeige/naish-global-wave-87-mit-boardbag/2818122512-230-1697", "Link")</f>
        <v/>
      </c>
      <c r="L1585" s="6">
        <f>HYPERLINK("C:\Projects\Kleinanzeigen-Scraper\offer_images\2818122512", "Link")</f>
        <v/>
      </c>
      <c r="M1585" t="inlineStr">
        <is>
          <t>Berger</t>
        </is>
      </c>
      <c r="N1585" s="6">
        <f>HYPERLINK("https://www.kleinanzeigen.de/s-bestandsliste.html?userId=464786", "Link")</f>
        <v/>
      </c>
      <c r="O1585" s="7" t="n">
        <v>45549.57586805556</v>
      </c>
      <c r="P1585" s="3" t="inlineStr">
        <is>
          <t>30.84</t>
        </is>
      </c>
      <c r="Q1585" t="inlineStr">
        <is>
          <t>Köln</t>
        </is>
      </c>
    </row>
    <row r="1586">
      <c r="A1586" t="inlineStr">
        <is>
          <t>460cm x 61.5cm</t>
        </is>
      </c>
      <c r="B1586" t="inlineStr">
        <is>
          <t>Starboard Serenity</t>
        </is>
      </c>
      <c r="C1586" t="inlineStr">
        <is>
          <t>Leichtwind, Foilboard, Raceboard</t>
        </is>
      </c>
      <c r="D1586" s="3" t="n">
        <v>256</v>
      </c>
      <c r="E1586" t="inlineStr"/>
      <c r="F1586" s="4" t="n">
        <v>450</v>
      </c>
      <c r="G1586" t="inlineStr">
        <is>
          <t>VB</t>
        </is>
      </c>
      <c r="H1586" t="inlineStr">
        <is>
          <t>55291 Rheinland-Pfalz - Saulheim</t>
        </is>
      </c>
      <c r="I1586" s="5" t="n">
        <v>45549</v>
      </c>
      <c r="J1586" t="inlineStr"/>
      <c r="K1586" s="6">
        <f>HYPERLINK("https://www.kleinanzeigen.de/s-anzeige/starboard-serenity-leichtwind-windsurfboard-foilboard-raceboard/2862833489-230-5332", "Link")</f>
        <v/>
      </c>
      <c r="L1586" s="6">
        <f>HYPERLINK("C:\Projects\Kleinanzeigen-Scraper\offer_images\2862833489", "Link")</f>
        <v/>
      </c>
      <c r="M1586" t="inlineStr">
        <is>
          <t>Michael</t>
        </is>
      </c>
      <c r="N1586" s="6">
        <f>HYPERLINK("https://www.kleinanzeigen.de/s-bestandsliste.html?userId=120338761", "Link")</f>
        <v/>
      </c>
      <c r="O1586" s="7" t="n">
        <v>45549.57584490741</v>
      </c>
      <c r="P1586" s="3" t="inlineStr">
        <is>
          <t>97.88</t>
        </is>
      </c>
      <c r="Q1586" t="inlineStr">
        <is>
          <t>Karlsruhe</t>
        </is>
      </c>
    </row>
    <row r="1587">
      <c r="A1587" t="inlineStr">
        <is>
          <t>5'9"</t>
        </is>
      </c>
      <c r="B1587" t="inlineStr">
        <is>
          <t>Duotone Pro Wam</t>
        </is>
      </c>
      <c r="C1587" t="inlineStr">
        <is>
          <t>Wave</t>
        </is>
      </c>
      <c r="D1587" s="3" t="inlineStr"/>
      <c r="E1587" t="inlineStr">
        <is>
          <t>2020</t>
        </is>
      </c>
      <c r="F1587" s="4" t="n">
        <v>480</v>
      </c>
      <c r="G1587" t="inlineStr"/>
      <c r="H1587" t="inlineStr">
        <is>
          <t>95236 Bayern - Stammbach</t>
        </is>
      </c>
      <c r="I1587" s="5" t="n">
        <v>45540</v>
      </c>
      <c r="J1587" t="inlineStr">
        <is>
          <t>Sold</t>
        </is>
      </c>
      <c r="K1587" s="6">
        <f>HYPERLINK("https://www.kleinanzeigen.de/s-anzeige/duotone-pro-wam-5-9-2020-kite-waveboard/2854647356-230-7535", "Link")</f>
        <v/>
      </c>
      <c r="L1587" s="6">
        <f>HYPERLINK("C:\Projects\Kleinanzeigen-Scraper\offer_images\2854647356", "Link")</f>
        <v/>
      </c>
      <c r="M1587" t="inlineStr">
        <is>
          <t>Hansi</t>
        </is>
      </c>
      <c r="N1587" s="6">
        <f>HYPERLINK("https://www.kleinanzeigen.de/s-bestandsliste.html?userId=16713828", "Link")</f>
        <v/>
      </c>
      <c r="O1587" s="7" t="n">
        <v>45549.57582175926</v>
      </c>
      <c r="P1587" s="3" t="inlineStr">
        <is>
          <t>223.53</t>
        </is>
      </c>
      <c r="Q1587" t="inlineStr">
        <is>
          <t>München</t>
        </is>
      </c>
    </row>
    <row r="1588">
      <c r="A1588" t="inlineStr">
        <is>
          <t>Dimensions not provided</t>
        </is>
      </c>
      <c r="B1588" t="inlineStr">
        <is>
          <t>Fanatic</t>
        </is>
      </c>
      <c r="C1588" t="inlineStr"/>
      <c r="D1588" s="3" t="n">
        <v>282</v>
      </c>
      <c r="E1588" t="inlineStr"/>
      <c r="F1588" s="4" t="n">
        <v>100</v>
      </c>
      <c r="G1588" t="inlineStr"/>
      <c r="H1588" t="inlineStr">
        <is>
          <t>63679 Hessen - Schotten</t>
        </is>
      </c>
      <c r="I1588" s="5" t="n">
        <v>45532</v>
      </c>
      <c r="J1588" t="inlineStr">
        <is>
          <t>Sold</t>
        </is>
      </c>
      <c r="K1588" s="6">
        <f>HYPERLINK("https://www.kleinanzeigen.de/s-anzeige/surfbrett-fanatic/2848796811-230-18628", "Link")</f>
        <v/>
      </c>
      <c r="L1588" s="6">
        <f>HYPERLINK("C:\Projects\Kleinanzeigen-Scraper\offer_images\2848796811", "Link")</f>
        <v/>
      </c>
      <c r="M1588" t="inlineStr">
        <is>
          <t>Anja</t>
        </is>
      </c>
      <c r="N1588" s="6">
        <f>HYPERLINK("https://www.kleinanzeigen.de/s-bestandsliste.html?userId=45642513", "Link")</f>
        <v/>
      </c>
      <c r="O1588" s="7" t="n">
        <v>45549.57582175926</v>
      </c>
      <c r="P1588" s="3" t="inlineStr">
        <is>
          <t>161.32</t>
        </is>
      </c>
      <c r="Q1588" t="inlineStr">
        <is>
          <t>Köln</t>
        </is>
      </c>
    </row>
    <row r="1589">
      <c r="A1589" t="inlineStr">
        <is>
          <t>136/40</t>
        </is>
      </c>
      <c r="B1589" t="inlineStr">
        <is>
          <t>North xride</t>
        </is>
      </c>
      <c r="C1589" t="inlineStr"/>
      <c r="D1589" s="3" t="inlineStr"/>
      <c r="E1589" t="inlineStr"/>
      <c r="F1589" s="4" t="n">
        <v>240</v>
      </c>
      <c r="G1589" t="inlineStr">
        <is>
          <t>VB</t>
        </is>
      </c>
      <c r="H1589" t="inlineStr">
        <is>
          <t>40225 Düsseldorf - Bilk</t>
        </is>
      </c>
      <c r="I1589" s="5" t="n">
        <v>45543</v>
      </c>
      <c r="J1589" t="inlineStr">
        <is>
          <t>Sold</t>
        </is>
      </c>
      <c r="K1589" s="6">
        <f>HYPERLINK("https://www.kleinanzeigen.de/s-anzeige/north-xride/2857587530-230-2094", "Link")</f>
        <v/>
      </c>
      <c r="L1589" s="6">
        <f>HYPERLINK("C:\Projects\Kleinanzeigen-Scraper\offer_images\2857587530", "Link")</f>
        <v/>
      </c>
      <c r="M1589" t="inlineStr">
        <is>
          <t>Jürgen Weiser</t>
        </is>
      </c>
      <c r="N1589" s="6">
        <f>HYPERLINK("https://www.kleinanzeigen.de/s-bestandsliste.html?userId=72342920", "Link")</f>
        <v/>
      </c>
      <c r="O1589" s="7" t="n">
        <v>45549.57581018518</v>
      </c>
      <c r="P1589" s="3" t="inlineStr">
        <is>
          <t>30.97</t>
        </is>
      </c>
      <c r="Q1589" t="inlineStr">
        <is>
          <t>Köln</t>
        </is>
      </c>
    </row>
    <row r="1590">
      <c r="A1590" t="inlineStr"/>
      <c r="B1590" t="inlineStr">
        <is>
          <t>Rrd</t>
        </is>
      </c>
      <c r="C1590" t="inlineStr">
        <is>
          <t>Freestyle Wave</t>
        </is>
      </c>
      <c r="D1590" s="3" t="n">
        <v>85</v>
      </c>
      <c r="E1590" t="inlineStr"/>
      <c r="F1590" s="4" t="inlineStr"/>
      <c r="G1590" t="inlineStr">
        <is>
          <t>VB</t>
        </is>
      </c>
      <c r="H1590" t="inlineStr">
        <is>
          <t>24794 Schleswig-Holstein - Borgstedt</t>
        </is>
      </c>
      <c r="I1590" s="5" t="n">
        <v>44764</v>
      </c>
      <c r="J1590" t="inlineStr"/>
      <c r="K1590" s="6">
        <f>HYPERLINK("https://www.kleinanzeigen.de/s-anzeige/rrd-freestylewave-surfboard-francisco-goya-wave/2163604050-230-19920", "Link")</f>
        <v/>
      </c>
      <c r="L1590" s="6">
        <f>HYPERLINK("C:\Projects\Kleinanzeigen-Scraper\offer_images\2163604050", "Link")</f>
        <v/>
      </c>
      <c r="M1590" t="inlineStr">
        <is>
          <t>KH</t>
        </is>
      </c>
      <c r="N1590" s="6">
        <f>HYPERLINK("https://www.kleinanzeigen.de/s-bestandsliste.html?userId=1737246", "Link")</f>
        <v/>
      </c>
      <c r="O1590" s="7" t="n">
        <v>45549.57579861111</v>
      </c>
      <c r="P1590" s="3" t="inlineStr">
        <is>
          <t>420.37</t>
        </is>
      </c>
      <c r="Q1590" t="inlineStr">
        <is>
          <t>Köln</t>
        </is>
      </c>
    </row>
    <row r="1591">
      <c r="A1591" t="inlineStr">
        <is>
          <t>Dimensions not specified</t>
        </is>
      </c>
      <c r="B1591" t="inlineStr">
        <is>
          <t>Tabou Twister</t>
        </is>
      </c>
      <c r="C1591" t="inlineStr">
        <is>
          <t>Freestyle</t>
        </is>
      </c>
      <c r="D1591" s="3" t="n">
        <v>107</v>
      </c>
      <c r="E1591" t="inlineStr">
        <is>
          <t>2014</t>
        </is>
      </c>
      <c r="F1591" s="4" t="n">
        <v>350</v>
      </c>
      <c r="G1591" t="inlineStr">
        <is>
          <t>VB</t>
        </is>
      </c>
      <c r="H1591" t="inlineStr">
        <is>
          <t>45473 Nordrhein-Westfalen - Mülheim (Ruhr)</t>
        </is>
      </c>
      <c r="I1591" s="5" t="n">
        <v>45549</v>
      </c>
      <c r="J1591" t="inlineStr"/>
      <c r="K1591" s="6">
        <f>HYPERLINK("https://www.kleinanzeigen.de/s-anzeige/tabou-twister-107/2862991094-230-2062", "Link")</f>
        <v/>
      </c>
      <c r="L1591" s="6">
        <f>HYPERLINK("C:\Projects\Kleinanzeigen-Scraper\offer_images\2862991094", "Link")</f>
        <v/>
      </c>
      <c r="M1591" t="inlineStr">
        <is>
          <t>Benedict</t>
        </is>
      </c>
      <c r="N1591" s="6">
        <f>HYPERLINK("https://www.kleinanzeigen.de/s-bestandsliste.html?userId=13040713", "Link")</f>
        <v/>
      </c>
      <c r="O1591" s="7" t="n">
        <v>45549.57579861111</v>
      </c>
      <c r="P1591" s="3" t="inlineStr">
        <is>
          <t>56.15</t>
        </is>
      </c>
      <c r="Q1591" t="inlineStr">
        <is>
          <t>Köln</t>
        </is>
      </c>
    </row>
    <row r="1592">
      <c r="A1592" t="inlineStr">
        <is>
          <t>12'6" x 28"</t>
        </is>
      </c>
      <c r="B1592" t="inlineStr">
        <is>
          <t>Starboard Generation Lite Tech</t>
        </is>
      </c>
      <c r="C1592" t="inlineStr"/>
      <c r="D1592" s="3" t="inlineStr"/>
      <c r="E1592" t="inlineStr"/>
      <c r="F1592" s="4" t="n">
        <v>895</v>
      </c>
      <c r="G1592" t="inlineStr"/>
      <c r="H1592" t="inlineStr">
        <is>
          <t>25840 Nordfriesland - Friedrichstadt</t>
        </is>
      </c>
      <c r="I1592" s="5" t="n">
        <v>45566</v>
      </c>
      <c r="J1592" t="inlineStr"/>
      <c r="K1592" s="6">
        <f>HYPERLINK("https://www.kleinanzeigen.de/s-anzeige/sup-starboard-generation-lite-tech-12-6-x28-/2860811685-230-16660", "Link")</f>
        <v/>
      </c>
      <c r="L1592" s="6">
        <f>HYPERLINK("C:\Projects\Kleinanzeigen-Scraper\offer_images\2860811685", "Link")</f>
        <v/>
      </c>
      <c r="M1592" t="inlineStr">
        <is>
          <t>Bas van Mullekom</t>
        </is>
      </c>
      <c r="N1592" s="6">
        <f>HYPERLINK("https://www.kleinanzeigen.de/s-bestandsliste.html?userId=58002945", "Link")</f>
        <v/>
      </c>
      <c r="O1592" s="7" t="n">
        <v>45549.57578703704</v>
      </c>
      <c r="P1592" s="3" t="inlineStr">
        <is>
          <t>409.32</t>
        </is>
      </c>
      <c r="Q1592" t="inlineStr">
        <is>
          <t>Köln</t>
        </is>
      </c>
    </row>
    <row r="1593">
      <c r="A1593" t="inlineStr"/>
      <c r="B1593" t="inlineStr">
        <is>
          <t>Tabou</t>
        </is>
      </c>
      <c r="C1593" t="inlineStr">
        <is>
          <t>Wave</t>
        </is>
      </c>
      <c r="D1593" s="3" t="n">
        <v>74</v>
      </c>
      <c r="E1593" t="inlineStr"/>
      <c r="F1593" s="4" t="n">
        <v>300</v>
      </c>
      <c r="G1593" t="inlineStr">
        <is>
          <t>VB</t>
        </is>
      </c>
      <c r="H1593" t="inlineStr">
        <is>
          <t>87527 Bayern - Sonthofen</t>
        </is>
      </c>
      <c r="I1593" s="5" t="n">
        <v>45395</v>
      </c>
      <c r="J1593" t="inlineStr"/>
      <c r="K1593" s="6">
        <f>HYPERLINK("https://www.kleinanzeigen.de/s-anzeige/tabou-waveboard-74/2733960336-230-5537", "Link")</f>
        <v/>
      </c>
      <c r="L1593" s="6">
        <f>HYPERLINK("C:\Projects\Kleinanzeigen-Scraper\offer_images\2733960336", "Link")</f>
        <v/>
      </c>
      <c r="M1593" t="inlineStr">
        <is>
          <t>Christian</t>
        </is>
      </c>
      <c r="N1593" s="6">
        <f>HYPERLINK("https://www.kleinanzeigen.de/s-bestandsliste.html?userId=13709341", "Link")</f>
        <v/>
      </c>
      <c r="O1593" s="7" t="n">
        <v>45549.57578703704</v>
      </c>
      <c r="P1593" s="3" t="inlineStr">
        <is>
          <t>118.69</t>
        </is>
      </c>
      <c r="Q1593" t="inlineStr">
        <is>
          <t>München</t>
        </is>
      </c>
    </row>
    <row r="1594">
      <c r="A1594" t="inlineStr">
        <is>
          <t>5'3''</t>
        </is>
      </c>
      <c r="B1594" t="inlineStr">
        <is>
          <t>Duotone Fish D/Lab</t>
        </is>
      </c>
      <c r="C1594" t="inlineStr"/>
      <c r="D1594" s="3" t="n">
        <v>25.6</v>
      </c>
      <c r="E1594" t="inlineStr">
        <is>
          <t>2024</t>
        </is>
      </c>
      <c r="F1594" s="4" t="n">
        <v>750</v>
      </c>
      <c r="G1594" t="inlineStr"/>
      <c r="H1594" t="inlineStr">
        <is>
          <t>90451 Nürnberg (Mittelfr) - Aussenstadt-Sued</t>
        </is>
      </c>
      <c r="I1594" s="5" t="n">
        <v>45545</v>
      </c>
      <c r="J1594" t="inlineStr">
        <is>
          <t>Sold</t>
        </is>
      </c>
      <c r="K1594" s="6">
        <f>HYPERLINK("https://www.kleinanzeigen.de/s-anzeige/duotone-2024-fish-d-lab-5-3-surfboard/2859193803-230-6836", "Link")</f>
        <v/>
      </c>
      <c r="L1594" s="6">
        <f>HYPERLINK("C:\Projects\Kleinanzeigen-Scraper\offer_images\2859193803", "Link")</f>
        <v/>
      </c>
      <c r="M1594" t="inlineStr">
        <is>
          <t>No user name</t>
        </is>
      </c>
      <c r="N1594" s="6">
        <f>HYPERLINK("https://www.kleinanzeigen.deNo user link", "Link")</f>
        <v/>
      </c>
      <c r="O1594" s="7" t="n">
        <v>45549.57576388889</v>
      </c>
      <c r="P1594" s="3" t="inlineStr">
        <is>
          <t>145.92</t>
        </is>
      </c>
      <c r="Q1594" t="inlineStr">
        <is>
          <t>München</t>
        </is>
      </c>
    </row>
    <row r="1595">
      <c r="A1595" t="inlineStr">
        <is>
          <t>54</t>
        </is>
      </c>
      <c r="B1595" t="inlineStr">
        <is>
          <t>RRD Surfboard</t>
        </is>
      </c>
      <c r="C1595" t="inlineStr">
        <is>
          <t>Wave</t>
        </is>
      </c>
      <c r="D1595" s="3" t="n">
        <v>89</v>
      </c>
      <c r="E1595" t="inlineStr"/>
      <c r="F1595" s="4" t="n">
        <v>90</v>
      </c>
      <c r="G1595" t="inlineStr"/>
      <c r="H1595" t="inlineStr">
        <is>
          <t>17375 Mecklenburg-Vorpommern - Leopoldshagen</t>
        </is>
      </c>
      <c r="I1595" s="5" t="n">
        <v>45507</v>
      </c>
      <c r="J1595" t="inlineStr"/>
      <c r="K1595" s="6">
        <f>HYPERLINK("https://www.kleinanzeigen.de/s-anzeige/rrd-surfboard-wavecult-54-surfbrett-mit-finne/2827713790-230-20784", "Link")</f>
        <v/>
      </c>
      <c r="L1595" s="6">
        <f>HYPERLINK("C:\Projects\Kleinanzeigen-Scraper\offer_images\2827713790", "Link")</f>
        <v/>
      </c>
      <c r="M1595" t="inlineStr">
        <is>
          <t>A.M.</t>
        </is>
      </c>
      <c r="N1595" s="6">
        <f>HYPERLINK("https://www.kleinanzeigen.de/s-bestandsliste.html?userId=221203", "Link")</f>
        <v/>
      </c>
      <c r="O1595" s="7" t="n">
        <v>45549.57574074074</v>
      </c>
      <c r="P1595" s="3" t="inlineStr">
        <is>
          <t>578.49</t>
        </is>
      </c>
      <c r="Q1595" t="inlineStr">
        <is>
          <t>Köln</t>
        </is>
      </c>
    </row>
    <row r="1596">
      <c r="A1596" t="inlineStr">
        <is>
          <t>14 x 24.5</t>
        </is>
      </c>
      <c r="B1596" t="inlineStr">
        <is>
          <t>Starboard All Star</t>
        </is>
      </c>
      <c r="C1596" t="inlineStr">
        <is>
          <t>Race</t>
        </is>
      </c>
      <c r="D1596" s="3" t="inlineStr"/>
      <c r="E1596" t="inlineStr">
        <is>
          <t>2019</t>
        </is>
      </c>
      <c r="F1596" s="4" t="n">
        <v>1.399</v>
      </c>
      <c r="G1596" t="inlineStr"/>
      <c r="H1596" t="inlineStr">
        <is>
          <t>14480 Brandenburg - Potsdam</t>
        </is>
      </c>
      <c r="I1596" s="5" t="n">
        <v>45520</v>
      </c>
      <c r="J1596" t="inlineStr"/>
      <c r="K1596" s="6">
        <f>HYPERLINK("https://www.kleinanzeigen.de/s-anzeige/starboard-all-star-race-sup-14-x-24-5-wood-carbon/2838567531-230-7965", "Link")</f>
        <v/>
      </c>
      <c r="L1596" s="6">
        <f>HYPERLINK("C:\Projects\Kleinanzeigen-Scraper\offer_images\2838567531", "Link")</f>
        <v/>
      </c>
      <c r="M1596" t="inlineStr">
        <is>
          <t>Chris Entem</t>
        </is>
      </c>
      <c r="N1596" s="6">
        <f>HYPERLINK("https://www.kleinanzeigen.de/s-bestandsliste.html?userId=86495401", "Link")</f>
        <v/>
      </c>
      <c r="O1596" s="7" t="n">
        <v>45549.57574074074</v>
      </c>
      <c r="P1596" s="3" t="inlineStr">
        <is>
          <t>454.59</t>
        </is>
      </c>
      <c r="Q1596" t="inlineStr">
        <is>
          <t>Köln</t>
        </is>
      </c>
    </row>
    <row r="1597">
      <c r="A1597" t="inlineStr">
        <is>
          <t>146 x 81.5</t>
        </is>
      </c>
      <c r="B1597" t="inlineStr">
        <is>
          <t>RRD AIR Beluga Pro</t>
        </is>
      </c>
      <c r="C1597" t="inlineStr">
        <is>
          <t>Wingfoil</t>
        </is>
      </c>
      <c r="D1597" s="3" t="n">
        <v>80</v>
      </c>
      <c r="E1597" t="inlineStr"/>
      <c r="F1597" s="4" t="n">
        <v>710</v>
      </c>
      <c r="G1597" t="inlineStr">
        <is>
          <t>VB</t>
        </is>
      </c>
      <c r="H1597" t="inlineStr">
        <is>
          <t>55411 Rheinland-Pfalz - Bingen</t>
        </is>
      </c>
      <c r="I1597" s="5" t="n">
        <v>45531</v>
      </c>
      <c r="J1597" t="inlineStr">
        <is>
          <t>Sold</t>
        </is>
      </c>
      <c r="K1597" s="6">
        <f>HYPERLINK("https://www.kleinanzeigen.de/s-anzeige/rrd-air-beluga-pro-80-liter-wingfoil-board/2847848787-230-5119", "Link")</f>
        <v/>
      </c>
      <c r="L1597" s="6">
        <f>HYPERLINK("C:\Projects\Kleinanzeigen-Scraper\offer_images\2847848787", "Link")</f>
        <v/>
      </c>
      <c r="M1597" t="inlineStr">
        <is>
          <t>Christoph Gruber</t>
        </is>
      </c>
      <c r="N1597" s="6">
        <f>HYPERLINK("https://www.kleinanzeigen.de/s-bestandsliste.html?userId=29241772", "Link")</f>
        <v/>
      </c>
      <c r="O1597" s="7" t="n">
        <v>45549.57574074074</v>
      </c>
      <c r="P1597" s="3" t="inlineStr">
        <is>
          <t>109.61</t>
        </is>
      </c>
      <c r="Q1597" t="inlineStr">
        <is>
          <t>Karlsruhe</t>
        </is>
      </c>
    </row>
    <row r="1598">
      <c r="A1598" t="inlineStr"/>
      <c r="B1598" t="inlineStr">
        <is>
          <t>Starboard Nuevo</t>
        </is>
      </c>
      <c r="C1598" t="inlineStr">
        <is>
          <t>Wave</t>
        </is>
      </c>
      <c r="D1598" s="3" t="n">
        <v>86</v>
      </c>
      <c r="E1598" t="inlineStr"/>
      <c r="F1598" s="4" t="n">
        <v>220</v>
      </c>
      <c r="G1598" t="inlineStr"/>
      <c r="H1598" t="inlineStr">
        <is>
          <t>14109 Berlin - Wannsee</t>
        </is>
      </c>
      <c r="I1598" s="5" t="n">
        <v>45537</v>
      </c>
      <c r="J1598" t="inlineStr">
        <is>
          <t>Sold</t>
        </is>
      </c>
      <c r="K1598" s="6">
        <f>HYPERLINK("https://www.kleinanzeigen.de/s-anzeige/windsurfborad-starboard-nuevo-iq86l/2852416029-230-25895", "Link")</f>
        <v/>
      </c>
      <c r="L1598" s="6">
        <f>HYPERLINK("C:\Projects\Kleinanzeigen-Scraper\offer_images\2852416029", "Link")</f>
        <v/>
      </c>
      <c r="M1598" t="inlineStr">
        <is>
          <t>Torsten</t>
        </is>
      </c>
      <c r="N1598" s="6">
        <f>HYPERLINK("https://www.kleinanzeigen.de/s-bestandsliste.html?userId=19427494", "Link")</f>
        <v/>
      </c>
      <c r="O1598" s="7" t="n">
        <v>45549.57571759259</v>
      </c>
      <c r="P1598" s="3" t="inlineStr">
        <is>
          <t>457.31</t>
        </is>
      </c>
      <c r="Q1598" t="inlineStr">
        <is>
          <t>Köln</t>
        </is>
      </c>
    </row>
    <row r="1599">
      <c r="A1599" t="inlineStr"/>
      <c r="B1599" t="inlineStr">
        <is>
          <t>Tabou Rocket plus 133 LTD</t>
        </is>
      </c>
      <c r="C1599" t="inlineStr">
        <is>
          <t>Freeride</t>
        </is>
      </c>
      <c r="D1599" s="3" t="n">
        <v>133</v>
      </c>
      <c r="E1599" t="inlineStr">
        <is>
          <t>2024</t>
        </is>
      </c>
      <c r="F1599" s="4" t="n">
        <v>1.1</v>
      </c>
      <c r="G1599" t="inlineStr"/>
      <c r="H1599" t="inlineStr">
        <is>
          <t>07806 Thüringen - Neustadt an der Orla</t>
        </is>
      </c>
      <c r="I1599" s="5" t="n">
        <v>45496</v>
      </c>
      <c r="J1599" t="inlineStr"/>
      <c r="K1599" s="6">
        <f>HYPERLINK("https://www.kleinanzeigen.de/s-anzeige/tabou-rocket-plus-133-ltd-2024/2819469124-230-11842", "Link")</f>
        <v/>
      </c>
      <c r="L1599" s="6">
        <f>HYPERLINK("C:\Projects\Kleinanzeigen-Scraper\offer_images\2819469124", "Link")</f>
        <v/>
      </c>
      <c r="M1599" t="inlineStr">
        <is>
          <t>Andreas</t>
        </is>
      </c>
      <c r="N1599" s="6">
        <f>HYPERLINK("https://www.kleinanzeigen.de/s-bestandsliste.html?userId=78263950", "Link")</f>
        <v/>
      </c>
      <c r="O1599" s="7" t="n">
        <v>45549.57571759259</v>
      </c>
      <c r="P1599" s="3" t="inlineStr">
        <is>
          <t>289.19</t>
        </is>
      </c>
      <c r="Q1599" t="inlineStr">
        <is>
          <t>München</t>
        </is>
      </c>
    </row>
    <row r="1600">
      <c r="A1600" t="inlineStr"/>
      <c r="B1600" t="inlineStr">
        <is>
          <t>RRD Firestorm V4</t>
        </is>
      </c>
      <c r="C1600" t="inlineStr">
        <is>
          <t>Freeride</t>
        </is>
      </c>
      <c r="D1600" s="3" t="n">
        <v>112</v>
      </c>
      <c r="E1600" t="inlineStr">
        <is>
          <t>2021</t>
        </is>
      </c>
      <c r="F1600" s="4" t="n">
        <v>599</v>
      </c>
      <c r="G1600" t="inlineStr"/>
      <c r="H1600" t="inlineStr">
        <is>
          <t>85521 Kr. München - Ottobrunn</t>
        </is>
      </c>
      <c r="I1600" s="5" t="n">
        <v>45512</v>
      </c>
      <c r="J1600" t="inlineStr"/>
      <c r="K1600" s="6">
        <f>HYPERLINK("https://www.kleinanzeigen.de/s-anzeige/rrd-freeride-112-liter-wood-v4-windsurf-board-hybridboard-foil-/2832381633-230-15597", "Link")</f>
        <v/>
      </c>
      <c r="L1600" s="6">
        <f>HYPERLINK("C:\Projects\Kleinanzeigen-Scraper\offer_images\2832381633", "Link")</f>
        <v/>
      </c>
      <c r="M1600" t="inlineStr">
        <is>
          <t>Peter J.</t>
        </is>
      </c>
      <c r="N1600" s="6">
        <f>HYPERLINK("https://www.kleinanzeigen.de/s-bestandsliste.html?userId=17296412", "Link")</f>
        <v/>
      </c>
      <c r="O1600" s="7" t="n">
        <v>45549.57570601852</v>
      </c>
      <c r="P1600" s="3" t="inlineStr">
        <is>
          <t>11.05</t>
        </is>
      </c>
      <c r="Q1600" t="inlineStr">
        <is>
          <t>München</t>
        </is>
      </c>
    </row>
    <row r="1601">
      <c r="A1601" t="inlineStr">
        <is>
          <t>250cm x 70cm</t>
        </is>
      </c>
      <c r="B1601" t="inlineStr">
        <is>
          <t>RRD X Ride</t>
        </is>
      </c>
      <c r="C1601" t="inlineStr">
        <is>
          <t>Freeride</t>
        </is>
      </c>
      <c r="D1601" s="3" t="n">
        <v>135</v>
      </c>
      <c r="E1601" t="inlineStr"/>
      <c r="F1601" s="4" t="n">
        <v>300</v>
      </c>
      <c r="G1601" t="inlineStr">
        <is>
          <t>VB</t>
        </is>
      </c>
      <c r="H1601" t="inlineStr">
        <is>
          <t>87452 Bayern - Altusried</t>
        </is>
      </c>
      <c r="I1601" s="5" t="n">
        <v>45420</v>
      </c>
      <c r="J1601" t="inlineStr"/>
      <c r="K1601" s="6">
        <f>HYPERLINK("https://www.kleinanzeigen.de/s-anzeige/surfbourd-rrd-x-ride/2756466602-230-7621", "Link")</f>
        <v/>
      </c>
      <c r="L1601" s="6">
        <f>HYPERLINK("C:\Projects\Kleinanzeigen-Scraper\offer_images\2756466602", "Link")</f>
        <v/>
      </c>
      <c r="M1601" t="inlineStr">
        <is>
          <t>Ingo Kramer</t>
        </is>
      </c>
      <c r="N1601" s="6">
        <f>HYPERLINK("https://www.kleinanzeigen.de/s-bestandsliste.html?userId=7819115", "Link")</f>
        <v/>
      </c>
      <c r="O1601" s="7" t="n">
        <v>45549.57568287037</v>
      </c>
      <c r="P1601" s="3" t="inlineStr">
        <is>
          <t>109.83</t>
        </is>
      </c>
      <c r="Q1601" t="inlineStr">
        <is>
          <t>München</t>
        </is>
      </c>
    </row>
    <row r="1602">
      <c r="A1602" t="inlineStr">
        <is>
          <t>128x38</t>
        </is>
      </c>
      <c r="B1602" t="inlineStr">
        <is>
          <t>Naish Throne</t>
        </is>
      </c>
      <c r="C1602" t="inlineStr"/>
      <c r="D1602" s="3" t="inlineStr"/>
      <c r="E1602" t="inlineStr"/>
      <c r="F1602" s="4" t="n">
        <v>80</v>
      </c>
      <c r="G1602" t="inlineStr"/>
      <c r="H1602" t="inlineStr">
        <is>
          <t>83435 Bayern - Bad Reichenhall</t>
        </is>
      </c>
      <c r="I1602" s="5" t="n">
        <v>45511</v>
      </c>
      <c r="J1602" t="inlineStr">
        <is>
          <t>Sold</t>
        </is>
      </c>
      <c r="K1602" s="6">
        <f>HYPERLINK("https://www.kleinanzeigen.de/s-anzeige/naish-kiteboard-throne-128x38/2831642684-230-5881", "Link")</f>
        <v/>
      </c>
      <c r="L1602" s="6">
        <f>HYPERLINK("C:\Projects\Kleinanzeigen-Scraper\offer_images\2831642684", "Link")</f>
        <v/>
      </c>
      <c r="M1602" t="inlineStr">
        <is>
          <t>Nina</t>
        </is>
      </c>
      <c r="N1602" s="6">
        <f>HYPERLINK("https://www.kleinanzeigen.de/s-bestandsliste.html?userId=73276330", "Link")</f>
        <v/>
      </c>
      <c r="O1602" s="7" t="n">
        <v>45549.5756712963</v>
      </c>
      <c r="P1602" s="3" t="inlineStr">
        <is>
          <t>104.89</t>
        </is>
      </c>
      <c r="Q1602" t="inlineStr">
        <is>
          <t>München</t>
        </is>
      </c>
    </row>
    <row r="1603">
      <c r="A1603" t="inlineStr">
        <is>
          <t>142 L</t>
        </is>
      </c>
      <c r="B1603" t="inlineStr">
        <is>
          <t>Naish Hover</t>
        </is>
      </c>
      <c r="C1603" t="inlineStr">
        <is>
          <t>Foil</t>
        </is>
      </c>
      <c r="D1603" s="3" t="n">
        <v>142</v>
      </c>
      <c r="E1603" t="inlineStr">
        <is>
          <t>2019</t>
        </is>
      </c>
      <c r="F1603" s="4" t="n">
        <v>500</v>
      </c>
      <c r="G1603" t="inlineStr">
        <is>
          <t>VB</t>
        </is>
      </c>
      <c r="H1603" t="inlineStr">
        <is>
          <t>24229 Schleswig-Holstein - Schwedeneck</t>
        </is>
      </c>
      <c r="I1603" s="5" t="n">
        <v>45478</v>
      </c>
      <c r="J1603" t="inlineStr">
        <is>
          <t>Sold</t>
        </is>
      </c>
      <c r="K1603" s="6">
        <f>HYPERLINK("https://www.kleinanzeigen.de/s-anzeige/naish-hover-142-l-windsurf-foil-board/2804784973-230-17470", "Link")</f>
        <v/>
      </c>
      <c r="L1603" s="6">
        <f>HYPERLINK("C:\Projects\Kleinanzeigen-Scraper\offer_images\2804784973", "Link")</f>
        <v/>
      </c>
      <c r="M1603" t="inlineStr">
        <is>
          <t>Bernd</t>
        </is>
      </c>
      <c r="N1603" s="6">
        <f>HYPERLINK("https://www.kleinanzeigen.de/s-bestandsliste.html?userId=7833787", "Link")</f>
        <v/>
      </c>
      <c r="O1603" s="7" t="n">
        <v>45549.5756712963</v>
      </c>
      <c r="P1603" s="3" t="inlineStr">
        <is>
          <t>445.58</t>
        </is>
      </c>
      <c r="Q1603" t="inlineStr">
        <is>
          <t>Köln</t>
        </is>
      </c>
    </row>
    <row r="1604">
      <c r="A1604" t="inlineStr">
        <is>
          <t>141</t>
        </is>
      </c>
      <c r="B1604" t="inlineStr">
        <is>
          <t>Duotone Select</t>
        </is>
      </c>
      <c r="C1604" t="inlineStr">
        <is>
          <t>Kiteboard</t>
        </is>
      </c>
      <c r="D1604" s="3" t="inlineStr"/>
      <c r="E1604" t="inlineStr">
        <is>
          <t>2024</t>
        </is>
      </c>
      <c r="F1604" s="4" t="n">
        <v>649</v>
      </c>
      <c r="G1604" t="inlineStr">
        <is>
          <t>VB</t>
        </is>
      </c>
      <c r="H1604" t="inlineStr">
        <is>
          <t>26125 Niedersachsen - Oldenburg</t>
        </is>
      </c>
      <c r="I1604" s="5" t="n">
        <v>45545</v>
      </c>
      <c r="J1604" t="inlineStr">
        <is>
          <t>Sold</t>
        </is>
      </c>
      <c r="K1604" s="6">
        <f>HYPERLINK("https://www.kleinanzeigen.de/s-anzeige/duotone-kiteboard-select-inkl-ntt-bindung-2024-141/2859566670-230-3111", "Link")</f>
        <v/>
      </c>
      <c r="L1604" s="6">
        <f>HYPERLINK("C:\Projects\Kleinanzeigen-Scraper\offer_images\2859566670", "Link")</f>
        <v/>
      </c>
      <c r="M1604" t="inlineStr">
        <is>
          <t>No user name</t>
        </is>
      </c>
      <c r="N1604" s="6">
        <f>HYPERLINK("https://www.kleinanzeigen.deNo user link", "Link")</f>
        <v/>
      </c>
      <c r="O1604" s="7" t="n">
        <v>45549.5756712963</v>
      </c>
      <c r="P1604" s="3" t="inlineStr">
        <is>
          <t>264.10</t>
        </is>
      </c>
      <c r="Q1604" t="inlineStr">
        <is>
          <t>Köln</t>
        </is>
      </c>
    </row>
    <row r="1605">
      <c r="A1605" t="inlineStr"/>
      <c r="B1605" t="inlineStr">
        <is>
          <t>North Atmos Hybrid TT</t>
        </is>
      </c>
      <c r="C1605" t="inlineStr"/>
      <c r="D1605" s="3" t="inlineStr"/>
      <c r="E1605" t="inlineStr">
        <is>
          <t>2024</t>
        </is>
      </c>
      <c r="F1605" s="4" t="n">
        <v>699</v>
      </c>
      <c r="G1605" t="inlineStr">
        <is>
          <t>VB</t>
        </is>
      </c>
      <c r="H1605" t="inlineStr">
        <is>
          <t>22457 Eimsbüttel - Hamburg Schnelsen</t>
        </is>
      </c>
      <c r="I1605" s="5" t="n">
        <v>45541</v>
      </c>
      <c r="J1605" t="inlineStr">
        <is>
          <t>Sold</t>
        </is>
      </c>
      <c r="K1605" s="6">
        <f>HYPERLINK("https://www.kleinanzeigen.de/s-anzeige/north-atmos-hybrid-tt-2024-kiteboard-kitesurfen/2730321042-230-9492", "Link")</f>
        <v/>
      </c>
      <c r="L1605" s="6">
        <f>HYPERLINK("C:\Projects\Kleinanzeigen-Scraper\offer_images\2730321042", "Link")</f>
        <v/>
      </c>
      <c r="M1605" t="inlineStr">
        <is>
          <t>No user name</t>
        </is>
      </c>
      <c r="N1605" s="6">
        <f>HYPERLINK("https://www.kleinanzeigen.deNo user link", "Link")</f>
        <v/>
      </c>
      <c r="O1605" s="7" t="n">
        <v>45549.57565972222</v>
      </c>
      <c r="P1605" s="3" t="inlineStr">
        <is>
          <t>362.41</t>
        </is>
      </c>
      <c r="Q1605" t="inlineStr">
        <is>
          <t>Köln</t>
        </is>
      </c>
    </row>
    <row r="1606">
      <c r="A1606" t="inlineStr">
        <is>
          <t>8.7</t>
        </is>
      </c>
      <c r="B1606" t="inlineStr">
        <is>
          <t>Mistral Naish</t>
        </is>
      </c>
      <c r="C1606" t="inlineStr">
        <is>
          <t>Waveboard</t>
        </is>
      </c>
      <c r="D1606" s="3" t="n">
        <v>92</v>
      </c>
      <c r="E1606" t="inlineStr"/>
      <c r="F1606" s="4" t="n">
        <v>75</v>
      </c>
      <c r="G1606" t="inlineStr">
        <is>
          <t>VB</t>
        </is>
      </c>
      <c r="H1606" t="inlineStr">
        <is>
          <t>88427 Baden-Württemberg - Bad Schussenried</t>
        </is>
      </c>
      <c r="I1606" s="5" t="n">
        <v>45520</v>
      </c>
      <c r="J1606" t="inlineStr"/>
      <c r="K1606" s="6">
        <f>HYPERLINK("https://www.kleinanzeigen.de/s-anzeige/mistral-naish-8-7-surfboard-hardboard-sup-paddle-waveboard-surf/2838210579-230-8727", "Link")</f>
        <v/>
      </c>
      <c r="L1606" s="6">
        <f>HYPERLINK("C:\Projects\Kleinanzeigen-Scraper\offer_images\2838210579", "Link")</f>
        <v/>
      </c>
      <c r="M1606" t="inlineStr">
        <is>
          <t>TK</t>
        </is>
      </c>
      <c r="N1606" s="6">
        <f>HYPERLINK("https://www.kleinanzeigen.de/s-bestandsliste.html?userId=52413818", "Link")</f>
        <v/>
      </c>
      <c r="O1606" s="7" t="n">
        <v>45549.57565972222</v>
      </c>
      <c r="P1606" s="3" t="inlineStr">
        <is>
          <t>89.91</t>
        </is>
      </c>
      <c r="Q1606" t="inlineStr">
        <is>
          <t>Böblingen</t>
        </is>
      </c>
    </row>
    <row r="1607">
      <c r="A1607" t="inlineStr"/>
      <c r="B1607" t="inlineStr">
        <is>
          <t>Fanatic Freewave</t>
        </is>
      </c>
      <c r="C1607" t="inlineStr">
        <is>
          <t>Freewave</t>
        </is>
      </c>
      <c r="D1607" s="3" t="n">
        <v>75</v>
      </c>
      <c r="E1607" t="inlineStr">
        <is>
          <t>2010</t>
        </is>
      </c>
      <c r="F1607" s="4" t="n">
        <v>250</v>
      </c>
      <c r="G1607" t="inlineStr"/>
      <c r="H1607" t="inlineStr">
        <is>
          <t>28205 Östliche Vorstadt - Hulsberg</t>
        </is>
      </c>
      <c r="I1607" s="5" t="n">
        <v>45526</v>
      </c>
      <c r="J1607" t="inlineStr">
        <is>
          <t>Sold</t>
        </is>
      </c>
      <c r="K1607" s="6">
        <f>HYPERLINK("https://www.kleinanzeigen.de/s-anzeige/fanatic-freewave-75l-2010/2843769740-230-22", "Link")</f>
        <v/>
      </c>
      <c r="L1607" s="6">
        <f>HYPERLINK("C:\Projects\Kleinanzeigen-Scraper\offer_images\2843769740", "Link")</f>
        <v/>
      </c>
      <c r="M1607" t="inlineStr">
        <is>
          <t>Tim Schäfer</t>
        </is>
      </c>
      <c r="N1607" s="6">
        <f>HYPERLINK("https://www.kleinanzeigen.de/s-bestandsliste.html?userId=23724275", "Link")</f>
        <v/>
      </c>
      <c r="O1607" s="7" t="n">
        <v>45549.57563657407</v>
      </c>
      <c r="P1607" s="3" t="inlineStr">
        <is>
          <t>269.99</t>
        </is>
      </c>
      <c r="Q1607" t="inlineStr">
        <is>
          <t>Köln</t>
        </is>
      </c>
    </row>
    <row r="1608">
      <c r="A1608" t="inlineStr">
        <is>
          <t>136</t>
        </is>
      </c>
      <c r="B1608" t="inlineStr">
        <is>
          <t>Duotone Jaime SLS</t>
        </is>
      </c>
      <c r="C1608" t="inlineStr"/>
      <c r="D1608" s="3" t="inlineStr"/>
      <c r="E1608" t="inlineStr">
        <is>
          <t>2024</t>
        </is>
      </c>
      <c r="F1608" s="4" t="n">
        <v>850</v>
      </c>
      <c r="G1608" t="inlineStr"/>
      <c r="H1608" t="inlineStr">
        <is>
          <t>90451 Nürnberg (Mittelfr) - Aussenstadt-Sued</t>
        </is>
      </c>
      <c r="I1608" s="5" t="n">
        <v>45540</v>
      </c>
      <c r="J1608" t="inlineStr">
        <is>
          <t>Sold</t>
        </is>
      </c>
      <c r="K1608" s="6">
        <f>HYPERLINK("https://www.kleinanzeigen.de/s-anzeige/duotone-2024-jaime-sls-136/2854802981-230-6836", "Link")</f>
        <v/>
      </c>
      <c r="L1608" s="6">
        <f>HYPERLINK("C:\Projects\Kleinanzeigen-Scraper\offer_images\2854802981", "Link")</f>
        <v/>
      </c>
      <c r="M1608" t="inlineStr">
        <is>
          <t>No user name</t>
        </is>
      </c>
      <c r="N1608" s="6">
        <f>HYPERLINK("https://www.kleinanzeigen.deNo user link", "Link")</f>
        <v/>
      </c>
      <c r="O1608" s="7" t="n">
        <v>45549.57563657407</v>
      </c>
      <c r="P1608" s="3" t="inlineStr">
        <is>
          <t>145.92</t>
        </is>
      </c>
      <c r="Q1608" t="inlineStr">
        <is>
          <t>München</t>
        </is>
      </c>
    </row>
    <row r="1609">
      <c r="A1609" t="inlineStr"/>
      <c r="B1609" t="inlineStr">
        <is>
          <t>JP Australia Ultimate Wave</t>
        </is>
      </c>
      <c r="C1609" t="inlineStr">
        <is>
          <t>Wave</t>
        </is>
      </c>
      <c r="D1609" s="3" t="n">
        <v>102</v>
      </c>
      <c r="E1609" t="inlineStr"/>
      <c r="F1609" s="4" t="n">
        <v>850</v>
      </c>
      <c r="G1609" t="inlineStr">
        <is>
          <t>VB</t>
        </is>
      </c>
      <c r="H1609" t="inlineStr">
        <is>
          <t>38120 Niedersachsen - Braunschweig</t>
        </is>
      </c>
      <c r="I1609" s="5" t="n">
        <v>45518</v>
      </c>
      <c r="J1609" t="inlineStr"/>
      <c r="K1609" s="6">
        <f>HYPERLINK("https://www.kleinanzeigen.de/s-anzeige/windsurfboard-jp-australia-ultimate-wave-102-l-neuwertig-/2836935758-230-2453", "Link")</f>
        <v/>
      </c>
      <c r="L1609" s="6">
        <f>HYPERLINK("C:\Projects\Kleinanzeigen-Scraper\offer_images\2836935758", "Link")</f>
        <v/>
      </c>
      <c r="M1609" t="inlineStr">
        <is>
          <t>Rico</t>
        </is>
      </c>
      <c r="N1609" s="6">
        <f>HYPERLINK("https://www.kleinanzeigen.de/s-bestandsliste.html?userId=12353639", "Link")</f>
        <v/>
      </c>
      <c r="O1609" s="7" t="n">
        <v>45549.57563657407</v>
      </c>
      <c r="P1609" s="3" t="inlineStr">
        <is>
          <t>283.50</t>
        </is>
      </c>
      <c r="Q1609" t="inlineStr">
        <is>
          <t>Köln</t>
        </is>
      </c>
    </row>
    <row r="1610">
      <c r="A1610" t="inlineStr">
        <is>
          <t>230 x 60 cm</t>
        </is>
      </c>
      <c r="B1610" t="inlineStr">
        <is>
          <t>Simmer Quantum</t>
        </is>
      </c>
      <c r="C1610" t="inlineStr">
        <is>
          <t>Freeride</t>
        </is>
      </c>
      <c r="D1610" s="3" t="n">
        <v>95</v>
      </c>
      <c r="E1610" t="inlineStr">
        <is>
          <t>2021</t>
        </is>
      </c>
      <c r="F1610" s="4" t="n">
        <v>380</v>
      </c>
      <c r="G1610" t="inlineStr">
        <is>
          <t>VB</t>
        </is>
      </c>
      <c r="H1610" t="inlineStr">
        <is>
          <t>20535 Hamburg-Mitte - Hamburg Borgfelde</t>
        </is>
      </c>
      <c r="I1610" s="5" t="n">
        <v>45507</v>
      </c>
      <c r="J1610" t="inlineStr"/>
      <c r="K1610" s="6">
        <f>HYPERLINK("https://www.kleinanzeigen.de/s-anzeige/simmer-quantum-95l/2828331959-230-16466", "Link")</f>
        <v/>
      </c>
      <c r="L1610" s="6">
        <f>HYPERLINK("C:\Projects\Kleinanzeigen-Scraper\offer_images\2828331959", "Link")</f>
        <v/>
      </c>
      <c r="M1610" t="inlineStr">
        <is>
          <t>Mario Schenzer</t>
        </is>
      </c>
      <c r="N1610" s="6">
        <f>HYPERLINK("https://www.kleinanzeigen.de/s-bestandsliste.html?userId=34205697", "Link")</f>
        <v/>
      </c>
      <c r="O1610" s="7" t="n">
        <v>45549.57563657407</v>
      </c>
      <c r="P1610" s="3" t="inlineStr">
        <is>
          <t>359.68</t>
        </is>
      </c>
      <c r="Q1610" t="inlineStr">
        <is>
          <t>Köln</t>
        </is>
      </c>
    </row>
    <row r="1611">
      <c r="A1611" t="inlineStr">
        <is>
          <t>7'10"</t>
        </is>
      </c>
      <c r="B1611" t="inlineStr">
        <is>
          <t>Fanatic Ripper</t>
        </is>
      </c>
      <c r="C1611" t="inlineStr">
        <is>
          <t>Freeride</t>
        </is>
      </c>
      <c r="D1611" s="3" t="n">
        <v>138</v>
      </c>
      <c r="E1611" t="inlineStr">
        <is>
          <t>2021</t>
        </is>
      </c>
      <c r="F1611" s="4" t="n">
        <v>329</v>
      </c>
      <c r="G1611" t="inlineStr"/>
      <c r="H1611" t="inlineStr">
        <is>
          <t>18586 Mecklenburg-Vorpommern - Mönchgut, Ostseebad</t>
        </is>
      </c>
      <c r="I1611" s="5" t="n">
        <v>45555</v>
      </c>
      <c r="J1611" t="inlineStr"/>
      <c r="K1611" s="6">
        <f>HYPERLINK("https://www.kleinanzeigen.de/s-anzeige/fanatic-ripper-7-10-sup-2021-neu-35-oder-gebraucht-45-/1567661042-230-120", "Link")</f>
        <v/>
      </c>
      <c r="L1611" s="6">
        <f>HYPERLINK("C:\Projects\Kleinanzeigen-Scraper\offer_images\1567661042", "Link")</f>
        <v/>
      </c>
      <c r="M1611" t="inlineStr">
        <is>
          <t>No user name</t>
        </is>
      </c>
      <c r="N1611" s="6">
        <f>HYPERLINK("https://www.kleinanzeigen.deNo user link", "Link")</f>
        <v/>
      </c>
      <c r="O1611" s="7" t="n">
        <v>45549.57563657407</v>
      </c>
      <c r="P1611" s="3" t="inlineStr">
        <is>
          <t>591.22</t>
        </is>
      </c>
      <c r="Q1611" t="inlineStr">
        <is>
          <t>Köln</t>
        </is>
      </c>
    </row>
    <row r="1612">
      <c r="A1612" t="inlineStr"/>
      <c r="B1612" t="inlineStr">
        <is>
          <t>Fanatic Falcon Foil TE</t>
        </is>
      </c>
      <c r="C1612" t="inlineStr">
        <is>
          <t>Race Foil</t>
        </is>
      </c>
      <c r="D1612" s="3" t="inlineStr"/>
      <c r="E1612" t="inlineStr"/>
      <c r="F1612" s="4" t="n">
        <v>899</v>
      </c>
      <c r="G1612" t="inlineStr"/>
      <c r="H1612" t="inlineStr">
        <is>
          <t>85391 Bayern - Allershausen</t>
        </is>
      </c>
      <c r="I1612" s="5" t="n">
        <v>45544</v>
      </c>
      <c r="J1612" t="inlineStr">
        <is>
          <t>Sold</t>
        </is>
      </c>
      <c r="K1612" s="6">
        <f>HYPERLINK("https://www.kleinanzeigen.de/s-anzeige/windsurfboard-fanatic-falcon-foil-te/2858861149-230-6267", "Link")</f>
        <v/>
      </c>
      <c r="L1612" s="6">
        <f>HYPERLINK("C:\Projects\Kleinanzeigen-Scraper\offer_images\2858861149", "Link")</f>
        <v/>
      </c>
      <c r="M1612" t="inlineStr">
        <is>
          <t>Buchner Markus</t>
        </is>
      </c>
      <c r="N1612" s="6">
        <f>HYPERLINK("https://www.kleinanzeigen.de/s-bestandsliste.html?userId=120799156", "Link")</f>
        <v/>
      </c>
      <c r="O1612" s="7" t="n">
        <v>45549.575625</v>
      </c>
      <c r="P1612" s="3" t="inlineStr">
        <is>
          <t>32.76</t>
        </is>
      </c>
      <c r="Q1612" t="inlineStr">
        <is>
          <t>München</t>
        </is>
      </c>
    </row>
    <row r="1613">
      <c r="A1613" t="inlineStr">
        <is>
          <t>138</t>
        </is>
      </c>
      <c r="B1613" t="inlineStr">
        <is>
          <t>Duotone Select SLS</t>
        </is>
      </c>
      <c r="C1613" t="inlineStr"/>
      <c r="D1613" s="3" t="n">
        <v>40</v>
      </c>
      <c r="E1613" t="inlineStr">
        <is>
          <t>2024</t>
        </is>
      </c>
      <c r="F1613" s="4" t="n">
        <v>890</v>
      </c>
      <c r="G1613" t="inlineStr">
        <is>
          <t>VB</t>
        </is>
      </c>
      <c r="H1613" t="inlineStr">
        <is>
          <t>82438 Bayern - Eschenlohe</t>
        </is>
      </c>
      <c r="I1613" s="5" t="n">
        <v>45549</v>
      </c>
      <c r="J1613" t="inlineStr">
        <is>
          <t>Sold</t>
        </is>
      </c>
      <c r="K1613" s="6">
        <f>HYPERLINK("https://www.kleinanzeigen.de/s-anzeige/duotone-select-sls-138-2024/2862726980-230-5608", "Link")</f>
        <v/>
      </c>
      <c r="L1613" s="6">
        <f>HYPERLINK("C:\Projects\Kleinanzeigen-Scraper\offer_images\2862726980", "Link")</f>
        <v/>
      </c>
      <c r="M1613" t="inlineStr">
        <is>
          <t>Patrik</t>
        </is>
      </c>
      <c r="N1613" s="6">
        <f>HYPERLINK("https://www.kleinanzeigen.de/s-bestandsliste.html?userId=13872384", "Link")</f>
        <v/>
      </c>
      <c r="O1613" s="7" t="n">
        <v>45549.57561342593</v>
      </c>
      <c r="P1613" s="3" t="inlineStr">
        <is>
          <t>66.48</t>
        </is>
      </c>
      <c r="Q1613" t="inlineStr">
        <is>
          <t>München</t>
        </is>
      </c>
    </row>
    <row r="1614">
      <c r="A1614" t="inlineStr">
        <is>
          <t>235x65 cm</t>
        </is>
      </c>
      <c r="B1614" t="inlineStr">
        <is>
          <t>RRD X Fire</t>
        </is>
      </c>
      <c r="C1614" t="inlineStr">
        <is>
          <t>Racing</t>
        </is>
      </c>
      <c r="D1614" s="3" t="n">
        <v>105</v>
      </c>
      <c r="E1614" t="inlineStr"/>
      <c r="F1614" s="4" t="n">
        <v>590</v>
      </c>
      <c r="G1614" t="inlineStr">
        <is>
          <t>VB</t>
        </is>
      </c>
      <c r="H1614" t="inlineStr">
        <is>
          <t>88353 Baden-Württemberg - Kißlegg</t>
        </is>
      </c>
      <c r="I1614" s="5" t="n">
        <v>45533</v>
      </c>
      <c r="J1614" t="inlineStr"/>
      <c r="K1614" s="6">
        <f>HYPERLINK("https://www.kleinanzeigen.de/s-anzeige/rrd-x-fire-surfbrett-105l/2849179478-230-8086", "Link")</f>
        <v/>
      </c>
      <c r="L1614" s="6">
        <f>HYPERLINK("C:\Projects\Kleinanzeigen-Scraper\offer_images\2849179478", "Link")</f>
        <v/>
      </c>
      <c r="M1614" t="inlineStr">
        <is>
          <t>GK</t>
        </is>
      </c>
      <c r="N1614" s="6">
        <f>HYPERLINK("https://www.kleinanzeigen.de/s-bestandsliste.html?userId=15731098", "Link")</f>
        <v/>
      </c>
      <c r="O1614" s="7" t="n">
        <v>45549.57561342593</v>
      </c>
      <c r="P1614" s="3" t="inlineStr">
        <is>
          <t>116.32</t>
        </is>
      </c>
      <c r="Q1614" t="inlineStr">
        <is>
          <t>Bonndorf</t>
        </is>
      </c>
    </row>
    <row r="1615">
      <c r="A1615" t="inlineStr">
        <is>
          <t>250 cm x 74 cm</t>
        </is>
      </c>
      <c r="B1615" t="inlineStr">
        <is>
          <t>JP Australia Super Sport Pro Edition</t>
        </is>
      </c>
      <c r="C1615" t="inlineStr">
        <is>
          <t>Freeride</t>
        </is>
      </c>
      <c r="D1615" s="3" t="n">
        <v>127</v>
      </c>
      <c r="E1615" t="inlineStr"/>
      <c r="F1615" s="4" t="n">
        <v>550</v>
      </c>
      <c r="G1615" t="inlineStr"/>
      <c r="H1615" t="inlineStr">
        <is>
          <t>31137 Niedersachsen - Hildesheim</t>
        </is>
      </c>
      <c r="I1615" s="5" t="n">
        <v>45540</v>
      </c>
      <c r="J1615" t="inlineStr"/>
      <c r="K1615" s="6">
        <f>HYPERLINK("https://www.kleinanzeigen.de/s-anzeige/jp-australia-super-sport-pro-edition-74-mit-127-l-finne-boardbag/2854900995-230-3150", "Link")</f>
        <v/>
      </c>
      <c r="L1615" s="6">
        <f>HYPERLINK("C:\Projects\Kleinanzeigen-Scraper\offer_images\2854900995", "Link")</f>
        <v/>
      </c>
      <c r="M1615" t="inlineStr">
        <is>
          <t>Uwe</t>
        </is>
      </c>
      <c r="N1615" s="6">
        <f>HYPERLINK("https://www.kleinanzeigen.de/s-bestandsliste.html?userId=9990941", "Link")</f>
        <v/>
      </c>
      <c r="O1615" s="7" t="n">
        <v>45549.57561342593</v>
      </c>
      <c r="P1615" s="3" t="inlineStr">
        <is>
          <t>246.58</t>
        </is>
      </c>
      <c r="Q1615" t="inlineStr">
        <is>
          <t>Köln</t>
        </is>
      </c>
    </row>
    <row r="1616">
      <c r="A1616" t="inlineStr">
        <is>
          <t>10'6" x 25" x 4.0"</t>
        </is>
      </c>
      <c r="B1616" t="inlineStr">
        <is>
          <t>Starboard Astro Junior</t>
        </is>
      </c>
      <c r="C1616" t="inlineStr">
        <is>
          <t>Touring/Racing</t>
        </is>
      </c>
      <c r="D1616" s="3" t="n">
        <v>143</v>
      </c>
      <c r="E1616" t="inlineStr"/>
      <c r="F1616" s="4" t="n">
        <v>280</v>
      </c>
      <c r="G1616" t="inlineStr"/>
      <c r="H1616" t="inlineStr">
        <is>
          <t>85107 Bayern - Baar-Ebenhausen</t>
        </is>
      </c>
      <c r="I1616" s="5" t="n">
        <v>45520</v>
      </c>
      <c r="J1616" t="inlineStr"/>
      <c r="K1616" s="6">
        <f>HYPERLINK("https://www.kleinanzeigen.de/s-anzeige/starboard-astro-junjor/2838181433-230-7587", "Link")</f>
        <v/>
      </c>
      <c r="L1616" s="6">
        <f>HYPERLINK("C:\Projects\Kleinanzeigen-Scraper\offer_images\2838181433", "Link")</f>
        <v/>
      </c>
      <c r="M1616" t="inlineStr">
        <is>
          <t>Benno</t>
        </is>
      </c>
      <c r="N1616" s="6">
        <f>HYPERLINK("https://www.kleinanzeigen.de/s-bestandsliste.html?userId=142880594", "Link")</f>
        <v/>
      </c>
      <c r="O1616" s="7" t="n">
        <v>45549.57559027777</v>
      </c>
      <c r="P1616" s="3" t="inlineStr">
        <is>
          <t>60.23</t>
        </is>
      </c>
      <c r="Q1616" t="inlineStr">
        <is>
          <t>München</t>
        </is>
      </c>
    </row>
    <row r="1617">
      <c r="A1617" t="inlineStr">
        <is>
          <t>287 cm x 81.3 cm</t>
        </is>
      </c>
      <c r="B1617" t="inlineStr">
        <is>
          <t>Naish Mana</t>
        </is>
      </c>
      <c r="C1617" t="inlineStr">
        <is>
          <t>All-Around</t>
        </is>
      </c>
      <c r="D1617" s="3" t="n">
        <v>163</v>
      </c>
      <c r="E1617" t="inlineStr">
        <is>
          <t>2021</t>
        </is>
      </c>
      <c r="F1617" s="4" t="n">
        <v>999</v>
      </c>
      <c r="G1617" t="inlineStr">
        <is>
          <t>VB</t>
        </is>
      </c>
      <c r="H1617" t="inlineStr">
        <is>
          <t>66693 Saarland - Mettlach</t>
        </is>
      </c>
      <c r="I1617" s="5" t="n">
        <v>45535</v>
      </c>
      <c r="J1617" t="inlineStr">
        <is>
          <t>Sold</t>
        </is>
      </c>
      <c r="K1617" s="6">
        <f>HYPERLINK("https://www.kleinanzeigen.de/s-anzeige/ungebrauchtes-naish-mana-stand-up-paddle-sup-board-9-5-gtw/2850634349-230-360", "Link")</f>
        <v/>
      </c>
      <c r="L1617" s="6">
        <f>HYPERLINK("C:\Projects\Kleinanzeigen-Scraper\offer_images\2850634349", "Link")</f>
        <v/>
      </c>
      <c r="M1617" t="inlineStr">
        <is>
          <t>Philipp</t>
        </is>
      </c>
      <c r="N1617" s="6">
        <f>HYPERLINK("https://www.kleinanzeigen.de/s-bestandsliste.html?userId=72113374", "Link")</f>
        <v/>
      </c>
      <c r="O1617" s="7" t="n">
        <v>45549.57559027777</v>
      </c>
      <c r="P1617" s="3" t="inlineStr">
        <is>
          <t>143.88</t>
        </is>
      </c>
      <c r="Q1617" t="inlineStr">
        <is>
          <t>Karlsruhe</t>
        </is>
      </c>
    </row>
    <row r="1618">
      <c r="A1618" t="inlineStr">
        <is>
          <t>228 cm x 75 cm</t>
        </is>
      </c>
      <c r="B1618" t="inlineStr">
        <is>
          <t>Fanatic Stingray 125</t>
        </is>
      </c>
      <c r="C1618" t="inlineStr">
        <is>
          <t>Foil</t>
        </is>
      </c>
      <c r="D1618" s="3" t="n">
        <v>125</v>
      </c>
      <c r="E1618" t="inlineStr"/>
      <c r="F1618" s="4" t="n">
        <v>350</v>
      </c>
      <c r="G1618" t="inlineStr">
        <is>
          <t>VB</t>
        </is>
      </c>
      <c r="H1618" t="inlineStr">
        <is>
          <t>85368 Bayern - Moosburg a.d. Isar</t>
        </is>
      </c>
      <c r="I1618" s="5" t="n">
        <v>45545</v>
      </c>
      <c r="J1618" t="inlineStr">
        <is>
          <t>Sold</t>
        </is>
      </c>
      <c r="K1618" s="6">
        <f>HYPERLINK("https://www.kleinanzeigen.de/s-anzeige/gebrauchtes-fanatic-stingray-125-foil-board/2859130368-230-6540", "Link")</f>
        <v/>
      </c>
      <c r="L1618" s="6">
        <f>HYPERLINK("C:\Projects\Kleinanzeigen-Scraper\offer_images\2859130368", "Link")</f>
        <v/>
      </c>
      <c r="M1618" t="inlineStr">
        <is>
          <t>Fam. Werner</t>
        </is>
      </c>
      <c r="N1618" s="6">
        <f>HYPERLINK("https://www.kleinanzeigen.de/s-bestandsliste.html?userId=8987959", "Link")</f>
        <v/>
      </c>
      <c r="O1618" s="7" t="n">
        <v>45549.57559027777</v>
      </c>
      <c r="P1618" s="3" t="inlineStr">
        <is>
          <t>46.07</t>
        </is>
      </c>
      <c r="Q1618" t="inlineStr">
        <is>
          <t>München</t>
        </is>
      </c>
    </row>
    <row r="1619">
      <c r="A1619" t="inlineStr">
        <is>
          <t>5.7 x 58cm</t>
        </is>
      </c>
      <c r="B1619" t="inlineStr">
        <is>
          <t>RB63</t>
        </is>
      </c>
      <c r="C1619" t="inlineStr">
        <is>
          <t>Wave</t>
        </is>
      </c>
      <c r="D1619" s="3" t="inlineStr"/>
      <c r="E1619" t="inlineStr">
        <is>
          <t>2022</t>
        </is>
      </c>
      <c r="F1619" s="4" t="n">
        <v>390</v>
      </c>
      <c r="G1619" t="inlineStr"/>
      <c r="H1619" t="inlineStr">
        <is>
          <t>88085 Baden-Württemberg - Langenargen</t>
        </is>
      </c>
      <c r="I1619" s="5" t="n">
        <v>45545</v>
      </c>
      <c r="J1619" t="inlineStr">
        <is>
          <t>Sold</t>
        </is>
      </c>
      <c r="K1619" s="6">
        <f>HYPERLINK("https://www.kleinanzeigen.de/s-anzeige/kite-waveboard-edles-kapstadt-custom-von-rb63-sowie-duotone-wam/2859403622-230-8350", "Link")</f>
        <v/>
      </c>
      <c r="L1619" s="6">
        <f>HYPERLINK("C:\Projects\Kleinanzeigen-Scraper\offer_images\2859403622", "Link")</f>
        <v/>
      </c>
      <c r="M1619" t="inlineStr">
        <is>
          <t>A.Daiber</t>
        </is>
      </c>
      <c r="N1619" s="6">
        <f>HYPERLINK("https://www.kleinanzeigen.de/s-bestandsliste.html?userId=6568405", "Link")</f>
        <v/>
      </c>
      <c r="O1619" s="7" t="n">
        <v>45549.57556712963</v>
      </c>
      <c r="P1619" s="3" t="inlineStr">
        <is>
          <t>93.32</t>
        </is>
      </c>
      <c r="Q1619" t="inlineStr">
        <is>
          <t>Bonndorf</t>
        </is>
      </c>
    </row>
    <row r="1620">
      <c r="A1620" t="inlineStr">
        <is>
          <t>320</t>
        </is>
      </c>
      <c r="B1620" t="inlineStr">
        <is>
          <t>Fanatic</t>
        </is>
      </c>
      <c r="C1620" t="inlineStr">
        <is>
          <t>Fun/Speed</t>
        </is>
      </c>
      <c r="D1620" s="3" t="inlineStr"/>
      <c r="E1620" t="inlineStr"/>
      <c r="F1620" s="4" t="n">
        <v>50</v>
      </c>
      <c r="G1620" t="inlineStr"/>
      <c r="H1620" t="inlineStr">
        <is>
          <t>36341 Hessen - Lauterbach (Hessen)</t>
        </is>
      </c>
      <c r="I1620" s="5" t="n">
        <v>45525</v>
      </c>
      <c r="J1620" t="inlineStr">
        <is>
          <t>Sold</t>
        </is>
      </c>
      <c r="K1620" s="6">
        <f>HYPERLINK("https://www.kleinanzeigen.de/s-anzeige/surfbrett-fanatic-320-fun-speed/2842344029-230-4650", "Link")</f>
        <v/>
      </c>
      <c r="L1620" s="6">
        <f>HYPERLINK("C:\Projects\Kleinanzeigen-Scraper\offer_images\2842344029", "Link")</f>
        <v/>
      </c>
      <c r="M1620" t="inlineStr">
        <is>
          <t>Ackermann</t>
        </is>
      </c>
      <c r="N1620" s="6">
        <f>HYPERLINK("https://www.kleinanzeigen.de/s-bestandsliste.html?userId=32129084", "Link")</f>
        <v/>
      </c>
      <c r="O1620" s="7" t="n">
        <v>45549.57555555556</v>
      </c>
      <c r="P1620" s="3" t="inlineStr">
        <is>
          <t>172.54</t>
        </is>
      </c>
      <c r="Q1620" t="inlineStr">
        <is>
          <t>Köln</t>
        </is>
      </c>
    </row>
    <row r="1621">
      <c r="A1621" t="inlineStr">
        <is>
          <t>256 x 55 cm</t>
        </is>
      </c>
      <c r="B1621" t="inlineStr">
        <is>
          <t>Tabou Wave</t>
        </is>
      </c>
      <c r="C1621" t="inlineStr">
        <is>
          <t>Wave</t>
        </is>
      </c>
      <c r="D1621" s="3" t="n">
        <v>85</v>
      </c>
      <c r="E1621" t="inlineStr"/>
      <c r="F1621" s="4" t="n">
        <v>70</v>
      </c>
      <c r="G1621" t="inlineStr"/>
      <c r="H1621" t="inlineStr">
        <is>
          <t>88069 Baden-Württemberg - Tettnang</t>
        </is>
      </c>
      <c r="I1621" s="5" t="n">
        <v>45412</v>
      </c>
      <c r="J1621" t="inlineStr"/>
      <c r="K1621" s="6">
        <f>HYPERLINK("https://www.kleinanzeigen.de/s-anzeige/tabou-wave-256-surfbrett-85-liter/2749050439-230-8345", "Link")</f>
        <v/>
      </c>
      <c r="L1621" s="6">
        <f>HYPERLINK("C:\Projects\Kleinanzeigen-Scraper\offer_images\2749050439", "Link")</f>
        <v/>
      </c>
      <c r="M1621" t="inlineStr">
        <is>
          <t>A.G.</t>
        </is>
      </c>
      <c r="N1621" s="6">
        <f>HYPERLINK("https://www.kleinanzeigen.de/s-bestandsliste.html?userId=10762553", "Link")</f>
        <v/>
      </c>
      <c r="O1621" s="7" t="n">
        <v>45549.57554398148</v>
      </c>
      <c r="P1621" s="3" t="inlineStr">
        <is>
          <t>98.51</t>
        </is>
      </c>
      <c r="Q1621" t="inlineStr">
        <is>
          <t>Bonndorf</t>
        </is>
      </c>
    </row>
    <row r="1622">
      <c r="A1622" t="inlineStr">
        <is>
          <t>142 x 43</t>
        </is>
      </c>
      <c r="B1622" t="inlineStr">
        <is>
          <t>Duotone Team Series TXTRM</t>
        </is>
      </c>
      <c r="C1622" t="inlineStr">
        <is>
          <t>Freestyle</t>
        </is>
      </c>
      <c r="D1622" s="3" t="inlineStr"/>
      <c r="E1622" t="inlineStr"/>
      <c r="F1622" s="4" t="n">
        <v>280</v>
      </c>
      <c r="G1622" t="inlineStr">
        <is>
          <t>VB</t>
        </is>
      </c>
      <c r="H1622" t="inlineStr">
        <is>
          <t>10439 Pankow - Prenzlauer Berg</t>
        </is>
      </c>
      <c r="I1622" s="5" t="n">
        <v>45549</v>
      </c>
      <c r="J1622" t="inlineStr">
        <is>
          <t>Sold</t>
        </is>
      </c>
      <c r="K1622" s="6">
        <f>HYPERLINK("https://www.kleinanzeigen.de/s-anzeige/duotone-team-series-txtrm-kiteboard-142-43/2862908541-230-3490", "Link")</f>
        <v/>
      </c>
      <c r="L1622" s="6">
        <f>HYPERLINK("C:\Projects\Kleinanzeigen-Scraper\offer_images\2862908541", "Link")</f>
        <v/>
      </c>
      <c r="M1622" t="inlineStr">
        <is>
          <t>Lorenzo</t>
        </is>
      </c>
      <c r="N1622" s="6">
        <f>HYPERLINK("https://www.kleinanzeigen.de/s-bestandsliste.html?userId=41068474", "Link")</f>
        <v/>
      </c>
      <c r="O1622" s="7" t="n">
        <v>45549.57553240741</v>
      </c>
      <c r="P1622" s="3" t="inlineStr">
        <is>
          <t>479.25</t>
        </is>
      </c>
      <c r="Q1622" t="inlineStr">
        <is>
          <t>Köln</t>
        </is>
      </c>
    </row>
    <row r="1623">
      <c r="A1623" t="inlineStr">
        <is>
          <t>132 x 41</t>
        </is>
      </c>
      <c r="B1623" t="inlineStr">
        <is>
          <t>Naish Alana</t>
        </is>
      </c>
      <c r="C1623" t="inlineStr">
        <is>
          <t>Kiteboard</t>
        </is>
      </c>
      <c r="D1623" s="3" t="inlineStr"/>
      <c r="E1623" t="inlineStr">
        <is>
          <t>2017</t>
        </is>
      </c>
      <c r="F1623" s="4" t="n">
        <v>300</v>
      </c>
      <c r="G1623" t="inlineStr"/>
      <c r="H1623" t="inlineStr">
        <is>
          <t>50829 Nordrhein-Westfalen - Köln Vogelsang</t>
        </is>
      </c>
      <c r="I1623" s="5" t="n">
        <v>45487</v>
      </c>
      <c r="J1623" t="inlineStr">
        <is>
          <t>Sold</t>
        </is>
      </c>
      <c r="K1623" s="6">
        <f>HYPERLINK("https://www.kleinanzeigen.de/s-anzeige/naish-alana-kite-board-modell-2017/2812340652-230-20583", "Link")</f>
        <v/>
      </c>
      <c r="L1623" s="6">
        <f>HYPERLINK("C:\Projects\Kleinanzeigen-Scraper\offer_images\2812340652", "Link")</f>
        <v/>
      </c>
      <c r="M1623" t="inlineStr">
        <is>
          <t>OanaM</t>
        </is>
      </c>
      <c r="N1623" s="6">
        <f>HYPERLINK("https://www.kleinanzeigen.de/s-bestandsliste.html?userId=127420507", "Link")</f>
        <v/>
      </c>
      <c r="O1623" s="7" t="n">
        <v>45549.57553240741</v>
      </c>
      <c r="P1623" s="3" t="inlineStr">
        <is>
          <t>7.70</t>
        </is>
      </c>
      <c r="Q1623" t="inlineStr">
        <is>
          <t>Köln</t>
        </is>
      </c>
    </row>
    <row r="1624">
      <c r="A1624" t="inlineStr">
        <is>
          <t>86 liters</t>
        </is>
      </c>
      <c r="B1624" t="inlineStr">
        <is>
          <t>Starboard Kode</t>
        </is>
      </c>
      <c r="C1624" t="inlineStr">
        <is>
          <t>Wave</t>
        </is>
      </c>
      <c r="D1624" s="3" t="n">
        <v>86</v>
      </c>
      <c r="E1624" t="inlineStr"/>
      <c r="F1624" s="4" t="n">
        <v>250</v>
      </c>
      <c r="G1624" t="inlineStr">
        <is>
          <t>VB</t>
        </is>
      </c>
      <c r="H1624" t="inlineStr">
        <is>
          <t>82319 Bayern - Starnberg</t>
        </is>
      </c>
      <c r="I1624" s="5" t="n">
        <v>45544</v>
      </c>
      <c r="J1624" t="inlineStr"/>
      <c r="K1624" s="6">
        <f>HYPERLINK("https://www.kleinanzeigen.de/s-anzeige/starboard-kode-86-liter-gebraucht-guter-zustand/2418916074-230-5525", "Link")</f>
        <v/>
      </c>
      <c r="L1624" s="6">
        <f>HYPERLINK("C:\Projects\Kleinanzeigen-Scraper\offer_images\2418916074", "Link")</f>
        <v/>
      </c>
      <c r="M1624" t="inlineStr">
        <is>
          <t>No user name</t>
        </is>
      </c>
      <c r="N1624" s="6">
        <f>HYPERLINK("https://www.kleinanzeigen.deNo user link", "Link")</f>
        <v/>
      </c>
      <c r="O1624" s="7" t="n">
        <v>45549.57552083334</v>
      </c>
      <c r="P1624" s="3" t="inlineStr">
        <is>
          <t>23.17</t>
        </is>
      </c>
      <c r="Q1624" t="inlineStr">
        <is>
          <t>München</t>
        </is>
      </c>
    </row>
    <row r="1625">
      <c r="A1625" t="inlineStr">
        <is>
          <t>112</t>
        </is>
      </c>
      <c r="B1625" t="inlineStr">
        <is>
          <t>Fanatic Ripper</t>
        </is>
      </c>
      <c r="C1625" t="inlineStr">
        <is>
          <t>Freeride</t>
        </is>
      </c>
      <c r="D1625" s="3" t="inlineStr"/>
      <c r="E1625" t="inlineStr">
        <is>
          <t>2023</t>
        </is>
      </c>
      <c r="F1625" s="4" t="n">
        <v>1.195</v>
      </c>
      <c r="G1625" t="inlineStr"/>
      <c r="H1625" t="inlineStr">
        <is>
          <t>82319 Bayern - Starnberg</t>
        </is>
      </c>
      <c r="I1625" s="5" t="n">
        <v>45555</v>
      </c>
      <c r="J1625" t="inlineStr">
        <is>
          <t>Sold</t>
        </is>
      </c>
      <c r="K1625" s="6">
        <f>HYPERLINK("https://www.kleinanzeigen.de/s-anzeige/fanatic-ripper-kinder-windsurf-board/2842482972-230-5525", "Link")</f>
        <v/>
      </c>
      <c r="L1625" s="6">
        <f>HYPERLINK("C:\Projects\Kleinanzeigen-Scraper\offer_images\2842482972", "Link")</f>
        <v/>
      </c>
      <c r="M1625" t="inlineStr">
        <is>
          <t>No user name</t>
        </is>
      </c>
      <c r="N1625" s="6">
        <f>HYPERLINK("https://www.kleinanzeigen.deNo user link", "Link")</f>
        <v/>
      </c>
      <c r="O1625" s="7" t="n">
        <v>45549.57550925926</v>
      </c>
      <c r="P1625" s="3" t="inlineStr">
        <is>
          <t>23.17</t>
        </is>
      </c>
      <c r="Q1625" t="inlineStr">
        <is>
          <t>München</t>
        </is>
      </c>
    </row>
    <row r="1626">
      <c r="A1626" t="inlineStr">
        <is>
          <t>235x68.5 cm</t>
        </is>
      </c>
      <c r="B1626" t="inlineStr">
        <is>
          <t>Starboard iSonic</t>
        </is>
      </c>
      <c r="C1626" t="inlineStr">
        <is>
          <t>Slalom</t>
        </is>
      </c>
      <c r="D1626" s="3" t="n">
        <v>107</v>
      </c>
      <c r="E1626" t="inlineStr"/>
      <c r="F1626" s="4" t="n">
        <v>350</v>
      </c>
      <c r="G1626" t="inlineStr"/>
      <c r="H1626" t="inlineStr">
        <is>
          <t>41464 Nordrhein-Westfalen - Neuss</t>
        </is>
      </c>
      <c r="I1626" s="5" t="n">
        <v>45543</v>
      </c>
      <c r="J1626" t="inlineStr"/>
      <c r="K1626" s="6">
        <f>HYPERLINK("https://www.kleinanzeigen.de/s-anzeige/starboard-isonic-107l/2857280985-230-2113", "Link")</f>
        <v/>
      </c>
      <c r="L1626" s="6">
        <f>HYPERLINK("C:\Projects\Kleinanzeigen-Scraper\offer_images\2857280985", "Link")</f>
        <v/>
      </c>
      <c r="M1626" t="inlineStr">
        <is>
          <t>V.Mue</t>
        </is>
      </c>
      <c r="N1626" s="6">
        <f>HYPERLINK("https://www.kleinanzeigen.de/s-bestandsliste.html?userId=34971216", "Link")</f>
        <v/>
      </c>
      <c r="O1626" s="7" t="n">
        <v>45549.57550925926</v>
      </c>
      <c r="P1626" s="3" t="inlineStr">
        <is>
          <t>34.26</t>
        </is>
      </c>
      <c r="Q1626" t="inlineStr">
        <is>
          <t>Köln</t>
        </is>
      </c>
    </row>
    <row r="1627">
      <c r="A1627" t="inlineStr">
        <is>
          <t>380cm x 75.6cm x 17cm</t>
        </is>
      </c>
      <c r="B1627" t="inlineStr">
        <is>
          <t>Naish Glide GTW Touring</t>
        </is>
      </c>
      <c r="C1627" t="inlineStr">
        <is>
          <t>Touring</t>
        </is>
      </c>
      <c r="D1627" s="3" t="n">
        <v>260</v>
      </c>
      <c r="E1627" t="inlineStr"/>
      <c r="F1627" s="4" t="n">
        <v>950</v>
      </c>
      <c r="G1627" t="inlineStr">
        <is>
          <t>VB</t>
        </is>
      </c>
      <c r="H1627" t="inlineStr">
        <is>
          <t>80637 Neuhausen-Nymphenburg - Neuhausen</t>
        </is>
      </c>
      <c r="I1627" s="5" t="n">
        <v>45545</v>
      </c>
      <c r="J1627" t="inlineStr">
        <is>
          <t>Sold</t>
        </is>
      </c>
      <c r="K1627" s="6">
        <f>HYPERLINK("https://www.kleinanzeigen.de/s-anzeige/naish-glide-gtw-touring-12-6-hardboard-sup-bamboo-guter-zustand/2859308161-230-6422", "Link")</f>
        <v/>
      </c>
      <c r="L1627" s="6">
        <f>HYPERLINK("C:\Projects\Kleinanzeigen-Scraper\offer_images\2859308161", "Link")</f>
        <v/>
      </c>
      <c r="M1627" t="inlineStr">
        <is>
          <t>Michael</t>
        </is>
      </c>
      <c r="N1627" s="6">
        <f>HYPERLINK("https://www.kleinanzeigen.de/s-bestandsliste.html?userId=14242997", "Link")</f>
        <v/>
      </c>
      <c r="O1627" s="7" t="n">
        <v>45549.57548611111</v>
      </c>
      <c r="P1627" s="3" t="inlineStr">
        <is>
          <t>3.94</t>
        </is>
      </c>
      <c r="Q1627" t="inlineStr">
        <is>
          <t>München</t>
        </is>
      </c>
    </row>
    <row r="1628">
      <c r="A1628" t="inlineStr">
        <is>
          <t>125</t>
        </is>
      </c>
      <c r="B1628" t="inlineStr">
        <is>
          <t>Naish Hover</t>
        </is>
      </c>
      <c r="C1628" t="inlineStr">
        <is>
          <t>Foil</t>
        </is>
      </c>
      <c r="D1628" s="3" t="inlineStr"/>
      <c r="E1628" t="inlineStr"/>
      <c r="F1628" s="4" t="n">
        <v>313</v>
      </c>
      <c r="G1628" t="inlineStr">
        <is>
          <t>VB</t>
        </is>
      </c>
      <c r="H1628" t="inlineStr">
        <is>
          <t>78224 Baden-Württemberg - Singen</t>
        </is>
      </c>
      <c r="I1628" s="5" t="n">
        <v>45515</v>
      </c>
      <c r="J1628" t="inlineStr"/>
      <c r="K1628" s="6">
        <f>HYPERLINK("https://www.kleinanzeigen.de/s-anzeige/naish-foil-windsurf/2834436788-230-9397", "Link")</f>
        <v/>
      </c>
      <c r="L1628" s="6">
        <f>HYPERLINK("C:\Projects\Kleinanzeigen-Scraper\offer_images\2834436788", "Link")</f>
        <v/>
      </c>
      <c r="M1628" t="inlineStr">
        <is>
          <t>Kai</t>
        </is>
      </c>
      <c r="N1628" s="6">
        <f>HYPERLINK("https://www.kleinanzeigen.de/s-bestandsliste.html?userId=43376827", "Link")</f>
        <v/>
      </c>
      <c r="O1628" s="7" t="n">
        <v>45549.57543981481</v>
      </c>
      <c r="P1628" s="3" t="inlineStr">
        <is>
          <t>40.33</t>
        </is>
      </c>
      <c r="Q1628" t="inlineStr">
        <is>
          <t>Bonndorf</t>
        </is>
      </c>
    </row>
    <row r="1629">
      <c r="A1629" t="inlineStr">
        <is>
          <t>160cm x 66cm</t>
        </is>
      </c>
      <c r="B1629" t="inlineStr">
        <is>
          <t>Duotone Sky Free SLS</t>
        </is>
      </c>
      <c r="C1629" t="inlineStr">
        <is>
          <t>Wingfoil</t>
        </is>
      </c>
      <c r="D1629" s="3" t="n">
        <v>95</v>
      </c>
      <c r="E1629" t="inlineStr">
        <is>
          <t>2024</t>
        </is>
      </c>
      <c r="F1629" s="4" t="n">
        <v>1.29</v>
      </c>
      <c r="G1629" t="inlineStr"/>
      <c r="H1629" t="inlineStr">
        <is>
          <t>50733 Köln - Nippes</t>
        </is>
      </c>
      <c r="I1629" s="5" t="n">
        <v>45540</v>
      </c>
      <c r="J1629" t="inlineStr">
        <is>
          <t>Sold</t>
        </is>
      </c>
      <c r="K1629" s="6">
        <f>HYPERLINK("https://www.kleinanzeigen.de/s-anzeige/neu-duotone-sky-free-sls-2024-in-5-3-95l-inkl-versand/2854649468-230-993", "Link")</f>
        <v/>
      </c>
      <c r="L1629" s="6">
        <f>HYPERLINK("C:\Projects\Kleinanzeigen-Scraper\offer_images\2854649468", "Link")</f>
        <v/>
      </c>
      <c r="M1629" t="inlineStr">
        <is>
          <t>Merula</t>
        </is>
      </c>
      <c r="N1629" s="6">
        <f>HYPERLINK("https://www.kleinanzeigen.de/s-bestandsliste.html?userId=16677578", "Link")</f>
        <v/>
      </c>
      <c r="O1629" s="7" t="n">
        <v>45549.57541666667</v>
      </c>
      <c r="P1629" s="3" t="inlineStr">
        <is>
          <t>2.91</t>
        </is>
      </c>
      <c r="Q1629" t="inlineStr">
        <is>
          <t>Köln</t>
        </is>
      </c>
    </row>
    <row r="1630">
      <c r="A1630" t="inlineStr">
        <is>
          <t>12.0</t>
        </is>
      </c>
      <c r="B1630" t="inlineStr">
        <is>
          <t>RRD SUP AIR EVO Cruiser</t>
        </is>
      </c>
      <c r="C1630" t="inlineStr"/>
      <c r="D1630" s="3" t="inlineStr"/>
      <c r="E1630" t="inlineStr">
        <is>
          <t>2023</t>
        </is>
      </c>
      <c r="F1630" s="4" t="n">
        <v>598</v>
      </c>
      <c r="G1630" t="inlineStr"/>
      <c r="H1630" t="inlineStr">
        <is>
          <t>82319 Bayern - Starnberg</t>
        </is>
      </c>
      <c r="I1630" s="5" t="n">
        <v>45551</v>
      </c>
      <c r="J1630" t="inlineStr"/>
      <c r="K1630" s="6">
        <f>HYPERLINK("https://www.kleinanzeigen.de/s-anzeige/rrd-sup-air-evo-cruiser-y26-12-0-2023-stand-up-paddel/2451573533-230-5525", "Link")</f>
        <v/>
      </c>
      <c r="L1630" s="6">
        <f>HYPERLINK("C:\Projects\Kleinanzeigen-Scraper\offer_images\2451573533", "Link")</f>
        <v/>
      </c>
      <c r="M1630" t="inlineStr">
        <is>
          <t>No user name</t>
        </is>
      </c>
      <c r="N1630" s="6">
        <f>HYPERLINK("https://www.kleinanzeigen.deNo user link", "Link")</f>
        <v/>
      </c>
      <c r="O1630" s="7" t="n">
        <v>45549.57541666667</v>
      </c>
      <c r="P1630" s="3" t="inlineStr">
        <is>
          <t>23.17</t>
        </is>
      </c>
      <c r="Q1630" t="inlineStr">
        <is>
          <t>München</t>
        </is>
      </c>
    </row>
    <row r="1631">
      <c r="A1631" t="inlineStr">
        <is>
          <t>226 x 66</t>
        </is>
      </c>
      <c r="B1631" t="inlineStr">
        <is>
          <t>Tabou 3s</t>
        </is>
      </c>
      <c r="C1631" t="inlineStr">
        <is>
          <t>Freeride</t>
        </is>
      </c>
      <c r="D1631" s="3" t="n">
        <v>116</v>
      </c>
      <c r="E1631" t="inlineStr"/>
      <c r="F1631" s="4" t="n">
        <v>790</v>
      </c>
      <c r="G1631" t="inlineStr">
        <is>
          <t>VB</t>
        </is>
      </c>
      <c r="H1631" t="inlineStr">
        <is>
          <t>31171 Niedersachsen - Nordstemmen</t>
        </is>
      </c>
      <c r="I1631" s="5" t="n">
        <v>45544</v>
      </c>
      <c r="J1631" t="inlineStr">
        <is>
          <t>Sold</t>
        </is>
      </c>
      <c r="K1631" s="6">
        <f>HYPERLINK("https://www.kleinanzeigen.de/s-anzeige/tabou-3s-windsurfboard-neuwertig/2858222483-230-2907", "Link")</f>
        <v/>
      </c>
      <c r="L1631" s="6">
        <f>HYPERLINK("C:\Projects\Kleinanzeigen-Scraper\offer_images\2858222483", "Link")</f>
        <v/>
      </c>
      <c r="M1631" t="inlineStr">
        <is>
          <t>Tom</t>
        </is>
      </c>
      <c r="N1631" s="6">
        <f>HYPERLINK("https://www.kleinanzeigen.de/s-bestandsliste.html?userId=59680706", "Link")</f>
        <v/>
      </c>
      <c r="O1631" s="7" t="n">
        <v>45549.57541666667</v>
      </c>
      <c r="P1631" s="3" t="inlineStr">
        <is>
          <t>239.06</t>
        </is>
      </c>
      <c r="Q1631" t="inlineStr">
        <is>
          <t>Köln</t>
        </is>
      </c>
    </row>
    <row r="1632">
      <c r="A1632" t="inlineStr">
        <is>
          <t>132x39</t>
        </is>
      </c>
      <c r="B1632" t="inlineStr">
        <is>
          <t>DUOTONE Select</t>
        </is>
      </c>
      <c r="C1632" t="inlineStr">
        <is>
          <t>Twintip</t>
        </is>
      </c>
      <c r="D1632" s="3" t="inlineStr"/>
      <c r="E1632" t="inlineStr">
        <is>
          <t>2022</t>
        </is>
      </c>
      <c r="F1632" s="4" t="n">
        <v>459</v>
      </c>
      <c r="G1632" t="inlineStr">
        <is>
          <t>VB</t>
        </is>
      </c>
      <c r="H1632" t="inlineStr">
        <is>
          <t>24116 Kiel - Schreventeich-Hasseldieksdamm</t>
        </is>
      </c>
      <c r="I1632" s="5" t="n">
        <v>45548</v>
      </c>
      <c r="J1632" t="inlineStr">
        <is>
          <t>Sold</t>
        </is>
      </c>
      <c r="K1632" s="6">
        <f>HYPERLINK("https://www.kleinanzeigen.de/s-anzeige/duotone-select-2022-132-39-mit-entity-ergo-ntt-kiteboard-bindung/2862559996-230-703", "Link")</f>
        <v/>
      </c>
      <c r="L1632" s="6">
        <f>HYPERLINK("C:\Projects\Kleinanzeigen-Scraper\offer_images\2862559996", "Link")</f>
        <v/>
      </c>
      <c r="M1632" t="inlineStr">
        <is>
          <t>Paul</t>
        </is>
      </c>
      <c r="N1632" s="6">
        <f>HYPERLINK("https://www.kleinanzeigen.de/s-bestandsliste.html?userId=2014141", "Link")</f>
        <v/>
      </c>
      <c r="O1632" s="7" t="n">
        <v>45549.57541666667</v>
      </c>
      <c r="P1632" s="3" t="inlineStr">
        <is>
          <t>432.62</t>
        </is>
      </c>
      <c r="Q1632" t="inlineStr">
        <is>
          <t>Köln</t>
        </is>
      </c>
    </row>
    <row r="1633">
      <c r="A1633" t="inlineStr">
        <is>
          <t>125</t>
        </is>
      </c>
      <c r="B1633" t="inlineStr">
        <is>
          <t>Severne Alien</t>
        </is>
      </c>
      <c r="C1633" t="inlineStr">
        <is>
          <t>Foil</t>
        </is>
      </c>
      <c r="D1633" s="3" t="inlineStr"/>
      <c r="E1633" t="inlineStr">
        <is>
          <t>2023</t>
        </is>
      </c>
      <c r="F1633" s="4" t="n">
        <v>1.85</v>
      </c>
      <c r="G1633" t="inlineStr">
        <is>
          <t>VB</t>
        </is>
      </c>
      <c r="H1633" t="inlineStr">
        <is>
          <t>76189 Baden-Württemberg - Karlsruhe</t>
        </is>
      </c>
      <c r="I1633" s="5" t="n">
        <v>45491</v>
      </c>
      <c r="J1633" t="inlineStr">
        <is>
          <t>Sold</t>
        </is>
      </c>
      <c r="K1633" s="6">
        <f>HYPERLINK("https://www.kleinanzeigen.de/s-anzeige/windfoilboard-severne-alien-125-komplett-mit-hydrofoil-1400-redwi/2815144141-230-9189", "Link")</f>
        <v/>
      </c>
      <c r="L1633" s="6">
        <f>HYPERLINK("C:\Projects\Kleinanzeigen-Scraper\offer_images\2815144141", "Link")</f>
        <v/>
      </c>
      <c r="M1633" t="inlineStr">
        <is>
          <t>Beate Graner</t>
        </is>
      </c>
      <c r="N1633" s="6">
        <f>HYPERLINK("https://www.kleinanzeigen.de/s-bestandsliste.html?userId=33088381", "Link")</f>
        <v/>
      </c>
      <c r="O1633" s="7" t="n">
        <v>45549.57539351852</v>
      </c>
      <c r="P1633" s="3" t="inlineStr">
        <is>
          <t>5.11</t>
        </is>
      </c>
      <c r="Q1633" t="inlineStr">
        <is>
          <t>Karlsruhe</t>
        </is>
      </c>
    </row>
    <row r="1634">
      <c r="A1634" t="inlineStr">
        <is>
          <t>138x41</t>
        </is>
      </c>
      <c r="B1634" t="inlineStr">
        <is>
          <t>North Prime</t>
        </is>
      </c>
      <c r="C1634" t="inlineStr"/>
      <c r="D1634" s="3" t="inlineStr"/>
      <c r="E1634" t="inlineStr"/>
      <c r="F1634" s="4" t="n">
        <v>250</v>
      </c>
      <c r="G1634" t="inlineStr"/>
      <c r="H1634" t="inlineStr">
        <is>
          <t>10707 Berlin - Wilmersdorf</t>
        </is>
      </c>
      <c r="I1634" s="5" t="n">
        <v>45545</v>
      </c>
      <c r="J1634" t="inlineStr">
        <is>
          <t>Sold</t>
        </is>
      </c>
      <c r="K1634" s="6">
        <f>HYPERLINK("https://www.kleinanzeigen.de/s-anzeige/keitsurf-north-prime-board-138x41/2859579603-230-3534", "Link")</f>
        <v/>
      </c>
      <c r="L1634" s="6">
        <f>HYPERLINK("C:\Projects\Kleinanzeigen-Scraper\offer_images\2859579603", "Link")</f>
        <v/>
      </c>
      <c r="M1634" t="inlineStr">
        <is>
          <t>Pablo Pavon</t>
        </is>
      </c>
      <c r="N1634" s="6">
        <f>HYPERLINK("https://www.kleinanzeigen.de/s-bestandsliste.html?userId=71015701", "Link")</f>
        <v/>
      </c>
      <c r="O1634" s="7" t="n">
        <v>45549.57539351852</v>
      </c>
      <c r="P1634" s="3" t="inlineStr">
        <is>
          <t>470.94</t>
        </is>
      </c>
      <c r="Q1634" t="inlineStr">
        <is>
          <t>Köln</t>
        </is>
      </c>
    </row>
    <row r="1635">
      <c r="A1635" t="inlineStr">
        <is>
          <t>242 cm x 75.5 cm</t>
        </is>
      </c>
      <c r="B1635" t="inlineStr">
        <is>
          <t>Tabou Rocket 125 Ltd</t>
        </is>
      </c>
      <c r="C1635" t="inlineStr">
        <is>
          <t>Freeride</t>
        </is>
      </c>
      <c r="D1635" s="3" t="n">
        <v>125</v>
      </c>
      <c r="E1635" t="inlineStr"/>
      <c r="F1635" s="4" t="n">
        <v>850</v>
      </c>
      <c r="G1635" t="inlineStr">
        <is>
          <t>VB</t>
        </is>
      </c>
      <c r="H1635" t="inlineStr">
        <is>
          <t>70794 Baden-Württemberg - Filderstadt</t>
        </is>
      </c>
      <c r="I1635" s="5" t="n">
        <v>45549</v>
      </c>
      <c r="J1635" t="inlineStr"/>
      <c r="K1635" s="6">
        <f>HYPERLINK("https://www.kleinanzeigen.de/s-anzeige/tabou-rocket-125-ltd-kaum-gesurft/2862662284-230-8892", "Link")</f>
        <v/>
      </c>
      <c r="L1635" s="6">
        <f>HYPERLINK("C:\Projects\Kleinanzeigen-Scraper\offer_images\2862662284", "Link")</f>
        <v/>
      </c>
      <c r="M1635" t="inlineStr">
        <is>
          <t>Chista Schumacher</t>
        </is>
      </c>
      <c r="N1635" s="6">
        <f>HYPERLINK("https://www.kleinanzeigen.de/s-bestandsliste.html?userId=82813020", "Link")</f>
        <v/>
      </c>
      <c r="O1635" s="7" t="n">
        <v>45549.57539351852</v>
      </c>
      <c r="P1635" s="3" t="inlineStr">
        <is>
          <t>17.11</t>
        </is>
      </c>
      <c r="Q1635" t="inlineStr">
        <is>
          <t>Böblingen</t>
        </is>
      </c>
    </row>
    <row r="1636">
      <c r="A1636" t="inlineStr"/>
      <c r="B1636" t="inlineStr">
        <is>
          <t>RRD SX 105</t>
        </is>
      </c>
      <c r="C1636" t="inlineStr">
        <is>
          <t>Freewave</t>
        </is>
      </c>
      <c r="D1636" s="3" t="n">
        <v>105</v>
      </c>
      <c r="E1636" t="inlineStr"/>
      <c r="F1636" s="4" t="n">
        <v>89</v>
      </c>
      <c r="G1636" t="inlineStr">
        <is>
          <t>VB</t>
        </is>
      </c>
      <c r="H1636" t="inlineStr">
        <is>
          <t>01796 Sachsen - Pirna</t>
        </is>
      </c>
      <c r="I1636" s="5" t="n">
        <v>45386</v>
      </c>
      <c r="J1636" t="inlineStr"/>
      <c r="K1636" s="6">
        <f>HYPERLINK("https://www.kleinanzeigen.de/s-anzeige/windsurfboard-rrd-sx-105-freewave/2725585350-230-14508", "Link")</f>
        <v/>
      </c>
      <c r="L1636" s="6">
        <f>HYPERLINK("C:\Projects\Kleinanzeigen-Scraper\offer_images\2725585350", "Link")</f>
        <v/>
      </c>
      <c r="M1636" t="inlineStr">
        <is>
          <t>Jan Diestel</t>
        </is>
      </c>
      <c r="N1636" s="6">
        <f>HYPERLINK("https://www.kleinanzeigen.de/s-bestandsliste.html?userId=51877037", "Link")</f>
        <v/>
      </c>
      <c r="O1636" s="7" t="n">
        <v>45549.57537037037</v>
      </c>
      <c r="P1636" s="3" t="inlineStr">
        <is>
          <t>356.36</t>
        </is>
      </c>
      <c r="Q1636" t="inlineStr">
        <is>
          <t>München</t>
        </is>
      </c>
    </row>
    <row r="1637">
      <c r="A1637" t="inlineStr">
        <is>
          <t>252 cm x 72 cm</t>
        </is>
      </c>
      <c r="B1637" t="inlineStr">
        <is>
          <t>RRD Z-ride</t>
        </is>
      </c>
      <c r="C1637" t="inlineStr">
        <is>
          <t>Freeride</t>
        </is>
      </c>
      <c r="D1637" s="3" t="n">
        <v>135</v>
      </c>
      <c r="E1637" t="inlineStr"/>
      <c r="F1637" s="4" t="n">
        <v>150</v>
      </c>
      <c r="G1637" t="inlineStr">
        <is>
          <t>VB</t>
        </is>
      </c>
      <c r="H1637" t="inlineStr">
        <is>
          <t>82399 Bayern - Raisting</t>
        </is>
      </c>
      <c r="I1637" s="5" t="n">
        <v>45531</v>
      </c>
      <c r="J1637" t="inlineStr">
        <is>
          <t>Sold</t>
        </is>
      </c>
      <c r="K1637" s="6">
        <f>HYPERLINK("https://www.kleinanzeigen.de/s-anzeige/windsurfboard-rrd-z-ride-135-liter-freeride-surfboard/2847997263-230-5568", "Link")</f>
        <v/>
      </c>
      <c r="L1637" s="6">
        <f>HYPERLINK("C:\Projects\Kleinanzeigen-Scraper\offer_images\2847997263", "Link")</f>
        <v/>
      </c>
      <c r="M1637" t="inlineStr">
        <is>
          <t>Matthias Weik</t>
        </is>
      </c>
      <c r="N1637" s="6">
        <f>HYPERLINK("https://www.kleinanzeigen.de/s-bestandsliste.html?userId=24212430", "Link")</f>
        <v/>
      </c>
      <c r="O1637" s="7" t="n">
        <v>45549.57537037037</v>
      </c>
      <c r="P1637" s="3" t="inlineStr">
        <is>
          <t>42.35</t>
        </is>
      </c>
      <c r="Q1637" t="inlineStr">
        <is>
          <t>München</t>
        </is>
      </c>
    </row>
    <row r="1638">
      <c r="A1638" t="inlineStr">
        <is>
          <t>133</t>
        </is>
      </c>
      <c r="B1638" t="inlineStr">
        <is>
          <t>Fanatic Gecko Bamboo</t>
        </is>
      </c>
      <c r="C1638" t="inlineStr">
        <is>
          <t>Freeride</t>
        </is>
      </c>
      <c r="D1638" s="3" t="inlineStr"/>
      <c r="E1638" t="inlineStr"/>
      <c r="F1638" s="4" t="n">
        <v>610</v>
      </c>
      <c r="G1638" t="inlineStr">
        <is>
          <t>VB</t>
        </is>
      </c>
      <c r="H1638" t="inlineStr">
        <is>
          <t>22113 Schleswig-Holstein - Oststeinbek</t>
        </is>
      </c>
      <c r="I1638" s="5" t="n">
        <v>45522</v>
      </c>
      <c r="J1638" t="inlineStr">
        <is>
          <t>Sold</t>
        </is>
      </c>
      <c r="K1638" s="6">
        <f>HYPERLINK("https://www.kleinanzeigen.de/s-anzeige/fanatic-gecko-bamboo-133/2839856015-230-9513", "Link")</f>
        <v/>
      </c>
      <c r="L1638" s="6">
        <f>HYPERLINK("C:\Projects\Kleinanzeigen-Scraper\offer_images\2839856015", "Link")</f>
        <v/>
      </c>
      <c r="M1638" t="inlineStr">
        <is>
          <t>Oliver Schraven</t>
        </is>
      </c>
      <c r="N1638" s="6">
        <f>HYPERLINK("https://www.kleinanzeigen.de/s-bestandsliste.html?userId=37010499", "Link")</f>
        <v/>
      </c>
      <c r="O1638" s="7" t="n">
        <v>45549.57537037037</v>
      </c>
      <c r="P1638" s="3" t="inlineStr">
        <is>
          <t>357.57</t>
        </is>
      </c>
      <c r="Q1638" t="inlineStr">
        <is>
          <t>Köln</t>
        </is>
      </c>
    </row>
    <row r="1639">
      <c r="A1639" t="inlineStr"/>
      <c r="B1639" t="inlineStr">
        <is>
          <t>Naish Enduro</t>
        </is>
      </c>
      <c r="C1639" t="inlineStr">
        <is>
          <t>Freeride</t>
        </is>
      </c>
      <c r="D1639" s="3" t="n">
        <v>105</v>
      </c>
      <c r="E1639" t="inlineStr"/>
      <c r="F1639" s="4" t="n">
        <v>150</v>
      </c>
      <c r="G1639" t="inlineStr"/>
      <c r="H1639" t="inlineStr">
        <is>
          <t>23562 Schleswig-Holstein - Lübeck</t>
        </is>
      </c>
      <c r="I1639" s="5" t="n">
        <v>45466</v>
      </c>
      <c r="J1639" t="inlineStr">
        <is>
          <t>Sold</t>
        </is>
      </c>
      <c r="K1639" s="6">
        <f>HYPERLINK("https://www.kleinanzeigen.de/s-anzeige/surfbrett-naish-enduro-105-l-freeride-surfboard-finne-bag-mastfuss/2795499414-230-423", "Link")</f>
        <v/>
      </c>
      <c r="L1639" s="6">
        <f>HYPERLINK("C:\Projects\Kleinanzeigen-Scraper\offer_images\2795499414", "Link")</f>
        <v/>
      </c>
      <c r="M1639" t="inlineStr">
        <is>
          <t>Inga</t>
        </is>
      </c>
      <c r="N1639" s="6">
        <f>HYPERLINK("https://www.kleinanzeigen.de/s-bestandsliste.html?userId=8108739", "Link")</f>
        <v/>
      </c>
      <c r="O1639" s="7" t="n">
        <v>45549.57534722222</v>
      </c>
      <c r="P1639" s="3" t="inlineStr">
        <is>
          <t>410.15</t>
        </is>
      </c>
      <c r="Q1639" t="inlineStr">
        <is>
          <t>Köln</t>
        </is>
      </c>
    </row>
    <row r="1640">
      <c r="A1640" t="inlineStr">
        <is>
          <t>230 cm x 75 cm</t>
        </is>
      </c>
      <c r="B1640" t="inlineStr">
        <is>
          <t>Fanatic Falcon</t>
        </is>
      </c>
      <c r="C1640" t="inlineStr">
        <is>
          <t>Slalom Race</t>
        </is>
      </c>
      <c r="D1640" s="3" t="n">
        <v>121</v>
      </c>
      <c r="E1640" t="inlineStr">
        <is>
          <t>2021</t>
        </is>
      </c>
      <c r="F1640" s="4" t="n">
        <v>620</v>
      </c>
      <c r="G1640" t="inlineStr">
        <is>
          <t>VB</t>
        </is>
      </c>
      <c r="H1640" t="inlineStr">
        <is>
          <t>53340 Nordrhein-Westfalen - Meckenheim</t>
        </is>
      </c>
      <c r="I1640" s="5" t="n">
        <v>45515</v>
      </c>
      <c r="J1640" t="inlineStr">
        <is>
          <t>Sold</t>
        </is>
      </c>
      <c r="K1640" s="6">
        <f>HYPERLINK("https://www.kleinanzeigen.de/s-anzeige/fanatic-falcon-windsurf-slalom-race-board-121l-2021-/2834897771-230-1684", "Link")</f>
        <v/>
      </c>
      <c r="L1640" s="6">
        <f>HYPERLINK("C:\Projects\Kleinanzeigen-Scraper\offer_images\2834897771", "Link")</f>
        <v/>
      </c>
      <c r="M1640" t="inlineStr">
        <is>
          <t>Lukas</t>
        </is>
      </c>
      <c r="N1640" s="6">
        <f>HYPERLINK("https://www.kleinanzeigen.de/s-bestandsliste.html?userId=60884680", "Link")</f>
        <v/>
      </c>
      <c r="O1640" s="7" t="n">
        <v>45549.57534722222</v>
      </c>
      <c r="P1640" s="3" t="inlineStr">
        <is>
          <t>35.79</t>
        </is>
      </c>
      <c r="Q1640" t="inlineStr">
        <is>
          <t>Köln</t>
        </is>
      </c>
    </row>
    <row r="1641">
      <c r="A1641" t="inlineStr">
        <is>
          <t>310 cm</t>
        </is>
      </c>
      <c r="B1641" t="inlineStr">
        <is>
          <t>Fanatic</t>
        </is>
      </c>
      <c r="C1641" t="inlineStr"/>
      <c r="D1641" s="3" t="inlineStr"/>
      <c r="E1641" t="inlineStr"/>
      <c r="F1641" s="4" t="n">
        <v>80</v>
      </c>
      <c r="G1641" t="inlineStr">
        <is>
          <t>VB</t>
        </is>
      </c>
      <c r="H1641" t="inlineStr">
        <is>
          <t>41379 Nordrhein-Westfalen - Brüggen</t>
        </is>
      </c>
      <c r="I1641" s="5" t="n">
        <v>45511</v>
      </c>
      <c r="J1641" t="inlineStr">
        <is>
          <t>Sold</t>
        </is>
      </c>
      <c r="K1641" s="6">
        <f>HYPERLINK("https://www.kleinanzeigen.de/s-anzeige/fanatic-bath-surfbrett/2831610163-230-1204", "Link")</f>
        <v/>
      </c>
      <c r="L1641" s="6">
        <f>HYPERLINK("C:\Projects\Kleinanzeigen-Scraper\offer_images\2831610163", "Link")</f>
        <v/>
      </c>
      <c r="M1641" t="inlineStr">
        <is>
          <t>Mk</t>
        </is>
      </c>
      <c r="N1641" s="6">
        <f>HYPERLINK("https://www.kleinanzeigen.de/s-bestandsliste.html?userId=47363309", "Link")</f>
        <v/>
      </c>
      <c r="O1641" s="7" t="n">
        <v>45549.57534722222</v>
      </c>
      <c r="P1641" s="3" t="inlineStr">
        <is>
          <t>65.56</t>
        </is>
      </c>
      <c r="Q1641" t="inlineStr">
        <is>
          <t>Köln</t>
        </is>
      </c>
    </row>
    <row r="1642">
      <c r="A1642" t="inlineStr">
        <is>
          <t>259x76</t>
        </is>
      </c>
      <c r="B1642" t="inlineStr">
        <is>
          <t>JP X Cite Ride</t>
        </is>
      </c>
      <c r="C1642" t="inlineStr">
        <is>
          <t>Freeride</t>
        </is>
      </c>
      <c r="D1642" s="3" t="n">
        <v>145</v>
      </c>
      <c r="E1642" t="inlineStr"/>
      <c r="F1642" s="4" t="n">
        <v>360</v>
      </c>
      <c r="G1642" t="inlineStr">
        <is>
          <t>VB</t>
        </is>
      </c>
      <c r="H1642" t="inlineStr">
        <is>
          <t>14169 Berlin - Zehlendorf</t>
        </is>
      </c>
      <c r="I1642" s="5" t="n">
        <v>45489</v>
      </c>
      <c r="J1642" t="inlineStr"/>
      <c r="K1642" s="6">
        <f>HYPERLINK("https://www.kleinanzeigen.de/s-anzeige/windsurfboardjp-x-cite-ride-xcr-145l-fanatic-tabou-259x76-cm-/2814144903-230-3529", "Link")</f>
        <v/>
      </c>
      <c r="L1642" s="6">
        <f>HYPERLINK("C:\Projects\Kleinanzeigen-Scraper\offer_images\2814144903", "Link")</f>
        <v/>
      </c>
      <c r="M1642" t="inlineStr">
        <is>
          <t>Sieghard Kunze</t>
        </is>
      </c>
      <c r="N1642" s="6">
        <f>HYPERLINK("https://www.kleinanzeigen.de/s-bestandsliste.html?userId=1138245", "Link")</f>
        <v/>
      </c>
      <c r="O1642" s="7" t="n">
        <v>45549.57533564815</v>
      </c>
      <c r="P1642" s="3" t="inlineStr">
        <is>
          <t>465.88</t>
        </is>
      </c>
      <c r="Q1642" t="inlineStr">
        <is>
          <t>Köln</t>
        </is>
      </c>
    </row>
    <row r="1643">
      <c r="A1643" t="inlineStr">
        <is>
          <t>180 x 76 cm</t>
        </is>
      </c>
      <c r="B1643" t="inlineStr">
        <is>
          <t>RRD Pocket Rocket E-Tech</t>
        </is>
      </c>
      <c r="C1643" t="inlineStr">
        <is>
          <t>Wingfoil</t>
        </is>
      </c>
      <c r="D1643" s="3" t="n">
        <v>120</v>
      </c>
      <c r="E1643" t="inlineStr"/>
      <c r="F1643" s="4" t="n">
        <v>450</v>
      </c>
      <c r="G1643" t="inlineStr"/>
      <c r="H1643" t="inlineStr">
        <is>
          <t>04157 Leipzig - Gohlis-Nord</t>
        </is>
      </c>
      <c r="I1643" s="5" t="n">
        <v>45546</v>
      </c>
      <c r="J1643" t="inlineStr">
        <is>
          <t>Sold</t>
        </is>
      </c>
      <c r="K1643" s="6">
        <f>HYPERLINK("https://www.kleinanzeigen.de/s-anzeige/wingfoilboard-rrd-pocket-rocket-e-tech-120-liter/2860311660-230-4256", "Link")</f>
        <v/>
      </c>
      <c r="L1643" s="6">
        <f>HYPERLINK("C:\Projects\Kleinanzeigen-Scraper\offer_images\2860311660", "Link")</f>
        <v/>
      </c>
      <c r="M1643" t="inlineStr">
        <is>
          <t>H. P.</t>
        </is>
      </c>
      <c r="N1643" s="6">
        <f>HYPERLINK("https://www.kleinanzeigen.de/s-bestandsliste.html?userId=4125362", "Link")</f>
        <v/>
      </c>
      <c r="O1643" s="7" t="n">
        <v>45549.57532407407</v>
      </c>
      <c r="P1643" s="3" t="inlineStr">
        <is>
          <t>364.64</t>
        </is>
      </c>
      <c r="Q1643" t="inlineStr">
        <is>
          <t>München</t>
        </is>
      </c>
    </row>
    <row r="1644">
      <c r="A1644" t="inlineStr"/>
      <c r="B1644" t="inlineStr">
        <is>
          <t>Tabou Rocket</t>
        </is>
      </c>
      <c r="C1644" t="inlineStr">
        <is>
          <t>Freeride</t>
        </is>
      </c>
      <c r="D1644" s="3" t="n">
        <v>125</v>
      </c>
      <c r="E1644" t="inlineStr"/>
      <c r="F1644" s="4" t="n">
        <v>630</v>
      </c>
      <c r="G1644" t="inlineStr">
        <is>
          <t>VB</t>
        </is>
      </c>
      <c r="H1644" t="inlineStr">
        <is>
          <t>86974 Bayern - Apfeldorf</t>
        </is>
      </c>
      <c r="I1644" s="5" t="n">
        <v>45517</v>
      </c>
      <c r="J1644" t="inlineStr"/>
      <c r="K1644" s="6">
        <f>HYPERLINK("https://www.kleinanzeigen.de/s-anzeige/tabou-rocket-125-mte/2835959024-230-5560", "Link")</f>
        <v/>
      </c>
      <c r="L1644" s="6">
        <f>HYPERLINK("C:\Projects\Kleinanzeigen-Scraper\offer_images\2835959024", "Link")</f>
        <v/>
      </c>
      <c r="M1644" t="inlineStr">
        <is>
          <t>Christoph</t>
        </is>
      </c>
      <c r="N1644" s="6">
        <f>HYPERLINK("https://www.kleinanzeigen.de/s-bestandsliste.html?userId=34461406", "Link")</f>
        <v/>
      </c>
      <c r="O1644" s="7" t="n">
        <v>45549.57532407407</v>
      </c>
      <c r="P1644" s="3" t="inlineStr">
        <is>
          <t>54.67</t>
        </is>
      </c>
      <c r="Q1644" t="inlineStr">
        <is>
          <t>München</t>
        </is>
      </c>
    </row>
    <row r="1645">
      <c r="A1645" t="inlineStr">
        <is>
          <t>8'5"</t>
        </is>
      </c>
      <c r="B1645" t="inlineStr">
        <is>
          <t>Mistral Naish</t>
        </is>
      </c>
      <c r="C1645" t="inlineStr">
        <is>
          <t>Wave</t>
        </is>
      </c>
      <c r="D1645" s="3" t="n">
        <v>86</v>
      </c>
      <c r="E1645" t="inlineStr"/>
      <c r="F1645" s="4" t="n">
        <v>65</v>
      </c>
      <c r="G1645" t="inlineStr"/>
      <c r="H1645" t="inlineStr">
        <is>
          <t>55126 Rheinland-Pfalz - Mainz</t>
        </is>
      </c>
      <c r="I1645" s="5" t="n">
        <v>45491</v>
      </c>
      <c r="J1645" t="inlineStr">
        <is>
          <t>Sold</t>
        </is>
      </c>
      <c r="K1645" s="6">
        <f>HYPERLINK("https://www.kleinanzeigen.de/s-anzeige/mistral-naish-waveboard-8-5-windsurfboard/2815366033-230-5319", "Link")</f>
        <v/>
      </c>
      <c r="L1645" s="6">
        <f>HYPERLINK("C:\Projects\Kleinanzeigen-Scraper\offer_images\2815366033", "Link")</f>
        <v/>
      </c>
      <c r="M1645" t="inlineStr">
        <is>
          <t>Klaus</t>
        </is>
      </c>
      <c r="N1645" s="6">
        <f>HYPERLINK("https://www.kleinanzeigen.de/s-bestandsliste.html?userId=14267559", "Link")</f>
        <v/>
      </c>
      <c r="O1645" s="7" t="n">
        <v>45549.57532407407</v>
      </c>
      <c r="P1645" s="3" t="inlineStr">
        <is>
          <t>110.23</t>
        </is>
      </c>
      <c r="Q1645" t="inlineStr">
        <is>
          <t>Karlsruhe</t>
        </is>
      </c>
    </row>
    <row r="1646">
      <c r="A1646" t="inlineStr"/>
      <c r="B1646" t="inlineStr">
        <is>
          <t>Starboard KOMBAT</t>
        </is>
      </c>
      <c r="C1646" t="inlineStr"/>
      <c r="D1646" s="3" t="n">
        <v>97</v>
      </c>
      <c r="E1646" t="inlineStr"/>
      <c r="F1646" s="4" t="n">
        <v>85</v>
      </c>
      <c r="G1646" t="inlineStr">
        <is>
          <t>VB</t>
        </is>
      </c>
      <c r="H1646" t="inlineStr">
        <is>
          <t>45768 Nordrhein-Westfalen - Marl</t>
        </is>
      </c>
      <c r="I1646" s="5" t="n">
        <v>45530</v>
      </c>
      <c r="J1646" t="inlineStr"/>
      <c r="K1646" s="6">
        <f>HYPERLINK("https://www.kleinanzeigen.de/s-anzeige/starboard-kombat-97l-surfboard-windsurfboard/2847302797-230-1774", "Link")</f>
        <v/>
      </c>
      <c r="L1646" s="6">
        <f>HYPERLINK("C:\Projects\Kleinanzeigen-Scraper\offer_images\2847302797", "Link")</f>
        <v/>
      </c>
      <c r="M1646" t="inlineStr">
        <is>
          <t>Hasenclever</t>
        </is>
      </c>
      <c r="N1646" s="6">
        <f>HYPERLINK("https://www.kleinanzeigen.de/s-bestandsliste.html?userId=3933455", "Link")</f>
        <v/>
      </c>
      <c r="O1646" s="7" t="n">
        <v>45549.57532407407</v>
      </c>
      <c r="P1646" s="3" t="inlineStr">
        <is>
          <t>80.12</t>
        </is>
      </c>
      <c r="Q1646" t="inlineStr">
        <is>
          <t>Köln</t>
        </is>
      </c>
    </row>
    <row r="1647">
      <c r="A1647" t="inlineStr">
        <is>
          <t>233 cm x 64 cm</t>
        </is>
      </c>
      <c r="B1647" t="inlineStr">
        <is>
          <t>Simmer Style Helix</t>
        </is>
      </c>
      <c r="C1647" t="inlineStr">
        <is>
          <t>Freewave</t>
        </is>
      </c>
      <c r="D1647" s="3" t="n">
        <v>106</v>
      </c>
      <c r="E1647" t="inlineStr"/>
      <c r="F1647" s="4" t="n">
        <v>1.049</v>
      </c>
      <c r="G1647" t="inlineStr"/>
      <c r="H1647" t="inlineStr">
        <is>
          <t>48163 Münster (Westfalen) - Mecklenbeck</t>
        </is>
      </c>
      <c r="I1647" s="5" t="n">
        <v>45489</v>
      </c>
      <c r="J1647" t="inlineStr"/>
      <c r="K1647" s="6">
        <f>HYPERLINK("https://www.kleinanzeigen.de/s-anzeige/simmer-style-helix-freewave-106-liter-g5/2813811535-230-17020", "Link")</f>
        <v/>
      </c>
      <c r="L1647" s="6">
        <f>HYPERLINK("C:\Projects\Kleinanzeigen-Scraper\offer_images\2813811535", "Link")</f>
        <v/>
      </c>
      <c r="M1647" t="inlineStr">
        <is>
          <t>W. S.</t>
        </is>
      </c>
      <c r="N1647" s="6">
        <f>HYPERLINK("https://www.kleinanzeigen.de/s-bestandsliste.html?userId=12392678", "Link")</f>
        <v/>
      </c>
      <c r="O1647" s="7" t="n">
        <v>45549.57530092593</v>
      </c>
      <c r="P1647" s="3" t="inlineStr">
        <is>
          <t>114.86</t>
        </is>
      </c>
      <c r="Q1647" t="inlineStr">
        <is>
          <t>Köln</t>
        </is>
      </c>
    </row>
    <row r="1648">
      <c r="A1648" t="inlineStr"/>
      <c r="B1648" t="inlineStr">
        <is>
          <t>Severne Nano</t>
        </is>
      </c>
      <c r="C1648" t="inlineStr">
        <is>
          <t>Freeride</t>
        </is>
      </c>
      <c r="D1648" s="3" t="n">
        <v>103</v>
      </c>
      <c r="E1648" t="inlineStr"/>
      <c r="F1648" s="4" t="n">
        <v>210</v>
      </c>
      <c r="G1648" t="inlineStr">
        <is>
          <t>VB</t>
        </is>
      </c>
      <c r="H1648" t="inlineStr">
        <is>
          <t>22927 Schleswig-Holstein - Großhansdorf</t>
        </is>
      </c>
      <c r="I1648" s="5" t="n">
        <v>45534</v>
      </c>
      <c r="J1648" t="inlineStr">
        <is>
          <t>Sold</t>
        </is>
      </c>
      <c r="K1648" s="6">
        <f>HYPERLINK("https://www.kleinanzeigen.de/s-anzeige/severne-nano-103-l/2849614112-230-921", "Link")</f>
        <v/>
      </c>
      <c r="L1648" s="6">
        <f>HYPERLINK("C:\Projects\Kleinanzeigen-Scraper\offer_images\2849614112", "Link")</f>
        <v/>
      </c>
      <c r="M1648" t="inlineStr">
        <is>
          <t>Nikolas Prinz</t>
        </is>
      </c>
      <c r="N1648" s="6">
        <f>HYPERLINK("https://www.kleinanzeigen.de/s-bestandsliste.html?userId=6466178", "Link")</f>
        <v/>
      </c>
      <c r="O1648" s="7" t="n">
        <v>45549.57530092593</v>
      </c>
      <c r="P1648" s="3" t="inlineStr">
        <is>
          <t>378.07</t>
        </is>
      </c>
      <c r="Q1648" t="inlineStr">
        <is>
          <t>Köln</t>
        </is>
      </c>
    </row>
    <row r="1649">
      <c r="A1649" t="inlineStr"/>
      <c r="B1649" t="inlineStr">
        <is>
          <t>RRD Waveboard Waveone</t>
        </is>
      </c>
      <c r="C1649" t="inlineStr">
        <is>
          <t>Wave</t>
        </is>
      </c>
      <c r="D1649" s="3" t="n">
        <v>85</v>
      </c>
      <c r="E1649" t="inlineStr"/>
      <c r="F1649" s="4" t="inlineStr">
        <is>
          <t>Zu verschenken</t>
        </is>
      </c>
      <c r="G1649" t="inlineStr"/>
      <c r="H1649" t="inlineStr">
        <is>
          <t>85296 Bayern - Rohrbach</t>
        </is>
      </c>
      <c r="I1649" s="5" t="n">
        <v>45542</v>
      </c>
      <c r="J1649" t="inlineStr">
        <is>
          <t>Sold</t>
        </is>
      </c>
      <c r="K1649" s="6">
        <f>HYPERLINK("https://www.kleinanzeigen.de/s-anzeige/rrd-waveboard-waveone-m-85-l/2856363634-230-5841", "Link")</f>
        <v/>
      </c>
      <c r="L1649" s="6">
        <f>HYPERLINK("C:\Projects\Kleinanzeigen-Scraper\offer_images\2856363634", "Link")</f>
        <v/>
      </c>
      <c r="M1649" t="inlineStr">
        <is>
          <t>Riedel</t>
        </is>
      </c>
      <c r="N1649" s="6">
        <f>HYPERLINK("https://www.kleinanzeigen.de/s-bestandsliste.html?userId=43315081", "Link")</f>
        <v/>
      </c>
      <c r="O1649" s="7" t="n">
        <v>45549.57530092593</v>
      </c>
      <c r="P1649" s="3" t="inlineStr">
        <is>
          <t>52.40</t>
        </is>
      </c>
      <c r="Q1649" t="inlineStr">
        <is>
          <t>München</t>
        </is>
      </c>
    </row>
    <row r="1650">
      <c r="A1650" t="inlineStr">
        <is>
          <t>12'6 x 28</t>
        </is>
      </c>
      <c r="B1650" t="inlineStr">
        <is>
          <t>Starboard Waterline Lite tech</t>
        </is>
      </c>
      <c r="C1650" t="inlineStr">
        <is>
          <t>Touring</t>
        </is>
      </c>
      <c r="D1650" s="3" t="inlineStr"/>
      <c r="E1650" t="inlineStr">
        <is>
          <t>2021</t>
        </is>
      </c>
      <c r="F1650" s="4" t="n">
        <v>850</v>
      </c>
      <c r="G1650" t="inlineStr">
        <is>
          <t>VB</t>
        </is>
      </c>
      <c r="H1650" t="inlineStr">
        <is>
          <t>65399 Hessen - Kiedrich</t>
        </is>
      </c>
      <c r="I1650" s="5" t="n">
        <v>45516</v>
      </c>
      <c r="J1650" t="inlineStr">
        <is>
          <t>Sold</t>
        </is>
      </c>
      <c r="K1650" s="6">
        <f>HYPERLINK("https://www.kleinanzeigen.de/s-anzeige/sup-hardboard-waterline-von-starboard/2835407321-230-4800", "Link")</f>
        <v/>
      </c>
      <c r="L1650" s="6">
        <f>HYPERLINK("C:\Projects\Kleinanzeigen-Scraper\offer_images\2835407321", "Link")</f>
        <v/>
      </c>
      <c r="M1650" t="inlineStr">
        <is>
          <t>Natascha</t>
        </is>
      </c>
      <c r="N1650" s="6">
        <f>HYPERLINK("https://www.kleinanzeigen.de/s-bestandsliste.html?userId=58098064", "Link")</f>
        <v/>
      </c>
      <c r="O1650" s="7" t="n">
        <v>45549.5752662037</v>
      </c>
      <c r="P1650" s="3" t="inlineStr">
        <is>
          <t>117.07</t>
        </is>
      </c>
      <c r="Q1650" t="inlineStr">
        <is>
          <t>Karlsruhe</t>
        </is>
      </c>
    </row>
    <row r="1651">
      <c r="A1651" t="inlineStr">
        <is>
          <t>267 cm</t>
        </is>
      </c>
      <c r="B1651" t="inlineStr">
        <is>
          <t>AHD PRO Convert</t>
        </is>
      </c>
      <c r="C1651" t="inlineStr">
        <is>
          <t>Slalom/Wave</t>
        </is>
      </c>
      <c r="D1651" s="3" t="n">
        <v>91</v>
      </c>
      <c r="E1651" t="inlineStr"/>
      <c r="F1651" s="4" t="n">
        <v>167</v>
      </c>
      <c r="G1651" t="inlineStr">
        <is>
          <t>VB</t>
        </is>
      </c>
      <c r="H1651" t="inlineStr">
        <is>
          <t>45892 Nordrhein-Westfalen - Gelsenkirchen</t>
        </is>
      </c>
      <c r="I1651" s="5" t="n">
        <v>45284</v>
      </c>
      <c r="J1651" t="inlineStr"/>
      <c r="K1651" s="6">
        <f>HYPERLINK("https://www.kleinanzeigen.de/s-anzeige/ahd-pro-convert-267-l-surfbrett-surfboard-tabou-windsurfen/2635821284-230-1011", "Link")</f>
        <v/>
      </c>
      <c r="L1651" s="6">
        <f>HYPERLINK("C:\Projects\Kleinanzeigen-Scraper\offer_images\2635821284", "Link")</f>
        <v/>
      </c>
      <c r="M1651" t="inlineStr">
        <is>
          <t>Jupp</t>
        </is>
      </c>
      <c r="N1651" s="6">
        <f>HYPERLINK("https://www.kleinanzeigen.de/s-bestandsliste.html?userId=31728057", "Link")</f>
        <v/>
      </c>
      <c r="O1651" s="7" t="n">
        <v>45549.57524305556</v>
      </c>
      <c r="P1651" s="3" t="inlineStr">
        <is>
          <t>70.87</t>
        </is>
      </c>
      <c r="Q1651" t="inlineStr">
        <is>
          <t>Köln</t>
        </is>
      </c>
    </row>
    <row r="1652">
      <c r="A1652" t="inlineStr"/>
      <c r="B1652" t="inlineStr">
        <is>
          <t>Fanatic Protec Bee</t>
        </is>
      </c>
      <c r="C1652" t="inlineStr"/>
      <c r="D1652" s="3" t="n">
        <v>124</v>
      </c>
      <c r="E1652" t="inlineStr"/>
      <c r="F1652" s="4" t="n">
        <v>100</v>
      </c>
      <c r="G1652" t="inlineStr">
        <is>
          <t>VB</t>
        </is>
      </c>
      <c r="H1652" t="inlineStr">
        <is>
          <t>41372 Nordrhein-Westfalen - Niederkrüchten</t>
        </is>
      </c>
      <c r="I1652" s="5" t="n">
        <v>45509</v>
      </c>
      <c r="J1652" t="inlineStr">
        <is>
          <t>Sold</t>
        </is>
      </c>
      <c r="K1652" s="6">
        <f>HYPERLINK("https://www.kleinanzeigen.de/s-anzeige/windsurfboard-surfboard-fanatic-protec-bee-124l/2829950187-230-1184", "Link")</f>
        <v/>
      </c>
      <c r="L1652" s="6">
        <f>HYPERLINK("C:\Projects\Kleinanzeigen-Scraper\offer_images\2829950187", "Link")</f>
        <v/>
      </c>
      <c r="M1652" t="inlineStr">
        <is>
          <t>Surfi65</t>
        </is>
      </c>
      <c r="N1652" s="6">
        <f>HYPERLINK("https://www.kleinanzeigen.de/s-bestandsliste.html?userId=140379583", "Link")</f>
        <v/>
      </c>
      <c r="O1652" s="7" t="n">
        <v>45549.57524305556</v>
      </c>
      <c r="P1652" s="3" t="inlineStr">
        <is>
          <t>63.76</t>
        </is>
      </c>
      <c r="Q1652" t="inlineStr">
        <is>
          <t>Köln</t>
        </is>
      </c>
    </row>
    <row r="1653">
      <c r="A1653" t="inlineStr">
        <is>
          <t>130x40</t>
        </is>
      </c>
      <c r="B1653" t="inlineStr">
        <is>
          <t>North</t>
        </is>
      </c>
      <c r="C1653" t="inlineStr"/>
      <c r="D1653" s="3" t="inlineStr"/>
      <c r="E1653" t="inlineStr"/>
      <c r="F1653" s="4" t="n">
        <v>80</v>
      </c>
      <c r="G1653" t="inlineStr"/>
      <c r="H1653" t="inlineStr">
        <is>
          <t>12527 Berlin - Köpenick</t>
        </is>
      </c>
      <c r="I1653" s="5" t="n">
        <v>45541</v>
      </c>
      <c r="J1653" t="inlineStr">
        <is>
          <t>Sold</t>
        </is>
      </c>
      <c r="K1653" s="6">
        <f>HYPERLINK("https://www.kleinanzeigen.de/s-anzeige/north-kiteboard/2855447544-230-3370", "Link")</f>
        <v/>
      </c>
      <c r="L1653" s="6">
        <f>HYPERLINK("C:\Projects\Kleinanzeigen-Scraper\offer_images\2855447544", "Link")</f>
        <v/>
      </c>
      <c r="M1653" t="inlineStr">
        <is>
          <t>ecke</t>
        </is>
      </c>
      <c r="N1653" s="6">
        <f>HYPERLINK("https://www.kleinanzeigen.de/s-bestandsliste.html?userId=104942", "Link")</f>
        <v/>
      </c>
      <c r="O1653" s="7" t="n">
        <v>45549.57524305556</v>
      </c>
      <c r="P1653" s="3" t="inlineStr">
        <is>
          <t>487.71</t>
        </is>
      </c>
      <c r="Q1653" t="inlineStr">
        <is>
          <t>Köln</t>
        </is>
      </c>
    </row>
    <row r="1654">
      <c r="A1654" t="inlineStr">
        <is>
          <t>240 cm</t>
        </is>
      </c>
      <c r="B1654" t="inlineStr">
        <is>
          <t>Tabou Free Style Team Edition</t>
        </is>
      </c>
      <c r="C1654" t="inlineStr">
        <is>
          <t>Freestyle</t>
        </is>
      </c>
      <c r="D1654" s="3" t="n">
        <v>90</v>
      </c>
      <c r="E1654" t="inlineStr"/>
      <c r="F1654" s="4" t="n">
        <v>299</v>
      </c>
      <c r="G1654" t="inlineStr"/>
      <c r="H1654" t="inlineStr">
        <is>
          <t>09111 Sachsen - Chemnitz</t>
        </is>
      </c>
      <c r="I1654" s="5" t="n">
        <v>44972</v>
      </c>
      <c r="J1654" t="inlineStr"/>
      <c r="K1654" s="6">
        <f>HYPERLINK("https://www.kleinanzeigen.de/s-anzeige/windsurf-board-tabou-free-style-team-edition-90l/2358913401-230-3886", "Link")</f>
        <v/>
      </c>
      <c r="L1654" s="6">
        <f>HYPERLINK("C:\Projects\Kleinanzeigen-Scraper\offer_images\2358913401", "Link")</f>
        <v/>
      </c>
      <c r="M1654" t="inlineStr">
        <is>
          <t>olaf</t>
        </is>
      </c>
      <c r="N1654" s="6">
        <f>HYPERLINK("https://www.kleinanzeigen.de/s-bestandsliste.html?userId=8857923", "Link")</f>
        <v/>
      </c>
      <c r="O1654" s="7" t="n">
        <v>45549.57524305556</v>
      </c>
      <c r="P1654" s="3" t="inlineStr">
        <is>
          <t>315.71</t>
        </is>
      </c>
      <c r="Q1654" t="inlineStr">
        <is>
          <t>München</t>
        </is>
      </c>
    </row>
    <row r="1655">
      <c r="A1655" t="inlineStr">
        <is>
          <t>320cm x 81.3cm x 15.2cm</t>
        </is>
      </c>
      <c r="B1655" t="inlineStr">
        <is>
          <t>Naish Nalu</t>
        </is>
      </c>
      <c r="C1655" t="inlineStr">
        <is>
          <t>Allrounder</t>
        </is>
      </c>
      <c r="D1655" s="3" t="inlineStr"/>
      <c r="E1655" t="inlineStr"/>
      <c r="F1655" s="4" t="n">
        <v>444</v>
      </c>
      <c r="G1655" t="inlineStr"/>
      <c r="H1655" t="inlineStr">
        <is>
          <t>57489 Nordrhein-Westfalen - Drolshagen</t>
        </is>
      </c>
      <c r="I1655" s="5" t="n">
        <v>45492</v>
      </c>
      <c r="J1655" t="inlineStr">
        <is>
          <t>Sold</t>
        </is>
      </c>
      <c r="K1655" s="6">
        <f>HYPERLINK("https://www.kleinanzeigen.de/s-anzeige/juli-deal-naish-nalu-10-6x32-sup-board-paddel-aktion/2815969950-230-1530", "Link")</f>
        <v/>
      </c>
      <c r="L1655" s="6">
        <f>HYPERLINK("C:\Projects\Kleinanzeigen-Scraper\offer_images\2815969950", "Link")</f>
        <v/>
      </c>
      <c r="M1655" t="inlineStr">
        <is>
          <t>key2fun</t>
        </is>
      </c>
      <c r="N1655" s="6">
        <f>HYPERLINK("https://www.kleinanzeigen.de/s-bestandsliste.html?userId=68821592", "Link")</f>
        <v/>
      </c>
      <c r="O1655" s="7" t="n">
        <v>45549.57523148148</v>
      </c>
      <c r="P1655" s="3" t="inlineStr">
        <is>
          <t>58.85</t>
        </is>
      </c>
      <c r="Q1655" t="inlineStr">
        <is>
          <t>Köln</t>
        </is>
      </c>
    </row>
    <row r="1656">
      <c r="A1656" t="inlineStr">
        <is>
          <t>427x57 cm</t>
        </is>
      </c>
      <c r="B1656" t="inlineStr">
        <is>
          <t>Fanatic Strike</t>
        </is>
      </c>
      <c r="C1656" t="inlineStr">
        <is>
          <t>Raceboard</t>
        </is>
      </c>
      <c r="D1656" s="3" t="inlineStr"/>
      <c r="E1656" t="inlineStr">
        <is>
          <t>2022</t>
        </is>
      </c>
      <c r="F1656" s="4" t="n">
        <v>999</v>
      </c>
      <c r="G1656" t="inlineStr">
        <is>
          <t>VB</t>
        </is>
      </c>
      <c r="H1656" t="inlineStr">
        <is>
          <t>22767 Hamburg - Altona</t>
        </is>
      </c>
      <c r="I1656" s="5" t="n">
        <v>45558</v>
      </c>
      <c r="J1656" t="inlineStr"/>
      <c r="K1656" s="6">
        <f>HYPERLINK("https://www.kleinanzeigen.de/s-anzeige/fanatic-strike-14x22-5-sup-raceboard-hardboard-stand-up-paddle/2846025398-230-9506", "Link")</f>
        <v/>
      </c>
      <c r="L1656" s="6">
        <f>HYPERLINK("C:\Projects\Kleinanzeigen-Scraper\offer_images\2846025398", "Link")</f>
        <v/>
      </c>
      <c r="M1656" t="inlineStr">
        <is>
          <t>Ole Dettmann</t>
        </is>
      </c>
      <c r="N1656" s="6">
        <f>HYPERLINK("https://www.kleinanzeigen.de/s-bestandsliste.html?userId=19741106", "Link")</f>
        <v/>
      </c>
      <c r="O1656" s="7" t="n">
        <v>45549.57523148148</v>
      </c>
      <c r="P1656" s="3" t="inlineStr">
        <is>
          <t>354.40</t>
        </is>
      </c>
      <c r="Q1656" t="inlineStr">
        <is>
          <t>Köln</t>
        </is>
      </c>
    </row>
    <row r="1657">
      <c r="A1657" t="inlineStr">
        <is>
          <t>138 cm x 42 cm</t>
        </is>
      </c>
      <c r="B1657" t="inlineStr">
        <is>
          <t>RRD V3 Poison</t>
        </is>
      </c>
      <c r="C1657" t="inlineStr">
        <is>
          <t>Freestyle</t>
        </is>
      </c>
      <c r="D1657" s="3" t="inlineStr"/>
      <c r="E1657" t="inlineStr"/>
      <c r="F1657" s="4" t="n">
        <v>290</v>
      </c>
      <c r="G1657" t="inlineStr">
        <is>
          <t>VB</t>
        </is>
      </c>
      <c r="H1657" t="inlineStr">
        <is>
          <t>80995 Feldmoching-Hasenbergl - Feldmoching</t>
        </is>
      </c>
      <c r="I1657" s="5" t="n">
        <v>45312</v>
      </c>
      <c r="J1657" t="inlineStr">
        <is>
          <t>Sold</t>
        </is>
      </c>
      <c r="K1657" s="6">
        <f>HYPERLINK("https://www.kleinanzeigen.de/s-anzeige/kite-board-rrd-v3-poison-laenge-138-cm-breite-42-cm/2659058764-230-6448", "Link")</f>
        <v/>
      </c>
      <c r="L1657" s="6">
        <f>HYPERLINK("C:\Projects\Kleinanzeigen-Scraper\offer_images\2659058764", "Link")</f>
        <v/>
      </c>
      <c r="M1657" t="inlineStr">
        <is>
          <t>Sabine Rath</t>
        </is>
      </c>
      <c r="N1657" s="6">
        <f>HYPERLINK("https://www.kleinanzeigen.de/s-bestandsliste.html?userId=15671103", "Link")</f>
        <v/>
      </c>
      <c r="O1657" s="7" t="n">
        <v>45549.5752199074</v>
      </c>
      <c r="P1657" s="3" t="inlineStr">
        <is>
          <t>9.47</t>
        </is>
      </c>
      <c r="Q1657" t="inlineStr">
        <is>
          <t>München</t>
        </is>
      </c>
    </row>
    <row r="1658">
      <c r="A1658" t="inlineStr">
        <is>
          <t>268x57 cm</t>
        </is>
      </c>
      <c r="B1658" t="inlineStr">
        <is>
          <t>Fanatic Bee</t>
        </is>
      </c>
      <c r="C1658" t="inlineStr">
        <is>
          <t>Freeride/Wave</t>
        </is>
      </c>
      <c r="D1658" s="3" t="n">
        <v>94</v>
      </c>
      <c r="E1658" t="inlineStr"/>
      <c r="F1658" s="4" t="n">
        <v>159</v>
      </c>
      <c r="G1658" t="inlineStr">
        <is>
          <t>VB</t>
        </is>
      </c>
      <c r="H1658" t="inlineStr">
        <is>
          <t>75196 Baden-Württemberg - Remchingen</t>
        </is>
      </c>
      <c r="I1658" s="5" t="n">
        <v>45506</v>
      </c>
      <c r="J1658" t="inlineStr">
        <is>
          <t>Sold</t>
        </is>
      </c>
      <c r="K1658" s="6">
        <f>HYPERLINK("https://www.kleinanzeigen.de/s-anzeige/94-l-fanatic-bee-neu-mit-bag-und-finne/2827303082-230-8245", "Link")</f>
        <v/>
      </c>
      <c r="L1658" s="6">
        <f>HYPERLINK("C:\Projects\Kleinanzeigen-Scraper\offer_images\2827303082", "Link")</f>
        <v/>
      </c>
      <c r="M1658" t="inlineStr">
        <is>
          <t>Peter Held</t>
        </is>
      </c>
      <c r="N1658" s="6">
        <f>HYPERLINK("https://www.kleinanzeigen.de/s-bestandsliste.html?userId=30222529", "Link")</f>
        <v/>
      </c>
      <c r="O1658" s="7" t="n">
        <v>45549.5752199074</v>
      </c>
      <c r="P1658" s="3" t="inlineStr">
        <is>
          <t>15.74</t>
        </is>
      </c>
      <c r="Q1658" t="inlineStr">
        <is>
          <t>Karlsruhe</t>
        </is>
      </c>
    </row>
    <row r="1659">
      <c r="A1659" t="inlineStr">
        <is>
          <t>2.38 x 0.90</t>
        </is>
      </c>
      <c r="B1659" t="inlineStr">
        <is>
          <t>RRD Firemove</t>
        </is>
      </c>
      <c r="C1659" t="inlineStr">
        <is>
          <t>Freemove</t>
        </is>
      </c>
      <c r="D1659" s="3" t="inlineStr"/>
      <c r="E1659" t="inlineStr"/>
      <c r="F1659" s="4" t="n">
        <v>690</v>
      </c>
      <c r="G1659" t="inlineStr"/>
      <c r="H1659" t="inlineStr">
        <is>
          <t>63579 Hessen - Freigericht</t>
        </is>
      </c>
      <c r="I1659" s="5" t="n">
        <v>45515</v>
      </c>
      <c r="J1659" t="inlineStr"/>
      <c r="K1659" s="6">
        <f>HYPERLINK("https://www.kleinanzeigen.de/s-anzeige/rrd-firemove-140-e-tech-windsurfbrett-mit-schlaufen/2834091725-230-7404", "Link")</f>
        <v/>
      </c>
      <c r="L1659" s="6">
        <f>HYPERLINK("C:\Projects\Kleinanzeigen-Scraper\offer_images\2834091725", "Link")</f>
        <v/>
      </c>
      <c r="M1659" t="inlineStr">
        <is>
          <t>Cynthia Glatz</t>
        </is>
      </c>
      <c r="N1659" s="6">
        <f>HYPERLINK("https://www.kleinanzeigen.de/s-bestandsliste.html?userId=33050983", "Link")</f>
        <v/>
      </c>
      <c r="O1659" s="7" t="n">
        <v>45549.57519675926</v>
      </c>
      <c r="P1659" s="3" t="inlineStr">
        <is>
          <t>137.44</t>
        </is>
      </c>
      <c r="Q1659" t="inlineStr">
        <is>
          <t>Karlsruhe</t>
        </is>
      </c>
    </row>
    <row r="1660">
      <c r="A1660" t="inlineStr">
        <is>
          <t>7'10"</t>
        </is>
      </c>
      <c r="B1660" t="inlineStr">
        <is>
          <t>Fanatic SUP Ripper Air</t>
        </is>
      </c>
      <c r="C1660" t="inlineStr"/>
      <c r="D1660" s="3" t="n">
        <v>138</v>
      </c>
      <c r="E1660" t="inlineStr"/>
      <c r="F1660" s="4" t="n">
        <v>260</v>
      </c>
      <c r="G1660" t="inlineStr"/>
      <c r="H1660" t="inlineStr">
        <is>
          <t>40547 Düsseldorf - Oberkassel</t>
        </is>
      </c>
      <c r="I1660" s="5" t="n">
        <v>45519</v>
      </c>
      <c r="J1660" t="inlineStr">
        <is>
          <t>Sold</t>
        </is>
      </c>
      <c r="K1660" s="6">
        <f>HYPERLINK("https://www.kleinanzeigen.de/s-anzeige/fanatic-sup-ripper-air-7-10-kinder-stand-up-paddle-board/2837690681-230-2070", "Link")</f>
        <v/>
      </c>
      <c r="L1660" s="6">
        <f>HYPERLINK("C:\Projects\Kleinanzeigen-Scraper\offer_images\2837690681", "Link")</f>
        <v/>
      </c>
      <c r="M1660" t="inlineStr">
        <is>
          <t>Anna-Lena</t>
        </is>
      </c>
      <c r="N1660" s="6">
        <f>HYPERLINK("https://www.kleinanzeigen.de/s-bestandsliste.html?userId=2702709", "Link")</f>
        <v/>
      </c>
      <c r="O1660" s="7" t="n">
        <v>45549.57519675926</v>
      </c>
      <c r="P1660" s="3" t="inlineStr">
        <is>
          <t>36.67</t>
        </is>
      </c>
      <c r="Q1660" t="inlineStr">
        <is>
          <t>Köln</t>
        </is>
      </c>
    </row>
    <row r="1661">
      <c r="A1661" t="inlineStr">
        <is>
          <t>245 x 54 cm</t>
        </is>
      </c>
      <c r="B1661" t="inlineStr">
        <is>
          <t>Naish Supercross</t>
        </is>
      </c>
      <c r="C1661" t="inlineStr">
        <is>
          <t>Wave</t>
        </is>
      </c>
      <c r="D1661" s="3" t="n">
        <v>75</v>
      </c>
      <c r="E1661" t="inlineStr"/>
      <c r="F1661" s="4" t="n">
        <v>80</v>
      </c>
      <c r="G1661" t="inlineStr"/>
      <c r="H1661" t="inlineStr">
        <is>
          <t>79100 Freiburg im Breisgau - Wiehre</t>
        </is>
      </c>
      <c r="I1661" s="5" t="n">
        <v>45546</v>
      </c>
      <c r="J1661" t="inlineStr">
        <is>
          <t>Sold</t>
        </is>
      </c>
      <c r="K1661" s="6">
        <f>HYPERLINK("https://www.kleinanzeigen.de/s-anzeige/verkaufe-naish-supercross-windsurfbrett-mit-boardbag-finne/2860382556-230-9368", "Link")</f>
        <v/>
      </c>
      <c r="L1661" s="6">
        <f>HYPERLINK("C:\Projects\Kleinanzeigen-Scraper\offer_images\2860382556", "Link")</f>
        <v/>
      </c>
      <c r="M1661" t="inlineStr">
        <is>
          <t>MLF</t>
        </is>
      </c>
      <c r="N1661" s="6">
        <f>HYPERLINK("https://www.kleinanzeigen.de/s-bestandsliste.html?userId=15574759", "Link")</f>
        <v/>
      </c>
      <c r="O1661" s="7" t="n">
        <v>45549.57519675926</v>
      </c>
      <c r="P1661" s="3" t="inlineStr">
        <is>
          <t>39.95</t>
        </is>
      </c>
      <c r="Q1661" t="inlineStr">
        <is>
          <t>Bonndorf</t>
        </is>
      </c>
    </row>
    <row r="1662">
      <c r="A1662" t="inlineStr"/>
      <c r="B1662" t="inlineStr">
        <is>
          <t>Fanatic Sky Wing</t>
        </is>
      </c>
      <c r="C1662" t="inlineStr">
        <is>
          <t>Wing Foil</t>
        </is>
      </c>
      <c r="D1662" s="3" t="n">
        <v>60</v>
      </c>
      <c r="E1662" t="inlineStr"/>
      <c r="F1662" s="4" t="n">
        <v>490</v>
      </c>
      <c r="G1662" t="inlineStr"/>
      <c r="H1662" t="inlineStr">
        <is>
          <t>18057 Rostock - Kröpeliner-Tor-Vorstadt</t>
        </is>
      </c>
      <c r="I1662" s="5" t="n">
        <v>45544</v>
      </c>
      <c r="J1662" t="inlineStr">
        <is>
          <t>Sold</t>
        </is>
      </c>
      <c r="K1662" s="6">
        <f>HYPERLINK("https://www.kleinanzeigen.de/s-anzeige/fanatic-sky-wing-4-8-60l-wing-foil-board-neuwertig/2785820023-230-156", "Link")</f>
        <v/>
      </c>
      <c r="L1662" s="6">
        <f>HYPERLINK("C:\Projects\Kleinanzeigen-Scraper\offer_images\2785820023", "Link")</f>
        <v/>
      </c>
      <c r="M1662" t="inlineStr">
        <is>
          <t>Johannes</t>
        </is>
      </c>
      <c r="N1662" s="6">
        <f>HYPERLINK("https://www.kleinanzeigen.de/s-bestandsliste.html?userId=2669272", "Link")</f>
        <v/>
      </c>
      <c r="O1662" s="7" t="n">
        <v>45549.57515046297</v>
      </c>
      <c r="P1662" s="3" t="inlineStr">
        <is>
          <t>494.07</t>
        </is>
      </c>
      <c r="Q1662" t="inlineStr">
        <is>
          <t>Köln</t>
        </is>
      </c>
    </row>
    <row r="1663">
      <c r="A1663" t="inlineStr">
        <is>
          <t>5'4"</t>
        </is>
      </c>
      <c r="B1663" t="inlineStr">
        <is>
          <t>Fanatic Sky Wing</t>
        </is>
      </c>
      <c r="C1663" t="inlineStr">
        <is>
          <t>Wing Foil</t>
        </is>
      </c>
      <c r="D1663" s="3" t="n">
        <v>95</v>
      </c>
      <c r="E1663" t="inlineStr"/>
      <c r="F1663" s="4" t="n">
        <v>520</v>
      </c>
      <c r="G1663" t="inlineStr"/>
      <c r="H1663" t="inlineStr">
        <is>
          <t>16278 Brandenburg - Angermünde</t>
        </is>
      </c>
      <c r="I1663" s="5" t="n">
        <v>45513</v>
      </c>
      <c r="J1663" t="inlineStr">
        <is>
          <t>Sold</t>
        </is>
      </c>
      <c r="K1663" s="6">
        <f>HYPERLINK("https://www.kleinanzeigen.de/s-anzeige/fanatic-sky-wing-5-4-wing-foil-board-95l-mit-ion-wing-c-boardbag/2833116256-230-7921", "Link")</f>
        <v/>
      </c>
      <c r="L1663" s="6">
        <f>HYPERLINK("C:\Projects\Kleinanzeigen-Scraper\offer_images\2833116256", "Link")</f>
        <v/>
      </c>
      <c r="M1663" t="inlineStr">
        <is>
          <t>David</t>
        </is>
      </c>
      <c r="N1663" s="6">
        <f>HYPERLINK("https://www.kleinanzeigen.de/s-bestandsliste.html?userId=33443520", "Link")</f>
        <v/>
      </c>
      <c r="O1663" s="7" t="n">
        <v>45549.57515046297</v>
      </c>
      <c r="P1663" s="3" t="inlineStr">
        <is>
          <t>534.91</t>
        </is>
      </c>
      <c r="Q1663" t="inlineStr">
        <is>
          <t>Köln</t>
        </is>
      </c>
    </row>
    <row r="1664">
      <c r="A1664" t="inlineStr">
        <is>
          <t>241 cm x 51.5 cm</t>
        </is>
      </c>
      <c r="B1664" t="inlineStr">
        <is>
          <t>GOYA Custom Wave</t>
        </is>
      </c>
      <c r="C1664" t="inlineStr">
        <is>
          <t>Wave</t>
        </is>
      </c>
      <c r="D1664" s="3" t="n">
        <v>66</v>
      </c>
      <c r="E1664" t="inlineStr"/>
      <c r="F1664" s="4" t="n">
        <v>275</v>
      </c>
      <c r="G1664" t="inlineStr"/>
      <c r="H1664" t="inlineStr">
        <is>
          <t>24105 Schleswig-Holstein - Kiel</t>
        </is>
      </c>
      <c r="I1664" s="5" t="n">
        <v>45505</v>
      </c>
      <c r="J1664" t="inlineStr">
        <is>
          <t>Sold</t>
        </is>
      </c>
      <c r="K1664" s="6">
        <f>HYPERLINK("https://www.kleinanzeigen.de/s-anzeige/neu-goya-custom-wave-66l-windsurf-board-waveboard-francisco/2826767919-230-708", "Link")</f>
        <v/>
      </c>
      <c r="L1664" s="6">
        <f>HYPERLINK("C:\Projects\Kleinanzeigen-Scraper\offer_images\2826767919", "Link")</f>
        <v/>
      </c>
      <c r="M1664" t="inlineStr">
        <is>
          <t>Jan</t>
        </is>
      </c>
      <c r="N1664" s="6">
        <f>HYPERLINK("https://www.kleinanzeigen.de/s-bestandsliste.html?userId=9631650", "Link")</f>
        <v/>
      </c>
      <c r="O1664" s="7" t="n">
        <v>45549.57512731481</v>
      </c>
      <c r="P1664" s="3" t="inlineStr">
        <is>
          <t>435.05</t>
        </is>
      </c>
      <c r="Q1664" t="inlineStr">
        <is>
          <t>Köln</t>
        </is>
      </c>
    </row>
    <row r="1665">
      <c r="A1665" t="inlineStr"/>
      <c r="B1665" t="inlineStr">
        <is>
          <t>Starboard Kode</t>
        </is>
      </c>
      <c r="C1665" t="inlineStr">
        <is>
          <t>Freestyle-Wave</t>
        </is>
      </c>
      <c r="D1665" s="3" t="inlineStr"/>
      <c r="E1665" t="inlineStr"/>
      <c r="F1665" s="4" t="n">
        <v>95</v>
      </c>
      <c r="G1665" t="inlineStr">
        <is>
          <t>VB</t>
        </is>
      </c>
      <c r="H1665" t="inlineStr">
        <is>
          <t>25421 Kreis Pinneberg - Pinneberg</t>
        </is>
      </c>
      <c r="I1665" s="5" t="n">
        <v>45543</v>
      </c>
      <c r="J1665" t="inlineStr"/>
      <c r="K1665" s="6">
        <f>HYPERLINK("https://www.kleinanzeigen.de/s-anzeige/starboard-kode-windsurfboard/2856999532-230-786", "Link")</f>
        <v/>
      </c>
      <c r="L1665" s="6">
        <f>HYPERLINK("C:\Projects\Kleinanzeigen-Scraper\offer_images\2856999532", "Link")</f>
        <v/>
      </c>
      <c r="M1665" t="inlineStr">
        <is>
          <t>Gregor</t>
        </is>
      </c>
      <c r="N1665" s="6">
        <f>HYPERLINK("https://www.kleinanzeigen.de/s-bestandsliste.html?userId=19592516", "Link")</f>
        <v/>
      </c>
      <c r="O1665" s="7" t="n">
        <v>45549.57512731481</v>
      </c>
      <c r="P1665" s="3" t="inlineStr">
        <is>
          <t>357.38</t>
        </is>
      </c>
      <c r="Q1665" t="inlineStr">
        <is>
          <t>Köln</t>
        </is>
      </c>
    </row>
    <row r="1666">
      <c r="A1666" t="inlineStr">
        <is>
          <t>132x41</t>
        </is>
      </c>
      <c r="B1666" t="inlineStr">
        <is>
          <t>Naish Alana</t>
        </is>
      </c>
      <c r="C1666" t="inlineStr"/>
      <c r="D1666" s="3" t="inlineStr"/>
      <c r="E1666" t="inlineStr"/>
      <c r="F1666" s="4" t="n">
        <v>100</v>
      </c>
      <c r="G1666" t="inlineStr">
        <is>
          <t>VB</t>
        </is>
      </c>
      <c r="H1666" t="inlineStr">
        <is>
          <t>73119 Baden-Württemberg - Zell unter Aichelberg</t>
        </is>
      </c>
      <c r="I1666" s="5" t="n">
        <v>45549</v>
      </c>
      <c r="J1666" t="inlineStr">
        <is>
          <t>Sold</t>
        </is>
      </c>
      <c r="K1666" s="6">
        <f>HYPERLINK("https://www.kleinanzeigen.de/s-anzeige/kiteboard-naish-alana/2862585761-230-8868", "Link")</f>
        <v/>
      </c>
      <c r="L1666" s="6">
        <f>HYPERLINK("C:\Projects\Kleinanzeigen-Scraper\offer_images\2862585761", "Link")</f>
        <v/>
      </c>
      <c r="M1666" t="inlineStr">
        <is>
          <t>Michael</t>
        </is>
      </c>
      <c r="N1666" s="6">
        <f>HYPERLINK("https://www.kleinanzeigen.de/s-bestandsliste.html?userId=90886091", "Link")</f>
        <v/>
      </c>
      <c r="O1666" s="7" t="n">
        <v>45549.57511574074</v>
      </c>
      <c r="P1666" s="3" t="inlineStr">
        <is>
          <t>43.70</t>
        </is>
      </c>
      <c r="Q1666" t="inlineStr">
        <is>
          <t>Böblingen</t>
        </is>
      </c>
    </row>
    <row r="1667">
      <c r="A1667" t="inlineStr">
        <is>
          <t>Dimensions not provided</t>
        </is>
      </c>
      <c r="B1667" t="inlineStr">
        <is>
          <t>Fanatic Quad</t>
        </is>
      </c>
      <c r="C1667" t="inlineStr">
        <is>
          <t>Wave</t>
        </is>
      </c>
      <c r="D1667" s="3" t="n">
        <v>87</v>
      </c>
      <c r="E1667" t="inlineStr"/>
      <c r="F1667" s="4" t="n">
        <v>170</v>
      </c>
      <c r="G1667" t="inlineStr"/>
      <c r="H1667" t="inlineStr">
        <is>
          <t>22145 Hamburg - Hamburg-Nord</t>
        </is>
      </c>
      <c r="I1667" s="5" t="n">
        <v>45535</v>
      </c>
      <c r="J1667" t="inlineStr"/>
      <c r="K1667" s="6">
        <f>HYPERLINK("https://www.kleinanzeigen.de/s-anzeige/fanatic-quad-87-waveboard-jp-rrd-naish-starboard-tabou-mistral/2850625015-230-17006", "Link")</f>
        <v/>
      </c>
      <c r="L1667" s="6">
        <f>HYPERLINK("C:\Projects\Kleinanzeigen-Scraper\offer_images\2850625015", "Link")</f>
        <v/>
      </c>
      <c r="M1667" t="inlineStr">
        <is>
          <t>Ulf</t>
        </is>
      </c>
      <c r="N1667" s="6">
        <f>HYPERLINK("https://www.kleinanzeigen.de/s-bestandsliste.html?userId=50449475", "Link")</f>
        <v/>
      </c>
      <c r="O1667" s="7" t="n">
        <v>45549.57511574074</v>
      </c>
      <c r="P1667" s="3" t="inlineStr">
        <is>
          <t>371.39</t>
        </is>
      </c>
      <c r="Q1667" t="inlineStr">
        <is>
          <t>Köln</t>
        </is>
      </c>
    </row>
    <row r="1668">
      <c r="A1668" t="inlineStr">
        <is>
          <t>162cm</t>
        </is>
      </c>
      <c r="B1668" t="inlineStr">
        <is>
          <t>Tabou Pocket Air</t>
        </is>
      </c>
      <c r="C1668" t="inlineStr">
        <is>
          <t>Wingfoil</t>
        </is>
      </c>
      <c r="D1668" s="3" t="n">
        <v>87</v>
      </c>
      <c r="E1668" t="inlineStr">
        <is>
          <t>2021</t>
        </is>
      </c>
      <c r="F1668" s="4" t="n">
        <v>400</v>
      </c>
      <c r="G1668" t="inlineStr">
        <is>
          <t>VB</t>
        </is>
      </c>
      <c r="H1668" t="inlineStr">
        <is>
          <t>79102 Baden-Württemberg - Freiburg im Breisgau</t>
        </is>
      </c>
      <c r="I1668" s="5" t="n">
        <v>45021</v>
      </c>
      <c r="J1668" t="inlineStr">
        <is>
          <t>Sold</t>
        </is>
      </c>
      <c r="K1668" s="6">
        <f>HYPERLINK("https://www.kleinanzeigen.de/s-anzeige/tabou-2021-pocket-air-5-4-wingfoilboard/2406229937-230-9364", "Link")</f>
        <v/>
      </c>
      <c r="L1668" s="6">
        <f>HYPERLINK("C:\Projects\Kleinanzeigen-Scraper\offer_images\2406229937", "Link")</f>
        <v/>
      </c>
      <c r="M1668" t="inlineStr">
        <is>
          <t>Julia</t>
        </is>
      </c>
      <c r="N1668" s="6">
        <f>HYPERLINK("https://www.kleinanzeigen.de/s-bestandsliste.html?userId=17274062", "Link")</f>
        <v/>
      </c>
      <c r="O1668" s="7" t="n">
        <v>45549.57510416667</v>
      </c>
      <c r="P1668" s="3" t="inlineStr">
        <is>
          <t>40.20</t>
        </is>
      </c>
      <c r="Q1668" t="inlineStr">
        <is>
          <t>Bonndorf</t>
        </is>
      </c>
    </row>
    <row r="1669">
      <c r="A1669" t="inlineStr">
        <is>
          <t>6'1" (186 cm)</t>
        </is>
      </c>
      <c r="B1669" t="inlineStr">
        <is>
          <t>North Pro Kontakt</t>
        </is>
      </c>
      <c r="C1669" t="inlineStr">
        <is>
          <t>Wave</t>
        </is>
      </c>
      <c r="D1669" s="3" t="inlineStr"/>
      <c r="E1669" t="inlineStr">
        <is>
          <t>2016</t>
        </is>
      </c>
      <c r="F1669" s="4" t="n">
        <v>300</v>
      </c>
      <c r="G1669" t="inlineStr">
        <is>
          <t>VB</t>
        </is>
      </c>
      <c r="H1669" t="inlineStr">
        <is>
          <t>26655 Niedersachsen - Westerstede</t>
        </is>
      </c>
      <c r="I1669" s="5" t="n">
        <v>45544</v>
      </c>
      <c r="J1669" t="inlineStr">
        <is>
          <t>Sold</t>
        </is>
      </c>
      <c r="K1669" s="6">
        <f>HYPERLINK("https://www.kleinanzeigen.de/s-anzeige/north-pro-kontakt-2016-directional-jetzt-duotone-/2858270984-230-2641", "Link")</f>
        <v/>
      </c>
      <c r="L1669" s="6">
        <f>HYPERLINK("C:\Projects\Kleinanzeigen-Scraper\offer_images\2858270984", "Link")</f>
        <v/>
      </c>
      <c r="M1669" t="inlineStr">
        <is>
          <t>Enrico</t>
        </is>
      </c>
      <c r="N1669" s="6">
        <f>HYPERLINK("https://www.kleinanzeigen.de/s-bestandsliste.html?userId=37855769", "Link")</f>
        <v/>
      </c>
      <c r="O1669" s="7" t="n">
        <v>45549.57509259259</v>
      </c>
      <c r="P1669" s="3" t="inlineStr">
        <is>
          <t>268.59</t>
        </is>
      </c>
      <c r="Q1669" t="inlineStr">
        <is>
          <t>Köln</t>
        </is>
      </c>
    </row>
    <row r="1670">
      <c r="A1670" t="inlineStr">
        <is>
          <t>5'9"</t>
        </is>
      </c>
      <c r="B1670" t="inlineStr">
        <is>
          <t>Naish Go To</t>
        </is>
      </c>
      <c r="C1670" t="inlineStr">
        <is>
          <t>Wave</t>
        </is>
      </c>
      <c r="D1670" s="3" t="inlineStr"/>
      <c r="E1670" t="inlineStr"/>
      <c r="F1670" s="4" t="n">
        <v>260</v>
      </c>
      <c r="G1670" t="inlineStr"/>
      <c r="H1670" t="inlineStr">
        <is>
          <t>90441 Nürnberg (Mittelfr) - Südstadt</t>
        </is>
      </c>
      <c r="I1670" s="5" t="n">
        <v>45549</v>
      </c>
      <c r="J1670" t="inlineStr">
        <is>
          <t>Sold</t>
        </is>
      </c>
      <c r="K1670" s="6">
        <f>HYPERLINK("https://www.kleinanzeigen.de/s-anzeige/naish-go-to-5-9-kite-board-wave-board-surfboard/2862645335-230-6826", "Link")</f>
        <v/>
      </c>
      <c r="L1670" s="6">
        <f>HYPERLINK("C:\Projects\Kleinanzeigen-Scraper\offer_images\2862645335", "Link")</f>
        <v/>
      </c>
      <c r="M1670" t="inlineStr">
        <is>
          <t>Martin Gospodinoff</t>
        </is>
      </c>
      <c r="N1670" s="6">
        <f>HYPERLINK("https://www.kleinanzeigen.de/s-bestandsliste.html?userId=87721071", "Link")</f>
        <v/>
      </c>
      <c r="O1670" s="7" t="n">
        <v>45549.57509259259</v>
      </c>
      <c r="P1670" s="3" t="inlineStr">
        <is>
          <t>148.24</t>
        </is>
      </c>
      <c r="Q1670" t="inlineStr">
        <is>
          <t>München</t>
        </is>
      </c>
    </row>
    <row r="1671">
      <c r="A1671" t="inlineStr">
        <is>
          <t>323x79 cm</t>
        </is>
      </c>
      <c r="B1671" t="inlineStr">
        <is>
          <t>JP Australia</t>
        </is>
      </c>
      <c r="C1671" t="inlineStr">
        <is>
          <t>Hybrid</t>
        </is>
      </c>
      <c r="D1671" s="3" t="inlineStr"/>
      <c r="E1671" t="inlineStr"/>
      <c r="F1671" s="4" t="n">
        <v>750</v>
      </c>
      <c r="G1671" t="inlineStr">
        <is>
          <t>VB</t>
        </is>
      </c>
      <c r="H1671" t="inlineStr">
        <is>
          <t>19061 Schwerin - Krebsförden</t>
        </is>
      </c>
      <c r="I1671" s="5" t="n">
        <v>45526</v>
      </c>
      <c r="J1671" t="inlineStr">
        <is>
          <t>Sold</t>
        </is>
      </c>
      <c r="K1671" s="6">
        <f>HYPERLINK("https://www.kleinanzeigen.de/s-anzeige/hard-board-jp-australia-sup/2843205390-230-16518", "Link")</f>
        <v/>
      </c>
      <c r="L1671" s="6">
        <f>HYPERLINK("C:\Projects\Kleinanzeigen-Scraper\offer_images\2843205390", "Link")</f>
        <v/>
      </c>
      <c r="M1671" t="inlineStr">
        <is>
          <t>Lautenschläger</t>
        </is>
      </c>
      <c r="N1671" s="6">
        <f>HYPERLINK("https://www.kleinanzeigen.de/s-bestandsliste.html?userId=7380400", "Link")</f>
        <v/>
      </c>
      <c r="O1671" s="7" t="n">
        <v>45549.57509259259</v>
      </c>
      <c r="P1671" s="3" t="inlineStr">
        <is>
          <t>422.22</t>
        </is>
      </c>
      <c r="Q1671" t="inlineStr">
        <is>
          <t>Köln</t>
        </is>
      </c>
    </row>
    <row r="1672">
      <c r="A1672" t="inlineStr"/>
      <c r="B1672" t="inlineStr">
        <is>
          <t>RRD, Roberto Ricci Design</t>
        </is>
      </c>
      <c r="C1672" t="inlineStr">
        <is>
          <t>Kiteboard</t>
        </is>
      </c>
      <c r="D1672" s="3" t="inlineStr"/>
      <c r="E1672" t="inlineStr"/>
      <c r="F1672" s="4" t="n">
        <v>50</v>
      </c>
      <c r="G1672" t="inlineStr"/>
      <c r="H1672" t="inlineStr">
        <is>
          <t>27449 Niedersachsen - Kutenholz</t>
        </is>
      </c>
      <c r="I1672" s="5" t="n">
        <v>45138</v>
      </c>
      <c r="J1672" t="inlineStr">
        <is>
          <t>Sold</t>
        </is>
      </c>
      <c r="K1672" s="6">
        <f>HYPERLINK("https://www.kleinanzeigen.de/s-anzeige/kiteboard-bs3-light-air-rrd-roberto-ricci-design/2508185905-230-2709", "Link")</f>
        <v/>
      </c>
      <c r="L1672" s="6">
        <f>HYPERLINK("C:\Projects\Kleinanzeigen-Scraper\offer_images\2508185905", "Link")</f>
        <v/>
      </c>
      <c r="M1672" t="inlineStr">
        <is>
          <t>Bo</t>
        </is>
      </c>
      <c r="N1672" s="6">
        <f>HYPERLINK("https://www.kleinanzeigen.de/s-bestandsliste.html?userId=7030067", "Link")</f>
        <v/>
      </c>
      <c r="O1672" s="7" t="n">
        <v>45549.57506944444</v>
      </c>
      <c r="P1672" s="3" t="inlineStr">
        <is>
          <t>325.50</t>
        </is>
      </c>
      <c r="Q1672" t="inlineStr">
        <is>
          <t>Köln</t>
        </is>
      </c>
    </row>
    <row r="1673">
      <c r="A1673" t="inlineStr"/>
      <c r="B1673" t="inlineStr">
        <is>
          <t>Simmer Style Quantum</t>
        </is>
      </c>
      <c r="C1673" t="inlineStr">
        <is>
          <t>Quad</t>
        </is>
      </c>
      <c r="D1673" s="3" t="n">
        <v>85</v>
      </c>
      <c r="E1673" t="inlineStr"/>
      <c r="F1673" s="4" t="n">
        <v>400</v>
      </c>
      <c r="G1673" t="inlineStr">
        <is>
          <t>VB</t>
        </is>
      </c>
      <c r="H1673" t="inlineStr">
        <is>
          <t>27576 Häfen - Bremerhaven</t>
        </is>
      </c>
      <c r="I1673" s="5" t="n">
        <v>44776</v>
      </c>
      <c r="J1673" t="inlineStr"/>
      <c r="K1673" s="6">
        <f>HYPERLINK("https://www.kleinanzeigen.de/s-anzeige/simmer-style-quantum-quad-85-liter/2173368843-230-58", "Link")</f>
        <v/>
      </c>
      <c r="L1673" s="6">
        <f>HYPERLINK("C:\Projects\Kleinanzeigen-Scraper\offer_images\2173368843", "Link")</f>
        <v/>
      </c>
      <c r="M1673" t="inlineStr">
        <is>
          <t>Michael Bollhöfer</t>
        </is>
      </c>
      <c r="N1673" s="6">
        <f>HYPERLINK("https://www.kleinanzeigen.de/s-bestandsliste.html?userId=8315133", "Link")</f>
        <v/>
      </c>
      <c r="O1673" s="7" t="n">
        <v>45549.5750462963</v>
      </c>
      <c r="P1673" s="3" t="inlineStr">
        <is>
          <t>311.75</t>
        </is>
      </c>
      <c r="Q1673" t="inlineStr">
        <is>
          <t>Köln</t>
        </is>
      </c>
    </row>
    <row r="1674">
      <c r="A1674" t="inlineStr"/>
      <c r="B1674" t="inlineStr">
        <is>
          <t>JP Australia</t>
        </is>
      </c>
      <c r="C1674" t="inlineStr">
        <is>
          <t>Freestyle</t>
        </is>
      </c>
      <c r="D1674" s="3" t="n">
        <v>93</v>
      </c>
      <c r="E1674" t="inlineStr">
        <is>
          <t>2021</t>
        </is>
      </c>
      <c r="F1674" s="4" t="n">
        <v>850</v>
      </c>
      <c r="G1674" t="inlineStr"/>
      <c r="H1674" t="inlineStr">
        <is>
          <t>82266 Bayern - Inning am Ammersee</t>
        </is>
      </c>
      <c r="I1674" s="5" t="n">
        <v>45352</v>
      </c>
      <c r="J1674" t="inlineStr">
        <is>
          <t>Sold</t>
        </is>
      </c>
      <c r="K1674" s="6">
        <f>HYPERLINK("https://www.kleinanzeigen.de/s-anzeige/jp-freestyle-pro-edition-93l-2021-windsurf-board-jp-australia/2694120489-230-6358", "Link")</f>
        <v/>
      </c>
      <c r="L1674" s="6">
        <f>HYPERLINK("C:\Projects\Kleinanzeigen-Scraper\offer_images\2694120489", "Link")</f>
        <v/>
      </c>
      <c r="M1674" t="inlineStr">
        <is>
          <t>Florian</t>
        </is>
      </c>
      <c r="N1674" s="6">
        <f>HYPERLINK("https://www.kleinanzeigen.de/s-bestandsliste.html?userId=13817697", "Link")</f>
        <v/>
      </c>
      <c r="O1674" s="7" t="n">
        <v>45549.57503472222</v>
      </c>
      <c r="P1674" s="3" t="inlineStr">
        <is>
          <t>31.93</t>
        </is>
      </c>
      <c r="Q1674" t="inlineStr">
        <is>
          <t>München</t>
        </is>
      </c>
    </row>
    <row r="1675">
      <c r="A1675" t="inlineStr">
        <is>
          <t>343cm x 68cm</t>
        </is>
      </c>
      <c r="B1675" t="inlineStr">
        <is>
          <t>Fanatic Lite Viper</t>
        </is>
      </c>
      <c r="C1675" t="inlineStr">
        <is>
          <t>Freeride</t>
        </is>
      </c>
      <c r="D1675" s="3" t="n">
        <v>187</v>
      </c>
      <c r="E1675" t="inlineStr"/>
      <c r="F1675" s="4" t="n">
        <v>15</v>
      </c>
      <c r="G1675" t="inlineStr"/>
      <c r="H1675" t="inlineStr">
        <is>
          <t>28357 Bremen - Borgfeld</t>
        </is>
      </c>
      <c r="I1675" s="5" t="n">
        <v>45535</v>
      </c>
      <c r="J1675" t="inlineStr">
        <is>
          <t>Sold</t>
        </is>
      </c>
      <c r="K1675" s="6">
        <f>HYPERLINK("https://www.kleinanzeigen.de/s-anzeige/fanatic-lite-viper-und-zwei-gabelbaeume/2850645630-230-17309", "Link")</f>
        <v/>
      </c>
      <c r="L1675" s="6">
        <f>HYPERLINK("C:\Projects\Kleinanzeigen-Scraper\offer_images\2850645630", "Link")</f>
        <v/>
      </c>
      <c r="M1675" t="inlineStr">
        <is>
          <t>Björn Pahrmann</t>
        </is>
      </c>
      <c r="N1675" s="6">
        <f>HYPERLINK("https://www.kleinanzeigen.de/s-bestandsliste.html?userId=77631559", "Link")</f>
        <v/>
      </c>
      <c r="O1675" s="7" t="n">
        <v>45549.57502314815</v>
      </c>
      <c r="P1675" s="3" t="inlineStr">
        <is>
          <t>275.85</t>
        </is>
      </c>
      <c r="Q1675" t="inlineStr">
        <is>
          <t>Köln</t>
        </is>
      </c>
    </row>
    <row r="1676">
      <c r="A1676" t="inlineStr">
        <is>
          <t>140/43</t>
        </is>
      </c>
      <c r="B1676" t="inlineStr">
        <is>
          <t>Naish Hero</t>
        </is>
      </c>
      <c r="C1676" t="inlineStr"/>
      <c r="D1676" s="3" t="inlineStr"/>
      <c r="E1676" t="inlineStr"/>
      <c r="F1676" s="4" t="n">
        <v>250</v>
      </c>
      <c r="G1676" t="inlineStr">
        <is>
          <t>VB</t>
        </is>
      </c>
      <c r="H1676" t="inlineStr">
        <is>
          <t>81669 München - Au-Haidhausen</t>
        </is>
      </c>
      <c r="I1676" s="5" t="n">
        <v>45524</v>
      </c>
      <c r="J1676" t="inlineStr">
        <is>
          <t>Sold</t>
        </is>
      </c>
      <c r="K1676" s="6">
        <f>HYPERLINK("https://www.kleinanzeigen.de/s-anzeige/kiteboard-naish-hero-140-43/2841741957-230-16345", "Link")</f>
        <v/>
      </c>
      <c r="L1676" s="6">
        <f>HYPERLINK("C:\Projects\Kleinanzeigen-Scraper\offer_images\2841741957", "Link")</f>
        <v/>
      </c>
      <c r="M1676" t="inlineStr">
        <is>
          <t>Philipp</t>
        </is>
      </c>
      <c r="N1676" s="6">
        <f>HYPERLINK("https://www.kleinanzeigen.de/s-bestandsliste.html?userId=18052975", "Link")</f>
        <v/>
      </c>
      <c r="O1676" s="7" t="n">
        <v>45549.57502314815</v>
      </c>
      <c r="P1676" s="3" t="inlineStr">
        <is>
          <t>3.61</t>
        </is>
      </c>
      <c r="Q1676" t="inlineStr">
        <is>
          <t>München</t>
        </is>
      </c>
    </row>
    <row r="1677">
      <c r="A1677" t="inlineStr">
        <is>
          <t>10.0 x 33</t>
        </is>
      </c>
      <c r="B1677" t="inlineStr">
        <is>
          <t>Naish Mana</t>
        </is>
      </c>
      <c r="C1677" t="inlineStr">
        <is>
          <t>Allrounder</t>
        </is>
      </c>
      <c r="D1677" s="3" t="n">
        <v>185</v>
      </c>
      <c r="E1677" t="inlineStr"/>
      <c r="F1677" s="4" t="n">
        <v>190</v>
      </c>
      <c r="G1677" t="inlineStr"/>
      <c r="H1677" t="inlineStr">
        <is>
          <t>22085 Hamburg-Nord - Hamburg Uhlenhorst</t>
        </is>
      </c>
      <c r="I1677" s="5" t="n">
        <v>45533</v>
      </c>
      <c r="J1677" t="inlineStr"/>
      <c r="K1677" s="6">
        <f>HYPERLINK("https://www.kleinanzeigen.de/s-anzeige/sup-board-standup-paddelboard-naish-mana/2849129491-230-9486", "Link")</f>
        <v/>
      </c>
      <c r="L1677" s="6">
        <f>HYPERLINK("C:\Projects\Kleinanzeigen-Scraper\offer_images\2849129491", "Link")</f>
        <v/>
      </c>
      <c r="M1677" t="inlineStr">
        <is>
          <t>Eric</t>
        </is>
      </c>
      <c r="N1677" s="6">
        <f>HYPERLINK("https://www.kleinanzeigen.de/s-bestandsliste.html?userId=77222582", "Link")</f>
        <v/>
      </c>
      <c r="O1677" s="7" t="n">
        <v>45549.57501157407</v>
      </c>
      <c r="P1677" s="3" t="inlineStr">
        <is>
          <t>359.41</t>
        </is>
      </c>
      <c r="Q1677" t="inlineStr">
        <is>
          <t>Köln</t>
        </is>
      </c>
    </row>
    <row r="1678">
      <c r="A1678" t="inlineStr"/>
      <c r="B1678" t="inlineStr">
        <is>
          <t>Fanatic Sky SUP</t>
        </is>
      </c>
      <c r="C1678" t="inlineStr">
        <is>
          <t>Foil</t>
        </is>
      </c>
      <c r="D1678" s="3" t="n">
        <v>106</v>
      </c>
      <c r="E1678" t="inlineStr"/>
      <c r="F1678" s="4" t="n">
        <v>450</v>
      </c>
      <c r="G1678" t="inlineStr"/>
      <c r="H1678" t="inlineStr">
        <is>
          <t>20459 Hamburg-Mitte - Hamburg Neustadt</t>
        </is>
      </c>
      <c r="I1678" s="5" t="n">
        <v>45508</v>
      </c>
      <c r="J1678" t="inlineStr">
        <is>
          <t>Sold</t>
        </is>
      </c>
      <c r="K1678" s="6">
        <f>HYPERLINK("https://www.kleinanzeigen.de/s-anzeige/fanatic-sky-sup-foil-board-ltd-106-liter/2828876086-230-9422", "Link")</f>
        <v/>
      </c>
      <c r="L1678" s="6">
        <f>HYPERLINK("C:\Projects\Kleinanzeigen-Scraper\offer_images\2828876086", "Link")</f>
        <v/>
      </c>
      <c r="M1678" t="inlineStr">
        <is>
          <t>Arnulf</t>
        </is>
      </c>
      <c r="N1678" s="6">
        <f>HYPERLINK("https://www.kleinanzeigen.de/s-bestandsliste.html?userId=6028251", "Link")</f>
        <v/>
      </c>
      <c r="O1678" s="7" t="n">
        <v>45549.57498842593</v>
      </c>
      <c r="P1678" s="3" t="inlineStr">
        <is>
          <t>355.64</t>
        </is>
      </c>
      <c r="Q1678" t="inlineStr">
        <is>
          <t>Köln</t>
        </is>
      </c>
    </row>
    <row r="1679">
      <c r="A1679" t="inlineStr"/>
      <c r="B1679" t="inlineStr">
        <is>
          <t>RRD Firestorm V4</t>
        </is>
      </c>
      <c r="C1679" t="inlineStr">
        <is>
          <t>Freeride</t>
        </is>
      </c>
      <c r="D1679" s="3" t="n">
        <v>112</v>
      </c>
      <c r="E1679" t="inlineStr">
        <is>
          <t>2021</t>
        </is>
      </c>
      <c r="F1679" s="4" t="n">
        <v>599</v>
      </c>
      <c r="G1679" t="inlineStr"/>
      <c r="H1679" t="inlineStr">
        <is>
          <t>85521 Kr. München - Ottobrunn</t>
        </is>
      </c>
      <c r="I1679" s="5" t="n">
        <v>45512</v>
      </c>
      <c r="J1679" t="inlineStr"/>
      <c r="K1679" s="6">
        <f>HYPERLINK("https://www.kleinanzeigen.de/s-anzeige/rrd-freeride-112-liter-wood-v4-windsurfboard-hybridboard-foil-/2832383207-230-15597", "Link")</f>
        <v/>
      </c>
      <c r="L1679" s="6">
        <f>HYPERLINK("C:\Projects\Kleinanzeigen-Scraper\offer_images\2832383207", "Link")</f>
        <v/>
      </c>
      <c r="M1679" t="inlineStr">
        <is>
          <t>Peter J.</t>
        </is>
      </c>
      <c r="N1679" s="6">
        <f>HYPERLINK("https://www.kleinanzeigen.de/s-bestandsliste.html?userId=17296412", "Link")</f>
        <v/>
      </c>
      <c r="O1679" s="7" t="n">
        <v>45549.57497685185</v>
      </c>
      <c r="P1679" s="3" t="inlineStr">
        <is>
          <t>11.05</t>
        </is>
      </c>
      <c r="Q1679" t="inlineStr">
        <is>
          <t>München</t>
        </is>
      </c>
    </row>
    <row r="1680">
      <c r="A1680" t="inlineStr"/>
      <c r="B1680" t="inlineStr">
        <is>
          <t>Starboard</t>
        </is>
      </c>
      <c r="C1680" t="inlineStr">
        <is>
          <t>Wave</t>
        </is>
      </c>
      <c r="D1680" s="3" t="n">
        <v>72</v>
      </c>
      <c r="E1680" t="inlineStr"/>
      <c r="F1680" s="4" t="n">
        <v>150</v>
      </c>
      <c r="G1680" t="inlineStr"/>
      <c r="H1680" t="inlineStr">
        <is>
          <t>44143 Dortmund - Mitte</t>
        </is>
      </c>
      <c r="I1680" s="5" t="n">
        <v>45528</v>
      </c>
      <c r="J1680" t="inlineStr"/>
      <c r="K1680" s="6">
        <f>HYPERLINK("https://www.kleinanzeigen.de/s-anzeige/windsurf-board-starboard-wave-72/2844676098-230-1105", "Link")</f>
        <v/>
      </c>
      <c r="L1680" s="6">
        <f>HYPERLINK("C:\Projects\Kleinanzeigen-Scraper\offer_images\2844676098", "Link")</f>
        <v/>
      </c>
      <c r="M1680" t="inlineStr">
        <is>
          <t>Michael W</t>
        </is>
      </c>
      <c r="N1680" s="6">
        <f>HYPERLINK("https://www.kleinanzeigen.de/s-bestandsliste.html?userId=24712585", "Link")</f>
        <v/>
      </c>
      <c r="O1680" s="7" t="n">
        <v>45549.57496527778</v>
      </c>
      <c r="P1680" s="3" t="inlineStr">
        <is>
          <t>75.39</t>
        </is>
      </c>
      <c r="Q1680" t="inlineStr">
        <is>
          <t>Köln</t>
        </is>
      </c>
    </row>
    <row r="1681">
      <c r="A1681" t="inlineStr">
        <is>
          <t>231 x 59.5</t>
        </is>
      </c>
      <c r="B1681" t="inlineStr">
        <is>
          <t>Tabou Pocket Wave</t>
        </is>
      </c>
      <c r="C1681" t="inlineStr">
        <is>
          <t>Wave</t>
        </is>
      </c>
      <c r="D1681" s="3" t="n">
        <v>85</v>
      </c>
      <c r="E1681" t="inlineStr"/>
      <c r="F1681" s="4" t="n">
        <v>400</v>
      </c>
      <c r="G1681" t="inlineStr"/>
      <c r="H1681" t="inlineStr">
        <is>
          <t>10243 Friedrichshain-Kreuzberg - Friedrichshain</t>
        </is>
      </c>
      <c r="I1681" s="5" t="n">
        <v>45522</v>
      </c>
      <c r="J1681" t="inlineStr"/>
      <c r="K1681" s="6">
        <f>HYPERLINK("https://www.kleinanzeigen.de/s-anzeige/tabou-pocket-wave-freewave-85-liter-ltd-100-carbon/2839651410-230-3354", "Link")</f>
        <v/>
      </c>
      <c r="L1681" s="6">
        <f>HYPERLINK("C:\Projects\Kleinanzeigen-Scraper\offer_images\2839651410", "Link")</f>
        <v/>
      </c>
      <c r="M1681" t="inlineStr">
        <is>
          <t>Hr. Setzer</t>
        </is>
      </c>
      <c r="N1681" s="6">
        <f>HYPERLINK("https://www.kleinanzeigen.de/s-bestandsliste.html?userId=10522847", "Link")</f>
        <v/>
      </c>
      <c r="O1681" s="7" t="n">
        <v>45549.57496527778</v>
      </c>
      <c r="P1681" s="3" t="inlineStr">
        <is>
          <t>479.58</t>
        </is>
      </c>
      <c r="Q1681" t="inlineStr">
        <is>
          <t>Köln</t>
        </is>
      </c>
    </row>
    <row r="1682">
      <c r="A1682" t="inlineStr">
        <is>
          <t>79 x 236</t>
        </is>
      </c>
      <c r="B1682" t="inlineStr">
        <is>
          <t>RRD Firemove</t>
        </is>
      </c>
      <c r="C1682" t="inlineStr">
        <is>
          <t>Allrounder</t>
        </is>
      </c>
      <c r="D1682" s="3" t="n">
        <v>120</v>
      </c>
      <c r="E1682" t="inlineStr"/>
      <c r="F1682" s="4" t="n">
        <v>299</v>
      </c>
      <c r="G1682" t="inlineStr"/>
      <c r="H1682" t="inlineStr">
        <is>
          <t>87629 Bayern - Füssen</t>
        </is>
      </c>
      <c r="I1682" s="5" t="n">
        <v>45514</v>
      </c>
      <c r="J1682" t="inlineStr"/>
      <c r="K1682" s="6">
        <f>HYPERLINK("https://www.kleinanzeigen.de/s-anzeige/rrd-firemove-120-liter-mit-finne-und-4-schlaufen/2833857669-230-6564", "Link")</f>
        <v/>
      </c>
      <c r="L1682" s="6">
        <f>HYPERLINK("C:\Projects\Kleinanzeigen-Scraper\offer_images\2833857669", "Link")</f>
        <v/>
      </c>
      <c r="M1682" t="inlineStr">
        <is>
          <t>ANDREAS H.</t>
        </is>
      </c>
      <c r="N1682" s="6">
        <f>HYPERLINK("https://www.kleinanzeigen.de/s-bestandsliste.html?userId=3290643", "Link")</f>
        <v/>
      </c>
      <c r="O1682" s="7" t="n">
        <v>45549.57494212963</v>
      </c>
      <c r="P1682" s="3" t="inlineStr">
        <is>
          <t>92.19</t>
        </is>
      </c>
      <c r="Q1682" t="inlineStr">
        <is>
          <t>München</t>
        </is>
      </c>
    </row>
    <row r="1683">
      <c r="A1683" t="inlineStr">
        <is>
          <t>4'6'' x 25''</t>
        </is>
      </c>
      <c r="B1683" t="inlineStr">
        <is>
          <t>Starboard Wingboard</t>
        </is>
      </c>
      <c r="C1683" t="inlineStr"/>
      <c r="D1683" s="3" t="n">
        <v>69</v>
      </c>
      <c r="E1683" t="inlineStr"/>
      <c r="F1683" s="4" t="n">
        <v>390</v>
      </c>
      <c r="G1683" t="inlineStr">
        <is>
          <t>VB</t>
        </is>
      </c>
      <c r="H1683" t="inlineStr">
        <is>
          <t>24340 Schleswig-Holstein - Eckernförde</t>
        </is>
      </c>
      <c r="I1683" s="5" t="n">
        <v>45534</v>
      </c>
      <c r="J1683" t="inlineStr">
        <is>
          <t>Sold</t>
        </is>
      </c>
      <c r="K1683" s="6">
        <f>HYPERLINK("https://www.kleinanzeigen.de/s-anzeige/starboard-wingboard-4-6-69-liter/2850201679-230-13234", "Link")</f>
        <v/>
      </c>
      <c r="L1683" s="6">
        <f>HYPERLINK("C:\Projects\Kleinanzeigen-Scraper\offer_images\2850201679", "Link")</f>
        <v/>
      </c>
      <c r="M1683" t="inlineStr">
        <is>
          <t>Felix Neuling</t>
        </is>
      </c>
      <c r="N1683" s="6">
        <f>HYPERLINK("https://www.kleinanzeigen.de/s-bestandsliste.html?userId=62388955", "Link")</f>
        <v/>
      </c>
      <c r="O1683" s="7" t="n">
        <v>45549.57491898148</v>
      </c>
      <c r="P1683" s="3" t="inlineStr">
        <is>
          <t>434.69</t>
        </is>
      </c>
      <c r="Q1683" t="inlineStr">
        <is>
          <t>Köln</t>
        </is>
      </c>
    </row>
    <row r="1684">
      <c r="A1684" t="inlineStr">
        <is>
          <t>138 cm</t>
        </is>
      </c>
      <c r="B1684" t="inlineStr">
        <is>
          <t>Naish Monarch</t>
        </is>
      </c>
      <c r="C1684" t="inlineStr">
        <is>
          <t>Kiteboard</t>
        </is>
      </c>
      <c r="D1684" s="3" t="inlineStr"/>
      <c r="E1684" t="inlineStr">
        <is>
          <t>2023</t>
        </is>
      </c>
      <c r="F1684" s="4" t="n">
        <v>399</v>
      </c>
      <c r="G1684" t="inlineStr"/>
      <c r="H1684" t="inlineStr">
        <is>
          <t>22457 Eimsbüttel - Hamburg Schnelsen</t>
        </is>
      </c>
      <c r="I1684" s="5" t="n">
        <v>45554</v>
      </c>
      <c r="J1684" t="inlineStr">
        <is>
          <t>Sold</t>
        </is>
      </c>
      <c r="K1684" s="6">
        <f>HYPERLINK("https://www.kleinanzeigen.de/s-anzeige/naish-monarch-kiteboard-2023-138-neu-kitesurfen-uvp-749-/2742416990-230-9492", "Link")</f>
        <v/>
      </c>
      <c r="L1684" s="6">
        <f>HYPERLINK("C:\Projects\Kleinanzeigen-Scraper\offer_images\2742416990", "Link")</f>
        <v/>
      </c>
      <c r="M1684" t="inlineStr">
        <is>
          <t>No user name</t>
        </is>
      </c>
      <c r="N1684" s="6">
        <f>HYPERLINK("https://www.kleinanzeigen.deNo user link", "Link")</f>
        <v/>
      </c>
      <c r="O1684" s="7" t="n">
        <v>45549.57489583334</v>
      </c>
      <c r="P1684" s="3" t="inlineStr">
        <is>
          <t>362.41</t>
        </is>
      </c>
      <c r="Q1684" t="inlineStr">
        <is>
          <t>Köln</t>
        </is>
      </c>
    </row>
    <row r="1685">
      <c r="A1685" t="inlineStr">
        <is>
          <t>251cm x 83cm</t>
        </is>
      </c>
      <c r="B1685" t="inlineStr">
        <is>
          <t>JP-Australia Magic Ride</t>
        </is>
      </c>
      <c r="C1685" t="inlineStr">
        <is>
          <t>Freeride</t>
        </is>
      </c>
      <c r="D1685" s="3" t="n">
        <v>149</v>
      </c>
      <c r="E1685" t="inlineStr"/>
      <c r="F1685" s="4" t="n">
        <v>660</v>
      </c>
      <c r="G1685" t="inlineStr"/>
      <c r="H1685" t="inlineStr">
        <is>
          <t>87435 Bayern - Kempten</t>
        </is>
      </c>
      <c r="I1685" s="5" t="n">
        <v>45515</v>
      </c>
      <c r="J1685" t="inlineStr"/>
      <c r="K1685" s="6">
        <f>HYPERLINK("https://www.kleinanzeigen.de/s-anzeige/jp-australia-magic-ride-149-es-windsurf-board/2834194149-230-7619", "Link")</f>
        <v/>
      </c>
      <c r="L1685" s="6">
        <f>HYPERLINK("C:\Projects\Kleinanzeigen-Scraper\offer_images\2834194149", "Link")</f>
        <v/>
      </c>
      <c r="M1685" t="inlineStr">
        <is>
          <t>Thomas Stückl</t>
        </is>
      </c>
      <c r="N1685" s="6">
        <f>HYPERLINK("https://www.kleinanzeigen.de/s-bestandsliste.html?userId=17708683", "Link")</f>
        <v/>
      </c>
      <c r="O1685" s="7" t="n">
        <v>45549.57489583334</v>
      </c>
      <c r="P1685" s="3" t="inlineStr">
        <is>
          <t>104.77</t>
        </is>
      </c>
      <c r="Q1685" t="inlineStr">
        <is>
          <t>München</t>
        </is>
      </c>
    </row>
    <row r="1686">
      <c r="A1686" t="inlineStr">
        <is>
          <t>274 cm x 57 cm</t>
        </is>
      </c>
      <c r="B1686" t="inlineStr">
        <is>
          <t>Fanatic BEE</t>
        </is>
      </c>
      <c r="C1686" t="inlineStr"/>
      <c r="D1686" s="3" t="n">
        <v>103</v>
      </c>
      <c r="E1686" t="inlineStr"/>
      <c r="F1686" s="4" t="n">
        <v>40</v>
      </c>
      <c r="G1686" t="inlineStr">
        <is>
          <t>VB</t>
        </is>
      </c>
      <c r="H1686" t="inlineStr">
        <is>
          <t>25373 Kreis Pinneberg - Ellerhoop</t>
        </is>
      </c>
      <c r="I1686" s="5" t="n">
        <v>45514</v>
      </c>
      <c r="J1686" t="inlineStr">
        <is>
          <t>Sold</t>
        </is>
      </c>
      <c r="K1686" s="6">
        <f>HYPERLINK("https://www.kleinanzeigen.de/s-anzeige/surfbrett-fanatic-bee/2833869229-230-882", "Link")</f>
        <v/>
      </c>
      <c r="L1686" s="6">
        <f>HYPERLINK("C:\Projects\Kleinanzeigen-Scraper\offer_images\2833869229", "Link")</f>
        <v/>
      </c>
      <c r="M1686" t="inlineStr">
        <is>
          <t>Tobias Bergmann</t>
        </is>
      </c>
      <c r="N1686" s="6">
        <f>HYPERLINK("https://www.kleinanzeigen.de/s-bestandsliste.html?userId=57788850", "Link")</f>
        <v/>
      </c>
      <c r="O1686" s="7" t="n">
        <v>45549.57489583334</v>
      </c>
      <c r="P1686" s="3" t="inlineStr">
        <is>
          <t>364.39</t>
        </is>
      </c>
      <c r="Q1686" t="inlineStr">
        <is>
          <t>Köln</t>
        </is>
      </c>
    </row>
    <row r="1687">
      <c r="A1687" t="inlineStr">
        <is>
          <t>239 x 73</t>
        </is>
      </c>
      <c r="B1687" t="inlineStr">
        <is>
          <t>Fanatic Ripper</t>
        </is>
      </c>
      <c r="C1687" t="inlineStr">
        <is>
          <t>Beginner</t>
        </is>
      </c>
      <c r="D1687" s="3" t="n">
        <v>112</v>
      </c>
      <c r="E1687" t="inlineStr"/>
      <c r="F1687" s="4" t="n">
        <v>650</v>
      </c>
      <c r="G1687" t="inlineStr"/>
      <c r="H1687" t="inlineStr">
        <is>
          <t>64832 Hessen - Babenhausen</t>
        </is>
      </c>
      <c r="I1687" s="5" t="n">
        <v>45505</v>
      </c>
      <c r="J1687" t="inlineStr">
        <is>
          <t>Sold</t>
        </is>
      </c>
      <c r="K1687" s="6">
        <f>HYPERLINK("https://www.kleinanzeigen.de/s-anzeige/fanatic-ripper-windsurf-board/2826586148-230-4871", "Link")</f>
        <v/>
      </c>
      <c r="L1687" s="6">
        <f>HYPERLINK("C:\Projects\Kleinanzeigen-Scraper\offer_images\2826586148", "Link")</f>
        <v/>
      </c>
      <c r="M1687" t="inlineStr">
        <is>
          <t>Vera</t>
        </is>
      </c>
      <c r="N1687" s="6">
        <f>HYPERLINK("https://www.kleinanzeigen.de/s-bestandsliste.html?userId=28428274", "Link")</f>
        <v/>
      </c>
      <c r="O1687" s="7" t="n">
        <v>45549.57489583334</v>
      </c>
      <c r="P1687" s="3" t="inlineStr">
        <is>
          <t>112.42</t>
        </is>
      </c>
      <c r="Q1687" t="inlineStr">
        <is>
          <t>Karlsruhe</t>
        </is>
      </c>
    </row>
    <row r="1688">
      <c r="A1688" t="inlineStr"/>
      <c r="B1688" t="inlineStr">
        <is>
          <t>Tabou 3S LTD</t>
        </is>
      </c>
      <c r="C1688" t="inlineStr">
        <is>
          <t>Freeride</t>
        </is>
      </c>
      <c r="D1688" s="3" t="n">
        <v>107</v>
      </c>
      <c r="E1688" t="inlineStr"/>
      <c r="F1688" s="4" t="n">
        <v>220</v>
      </c>
      <c r="G1688" t="inlineStr"/>
      <c r="H1688" t="inlineStr">
        <is>
          <t>40670 Nordrhein-Westfalen - Meerbusch</t>
        </is>
      </c>
      <c r="I1688" s="5" t="n">
        <v>45547</v>
      </c>
      <c r="J1688" t="inlineStr">
        <is>
          <t>Sold</t>
        </is>
      </c>
      <c r="K1688" s="6">
        <f>HYPERLINK("https://www.kleinanzeigen.de/s-anzeige/tabou-3s-ltd-windsurfer-107-ca-10x-gefahren/2861589598-230-1898", "Link")</f>
        <v/>
      </c>
      <c r="L1688" s="6">
        <f>HYPERLINK("C:\Projects\Kleinanzeigen-Scraper\offer_images\2861589598", "Link")</f>
        <v/>
      </c>
      <c r="M1688" t="inlineStr">
        <is>
          <t>Andreas</t>
        </is>
      </c>
      <c r="N1688" s="6">
        <f>HYPERLINK("https://www.kleinanzeigen.de/s-bestandsliste.html?userId=78741798", "Link")</f>
        <v/>
      </c>
      <c r="O1688" s="7" t="n">
        <v>45549.57487268518</v>
      </c>
      <c r="P1688" s="3" t="inlineStr">
        <is>
          <t>43.54</t>
        </is>
      </c>
      <c r="Q1688" t="inlineStr">
        <is>
          <t>Köln</t>
        </is>
      </c>
    </row>
    <row r="1689">
      <c r="A1689" t="inlineStr">
        <is>
          <t>5'6</t>
        </is>
      </c>
      <c r="B1689" t="inlineStr">
        <is>
          <t>Naish To-Go</t>
        </is>
      </c>
      <c r="C1689" t="inlineStr"/>
      <c r="D1689" s="3" t="inlineStr"/>
      <c r="E1689" t="inlineStr"/>
      <c r="F1689" s="4" t="n">
        <v>220</v>
      </c>
      <c r="G1689" t="inlineStr"/>
      <c r="H1689" t="inlineStr">
        <is>
          <t>40789 Nordrhein-Westfalen - Monheim am Rhein</t>
        </is>
      </c>
      <c r="I1689" s="5" t="n">
        <v>45543</v>
      </c>
      <c r="J1689" t="inlineStr">
        <is>
          <t>Sold</t>
        </is>
      </c>
      <c r="K1689" s="6">
        <f>HYPERLINK("https://www.kleinanzeigen.de/s-anzeige/kite-surfboard-5-6-naish-to-go-inkl-schlaufe-und-pad/2857649977-230-1116", "Link")</f>
        <v/>
      </c>
      <c r="L1689" s="6">
        <f>HYPERLINK("C:\Projects\Kleinanzeigen-Scraper\offer_images\2857649977", "Link")</f>
        <v/>
      </c>
      <c r="M1689" t="inlineStr">
        <is>
          <t>Anne Langenfeld</t>
        </is>
      </c>
      <c r="N1689" s="6">
        <f>HYPERLINK("https://www.kleinanzeigen.de/s-bestandsliste.html?userId=34911340", "Link")</f>
        <v/>
      </c>
      <c r="O1689" s="7" t="n">
        <v>45549.57487268518</v>
      </c>
      <c r="P1689" s="3" t="inlineStr">
        <is>
          <t>18.00</t>
        </is>
      </c>
      <c r="Q1689" t="inlineStr">
        <is>
          <t>Köln</t>
        </is>
      </c>
    </row>
    <row r="1690">
      <c r="A1690" t="inlineStr">
        <is>
          <t>223x60 cm</t>
        </is>
      </c>
      <c r="B1690" t="inlineStr">
        <is>
          <t>RRD Wave Cult V7 Wood</t>
        </is>
      </c>
      <c r="C1690" t="inlineStr">
        <is>
          <t>Freestyle Wave</t>
        </is>
      </c>
      <c r="D1690" s="3" t="n">
        <v>92</v>
      </c>
      <c r="E1690" t="inlineStr"/>
      <c r="F1690" s="4" t="n">
        <v>580</v>
      </c>
      <c r="G1690" t="inlineStr">
        <is>
          <t>VB</t>
        </is>
      </c>
      <c r="H1690" t="inlineStr">
        <is>
          <t>13127 Pankow - Französisch Buchholz</t>
        </is>
      </c>
      <c r="I1690" s="5" t="n">
        <v>45514</v>
      </c>
      <c r="J1690" t="inlineStr"/>
      <c r="K1690" s="6">
        <f>HYPERLINK("https://www.kleinanzeigen.de/s-anzeige/rrd-wave-cult-v7-wood/2833911890-230-26775", "Link")</f>
        <v/>
      </c>
      <c r="L1690" s="6">
        <f>HYPERLINK("C:\Projects\Kleinanzeigen-Scraper\offer_images\2833911890", "Link")</f>
        <v/>
      </c>
      <c r="M1690" t="inlineStr">
        <is>
          <t>Christoph Hofmann</t>
        </is>
      </c>
      <c r="N1690" s="6">
        <f>HYPERLINK("https://www.kleinanzeigen.de/s-bestandsliste.html?userId=32357864", "Link")</f>
        <v/>
      </c>
      <c r="O1690" s="7" t="n">
        <v>45549.57487268518</v>
      </c>
      <c r="P1690" s="3" t="inlineStr">
        <is>
          <t>482.48</t>
        </is>
      </c>
      <c r="Q1690" t="inlineStr">
        <is>
          <t>Köln</t>
        </is>
      </c>
    </row>
    <row r="1691">
      <c r="A1691" t="inlineStr">
        <is>
          <t>88 cm</t>
        </is>
      </c>
      <c r="B1691" t="inlineStr">
        <is>
          <t>JP-Australia Hydrofoil Slalom</t>
        </is>
      </c>
      <c r="C1691" t="inlineStr">
        <is>
          <t>Slalom</t>
        </is>
      </c>
      <c r="D1691" s="3" t="inlineStr"/>
      <c r="E1691" t="inlineStr"/>
      <c r="F1691" s="4" t="n">
        <v>650</v>
      </c>
      <c r="G1691" t="inlineStr">
        <is>
          <t>VB</t>
        </is>
      </c>
      <c r="H1691" t="inlineStr">
        <is>
          <t>24105 Schleswig-Holstein - Kiel</t>
        </is>
      </c>
      <c r="I1691" s="5" t="n">
        <v>45492</v>
      </c>
      <c r="J1691" t="inlineStr"/>
      <c r="K1691" s="6">
        <f>HYPERLINK("https://www.kleinanzeigen.de/s-anzeige/jp-australia-hydrofoil-slalom-88/2815871512-230-708", "Link")</f>
        <v/>
      </c>
      <c r="L1691" s="6">
        <f>HYPERLINK("C:\Projects\Kleinanzeigen-Scraper\offer_images\2815871512", "Link")</f>
        <v/>
      </c>
      <c r="M1691" t="inlineStr">
        <is>
          <t>Leo Richter</t>
        </is>
      </c>
      <c r="N1691" s="6">
        <f>HYPERLINK("https://www.kleinanzeigen.de/s-bestandsliste.html?userId=56454387", "Link")</f>
        <v/>
      </c>
      <c r="O1691" s="7" t="n">
        <v>45549.57487268518</v>
      </c>
      <c r="P1691" s="3" t="inlineStr">
        <is>
          <t>435.05</t>
        </is>
      </c>
      <c r="Q1691" t="inlineStr">
        <is>
          <t>Köln</t>
        </is>
      </c>
    </row>
    <row r="1692">
      <c r="A1692" t="inlineStr">
        <is>
          <t>224 x 61</t>
        </is>
      </c>
      <c r="B1692" t="inlineStr">
        <is>
          <t>TABOU 3S LTD</t>
        </is>
      </c>
      <c r="C1692" t="inlineStr">
        <is>
          <t>Freestyle</t>
        </is>
      </c>
      <c r="D1692" s="3" t="n">
        <v>96</v>
      </c>
      <c r="E1692" t="inlineStr"/>
      <c r="F1692" s="4" t="n">
        <v>800</v>
      </c>
      <c r="G1692" t="inlineStr">
        <is>
          <t>VB</t>
        </is>
      </c>
      <c r="H1692" t="inlineStr">
        <is>
          <t>24960 Schleswig-Holstein - Munkbrarup</t>
        </is>
      </c>
      <c r="I1692" s="5" t="n">
        <v>45506</v>
      </c>
      <c r="J1692" t="inlineStr"/>
      <c r="K1692" s="6">
        <f>HYPERLINK("https://www.kleinanzeigen.de/s-anzeige/surfboard-tabou-3s-ltd-96l-top/2827540191-230-727", "Link")</f>
        <v/>
      </c>
      <c r="L1692" s="6">
        <f>HYPERLINK("C:\Projects\Kleinanzeigen-Scraper\offer_images\2827540191", "Link")</f>
        <v/>
      </c>
      <c r="M1692" t="inlineStr">
        <is>
          <t>Riew</t>
        </is>
      </c>
      <c r="N1692" s="6">
        <f>HYPERLINK("https://www.kleinanzeigen.de/s-bestandsliste.html?userId=9901749", "Link")</f>
        <v/>
      </c>
      <c r="O1692" s="7" t="n">
        <v>45549.57487268518</v>
      </c>
      <c r="P1692" s="3" t="inlineStr">
        <is>
          <t>467.53</t>
        </is>
      </c>
      <c r="Q1692" t="inlineStr">
        <is>
          <t>Köln</t>
        </is>
      </c>
    </row>
    <row r="1693">
      <c r="A1693" t="inlineStr"/>
      <c r="B1693" t="inlineStr">
        <is>
          <t>Fanatic Mega</t>
        </is>
      </c>
      <c r="C1693" t="inlineStr"/>
      <c r="D1693" s="3" t="inlineStr"/>
      <c r="E1693" t="inlineStr"/>
      <c r="F1693" s="4" t="n">
        <v>25</v>
      </c>
      <c r="G1693" t="inlineStr">
        <is>
          <t>VB</t>
        </is>
      </c>
      <c r="H1693" t="inlineStr">
        <is>
          <t>70499 Stuttgart - Weilimdorf</t>
        </is>
      </c>
      <c r="I1693" s="5" t="n">
        <v>45529</v>
      </c>
      <c r="J1693" t="inlineStr">
        <is>
          <t>Sold</t>
        </is>
      </c>
      <c r="K1693" s="6">
        <f>HYPERLINK("https://www.kleinanzeigen.de/s-anzeige/fanatic-mega-surfboard/2845542946-230-9592", "Link")</f>
        <v/>
      </c>
      <c r="L1693" s="6">
        <f>HYPERLINK("C:\Projects\Kleinanzeigen-Scraper\offer_images\2845542946", "Link")</f>
        <v/>
      </c>
      <c r="M1693" t="inlineStr">
        <is>
          <t>Beutter</t>
        </is>
      </c>
      <c r="N1693" s="6">
        <f>HYPERLINK("https://www.kleinanzeigen.de/s-bestandsliste.html?userId=21220566", "Link")</f>
        <v/>
      </c>
      <c r="O1693" s="7" t="n">
        <v>45549.57487268518</v>
      </c>
      <c r="P1693" s="3" t="inlineStr">
        <is>
          <t>17.84</t>
        </is>
      </c>
      <c r="Q1693" t="inlineStr">
        <is>
          <t>Böblingen</t>
        </is>
      </c>
    </row>
    <row r="1694">
      <c r="A1694" t="inlineStr">
        <is>
          <t>135/41</t>
        </is>
      </c>
      <c r="B1694" t="inlineStr">
        <is>
          <t>RRD</t>
        </is>
      </c>
      <c r="C1694" t="inlineStr"/>
      <c r="D1694" s="3" t="inlineStr"/>
      <c r="E1694" t="inlineStr"/>
      <c r="F1694" s="4" t="n">
        <v>145</v>
      </c>
      <c r="G1694" t="inlineStr">
        <is>
          <t>VB</t>
        </is>
      </c>
      <c r="H1694" t="inlineStr">
        <is>
          <t>28790 Niedersachsen - Schwanewede</t>
        </is>
      </c>
      <c r="I1694" s="5" t="n">
        <v>45518</v>
      </c>
      <c r="J1694" t="inlineStr">
        <is>
          <t>Sold</t>
        </is>
      </c>
      <c r="K1694" s="6">
        <f>HYPERLINK("https://www.kleinanzeigen.de/s-anzeige/kiteboard-von-rrd-in-135-41/2836777095-230-2737", "Link")</f>
        <v/>
      </c>
      <c r="L1694" s="6">
        <f>HYPERLINK("C:\Projects\Kleinanzeigen-Scraper\offer_images\2836777095", "Link")</f>
        <v/>
      </c>
      <c r="M1694" t="inlineStr">
        <is>
          <t>Helge Bergens</t>
        </is>
      </c>
      <c r="N1694" s="6">
        <f>HYPERLINK("https://www.kleinanzeigen.de/s-bestandsliste.html?userId=27829431", "Link")</f>
        <v/>
      </c>
      <c r="O1694" s="7" t="n">
        <v>45549.57486111111</v>
      </c>
      <c r="P1694" s="3" t="inlineStr">
        <is>
          <t>279.27</t>
        </is>
      </c>
      <c r="Q1694" t="inlineStr">
        <is>
          <t>Köln</t>
        </is>
      </c>
    </row>
    <row r="1695">
      <c r="A1695" t="inlineStr">
        <is>
          <t>6'10"</t>
        </is>
      </c>
      <c r="B1695" t="inlineStr">
        <is>
          <t>McKee Fanatic Bamboo Edition Fun Egg</t>
        </is>
      </c>
      <c r="C1695" t="inlineStr">
        <is>
          <t>Wave</t>
        </is>
      </c>
      <c r="D1695" s="3" t="inlineStr"/>
      <c r="E1695" t="inlineStr"/>
      <c r="F1695" s="4" t="n">
        <v>270</v>
      </c>
      <c r="G1695" t="inlineStr">
        <is>
          <t>VB</t>
        </is>
      </c>
      <c r="H1695" t="inlineStr">
        <is>
          <t>24944 Flensburg - Mürwik</t>
        </is>
      </c>
      <c r="I1695" s="5" t="n">
        <v>45543</v>
      </c>
      <c r="J1695" t="inlineStr">
        <is>
          <t>Sold</t>
        </is>
      </c>
      <c r="K1695" s="6">
        <f>HYPERLINK("https://www.kleinanzeigen.de/s-anzeige/mckee-fanatic-bamboo-edition-fun-egg-6-10-/2857206734-230-27480", "Link")</f>
        <v/>
      </c>
      <c r="L1695" s="6">
        <f>HYPERLINK("C:\Projects\Kleinanzeigen-Scraper\offer_images\2857206734", "Link")</f>
        <v/>
      </c>
      <c r="M1695" t="inlineStr">
        <is>
          <t>Gunnar</t>
        </is>
      </c>
      <c r="N1695" s="6">
        <f>HYPERLINK("https://www.kleinanzeigen.de/s-bestandsliste.html?userId=16993853", "Link")</f>
        <v/>
      </c>
      <c r="O1695" s="7" t="n">
        <v>45549.57484953704</v>
      </c>
      <c r="P1695" s="3" t="inlineStr">
        <is>
          <t>462.42</t>
        </is>
      </c>
      <c r="Q1695" t="inlineStr">
        <is>
          <t>Köln</t>
        </is>
      </c>
    </row>
    <row r="1696">
      <c r="A1696" t="inlineStr">
        <is>
          <t>260x75x10</t>
        </is>
      </c>
      <c r="B1696" t="inlineStr">
        <is>
          <t>RRD Funstyle</t>
        </is>
      </c>
      <c r="C1696" t="inlineStr">
        <is>
          <t>Freestyle</t>
        </is>
      </c>
      <c r="D1696" s="3" t="inlineStr"/>
      <c r="E1696" t="inlineStr"/>
      <c r="F1696" s="4" t="n">
        <v>250</v>
      </c>
      <c r="G1696" t="inlineStr">
        <is>
          <t>VB</t>
        </is>
      </c>
      <c r="H1696" t="inlineStr">
        <is>
          <t>70439 Stuttgart - Stammheim</t>
        </is>
      </c>
      <c r="I1696" s="5" t="n">
        <v>45452</v>
      </c>
      <c r="J1696" t="inlineStr"/>
      <c r="K1696" s="6">
        <f>HYPERLINK("https://www.kleinanzeigen.de/s-anzeige/surfboard-rrd-funstyle-gr-l-roberto-ricci-design/2783834489-230-9308", "Link")</f>
        <v/>
      </c>
      <c r="L1696" s="6">
        <f>HYPERLINK("C:\Projects\Kleinanzeigen-Scraper\offer_images\2783834489", "Link")</f>
        <v/>
      </c>
      <c r="M1696" t="inlineStr">
        <is>
          <t>Bettina Heinzel</t>
        </is>
      </c>
      <c r="N1696" s="6">
        <f>HYPERLINK("https://www.kleinanzeigen.de/s-bestandsliste.html?userId=130858534", "Link")</f>
        <v/>
      </c>
      <c r="O1696" s="7" t="n">
        <v>45549.57483796297</v>
      </c>
      <c r="P1696" s="3" t="inlineStr">
        <is>
          <t>23.06</t>
        </is>
      </c>
      <c r="Q1696" t="inlineStr">
        <is>
          <t>Böblingen</t>
        </is>
      </c>
    </row>
    <row r="1697">
      <c r="A1697" t="inlineStr">
        <is>
          <t>95</t>
        </is>
      </c>
      <c r="B1697" t="inlineStr">
        <is>
          <t>Duotone Freewave SLS</t>
        </is>
      </c>
      <c r="C1697" t="inlineStr">
        <is>
          <t>Freestyle</t>
        </is>
      </c>
      <c r="D1697" s="3" t="n">
        <v>94</v>
      </c>
      <c r="E1697" t="inlineStr">
        <is>
          <t>2024</t>
        </is>
      </c>
      <c r="F1697" s="4" t="n">
        <v>1.25</v>
      </c>
      <c r="G1697" t="inlineStr">
        <is>
          <t>VB</t>
        </is>
      </c>
      <c r="H1697" t="inlineStr">
        <is>
          <t>83395 Bayern - Freilassing</t>
        </is>
      </c>
      <c r="I1697" s="5" t="n">
        <v>45551</v>
      </c>
      <c r="J1697" t="inlineStr">
        <is>
          <t>Sold</t>
        </is>
      </c>
      <c r="K1697" s="6">
        <f>HYPERLINK("https://www.kleinanzeigen.de/s-anzeige/duotone-freewave-sls-95-2024/2858570385-230-6273", "Link")</f>
        <v/>
      </c>
      <c r="L1697" s="6">
        <f>HYPERLINK("C:\Projects\Kleinanzeigen-Scraper\offer_images\2858570385", "Link")</f>
        <v/>
      </c>
      <c r="M1697" t="inlineStr">
        <is>
          <t>Christian Hübler</t>
        </is>
      </c>
      <c r="N1697" s="6">
        <f>HYPERLINK("https://www.kleinanzeigen.de/s-bestandsliste.html?userId=54098080", "Link")</f>
        <v/>
      </c>
      <c r="O1697" s="7" t="n">
        <v>45549.57482638889</v>
      </c>
      <c r="P1697" s="3" t="inlineStr">
        <is>
          <t>108.85</t>
        </is>
      </c>
      <c r="Q1697" t="inlineStr">
        <is>
          <t>München</t>
        </is>
      </c>
    </row>
    <row r="1698">
      <c r="A1698" t="inlineStr"/>
      <c r="B1698" t="inlineStr">
        <is>
          <t>JP Australia</t>
        </is>
      </c>
      <c r="C1698" t="inlineStr">
        <is>
          <t>Wave</t>
        </is>
      </c>
      <c r="D1698" s="3" t="n">
        <v>75</v>
      </c>
      <c r="E1698" t="inlineStr">
        <is>
          <t>2023</t>
        </is>
      </c>
      <c r="F1698" s="4" t="n">
        <v>650</v>
      </c>
      <c r="G1698" t="inlineStr">
        <is>
          <t>VB</t>
        </is>
      </c>
      <c r="H1698" t="inlineStr">
        <is>
          <t>24105 Schleswig-Holstein - Kiel</t>
        </is>
      </c>
      <c r="I1698" s="5" t="n">
        <v>45521</v>
      </c>
      <c r="J1698" t="inlineStr"/>
      <c r="K1698" s="6">
        <f>HYPERLINK("https://www.kleinanzeigen.de/s-anzeige/neilpryde-jp-australia-ultimate-wave-2023-75l-waveboard/2838779271-230-708", "Link")</f>
        <v/>
      </c>
      <c r="L1698" s="6">
        <f>HYPERLINK("C:\Projects\Kleinanzeigen-Scraper\offer_images\2838779271", "Link")</f>
        <v/>
      </c>
      <c r="M1698" t="inlineStr">
        <is>
          <t>Leo Richter</t>
        </is>
      </c>
      <c r="N1698" s="6">
        <f>HYPERLINK("https://www.kleinanzeigen.de/s-bestandsliste.html?userId=56454387", "Link")</f>
        <v/>
      </c>
      <c r="O1698" s="7" t="n">
        <v>45549.57481481481</v>
      </c>
      <c r="P1698" s="3" t="inlineStr">
        <is>
          <t>435.05</t>
        </is>
      </c>
      <c r="Q1698" t="inlineStr">
        <is>
          <t>Köln</t>
        </is>
      </c>
    </row>
    <row r="1699">
      <c r="A1699" t="inlineStr">
        <is>
          <t>L: 223 cm, W: 54 cm</t>
        </is>
      </c>
      <c r="B1699" t="inlineStr">
        <is>
          <t>Naish</t>
        </is>
      </c>
      <c r="C1699" t="inlineStr"/>
      <c r="D1699" s="3" t="n">
        <v>72</v>
      </c>
      <c r="E1699" t="inlineStr"/>
      <c r="F1699" s="4" t="n">
        <v>30</v>
      </c>
      <c r="G1699" t="inlineStr"/>
      <c r="H1699" t="inlineStr">
        <is>
          <t>24114 Schleswig-Holstein - Kiel</t>
        </is>
      </c>
      <c r="I1699" s="5" t="n">
        <v>45479</v>
      </c>
      <c r="J1699" t="inlineStr">
        <is>
          <t>Sold</t>
        </is>
      </c>
      <c r="K1699" s="6">
        <f>HYPERLINK("https://www.kleinanzeigen.de/s-anzeige/naish-72l-surfboard/2805331728-230-697", "Link")</f>
        <v/>
      </c>
      <c r="L1699" s="6">
        <f>HYPERLINK("C:\Projects\Kleinanzeigen-Scraper\offer_images\2805331728", "Link")</f>
        <v/>
      </c>
      <c r="M1699" t="inlineStr">
        <is>
          <t>Ruhberg</t>
        </is>
      </c>
      <c r="N1699" s="6">
        <f>HYPERLINK("https://www.kleinanzeigen.de/s-bestandsliste.html?userId=23753355", "Link")</f>
        <v/>
      </c>
      <c r="O1699" s="7" t="n">
        <v>45549.57481481481</v>
      </c>
      <c r="P1699" s="3" t="inlineStr">
        <is>
          <t>431.59</t>
        </is>
      </c>
      <c r="Q1699" t="inlineStr">
        <is>
          <t>Köln</t>
        </is>
      </c>
    </row>
    <row r="1700">
      <c r="A1700" t="inlineStr">
        <is>
          <t>180x76 cm</t>
        </is>
      </c>
      <c r="B1700" t="inlineStr">
        <is>
          <t>RRD Pocket Rocket</t>
        </is>
      </c>
      <c r="C1700" t="inlineStr">
        <is>
          <t>Foilboard</t>
        </is>
      </c>
      <c r="D1700" s="3" t="n">
        <v>122</v>
      </c>
      <c r="E1700" t="inlineStr"/>
      <c r="F1700" s="4" t="n">
        <v>575</v>
      </c>
      <c r="G1700" t="inlineStr">
        <is>
          <t>VB</t>
        </is>
      </c>
      <c r="H1700" t="inlineStr">
        <is>
          <t>25746 Dithmarschen - Heide</t>
        </is>
      </c>
      <c r="I1700" s="5" t="n">
        <v>45448</v>
      </c>
      <c r="J1700" t="inlineStr">
        <is>
          <t>Sold</t>
        </is>
      </c>
      <c r="K1700" s="6">
        <f>HYPERLINK("https://www.kleinanzeigen.de/s-anzeige/rrd-pocket-rocket-hybrid-122l-foilboard-wing-und-windfoil/2780861344-230-855", "Link")</f>
        <v/>
      </c>
      <c r="L1700" s="6">
        <f>HYPERLINK("C:\Projects\Kleinanzeigen-Scraper\offer_images\2780861344", "Link")</f>
        <v/>
      </c>
      <c r="M1700" t="inlineStr">
        <is>
          <t>Birte</t>
        </is>
      </c>
      <c r="N1700" s="6">
        <f>HYPERLINK("https://www.kleinanzeigen.de/s-bestandsliste.html?userId=30784336", "Link")</f>
        <v/>
      </c>
      <c r="O1700" s="7" t="n">
        <v>45549.57481481481</v>
      </c>
      <c r="P1700" s="3" t="inlineStr">
        <is>
          <t>389.26</t>
        </is>
      </c>
      <c r="Q1700" t="inlineStr">
        <is>
          <t>Köln</t>
        </is>
      </c>
    </row>
    <row r="1701">
      <c r="A1701" t="inlineStr">
        <is>
          <t>237 x 58</t>
        </is>
      </c>
      <c r="B1701" t="inlineStr">
        <is>
          <t>Tabou 3S</t>
        </is>
      </c>
      <c r="C1701" t="inlineStr">
        <is>
          <t>Freestyle</t>
        </is>
      </c>
      <c r="D1701" s="3" t="n">
        <v>87</v>
      </c>
      <c r="E1701" t="inlineStr"/>
      <c r="F1701" s="4" t="n">
        <v>300</v>
      </c>
      <c r="G1701" t="inlineStr"/>
      <c r="H1701" t="inlineStr">
        <is>
          <t>86825 Bayern - Bad Wörishofen</t>
        </is>
      </c>
      <c r="I1701" s="5" t="n">
        <v>45248</v>
      </c>
      <c r="J1701" t="inlineStr"/>
      <c r="K1701" s="6">
        <f>HYPERLINK("https://www.kleinanzeigen.de/s-anzeige/tabou-3s-87l/2606229265-230-7257", "Link")</f>
        <v/>
      </c>
      <c r="L1701" s="6">
        <f>HYPERLINK("C:\Projects\Kleinanzeigen-Scraper\offer_images\2606229265", "Link")</f>
        <v/>
      </c>
      <c r="M1701" t="inlineStr">
        <is>
          <t>Familie L</t>
        </is>
      </c>
      <c r="N1701" s="6">
        <f>HYPERLINK("https://www.kleinanzeigen.de/s-bestandsliste.html?userId=13620966", "Link")</f>
        <v/>
      </c>
      <c r="O1701" s="7" t="n">
        <v>45549.57479166667</v>
      </c>
      <c r="P1701" s="3" t="inlineStr">
        <is>
          <t>74.63</t>
        </is>
      </c>
      <c r="Q1701" t="inlineStr">
        <is>
          <t>München</t>
        </is>
      </c>
    </row>
    <row r="1702">
      <c r="A1702" t="inlineStr">
        <is>
          <t>282x56</t>
        </is>
      </c>
      <c r="B1702" t="inlineStr">
        <is>
          <t>Fanatic</t>
        </is>
      </c>
      <c r="C1702" t="inlineStr"/>
      <c r="D1702" s="3" t="n">
        <v>108</v>
      </c>
      <c r="E1702" t="inlineStr"/>
      <c r="F1702" s="4" t="n">
        <v>50</v>
      </c>
      <c r="G1702" t="inlineStr"/>
      <c r="H1702" t="inlineStr">
        <is>
          <t>73650 Baden-Württemberg - Winterbach</t>
        </is>
      </c>
      <c r="I1702" s="5" t="n">
        <v>45503</v>
      </c>
      <c r="J1702" t="inlineStr">
        <is>
          <t>Sold</t>
        </is>
      </c>
      <c r="K1702" s="6">
        <f>HYPERLINK("https://www.kleinanzeigen.de/s-anzeige/fanatic-surfbrett/2825246745-230-8418", "Link")</f>
        <v/>
      </c>
      <c r="L1702" s="6">
        <f>HYPERLINK("C:\Projects\Kleinanzeigen-Scraper\offer_images\2825246745", "Link")</f>
        <v/>
      </c>
      <c r="M1702" t="inlineStr">
        <is>
          <t>Fuchs</t>
        </is>
      </c>
      <c r="N1702" s="6">
        <f>HYPERLINK("https://www.kleinanzeigen.de/s-bestandsliste.html?userId=11890870", "Link")</f>
        <v/>
      </c>
      <c r="O1702" s="7" t="n">
        <v>45549.57479166667</v>
      </c>
      <c r="P1702" s="3" t="inlineStr">
        <is>
          <t>39.28</t>
        </is>
      </c>
      <c r="Q1702" t="inlineStr">
        <is>
          <t>Böblingen</t>
        </is>
      </c>
    </row>
    <row r="1703">
      <c r="A1703" t="inlineStr"/>
      <c r="B1703" t="inlineStr">
        <is>
          <t>Fanatic Cross CX 100</t>
        </is>
      </c>
      <c r="C1703" t="inlineStr"/>
      <c r="D1703" s="3" t="inlineStr"/>
      <c r="E1703" t="inlineStr"/>
      <c r="F1703" s="4" t="n">
        <v>60</v>
      </c>
      <c r="G1703" t="inlineStr">
        <is>
          <t>VB</t>
        </is>
      </c>
      <c r="H1703" t="inlineStr">
        <is>
          <t>25495 Kreis Pinneberg - Kummerfeld</t>
        </is>
      </c>
      <c r="I1703" s="5" t="n">
        <v>45518</v>
      </c>
      <c r="J1703" t="inlineStr">
        <is>
          <t>Sold</t>
        </is>
      </c>
      <c r="K1703" s="6">
        <f>HYPERLINK("https://www.kleinanzeigen.de/s-anzeige/surfboard-fanatic-cross-cx-100/2836502530-230-789", "Link")</f>
        <v/>
      </c>
      <c r="L1703" s="6">
        <f>HYPERLINK("C:\Projects\Kleinanzeigen-Scraper\offer_images\2836502530", "Link")</f>
        <v/>
      </c>
      <c r="M1703" t="inlineStr">
        <is>
          <t>Gert Richter</t>
        </is>
      </c>
      <c r="N1703" s="6">
        <f>HYPERLINK("https://www.kleinanzeigen.de/s-bestandsliste.html?userId=25266665", "Link")</f>
        <v/>
      </c>
      <c r="O1703" s="7" t="n">
        <v>45549.57476851852</v>
      </c>
      <c r="P1703" s="3" t="inlineStr">
        <is>
          <t>362.59</t>
        </is>
      </c>
      <c r="Q1703" t="inlineStr">
        <is>
          <t>Köln</t>
        </is>
      </c>
    </row>
    <row r="1704">
      <c r="A1704" t="inlineStr">
        <is>
          <t>237 cm x 66 cm</t>
        </is>
      </c>
      <c r="B1704" t="inlineStr">
        <is>
          <t>Tabou 3S</t>
        </is>
      </c>
      <c r="C1704" t="inlineStr">
        <is>
          <t>Freeride</t>
        </is>
      </c>
      <c r="D1704" s="3" t="n">
        <v>107</v>
      </c>
      <c r="E1704" t="inlineStr"/>
      <c r="F1704" s="4" t="n">
        <v>150</v>
      </c>
      <c r="G1704" t="inlineStr"/>
      <c r="H1704" t="inlineStr">
        <is>
          <t>71576 Baden-Württemberg - Burgstetten</t>
        </is>
      </c>
      <c r="I1704" s="5" t="n">
        <v>45509</v>
      </c>
      <c r="J1704" t="inlineStr"/>
      <c r="K1704" s="6">
        <f>HYPERLINK("https://www.kleinanzeigen.de/s-anzeige/tabou-3s-in-gutem-zustand/2829492954-230-8358", "Link")</f>
        <v/>
      </c>
      <c r="L1704" s="6">
        <f>HYPERLINK("C:\Projects\Kleinanzeigen-Scraper\offer_images\2829492954", "Link")</f>
        <v/>
      </c>
      <c r="M1704" t="inlineStr">
        <is>
          <t>Markus Ade</t>
        </is>
      </c>
      <c r="N1704" s="6">
        <f>HYPERLINK("https://www.kleinanzeigen.de/s-bestandsliste.html?userId=43466933", "Link")</f>
        <v/>
      </c>
      <c r="O1704" s="7" t="n">
        <v>45549.57476851852</v>
      </c>
      <c r="P1704" s="3" t="inlineStr">
        <is>
          <t>40.21</t>
        </is>
      </c>
      <c r="Q1704" t="inlineStr">
        <is>
          <t>Böblingen</t>
        </is>
      </c>
    </row>
    <row r="1705">
      <c r="A1705" t="inlineStr"/>
      <c r="B1705" t="inlineStr">
        <is>
          <t>RRD WaveCult</t>
        </is>
      </c>
      <c r="C1705" t="inlineStr">
        <is>
          <t>Wave</t>
        </is>
      </c>
      <c r="D1705" s="3" t="n">
        <v>83</v>
      </c>
      <c r="E1705" t="inlineStr"/>
      <c r="F1705" s="4" t="n">
        <v>250</v>
      </c>
      <c r="G1705" t="inlineStr"/>
      <c r="H1705" t="inlineStr">
        <is>
          <t>31241 Niedersachsen - Ilsede</t>
        </is>
      </c>
      <c r="I1705" s="5" t="n">
        <v>45003</v>
      </c>
      <c r="J1705" t="inlineStr"/>
      <c r="K1705" s="6">
        <f>HYPERLINK("https://www.kleinanzeigen.de/s-anzeige/rrd-wavecult-surfboard-surfbrett-83l-limited-edition/2388253918-230-2678", "Link")</f>
        <v/>
      </c>
      <c r="L1705" s="6">
        <f>HYPERLINK("C:\Projects\Kleinanzeigen-Scraper\offer_images\2388253918", "Link")</f>
        <v/>
      </c>
      <c r="M1705" t="inlineStr">
        <is>
          <t>KS</t>
        </is>
      </c>
      <c r="N1705" s="6">
        <f>HYPERLINK("https://www.kleinanzeigen.de/s-bestandsliste.html?userId=11598089", "Link")</f>
        <v/>
      </c>
      <c r="O1705" s="7" t="n">
        <v>45549.57475694444</v>
      </c>
      <c r="P1705" s="3" t="inlineStr">
        <is>
          <t>267.79</t>
        </is>
      </c>
      <c r="Q1705" t="inlineStr">
        <is>
          <t>Köln</t>
        </is>
      </c>
    </row>
    <row r="1706">
      <c r="A1706" t="inlineStr">
        <is>
          <t>94</t>
        </is>
      </c>
      <c r="B1706" t="inlineStr">
        <is>
          <t>RRD Freestylewave</t>
        </is>
      </c>
      <c r="C1706" t="inlineStr">
        <is>
          <t>Freestylewave</t>
        </is>
      </c>
      <c r="D1706" s="3" t="inlineStr"/>
      <c r="E1706" t="inlineStr"/>
      <c r="F1706" s="4" t="n">
        <v>200</v>
      </c>
      <c r="G1706" t="inlineStr">
        <is>
          <t>VB</t>
        </is>
      </c>
      <c r="H1706" t="inlineStr">
        <is>
          <t>44287 Dortmund - Aplerbeck</t>
        </is>
      </c>
      <c r="I1706" s="5" t="n">
        <v>45516</v>
      </c>
      <c r="J1706" t="inlineStr"/>
      <c r="K1706" s="6">
        <f>HYPERLINK("https://www.kleinanzeigen.de/s-anzeige/rrd-freestylewave-94-surfbrett/2835519081-230-1099", "Link")</f>
        <v/>
      </c>
      <c r="L1706" s="6">
        <f>HYPERLINK("C:\Projects\Kleinanzeigen-Scraper\offer_images\2835519081", "Link")</f>
        <v/>
      </c>
      <c r="M1706" t="inlineStr">
        <is>
          <t>Lasse Menning</t>
        </is>
      </c>
      <c r="N1706" s="6">
        <f>HYPERLINK("https://www.kleinanzeigen.de/s-bestandsliste.html?userId=26103156", "Link")</f>
        <v/>
      </c>
      <c r="O1706" s="7" t="n">
        <v>45549.57474537037</v>
      </c>
      <c r="P1706" s="3" t="inlineStr">
        <is>
          <t>74.24</t>
        </is>
      </c>
      <c r="Q1706" t="inlineStr">
        <is>
          <t>Köln</t>
        </is>
      </c>
    </row>
    <row r="1707">
      <c r="A1707" t="inlineStr"/>
      <c r="B1707" t="inlineStr">
        <is>
          <t>JP Australia Ultimate Wave pro edition</t>
        </is>
      </c>
      <c r="C1707" t="inlineStr">
        <is>
          <t>Wave</t>
        </is>
      </c>
      <c r="D1707" s="3" t="n">
        <v>88</v>
      </c>
      <c r="E1707" t="inlineStr"/>
      <c r="F1707" s="4" t="n">
        <v>380</v>
      </c>
      <c r="G1707" t="inlineStr"/>
      <c r="H1707" t="inlineStr">
        <is>
          <t>24114 Schleswig-Holstein - Kiel</t>
        </is>
      </c>
      <c r="I1707" s="5" t="n">
        <v>45525</v>
      </c>
      <c r="J1707" t="inlineStr">
        <is>
          <t>Sold</t>
        </is>
      </c>
      <c r="K1707" s="6">
        <f>HYPERLINK("https://www.kleinanzeigen.de/s-anzeige/jp-australia-ultimate-wave-pro-edition-88l-windsurf-board/2842435213-230-697", "Link")</f>
        <v/>
      </c>
      <c r="L1707" s="6">
        <f>HYPERLINK("C:\Projects\Kleinanzeigen-Scraper\offer_images\2842435213", "Link")</f>
        <v/>
      </c>
      <c r="M1707" t="inlineStr">
        <is>
          <t>Jan B.</t>
        </is>
      </c>
      <c r="N1707" s="6">
        <f>HYPERLINK("https://www.kleinanzeigen.de/s-bestandsliste.html?userId=62021960", "Link")</f>
        <v/>
      </c>
      <c r="O1707" s="7" t="n">
        <v>45549.57474537037</v>
      </c>
      <c r="P1707" s="3" t="inlineStr">
        <is>
          <t>431.59</t>
        </is>
      </c>
      <c r="Q1707" t="inlineStr">
        <is>
          <t>Köln</t>
        </is>
      </c>
    </row>
    <row r="1708">
      <c r="A1708" t="inlineStr">
        <is>
          <t>Dimensions not specified</t>
        </is>
      </c>
      <c r="B1708" t="inlineStr">
        <is>
          <t>Starboard Carve iQ</t>
        </is>
      </c>
      <c r="C1708" t="inlineStr">
        <is>
          <t>Freeride</t>
        </is>
      </c>
      <c r="D1708" s="3" t="n">
        <v>141</v>
      </c>
      <c r="E1708" t="inlineStr">
        <is>
          <t>2018</t>
        </is>
      </c>
      <c r="F1708" s="4" t="n">
        <v>600</v>
      </c>
      <c r="G1708" t="inlineStr"/>
      <c r="H1708" t="inlineStr">
        <is>
          <t>41352 Nordrhein-Westfalen - Korschenbroich</t>
        </is>
      </c>
      <c r="I1708" s="5" t="n">
        <v>45543</v>
      </c>
      <c r="J1708" t="inlineStr"/>
      <c r="K1708" s="6">
        <f>HYPERLINK("https://www.kleinanzeigen.de/s-anzeige/starboard-carve-iq-141l-2018/2857859882-230-1188", "Link")</f>
        <v/>
      </c>
      <c r="L1708" s="6">
        <f>HYPERLINK("C:\Projects\Kleinanzeigen-Scraper\offer_images\2857859882", "Link")</f>
        <v/>
      </c>
      <c r="M1708" t="inlineStr">
        <is>
          <t>Kevin H</t>
        </is>
      </c>
      <c r="N1708" s="6">
        <f>HYPERLINK("https://www.kleinanzeigen.de/s-bestandsliste.html?userId=31877153", "Link")</f>
        <v/>
      </c>
      <c r="O1708" s="7" t="n">
        <v>45549.57472222222</v>
      </c>
      <c r="P1708" s="3" t="inlineStr">
        <is>
          <t>40.41</t>
        </is>
      </c>
      <c r="Q1708" t="inlineStr">
        <is>
          <t>Köln</t>
        </is>
      </c>
    </row>
    <row r="1709">
      <c r="A1709" t="inlineStr">
        <is>
          <t>340 cm</t>
        </is>
      </c>
      <c r="B1709" t="inlineStr">
        <is>
          <t>Fanatic Race 340</t>
        </is>
      </c>
      <c r="C1709" t="inlineStr">
        <is>
          <t>Race</t>
        </is>
      </c>
      <c r="D1709" s="3" t="inlineStr"/>
      <c r="E1709" t="inlineStr"/>
      <c r="F1709" s="4" t="n">
        <v>42</v>
      </c>
      <c r="G1709" t="inlineStr">
        <is>
          <t>VB</t>
        </is>
      </c>
      <c r="H1709" t="inlineStr">
        <is>
          <t>76351 Baden-Württemberg - Linkenheim-Hochstetten</t>
        </is>
      </c>
      <c r="I1709" s="5" t="n">
        <v>45523</v>
      </c>
      <c r="J1709" t="inlineStr">
        <is>
          <t>Sold</t>
        </is>
      </c>
      <c r="K1709" s="6">
        <f>HYPERLINK("https://www.kleinanzeigen.de/s-anzeige/windsurfbrett-fanatic-race-340/2840701084-230-8826", "Link")</f>
        <v/>
      </c>
      <c r="L1709" s="6">
        <f>HYPERLINK("C:\Projects\Kleinanzeigen-Scraper\offer_images\2840701084", "Link")</f>
        <v/>
      </c>
      <c r="M1709" t="inlineStr">
        <is>
          <t>Alex Hansmann</t>
        </is>
      </c>
      <c r="N1709" s="6">
        <f>HYPERLINK("https://www.kleinanzeigen.de/s-bestandsliste.html?userId=28616506", "Link")</f>
        <v/>
      </c>
      <c r="O1709" s="7" t="n">
        <v>45549.57472222222</v>
      </c>
      <c r="P1709" s="3" t="inlineStr">
        <is>
          <t>13.78</t>
        </is>
      </c>
      <c r="Q1709" t="inlineStr">
        <is>
          <t>Karlsruhe</t>
        </is>
      </c>
    </row>
    <row r="1710">
      <c r="A1710" t="inlineStr">
        <is>
          <t>225 x 63</t>
        </is>
      </c>
      <c r="B1710" t="inlineStr">
        <is>
          <t>STARBOARD iSONIC 63 Carbon Reflex</t>
        </is>
      </c>
      <c r="C1710" t="inlineStr">
        <is>
          <t>Slalom</t>
        </is>
      </c>
      <c r="D1710" s="3" t="n">
        <v>97</v>
      </c>
      <c r="E1710" t="inlineStr">
        <is>
          <t>2023</t>
        </is>
      </c>
      <c r="F1710" s="4" t="n">
        <v>1.75</v>
      </c>
      <c r="G1710" t="inlineStr"/>
      <c r="H1710" t="inlineStr">
        <is>
          <t>76275 Baden-Württemberg - Ettlingen</t>
        </is>
      </c>
      <c r="I1710" s="5" t="n">
        <v>45535</v>
      </c>
      <c r="J1710" t="inlineStr"/>
      <c r="K1710" s="6">
        <f>HYPERLINK("https://www.kleinanzeigen.de/s-anzeige/starboard-isonic-63-carbon-reflex-97-l-neuwertig-slalom-surf/2850998972-230-8929", "Link")</f>
        <v/>
      </c>
      <c r="L1710" s="6">
        <f>HYPERLINK("C:\Projects\Kleinanzeigen-Scraper\offer_images\2850998972", "Link")</f>
        <v/>
      </c>
      <c r="M1710" t="inlineStr">
        <is>
          <t>Markus</t>
        </is>
      </c>
      <c r="N1710" s="6">
        <f>HYPERLINK("https://www.kleinanzeigen.de/s-bestandsliste.html?userId=15703486", "Link")</f>
        <v/>
      </c>
      <c r="O1710" s="7" t="n">
        <v>45549.57472222222</v>
      </c>
      <c r="P1710" s="3" t="inlineStr">
        <is>
          <t>8.80</t>
        </is>
      </c>
      <c r="Q1710" t="inlineStr">
        <is>
          <t>Karlsruhe</t>
        </is>
      </c>
    </row>
    <row r="1711">
      <c r="A1711" t="inlineStr"/>
      <c r="B1711" t="inlineStr">
        <is>
          <t>Starboard</t>
        </is>
      </c>
      <c r="C1711" t="inlineStr">
        <is>
          <t>Touring</t>
        </is>
      </c>
      <c r="D1711" s="3" t="inlineStr"/>
      <c r="E1711" t="inlineStr"/>
      <c r="F1711" s="4" t="n">
        <v>710</v>
      </c>
      <c r="G1711" t="inlineStr"/>
      <c r="H1711" t="inlineStr">
        <is>
          <t>21409 Niedersachsen - Embsen</t>
        </is>
      </c>
      <c r="I1711" s="5" t="n">
        <v>45552</v>
      </c>
      <c r="J1711" t="inlineStr"/>
      <c r="K1711" s="6">
        <f>HYPERLINK("https://www.kleinanzeigen.de/s-anzeige/sup-starboard-touring-variante-stand-up-paddel-board/2845466123-230-3283", "Link")</f>
        <v/>
      </c>
      <c r="L1711" s="6">
        <f>HYPERLINK("C:\Projects\Kleinanzeigen-Scraper\offer_images\2845466123", "Link")</f>
        <v/>
      </c>
      <c r="M1711" t="inlineStr">
        <is>
          <t>Frank</t>
        </is>
      </c>
      <c r="N1711" s="6">
        <f>HYPERLINK("https://www.kleinanzeigen.de/s-bestandsliste.html?userId=5549862", "Link")</f>
        <v/>
      </c>
      <c r="O1711" s="7" t="n">
        <v>45549.57471064815</v>
      </c>
      <c r="P1711" s="3" t="inlineStr">
        <is>
          <t>339.33</t>
        </is>
      </c>
      <c r="Q1711" t="inlineStr">
        <is>
          <t>Köln</t>
        </is>
      </c>
    </row>
    <row r="1712">
      <c r="A1712" t="inlineStr"/>
      <c r="B1712" t="inlineStr">
        <is>
          <t>Tabou Da Curve</t>
        </is>
      </c>
      <c r="C1712" t="inlineStr">
        <is>
          <t>Freeride</t>
        </is>
      </c>
      <c r="D1712" s="3" t="n">
        <v>85</v>
      </c>
      <c r="E1712" t="inlineStr"/>
      <c r="F1712" s="4" t="n">
        <v>130</v>
      </c>
      <c r="G1712" t="inlineStr">
        <is>
          <t>VB</t>
        </is>
      </c>
      <c r="H1712" t="inlineStr">
        <is>
          <t>58089 Nordrhein-Westfalen - Hagen</t>
        </is>
      </c>
      <c r="I1712" s="5" t="n">
        <v>45536</v>
      </c>
      <c r="J1712" t="inlineStr"/>
      <c r="K1712" s="6">
        <f>HYPERLINK("https://www.kleinanzeigen.de/s-anzeige/tabou-da-curve-85-windsurfbrett/2852020809-230-2010", "Link")</f>
        <v/>
      </c>
      <c r="L1712" s="6">
        <f>HYPERLINK("C:\Projects\Kleinanzeigen-Scraper\offer_images\2852020809", "Link")</f>
        <v/>
      </c>
      <c r="M1712" t="inlineStr">
        <is>
          <t>Dominik</t>
        </is>
      </c>
      <c r="N1712" s="6">
        <f>HYPERLINK("https://www.kleinanzeigen.de/s-bestandsliste.html?userId=140855262", "Link")</f>
        <v/>
      </c>
      <c r="O1712" s="7" t="n">
        <v>45549.57469907407</v>
      </c>
      <c r="P1712" s="3" t="inlineStr">
        <is>
          <t>59.46</t>
        </is>
      </c>
      <c r="Q1712" t="inlineStr">
        <is>
          <t>Köln</t>
        </is>
      </c>
    </row>
    <row r="1713">
      <c r="A1713" t="inlineStr">
        <is>
          <t>163 x 67</t>
        </is>
      </c>
      <c r="B1713" t="inlineStr">
        <is>
          <t>Tabou Pocket Air</t>
        </is>
      </c>
      <c r="C1713" t="inlineStr">
        <is>
          <t>Wingfoil</t>
        </is>
      </c>
      <c r="D1713" s="3" t="n">
        <v>97</v>
      </c>
      <c r="E1713" t="inlineStr">
        <is>
          <t>2024</t>
        </is>
      </c>
      <c r="F1713" s="4" t="n">
        <v>597</v>
      </c>
      <c r="G1713" t="inlineStr">
        <is>
          <t>VB</t>
        </is>
      </c>
      <c r="H1713" t="inlineStr">
        <is>
          <t>76767 Rheinland-Pfalz - Hagenbach</t>
        </is>
      </c>
      <c r="I1713" s="5" t="n">
        <v>45491</v>
      </c>
      <c r="J1713" t="inlineStr">
        <is>
          <t>Sold</t>
        </is>
      </c>
      <c r="K1713" s="6">
        <f>HYPERLINK("https://www.kleinanzeigen.de/s-anzeige/wingfoil-board-tabou-pocket-air-97-aus-2024-wie-neu-/2815108563-230-18408", "Link")</f>
        <v/>
      </c>
      <c r="L1713" s="6">
        <f>HYPERLINK("C:\Projects\Kleinanzeigen-Scraper\offer_images\2815108563", "Link")</f>
        <v/>
      </c>
      <c r="M1713" t="inlineStr">
        <is>
          <t>Hilmar</t>
        </is>
      </c>
      <c r="N1713" s="6">
        <f>HYPERLINK("https://www.kleinanzeigen.de/s-bestandsliste.html?userId=22388239", "Link")</f>
        <v/>
      </c>
      <c r="O1713" s="7" t="n">
        <v>45549.57467592593</v>
      </c>
      <c r="P1713" s="3" t="inlineStr">
        <is>
          <t>10.31</t>
        </is>
      </c>
      <c r="Q1713" t="inlineStr">
        <is>
          <t>Karlsruhe</t>
        </is>
      </c>
    </row>
    <row r="1714">
      <c r="A1714" t="inlineStr">
        <is>
          <t>270x100</t>
        </is>
      </c>
      <c r="B1714" t="inlineStr">
        <is>
          <t>RRD Easy Rider v3</t>
        </is>
      </c>
      <c r="C1714" t="inlineStr">
        <is>
          <t>Freeride</t>
        </is>
      </c>
      <c r="D1714" s="3" t="n">
        <v>220</v>
      </c>
      <c r="E1714" t="inlineStr"/>
      <c r="F1714" s="4" t="n">
        <v>550</v>
      </c>
      <c r="G1714" t="inlineStr"/>
      <c r="H1714" t="inlineStr">
        <is>
          <t>14612 Brandenburg - Falkensee</t>
        </is>
      </c>
      <c r="I1714" s="5" t="n">
        <v>45426</v>
      </c>
      <c r="J1714" t="inlineStr"/>
      <c r="K1714" s="6">
        <f>HYPERLINK("https://www.kleinanzeigen.de/s-anzeige/windsurfboard-rrd-easy-rider-v3-large-220l-geeig-anfaenger/2761216927-230-7729", "Link")</f>
        <v/>
      </c>
      <c r="L1714" s="6">
        <f>HYPERLINK("C:\Projects\Kleinanzeigen-Scraper\offer_images\2761216927", "Link")</f>
        <v/>
      </c>
      <c r="M1714" t="inlineStr">
        <is>
          <t>René Döring</t>
        </is>
      </c>
      <c r="N1714" s="6">
        <f>HYPERLINK("https://www.kleinanzeigen.de/s-bestandsliste.html?userId=9146479", "Link")</f>
        <v/>
      </c>
      <c r="O1714" s="7" t="n">
        <v>45549.57467592593</v>
      </c>
      <c r="P1714" s="3" t="inlineStr">
        <is>
          <t>458.53</t>
        </is>
      </c>
      <c r="Q1714" t="inlineStr">
        <is>
          <t>Köln</t>
        </is>
      </c>
    </row>
    <row r="1715">
      <c r="A1715" t="inlineStr">
        <is>
          <t>238 x 69 cm</t>
        </is>
      </c>
      <c r="B1715" t="inlineStr">
        <is>
          <t>Goya Bolt</t>
        </is>
      </c>
      <c r="C1715" t="inlineStr">
        <is>
          <t>Freerace</t>
        </is>
      </c>
      <c r="D1715" s="3" t="n">
        <v>139</v>
      </c>
      <c r="E1715" t="inlineStr">
        <is>
          <t>2024</t>
        </is>
      </c>
      <c r="F1715" s="4" t="n">
        <v>1.35</v>
      </c>
      <c r="G1715" t="inlineStr"/>
      <c r="H1715" t="inlineStr">
        <is>
          <t>52078 Aachen - Aachen-Brand</t>
        </is>
      </c>
      <c r="I1715" s="5" t="n">
        <v>45557</v>
      </c>
      <c r="J1715" t="inlineStr"/>
      <c r="K1715" s="6">
        <f>HYPERLINK("https://www.kleinanzeigen.de/s-anzeige/windsurfboard-freerace-goya-bolt-139-carbon-2024-wie-neu-mit-bag/2857466302-230-1926", "Link")</f>
        <v/>
      </c>
      <c r="L1715" s="6">
        <f>HYPERLINK("C:\Projects\Kleinanzeigen-Scraper\offer_images\2857466302", "Link")</f>
        <v/>
      </c>
      <c r="M1715" t="inlineStr">
        <is>
          <t>Carsten Stieler</t>
        </is>
      </c>
      <c r="N1715" s="6">
        <f>HYPERLINK("https://www.kleinanzeigen.de/s-bestandsliste.html?userId=18114647", "Link")</f>
        <v/>
      </c>
      <c r="O1715" s="7" t="n">
        <v>45549.57466435185</v>
      </c>
      <c r="P1715" s="3" t="inlineStr">
        <is>
          <t>59.31</t>
        </is>
      </c>
      <c r="Q1715" t="inlineStr">
        <is>
          <t>Köln</t>
        </is>
      </c>
    </row>
    <row r="1716">
      <c r="A1716" t="inlineStr">
        <is>
          <t>140x43</t>
        </is>
      </c>
      <c r="B1716" t="inlineStr">
        <is>
          <t>Naish Hero S26</t>
        </is>
      </c>
      <c r="C1716" t="inlineStr">
        <is>
          <t>Twintip</t>
        </is>
      </c>
      <c r="D1716" s="3" t="inlineStr"/>
      <c r="E1716" t="inlineStr">
        <is>
          <t>2023</t>
        </is>
      </c>
      <c r="F1716" s="4" t="n">
        <v>250</v>
      </c>
      <c r="G1716" t="inlineStr">
        <is>
          <t>VB</t>
        </is>
      </c>
      <c r="H1716" t="inlineStr">
        <is>
          <t>26736 Krummhörn - Pewsum</t>
        </is>
      </c>
      <c r="I1716" s="5" t="n">
        <v>45506</v>
      </c>
      <c r="J1716" t="inlineStr">
        <is>
          <t>Sold</t>
        </is>
      </c>
      <c r="K1716" s="6">
        <f>HYPERLINK("https://www.kleinanzeigen.de/s-anzeige/kiteboard-naish-hero-s26-140x43-twintip/2827230347-230-27383", "Link")</f>
        <v/>
      </c>
      <c r="L1716" s="6">
        <f>HYPERLINK("C:\Projects\Kleinanzeigen-Scraper\offer_images\2827230347", "Link")</f>
        <v/>
      </c>
      <c r="M1716" t="inlineStr">
        <is>
          <t>Tobias Roß</t>
        </is>
      </c>
      <c r="N1716" s="6">
        <f>HYPERLINK("https://www.kleinanzeigen.de/s-bestandsliste.html?userId=61859669", "Link")</f>
        <v/>
      </c>
      <c r="O1716" s="7" t="n">
        <v>45549.57465277778</v>
      </c>
      <c r="P1716" s="3" t="inlineStr">
        <is>
          <t>280.59</t>
        </is>
      </c>
      <c r="Q1716" t="inlineStr">
        <is>
          <t>Köln</t>
        </is>
      </c>
    </row>
    <row r="1717">
      <c r="A1717" t="inlineStr">
        <is>
          <t>233/56/74</t>
        </is>
      </c>
      <c r="B1717" t="inlineStr">
        <is>
          <t>Starboard Evo</t>
        </is>
      </c>
      <c r="C1717" t="inlineStr"/>
      <c r="D1717" s="3" t="n">
        <v>74</v>
      </c>
      <c r="E1717" t="inlineStr">
        <is>
          <t>2005</t>
        </is>
      </c>
      <c r="F1717" s="4" t="n">
        <v>59</v>
      </c>
      <c r="G1717" t="inlineStr"/>
      <c r="H1717" t="inlineStr">
        <is>
          <t>10369 Berlin - Lichtenberg</t>
        </is>
      </c>
      <c r="I1717" s="5" t="n">
        <v>45548</v>
      </c>
      <c r="J1717" t="inlineStr"/>
      <c r="K1717" s="6">
        <f>HYPERLINK("https://www.kleinanzeigen.de/s-anzeige/starboard-evo-75-74l-surfboard-windsurfbrett-windsurfboard/2862401180-230-3546", "Link")</f>
        <v/>
      </c>
      <c r="L1717" s="6">
        <f>HYPERLINK("C:\Projects\Kleinanzeigen-Scraper\offer_images\2862401180", "Link")</f>
        <v/>
      </c>
      <c r="M1717" t="inlineStr">
        <is>
          <t>John</t>
        </is>
      </c>
      <c r="N1717" s="6">
        <f>HYPERLINK("https://www.kleinanzeigen.de/s-bestandsliste.html?userId=4040039", "Link")</f>
        <v/>
      </c>
      <c r="O1717" s="7" t="n">
        <v>45549.57465277778</v>
      </c>
      <c r="P1717" s="3" t="inlineStr">
        <is>
          <t>481.88</t>
        </is>
      </c>
      <c r="Q1717" t="inlineStr">
        <is>
          <t>Köln</t>
        </is>
      </c>
    </row>
    <row r="1718">
      <c r="A1718" t="inlineStr">
        <is>
          <t>131x38</t>
        </is>
      </c>
      <c r="B1718" t="inlineStr">
        <is>
          <t>North</t>
        </is>
      </c>
      <c r="C1718" t="inlineStr"/>
      <c r="D1718" s="3" t="inlineStr"/>
      <c r="E1718" t="inlineStr"/>
      <c r="F1718" s="4" t="n">
        <v>194</v>
      </c>
      <c r="G1718" t="inlineStr">
        <is>
          <t>VB</t>
        </is>
      </c>
      <c r="H1718" t="inlineStr">
        <is>
          <t>24235 Schleswig-Holstein - Laboe</t>
        </is>
      </c>
      <c r="I1718" s="5" t="n">
        <v>45536</v>
      </c>
      <c r="J1718" t="inlineStr">
        <is>
          <t>Sold</t>
        </is>
      </c>
      <c r="K1718" s="6">
        <f>HYPERLINK("https://www.kleinanzeigen.de/s-anzeige/kiteboard-north-131x38/2851331847-230-19055", "Link")</f>
        <v/>
      </c>
      <c r="L1718" s="6">
        <f>HYPERLINK("C:\Projects\Kleinanzeigen-Scraper\offer_images\2851331847", "Link")</f>
        <v/>
      </c>
      <c r="M1718" t="inlineStr">
        <is>
          <t>SK</t>
        </is>
      </c>
      <c r="N1718" s="6">
        <f>HYPERLINK("https://www.kleinanzeigen.de/s-bestandsliste.html?userId=12436570", "Link")</f>
        <v/>
      </c>
      <c r="O1718" s="7" t="n">
        <v>45549.57465277778</v>
      </c>
      <c r="P1718" s="3" t="inlineStr">
        <is>
          <t>443.73</t>
        </is>
      </c>
      <c r="Q1718" t="inlineStr">
        <is>
          <t>Köln</t>
        </is>
      </c>
    </row>
    <row r="1719">
      <c r="A1719" t="inlineStr">
        <is>
          <t>5'7" x 30" x 6"</t>
        </is>
      </c>
      <c r="B1719" t="inlineStr">
        <is>
          <t>NAISH Hover</t>
        </is>
      </c>
      <c r="C1719" t="inlineStr">
        <is>
          <t>Foilboard</t>
        </is>
      </c>
      <c r="D1719" s="3" t="n">
        <v>135</v>
      </c>
      <c r="E1719" t="inlineStr">
        <is>
          <t>2024</t>
        </is>
      </c>
      <c r="F1719" s="4" t="n">
        <v>399</v>
      </c>
      <c r="G1719" t="inlineStr">
        <is>
          <t>VB</t>
        </is>
      </c>
      <c r="H1719" t="inlineStr">
        <is>
          <t>01458 Sachsen - Ottendorf-Okrilla</t>
        </is>
      </c>
      <c r="I1719" s="5" t="n">
        <v>45526</v>
      </c>
      <c r="J1719" t="inlineStr"/>
      <c r="K1719" s="6">
        <f>HYPERLINK("https://www.kleinanzeigen.de/s-anzeige/naish-hover-422-135-inflatable-foilboard/2843523440-230-4131", "Link")</f>
        <v/>
      </c>
      <c r="L1719" s="6">
        <f>HYPERLINK("C:\Projects\Kleinanzeigen-Scraper\offer_images\2843523440", "Link")</f>
        <v/>
      </c>
      <c r="M1719" t="inlineStr">
        <is>
          <t>Friederike und Rico</t>
        </is>
      </c>
      <c r="N1719" s="6">
        <f>HYPERLINK("https://www.kleinanzeigen.de/s-bestandsliste.html?userId=7072962", "Link")</f>
        <v/>
      </c>
      <c r="O1719" s="7" t="n">
        <v>45549.57465277778</v>
      </c>
      <c r="P1719" s="3" t="inlineStr">
        <is>
          <t>374.73</t>
        </is>
      </c>
      <c r="Q1719" t="inlineStr">
        <is>
          <t>München</t>
        </is>
      </c>
    </row>
    <row r="1720">
      <c r="A1720" t="inlineStr">
        <is>
          <t>5'10"</t>
        </is>
      </c>
      <c r="B1720" t="inlineStr">
        <is>
          <t>NAISH HOVER CARBON ULTRA S26</t>
        </is>
      </c>
      <c r="C1720" t="inlineStr">
        <is>
          <t>Wing Foilboard</t>
        </is>
      </c>
      <c r="D1720" s="3" t="n">
        <v>110</v>
      </c>
      <c r="E1720" t="inlineStr"/>
      <c r="F1720" s="4" t="n">
        <v>590</v>
      </c>
      <c r="G1720" t="inlineStr"/>
      <c r="H1720" t="inlineStr">
        <is>
          <t>81543 München - Untergiesing-Harlaching</t>
        </is>
      </c>
      <c r="I1720" s="5" t="n">
        <v>45543</v>
      </c>
      <c r="J1720" t="inlineStr">
        <is>
          <t>Sold</t>
        </is>
      </c>
      <c r="K1720" s="6">
        <f>HYPERLINK("https://www.kleinanzeigen.de/s-anzeige/naish-hover-carbon-ultra-s26-110l-wing-foilboard/2857267158-230-6430", "Link")</f>
        <v/>
      </c>
      <c r="L1720" s="6">
        <f>HYPERLINK("C:\Projects\Kleinanzeigen-Scraper\offer_images\2857267158", "Link")</f>
        <v/>
      </c>
      <c r="M1720" t="inlineStr">
        <is>
          <t>Felix G.</t>
        </is>
      </c>
      <c r="N1720" s="6">
        <f>HYPERLINK("https://www.kleinanzeigen.de/s-bestandsliste.html?userId=17854177", "Link")</f>
        <v/>
      </c>
      <c r="O1720" s="7" t="n">
        <v>45549.57465277778</v>
      </c>
      <c r="P1720" s="3" t="inlineStr">
        <is>
          <t>2.63</t>
        </is>
      </c>
      <c r="Q1720" t="inlineStr">
        <is>
          <t>München</t>
        </is>
      </c>
    </row>
    <row r="1721">
      <c r="A1721" t="inlineStr"/>
      <c r="B1721" t="inlineStr">
        <is>
          <t>Tabou Bullitt</t>
        </is>
      </c>
      <c r="C1721" t="inlineStr">
        <is>
          <t>Freeride</t>
        </is>
      </c>
      <c r="D1721" s="3" t="n">
        <v>155</v>
      </c>
      <c r="E1721" t="inlineStr">
        <is>
          <t>2021</t>
        </is>
      </c>
      <c r="F1721" s="4" t="n">
        <v>850</v>
      </c>
      <c r="G1721" t="inlineStr">
        <is>
          <t>VB</t>
        </is>
      </c>
      <c r="H1721" t="inlineStr">
        <is>
          <t>86368 Bayern - Gersthofen</t>
        </is>
      </c>
      <c r="I1721" s="5" t="n">
        <v>45514</v>
      </c>
      <c r="J1721" t="inlineStr"/>
      <c r="K1721" s="6">
        <f>HYPERLINK("https://www.kleinanzeigen.de/s-anzeige/surfbrett-windsurf-board-tabou-bullitt-155/2833572421-230-7042", "Link")</f>
        <v/>
      </c>
      <c r="L1721" s="6">
        <f>HYPERLINK("C:\Projects\Kleinanzeigen-Scraper\offer_images\2833572421", "Link")</f>
        <v/>
      </c>
      <c r="M1721" t="inlineStr">
        <is>
          <t>Jana</t>
        </is>
      </c>
      <c r="N1721" s="6">
        <f>HYPERLINK("https://www.kleinanzeigen.de/s-bestandsliste.html?userId=83305487", "Link")</f>
        <v/>
      </c>
      <c r="O1721" s="7" t="n">
        <v>45549.57465277778</v>
      </c>
      <c r="P1721" s="3" t="inlineStr">
        <is>
          <t>64.62</t>
        </is>
      </c>
      <c r="Q1721" t="inlineStr">
        <is>
          <t>München</t>
        </is>
      </c>
    </row>
    <row r="1722">
      <c r="A1722" t="inlineStr">
        <is>
          <t>140L</t>
        </is>
      </c>
      <c r="B1722" t="inlineStr">
        <is>
          <t>Fanatic Skywing</t>
        </is>
      </c>
      <c r="C1722" t="inlineStr">
        <is>
          <t>Softtop</t>
        </is>
      </c>
      <c r="D1722" s="3" t="n">
        <v>140</v>
      </c>
      <c r="E1722" t="inlineStr"/>
      <c r="F1722" s="4" t="n">
        <v>600</v>
      </c>
      <c r="G1722" t="inlineStr"/>
      <c r="H1722" t="inlineStr">
        <is>
          <t>24105 Schleswig-Holstein - Kiel</t>
        </is>
      </c>
      <c r="I1722" s="5" t="n">
        <v>45530</v>
      </c>
      <c r="J1722" t="inlineStr">
        <is>
          <t>Sold</t>
        </is>
      </c>
      <c r="K1722" s="6">
        <f>HYPERLINK("https://www.kleinanzeigen.de/s-anzeige/fanatic-skywing-140-l-softtop-1-jahr-gewaehrleistung/2822150737-230-708", "Link")</f>
        <v/>
      </c>
      <c r="L1722" s="6">
        <f>HYPERLINK("C:\Projects\Kleinanzeigen-Scraper\offer_images\2822150737", "Link")</f>
        <v/>
      </c>
      <c r="M1722" t="inlineStr">
        <is>
          <t>No user name</t>
        </is>
      </c>
      <c r="N1722" s="6">
        <f>HYPERLINK("https://www.kleinanzeigen.deNo user link", "Link")</f>
        <v/>
      </c>
      <c r="O1722" s="7" t="n">
        <v>45549.57462962963</v>
      </c>
      <c r="P1722" s="3" t="inlineStr">
        <is>
          <t>435.05</t>
        </is>
      </c>
      <c r="Q1722" t="inlineStr">
        <is>
          <t>Köln</t>
        </is>
      </c>
    </row>
    <row r="1723">
      <c r="A1723" t="inlineStr">
        <is>
          <t>245 cm x 59 cm</t>
        </is>
      </c>
      <c r="B1723" t="inlineStr">
        <is>
          <t>Tabou Rocket</t>
        </is>
      </c>
      <c r="C1723" t="inlineStr">
        <is>
          <t>Freeride, Wave</t>
        </is>
      </c>
      <c r="D1723" s="3" t="n">
        <v>95</v>
      </c>
      <c r="E1723" t="inlineStr"/>
      <c r="F1723" s="4" t="n">
        <v>222</v>
      </c>
      <c r="G1723" t="inlineStr"/>
      <c r="H1723" t="inlineStr">
        <is>
          <t>24783 Schleswig-Holstein - Osterrönfeld</t>
        </is>
      </c>
      <c r="I1723" s="5" t="n">
        <v>45531</v>
      </c>
      <c r="J1723" t="inlineStr"/>
      <c r="K1723" s="6">
        <f>HYPERLINK("https://www.kleinanzeigen.de/s-anzeige/tabou-rocket-95l-windsurfboard/2847827867-230-500", "Link")</f>
        <v/>
      </c>
      <c r="L1723" s="6">
        <f>HYPERLINK("C:\Projects\Kleinanzeigen-Scraper\offer_images\2847827867", "Link")</f>
        <v/>
      </c>
      <c r="M1723" t="inlineStr">
        <is>
          <t>Felix</t>
        </is>
      </c>
      <c r="N1723" s="6">
        <f>HYPERLINK("https://www.kleinanzeigen.de/s-bestandsliste.html?userId=25445796", "Link")</f>
        <v/>
      </c>
      <c r="O1723" s="7" t="n">
        <v>45549.57461805556</v>
      </c>
      <c r="P1723" s="3" t="inlineStr">
        <is>
          <t>415.35</t>
        </is>
      </c>
      <c r="Q1723" t="inlineStr">
        <is>
          <t>Köln</t>
        </is>
      </c>
    </row>
    <row r="1724">
      <c r="A1724" t="inlineStr">
        <is>
          <t>140</t>
        </is>
      </c>
      <c r="B1724" t="inlineStr">
        <is>
          <t>North (jetzt Duotone) Team Series</t>
        </is>
      </c>
      <c r="C1724" t="inlineStr"/>
      <c r="D1724" s="3" t="inlineStr"/>
      <c r="E1724" t="inlineStr"/>
      <c r="F1724" s="4" t="n">
        <v>329</v>
      </c>
      <c r="G1724" t="inlineStr"/>
      <c r="H1724" t="inlineStr">
        <is>
          <t>86947 Bayern - Weil a. Lech</t>
        </is>
      </c>
      <c r="I1724" s="5" t="n">
        <v>45544</v>
      </c>
      <c r="J1724" t="inlineStr">
        <is>
          <t>Sold</t>
        </is>
      </c>
      <c r="K1724" s="6">
        <f>HYPERLINK("https://www.kleinanzeigen.de/s-anzeige/north-jetzt-duotone-team-series-kiteboard-140-bindung/2858810578-230-7079", "Link")</f>
        <v/>
      </c>
      <c r="L1724" s="6">
        <f>HYPERLINK("C:\Projects\Kleinanzeigen-Scraper\offer_images\2858810578", "Link")</f>
        <v/>
      </c>
      <c r="M1724" t="inlineStr">
        <is>
          <t>Matthias Meyer</t>
        </is>
      </c>
      <c r="N1724" s="6">
        <f>HYPERLINK("https://www.kleinanzeigen.de/s-bestandsliste.html?userId=17058073", "Link")</f>
        <v/>
      </c>
      <c r="O1724" s="7" t="n">
        <v>45549.57461805556</v>
      </c>
      <c r="P1724" s="3" t="inlineStr">
        <is>
          <t>48.17</t>
        </is>
      </c>
      <c r="Q1724" t="inlineStr">
        <is>
          <t>München</t>
        </is>
      </c>
    </row>
    <row r="1725">
      <c r="A1725" t="inlineStr">
        <is>
          <t>238 cm x 58.5 cm</t>
        </is>
      </c>
      <c r="B1725" t="inlineStr">
        <is>
          <t>Tabou</t>
        </is>
      </c>
      <c r="C1725" t="inlineStr"/>
      <c r="D1725" s="3" t="n">
        <v>86</v>
      </c>
      <c r="E1725" t="inlineStr"/>
      <c r="F1725" s="4" t="n">
        <v>300</v>
      </c>
      <c r="G1725" t="inlineStr">
        <is>
          <t>VB</t>
        </is>
      </c>
      <c r="H1725" t="inlineStr">
        <is>
          <t>47441 Nordrhein-Westfalen - Moers</t>
        </is>
      </c>
      <c r="I1725" s="5" t="n">
        <v>45445</v>
      </c>
      <c r="J1725" t="inlineStr"/>
      <c r="K1725" s="6">
        <f>HYPERLINK("https://www.kleinanzeigen.de/s-anzeige/windsurfbrett-tabou-86-liter/2777547281-230-2127", "Link")</f>
        <v/>
      </c>
      <c r="L1725" s="6">
        <f>HYPERLINK("C:\Projects\Kleinanzeigen-Scraper\offer_images\2777547281", "Link")</f>
        <v/>
      </c>
      <c r="M1725" t="inlineStr">
        <is>
          <t>Tim Büscherfeld</t>
        </is>
      </c>
      <c r="N1725" s="6">
        <f>HYPERLINK("https://www.kleinanzeigen.de/s-bestandsliste.html?userId=41778675", "Link")</f>
        <v/>
      </c>
      <c r="O1725" s="7" t="n">
        <v>45549.57460648148</v>
      </c>
      <c r="P1725" s="3" t="inlineStr">
        <is>
          <t>60.86</t>
        </is>
      </c>
      <c r="Q1725" t="inlineStr">
        <is>
          <t>Köln</t>
        </is>
      </c>
    </row>
    <row r="1726">
      <c r="A1726" t="inlineStr">
        <is>
          <t>234cm x 57.5cm</t>
        </is>
      </c>
      <c r="B1726" t="inlineStr">
        <is>
          <t>RRD Wind Surfbrett Wave Twin</t>
        </is>
      </c>
      <c r="C1726" t="inlineStr">
        <is>
          <t>Wave</t>
        </is>
      </c>
      <c r="D1726" s="3" t="n">
        <v>84</v>
      </c>
      <c r="E1726" t="inlineStr"/>
      <c r="F1726" s="4" t="n">
        <v>450</v>
      </c>
      <c r="G1726" t="inlineStr">
        <is>
          <t>VB</t>
        </is>
      </c>
      <c r="H1726" t="inlineStr">
        <is>
          <t>85609 Kr. München - Aschheim</t>
        </is>
      </c>
      <c r="I1726" s="5" t="n">
        <v>45269</v>
      </c>
      <c r="J1726" t="inlineStr"/>
      <c r="K1726" s="6">
        <f>HYPERLINK("https://www.kleinanzeigen.de/s-anzeige/rrd-wind-surfbrett-wave-twin-84l-ltd/2624950584-230-5575", "Link")</f>
        <v/>
      </c>
      <c r="L1726" s="6">
        <f>HYPERLINK("C:\Projects\Kleinanzeigen-Scraper\offer_images\2624950584", "Link")</f>
        <v/>
      </c>
      <c r="M1726" t="inlineStr">
        <is>
          <t>Sabine</t>
        </is>
      </c>
      <c r="N1726" s="6">
        <f>HYPERLINK("https://www.kleinanzeigen.de/s-bestandsliste.html?userId=38603736", "Link")</f>
        <v/>
      </c>
      <c r="O1726" s="7" t="n">
        <v>45549.5745949074</v>
      </c>
      <c r="P1726" s="3" t="inlineStr">
        <is>
          <t>12.22</t>
        </is>
      </c>
      <c r="Q1726" t="inlineStr">
        <is>
          <t>München</t>
        </is>
      </c>
    </row>
    <row r="1727">
      <c r="A1727" t="inlineStr">
        <is>
          <t>232 cm x 81 cm</t>
        </is>
      </c>
      <c r="B1727" t="inlineStr">
        <is>
          <t>Tabou Manta</t>
        </is>
      </c>
      <c r="C1727" t="inlineStr">
        <is>
          <t>Freeride</t>
        </is>
      </c>
      <c r="D1727" s="3" t="n">
        <v>128</v>
      </c>
      <c r="E1727" t="inlineStr"/>
      <c r="F1727" s="4" t="n">
        <v>650</v>
      </c>
      <c r="G1727" t="inlineStr">
        <is>
          <t>VB</t>
        </is>
      </c>
      <c r="H1727" t="inlineStr">
        <is>
          <t>14789 Brandenburg - Wusterwitz</t>
        </is>
      </c>
      <c r="I1727" s="5" t="n">
        <v>45543</v>
      </c>
      <c r="J1727" t="inlineStr">
        <is>
          <t>Sold</t>
        </is>
      </c>
      <c r="K1727" s="6">
        <f>HYPERLINK("https://www.kleinanzeigen.de/s-anzeige/surfboard-tabou-manta-128l-org-finne-und-boardbag/2857959102-230-7740", "Link")</f>
        <v/>
      </c>
      <c r="L1727" s="6">
        <f>HYPERLINK("C:\Projects\Kleinanzeigen-Scraper\offer_images\2857959102", "Link")</f>
        <v/>
      </c>
      <c r="M1727" t="inlineStr">
        <is>
          <t>Andreas</t>
        </is>
      </c>
      <c r="N1727" s="6">
        <f>HYPERLINK("https://www.kleinanzeigen.de/s-bestandsliste.html?userId=4024931", "Link")</f>
        <v/>
      </c>
      <c r="O1727" s="7" t="n">
        <v>45549.5745949074</v>
      </c>
      <c r="P1727" s="3" t="inlineStr">
        <is>
          <t>403.98</t>
        </is>
      </c>
      <c r="Q1727" t="inlineStr">
        <is>
          <t>Köln</t>
        </is>
      </c>
    </row>
    <row r="1728">
      <c r="A1728" t="inlineStr">
        <is>
          <t>325 cm x 86.4 cm x 14 cm</t>
        </is>
      </c>
      <c r="B1728" t="inlineStr">
        <is>
          <t>Fanatic</t>
        </is>
      </c>
      <c r="C1728" t="inlineStr">
        <is>
          <t>Allround</t>
        </is>
      </c>
      <c r="D1728" s="3" t="n">
        <v>306</v>
      </c>
      <c r="E1728" t="inlineStr"/>
      <c r="F1728" s="4" t="n">
        <v>450</v>
      </c>
      <c r="G1728" t="inlineStr"/>
      <c r="H1728" t="inlineStr">
        <is>
          <t>10115 Berlin - Mitte</t>
        </is>
      </c>
      <c r="I1728" s="5" t="n">
        <v>45551</v>
      </c>
      <c r="J1728" t="inlineStr">
        <is>
          <t>Sold</t>
        </is>
      </c>
      <c r="K1728" s="6">
        <f>HYPERLINK("https://www.kleinanzeigen.de/s-anzeige/sup-fanatic-10-8/2819760700-230-9668", "Link")</f>
        <v/>
      </c>
      <c r="L1728" s="6">
        <f>HYPERLINK("C:\Projects\Kleinanzeigen-Scraper\offer_images\2819760700", "Link")</f>
        <v/>
      </c>
      <c r="M1728" t="inlineStr">
        <is>
          <t>Diana</t>
        </is>
      </c>
      <c r="N1728" s="6">
        <f>HYPERLINK("https://www.kleinanzeigen.de/s-bestandsliste.html?userId=12526580", "Link")</f>
        <v/>
      </c>
      <c r="O1728" s="7" t="n">
        <v>45549.57458333333</v>
      </c>
      <c r="P1728" s="3" t="inlineStr">
        <is>
          <t>476.33</t>
        </is>
      </c>
      <c r="Q1728" t="inlineStr">
        <is>
          <t>Köln</t>
        </is>
      </c>
    </row>
    <row r="1729">
      <c r="A1729" t="inlineStr">
        <is>
          <t>5'1'' x 24.7'' (155 cm x 62.74 cm)</t>
        </is>
      </c>
      <c r="B1729" t="inlineStr">
        <is>
          <t>DUOTONE Sky Style</t>
        </is>
      </c>
      <c r="C1729" t="inlineStr"/>
      <c r="D1729" s="3" t="n">
        <v>85</v>
      </c>
      <c r="E1729" t="inlineStr">
        <is>
          <t>2024</t>
        </is>
      </c>
      <c r="F1729" s="4" t="n">
        <v>890</v>
      </c>
      <c r="G1729" t="inlineStr">
        <is>
          <t>VB</t>
        </is>
      </c>
      <c r="H1729" t="inlineStr">
        <is>
          <t>82054 Kr. München - Sauerlach</t>
        </is>
      </c>
      <c r="I1729" s="5" t="n">
        <v>45546</v>
      </c>
      <c r="J1729" t="inlineStr">
        <is>
          <t>Sold</t>
        </is>
      </c>
      <c r="K1729" s="6">
        <f>HYPERLINK("https://www.kleinanzeigen.de/s-anzeige/2024-duotone-sky-style-5-1-inkl-boardbag/2860357501-230-5593", "Link")</f>
        <v/>
      </c>
      <c r="L1729" s="6">
        <f>HYPERLINK("C:\Projects\Kleinanzeigen-Scraper\offer_images\2860357501", "Link")</f>
        <v/>
      </c>
      <c r="M1729" t="inlineStr">
        <is>
          <t>Carolin M.</t>
        </is>
      </c>
      <c r="N1729" s="6">
        <f>HYPERLINK("https://www.kleinanzeigen.de/s-bestandsliste.html?userId=31945199", "Link")</f>
        <v/>
      </c>
      <c r="O1729" s="7" t="n">
        <v>45549.57457175926</v>
      </c>
      <c r="P1729" s="3" t="inlineStr">
        <is>
          <t>20.66</t>
        </is>
      </c>
      <c r="Q1729" t="inlineStr">
        <is>
          <t>München</t>
        </is>
      </c>
    </row>
    <row r="1730">
      <c r="A1730" t="inlineStr">
        <is>
          <t>231 x 59.5 cm</t>
        </is>
      </c>
      <c r="B1730" t="inlineStr">
        <is>
          <t>Starboard Pocket</t>
        </is>
      </c>
      <c r="C1730" t="inlineStr">
        <is>
          <t>Freeride</t>
        </is>
      </c>
      <c r="D1730" s="3" t="n">
        <v>85</v>
      </c>
      <c r="E1730" t="inlineStr"/>
      <c r="F1730" s="4" t="n">
        <v>179</v>
      </c>
      <c r="G1730" t="inlineStr"/>
      <c r="H1730" t="inlineStr">
        <is>
          <t>18211 Bad Doberan - Landkreis - Bargeshagen</t>
        </is>
      </c>
      <c r="I1730" s="5" t="n">
        <v>45541</v>
      </c>
      <c r="J1730" t="inlineStr"/>
      <c r="K1730" s="6">
        <f>HYPERLINK("https://www.kleinanzeigen.de/s-anzeige/starboard-pocket-85l-windsurfboard/2855712364-230-16583", "Link")</f>
        <v/>
      </c>
      <c r="L1730" s="6">
        <f>HYPERLINK("C:\Projects\Kleinanzeigen-Scraper\offer_images\2855712364", "Link")</f>
        <v/>
      </c>
      <c r="M1730" t="inlineStr">
        <is>
          <t>Dirk</t>
        </is>
      </c>
      <c r="N1730" s="6">
        <f>HYPERLINK("https://www.kleinanzeigen.de/s-bestandsliste.html?userId=141661148", "Link")</f>
        <v/>
      </c>
      <c r="O1730" s="7" t="n">
        <v>45549.57457175926</v>
      </c>
      <c r="P1730" s="3" t="inlineStr">
        <is>
          <t>490.50</t>
        </is>
      </c>
      <c r="Q1730" t="inlineStr">
        <is>
          <t>Köln</t>
        </is>
      </c>
    </row>
    <row r="1731">
      <c r="A1731" t="inlineStr">
        <is>
          <t>236x64.5</t>
        </is>
      </c>
      <c r="B1731" t="inlineStr">
        <is>
          <t>Tabou 3S Classic LTD</t>
        </is>
      </c>
      <c r="C1731" t="inlineStr">
        <is>
          <t>Freeride</t>
        </is>
      </c>
      <c r="D1731" s="3" t="n">
        <v>107</v>
      </c>
      <c r="E1731" t="inlineStr">
        <is>
          <t>2023</t>
        </is>
      </c>
      <c r="F1731" s="4" t="n">
        <v>1.349</v>
      </c>
      <c r="G1731" t="inlineStr"/>
      <c r="H1731" t="inlineStr">
        <is>
          <t>82319 Bayern - Starnberg</t>
        </is>
      </c>
      <c r="I1731" s="5" t="n">
        <v>45542</v>
      </c>
      <c r="J1731" t="inlineStr">
        <is>
          <t>Sold</t>
        </is>
      </c>
      <c r="K1731" s="6">
        <f>HYPERLINK("https://www.kleinanzeigen.de/s-anzeige/tabou-3s-classic-ltd-107-2023-windsurf-brett-neu/2703697476-230-5525", "Link")</f>
        <v/>
      </c>
      <c r="L1731" s="6">
        <f>HYPERLINK("C:\Projects\Kleinanzeigen-Scraper\offer_images\2703697476", "Link")</f>
        <v/>
      </c>
      <c r="M1731" t="inlineStr">
        <is>
          <t>No user name</t>
        </is>
      </c>
      <c r="N1731" s="6">
        <f>HYPERLINK("https://www.kleinanzeigen.deNo user link", "Link")</f>
        <v/>
      </c>
      <c r="O1731" s="7" t="n">
        <v>45549.57456018519</v>
      </c>
      <c r="P1731" s="3" t="inlineStr">
        <is>
          <t>23.17</t>
        </is>
      </c>
      <c r="Q1731" t="inlineStr">
        <is>
          <t>München</t>
        </is>
      </c>
    </row>
    <row r="1732">
      <c r="A1732" t="inlineStr">
        <is>
          <t>97</t>
        </is>
      </c>
      <c r="B1732" t="inlineStr">
        <is>
          <t>Fanatic Skate</t>
        </is>
      </c>
      <c r="C1732" t="inlineStr">
        <is>
          <t>Freestyle</t>
        </is>
      </c>
      <c r="D1732" s="3" t="inlineStr"/>
      <c r="E1732" t="inlineStr"/>
      <c r="F1732" s="4" t="n">
        <v>10</v>
      </c>
      <c r="G1732" t="inlineStr"/>
      <c r="H1732" t="inlineStr">
        <is>
          <t>44795 Bochum - Bochum-Südwest</t>
        </is>
      </c>
      <c r="I1732" s="5" t="n">
        <v>45532</v>
      </c>
      <c r="J1732" t="inlineStr">
        <is>
          <t>Sold</t>
        </is>
      </c>
      <c r="K1732" s="6">
        <f>HYPERLINK("https://www.kleinanzeigen.de/s-anzeige/fanatic-skate-97-freestyle/2848807155-230-1944", "Link")</f>
        <v/>
      </c>
      <c r="L1732" s="6">
        <f>HYPERLINK("C:\Projects\Kleinanzeigen-Scraper\offer_images\2848807155", "Link")</f>
        <v/>
      </c>
      <c r="M1732" t="inlineStr">
        <is>
          <t>Marcel</t>
        </is>
      </c>
      <c r="N1732" s="6">
        <f>HYPERLINK("https://www.kleinanzeigen.de/s-bestandsliste.html?userId=5515801", "Link")</f>
        <v/>
      </c>
      <c r="O1732" s="7" t="n">
        <v>45549.57456018519</v>
      </c>
      <c r="P1732" s="3" t="inlineStr">
        <is>
          <t>59.22</t>
        </is>
      </c>
      <c r="Q1732" t="inlineStr">
        <is>
          <t>Köln</t>
        </is>
      </c>
    </row>
    <row r="1733">
      <c r="A1733" t="inlineStr">
        <is>
          <t>284 cm x 59 cm</t>
        </is>
      </c>
      <c r="B1733" t="inlineStr">
        <is>
          <t>Fanatic Bee</t>
        </is>
      </c>
      <c r="C1733" t="inlineStr"/>
      <c r="D1733" s="3" t="n">
        <v>117</v>
      </c>
      <c r="E1733" t="inlineStr"/>
      <c r="F1733" s="4" t="n">
        <v>55</v>
      </c>
      <c r="G1733" t="inlineStr">
        <is>
          <t>VB</t>
        </is>
      </c>
      <c r="H1733" t="inlineStr">
        <is>
          <t>24159 Kiel - Holtenau</t>
        </is>
      </c>
      <c r="I1733" s="5" t="n">
        <v>45523</v>
      </c>
      <c r="J1733" t="inlineStr">
        <is>
          <t>Sold</t>
        </is>
      </c>
      <c r="K1733" s="6">
        <f>HYPERLINK("https://www.kleinanzeigen.de/s-anzeige/fanatic-bee-284-windsurfen-surfboard/2841379140-230-9541", "Link")</f>
        <v/>
      </c>
      <c r="L1733" s="6">
        <f>HYPERLINK("C:\Projects\Kleinanzeigen-Scraper\offer_images\2841379140", "Link")</f>
        <v/>
      </c>
      <c r="M1733" t="inlineStr">
        <is>
          <t>Felix Wiese</t>
        </is>
      </c>
      <c r="N1733" s="6">
        <f>HYPERLINK("https://www.kleinanzeigen.de/s-bestandsliste.html?userId=21779971", "Link")</f>
        <v/>
      </c>
      <c r="O1733" s="7" t="n">
        <v>45549.57454861111</v>
      </c>
      <c r="P1733" s="3" t="inlineStr">
        <is>
          <t>440.84</t>
        </is>
      </c>
      <c r="Q1733" t="inlineStr">
        <is>
          <t>Köln</t>
        </is>
      </c>
    </row>
    <row r="1734">
      <c r="A1734" t="inlineStr">
        <is>
          <t>14' x 20.75'</t>
        </is>
      </c>
      <c r="B1734" t="inlineStr">
        <is>
          <t>Starboard Sprint</t>
        </is>
      </c>
      <c r="C1734" t="inlineStr">
        <is>
          <t>Race</t>
        </is>
      </c>
      <c r="D1734" s="3" t="inlineStr"/>
      <c r="E1734" t="inlineStr"/>
      <c r="F1734" s="4" t="n">
        <v>1.099</v>
      </c>
      <c r="G1734" t="inlineStr">
        <is>
          <t>VB</t>
        </is>
      </c>
      <c r="H1734" t="inlineStr">
        <is>
          <t>44787 Bochum - Bochum-Mitte</t>
        </is>
      </c>
      <c r="I1734" s="5" t="n">
        <v>45520</v>
      </c>
      <c r="J1734" t="inlineStr"/>
      <c r="K1734" s="6">
        <f>HYPERLINK("https://www.kleinanzeigen.de/s-anzeige/starboard-sprint-14-x-20-75-sup-race/2838077277-230-1946", "Link")</f>
        <v/>
      </c>
      <c r="L1734" s="6">
        <f>HYPERLINK("C:\Projects\Kleinanzeigen-Scraper\offer_images\2838077277", "Link")</f>
        <v/>
      </c>
      <c r="M1734" t="inlineStr">
        <is>
          <t>Milanka Linde</t>
        </is>
      </c>
      <c r="N1734" s="6">
        <f>HYPERLINK("https://www.kleinanzeigen.de/s-bestandsliste.html?userId=49164231", "Link")</f>
        <v/>
      </c>
      <c r="O1734" s="7" t="n">
        <v>45549.57454861111</v>
      </c>
      <c r="P1734" s="3" t="inlineStr">
        <is>
          <t>63.06</t>
        </is>
      </c>
      <c r="Q1734" t="inlineStr">
        <is>
          <t>Köln</t>
        </is>
      </c>
    </row>
    <row r="1735">
      <c r="A1735" t="inlineStr">
        <is>
          <t>10' x 33" x 4"1/2</t>
        </is>
      </c>
      <c r="B1735" t="inlineStr">
        <is>
          <t>Redwoodpaddle PHENIX</t>
        </is>
      </c>
      <c r="C1735" t="inlineStr">
        <is>
          <t>Wave SUP</t>
        </is>
      </c>
      <c r="D1735" s="3" t="n">
        <v>185</v>
      </c>
      <c r="E1735" t="inlineStr"/>
      <c r="F1735" s="4" t="n">
        <v>650</v>
      </c>
      <c r="G1735" t="inlineStr"/>
      <c r="H1735" t="inlineStr">
        <is>
          <t>44139 Dortmund - Innenstadt-West</t>
        </is>
      </c>
      <c r="I1735" s="5" t="n">
        <v>45548</v>
      </c>
      <c r="J1735" t="inlineStr">
        <is>
          <t>Sold</t>
        </is>
      </c>
      <c r="K1735" s="6">
        <f>HYPERLINK("https://www.kleinanzeigen.de/s-anzeige/wave-sup-redwoodpaddle-phenix-10-norden-naish-hardboard-surfsup/2862316845-230-1112", "Link")</f>
        <v/>
      </c>
      <c r="L1735" s="6">
        <f>HYPERLINK("C:\Projects\Kleinanzeigen-Scraper\offer_images\2862316845", "Link")</f>
        <v/>
      </c>
      <c r="M1735" t="inlineStr">
        <is>
          <t>Malte</t>
        </is>
      </c>
      <c r="N1735" s="6">
        <f>HYPERLINK("https://www.kleinanzeigen.de/s-bestandsliste.html?userId=9597816", "Link")</f>
        <v/>
      </c>
      <c r="O1735" s="7" t="n">
        <v>45549.57454861111</v>
      </c>
      <c r="P1735" s="3" t="inlineStr">
        <is>
          <t>71.50</t>
        </is>
      </c>
      <c r="Q1735" t="inlineStr">
        <is>
          <t>Köln</t>
        </is>
      </c>
    </row>
    <row r="1736">
      <c r="A1736" t="inlineStr">
        <is>
          <t>3'11", 4'2", 4'6"</t>
        </is>
      </c>
      <c r="B1736" t="inlineStr">
        <is>
          <t>Duotone Pace SLS</t>
        </is>
      </c>
      <c r="C1736" t="inlineStr">
        <is>
          <t>Foil</t>
        </is>
      </c>
      <c r="D1736" s="3" t="inlineStr"/>
      <c r="E1736" t="inlineStr"/>
      <c r="F1736" s="4" t="n">
        <v>999</v>
      </c>
      <c r="G1736" t="inlineStr"/>
      <c r="H1736" t="inlineStr">
        <is>
          <t>90451 Nürnberg (Mittelfr) - Aussenstadt-Sued</t>
        </is>
      </c>
      <c r="I1736" s="5" t="n">
        <v>45538</v>
      </c>
      <c r="J1736" t="inlineStr">
        <is>
          <t>Sold</t>
        </is>
      </c>
      <c r="K1736" s="6">
        <f>HYPERLINK("https://www.kleinanzeigen.de/s-anzeige/duotone-pace-sls-kite-foil-board-carbon/2646455926-230-6836", "Link")</f>
        <v/>
      </c>
      <c r="L1736" s="6">
        <f>HYPERLINK("C:\Projects\Kleinanzeigen-Scraper\offer_images\2646455926", "Link")</f>
        <v/>
      </c>
      <c r="M1736" t="inlineStr">
        <is>
          <t>No user name</t>
        </is>
      </c>
      <c r="N1736" s="6">
        <f>HYPERLINK("https://www.kleinanzeigen.deNo user link", "Link")</f>
        <v/>
      </c>
      <c r="O1736" s="7" t="n">
        <v>45549.57453703704</v>
      </c>
      <c r="P1736" s="3" t="inlineStr">
        <is>
          <t>145.92</t>
        </is>
      </c>
      <c r="Q1736" t="inlineStr">
        <is>
          <t>München</t>
        </is>
      </c>
    </row>
    <row r="1737">
      <c r="A1737" t="inlineStr">
        <is>
          <t>246 cm x 64 cm</t>
        </is>
      </c>
      <c r="B1737" t="inlineStr">
        <is>
          <t>JP AUSTRALIA Freestyle Wave Pro</t>
        </is>
      </c>
      <c r="C1737" t="inlineStr">
        <is>
          <t>Freestyle Wave</t>
        </is>
      </c>
      <c r="D1737" s="3" t="n">
        <v>109</v>
      </c>
      <c r="E1737" t="inlineStr"/>
      <c r="F1737" s="4" t="inlineStr"/>
      <c r="G1737" t="inlineStr">
        <is>
          <t>VB</t>
        </is>
      </c>
      <c r="H1737" t="inlineStr">
        <is>
          <t>79859 Baden-Württemberg - Schluchsee</t>
        </is>
      </c>
      <c r="I1737" s="5" t="n">
        <v>45491</v>
      </c>
      <c r="J1737" t="inlineStr"/>
      <c r="K1737" s="6">
        <f>HYPERLINK("https://www.kleinanzeigen.de/s-anzeige/jp-australia-freestyle-wave-pro-109-l-windsurfboard-surfboard/2815356736-230-8297", "Link")</f>
        <v/>
      </c>
      <c r="L1737" s="6">
        <f>HYPERLINK("C:\Projects\Kleinanzeigen-Scraper\offer_images\2815356736", "Link")</f>
        <v/>
      </c>
      <c r="M1737" t="inlineStr">
        <is>
          <t>Marcel</t>
        </is>
      </c>
      <c r="N1737" s="6">
        <f>HYPERLINK("https://www.kleinanzeigen.de/s-bestandsliste.html?userId=34095911", "Link")</f>
        <v/>
      </c>
      <c r="O1737" s="7" t="n">
        <v>45549.57452546297</v>
      </c>
      <c r="P1737" s="3" t="inlineStr">
        <is>
          <t>11.96</t>
        </is>
      </c>
      <c r="Q1737" t="inlineStr">
        <is>
          <t>Bonndorf</t>
        </is>
      </c>
    </row>
    <row r="1738">
      <c r="A1738" t="inlineStr">
        <is>
          <t>5'8</t>
        </is>
      </c>
      <c r="B1738" t="inlineStr">
        <is>
          <t>Fanatic</t>
        </is>
      </c>
      <c r="C1738" t="inlineStr">
        <is>
          <t>Wing Board</t>
        </is>
      </c>
      <c r="D1738" s="3" t="n">
        <v>110</v>
      </c>
      <c r="E1738" t="inlineStr"/>
      <c r="F1738" s="4" t="n">
        <v>650</v>
      </c>
      <c r="G1738" t="inlineStr">
        <is>
          <t>VB</t>
        </is>
      </c>
      <c r="H1738" t="inlineStr">
        <is>
          <t>80797 München - Maxvorstadt</t>
        </is>
      </c>
      <c r="I1738" s="5" t="n">
        <v>45503</v>
      </c>
      <c r="J1738" t="inlineStr">
        <is>
          <t>Sold</t>
        </is>
      </c>
      <c r="K1738" s="6">
        <f>HYPERLINK("https://www.kleinanzeigen.de/s-anzeige/wing-board-fanatic-5-8-110l/2825155632-230-16353", "Link")</f>
        <v/>
      </c>
      <c r="L1738" s="6">
        <f>HYPERLINK("C:\Projects\Kleinanzeigen-Scraper\offer_images\2825155632", "Link")</f>
        <v/>
      </c>
      <c r="M1738" t="inlineStr">
        <is>
          <t>Nick</t>
        </is>
      </c>
      <c r="N1738" s="6">
        <f>HYPERLINK("https://www.kleinanzeigen.de/s-bestandsliste.html?userId=142917874", "Link")</f>
        <v/>
      </c>
      <c r="O1738" s="7" t="n">
        <v>45549.57452546297</v>
      </c>
      <c r="P1738" s="3" t="inlineStr">
        <is>
          <t>3.18</t>
        </is>
      </c>
      <c r="Q1738" t="inlineStr">
        <is>
          <t>München</t>
        </is>
      </c>
    </row>
    <row r="1739">
      <c r="A1739" t="inlineStr"/>
      <c r="B1739" t="inlineStr">
        <is>
          <t>Fanatic Honeycomb</t>
        </is>
      </c>
      <c r="C1739" t="inlineStr">
        <is>
          <t>Freewave</t>
        </is>
      </c>
      <c r="D1739" s="3" t="inlineStr"/>
      <c r="E1739" t="inlineStr"/>
      <c r="F1739" s="4" t="n">
        <v>120</v>
      </c>
      <c r="G1739" t="inlineStr"/>
      <c r="H1739" t="inlineStr">
        <is>
          <t>91738 Bayern - Pfofeld</t>
        </is>
      </c>
      <c r="I1739" s="5" t="n">
        <v>45503</v>
      </c>
      <c r="J1739" t="inlineStr">
        <is>
          <t>Sold</t>
        </is>
      </c>
      <c r="K1739" s="6">
        <f>HYPERLINK("https://www.kleinanzeigen.de/s-anzeige/windsurfboard-fanatic-honeycomb-sinker-mit-2-rigs/2824944027-230-6169", "Link")</f>
        <v/>
      </c>
      <c r="L1739" s="6">
        <f>HYPERLINK("C:\Projects\Kleinanzeigen-Scraper\offer_images\2824944027", "Link")</f>
        <v/>
      </c>
      <c r="M1739" t="inlineStr">
        <is>
          <t>Roland B.</t>
        </is>
      </c>
      <c r="N1739" s="6">
        <f>HYPERLINK("https://www.kleinanzeigen.de/s-bestandsliste.html?userId=4472225", "Link")</f>
        <v/>
      </c>
      <c r="O1739" s="7" t="n">
        <v>45549.57450231481</v>
      </c>
      <c r="P1739" s="3" t="inlineStr">
        <is>
          <t>120.51</t>
        </is>
      </c>
      <c r="Q1739" t="inlineStr">
        <is>
          <t>München</t>
        </is>
      </c>
    </row>
    <row r="1740">
      <c r="A1740" t="inlineStr">
        <is>
          <t>263 cm</t>
        </is>
      </c>
      <c r="B1740" t="inlineStr">
        <is>
          <t>Tiga</t>
        </is>
      </c>
      <c r="C1740" t="inlineStr">
        <is>
          <t>Freemove</t>
        </is>
      </c>
      <c r="D1740" s="3" t="n">
        <v>135</v>
      </c>
      <c r="E1740" t="inlineStr"/>
      <c r="F1740" s="4" t="n">
        <v>280</v>
      </c>
      <c r="G1740" t="inlineStr">
        <is>
          <t>VB</t>
        </is>
      </c>
      <c r="H1740" t="inlineStr">
        <is>
          <t>30171 Hannover - Südstadt-Bult</t>
        </is>
      </c>
      <c r="I1740" s="5" t="n">
        <v>45548</v>
      </c>
      <c r="J1740" t="inlineStr"/>
      <c r="K1740" s="6">
        <f>HYPERLINK("https://www.kleinanzeigen.de/s-anzeige/windsurf-board-135l-tiga-freemove-no-tabou-no-fanatic/2862165675-230-3162", "Link")</f>
        <v/>
      </c>
      <c r="L1740" s="6">
        <f>HYPERLINK("C:\Projects\Kleinanzeigen-Scraper\offer_images\2862165675", "Link")</f>
        <v/>
      </c>
      <c r="M1740" t="inlineStr">
        <is>
          <t>Oliver</t>
        </is>
      </c>
      <c r="N1740" s="6">
        <f>HYPERLINK("https://www.kleinanzeigen.de/s-bestandsliste.html?userId=17323003", "Link")</f>
        <v/>
      </c>
      <c r="O1740" s="7" t="n">
        <v>45549.57445601852</v>
      </c>
      <c r="P1740" s="3" t="inlineStr">
        <is>
          <t>249.94</t>
        </is>
      </c>
      <c r="Q1740" t="inlineStr">
        <is>
          <t>Köln</t>
        </is>
      </c>
    </row>
    <row r="1741">
      <c r="A1741" t="inlineStr"/>
      <c r="B1741" t="inlineStr">
        <is>
          <t>RRD Beluga LTE</t>
        </is>
      </c>
      <c r="C1741" t="inlineStr">
        <is>
          <t>Wing Foil</t>
        </is>
      </c>
      <c r="D1741" s="3" t="n">
        <v>75</v>
      </c>
      <c r="E1741" t="inlineStr"/>
      <c r="F1741" s="4" t="n">
        <v>749</v>
      </c>
      <c r="G1741" t="inlineStr">
        <is>
          <t>VB</t>
        </is>
      </c>
      <c r="H1741" t="inlineStr">
        <is>
          <t>39175 Sachsen-Anhalt - Biederitz</t>
        </is>
      </c>
      <c r="I1741" s="5" t="n">
        <v>45537</v>
      </c>
      <c r="J1741" t="inlineStr">
        <is>
          <t>Sold</t>
        </is>
      </c>
      <c r="K1741" s="6">
        <f>HYPERLINK("https://www.kleinanzeigen.de/s-anzeige/rrd-beluga-lte-75l-wing-foil-board-wie-neu-/2852884997-230-19540", "Link")</f>
        <v/>
      </c>
      <c r="L1741" s="6">
        <f>HYPERLINK("C:\Projects\Kleinanzeigen-Scraper\offer_images\2852884997", "Link")</f>
        <v/>
      </c>
      <c r="M1741" t="inlineStr">
        <is>
          <t>Michi</t>
        </is>
      </c>
      <c r="N1741" s="6">
        <f>HYPERLINK("https://www.kleinanzeigen.de/s-bestandsliste.html?userId=11579364", "Link")</f>
        <v/>
      </c>
      <c r="O1741" s="7" t="n">
        <v>45549.57445601852</v>
      </c>
      <c r="P1741" s="3" t="inlineStr">
        <is>
          <t>358.54</t>
        </is>
      </c>
      <c r="Q1741" t="inlineStr">
        <is>
          <t>Köln</t>
        </is>
      </c>
    </row>
    <row r="1742">
      <c r="A1742" t="inlineStr"/>
      <c r="B1742" t="inlineStr">
        <is>
          <t>Tabou Pocket Air</t>
        </is>
      </c>
      <c r="C1742" t="inlineStr">
        <is>
          <t>Wingfoil</t>
        </is>
      </c>
      <c r="D1742" s="3" t="n">
        <v>97</v>
      </c>
      <c r="E1742" t="inlineStr">
        <is>
          <t>2023/2024</t>
        </is>
      </c>
      <c r="F1742" s="4" t="n">
        <v>1.111</v>
      </c>
      <c r="G1742" t="inlineStr">
        <is>
          <t>VB</t>
        </is>
      </c>
      <c r="H1742" t="inlineStr">
        <is>
          <t>46147 Nordrhein-Westfalen - Oberhausen</t>
        </is>
      </c>
      <c r="I1742" s="5" t="n">
        <v>45521</v>
      </c>
      <c r="J1742" t="inlineStr">
        <is>
          <t>Sold</t>
        </is>
      </c>
      <c r="K1742" s="6">
        <f>HYPERLINK("https://www.kleinanzeigen.de/s-anzeige/tabou-wingfoil-board-mit-foilset/2839055402-230-1291", "Link")</f>
        <v/>
      </c>
      <c r="L1742" s="6">
        <f>HYPERLINK("C:\Projects\Kleinanzeigen-Scraper\offer_images\2839055402", "Link")</f>
        <v/>
      </c>
      <c r="M1742" t="inlineStr">
        <is>
          <t>Bürgers Martin</t>
        </is>
      </c>
      <c r="N1742" s="6">
        <f>HYPERLINK("https://www.kleinanzeigen.de/s-bestandsliste.html?userId=22813842", "Link")</f>
        <v/>
      </c>
      <c r="O1742" s="7" t="n">
        <v>45549.57443287037</v>
      </c>
      <c r="P1742" s="3" t="inlineStr">
        <is>
          <t>67.87</t>
        </is>
      </c>
      <c r="Q1742" t="inlineStr">
        <is>
          <t>Köln</t>
        </is>
      </c>
    </row>
    <row r="1743">
      <c r="A1743" t="inlineStr">
        <is>
          <t>135L</t>
        </is>
      </c>
      <c r="B1743" t="inlineStr">
        <is>
          <t>Naish</t>
        </is>
      </c>
      <c r="C1743" t="inlineStr">
        <is>
          <t>Foilboard</t>
        </is>
      </c>
      <c r="D1743" s="3" t="n">
        <v>135</v>
      </c>
      <c r="E1743" t="inlineStr"/>
      <c r="F1743" s="4" t="n">
        <v>380</v>
      </c>
      <c r="G1743" t="inlineStr">
        <is>
          <t>VB</t>
        </is>
      </c>
      <c r="H1743" t="inlineStr">
        <is>
          <t>35423 Hessen - Lich</t>
        </is>
      </c>
      <c r="I1743" s="5" t="n">
        <v>45542</v>
      </c>
      <c r="J1743" t="inlineStr">
        <is>
          <t>Sold</t>
        </is>
      </c>
      <c r="K1743" s="6">
        <f>HYPERLINK("https://www.kleinanzeigen.de/s-anzeige/foilboard-wingboard-wingfoilboard-135l-naish/2856603936-230-4665", "Link")</f>
        <v/>
      </c>
      <c r="L1743" s="6">
        <f>HYPERLINK("C:\Projects\Kleinanzeigen-Scraper\offer_images\2856603936", "Link")</f>
        <v/>
      </c>
      <c r="M1743" t="inlineStr">
        <is>
          <t>Andreas</t>
        </is>
      </c>
      <c r="N1743" s="6">
        <f>HYPERLINK("https://www.kleinanzeigen.de/s-bestandsliste.html?userId=4819931", "Link")</f>
        <v/>
      </c>
      <c r="O1743" s="7" t="n">
        <v>45549.57443287037</v>
      </c>
      <c r="P1743" s="3" t="inlineStr">
        <is>
          <t>140.75</t>
        </is>
      </c>
      <c r="Q1743" t="inlineStr">
        <is>
          <t>Köln</t>
        </is>
      </c>
    </row>
    <row r="1744">
      <c r="A1744" t="inlineStr"/>
      <c r="B1744" t="inlineStr">
        <is>
          <t>Starboard ISONIC 72</t>
        </is>
      </c>
      <c r="C1744" t="inlineStr">
        <is>
          <t>Slalom</t>
        </is>
      </c>
      <c r="D1744" s="3" t="inlineStr"/>
      <c r="E1744" t="inlineStr">
        <is>
          <t>2021</t>
        </is>
      </c>
      <c r="F1744" s="4" t="n">
        <v>1.19</v>
      </c>
      <c r="G1744" t="inlineStr"/>
      <c r="H1744" t="inlineStr">
        <is>
          <t>22147 Wandsbek - Hamburg Rahlstedt</t>
        </is>
      </c>
      <c r="I1744" s="5" t="n">
        <v>45553</v>
      </c>
      <c r="J1744" t="inlineStr"/>
      <c r="K1744" s="6">
        <f>HYPERLINK("https://www.kleinanzeigen.de/s-anzeige/starboard-isonic-72-bj-2021-inkl-boardbag-und-z-finne-slm-37/2860605668-230-9458", "Link")</f>
        <v/>
      </c>
      <c r="L1744" s="6">
        <f>HYPERLINK("C:\Projects\Kleinanzeigen-Scraper\offer_images\2860605668", "Link")</f>
        <v/>
      </c>
      <c r="M1744" t="inlineStr">
        <is>
          <t>Andreas Höchst</t>
        </is>
      </c>
      <c r="N1744" s="6">
        <f>HYPERLINK("https://www.kleinanzeigen.de/s-bestandsliste.html?userId=30635251", "Link")</f>
        <v/>
      </c>
      <c r="O1744" s="7" t="n">
        <v>45549.57440972222</v>
      </c>
      <c r="P1744" s="3" t="inlineStr">
        <is>
          <t>367.83</t>
        </is>
      </c>
      <c r="Q1744" t="inlineStr">
        <is>
          <t>Köln</t>
        </is>
      </c>
    </row>
    <row r="1745">
      <c r="A1745" t="inlineStr">
        <is>
          <t>225 x 61.5 cm</t>
        </is>
      </c>
      <c r="B1745" t="inlineStr">
        <is>
          <t>Starboard Kode</t>
        </is>
      </c>
      <c r="C1745" t="inlineStr">
        <is>
          <t>Freeride</t>
        </is>
      </c>
      <c r="D1745" s="3" t="n">
        <v>95</v>
      </c>
      <c r="E1745" t="inlineStr">
        <is>
          <t>2022</t>
        </is>
      </c>
      <c r="F1745" s="4" t="n">
        <v>950</v>
      </c>
      <c r="G1745" t="inlineStr"/>
      <c r="H1745" t="inlineStr">
        <is>
          <t>82178 Bayern - Puchheim</t>
        </is>
      </c>
      <c r="I1745" s="5" t="n">
        <v>45548</v>
      </c>
      <c r="J1745" t="inlineStr">
        <is>
          <t>Sold</t>
        </is>
      </c>
      <c r="K1745" s="6">
        <f>HYPERLINK("https://www.kleinanzeigen.de/s-anzeige/starboard-kode-95-liter-2022-wood-sandwich-1-x-gefahren/2862261955-230-5599", "Link")</f>
        <v/>
      </c>
      <c r="L1745" s="6">
        <f>HYPERLINK("C:\Projects\Kleinanzeigen-Scraper\offer_images\2862261955", "Link")</f>
        <v/>
      </c>
      <c r="M1745" t="inlineStr">
        <is>
          <t>Michael Nanini</t>
        </is>
      </c>
      <c r="N1745" s="6">
        <f>HYPERLINK("https://www.kleinanzeigen.de/s-bestandsliste.html?userId=11859414", "Link")</f>
        <v/>
      </c>
      <c r="O1745" s="7" t="n">
        <v>45549.57440972222</v>
      </c>
      <c r="P1745" s="3" t="inlineStr">
        <is>
          <t>17.38</t>
        </is>
      </c>
      <c r="Q1745" t="inlineStr">
        <is>
          <t>München</t>
        </is>
      </c>
    </row>
    <row r="1746">
      <c r="A1746" t="inlineStr">
        <is>
          <t>14'x26'x6'</t>
        </is>
      </c>
      <c r="B1746" t="inlineStr">
        <is>
          <t>Starboard Astro Racer</t>
        </is>
      </c>
      <c r="C1746" t="inlineStr"/>
      <c r="D1746" s="3" t="n">
        <v>319</v>
      </c>
      <c r="E1746" t="inlineStr"/>
      <c r="F1746" s="4" t="n">
        <v>600</v>
      </c>
      <c r="G1746" t="inlineStr">
        <is>
          <t>VB</t>
        </is>
      </c>
      <c r="H1746" t="inlineStr">
        <is>
          <t>88416 Baden-Württemberg - Ochsenhausen</t>
        </is>
      </c>
      <c r="I1746" s="5" t="n">
        <v>45540</v>
      </c>
      <c r="J1746" t="inlineStr"/>
      <c r="K1746" s="6">
        <f>HYPERLINK("https://www.kleinanzeigen.de/s-anzeige/sup-starboard-astro-racer-14-x26-x6-x-319l/2854876258-230-19203", "Link")</f>
        <v/>
      </c>
      <c r="L1746" s="6">
        <f>HYPERLINK("C:\Projects\Kleinanzeigen-Scraper\offer_images\2854876258", "Link")</f>
        <v/>
      </c>
      <c r="M1746" t="inlineStr">
        <is>
          <t>Julian</t>
        </is>
      </c>
      <c r="N1746" s="6">
        <f>HYPERLINK("https://www.kleinanzeigen.de/s-bestandsliste.html?userId=131042398", "Link")</f>
        <v/>
      </c>
      <c r="O1746" s="7" t="n">
        <v>45549.57440972222</v>
      </c>
      <c r="P1746" s="3" t="inlineStr">
        <is>
          <t>98.15</t>
        </is>
      </c>
      <c r="Q1746" t="inlineStr">
        <is>
          <t>Böblingen</t>
        </is>
      </c>
    </row>
    <row r="1747">
      <c r="A1747" t="inlineStr">
        <is>
          <t>239.9 cm x 64 cm</t>
        </is>
      </c>
      <c r="B1747" t="inlineStr">
        <is>
          <t>Tabou Rocket</t>
        </is>
      </c>
      <c r="C1747" t="inlineStr">
        <is>
          <t>Freeride</t>
        </is>
      </c>
      <c r="D1747" s="3" t="n">
        <v>115</v>
      </c>
      <c r="E1747" t="inlineStr"/>
      <c r="F1747" s="4" t="n">
        <v>500</v>
      </c>
      <c r="G1747" t="inlineStr">
        <is>
          <t>VB</t>
        </is>
      </c>
      <c r="H1747" t="inlineStr">
        <is>
          <t>16727 Brandenburg - Velten</t>
        </is>
      </c>
      <c r="I1747" s="5" t="n">
        <v>45471</v>
      </c>
      <c r="J1747" t="inlineStr"/>
      <c r="K1747" s="6">
        <f>HYPERLINK("https://www.kleinanzeigen.de/s-anzeige/tabou-rocket-115/2799376837-230-7901", "Link")</f>
        <v/>
      </c>
      <c r="L1747" s="6">
        <f>HYPERLINK("C:\Projects\Kleinanzeigen-Scraper\offer_images\2799376837", "Link")</f>
        <v/>
      </c>
      <c r="M1747" t="inlineStr">
        <is>
          <t>Kenneth</t>
        </is>
      </c>
      <c r="N1747" s="6">
        <f>HYPERLINK("https://www.kleinanzeigen.de/s-bestandsliste.html?userId=83462490", "Link")</f>
        <v/>
      </c>
      <c r="O1747" s="7" t="n">
        <v>45549.57439814815</v>
      </c>
      <c r="P1747" s="3" t="inlineStr">
        <is>
          <t>467.44</t>
        </is>
      </c>
      <c r="Q1747" t="inlineStr">
        <is>
          <t>Köln</t>
        </is>
      </c>
    </row>
    <row r="1748">
      <c r="A1748" t="inlineStr"/>
      <c r="B1748" t="inlineStr">
        <is>
          <t>Fanatic bee</t>
        </is>
      </c>
      <c r="C1748" t="inlineStr">
        <is>
          <t>Wing Foil</t>
        </is>
      </c>
      <c r="D1748" s="3" t="n">
        <v>120</v>
      </c>
      <c r="E1748" t="inlineStr"/>
      <c r="F1748" s="4" t="n">
        <v>700</v>
      </c>
      <c r="G1748" t="inlineStr">
        <is>
          <t>VB</t>
        </is>
      </c>
      <c r="H1748" t="inlineStr">
        <is>
          <t>82234 Bayern - Weßling</t>
        </is>
      </c>
      <c r="I1748" s="5" t="n">
        <v>45527</v>
      </c>
      <c r="J1748" t="inlineStr">
        <is>
          <t>Sold</t>
        </is>
      </c>
      <c r="K1748" s="6">
        <f>HYPERLINK("https://www.kleinanzeigen.de/s-anzeige/fanatic-bee-7-8-120l-wing-foil-board/2844486831-230-6356", "Link")</f>
        <v/>
      </c>
      <c r="L1748" s="6">
        <f>HYPERLINK("C:\Projects\Kleinanzeigen-Scraper\offer_images\2844486831", "Link")</f>
        <v/>
      </c>
      <c r="M1748" t="inlineStr">
        <is>
          <t>Cornelius vetter</t>
        </is>
      </c>
      <c r="N1748" s="6">
        <f>HYPERLINK("https://www.kleinanzeigen.de/s-bestandsliste.html?userId=51337426", "Link")</f>
        <v/>
      </c>
      <c r="O1748" s="7" t="n">
        <v>45549.57439814815</v>
      </c>
      <c r="P1748" s="3" t="inlineStr">
        <is>
          <t>23.25</t>
        </is>
      </c>
      <c r="Q1748" t="inlineStr">
        <is>
          <t>München</t>
        </is>
      </c>
    </row>
    <row r="1749">
      <c r="A1749" t="inlineStr"/>
      <c r="B1749" t="inlineStr">
        <is>
          <t>Goya Proton</t>
        </is>
      </c>
      <c r="C1749" t="inlineStr"/>
      <c r="D1749" s="3" t="n">
        <v>118</v>
      </c>
      <c r="E1749" t="inlineStr"/>
      <c r="F1749" s="4" t="n">
        <v>1.7</v>
      </c>
      <c r="G1749" t="inlineStr">
        <is>
          <t>VB</t>
        </is>
      </c>
      <c r="H1749" t="inlineStr">
        <is>
          <t>44651 Nordrhein-Westfalen - Herne</t>
        </is>
      </c>
      <c r="I1749" s="5" t="n">
        <v>45548</v>
      </c>
      <c r="J1749" t="inlineStr">
        <is>
          <t>Sold</t>
        </is>
      </c>
      <c r="K1749" s="6">
        <f>HYPERLINK("https://www.kleinanzeigen.de/s-anzeige/windsurfboard-goya-proton-118l/2862236694-230-2000", "Link")</f>
        <v/>
      </c>
      <c r="L1749" s="6">
        <f>HYPERLINK("C:\Projects\Kleinanzeigen-Scraper\offer_images\2862236694", "Link")</f>
        <v/>
      </c>
      <c r="M1749" t="inlineStr">
        <is>
          <t>Tobias</t>
        </is>
      </c>
      <c r="N1749" s="6">
        <f>HYPERLINK("https://www.kleinanzeigen.de/s-bestandsliste.html?userId=83025417", "Link")</f>
        <v/>
      </c>
      <c r="O1749" s="7" t="n">
        <v>45549.57438657407</v>
      </c>
      <c r="P1749" s="3" t="inlineStr">
        <is>
          <t>65.70</t>
        </is>
      </c>
      <c r="Q1749" t="inlineStr">
        <is>
          <t>Köln</t>
        </is>
      </c>
    </row>
    <row r="1750">
      <c r="A1750" t="inlineStr">
        <is>
          <t>5'8" x 22"</t>
        </is>
      </c>
      <c r="B1750" t="inlineStr">
        <is>
          <t>Duotone Skybrid</t>
        </is>
      </c>
      <c r="C1750" t="inlineStr"/>
      <c r="D1750" s="3" t="n">
        <v>85</v>
      </c>
      <c r="E1750" t="inlineStr"/>
      <c r="F1750" s="4" t="n">
        <v>1.45</v>
      </c>
      <c r="G1750" t="inlineStr">
        <is>
          <t>VB</t>
        </is>
      </c>
      <c r="H1750" t="inlineStr">
        <is>
          <t>83435 Bad Reichenhall - Marzoll</t>
        </is>
      </c>
      <c r="I1750" s="5" t="n">
        <v>45547</v>
      </c>
      <c r="J1750" t="inlineStr">
        <is>
          <t>Sold</t>
        </is>
      </c>
      <c r="K1750" s="6">
        <f>HYPERLINK("https://www.kleinanzeigen.de/s-anzeige/duotone-skybrid-sls-5-8-x-22-85l-neuwertig/2861598950-230-5876", "Link")</f>
        <v/>
      </c>
      <c r="L1750" s="6">
        <f>HYPERLINK("C:\Projects\Kleinanzeigen-Scraper\offer_images\2861598950", "Link")</f>
        <v/>
      </c>
      <c r="M1750" t="inlineStr">
        <is>
          <t>Markus</t>
        </is>
      </c>
      <c r="N1750" s="6">
        <f>HYPERLINK("https://www.kleinanzeigen.de/s-bestandsliste.html?userId=70779335", "Link")</f>
        <v/>
      </c>
      <c r="O1750" s="7" t="n">
        <v>45549.574375</v>
      </c>
      <c r="P1750" s="3" t="inlineStr">
        <is>
          <t>104.89</t>
        </is>
      </c>
      <c r="Q1750" t="inlineStr">
        <is>
          <t>München</t>
        </is>
      </c>
    </row>
    <row r="1751">
      <c r="A1751" t="inlineStr">
        <is>
          <t>141 cm</t>
        </is>
      </c>
      <c r="B1751" t="inlineStr">
        <is>
          <t>Duotone Select SLS</t>
        </is>
      </c>
      <c r="C1751" t="inlineStr"/>
      <c r="D1751" s="3" t="inlineStr"/>
      <c r="E1751" t="inlineStr">
        <is>
          <t>2022</t>
        </is>
      </c>
      <c r="F1751" s="4" t="n">
        <v>440</v>
      </c>
      <c r="G1751" t="inlineStr">
        <is>
          <t>VB</t>
        </is>
      </c>
      <c r="H1751" t="inlineStr">
        <is>
          <t>52249 Nordrhein-Westfalen - Eschweiler</t>
        </is>
      </c>
      <c r="I1751" s="5" t="n">
        <v>45543</v>
      </c>
      <c r="J1751" t="inlineStr">
        <is>
          <t>Sold</t>
        </is>
      </c>
      <c r="K1751" s="6">
        <f>HYPERLINK("https://www.kleinanzeigen.de/s-anzeige/duotone-select-sls-2022-141-cm/2858105528-230-1908", "Link")</f>
        <v/>
      </c>
      <c r="L1751" s="6">
        <f>HYPERLINK("C:\Projects\Kleinanzeigen-Scraper\offer_images\2858105528", "Link")</f>
        <v/>
      </c>
      <c r="M1751" t="inlineStr">
        <is>
          <t>Björn</t>
        </is>
      </c>
      <c r="N1751" s="6">
        <f>HYPERLINK("https://www.kleinanzeigen.de/s-bestandsliste.html?userId=10547546", "Link")</f>
        <v/>
      </c>
      <c r="O1751" s="7" t="n">
        <v>45549.57435185185</v>
      </c>
      <c r="P1751" s="3" t="inlineStr">
        <is>
          <t>50.09</t>
        </is>
      </c>
      <c r="Q1751" t="inlineStr">
        <is>
          <t>Köln</t>
        </is>
      </c>
    </row>
    <row r="1752">
      <c r="A1752" t="inlineStr">
        <is>
          <t>111 L</t>
        </is>
      </c>
      <c r="B1752" t="inlineStr">
        <is>
          <t>JP Australia X-Winger PRO</t>
        </is>
      </c>
      <c r="C1752" t="inlineStr">
        <is>
          <t>Wingfoil</t>
        </is>
      </c>
      <c r="D1752" s="3" t="n">
        <v>111</v>
      </c>
      <c r="E1752" t="inlineStr">
        <is>
          <t>2024</t>
        </is>
      </c>
      <c r="F1752" s="4" t="n">
        <v>1.15</v>
      </c>
      <c r="G1752" t="inlineStr">
        <is>
          <t>VB</t>
        </is>
      </c>
      <c r="H1752" t="inlineStr">
        <is>
          <t>66625 Saarland - Nohfelden</t>
        </is>
      </c>
      <c r="I1752" s="5" t="n">
        <v>45551</v>
      </c>
      <c r="J1752" t="inlineStr">
        <is>
          <t>Sold</t>
        </is>
      </c>
      <c r="K1752" s="6">
        <f>HYPERLINK("https://www.kleinanzeigen.de/s-anzeige/jp-australia-x-winger-pro-2024-111-l-wingfoilboard/2860594492-230-317", "Link")</f>
        <v/>
      </c>
      <c r="L1752" s="6">
        <f>HYPERLINK("C:\Projects\Kleinanzeigen-Scraper\offer_images\2860594492", "Link")</f>
        <v/>
      </c>
      <c r="M1752" t="inlineStr">
        <is>
          <t>Zadach</t>
        </is>
      </c>
      <c r="N1752" s="6">
        <f>HYPERLINK("https://www.kleinanzeigen.de/s-bestandsliste.html?userId=7415040", "Link")</f>
        <v/>
      </c>
      <c r="O1752" s="7" t="n">
        <v>45549.57435185185</v>
      </c>
      <c r="P1752" s="3" t="inlineStr">
        <is>
          <t>113.60</t>
        </is>
      </c>
      <c r="Q1752" t="inlineStr">
        <is>
          <t>Karlsruhe</t>
        </is>
      </c>
    </row>
    <row r="1753">
      <c r="A1753" t="inlineStr">
        <is>
          <t>236 x 65 cm</t>
        </is>
      </c>
      <c r="B1753" t="inlineStr">
        <is>
          <t>Nove Nove Style Wave Pro</t>
        </is>
      </c>
      <c r="C1753" t="inlineStr">
        <is>
          <t>Freewave</t>
        </is>
      </c>
      <c r="D1753" s="3" t="n">
        <v>113</v>
      </c>
      <c r="E1753" t="inlineStr"/>
      <c r="F1753" s="4" t="n">
        <v>790</v>
      </c>
      <c r="G1753" t="inlineStr">
        <is>
          <t>VB</t>
        </is>
      </c>
      <c r="H1753" t="inlineStr">
        <is>
          <t>22880 Kreis Pinneberg - Wedel</t>
        </is>
      </c>
      <c r="I1753" s="5" t="n">
        <v>45520</v>
      </c>
      <c r="J1753" t="inlineStr">
        <is>
          <t>Sold</t>
        </is>
      </c>
      <c r="K1753" s="6">
        <f>HYPERLINK("https://www.kleinanzeigen.de/s-anzeige/nove-nove-style-wave-pro-113-freewave-board-aehnl-fanatic/2838327835-230-756", "Link")</f>
        <v/>
      </c>
      <c r="L1753" s="6">
        <f>HYPERLINK("C:\Projects\Kleinanzeigen-Scraper\offer_images\2838327835", "Link")</f>
        <v/>
      </c>
      <c r="M1753" t="inlineStr">
        <is>
          <t>Björn</t>
        </is>
      </c>
      <c r="N1753" s="6">
        <f>HYPERLINK("https://www.kleinanzeigen.de/s-bestandsliste.html?userId=506614", "Link")</f>
        <v/>
      </c>
      <c r="O1753" s="7" t="n">
        <v>45549.5743287037</v>
      </c>
      <c r="P1753" s="3" t="inlineStr">
        <is>
          <t>349.30</t>
        </is>
      </c>
      <c r="Q1753" t="inlineStr">
        <is>
          <t>Köln</t>
        </is>
      </c>
    </row>
    <row r="1754">
      <c r="A1754" t="inlineStr">
        <is>
          <t>132</t>
        </is>
      </c>
      <c r="B1754" t="inlineStr">
        <is>
          <t>Naish Alana</t>
        </is>
      </c>
      <c r="C1754" t="inlineStr">
        <is>
          <t>Kiteboard</t>
        </is>
      </c>
      <c r="D1754" s="3" t="inlineStr"/>
      <c r="E1754" t="inlineStr">
        <is>
          <t>2024</t>
        </is>
      </c>
      <c r="F1754" s="4" t="n">
        <v>489</v>
      </c>
      <c r="G1754" t="inlineStr"/>
      <c r="H1754" t="inlineStr">
        <is>
          <t>22457 Eimsbüttel - Hamburg Schnelsen</t>
        </is>
      </c>
      <c r="I1754" s="5" t="n">
        <v>45535</v>
      </c>
      <c r="J1754" t="inlineStr">
        <is>
          <t>Sold</t>
        </is>
      </c>
      <c r="K1754" s="6">
        <f>HYPERLINK("https://www.kleinanzeigen.de/s-anzeige/naish-alana-kiteboard-2024-neu-kitesurfen/2724758620-230-9492", "Link")</f>
        <v/>
      </c>
      <c r="L1754" s="6">
        <f>HYPERLINK("C:\Projects\Kleinanzeigen-Scraper\offer_images\2724758620", "Link")</f>
        <v/>
      </c>
      <c r="M1754" t="inlineStr">
        <is>
          <t>No user name</t>
        </is>
      </c>
      <c r="N1754" s="6">
        <f>HYPERLINK("https://www.kleinanzeigen.deNo user link", "Link")</f>
        <v/>
      </c>
      <c r="O1754" s="7" t="n">
        <v>45549.5743287037</v>
      </c>
      <c r="P1754" s="3" t="inlineStr">
        <is>
          <t>362.41</t>
        </is>
      </c>
      <c r="Q1754" t="inlineStr">
        <is>
          <t>Köln</t>
        </is>
      </c>
    </row>
    <row r="1755">
      <c r="A1755" t="inlineStr">
        <is>
          <t>8'6</t>
        </is>
      </c>
      <c r="B1755" t="inlineStr">
        <is>
          <t>Naish</t>
        </is>
      </c>
      <c r="C1755" t="inlineStr">
        <is>
          <t>Wave</t>
        </is>
      </c>
      <c r="D1755" s="3" t="inlineStr"/>
      <c r="E1755" t="inlineStr"/>
      <c r="F1755" s="4" t="n">
        <v>75</v>
      </c>
      <c r="G1755" t="inlineStr"/>
      <c r="H1755" t="inlineStr">
        <is>
          <t>66978 Rheinland-Pfalz - Clausen Kreis Pirmasens</t>
        </is>
      </c>
      <c r="I1755" s="5" t="n">
        <v>45522</v>
      </c>
      <c r="J1755" t="inlineStr"/>
      <c r="K1755" s="6">
        <f>HYPERLINK("https://www.kleinanzeigen.de/s-anzeige/naish-wave-8-6-surfboard/2839951356-230-21055", "Link")</f>
        <v/>
      </c>
      <c r="L1755" s="6">
        <f>HYPERLINK("C:\Projects\Kleinanzeigen-Scraper\offer_images\2839951356", "Link")</f>
        <v/>
      </c>
      <c r="M1755" t="inlineStr">
        <is>
          <t>St</t>
        </is>
      </c>
      <c r="N1755" s="6">
        <f>HYPERLINK("https://www.kleinanzeigen.de/s-bestandsliste.html?userId=30486484", "Link")</f>
        <v/>
      </c>
      <c r="O1755" s="7" t="n">
        <v>45549.5743287037</v>
      </c>
      <c r="P1755" s="3" t="inlineStr">
        <is>
          <t>59.44</t>
        </is>
      </c>
      <c r="Q1755" t="inlineStr">
        <is>
          <t>Karlsruhe</t>
        </is>
      </c>
    </row>
    <row r="1756">
      <c r="A1756" t="inlineStr"/>
      <c r="B1756" t="inlineStr">
        <is>
          <t>Fanatic Freewave</t>
        </is>
      </c>
      <c r="C1756" t="inlineStr">
        <is>
          <t>Freewave</t>
        </is>
      </c>
      <c r="D1756" s="3" t="n">
        <v>77</v>
      </c>
      <c r="E1756" t="inlineStr">
        <is>
          <t>2008</t>
        </is>
      </c>
      <c r="F1756" s="4" t="n">
        <v>150</v>
      </c>
      <c r="G1756" t="inlineStr">
        <is>
          <t>VB</t>
        </is>
      </c>
      <c r="H1756" t="inlineStr">
        <is>
          <t>20535 Hamburg-Mitte - Hamburg Borgfelde</t>
        </is>
      </c>
      <c r="I1756" s="5" t="n">
        <v>45532</v>
      </c>
      <c r="J1756" t="inlineStr">
        <is>
          <t>Sold</t>
        </is>
      </c>
      <c r="K1756" s="6">
        <f>HYPERLINK("https://www.kleinanzeigen.de/s-anzeige/fanatic-freewave-77l-2008-verkauf-oder-tausch/2848743560-230-16466", "Link")</f>
        <v/>
      </c>
      <c r="L1756" s="6">
        <f>HYPERLINK("C:\Projects\Kleinanzeigen-Scraper\offer_images\2848743560", "Link")</f>
        <v/>
      </c>
      <c r="M1756" t="inlineStr">
        <is>
          <t>Mario Schenzer</t>
        </is>
      </c>
      <c r="N1756" s="6">
        <f>HYPERLINK("https://www.kleinanzeigen.de/s-bestandsliste.html?userId=34205697", "Link")</f>
        <v/>
      </c>
      <c r="O1756" s="7" t="n">
        <v>45549.5743287037</v>
      </c>
      <c r="P1756" s="3" t="inlineStr">
        <is>
          <t>359.68</t>
        </is>
      </c>
      <c r="Q1756" t="inlineStr">
        <is>
          <t>Köln</t>
        </is>
      </c>
    </row>
    <row r="1757">
      <c r="A1757" t="inlineStr"/>
      <c r="B1757" t="inlineStr">
        <is>
          <t>Fanatic Hawk</t>
        </is>
      </c>
      <c r="C1757" t="inlineStr"/>
      <c r="D1757" s="3" t="inlineStr"/>
      <c r="E1757" t="inlineStr"/>
      <c r="F1757" s="4" t="n">
        <v>200</v>
      </c>
      <c r="G1757" t="inlineStr"/>
      <c r="H1757" t="inlineStr">
        <is>
          <t>25524 Schleswig-Holstein - Itzehoe</t>
        </is>
      </c>
      <c r="I1757" s="5" t="n">
        <v>45509</v>
      </c>
      <c r="J1757" t="inlineStr">
        <is>
          <t>Sold</t>
        </is>
      </c>
      <c r="K1757" s="6">
        <f>HYPERLINK("https://www.kleinanzeigen.de/s-anzeige/windsurfboard-fanatic-hawk-surfbrett/2829933838-230-13329", "Link")</f>
        <v/>
      </c>
      <c r="L1757" s="6">
        <f>HYPERLINK("C:\Projects\Kleinanzeigen-Scraper\offer_images\2829933838", "Link")</f>
        <v/>
      </c>
      <c r="M1757" t="inlineStr">
        <is>
          <t>Se</t>
        </is>
      </c>
      <c r="N1757" s="6">
        <f>HYPERLINK("https://www.kleinanzeigen.de/s-bestandsliste.html?userId=129224697", "Link")</f>
        <v/>
      </c>
      <c r="O1757" s="7" t="n">
        <v>45549.5743287037</v>
      </c>
      <c r="P1757" s="3" t="inlineStr">
        <is>
          <t>375.94</t>
        </is>
      </c>
      <c r="Q1757" t="inlineStr">
        <is>
          <t>Köln</t>
        </is>
      </c>
    </row>
    <row r="1758">
      <c r="A1758" t="inlineStr">
        <is>
          <t>276 x 55</t>
        </is>
      </c>
      <c r="B1758" t="inlineStr">
        <is>
          <t>Fanatic Ray</t>
        </is>
      </c>
      <c r="C1758" t="inlineStr"/>
      <c r="D1758" s="3" t="n">
        <v>100</v>
      </c>
      <c r="E1758" t="inlineStr"/>
      <c r="F1758" s="4" t="n">
        <v>25</v>
      </c>
      <c r="G1758" t="inlineStr"/>
      <c r="H1758" t="inlineStr">
        <is>
          <t>18211 Bad Doberan - Landkreis - Bargeshagen</t>
        </is>
      </c>
      <c r="I1758" s="5" t="n">
        <v>45541</v>
      </c>
      <c r="J1758" t="inlineStr">
        <is>
          <t>Sold</t>
        </is>
      </c>
      <c r="K1758" s="6">
        <f>HYPERLINK("https://www.kleinanzeigen.de/s-anzeige/alles-windsurfboard-fanatic-ray-100l/2855641676-230-16583", "Link")</f>
        <v/>
      </c>
      <c r="L1758" s="6">
        <f>HYPERLINK("C:\Projects\Kleinanzeigen-Scraper\offer_images\2855641676", "Link")</f>
        <v/>
      </c>
      <c r="M1758" t="inlineStr">
        <is>
          <t>Dirk</t>
        </is>
      </c>
      <c r="N1758" s="6">
        <f>HYPERLINK("https://www.kleinanzeigen.de/s-bestandsliste.html?userId=141661148", "Link")</f>
        <v/>
      </c>
      <c r="O1758" s="7" t="n">
        <v>45549.57430555556</v>
      </c>
      <c r="P1758" s="3" t="inlineStr">
        <is>
          <t>490.50</t>
        </is>
      </c>
      <c r="Q1758" t="inlineStr">
        <is>
          <t>Köln</t>
        </is>
      </c>
    </row>
    <row r="1759">
      <c r="A1759" t="inlineStr"/>
      <c r="B1759" t="inlineStr">
        <is>
          <t>Tabou Minimalibu</t>
        </is>
      </c>
      <c r="C1759" t="inlineStr">
        <is>
          <t>Wave</t>
        </is>
      </c>
      <c r="D1759" s="3" t="inlineStr"/>
      <c r="E1759" t="inlineStr"/>
      <c r="F1759" s="4" t="n">
        <v>129</v>
      </c>
      <c r="G1759" t="inlineStr"/>
      <c r="H1759" t="inlineStr">
        <is>
          <t>58456 Nordrhein-Westfalen - Witten</t>
        </is>
      </c>
      <c r="I1759" s="5" t="n">
        <v>45492</v>
      </c>
      <c r="J1759" t="inlineStr">
        <is>
          <t>Sold</t>
        </is>
      </c>
      <c r="K1759" s="6">
        <f>HYPERLINK("https://www.kleinanzeigen.de/s-anzeige/tabou-minimalibu-wellenreiter/2815852363-230-1019", "Link")</f>
        <v/>
      </c>
      <c r="L1759" s="6">
        <f>HYPERLINK("C:\Projects\Kleinanzeigen-Scraper\offer_images\2815852363", "Link")</f>
        <v/>
      </c>
      <c r="M1759" t="inlineStr">
        <is>
          <t>Boris</t>
        </is>
      </c>
      <c r="N1759" s="6">
        <f>HYPERLINK("https://www.kleinanzeigen.de/s-bestandsliste.html?userId=12765784", "Link")</f>
        <v/>
      </c>
      <c r="O1759" s="7" t="n">
        <v>45549.57430555556</v>
      </c>
      <c r="P1759" s="3" t="inlineStr">
        <is>
          <t>56.10</t>
        </is>
      </c>
      <c r="Q1759" t="inlineStr">
        <is>
          <t>Köln</t>
        </is>
      </c>
    </row>
    <row r="1760">
      <c r="A1760" t="inlineStr">
        <is>
          <t>12'6" x 30"</t>
        </is>
      </c>
      <c r="B1760" t="inlineStr">
        <is>
          <t>Starboard Touring de lux light roll</t>
        </is>
      </c>
      <c r="C1760" t="inlineStr">
        <is>
          <t>Touring</t>
        </is>
      </c>
      <c r="D1760" s="3" t="inlineStr"/>
      <c r="E1760" t="inlineStr">
        <is>
          <t>2024</t>
        </is>
      </c>
      <c r="F1760" s="4" t="n">
        <v>759</v>
      </c>
      <c r="G1760" t="inlineStr">
        <is>
          <t>VB</t>
        </is>
      </c>
      <c r="H1760" t="inlineStr">
        <is>
          <t>81667 München - Au-Haidhausen</t>
        </is>
      </c>
      <c r="I1760" s="5" t="n">
        <v>45530</v>
      </c>
      <c r="J1760" t="inlineStr"/>
      <c r="K1760" s="6">
        <f>HYPERLINK("https://www.kleinanzeigen.de/s-anzeige/sup-starboard-touring-12-6-x-30-de-lux-light-roll-2024/2846834269-230-6454", "Link")</f>
        <v/>
      </c>
      <c r="L1760" s="6">
        <f>HYPERLINK("C:\Projects\Kleinanzeigen-Scraper\offer_images\2846834269", "Link")</f>
        <v/>
      </c>
      <c r="M1760" t="inlineStr">
        <is>
          <t>Guido Meier</t>
        </is>
      </c>
      <c r="N1760" s="6">
        <f>HYPERLINK("https://www.kleinanzeigen.de/s-bestandsliste.html?userId=11953205", "Link")</f>
        <v/>
      </c>
      <c r="O1760" s="7" t="n">
        <v>45549.57430555556</v>
      </c>
      <c r="P1760" s="3" t="inlineStr">
        <is>
          <t>2.06</t>
        </is>
      </c>
      <c r="Q1760" t="inlineStr">
        <is>
          <t>München</t>
        </is>
      </c>
    </row>
    <row r="1761">
      <c r="A1761" t="inlineStr">
        <is>
          <t>75x247 cm</t>
        </is>
      </c>
      <c r="B1761" t="inlineStr">
        <is>
          <t>RRD 360 Evolution</t>
        </is>
      </c>
      <c r="C1761" t="inlineStr"/>
      <c r="D1761" s="3" t="n">
        <v>130</v>
      </c>
      <c r="E1761" t="inlineStr"/>
      <c r="F1761" s="4" t="n">
        <v>410</v>
      </c>
      <c r="G1761" t="inlineStr">
        <is>
          <t>VB</t>
        </is>
      </c>
      <c r="H1761" t="inlineStr">
        <is>
          <t>04519 Sachsen - Rackwitz</t>
        </is>
      </c>
      <c r="I1761" s="5" t="n">
        <v>45529</v>
      </c>
      <c r="J1761" t="inlineStr"/>
      <c r="K1761" s="6">
        <f>HYPERLINK("https://www.kleinanzeigen.de/s-anzeige/surfboard-surfbrett-rrd-360-evolution/2846274482-230-3942", "Link")</f>
        <v/>
      </c>
      <c r="L1761" s="6">
        <f>HYPERLINK("C:\Projects\Kleinanzeigen-Scraper\offer_images\2846274482", "Link")</f>
        <v/>
      </c>
      <c r="M1761" t="inlineStr">
        <is>
          <t>Andre</t>
        </is>
      </c>
      <c r="N1761" s="6">
        <f>HYPERLINK("https://www.kleinanzeigen.de/s-bestandsliste.html?userId=5203854", "Link")</f>
        <v/>
      </c>
      <c r="O1761" s="7" t="n">
        <v>45549.5742824074</v>
      </c>
      <c r="P1761" s="3" t="inlineStr">
        <is>
          <t>374.89</t>
        </is>
      </c>
      <c r="Q1761" t="inlineStr">
        <is>
          <t>München</t>
        </is>
      </c>
    </row>
    <row r="1762">
      <c r="A1762" t="inlineStr">
        <is>
          <t>135</t>
        </is>
      </c>
      <c r="B1762" t="inlineStr">
        <is>
          <t>Fanatic Shark</t>
        </is>
      </c>
      <c r="C1762" t="inlineStr">
        <is>
          <t>Freeride</t>
        </is>
      </c>
      <c r="D1762" s="3" t="n">
        <v>135</v>
      </c>
      <c r="E1762" t="inlineStr"/>
      <c r="F1762" s="4" t="n">
        <v>470</v>
      </c>
      <c r="G1762" t="inlineStr">
        <is>
          <t>VB</t>
        </is>
      </c>
      <c r="H1762" t="inlineStr">
        <is>
          <t>98553 Thüringen - Schleusingen</t>
        </is>
      </c>
      <c r="I1762" s="5" t="n">
        <v>45528</v>
      </c>
      <c r="J1762" t="inlineStr">
        <is>
          <t>Sold</t>
        </is>
      </c>
      <c r="K1762" s="6">
        <f>HYPERLINK("https://www.kleinanzeigen.de/s-anzeige/fanatic-shark-surfboard-135-liter/2844981889-230-19050", "Link")</f>
        <v/>
      </c>
      <c r="L1762" s="6">
        <f>HYPERLINK("C:\Projects\Kleinanzeigen-Scraper\offer_images\2844981889", "Link")</f>
        <v/>
      </c>
      <c r="M1762" t="inlineStr">
        <is>
          <t>Anne</t>
        </is>
      </c>
      <c r="N1762" s="6">
        <f>HYPERLINK("https://www.kleinanzeigen.de/s-bestandsliste.html?userId=2815665", "Link")</f>
        <v/>
      </c>
      <c r="O1762" s="7" t="n">
        <v>45549.5742824074</v>
      </c>
      <c r="P1762" s="3" t="inlineStr">
        <is>
          <t>239.67</t>
        </is>
      </c>
      <c r="Q1762" t="inlineStr">
        <is>
          <t>Karlsruhe</t>
        </is>
      </c>
    </row>
    <row r="1763">
      <c r="A1763" t="inlineStr">
        <is>
          <t>300cm x 87cm</t>
        </is>
      </c>
      <c r="B1763" t="inlineStr">
        <is>
          <t>Fanatic Viper HD</t>
        </is>
      </c>
      <c r="C1763" t="inlineStr">
        <is>
          <t>Freeride</t>
        </is>
      </c>
      <c r="D1763" s="3" t="n">
        <v>245</v>
      </c>
      <c r="E1763" t="inlineStr"/>
      <c r="F1763" s="4" t="n">
        <v>799</v>
      </c>
      <c r="G1763" t="inlineStr"/>
      <c r="H1763" t="inlineStr">
        <is>
          <t>87629 Bayern - Füssen</t>
        </is>
      </c>
      <c r="I1763" s="5" t="n">
        <v>45543</v>
      </c>
      <c r="J1763" t="inlineStr">
        <is>
          <t>Sold</t>
        </is>
      </c>
      <c r="K1763" s="6">
        <f>HYPERLINK("https://www.kleinanzeigen.de/s-anzeige/windsurfboard-fanatic-viper-hd/2857284654-230-6564", "Link")</f>
        <v/>
      </c>
      <c r="L1763" s="6">
        <f>HYPERLINK("C:\Projects\Kleinanzeigen-Scraper\offer_images\2857284654", "Link")</f>
        <v/>
      </c>
      <c r="M1763" t="inlineStr">
        <is>
          <t>H.B.</t>
        </is>
      </c>
      <c r="N1763" s="6">
        <f>HYPERLINK("https://www.kleinanzeigen.de/s-bestandsliste.html?userId=144136993", "Link")</f>
        <v/>
      </c>
      <c r="O1763" s="7" t="n">
        <v>45549.5742824074</v>
      </c>
      <c r="P1763" s="3" t="inlineStr">
        <is>
          <t>92.19</t>
        </is>
      </c>
      <c r="Q1763" t="inlineStr">
        <is>
          <t>München</t>
        </is>
      </c>
    </row>
    <row r="1764">
      <c r="A1764" t="inlineStr">
        <is>
          <t>5'10"</t>
        </is>
      </c>
      <c r="B1764" t="inlineStr">
        <is>
          <t>Fanatic Sky Air Premium</t>
        </is>
      </c>
      <c r="C1764" t="inlineStr">
        <is>
          <t>Wing Foil</t>
        </is>
      </c>
      <c r="D1764" s="3" t="n">
        <v>150</v>
      </c>
      <c r="E1764" t="inlineStr">
        <is>
          <t>2022</t>
        </is>
      </c>
      <c r="F1764" s="4" t="n">
        <v>995</v>
      </c>
      <c r="G1764" t="inlineStr"/>
      <c r="H1764" t="inlineStr">
        <is>
          <t>82319 Bayern - Starnberg</t>
        </is>
      </c>
      <c r="I1764" s="5" t="n">
        <v>45546</v>
      </c>
      <c r="J1764" t="inlineStr">
        <is>
          <t>Sold</t>
        </is>
      </c>
      <c r="K1764" s="6">
        <f>HYPERLINK("https://www.kleinanzeigen.de/s-anzeige/fanatic-sky-air-premium-5-10-wing-foil-board-aufblasbar-neu/1808186520-230-5525", "Link")</f>
        <v/>
      </c>
      <c r="L1764" s="6">
        <f>HYPERLINK("C:\Projects\Kleinanzeigen-Scraper\offer_images\1808186520", "Link")</f>
        <v/>
      </c>
      <c r="M1764" t="inlineStr">
        <is>
          <t>No user name</t>
        </is>
      </c>
      <c r="N1764" s="6">
        <f>HYPERLINK("https://www.kleinanzeigen.deNo user link", "Link")</f>
        <v/>
      </c>
      <c r="O1764" s="7" t="n">
        <v>45549.57425925926</v>
      </c>
      <c r="P1764" s="3" t="inlineStr">
        <is>
          <t>23.17</t>
        </is>
      </c>
      <c r="Q1764" t="inlineStr">
        <is>
          <t>München</t>
        </is>
      </c>
    </row>
    <row r="1765">
      <c r="A1765" t="inlineStr">
        <is>
          <t>12'6" x 28" x 6"</t>
        </is>
      </c>
      <c r="B1765" t="inlineStr">
        <is>
          <t>JP Australia Sports Air SE 3DS</t>
        </is>
      </c>
      <c r="C1765" t="inlineStr"/>
      <c r="D1765" s="3" t="inlineStr"/>
      <c r="E1765" t="inlineStr">
        <is>
          <t>2021</t>
        </is>
      </c>
      <c r="F1765" s="4" t="n">
        <v>333</v>
      </c>
      <c r="G1765" t="inlineStr"/>
      <c r="H1765" t="inlineStr">
        <is>
          <t>30827 Niedersachsen - Garbsen</t>
        </is>
      </c>
      <c r="I1765" s="5" t="n">
        <v>45474</v>
      </c>
      <c r="J1765" t="inlineStr"/>
      <c r="K1765" s="6">
        <f>HYPERLINK("https://www.kleinanzeigen.de/s-anzeige/jp-australia-sports-air-se-3ds-sup/2801789041-230-3070", "Link")</f>
        <v/>
      </c>
      <c r="L1765" s="6">
        <f>HYPERLINK("C:\Projects\Kleinanzeigen-Scraper\offer_images\2801789041", "Link")</f>
        <v/>
      </c>
      <c r="M1765" t="inlineStr">
        <is>
          <t>privat</t>
        </is>
      </c>
      <c r="N1765" s="6">
        <f>HYPERLINK("https://www.kleinanzeigen.de/s-bestandsliste.html?userId=129561899", "Link")</f>
        <v/>
      </c>
      <c r="O1765" s="7" t="n">
        <v>45549.57425925926</v>
      </c>
      <c r="P1765" s="3" t="inlineStr">
        <is>
          <t>248.83</t>
        </is>
      </c>
      <c r="Q1765" t="inlineStr">
        <is>
          <t>Köln</t>
        </is>
      </c>
    </row>
    <row r="1766">
      <c r="A1766" t="inlineStr"/>
      <c r="B1766" t="inlineStr">
        <is>
          <t>Starboard Isonic 111</t>
        </is>
      </c>
      <c r="C1766" t="inlineStr">
        <is>
          <t>Slalom</t>
        </is>
      </c>
      <c r="D1766" s="3" t="n">
        <v>111</v>
      </c>
      <c r="E1766" t="inlineStr"/>
      <c r="F1766" s="4" t="n">
        <v>350</v>
      </c>
      <c r="G1766" t="inlineStr"/>
      <c r="H1766" t="inlineStr">
        <is>
          <t>21403 Niedersachsen - Wendisch Evern</t>
        </is>
      </c>
      <c r="I1766" s="5" t="n">
        <v>45534</v>
      </c>
      <c r="J1766" t="inlineStr"/>
      <c r="K1766" s="6">
        <f>HYPERLINK("https://www.kleinanzeigen.de/s-anzeige/starboard-isonic-111-slalom/2849807799-230-3282", "Link")</f>
        <v/>
      </c>
      <c r="L1766" s="6">
        <f>HYPERLINK("C:\Projects\Kleinanzeigen-Scraper\offer_images\2849807799", "Link")</f>
        <v/>
      </c>
      <c r="M1766" t="inlineStr">
        <is>
          <t>A.T.</t>
        </is>
      </c>
      <c r="N1766" s="6">
        <f>HYPERLINK("https://www.kleinanzeigen.de/s-bestandsliste.html?userId=42833409", "Link")</f>
        <v/>
      </c>
      <c r="O1766" s="7" t="n">
        <v>45549.57423611111</v>
      </c>
      <c r="P1766" s="3" t="inlineStr">
        <is>
          <t>348.97</t>
        </is>
      </c>
      <c r="Q1766" t="inlineStr">
        <is>
          <t>Köln</t>
        </is>
      </c>
    </row>
    <row r="1767">
      <c r="A1767" t="inlineStr">
        <is>
          <t>227 x 60.5 cm</t>
        </is>
      </c>
      <c r="B1767" t="inlineStr">
        <is>
          <t>Starboard Ultra 100</t>
        </is>
      </c>
      <c r="C1767" t="inlineStr"/>
      <c r="D1767" s="3" t="n">
        <v>100</v>
      </c>
      <c r="E1767" t="inlineStr">
        <is>
          <t>2023</t>
        </is>
      </c>
      <c r="F1767" s="4" t="n">
        <v>750</v>
      </c>
      <c r="G1767" t="inlineStr">
        <is>
          <t>VB</t>
        </is>
      </c>
      <c r="H1767" t="inlineStr">
        <is>
          <t>25826 Nordfriesland - Sankt Peter-Ording</t>
        </is>
      </c>
      <c r="I1767" s="5" t="n">
        <v>45529</v>
      </c>
      <c r="J1767" t="inlineStr"/>
      <c r="K1767" s="6">
        <f>HYPERLINK("https://www.kleinanzeigen.de/s-anzeige/starboard-ultra-100/2845952507-230-594", "Link")</f>
        <v/>
      </c>
      <c r="L1767" s="6">
        <f>HYPERLINK("C:\Projects\Kleinanzeigen-Scraper\offer_images\2845952507", "Link")</f>
        <v/>
      </c>
      <c r="M1767" t="inlineStr">
        <is>
          <t>GR</t>
        </is>
      </c>
      <c r="N1767" s="6">
        <f>HYPERLINK("https://www.kleinanzeigen.de/s-bestandsliste.html?userId=143718883", "Link")</f>
        <v/>
      </c>
      <c r="O1767" s="7" t="n">
        <v>45549.57423611111</v>
      </c>
      <c r="P1767" s="3" t="inlineStr">
        <is>
          <t>391.43</t>
        </is>
      </c>
      <c r="Q1767" t="inlineStr">
        <is>
          <t>Köln</t>
        </is>
      </c>
    </row>
    <row r="1768">
      <c r="A1768" t="inlineStr"/>
      <c r="B1768" t="inlineStr">
        <is>
          <t>NAISH Mana</t>
        </is>
      </c>
      <c r="C1768" t="inlineStr"/>
      <c r="D1768" s="3" t="inlineStr">
        <is>
          <t>9.5 gtw</t>
        </is>
      </c>
      <c r="E1768" t="inlineStr">
        <is>
          <t>2023</t>
        </is>
      </c>
      <c r="F1768" s="4" t="n">
        <v>1.14</v>
      </c>
      <c r="G1768" t="inlineStr"/>
      <c r="H1768" t="inlineStr">
        <is>
          <t>46485 Nordrhein-Westfalen - Wesel</t>
        </is>
      </c>
      <c r="I1768" s="5" t="n">
        <v>45542</v>
      </c>
      <c r="J1768" t="inlineStr">
        <is>
          <t>Sold</t>
        </is>
      </c>
      <c r="K1768" s="6">
        <f>HYPERLINK("https://www.kleinanzeigen.de/s-anzeige/naish-mana-9-5-gtw-wood-aus-2023-sup-hardboard/2856680575-230-1866", "Link")</f>
        <v/>
      </c>
      <c r="L1768" s="6">
        <f>HYPERLINK("C:\Projects\Kleinanzeigen-Scraper\offer_images\2856680575", "Link")</f>
        <v/>
      </c>
      <c r="M1768" t="inlineStr">
        <is>
          <t>Pütz</t>
        </is>
      </c>
      <c r="N1768" s="6">
        <f>HYPERLINK("https://www.kleinanzeigen.de/s-bestandsliste.html?userId=1764967", "Link")</f>
        <v/>
      </c>
      <c r="O1768" s="7" t="n">
        <v>45549.57423611111</v>
      </c>
      <c r="P1768" s="3" t="inlineStr">
        <is>
          <t>82.18</t>
        </is>
      </c>
      <c r="Q1768" t="inlineStr">
        <is>
          <t>Köln</t>
        </is>
      </c>
    </row>
    <row r="1769">
      <c r="A1769" t="inlineStr">
        <is>
          <t>2.60 x 0.80</t>
        </is>
      </c>
      <c r="B1769" t="inlineStr">
        <is>
          <t>Naish</t>
        </is>
      </c>
      <c r="C1769" t="inlineStr"/>
      <c r="D1769" s="3" t="n">
        <v>160</v>
      </c>
      <c r="E1769" t="inlineStr"/>
      <c r="F1769" s="4" t="n">
        <v>250</v>
      </c>
      <c r="G1769" t="inlineStr"/>
      <c r="H1769" t="inlineStr">
        <is>
          <t>88239 Baden-Württemberg - Wangen im Allgäu</t>
        </is>
      </c>
      <c r="I1769" s="5" t="n">
        <v>45540</v>
      </c>
      <c r="J1769" t="inlineStr">
        <is>
          <t>Sold</t>
        </is>
      </c>
      <c r="K1769" s="6">
        <f>HYPERLINK("https://www.kleinanzeigen.de/s-anzeige/surfbrett-naish-hawai/2855039832-230-8599", "Link")</f>
        <v/>
      </c>
      <c r="L1769" s="6">
        <f>HYPERLINK("C:\Projects\Kleinanzeigen-Scraper\offer_images\2855039832", "Link")</f>
        <v/>
      </c>
      <c r="M1769" t="inlineStr">
        <is>
          <t>J.G</t>
        </is>
      </c>
      <c r="N1769" s="6">
        <f>HYPERLINK("https://www.kleinanzeigen.de/s-bestandsliste.html?userId=14329445", "Link")</f>
        <v/>
      </c>
      <c r="O1769" s="7" t="n">
        <v>45549.57423611111</v>
      </c>
      <c r="P1769" s="3" t="inlineStr">
        <is>
          <t>111.78</t>
        </is>
      </c>
      <c r="Q1769" t="inlineStr">
        <is>
          <t>Bonndorf</t>
        </is>
      </c>
    </row>
    <row r="1770">
      <c r="A1770" t="inlineStr">
        <is>
          <t xml:space="preserve">Dimensions </t>
        </is>
      </c>
      <c r="B1770" t="inlineStr">
        <is>
          <t>Naish Wave Competition</t>
        </is>
      </c>
      <c r="C1770" t="inlineStr">
        <is>
          <t>Wave</t>
        </is>
      </c>
      <c r="D1770" s="3" t="inlineStr"/>
      <c r="E1770" t="inlineStr"/>
      <c r="F1770" s="4" t="n">
        <v>80</v>
      </c>
      <c r="G1770" t="inlineStr"/>
      <c r="H1770" t="inlineStr">
        <is>
          <t>24106 Kiel - Steenbek-Projensdorf</t>
        </is>
      </c>
      <c r="I1770" s="5" t="n">
        <v>45479</v>
      </c>
      <c r="J1770" t="inlineStr">
        <is>
          <t>Sold</t>
        </is>
      </c>
      <c r="K1770" s="6">
        <f>HYPERLINK("https://www.kleinanzeigen.de/s-anzeige/naish-wave-competition-surfbrett/2805846011-230-12197", "Link")</f>
        <v/>
      </c>
      <c r="L1770" s="6">
        <f>HYPERLINK("C:\Projects\Kleinanzeigen-Scraper\offer_images\2805846011", "Link")</f>
        <v/>
      </c>
      <c r="M1770" t="inlineStr">
        <is>
          <t>Jasmin</t>
        </is>
      </c>
      <c r="N1770" s="6">
        <f>HYPERLINK("https://www.kleinanzeigen.de/s-bestandsliste.html?userId=16470321", "Link")</f>
        <v/>
      </c>
      <c r="O1770" s="7" t="n">
        <v>45549.57423611111</v>
      </c>
      <c r="P1770" s="3" t="inlineStr">
        <is>
          <t>436.03</t>
        </is>
      </c>
      <c r="Q1770" t="inlineStr">
        <is>
          <t>Köln</t>
        </is>
      </c>
    </row>
    <row r="1771">
      <c r="A1771" t="inlineStr"/>
      <c r="B1771" t="inlineStr">
        <is>
          <t>Goya C3</t>
        </is>
      </c>
      <c r="C1771" t="inlineStr">
        <is>
          <t>Wave</t>
        </is>
      </c>
      <c r="D1771" s="3" t="n">
        <v>98</v>
      </c>
      <c r="E1771" t="inlineStr">
        <is>
          <t>2020/21</t>
        </is>
      </c>
      <c r="F1771" s="4" t="n">
        <v>790</v>
      </c>
      <c r="G1771" t="inlineStr">
        <is>
          <t>VB</t>
        </is>
      </c>
      <c r="H1771" t="inlineStr">
        <is>
          <t>71691 Baden-Württemberg - Freiberg am Neckar</t>
        </is>
      </c>
      <c r="I1771" s="5" t="n">
        <v>45510</v>
      </c>
      <c r="J1771" t="inlineStr">
        <is>
          <t>Sold</t>
        </is>
      </c>
      <c r="K1771" s="6">
        <f>HYPERLINK("https://www.kleinanzeigen.de/s-anzeige/goya-c3-98-custom-thruster-2020-21-waveboard/2830777298-230-8900", "Link")</f>
        <v/>
      </c>
      <c r="L1771" s="6">
        <f>HYPERLINK("C:\Projects\Kleinanzeigen-Scraper\offer_images\2830777298", "Link")</f>
        <v/>
      </c>
      <c r="M1771" t="inlineStr">
        <is>
          <t>Alex Funk</t>
        </is>
      </c>
      <c r="N1771" s="6">
        <f>HYPERLINK("https://www.kleinanzeigen.de/s-bestandsliste.html?userId=6169696", "Link")</f>
        <v/>
      </c>
      <c r="O1771" s="7" t="n">
        <v>45549.57422453703</v>
      </c>
      <c r="P1771" s="3" t="inlineStr">
        <is>
          <t>32.49</t>
        </is>
      </c>
      <c r="Q1771" t="inlineStr">
        <is>
          <t>Böblingen</t>
        </is>
      </c>
    </row>
    <row r="1772">
      <c r="A1772" t="inlineStr"/>
      <c r="B1772" t="inlineStr">
        <is>
          <t>Starboard Freefoil</t>
        </is>
      </c>
      <c r="C1772" t="inlineStr">
        <is>
          <t>Foilboard</t>
        </is>
      </c>
      <c r="D1772" s="3" t="n">
        <v>125</v>
      </c>
      <c r="E1772" t="inlineStr">
        <is>
          <t>2023</t>
        </is>
      </c>
      <c r="F1772" s="4" t="n">
        <v>700</v>
      </c>
      <c r="G1772" t="inlineStr">
        <is>
          <t>VB</t>
        </is>
      </c>
      <c r="H1772" t="inlineStr">
        <is>
          <t>52080 Aachen - Aachen-Haaren</t>
        </is>
      </c>
      <c r="I1772" s="5" t="n">
        <v>45546</v>
      </c>
      <c r="J1772" t="inlineStr"/>
      <c r="K1772" s="6">
        <f>HYPERLINK("https://www.kleinanzeigen.de/s-anzeige/windsurfboard-foilboard-starboard-freefoil-125-aus-2023/2860544729-230-16879", "Link")</f>
        <v/>
      </c>
      <c r="L1772" s="6">
        <f>HYPERLINK("C:\Projects\Kleinanzeigen-Scraper\offer_images\2860544729", "Link")</f>
        <v/>
      </c>
      <c r="M1772" t="inlineStr">
        <is>
          <t>Ralf Hirsch</t>
        </is>
      </c>
      <c r="N1772" s="6">
        <f>HYPERLINK("https://www.kleinanzeigen.de/s-bestandsliste.html?userId=61545806", "Link")</f>
        <v/>
      </c>
      <c r="O1772" s="7" t="n">
        <v>45549.57421296297</v>
      </c>
      <c r="P1772" s="3" t="inlineStr">
        <is>
          <t>58.05</t>
        </is>
      </c>
      <c r="Q1772" t="inlineStr">
        <is>
          <t>Köln</t>
        </is>
      </c>
    </row>
    <row r="1773">
      <c r="A1773" t="inlineStr">
        <is>
          <t>1.70 x 40 x 18</t>
        </is>
      </c>
      <c r="B1773" t="inlineStr">
        <is>
          <t>Naish Hover</t>
        </is>
      </c>
      <c r="C1773" t="inlineStr">
        <is>
          <t>Foil</t>
        </is>
      </c>
      <c r="D1773" s="3" t="inlineStr"/>
      <c r="E1773" t="inlineStr">
        <is>
          <t>2024</t>
        </is>
      </c>
      <c r="F1773" s="4" t="n">
        <v>750</v>
      </c>
      <c r="G1773" t="inlineStr">
        <is>
          <t>VB</t>
        </is>
      </c>
      <c r="H1773" t="inlineStr">
        <is>
          <t>19357 Brandenburg - Karstädt Prignitz</t>
        </is>
      </c>
      <c r="I1773" s="5" t="n">
        <v>45509</v>
      </c>
      <c r="J1773" t="inlineStr">
        <is>
          <t>Sold</t>
        </is>
      </c>
      <c r="K1773" s="6">
        <f>HYPERLINK("https://www.kleinanzeigen.de/s-anzeige/naish-hover-2024-wing-foil-board-foilen-wingfoilen-wingboard/2829862202-230-98", "Link")</f>
        <v/>
      </c>
      <c r="L1773" s="6">
        <f>HYPERLINK("C:\Projects\Kleinanzeigen-Scraper\offer_images\2829862202", "Link")</f>
        <v/>
      </c>
      <c r="M1773" t="inlineStr">
        <is>
          <t>Brügmann</t>
        </is>
      </c>
      <c r="N1773" s="6">
        <f>HYPERLINK("https://www.kleinanzeigen.de/s-bestandsliste.html?userId=8290651", "Link")</f>
        <v/>
      </c>
      <c r="O1773" s="7" t="n">
        <v>45549.57421296297</v>
      </c>
      <c r="P1773" s="3" t="inlineStr">
        <is>
          <t>410.36</t>
        </is>
      </c>
      <c r="Q1773" t="inlineStr">
        <is>
          <t>Köln</t>
        </is>
      </c>
    </row>
    <row r="1774">
      <c r="A1774" t="inlineStr">
        <is>
          <t>Dimensions not specified</t>
        </is>
      </c>
      <c r="B1774" t="inlineStr">
        <is>
          <t>Fanatic Freewave TE115</t>
        </is>
      </c>
      <c r="C1774" t="inlineStr">
        <is>
          <t>Freeride</t>
        </is>
      </c>
      <c r="D1774" s="3" t="n">
        <v>115</v>
      </c>
      <c r="E1774" t="inlineStr">
        <is>
          <t>1990</t>
        </is>
      </c>
      <c r="F1774" s="4" t="n">
        <v>1.35</v>
      </c>
      <c r="G1774" t="inlineStr"/>
      <c r="H1774" t="inlineStr">
        <is>
          <t>24146 Kiel - Elmschenhagen-Kroog</t>
        </is>
      </c>
      <c r="I1774" s="5" t="n">
        <v>45533</v>
      </c>
      <c r="J1774" t="inlineStr">
        <is>
          <t>Sold</t>
        </is>
      </c>
      <c r="K1774" s="6">
        <f>HYPERLINK("https://www.kleinanzeigen.de/s-anzeige/fanatic-freewave-te115-mit-centerfinne-und-sidefins/2849364692-230-712", "Link")</f>
        <v/>
      </c>
      <c r="L1774" s="6">
        <f>HYPERLINK("C:\Projects\Kleinanzeigen-Scraper\offer_images\2849364692", "Link")</f>
        <v/>
      </c>
      <c r="M1774" t="inlineStr">
        <is>
          <t>Stefan</t>
        </is>
      </c>
      <c r="N1774" s="6">
        <f>HYPERLINK("https://www.kleinanzeigen.de/s-bestandsliste.html?userId=467777", "Link")</f>
        <v/>
      </c>
      <c r="O1774" s="7" t="n">
        <v>45549.57417824074</v>
      </c>
      <c r="P1774" s="3" t="inlineStr">
        <is>
          <t>431.93</t>
        </is>
      </c>
      <c r="Q1774" t="inlineStr">
        <is>
          <t>Köln</t>
        </is>
      </c>
    </row>
    <row r="1775">
      <c r="A1775" t="inlineStr"/>
      <c r="B1775" t="inlineStr">
        <is>
          <t>Rrd</t>
        </is>
      </c>
      <c r="C1775" t="inlineStr">
        <is>
          <t>Freestyle</t>
        </is>
      </c>
      <c r="D1775" s="3" t="n">
        <v>65</v>
      </c>
      <c r="E1775" t="inlineStr"/>
      <c r="F1775" s="4" t="n">
        <v>109</v>
      </c>
      <c r="G1775" t="inlineStr"/>
      <c r="H1775" t="inlineStr">
        <is>
          <t>88279 Baden-Württemberg - Amtzell</t>
        </is>
      </c>
      <c r="I1775" s="5" t="n">
        <v>45543</v>
      </c>
      <c r="J1775" t="inlineStr">
        <is>
          <t>Sold</t>
        </is>
      </c>
      <c r="K1775" s="6">
        <f>HYPERLINK("https://www.kleinanzeigen.de/s-anzeige/rrd-kinder-freestyle-board-ca-65l-volumen/2783970484-230-7319", "Link")</f>
        <v/>
      </c>
      <c r="L1775" s="6">
        <f>HYPERLINK("C:\Projects\Kleinanzeigen-Scraper\offer_images\2783970484", "Link")</f>
        <v/>
      </c>
      <c r="M1775" t="inlineStr">
        <is>
          <t>Waltenheimer</t>
        </is>
      </c>
      <c r="N1775" s="6">
        <f>HYPERLINK("https://www.kleinanzeigen.de/s-bestandsliste.html?userId=10995078", "Link")</f>
        <v/>
      </c>
      <c r="O1775" s="7" t="n">
        <v>45549.57417824074</v>
      </c>
      <c r="P1775" s="3" t="inlineStr">
        <is>
          <t>106.48</t>
        </is>
      </c>
      <c r="Q1775" t="inlineStr">
        <is>
          <t>Bonndorf</t>
        </is>
      </c>
    </row>
    <row r="1776">
      <c r="A1776" t="inlineStr">
        <is>
          <t>153 x 46.5 cm</t>
        </is>
      </c>
      <c r="B1776" t="inlineStr">
        <is>
          <t>Duotone Spike</t>
        </is>
      </c>
      <c r="C1776" t="inlineStr">
        <is>
          <t>Freeride</t>
        </is>
      </c>
      <c r="D1776" s="3" t="inlineStr"/>
      <c r="E1776" t="inlineStr"/>
      <c r="F1776" s="4" t="n">
        <v>625</v>
      </c>
      <c r="G1776" t="inlineStr">
        <is>
          <t>VB</t>
        </is>
      </c>
      <c r="H1776" t="inlineStr">
        <is>
          <t>42349 Wuppertal - Cronenberg</t>
        </is>
      </c>
      <c r="I1776" s="5" t="n">
        <v>45548</v>
      </c>
      <c r="J1776" t="inlineStr">
        <is>
          <t>Sold</t>
        </is>
      </c>
      <c r="K1776" s="6">
        <f>HYPERLINK("https://www.kleinanzeigen.de/s-anzeige/duotone-spike-kiteboard-freeride-leichtwind-m-ntt-neuwertig-/2862075600-230-1577", "Link")</f>
        <v/>
      </c>
      <c r="L1776" s="6">
        <f>HYPERLINK("C:\Projects\Kleinanzeigen-Scraper\offer_images\2862075600", "Link")</f>
        <v/>
      </c>
      <c r="M1776" t="inlineStr">
        <is>
          <t>V.R.</t>
        </is>
      </c>
      <c r="N1776" s="6">
        <f>HYPERLINK("https://www.kleinanzeigen.de/s-bestandsliste.html?userId=5311575", "Link")</f>
        <v/>
      </c>
      <c r="O1776" s="7" t="n">
        <v>45549.57417824074</v>
      </c>
      <c r="P1776" s="3" t="inlineStr">
        <is>
          <t>31.91</t>
        </is>
      </c>
      <c r="Q1776" t="inlineStr">
        <is>
          <t>Köln</t>
        </is>
      </c>
    </row>
    <row r="1777">
      <c r="A1777" t="inlineStr">
        <is>
          <t>125</t>
        </is>
      </c>
      <c r="B1777" t="inlineStr">
        <is>
          <t>Tabou Rocket</t>
        </is>
      </c>
      <c r="C1777" t="inlineStr">
        <is>
          <t>Freeride</t>
        </is>
      </c>
      <c r="D1777" s="3" t="inlineStr"/>
      <c r="E1777" t="inlineStr"/>
      <c r="F1777" s="4" t="n">
        <v>500</v>
      </c>
      <c r="G1777" t="inlineStr"/>
      <c r="H1777" t="inlineStr">
        <is>
          <t>48356 Nordrhein-Westfalen - Nordwalde</t>
        </is>
      </c>
      <c r="I1777" s="5" t="n">
        <v>45530</v>
      </c>
      <c r="J1777" t="inlineStr"/>
      <c r="K1777" s="6">
        <f>HYPERLINK("https://www.kleinanzeigen.de/s-anzeige/tabou-rocket-125-windsurfbrett/2847259864-230-1313", "Link")</f>
        <v/>
      </c>
      <c r="L1777" s="6">
        <f>HYPERLINK("C:\Projects\Kleinanzeigen-Scraper\offer_images\2847259864", "Link")</f>
        <v/>
      </c>
      <c r="M1777" t="inlineStr">
        <is>
          <t>Stefan Gahlen</t>
        </is>
      </c>
      <c r="N1777" s="6">
        <f>HYPERLINK("https://www.kleinanzeigen.de/s-bestandsliste.html?userId=11613399", "Link")</f>
        <v/>
      </c>
      <c r="O1777" s="7" t="n">
        <v>45549.57417824074</v>
      </c>
      <c r="P1777" s="3" t="inlineStr">
        <is>
          <t>134.60</t>
        </is>
      </c>
      <c r="Q1777" t="inlineStr">
        <is>
          <t>Köln</t>
        </is>
      </c>
    </row>
    <row r="1778">
      <c r="A1778" t="inlineStr">
        <is>
          <t>160 cm x 68.6 cm x 15.2 cm</t>
        </is>
      </c>
      <c r="B1778" t="inlineStr">
        <is>
          <t>Naish Hover</t>
        </is>
      </c>
      <c r="C1778" t="inlineStr"/>
      <c r="D1778" s="3" t="n">
        <v>100</v>
      </c>
      <c r="E1778" t="inlineStr"/>
      <c r="F1778" s="4" t="n">
        <v>420</v>
      </c>
      <c r="G1778" t="inlineStr"/>
      <c r="H1778" t="inlineStr">
        <is>
          <t>61273 Hessen - Wehrheim</t>
        </is>
      </c>
      <c r="I1778" s="5" t="n">
        <v>45513</v>
      </c>
      <c r="J1778" t="inlineStr"/>
      <c r="K1778" s="6">
        <f>HYPERLINK("https://www.kleinanzeigen.de/s-anzeige/naish-hover-inflatable-100l/2832794953-230-4537", "Link")</f>
        <v/>
      </c>
      <c r="L1778" s="6">
        <f>HYPERLINK("C:\Projects\Kleinanzeigen-Scraper\offer_images\2832794953", "Link")</f>
        <v/>
      </c>
      <c r="M1778" t="inlineStr">
        <is>
          <t>Christian Stefanescu</t>
        </is>
      </c>
      <c r="N1778" s="6">
        <f>HYPERLINK("https://www.kleinanzeigen.de/s-bestandsliste.html?userId=46848835", "Link")</f>
        <v/>
      </c>
      <c r="O1778" s="7" t="n">
        <v>45549.5741550926</v>
      </c>
      <c r="P1778" s="3" t="inlineStr">
        <is>
          <t>135.10</t>
        </is>
      </c>
      <c r="Q1778" t="inlineStr">
        <is>
          <t>Köln</t>
        </is>
      </c>
    </row>
    <row r="1779">
      <c r="A1779" t="inlineStr"/>
      <c r="B1779" t="inlineStr">
        <is>
          <t>Fanatic Sky Wing</t>
        </is>
      </c>
      <c r="C1779" t="inlineStr">
        <is>
          <t>Softtop</t>
        </is>
      </c>
      <c r="D1779" s="3" t="n">
        <v>140</v>
      </c>
      <c r="E1779" t="inlineStr"/>
      <c r="F1779" s="4" t="n">
        <v>600</v>
      </c>
      <c r="G1779" t="inlineStr">
        <is>
          <t>VB</t>
        </is>
      </c>
      <c r="H1779" t="inlineStr">
        <is>
          <t>24105 Schleswig-Holstein - Kiel</t>
        </is>
      </c>
      <c r="I1779" s="5" t="n">
        <v>45534</v>
      </c>
      <c r="J1779" t="inlineStr">
        <is>
          <t>Sold</t>
        </is>
      </c>
      <c r="K1779" s="6">
        <f>HYPERLINK("https://www.kleinanzeigen.de/s-anzeige/fanatic-sky-wing-softtop-140-l-boardbag-1-jahr-gewaehrleistung/2825379068-230-708", "Link")</f>
        <v/>
      </c>
      <c r="L1779" s="6">
        <f>HYPERLINK("C:\Projects\Kleinanzeigen-Scraper\offer_images\2825379068", "Link")</f>
        <v/>
      </c>
      <c r="M1779" t="inlineStr">
        <is>
          <t>No user name</t>
        </is>
      </c>
      <c r="N1779" s="6">
        <f>HYPERLINK("https://www.kleinanzeigen.deNo user link", "Link")</f>
        <v/>
      </c>
      <c r="O1779" s="7" t="n">
        <v>45549.5741550926</v>
      </c>
      <c r="P1779" s="3" t="inlineStr">
        <is>
          <t>435.05</t>
        </is>
      </c>
      <c r="Q1779" t="inlineStr">
        <is>
          <t>Köln</t>
        </is>
      </c>
    </row>
    <row r="1780">
      <c r="A1780" t="inlineStr">
        <is>
          <t>239 cm x 72 cm</t>
        </is>
      </c>
      <c r="B1780" t="inlineStr">
        <is>
          <t>Fanatic Geco Eco</t>
        </is>
      </c>
      <c r="C1780" t="inlineStr">
        <is>
          <t>Freeride</t>
        </is>
      </c>
      <c r="D1780" s="3" t="n">
        <v>110</v>
      </c>
      <c r="E1780" t="inlineStr">
        <is>
          <t>2021</t>
        </is>
      </c>
      <c r="F1780" s="4" t="n">
        <v>950</v>
      </c>
      <c r="G1780" t="inlineStr">
        <is>
          <t>VB</t>
        </is>
      </c>
      <c r="H1780" t="inlineStr">
        <is>
          <t>10823 Berlin - Schöneberg</t>
        </is>
      </c>
      <c r="I1780" s="5" t="n">
        <v>45545</v>
      </c>
      <c r="J1780" t="inlineStr">
        <is>
          <t>Sold</t>
        </is>
      </c>
      <c r="K1780" s="6">
        <f>HYPERLINK("https://www.kleinanzeigen.de/s-anzeige/fanatic-geco-eco-freeride-110l/2859141767-230-3448", "Link")</f>
        <v/>
      </c>
      <c r="L1780" s="6">
        <f>HYPERLINK("C:\Projects\Kleinanzeigen-Scraper\offer_images\2859141767", "Link")</f>
        <v/>
      </c>
      <c r="M1780" t="inlineStr">
        <is>
          <t>Louisa</t>
        </is>
      </c>
      <c r="N1780" s="6">
        <f>HYPERLINK("https://www.kleinanzeigen.de/s-bestandsliste.html?userId=23396291", "Link")</f>
        <v/>
      </c>
      <c r="O1780" s="7" t="n">
        <v>45549.5741550926</v>
      </c>
      <c r="P1780" s="3" t="inlineStr">
        <is>
          <t>472.78</t>
        </is>
      </c>
      <c r="Q1780" t="inlineStr">
        <is>
          <t>Köln</t>
        </is>
      </c>
    </row>
    <row r="1781">
      <c r="A1781" t="inlineStr">
        <is>
          <t>240 cm</t>
        </is>
      </c>
      <c r="B1781" t="inlineStr">
        <is>
          <t>RRD</t>
        </is>
      </c>
      <c r="C1781" t="inlineStr">
        <is>
          <t>Freestyle</t>
        </is>
      </c>
      <c r="D1781" s="3" t="n">
        <v>105</v>
      </c>
      <c r="E1781" t="inlineStr"/>
      <c r="F1781" s="4" t="inlineStr">
        <is>
          <t>Zu verschenken</t>
        </is>
      </c>
      <c r="G1781" t="inlineStr"/>
      <c r="H1781" t="inlineStr">
        <is>
          <t>82279 Eching am Ammersee - Eching</t>
        </is>
      </c>
      <c r="I1781" s="5" t="n">
        <v>45513</v>
      </c>
      <c r="J1781" t="inlineStr"/>
      <c r="K1781" s="6">
        <f>HYPERLINK("https://www.kleinanzeigen.de/s-anzeige/wind-surfboard-rrd-105l-freestyle-o-zubehoer/2833098450-230-6357", "Link")</f>
        <v/>
      </c>
      <c r="L1781" s="6">
        <f>HYPERLINK("C:\Projects\Kleinanzeigen-Scraper\offer_images\2833098450", "Link")</f>
        <v/>
      </c>
      <c r="M1781" t="inlineStr">
        <is>
          <t>Hannes</t>
        </is>
      </c>
      <c r="N1781" s="6">
        <f>HYPERLINK("https://www.kleinanzeigen.de/s-bestandsliste.html?userId=135004844", "Link")</f>
        <v/>
      </c>
      <c r="O1781" s="7" t="n">
        <v>45549.5741550926</v>
      </c>
      <c r="P1781" s="3" t="inlineStr">
        <is>
          <t>34.50</t>
        </is>
      </c>
      <c r="Q1781" t="inlineStr">
        <is>
          <t>München</t>
        </is>
      </c>
    </row>
    <row r="1782">
      <c r="A1782" t="inlineStr">
        <is>
          <t>122x81</t>
        </is>
      </c>
      <c r="B1782" t="inlineStr">
        <is>
          <t>RRD X-Fire</t>
        </is>
      </c>
      <c r="C1782" t="inlineStr">
        <is>
          <t>Freerace/Slalom</t>
        </is>
      </c>
      <c r="D1782" s="3" t="n">
        <v>122</v>
      </c>
      <c r="E1782" t="inlineStr"/>
      <c r="F1782" s="4" t="n">
        <v>400</v>
      </c>
      <c r="G1782" t="inlineStr">
        <is>
          <t>VB</t>
        </is>
      </c>
      <c r="H1782" t="inlineStr">
        <is>
          <t>24159 Kiel - Pries-Friedrichsort</t>
        </is>
      </c>
      <c r="I1782" s="5" t="n">
        <v>45542</v>
      </c>
      <c r="J1782" t="inlineStr"/>
      <c r="K1782" s="6">
        <f>HYPERLINK("https://www.kleinanzeigen.de/s-anzeige/rrd-x-fire-122-carbon-freerace-slalom/2856485461-230-695", "Link")</f>
        <v/>
      </c>
      <c r="L1782" s="6">
        <f>HYPERLINK("C:\Projects\Kleinanzeigen-Scraper\offer_images\2856485461", "Link")</f>
        <v/>
      </c>
      <c r="M1782" t="inlineStr">
        <is>
          <t>Lennard Stegmann</t>
        </is>
      </c>
      <c r="N1782" s="6">
        <f>HYPERLINK("https://www.kleinanzeigen.de/s-bestandsliste.html?userId=37439214", "Link")</f>
        <v/>
      </c>
      <c r="O1782" s="7" t="n">
        <v>45549.5741550926</v>
      </c>
      <c r="P1782" s="3" t="inlineStr">
        <is>
          <t>440.84</t>
        </is>
      </c>
      <c r="Q1782" t="inlineStr">
        <is>
          <t>Köln</t>
        </is>
      </c>
    </row>
    <row r="1783">
      <c r="A1783" t="inlineStr"/>
      <c r="B1783" t="inlineStr">
        <is>
          <t>Naish Global Wave</t>
        </is>
      </c>
      <c r="C1783" t="inlineStr">
        <is>
          <t>Wave</t>
        </is>
      </c>
      <c r="D1783" s="3" t="n">
        <v>98</v>
      </c>
      <c r="E1783" t="inlineStr"/>
      <c r="F1783" s="4" t="n">
        <v>70</v>
      </c>
      <c r="G1783" t="inlineStr">
        <is>
          <t>VB</t>
        </is>
      </c>
      <c r="H1783" t="inlineStr">
        <is>
          <t>50321 Nordrhein-Westfalen - Brühl</t>
        </is>
      </c>
      <c r="I1783" s="5" t="n">
        <v>45517</v>
      </c>
      <c r="J1783" t="inlineStr"/>
      <c r="K1783" s="6">
        <f>HYPERLINK("https://www.kleinanzeigen.de/s-anzeige/naish-global-wave-98l-windsurf-board/2836216709-230-1158", "Link")</f>
        <v/>
      </c>
      <c r="L1783" s="6">
        <f>HYPERLINK("C:\Projects\Kleinanzeigen-Scraper\offer_images\2836216709", "Link")</f>
        <v/>
      </c>
      <c r="M1783" t="inlineStr">
        <is>
          <t>Konstantin</t>
        </is>
      </c>
      <c r="N1783" s="6">
        <f>HYPERLINK("https://www.kleinanzeigen.de/s-bestandsliste.html?userId=87242418", "Link")</f>
        <v/>
      </c>
      <c r="O1783" s="7" t="n">
        <v>45549.5741550926</v>
      </c>
      <c r="P1783" s="3" t="inlineStr">
        <is>
          <t>14.26</t>
        </is>
      </c>
      <c r="Q1783" t="inlineStr">
        <is>
          <t>Köln</t>
        </is>
      </c>
    </row>
    <row r="1784">
      <c r="A1784" t="inlineStr">
        <is>
          <t>173 cm x 71 cm</t>
        </is>
      </c>
      <c r="B1784" t="inlineStr">
        <is>
          <t>Fanatic/Duotone Sky Wing</t>
        </is>
      </c>
      <c r="C1784" t="inlineStr">
        <is>
          <t>Wing Foil</t>
        </is>
      </c>
      <c r="D1784" s="3" t="n">
        <v>125</v>
      </c>
      <c r="E1784" t="inlineStr"/>
      <c r="F1784" s="4" t="n">
        <v>490</v>
      </c>
      <c r="G1784" t="inlineStr"/>
      <c r="H1784" t="inlineStr">
        <is>
          <t>63225 Hessen - Langen (Hessen)</t>
        </is>
      </c>
      <c r="I1784" s="5" t="n">
        <v>45546</v>
      </c>
      <c r="J1784" t="inlineStr">
        <is>
          <t>Sold</t>
        </is>
      </c>
      <c r="K1784" s="6">
        <f>HYPERLINK("https://www.kleinanzeigen.de/s-anzeige/fanatic-duotone-sky-wing-5-8-125-l/2860766946-230-4477", "Link")</f>
        <v/>
      </c>
      <c r="L1784" s="6">
        <f>HYPERLINK("C:\Projects\Kleinanzeigen-Scraper\offer_images\2860766946", "Link")</f>
        <v/>
      </c>
      <c r="M1784" t="inlineStr">
        <is>
          <t>Jens</t>
        </is>
      </c>
      <c r="N1784" s="6">
        <f>HYPERLINK("https://www.kleinanzeigen.de/s-bestandsliste.html?userId=4973438", "Link")</f>
        <v/>
      </c>
      <c r="O1784" s="7" t="n">
        <v>45549.5741550926</v>
      </c>
      <c r="P1784" s="3" t="inlineStr">
        <is>
          <t>110.90</t>
        </is>
      </c>
      <c r="Q1784" t="inlineStr">
        <is>
          <t>Karlsruhe</t>
        </is>
      </c>
    </row>
    <row r="1785">
      <c r="A1785" t="inlineStr">
        <is>
          <t>5.11</t>
        </is>
      </c>
      <c r="B1785" t="inlineStr">
        <is>
          <t>Duotone ProSession</t>
        </is>
      </c>
      <c r="C1785" t="inlineStr">
        <is>
          <t>Wave</t>
        </is>
      </c>
      <c r="D1785" s="3" t="inlineStr"/>
      <c r="E1785" t="inlineStr"/>
      <c r="F1785" s="4" t="n">
        <v>310</v>
      </c>
      <c r="G1785" t="inlineStr"/>
      <c r="H1785" t="inlineStr">
        <is>
          <t>47475 Nordrhein-Westfalen - Kamp-Lintfort</t>
        </is>
      </c>
      <c r="I1785" s="5" t="n">
        <v>45540</v>
      </c>
      <c r="J1785" t="inlineStr">
        <is>
          <t>Sold</t>
        </is>
      </c>
      <c r="K1785" s="6">
        <f>HYPERLINK("https://www.kleinanzeigen.de/s-anzeige/duotone-prosession-5-11-wellenspass/2855226850-230-1130", "Link")</f>
        <v/>
      </c>
      <c r="L1785" s="6">
        <f>HYPERLINK("C:\Projects\Kleinanzeigen-Scraper\offer_images\2855226850", "Link")</f>
        <v/>
      </c>
      <c r="M1785" t="inlineStr">
        <is>
          <t>Mario Wellmanns</t>
        </is>
      </c>
      <c r="N1785" s="6">
        <f>HYPERLINK("https://www.kleinanzeigen.de/s-bestandsliste.html?userId=21630060", "Link")</f>
        <v/>
      </c>
      <c r="O1785" s="7" t="n">
        <v>45549.57413194444</v>
      </c>
      <c r="P1785" s="3" t="inlineStr">
        <is>
          <t>70.88</t>
        </is>
      </c>
      <c r="Q1785" t="inlineStr">
        <is>
          <t>Köln</t>
        </is>
      </c>
    </row>
    <row r="1786">
      <c r="A1786" t="inlineStr">
        <is>
          <t>138cm x 38.5cm, 142cm x 42cm</t>
        </is>
      </c>
      <c r="B1786" t="inlineStr">
        <is>
          <t>Naish S26</t>
        </is>
      </c>
      <c r="C1786" t="inlineStr">
        <is>
          <t>Freeride</t>
        </is>
      </c>
      <c r="D1786" s="3" t="inlineStr"/>
      <c r="E1786" t="inlineStr">
        <is>
          <t>2022</t>
        </is>
      </c>
      <c r="F1786" s="4" t="n">
        <v>466</v>
      </c>
      <c r="G1786" t="inlineStr">
        <is>
          <t>VB</t>
        </is>
      </c>
      <c r="H1786" t="inlineStr">
        <is>
          <t>18586 Mecklenburg-Vorpommern - Mönchgut, Ostseebad</t>
        </is>
      </c>
      <c r="I1786" s="5" t="n">
        <v>45552</v>
      </c>
      <c r="J1786" t="inlineStr">
        <is>
          <t>Sold</t>
        </is>
      </c>
      <c r="K1786" s="6">
        <f>HYPERLINK("https://www.kleinanzeigen.de/s-anzeige/naish-s26-kiteboard-tt-motion-2022-15-neu-mit-pads-20-neu/1657567821-230-120", "Link")</f>
        <v/>
      </c>
      <c r="L1786" s="6">
        <f>HYPERLINK("C:\Projects\Kleinanzeigen-Scraper\offer_images\1657567821", "Link")</f>
        <v/>
      </c>
      <c r="M1786" t="inlineStr">
        <is>
          <t>No user name</t>
        </is>
      </c>
      <c r="N1786" s="6">
        <f>HYPERLINK("https://www.kleinanzeigen.deNo user link", "Link")</f>
        <v/>
      </c>
      <c r="O1786" s="7" t="n">
        <v>45549.57413194444</v>
      </c>
      <c r="P1786" s="3" t="inlineStr">
        <is>
          <t>591.22</t>
        </is>
      </c>
      <c r="Q1786" t="inlineStr">
        <is>
          <t>Köln</t>
        </is>
      </c>
    </row>
    <row r="1787">
      <c r="A1787" t="inlineStr"/>
      <c r="B1787" t="inlineStr">
        <is>
          <t>JP Australia Super Sport</t>
        </is>
      </c>
      <c r="C1787" t="inlineStr">
        <is>
          <t>Freerace</t>
        </is>
      </c>
      <c r="D1787" s="3" t="n">
        <v>125</v>
      </c>
      <c r="E1787" t="inlineStr"/>
      <c r="F1787" s="4" t="n">
        <v>650</v>
      </c>
      <c r="G1787" t="inlineStr"/>
      <c r="H1787" t="inlineStr">
        <is>
          <t>73732 Baden-Württemberg - Esslingen</t>
        </is>
      </c>
      <c r="I1787" s="5" t="n">
        <v>45535</v>
      </c>
      <c r="J1787" t="inlineStr">
        <is>
          <t>Sold</t>
        </is>
      </c>
      <c r="K1787" s="6">
        <f>HYPERLINK("https://www.kleinanzeigen.de/s-anzeige/jp-australia-super-sport-pro-edition-125-board/2850393249-230-8382", "Link")</f>
        <v/>
      </c>
      <c r="L1787" s="6">
        <f>HYPERLINK("C:\Projects\Kleinanzeigen-Scraper\offer_images\2850393249", "Link")</f>
        <v/>
      </c>
      <c r="M1787" t="inlineStr">
        <is>
          <t>Andy Krämer</t>
        </is>
      </c>
      <c r="N1787" s="6">
        <f>HYPERLINK("https://www.kleinanzeigen.de/s-bestandsliste.html?userId=27198059", "Link")</f>
        <v/>
      </c>
      <c r="O1787" s="7" t="n">
        <v>45549.57413194444</v>
      </c>
      <c r="P1787" s="3" t="inlineStr">
        <is>
          <t>27.97</t>
        </is>
      </c>
      <c r="Q1787" t="inlineStr">
        <is>
          <t>Böblingen</t>
        </is>
      </c>
    </row>
    <row r="1788">
      <c r="A1788" t="inlineStr">
        <is>
          <t>240 cm x 66 cm</t>
        </is>
      </c>
      <c r="B1788" t="inlineStr">
        <is>
          <t>Naish S26 Starship</t>
        </is>
      </c>
      <c r="C1788" t="inlineStr">
        <is>
          <t>Freemove</t>
        </is>
      </c>
      <c r="D1788" s="3" t="n">
        <v>115</v>
      </c>
      <c r="E1788" t="inlineStr">
        <is>
          <t>2023</t>
        </is>
      </c>
      <c r="F1788" s="4" t="n">
        <v>1.199</v>
      </c>
      <c r="G1788" t="inlineStr"/>
      <c r="H1788" t="inlineStr">
        <is>
          <t>82319 Bayern - Starnberg</t>
        </is>
      </c>
      <c r="I1788" s="5" t="n">
        <v>45553</v>
      </c>
      <c r="J1788" t="inlineStr"/>
      <c r="K1788" s="6">
        <f>HYPERLINK("https://www.kleinanzeigen.de/s-anzeige/naish-s26-starship-freemove-windsurfboard-115-gebraucht/2426855928-230-5525", "Link")</f>
        <v/>
      </c>
      <c r="L1788" s="6">
        <f>HYPERLINK("C:\Projects\Kleinanzeigen-Scraper\offer_images\2426855928", "Link")</f>
        <v/>
      </c>
      <c r="M1788" t="inlineStr">
        <is>
          <t>No user name</t>
        </is>
      </c>
      <c r="N1788" s="6">
        <f>HYPERLINK("https://www.kleinanzeigen.deNo user link", "Link")</f>
        <v/>
      </c>
      <c r="O1788" s="7" t="n">
        <v>45549.57413194444</v>
      </c>
      <c r="P1788" s="3" t="inlineStr">
        <is>
          <t>23.17</t>
        </is>
      </c>
      <c r="Q1788" t="inlineStr">
        <is>
          <t>München</t>
        </is>
      </c>
    </row>
    <row r="1789">
      <c r="A1789" t="inlineStr">
        <is>
          <t>5.5</t>
        </is>
      </c>
      <c r="B1789" t="inlineStr">
        <is>
          <t>RRD MAQUINA LTE Y27</t>
        </is>
      </c>
      <c r="C1789" t="inlineStr">
        <is>
          <t>Kite Surfboard</t>
        </is>
      </c>
      <c r="D1789" s="3" t="inlineStr"/>
      <c r="E1789" t="inlineStr">
        <is>
          <t>2022</t>
        </is>
      </c>
      <c r="F1789" s="4" t="n">
        <v>550</v>
      </c>
      <c r="G1789" t="inlineStr">
        <is>
          <t>VB</t>
        </is>
      </c>
      <c r="H1789" t="inlineStr">
        <is>
          <t>40591 Düsseldorf - Holthausen</t>
        </is>
      </c>
      <c r="I1789" s="5" t="n">
        <v>45531</v>
      </c>
      <c r="J1789" t="inlineStr">
        <is>
          <t>Sold</t>
        </is>
      </c>
      <c r="K1789" s="6">
        <f>HYPERLINK("https://www.kleinanzeigen.de/s-anzeige/rrd-maquina-lte-y27-2022-kite-surfboard-5-5/2847877079-230-2075", "Link")</f>
        <v/>
      </c>
      <c r="L1789" s="6">
        <f>HYPERLINK("C:\Projects\Kleinanzeigen-Scraper\offer_images\2847877079", "Link")</f>
        <v/>
      </c>
      <c r="M1789" t="inlineStr">
        <is>
          <t>Willi</t>
        </is>
      </c>
      <c r="N1789" s="6">
        <f>HYPERLINK("https://www.kleinanzeigen.de/s-bestandsliste.html?userId=119273850", "Link")</f>
        <v/>
      </c>
      <c r="O1789" s="7" t="n">
        <v>45549.5741087963</v>
      </c>
      <c r="P1789" s="3" t="inlineStr">
        <is>
          <t>29.32</t>
        </is>
      </c>
      <c r="Q1789" t="inlineStr">
        <is>
          <t>Köln</t>
        </is>
      </c>
    </row>
    <row r="1790">
      <c r="A1790" t="inlineStr">
        <is>
          <t xml:space="preserve">Dimensions </t>
        </is>
      </c>
      <c r="B1790" t="inlineStr">
        <is>
          <t>Tabou Rocket</t>
        </is>
      </c>
      <c r="C1790" t="inlineStr">
        <is>
          <t>Freeride</t>
        </is>
      </c>
      <c r="D1790" s="3" t="n">
        <v>125</v>
      </c>
      <c r="E1790" t="inlineStr"/>
      <c r="F1790" s="4" t="n">
        <v>399</v>
      </c>
      <c r="G1790" t="inlineStr">
        <is>
          <t>VB</t>
        </is>
      </c>
      <c r="H1790" t="inlineStr">
        <is>
          <t>89197 Baden-Württemberg - Weidenstetten</t>
        </is>
      </c>
      <c r="I1790" s="5" t="n">
        <v>45535</v>
      </c>
      <c r="J1790" t="inlineStr"/>
      <c r="K1790" s="6">
        <f>HYPERLINK("https://www.kleinanzeigen.de/s-anzeige/tabou-rocket-ced-125l-windsurfbrett/2850926681-230-8935", "Link")</f>
        <v/>
      </c>
      <c r="L1790" s="6">
        <f>HYPERLINK("C:\Projects\Kleinanzeigen-Scraper\offer_images\2850926681", "Link")</f>
        <v/>
      </c>
      <c r="M1790" t="inlineStr">
        <is>
          <t>Bettina</t>
        </is>
      </c>
      <c r="N1790" s="6">
        <f>HYPERLINK("https://www.kleinanzeigen.de/s-bestandsliste.html?userId=20746309", "Link")</f>
        <v/>
      </c>
      <c r="O1790" s="7" t="n">
        <v>45549.57408564815</v>
      </c>
      <c r="P1790" s="3" t="inlineStr">
        <is>
          <t>76.11</t>
        </is>
      </c>
      <c r="Q1790" t="inlineStr">
        <is>
          <t>Böblingen</t>
        </is>
      </c>
    </row>
    <row r="1791">
      <c r="A1791" t="inlineStr"/>
      <c r="B1791" t="inlineStr">
        <is>
          <t>Tabou Rocket Air</t>
        </is>
      </c>
      <c r="C1791" t="inlineStr"/>
      <c r="D1791" s="3" t="n">
        <v>95</v>
      </c>
      <c r="E1791" t="inlineStr"/>
      <c r="F1791" s="4" t="n">
        <v>170</v>
      </c>
      <c r="G1791" t="inlineStr"/>
      <c r="H1791" t="inlineStr">
        <is>
          <t>55218 Rheinland-Pfalz - Ingelheim am Rhein</t>
        </is>
      </c>
      <c r="I1791" s="5" t="n">
        <v>45445</v>
      </c>
      <c r="J1791" t="inlineStr">
        <is>
          <t>Sold</t>
        </is>
      </c>
      <c r="K1791" s="6">
        <f>HYPERLINK("https://www.kleinanzeigen.de/s-anzeige/tabou-rocket-air-95-liter-surfbrett-windsurfboard/2777826022-230-5126", "Link")</f>
        <v/>
      </c>
      <c r="L1791" s="6">
        <f>HYPERLINK("C:\Projects\Kleinanzeigen-Scraper\offer_images\2777826022", "Link")</f>
        <v/>
      </c>
      <c r="M1791" t="inlineStr">
        <is>
          <t>Matthias Bockius</t>
        </is>
      </c>
      <c r="N1791" s="6">
        <f>HYPERLINK("https://www.kleinanzeigen.de/s-bestandsliste.html?userId=33658222", "Link")</f>
        <v/>
      </c>
      <c r="O1791" s="7" t="n">
        <v>45549.57408564815</v>
      </c>
      <c r="P1791" s="3" t="inlineStr">
        <is>
          <t>108.99</t>
        </is>
      </c>
      <c r="Q1791" t="inlineStr">
        <is>
          <t>Karlsruhe</t>
        </is>
      </c>
    </row>
    <row r="1792">
      <c r="A1792" t="inlineStr">
        <is>
          <t>Dimensions not specified</t>
        </is>
      </c>
      <c r="B1792" t="inlineStr">
        <is>
          <t>Starboard Carve 101</t>
        </is>
      </c>
      <c r="C1792" t="inlineStr">
        <is>
          <t>Freeride</t>
        </is>
      </c>
      <c r="D1792" s="3" t="inlineStr"/>
      <c r="E1792" t="inlineStr"/>
      <c r="F1792" s="4" t="n">
        <v>165</v>
      </c>
      <c r="G1792" t="inlineStr">
        <is>
          <t>VB</t>
        </is>
      </c>
      <c r="H1792" t="inlineStr">
        <is>
          <t>24976 Schleswig-Holstein - Handewitt</t>
        </is>
      </c>
      <c r="I1792" s="5" t="n">
        <v>45544</v>
      </c>
      <c r="J1792" t="inlineStr"/>
      <c r="K1792" s="6">
        <f>HYPERLINK("https://www.kleinanzeigen.de/s-anzeige/starboard-carve-101-wood-surfbrett-surfboard-windsurfboard/2858179454-230-17448", "Link")</f>
        <v/>
      </c>
      <c r="L1792" s="6">
        <f>HYPERLINK("C:\Projects\Kleinanzeigen-Scraper\offer_images\2858179454", "Link")</f>
        <v/>
      </c>
      <c r="M1792" t="inlineStr">
        <is>
          <t>Alexander Mehrens</t>
        </is>
      </c>
      <c r="N1792" s="6">
        <f>HYPERLINK("https://www.kleinanzeigen.de/s-bestandsliste.html?userId=29130658", "Link")</f>
        <v/>
      </c>
      <c r="O1792" s="7" t="n">
        <v>45549.57407407407</v>
      </c>
      <c r="P1792" s="3" t="inlineStr">
        <is>
          <t>453.75</t>
        </is>
      </c>
      <c r="Q1792" t="inlineStr">
        <is>
          <t>Köln</t>
        </is>
      </c>
    </row>
    <row r="1793">
      <c r="A1793" t="inlineStr"/>
      <c r="B1793" t="inlineStr">
        <is>
          <t>Tabou 3S LTD</t>
        </is>
      </c>
      <c r="C1793" t="inlineStr">
        <is>
          <t>Freeride</t>
        </is>
      </c>
      <c r="D1793" s="3" t="n">
        <v>96</v>
      </c>
      <c r="E1793" t="inlineStr">
        <is>
          <t>2015</t>
        </is>
      </c>
      <c r="F1793" s="4" t="n">
        <v>620</v>
      </c>
      <c r="G1793" t="inlineStr"/>
      <c r="H1793" t="inlineStr">
        <is>
          <t>65375 Hessen - Oestrich-Winkel</t>
        </is>
      </c>
      <c r="I1793" s="5" t="n">
        <v>45549</v>
      </c>
      <c r="J1793" t="inlineStr"/>
      <c r="K1793" s="6">
        <f>HYPERLINK("https://www.kleinanzeigen.de/s-anzeige/tabou-3s-ltd-96-2015-/2862955137-230-5122", "Link")</f>
        <v/>
      </c>
      <c r="L1793" s="6">
        <f>HYPERLINK("C:\Projects\Kleinanzeigen-Scraper\offer_images\2862955137", "Link")</f>
        <v/>
      </c>
      <c r="M1793" t="inlineStr">
        <is>
          <t>Christian Puth</t>
        </is>
      </c>
      <c r="N1793" s="6">
        <f>HYPERLINK("https://www.kleinanzeigen.de/s-bestandsliste.html?userId=48914843", "Link")</f>
        <v/>
      </c>
      <c r="O1793" s="7" t="n">
        <v>45549.57407407407</v>
      </c>
      <c r="P1793" s="3" t="inlineStr">
        <is>
          <t>118.47</t>
        </is>
      </c>
      <c r="Q1793" t="inlineStr">
        <is>
          <t>Karlsruhe</t>
        </is>
      </c>
    </row>
    <row r="1794">
      <c r="A1794" t="inlineStr">
        <is>
          <t>139x42</t>
        </is>
      </c>
      <c r="B1794" t="inlineStr">
        <is>
          <t>Duotone Jaime</t>
        </is>
      </c>
      <c r="C1794" t="inlineStr">
        <is>
          <t>Freestyle/Freeride</t>
        </is>
      </c>
      <c r="D1794" s="3" t="inlineStr"/>
      <c r="E1794" t="inlineStr">
        <is>
          <t>2021</t>
        </is>
      </c>
      <c r="F1794" s="4" t="n">
        <v>599</v>
      </c>
      <c r="G1794" t="inlineStr">
        <is>
          <t>VB</t>
        </is>
      </c>
      <c r="H1794" t="inlineStr">
        <is>
          <t>10245 Friedrichshain-Kreuzberg - Friedrichshain</t>
        </is>
      </c>
      <c r="I1794" s="5" t="n">
        <v>45539</v>
      </c>
      <c r="J1794" t="inlineStr">
        <is>
          <t>Sold</t>
        </is>
      </c>
      <c r="K1794" s="6">
        <f>HYPERLINK("https://www.kleinanzeigen.de/s-anzeige/duotone-board-jaime-2021-139x42-ntt-ergo-bindung/2854380537-230-3352", "Link")</f>
        <v/>
      </c>
      <c r="L1794" s="6">
        <f>HYPERLINK("C:\Projects\Kleinanzeigen-Scraper\offer_images\2854380537", "Link")</f>
        <v/>
      </c>
      <c r="M1794" t="inlineStr">
        <is>
          <t>Daniel</t>
        </is>
      </c>
      <c r="N1794" s="6">
        <f>HYPERLINK("https://www.kleinanzeigen.de/s-bestandsliste.html?userId=137435090", "Link")</f>
        <v/>
      </c>
      <c r="O1794" s="7" t="n">
        <v>45549.57405092593</v>
      </c>
      <c r="P1794" s="3" t="inlineStr">
        <is>
          <t>480.20</t>
        </is>
      </c>
      <c r="Q1794" t="inlineStr">
        <is>
          <t>Köln</t>
        </is>
      </c>
    </row>
    <row r="1795">
      <c r="A1795" t="inlineStr">
        <is>
          <t>135 L</t>
        </is>
      </c>
      <c r="B1795" t="inlineStr">
        <is>
          <t>Tabou Rocket MTE</t>
        </is>
      </c>
      <c r="C1795" t="inlineStr">
        <is>
          <t>Freeride</t>
        </is>
      </c>
      <c r="D1795" s="3" t="n">
        <v>135</v>
      </c>
      <c r="E1795" t="inlineStr">
        <is>
          <t>2023</t>
        </is>
      </c>
      <c r="F1795" s="4" t="n">
        <v>775</v>
      </c>
      <c r="G1795" t="inlineStr">
        <is>
          <t>VB</t>
        </is>
      </c>
      <c r="H1795" t="inlineStr">
        <is>
          <t>26817 Niedersachsen - Rhauderfehn</t>
        </is>
      </c>
      <c r="I1795" s="5" t="n">
        <v>45502</v>
      </c>
      <c r="J1795" t="inlineStr">
        <is>
          <t>Sold</t>
        </is>
      </c>
      <c r="K1795" s="6">
        <f>HYPERLINK("https://www.kleinanzeigen.de/s-anzeige/sehr-gutes-tabou-windsurfboard-135-liter/2824323811-230-2761", "Link")</f>
        <v/>
      </c>
      <c r="L1795" s="6">
        <f>HYPERLINK("C:\Projects\Kleinanzeigen-Scraper\offer_images\2824323811", "Link")</f>
        <v/>
      </c>
      <c r="M1795" t="inlineStr">
        <is>
          <t>Kalle</t>
        </is>
      </c>
      <c r="N1795" s="6">
        <f>HYPERLINK("https://www.kleinanzeigen.de/s-bestandsliste.html?userId=142961143", "Link")</f>
        <v/>
      </c>
      <c r="O1795" s="7" t="n">
        <v>45549.57402777778</v>
      </c>
      <c r="P1795" s="3" t="inlineStr">
        <is>
          <t>247.02</t>
        </is>
      </c>
      <c r="Q1795" t="inlineStr">
        <is>
          <t>Köln</t>
        </is>
      </c>
    </row>
    <row r="1796">
      <c r="A1796" t="inlineStr">
        <is>
          <t>139</t>
        </is>
      </c>
      <c r="B1796" t="inlineStr">
        <is>
          <t>Duotone Jaime SLS</t>
        </is>
      </c>
      <c r="C1796" t="inlineStr"/>
      <c r="D1796" s="3" t="inlineStr"/>
      <c r="E1796" t="inlineStr">
        <is>
          <t>2024</t>
        </is>
      </c>
      <c r="F1796" s="4" t="n">
        <v>850</v>
      </c>
      <c r="G1796" t="inlineStr"/>
      <c r="H1796" t="inlineStr">
        <is>
          <t>90451 Nürnberg (Mittelfr) - Aussenstadt-Sued</t>
        </is>
      </c>
      <c r="I1796" s="5" t="n">
        <v>45540</v>
      </c>
      <c r="J1796" t="inlineStr">
        <is>
          <t>Sold</t>
        </is>
      </c>
      <c r="K1796" s="6">
        <f>HYPERLINK("https://www.kleinanzeigen.de/s-anzeige/duotone-2024-jaime-sls-139/2854804334-230-6836", "Link")</f>
        <v/>
      </c>
      <c r="L1796" s="6">
        <f>HYPERLINK("C:\Projects\Kleinanzeigen-Scraper\offer_images\2854804334", "Link")</f>
        <v/>
      </c>
      <c r="M1796" t="inlineStr">
        <is>
          <t>No user name</t>
        </is>
      </c>
      <c r="N1796" s="6">
        <f>HYPERLINK("https://www.kleinanzeigen.deNo user link", "Link")</f>
        <v/>
      </c>
      <c r="O1796" s="7" t="n">
        <v>45549.57402777778</v>
      </c>
      <c r="P1796" s="3" t="inlineStr">
        <is>
          <t>145.92</t>
        </is>
      </c>
      <c r="Q1796" t="inlineStr">
        <is>
          <t>München</t>
        </is>
      </c>
    </row>
    <row r="1797">
      <c r="A1797" t="inlineStr"/>
      <c r="B1797" t="inlineStr">
        <is>
          <t>Naish Hover Carbon Ultra</t>
        </is>
      </c>
      <c r="C1797" t="inlineStr">
        <is>
          <t>Wing Foil, SUP Foil</t>
        </is>
      </c>
      <c r="D1797" s="3" t="inlineStr">
        <is>
          <t>75, 95, 110, 125, 140</t>
        </is>
      </c>
      <c r="E1797" t="inlineStr">
        <is>
          <t>S26</t>
        </is>
      </c>
      <c r="F1797" s="4" t="n">
        <v>887</v>
      </c>
      <c r="G1797" t="inlineStr"/>
      <c r="H1797" t="inlineStr">
        <is>
          <t>18586 Mecklenburg-Vorpommern - Mönchgut, Ostseebad</t>
        </is>
      </c>
      <c r="I1797" s="5" t="n">
        <v>45539</v>
      </c>
      <c r="J1797" t="inlineStr">
        <is>
          <t>Sold</t>
        </is>
      </c>
      <c r="K1797" s="6">
        <f>HYPERLINK("https://www.kleinanzeigen.de/s-anzeige/naish-s26-hover-carbon-ultra-wing-foil-board/2781188876-230-120", "Link")</f>
        <v/>
      </c>
      <c r="L1797" s="6">
        <f>HYPERLINK("C:\Projects\Kleinanzeigen-Scraper\offer_images\2781188876", "Link")</f>
        <v/>
      </c>
      <c r="M1797" t="inlineStr">
        <is>
          <t>No user name</t>
        </is>
      </c>
      <c r="N1797" s="6">
        <f>HYPERLINK("https://www.kleinanzeigen.deNo user link", "Link")</f>
        <v/>
      </c>
      <c r="O1797" s="7" t="n">
        <v>45549.57400462963</v>
      </c>
      <c r="P1797" s="3" t="inlineStr">
        <is>
          <t>591.22</t>
        </is>
      </c>
      <c r="Q1797" t="inlineStr">
        <is>
          <t>Köln</t>
        </is>
      </c>
    </row>
    <row r="1798">
      <c r="A1798" t="inlineStr">
        <is>
          <t xml:space="preserve">Dimensions </t>
        </is>
      </c>
      <c r="B1798" t="inlineStr">
        <is>
          <t>Naish Enduro</t>
        </is>
      </c>
      <c r="C1798" t="inlineStr">
        <is>
          <t>Freeride</t>
        </is>
      </c>
      <c r="D1798" s="3" t="n">
        <v>105</v>
      </c>
      <c r="E1798" t="inlineStr"/>
      <c r="F1798" s="4" t="n">
        <v>55</v>
      </c>
      <c r="G1798" t="inlineStr">
        <is>
          <t>VB</t>
        </is>
      </c>
      <c r="H1798" t="inlineStr">
        <is>
          <t>91757 Bayern - Treuchtlingen</t>
        </is>
      </c>
      <c r="I1798" s="5" t="n">
        <v>45492</v>
      </c>
      <c r="J1798" t="inlineStr">
        <is>
          <t>Sold</t>
        </is>
      </c>
      <c r="K1798" s="6">
        <f>HYPERLINK("https://www.kleinanzeigen.de/s-anzeige/naish-enduro-105l-freeride-surfbrett/2815766507-230-5870", "Link")</f>
        <v/>
      </c>
      <c r="L1798" s="6">
        <f>HYPERLINK("C:\Projects\Kleinanzeigen-Scraper\offer_images\2815766507", "Link")</f>
        <v/>
      </c>
      <c r="M1798" t="inlineStr">
        <is>
          <t>Michael Neuendorf</t>
        </is>
      </c>
      <c r="N1798" s="6">
        <f>HYPERLINK("https://www.kleinanzeigen.de/s-bestandsliste.html?userId=20903186", "Link")</f>
        <v/>
      </c>
      <c r="O1798" s="7" t="n">
        <v>45549.57398148148</v>
      </c>
      <c r="P1798" s="3" t="inlineStr">
        <is>
          <t>103.54</t>
        </is>
      </c>
      <c r="Q1798" t="inlineStr">
        <is>
          <t>München</t>
        </is>
      </c>
    </row>
    <row r="1799">
      <c r="A1799" t="inlineStr">
        <is>
          <t>237 cm x 85 cm</t>
        </is>
      </c>
      <c r="B1799" t="inlineStr">
        <is>
          <t>Tabou Rocket LTD Plus</t>
        </is>
      </c>
      <c r="C1799" t="inlineStr">
        <is>
          <t>Freeride</t>
        </is>
      </c>
      <c r="D1799" s="3" t="n">
        <v>143</v>
      </c>
      <c r="E1799" t="inlineStr">
        <is>
          <t>2021</t>
        </is>
      </c>
      <c r="F1799" s="4" t="n">
        <v>725</v>
      </c>
      <c r="G1799" t="inlineStr"/>
      <c r="H1799" t="inlineStr">
        <is>
          <t>40545 Düsseldorf - Oberkassel</t>
        </is>
      </c>
      <c r="I1799" s="5" t="n">
        <v>45464</v>
      </c>
      <c r="J1799" t="inlineStr"/>
      <c r="K1799" s="6">
        <f>HYPERLINK("https://www.kleinanzeigen.de/s-anzeige/tabou-rocket-ltd-plus-143-liter-tiptop/2669841054-230-2071", "Link")</f>
        <v/>
      </c>
      <c r="L1799" s="6">
        <f>HYPERLINK("C:\Projects\Kleinanzeigen-Scraper\offer_images\2669841054", "Link")</f>
        <v/>
      </c>
      <c r="M1799" t="inlineStr">
        <is>
          <t>F.  Paschke</t>
        </is>
      </c>
      <c r="N1799" s="6">
        <f>HYPERLINK("https://www.kleinanzeigen.de/s-bestandsliste.html?userId=20896549", "Link")</f>
        <v/>
      </c>
      <c r="O1799" s="7" t="n">
        <v>45549.57398148148</v>
      </c>
      <c r="P1799" s="3" t="inlineStr">
        <is>
          <t>35.10</t>
        </is>
      </c>
      <c r="Q1799" t="inlineStr">
        <is>
          <t>Köln</t>
        </is>
      </c>
    </row>
    <row r="1800">
      <c r="A1800" t="inlineStr">
        <is>
          <t>133 liters</t>
        </is>
      </c>
      <c r="B1800" t="inlineStr">
        <is>
          <t>Fanatic Gecko Ltd</t>
        </is>
      </c>
      <c r="C1800" t="inlineStr">
        <is>
          <t>Freeride</t>
        </is>
      </c>
      <c r="D1800" s="3" t="n">
        <v>133</v>
      </c>
      <c r="E1800" t="inlineStr"/>
      <c r="F1800" s="4" t="n">
        <v>950</v>
      </c>
      <c r="G1800" t="inlineStr">
        <is>
          <t>VB</t>
        </is>
      </c>
      <c r="H1800" t="inlineStr">
        <is>
          <t>25462 Kreis Pinneberg - Rellingen</t>
        </is>
      </c>
      <c r="I1800" s="5" t="n">
        <v>45524</v>
      </c>
      <c r="J1800" t="inlineStr">
        <is>
          <t>Sold</t>
        </is>
      </c>
      <c r="K1800" s="6">
        <f>HYPERLINK("https://www.kleinanzeigen.de/s-anzeige/fanatic-gecko-ltd-133-lieter/2842046935-230-787", "Link")</f>
        <v/>
      </c>
      <c r="L1800" s="6">
        <f>HYPERLINK("C:\Projects\Kleinanzeigen-Scraper\offer_images\2842046935", "Link")</f>
        <v/>
      </c>
      <c r="M1800" t="inlineStr">
        <is>
          <t>Faber</t>
        </is>
      </c>
      <c r="N1800" s="6">
        <f>HYPERLINK("https://www.kleinanzeigen.de/s-bestandsliste.html?userId=20501062", "Link")</f>
        <v/>
      </c>
      <c r="O1800" s="7" t="n">
        <v>45549.57395833333</v>
      </c>
      <c r="P1800" s="3" t="inlineStr">
        <is>
          <t>359.53</t>
        </is>
      </c>
      <c r="Q1800" t="inlineStr">
        <is>
          <t>Köln</t>
        </is>
      </c>
    </row>
    <row r="1801">
      <c r="A1801" t="inlineStr">
        <is>
          <t>317cm x 65cm</t>
        </is>
      </c>
      <c r="B1801" t="inlineStr">
        <is>
          <t>Fanatic</t>
        </is>
      </c>
      <c r="C1801" t="inlineStr">
        <is>
          <t>SUP</t>
        </is>
      </c>
      <c r="D1801" s="3" t="n">
        <v>195</v>
      </c>
      <c r="E1801" t="inlineStr"/>
      <c r="F1801" s="4" t="n">
        <v>17</v>
      </c>
      <c r="G1801" t="inlineStr">
        <is>
          <t>VB</t>
        </is>
      </c>
      <c r="H1801" t="inlineStr">
        <is>
          <t>84036 Bayern - Landshut</t>
        </is>
      </c>
      <c r="I1801" s="5" t="n">
        <v>45541</v>
      </c>
      <c r="J1801" t="inlineStr">
        <is>
          <t>Sold</t>
        </is>
      </c>
      <c r="K1801" s="6">
        <f>HYPERLINK("https://www.kleinanzeigen.de/s-anzeige/sub-board-fanatic/2855402391-230-20549", "Link")</f>
        <v/>
      </c>
      <c r="L1801" s="6">
        <f>HYPERLINK("C:\Projects\Kleinanzeigen-Scraper\offer_images\2855402391", "Link")</f>
        <v/>
      </c>
      <c r="M1801" t="inlineStr">
        <is>
          <t>Reinhardt</t>
        </is>
      </c>
      <c r="N1801" s="6">
        <f>HYPERLINK("https://www.kleinanzeigen.de/s-bestandsliste.html?userId=23828441", "Link")</f>
        <v/>
      </c>
      <c r="O1801" s="7" t="n">
        <v>45549.57395833333</v>
      </c>
      <c r="P1801" s="3" t="inlineStr">
        <is>
          <t>63.58</t>
        </is>
      </c>
      <c r="Q1801" t="inlineStr">
        <is>
          <t>München</t>
        </is>
      </c>
    </row>
    <row r="1802">
      <c r="A1802" t="inlineStr">
        <is>
          <t>76</t>
        </is>
      </c>
      <c r="B1802" t="inlineStr">
        <is>
          <t>RRD</t>
        </is>
      </c>
      <c r="C1802" t="inlineStr">
        <is>
          <t>Freeride</t>
        </is>
      </c>
      <c r="D1802" s="3" t="n">
        <v>105</v>
      </c>
      <c r="E1802" t="inlineStr"/>
      <c r="F1802" s="4" t="n">
        <v>50</v>
      </c>
      <c r="G1802" t="inlineStr"/>
      <c r="H1802" t="inlineStr">
        <is>
          <t>10247 Friedrichshain-Kreuzberg - Friedrichshain</t>
        </is>
      </c>
      <c r="I1802" s="5" t="n">
        <v>45442</v>
      </c>
      <c r="J1802" t="inlineStr"/>
      <c r="K1802" s="6">
        <f>HYPERLINK("https://www.kleinanzeigen.de/s-anzeige/surfbrett-freerideboard-rrd-76-ca-105-liter/2775331566-230-3353", "Link")</f>
        <v/>
      </c>
      <c r="L1802" s="6">
        <f>HYPERLINK("C:\Projects\Kleinanzeigen-Scraper\offer_images\2775331566", "Link")</f>
        <v/>
      </c>
      <c r="M1802" t="inlineStr">
        <is>
          <t>Thomas Menzel</t>
        </is>
      </c>
      <c r="N1802" s="6">
        <f>HYPERLINK("https://www.kleinanzeigen.de/s-bestandsliste.html?userId=1481351", "Link")</f>
        <v/>
      </c>
      <c r="O1802" s="7" t="n">
        <v>45549.57395833333</v>
      </c>
      <c r="P1802" s="3" t="inlineStr">
        <is>
          <t>481.24</t>
        </is>
      </c>
      <c r="Q1802" t="inlineStr">
        <is>
          <t>Köln</t>
        </is>
      </c>
    </row>
    <row r="1803">
      <c r="A1803" t="inlineStr">
        <is>
          <t>219 cm x 58 cm</t>
        </is>
      </c>
      <c r="B1803" t="inlineStr">
        <is>
          <t>Naish Assault</t>
        </is>
      </c>
      <c r="C1803" t="inlineStr">
        <is>
          <t>Wave</t>
        </is>
      </c>
      <c r="D1803" s="3" t="n">
        <v>85</v>
      </c>
      <c r="E1803" t="inlineStr">
        <is>
          <t>2023</t>
        </is>
      </c>
      <c r="F1803" s="4" t="n">
        <v>1.3</v>
      </c>
      <c r="G1803" t="inlineStr">
        <is>
          <t>VB</t>
        </is>
      </c>
      <c r="H1803" t="inlineStr">
        <is>
          <t>24229 Schleswig-Holstein - Schwedeneck</t>
        </is>
      </c>
      <c r="I1803" s="5" t="n">
        <v>45461</v>
      </c>
      <c r="J1803" t="inlineStr">
        <is>
          <t>Sold</t>
        </is>
      </c>
      <c r="K1803" s="6">
        <f>HYPERLINK("https://www.kleinanzeigen.de/s-anzeige/naish-waveboard-assault-85-liter-neu-2023-/2791373548-230-17470", "Link")</f>
        <v/>
      </c>
      <c r="L1803" s="6">
        <f>HYPERLINK("C:\Projects\Kleinanzeigen-Scraper\offer_images\2791373548", "Link")</f>
        <v/>
      </c>
      <c r="M1803" t="inlineStr">
        <is>
          <t>Bernd</t>
        </is>
      </c>
      <c r="N1803" s="6">
        <f>HYPERLINK("https://www.kleinanzeigen.de/s-bestandsliste.html?userId=7833787", "Link")</f>
        <v/>
      </c>
      <c r="O1803" s="7" t="n">
        <v>45549.57393518519</v>
      </c>
      <c r="P1803" s="3" t="inlineStr">
        <is>
          <t>445.58</t>
        </is>
      </c>
      <c r="Q1803" t="inlineStr">
        <is>
          <t>Köln</t>
        </is>
      </c>
    </row>
    <row r="1804">
      <c r="A1804" t="inlineStr">
        <is>
          <t>237 cm x 81 cm</t>
        </is>
      </c>
      <c r="B1804" t="inlineStr">
        <is>
          <t>Tabou Rocket Plus LTD</t>
        </is>
      </c>
      <c r="C1804" t="inlineStr">
        <is>
          <t>Freeride, Freerace</t>
        </is>
      </c>
      <c r="D1804" s="3" t="n">
        <v>133</v>
      </c>
      <c r="E1804" t="inlineStr">
        <is>
          <t>2021</t>
        </is>
      </c>
      <c r="F1804" s="4" t="n">
        <v>1.099</v>
      </c>
      <c r="G1804" t="inlineStr"/>
      <c r="H1804" t="inlineStr">
        <is>
          <t>82319 Bayern - Starnberg</t>
        </is>
      </c>
      <c r="I1804" s="5" t="n">
        <v>45551</v>
      </c>
      <c r="J1804" t="inlineStr"/>
      <c r="K1804" s="6">
        <f>HYPERLINK("https://www.kleinanzeigen.de/s-anzeige/tabou-rocket-plus-133-ltd-freeride-freerace-neu/1862445932-230-5525", "Link")</f>
        <v/>
      </c>
      <c r="L1804" s="6">
        <f>HYPERLINK("C:\Projects\Kleinanzeigen-Scraper\offer_images\1862445932", "Link")</f>
        <v/>
      </c>
      <c r="M1804" t="inlineStr">
        <is>
          <t>No user name</t>
        </is>
      </c>
      <c r="N1804" s="6">
        <f>HYPERLINK("https://www.kleinanzeigen.deNo user link", "Link")</f>
        <v/>
      </c>
      <c r="O1804" s="7" t="n">
        <v>45549.57392361111</v>
      </c>
      <c r="P1804" s="3" t="inlineStr">
        <is>
          <t>23.17</t>
        </is>
      </c>
      <c r="Q1804" t="inlineStr">
        <is>
          <t>München</t>
        </is>
      </c>
    </row>
    <row r="1805">
      <c r="A1805" t="inlineStr">
        <is>
          <t>8'4</t>
        </is>
      </c>
      <c r="B1805" t="inlineStr">
        <is>
          <t>Naish</t>
        </is>
      </c>
      <c r="C1805" t="inlineStr">
        <is>
          <t>Wave</t>
        </is>
      </c>
      <c r="D1805" s="3" t="inlineStr"/>
      <c r="E1805" t="inlineStr"/>
      <c r="F1805" s="4" t="n">
        <v>65</v>
      </c>
      <c r="G1805" t="inlineStr">
        <is>
          <t>VB</t>
        </is>
      </c>
      <c r="H1805" t="inlineStr">
        <is>
          <t>24643 Schleswig-Holstein - Struvenhütten</t>
        </is>
      </c>
      <c r="I1805" s="5" t="n">
        <v>45492</v>
      </c>
      <c r="J1805" t="inlineStr">
        <is>
          <t>Sold</t>
        </is>
      </c>
      <c r="K1805" s="6">
        <f>HYPERLINK("https://www.kleinanzeigen.de/s-anzeige/naish-8-4-waveboard-windsurfboard-windsurfen/2816105185-230-815", "Link")</f>
        <v/>
      </c>
      <c r="L1805" s="6">
        <f>HYPERLINK("C:\Projects\Kleinanzeigen-Scraper\offer_images\2816105185", "Link")</f>
        <v/>
      </c>
      <c r="M1805" t="inlineStr">
        <is>
          <t>Matthias Lück</t>
        </is>
      </c>
      <c r="N1805" s="6">
        <f>HYPERLINK("https://www.kleinanzeigen.de/s-bestandsliste.html?userId=31061361", "Link")</f>
        <v/>
      </c>
      <c r="O1805" s="7" t="n">
        <v>45549.57391203703</v>
      </c>
      <c r="P1805" s="3" t="inlineStr">
        <is>
          <t>387.66</t>
        </is>
      </c>
      <c r="Q1805" t="inlineStr">
        <is>
          <t>Köln</t>
        </is>
      </c>
    </row>
    <row r="1806">
      <c r="A1806" t="inlineStr"/>
      <c r="B1806" t="inlineStr">
        <is>
          <t>Naish Global</t>
        </is>
      </c>
      <c r="C1806" t="inlineStr"/>
      <c r="D1806" s="3" t="inlineStr"/>
      <c r="E1806" t="inlineStr"/>
      <c r="F1806" s="4" t="n">
        <v>300</v>
      </c>
      <c r="G1806" t="inlineStr">
        <is>
          <t>VB</t>
        </is>
      </c>
      <c r="H1806" t="inlineStr">
        <is>
          <t>83435 Bayern - Bad Reichenhall</t>
        </is>
      </c>
      <c r="I1806" s="5" t="n">
        <v>45511</v>
      </c>
      <c r="J1806" t="inlineStr">
        <is>
          <t>Sold</t>
        </is>
      </c>
      <c r="K1806" s="6">
        <f>HYPERLINK("https://www.kleinanzeigen.de/s-anzeige/naish-surfboard-global-zum-kitesurfen/2831603717-230-5881", "Link")</f>
        <v/>
      </c>
      <c r="L1806" s="6">
        <f>HYPERLINK("C:\Projects\Kleinanzeigen-Scraper\offer_images\2831603717", "Link")</f>
        <v/>
      </c>
      <c r="M1806" t="inlineStr">
        <is>
          <t>Nina</t>
        </is>
      </c>
      <c r="N1806" s="6">
        <f>HYPERLINK("https://www.kleinanzeigen.de/s-bestandsliste.html?userId=73276330", "Link")</f>
        <v/>
      </c>
      <c r="O1806" s="7" t="n">
        <v>45549.57391203703</v>
      </c>
      <c r="P1806" s="3" t="inlineStr">
        <is>
          <t>104.89</t>
        </is>
      </c>
      <c r="Q1806" t="inlineStr">
        <is>
          <t>München</t>
        </is>
      </c>
    </row>
    <row r="1807">
      <c r="A1807" t="inlineStr">
        <is>
          <t>Dimensions not specified</t>
        </is>
      </c>
      <c r="B1807" t="inlineStr">
        <is>
          <t>Fanatic Hawk</t>
        </is>
      </c>
      <c r="C1807" t="inlineStr">
        <is>
          <t>Freeride</t>
        </is>
      </c>
      <c r="D1807" s="3" t="n">
        <v>108</v>
      </c>
      <c r="E1807" t="inlineStr">
        <is>
          <t>&gt;=15 years old</t>
        </is>
      </c>
      <c r="F1807" s="4" t="n">
        <v>230</v>
      </c>
      <c r="G1807" t="inlineStr">
        <is>
          <t>VB</t>
        </is>
      </c>
      <c r="H1807" t="inlineStr">
        <is>
          <t>21037 Bergedorf - Spadenland</t>
        </is>
      </c>
      <c r="I1807" s="5" t="n">
        <v>45518</v>
      </c>
      <c r="J1807" t="inlineStr">
        <is>
          <t>Sold</t>
        </is>
      </c>
      <c r="K1807" s="6">
        <f>HYPERLINK("https://www.kleinanzeigen.de/s-anzeige/windsurf-fanatic-hawk-surfboard-surfbrett-freeride-108l/2837080285-230-27271", "Link")</f>
        <v/>
      </c>
      <c r="L1807" s="6">
        <f>HYPERLINK("C:\Projects\Kleinanzeigen-Scraper\offer_images\2837080285", "Link")</f>
        <v/>
      </c>
      <c r="M1807" t="inlineStr">
        <is>
          <t>Karl Ahlers</t>
        </is>
      </c>
      <c r="N1807" s="6">
        <f>HYPERLINK("https://www.kleinanzeigen.de/s-bestandsliste.html?userId=17889539", "Link")</f>
        <v/>
      </c>
      <c r="O1807" s="7" t="n">
        <v>45549.57390046296</v>
      </c>
      <c r="P1807" s="3" t="inlineStr">
        <is>
          <t>354.05</t>
        </is>
      </c>
      <c r="Q1807" t="inlineStr">
        <is>
          <t>Köln</t>
        </is>
      </c>
    </row>
    <row r="1808">
      <c r="A1808" t="inlineStr">
        <is>
          <t>130</t>
        </is>
      </c>
      <c r="B1808" t="inlineStr">
        <is>
          <t>Naish 130 Sport</t>
        </is>
      </c>
      <c r="C1808" t="inlineStr">
        <is>
          <t>Freeride</t>
        </is>
      </c>
      <c r="D1808" s="3" t="inlineStr"/>
      <c r="E1808" t="inlineStr"/>
      <c r="F1808" s="4" t="n">
        <v>225</v>
      </c>
      <c r="G1808" t="inlineStr">
        <is>
          <t>VB</t>
        </is>
      </c>
      <c r="H1808" t="inlineStr">
        <is>
          <t>33106 Nordrhein-Westfalen - Paderborn</t>
        </is>
      </c>
      <c r="I1808" s="5" t="n">
        <v>45498</v>
      </c>
      <c r="J1808" t="inlineStr">
        <is>
          <t>Sold</t>
        </is>
      </c>
      <c r="K1808" s="6">
        <f>HYPERLINK("https://www.kleinanzeigen.de/s-anzeige/naish-windsurfboard-130-sport/2821056800-230-2161", "Link")</f>
        <v/>
      </c>
      <c r="L1808" s="6">
        <f>HYPERLINK("C:\Projects\Kleinanzeigen-Scraper\offer_images\2821056800", "Link")</f>
        <v/>
      </c>
      <c r="M1808" t="inlineStr">
        <is>
          <t>Terhard5</t>
        </is>
      </c>
      <c r="N1808" s="6">
        <f>HYPERLINK("https://www.kleinanzeigen.de/s-bestandsliste.html?userId=27887248", "Link")</f>
        <v/>
      </c>
      <c r="O1808" s="7" t="n">
        <v>45549.57390046296</v>
      </c>
      <c r="P1808" s="3" t="inlineStr">
        <is>
          <t>148.14</t>
        </is>
      </c>
      <c r="Q1808" t="inlineStr">
        <is>
          <t>Köln</t>
        </is>
      </c>
    </row>
    <row r="1809">
      <c r="A1809" t="inlineStr"/>
      <c r="B1809" t="inlineStr">
        <is>
          <t>Tabou Manta</t>
        </is>
      </c>
      <c r="C1809" t="inlineStr">
        <is>
          <t>Slalom</t>
        </is>
      </c>
      <c r="D1809" s="3" t="n">
        <v>135</v>
      </c>
      <c r="E1809" t="inlineStr"/>
      <c r="F1809" s="4" t="n">
        <v>600</v>
      </c>
      <c r="G1809" t="inlineStr">
        <is>
          <t>VB</t>
        </is>
      </c>
      <c r="H1809" t="inlineStr">
        <is>
          <t>23715 Schleswig-Holstein - Bosau</t>
        </is>
      </c>
      <c r="I1809" s="5" t="n">
        <v>45519</v>
      </c>
      <c r="J1809" t="inlineStr"/>
      <c r="K1809" s="6">
        <f>HYPERLINK("https://www.kleinanzeigen.de/s-anzeige/surfboard-tabou-135-l-manta/2837852625-230-454", "Link")</f>
        <v/>
      </c>
      <c r="L1809" s="6">
        <f>HYPERLINK("C:\Projects\Kleinanzeigen-Scraper\offer_images\2837852625", "Link")</f>
        <v/>
      </c>
      <c r="M1809" t="inlineStr">
        <is>
          <t>Torsten Heins</t>
        </is>
      </c>
      <c r="N1809" s="6">
        <f>HYPERLINK("https://www.kleinanzeigen.de/s-bestandsliste.html?userId=6167120", "Link")</f>
        <v/>
      </c>
      <c r="O1809" s="7" t="n">
        <v>45549.57387731481</v>
      </c>
      <c r="P1809" s="3" t="inlineStr">
        <is>
          <t>425.07</t>
        </is>
      </c>
      <c r="Q1809" t="inlineStr">
        <is>
          <t>Köln</t>
        </is>
      </c>
    </row>
    <row r="1810">
      <c r="A1810" t="inlineStr"/>
      <c r="B1810" t="inlineStr">
        <is>
          <t>Puls</t>
        </is>
      </c>
      <c r="C1810" t="inlineStr">
        <is>
          <t>Wave</t>
        </is>
      </c>
      <c r="D1810" s="3" t="inlineStr"/>
      <c r="E1810" t="inlineStr">
        <is>
          <t>2023</t>
        </is>
      </c>
      <c r="F1810" s="4" t="n">
        <v>650</v>
      </c>
      <c r="G1810" t="inlineStr">
        <is>
          <t>VB</t>
        </is>
      </c>
      <c r="H1810" t="inlineStr">
        <is>
          <t>22397 Wandsbek - Hamburg Lemsahl-Mellingstedt</t>
        </is>
      </c>
      <c r="I1810" s="5" t="n">
        <v>45510</v>
      </c>
      <c r="J1810" t="inlineStr"/>
      <c r="K1810" s="6">
        <f>HYPERLINK("https://www.kleinanzeigen.de/s-anzeige/windsurfen-puls-board-wie-fanatic-jp-tabou-windsurfboard/2830239927-230-21154", "Link")</f>
        <v/>
      </c>
      <c r="L1810" s="6">
        <f>HYPERLINK("C:\Projects\Kleinanzeigen-Scraper\offer_images\2830239927", "Link")</f>
        <v/>
      </c>
      <c r="M1810" t="inlineStr">
        <is>
          <t>Tomforde</t>
        </is>
      </c>
      <c r="N1810" s="6">
        <f>HYPERLINK("https://www.kleinanzeigen.de/s-bestandsliste.html?userId=28665098", "Link")</f>
        <v/>
      </c>
      <c r="O1810" s="7" t="n">
        <v>45549.57387731481</v>
      </c>
      <c r="P1810" s="3" t="inlineStr">
        <is>
          <t>373.25</t>
        </is>
      </c>
      <c r="Q1810" t="inlineStr">
        <is>
          <t>Köln</t>
        </is>
      </c>
    </row>
    <row r="1811">
      <c r="A1811" t="inlineStr">
        <is>
          <t>Dimensions not specified</t>
        </is>
      </c>
      <c r="B1811" t="inlineStr">
        <is>
          <t>Fanatic Blast</t>
        </is>
      </c>
      <c r="C1811" t="inlineStr">
        <is>
          <t>Freeride</t>
        </is>
      </c>
      <c r="D1811" s="3" t="n">
        <v>145</v>
      </c>
      <c r="E1811" t="inlineStr"/>
      <c r="F1811" s="4" t="n">
        <v>1</v>
      </c>
      <c r="G1811" t="inlineStr">
        <is>
          <t>VB</t>
        </is>
      </c>
      <c r="H1811" t="inlineStr">
        <is>
          <t>51789 Nordrhein-Westfalen - Lindlar</t>
        </is>
      </c>
      <c r="I1811" s="5" t="n">
        <v>45532</v>
      </c>
      <c r="J1811" t="inlineStr">
        <is>
          <t>Sold</t>
        </is>
      </c>
      <c r="K1811" s="6">
        <f>HYPERLINK("https://www.kleinanzeigen.de/s-anzeige/fanatic-blast-145l-tausch-gegen-130l-board/2848711913-230-1520", "Link")</f>
        <v/>
      </c>
      <c r="L1811" s="6">
        <f>HYPERLINK("C:\Projects\Kleinanzeigen-Scraper\offer_images\2848711913", "Link")</f>
        <v/>
      </c>
      <c r="M1811" t="inlineStr">
        <is>
          <t>Pascal</t>
        </is>
      </c>
      <c r="N1811" s="6">
        <f>HYPERLINK("https://www.kleinanzeigen.de/s-bestandsliste.html?userId=3109021", "Link")</f>
        <v/>
      </c>
      <c r="O1811" s="7" t="n">
        <v>45549.57385416667</v>
      </c>
      <c r="P1811" s="3" t="inlineStr">
        <is>
          <t>29.18</t>
        </is>
      </c>
      <c r="Q1811" t="inlineStr">
        <is>
          <t>Köln</t>
        </is>
      </c>
    </row>
    <row r="1812">
      <c r="A1812" t="inlineStr"/>
      <c r="B1812" t="inlineStr">
        <is>
          <t>Fanatic Skate</t>
        </is>
      </c>
      <c r="C1812" t="inlineStr">
        <is>
          <t>Freestyle</t>
        </is>
      </c>
      <c r="D1812" s="3" t="n">
        <v>90</v>
      </c>
      <c r="E1812" t="inlineStr"/>
      <c r="F1812" s="4" t="n">
        <v>400</v>
      </c>
      <c r="G1812" t="inlineStr">
        <is>
          <t>VB</t>
        </is>
      </c>
      <c r="H1812" t="inlineStr">
        <is>
          <t>22391 Wandsbek - Hamburg Wellingsbüttel</t>
        </is>
      </c>
      <c r="I1812" s="5" t="n">
        <v>45529</v>
      </c>
      <c r="J1812" t="inlineStr">
        <is>
          <t>Sold</t>
        </is>
      </c>
      <c r="K1812" s="6">
        <f>HYPERLINK("https://www.kleinanzeigen.de/s-anzeige/fanatic-skate-90l/2845673846-230-9469", "Link")</f>
        <v/>
      </c>
      <c r="L1812" s="6">
        <f>HYPERLINK("C:\Projects\Kleinanzeigen-Scraper\offer_images\2845673846", "Link")</f>
        <v/>
      </c>
      <c r="M1812" t="inlineStr">
        <is>
          <t>Carlotta</t>
        </is>
      </c>
      <c r="N1812" s="6">
        <f>HYPERLINK("https://www.kleinanzeigen.de/s-bestandsliste.html?userId=19477901", "Link")</f>
        <v/>
      </c>
      <c r="O1812" s="7" t="n">
        <v>45549.57385416667</v>
      </c>
      <c r="P1812" s="3" t="inlineStr">
        <is>
          <t>368.10</t>
        </is>
      </c>
      <c r="Q1812" t="inlineStr">
        <is>
          <t>Köln</t>
        </is>
      </c>
    </row>
    <row r="1813">
      <c r="A1813" t="inlineStr">
        <is>
          <t>244 x 64.5 cm</t>
        </is>
      </c>
      <c r="B1813" t="inlineStr">
        <is>
          <t>Starboard IQ</t>
        </is>
      </c>
      <c r="C1813" t="inlineStr"/>
      <c r="D1813" s="3" t="n">
        <v>99</v>
      </c>
      <c r="E1813" t="inlineStr"/>
      <c r="F1813" s="4" t="n">
        <v>100</v>
      </c>
      <c r="G1813" t="inlineStr">
        <is>
          <t>VB</t>
        </is>
      </c>
      <c r="H1813" t="inlineStr">
        <is>
          <t>86368 Bayern - Gersthofen</t>
        </is>
      </c>
      <c r="I1813" s="5" t="n">
        <v>45528</v>
      </c>
      <c r="J1813" t="inlineStr"/>
      <c r="K1813" s="6">
        <f>HYPERLINK("https://www.kleinanzeigen.de/s-anzeige/windsurfbrett-starboard-iq-99-l/2844785338-230-7042", "Link")</f>
        <v/>
      </c>
      <c r="L1813" s="6">
        <f>HYPERLINK("C:\Projects\Kleinanzeigen-Scraper\offer_images\2844785338", "Link")</f>
        <v/>
      </c>
      <c r="M1813" t="inlineStr">
        <is>
          <t>Andrejas</t>
        </is>
      </c>
      <c r="N1813" s="6">
        <f>HYPERLINK("https://www.kleinanzeigen.de/s-bestandsliste.html?userId=133145324", "Link")</f>
        <v/>
      </c>
      <c r="O1813" s="7" t="n">
        <v>45549.5738425926</v>
      </c>
      <c r="P1813" s="3" t="inlineStr">
        <is>
          <t>64.62</t>
        </is>
      </c>
      <c r="Q1813" t="inlineStr">
        <is>
          <t>München</t>
        </is>
      </c>
    </row>
    <row r="1814">
      <c r="A1814" t="inlineStr">
        <is>
          <t>L: 275 x W: 75</t>
        </is>
      </c>
      <c r="B1814" t="inlineStr">
        <is>
          <t>Fanatic Viper</t>
        </is>
      </c>
      <c r="C1814" t="inlineStr">
        <is>
          <t>Beginner</t>
        </is>
      </c>
      <c r="D1814" s="3" t="n">
        <v>160</v>
      </c>
      <c r="E1814" t="inlineStr"/>
      <c r="F1814" s="4" t="n">
        <v>200</v>
      </c>
      <c r="G1814" t="inlineStr">
        <is>
          <t>VB</t>
        </is>
      </c>
      <c r="H1814" t="inlineStr">
        <is>
          <t>88471 Baden-Württemberg - Laupheim</t>
        </is>
      </c>
      <c r="I1814" s="5" t="n">
        <v>45519</v>
      </c>
      <c r="J1814" t="inlineStr">
        <is>
          <t>Sold</t>
        </is>
      </c>
      <c r="K1814" s="6">
        <f>HYPERLINK("https://www.kleinanzeigen.de/s-anzeige/fanatic-viper-windsurfboard/2837881350-230-8553", "Link")</f>
        <v/>
      </c>
      <c r="L1814" s="6">
        <f>HYPERLINK("C:\Projects\Kleinanzeigen-Scraper\offer_images\2837881350", "Link")</f>
        <v/>
      </c>
      <c r="M1814" t="inlineStr">
        <is>
          <t>Dennis</t>
        </is>
      </c>
      <c r="N1814" s="6">
        <f>HYPERLINK("https://www.kleinanzeigen.de/s-bestandsliste.html?userId=25134966", "Link")</f>
        <v/>
      </c>
      <c r="O1814" s="7" t="n">
        <v>45549.57383101852</v>
      </c>
      <c r="P1814" s="3" t="inlineStr">
        <is>
          <t>81.86</t>
        </is>
      </c>
      <c r="Q1814" t="inlineStr">
        <is>
          <t>Böblingen</t>
        </is>
      </c>
    </row>
    <row r="1815">
      <c r="A1815" t="inlineStr">
        <is>
          <t>250 x 65</t>
        </is>
      </c>
      <c r="B1815" t="inlineStr">
        <is>
          <t>JP Australia Supersport</t>
        </is>
      </c>
      <c r="C1815" t="inlineStr">
        <is>
          <t>Freeride</t>
        </is>
      </c>
      <c r="D1815" s="3" t="n">
        <v>109</v>
      </c>
      <c r="E1815" t="inlineStr"/>
      <c r="F1815" s="4" t="n">
        <v>290</v>
      </c>
      <c r="G1815" t="inlineStr">
        <is>
          <t>VB</t>
        </is>
      </c>
      <c r="H1815" t="inlineStr">
        <is>
          <t>88048 Baden-Württemberg - Friedrichshafen</t>
        </is>
      </c>
      <c r="I1815" s="5" t="n">
        <v>45466</v>
      </c>
      <c r="J1815" t="inlineStr"/>
      <c r="K1815" s="6">
        <f>HYPERLINK("https://www.kleinanzeigen.de/s-anzeige/jp-australia-supersport-65-109-liter/2795446575-230-9212", "Link")</f>
        <v/>
      </c>
      <c r="L1815" s="6">
        <f>HYPERLINK("C:\Projects\Kleinanzeigen-Scraper\offer_images\2795446575", "Link")</f>
        <v/>
      </c>
      <c r="M1815" t="inlineStr">
        <is>
          <t>Familie Stauber</t>
        </is>
      </c>
      <c r="N1815" s="6">
        <f>HYPERLINK("https://www.kleinanzeigen.de/s-bestandsliste.html?userId=15923897", "Link")</f>
        <v/>
      </c>
      <c r="O1815" s="7" t="n">
        <v>45549.57383101852</v>
      </c>
      <c r="P1815" s="3" t="inlineStr">
        <is>
          <t>87.69</t>
        </is>
      </c>
      <c r="Q1815" t="inlineStr">
        <is>
          <t>Bonndorf</t>
        </is>
      </c>
    </row>
    <row r="1816">
      <c r="A1816" t="inlineStr">
        <is>
          <t>140x43</t>
        </is>
      </c>
      <c r="B1816" t="inlineStr">
        <is>
          <t>RRD Placebo V6</t>
        </is>
      </c>
      <c r="C1816" t="inlineStr">
        <is>
          <t>Twintip</t>
        </is>
      </c>
      <c r="D1816" s="3" t="inlineStr"/>
      <c r="E1816" t="inlineStr"/>
      <c r="F1816" s="4" t="n">
        <v>250</v>
      </c>
      <c r="G1816" t="inlineStr">
        <is>
          <t>VB</t>
        </is>
      </c>
      <c r="H1816" t="inlineStr">
        <is>
          <t>66740 Saarland - Saarlouis</t>
        </is>
      </c>
      <c r="I1816" s="5" t="n">
        <v>45534</v>
      </c>
      <c r="J1816" t="inlineStr">
        <is>
          <t>Sold</t>
        </is>
      </c>
      <c r="K1816" s="6">
        <f>HYPERLINK("https://www.kleinanzeigen.de/s-anzeige/kiteboard-twintip-rrd-placebo-v6/2850033849-230-369", "Link")</f>
        <v/>
      </c>
      <c r="L1816" s="6">
        <f>HYPERLINK("C:\Projects\Kleinanzeigen-Scraper\offer_images\2850033849", "Link")</f>
        <v/>
      </c>
      <c r="M1816" t="inlineStr">
        <is>
          <t>Peter</t>
        </is>
      </c>
      <c r="N1816" s="6">
        <f>HYPERLINK("https://www.kleinanzeigen.de/s-bestandsliste.html?userId=21245490", "Link")</f>
        <v/>
      </c>
      <c r="O1816" s="7" t="n">
        <v>45549.57383101852</v>
      </c>
      <c r="P1816" s="3" t="inlineStr">
        <is>
          <t>124.87</t>
        </is>
      </c>
      <c r="Q1816" t="inlineStr">
        <is>
          <t>Karlsruhe</t>
        </is>
      </c>
    </row>
    <row r="1817">
      <c r="A1817" t="inlineStr">
        <is>
          <t>5'9" x 29" (175 cm x 73.6 cm)</t>
        </is>
      </c>
      <c r="B1817" t="inlineStr">
        <is>
          <t>Duotone Sky Free</t>
        </is>
      </c>
      <c r="C1817" t="inlineStr"/>
      <c r="D1817" s="3" t="n">
        <v>125</v>
      </c>
      <c r="E1817" t="inlineStr">
        <is>
          <t>2024</t>
        </is>
      </c>
      <c r="F1817" s="4" t="n">
        <v>820</v>
      </c>
      <c r="G1817" t="inlineStr">
        <is>
          <t>VB</t>
        </is>
      </c>
      <c r="H1817" t="inlineStr">
        <is>
          <t>24235 Schleswig-Holstein - Wendtorf</t>
        </is>
      </c>
      <c r="I1817" s="5" t="n">
        <v>45549</v>
      </c>
      <c r="J1817" t="inlineStr">
        <is>
          <t>Sold</t>
        </is>
      </c>
      <c r="K1817" s="6">
        <f>HYPERLINK("https://www.kleinanzeigen.de/s-anzeige/duotone-sky-free-2024-mit-bag-und-leash/2862642565-230-19458", "Link")</f>
        <v/>
      </c>
      <c r="L1817" s="6">
        <f>HYPERLINK("C:\Projects\Kleinanzeigen-Scraper\offer_images\2862642565", "Link")</f>
        <v/>
      </c>
      <c r="M1817" t="inlineStr">
        <is>
          <t>Borris M.</t>
        </is>
      </c>
      <c r="N1817" s="6">
        <f>HYPERLINK("https://www.kleinanzeigen.de/s-bestandsliste.html?userId=33338120", "Link")</f>
        <v/>
      </c>
      <c r="O1817" s="7" t="n">
        <v>45549.57383101852</v>
      </c>
      <c r="P1817" s="3" t="inlineStr">
        <is>
          <t>443.73</t>
        </is>
      </c>
      <c r="Q1817" t="inlineStr">
        <is>
          <t>Köln</t>
        </is>
      </c>
    </row>
    <row r="1818">
      <c r="A1818" t="inlineStr">
        <is>
          <t>250cm x 68cm</t>
        </is>
      </c>
      <c r="B1818" t="inlineStr">
        <is>
          <t>RRD Freestyle Wave</t>
        </is>
      </c>
      <c r="C1818" t="inlineStr">
        <is>
          <t>Freestyle Wave</t>
        </is>
      </c>
      <c r="D1818" s="3" t="n">
        <v>120</v>
      </c>
      <c r="E1818" t="inlineStr"/>
      <c r="F1818" s="4" t="n">
        <v>350</v>
      </c>
      <c r="G1818" t="inlineStr">
        <is>
          <t>VB</t>
        </is>
      </c>
      <c r="H1818" t="inlineStr">
        <is>
          <t>23749 Kreis Ostholstein - Grube Holst</t>
        </is>
      </c>
      <c r="I1818" s="5" t="n">
        <v>45515</v>
      </c>
      <c r="J1818" t="inlineStr"/>
      <c r="K1818" s="6">
        <f>HYPERLINK("https://www.kleinanzeigen.de/s-anzeige/rrd-freestyle-wave-120lt-limited-edition/2834830943-230-444", "Link")</f>
        <v/>
      </c>
      <c r="L1818" s="6">
        <f>HYPERLINK("C:\Projects\Kleinanzeigen-Scraper\offer_images\2834830943", "Link")</f>
        <v/>
      </c>
      <c r="M1818" t="inlineStr">
        <is>
          <t>Dirk</t>
        </is>
      </c>
      <c r="N1818" s="6">
        <f>HYPERLINK("https://www.kleinanzeigen.de/s-bestandsliste.html?userId=2070157", "Link")</f>
        <v/>
      </c>
      <c r="O1818" s="7" t="n">
        <v>45549.57380787037</v>
      </c>
      <c r="P1818" s="3" t="inlineStr">
        <is>
          <t>458.18</t>
        </is>
      </c>
      <c r="Q1818" t="inlineStr">
        <is>
          <t>Köln</t>
        </is>
      </c>
    </row>
    <row r="1819">
      <c r="A1819" t="inlineStr">
        <is>
          <t>228x85</t>
        </is>
      </c>
      <c r="B1819" t="inlineStr">
        <is>
          <t>Starboard Isonic</t>
        </is>
      </c>
      <c r="C1819" t="inlineStr">
        <is>
          <t>Freeride</t>
        </is>
      </c>
      <c r="D1819" s="3" t="n">
        <v>127</v>
      </c>
      <c r="E1819" t="inlineStr"/>
      <c r="F1819" s="4" t="n">
        <v>333</v>
      </c>
      <c r="G1819" t="inlineStr"/>
      <c r="H1819" t="inlineStr">
        <is>
          <t>87437 Bayern - Kempten</t>
        </is>
      </c>
      <c r="I1819" s="5" t="n">
        <v>45564</v>
      </c>
      <c r="J1819" t="inlineStr">
        <is>
          <t>Sold</t>
        </is>
      </c>
      <c r="K1819" s="6">
        <f>HYPERLINK("https://www.kleinanzeigen.de/s-anzeige/starboard-isonic-127-leicht-und-schnell/2860249672-230-7620", "Link")</f>
        <v/>
      </c>
      <c r="L1819" s="6">
        <f>HYPERLINK("C:\Projects\Kleinanzeigen-Scraper\offer_images\2860249672", "Link")</f>
        <v/>
      </c>
      <c r="M1819" t="inlineStr">
        <is>
          <t>Erwin Grau</t>
        </is>
      </c>
      <c r="N1819" s="6">
        <f>HYPERLINK("https://www.kleinanzeigen.de/s-bestandsliste.html?userId=22370443", "Link")</f>
        <v/>
      </c>
      <c r="O1819" s="7" t="n">
        <v>45549.57380787037</v>
      </c>
      <c r="P1819" s="3" t="inlineStr">
        <is>
          <t>101.34</t>
        </is>
      </c>
      <c r="Q1819" t="inlineStr">
        <is>
          <t>München</t>
        </is>
      </c>
    </row>
    <row r="1820">
      <c r="A1820" t="inlineStr">
        <is>
          <t>237 x 55.5 x 21.9</t>
        </is>
      </c>
      <c r="B1820" t="inlineStr">
        <is>
          <t>JP Real World Wave</t>
        </is>
      </c>
      <c r="C1820" t="inlineStr">
        <is>
          <t>Wave</t>
        </is>
      </c>
      <c r="D1820" s="3" t="n">
        <v>74</v>
      </c>
      <c r="E1820" t="inlineStr"/>
      <c r="F1820" s="4" t="n">
        <v>140</v>
      </c>
      <c r="G1820" t="inlineStr"/>
      <c r="H1820" t="inlineStr">
        <is>
          <t>22145 Hamburg - Hamburg-Nord</t>
        </is>
      </c>
      <c r="I1820" s="5" t="n">
        <v>45521</v>
      </c>
      <c r="J1820" t="inlineStr">
        <is>
          <t>Sold</t>
        </is>
      </c>
      <c r="K1820" s="6">
        <f>HYPERLINK("https://www.kleinanzeigen.de/s-anzeige/jp-real-world-wave-74-carbon-5-4kg-perfekt-waveboard-fanatic/2839033890-230-17006", "Link")</f>
        <v/>
      </c>
      <c r="L1820" s="6">
        <f>HYPERLINK("C:\Projects\Kleinanzeigen-Scraper\offer_images\2839033890", "Link")</f>
        <v/>
      </c>
      <c r="M1820" t="inlineStr">
        <is>
          <t>Ulf</t>
        </is>
      </c>
      <c r="N1820" s="6">
        <f>HYPERLINK("https://www.kleinanzeigen.de/s-bestandsliste.html?userId=50449475", "Link")</f>
        <v/>
      </c>
      <c r="O1820" s="7" t="n">
        <v>45549.57380787037</v>
      </c>
      <c r="P1820" s="3" t="inlineStr">
        <is>
          <t>371.39</t>
        </is>
      </c>
      <c r="Q1820" t="inlineStr">
        <is>
          <t>Köln</t>
        </is>
      </c>
    </row>
    <row r="1821">
      <c r="A1821" t="inlineStr">
        <is>
          <t>233cm x 58cm</t>
        </is>
      </c>
      <c r="B1821" t="inlineStr">
        <is>
          <t>JP Australia Freestyle Wave Pro</t>
        </is>
      </c>
      <c r="C1821" t="inlineStr">
        <is>
          <t>Freestyle Wave</t>
        </is>
      </c>
      <c r="D1821" s="3" t="n">
        <v>85</v>
      </c>
      <c r="E1821" t="inlineStr"/>
      <c r="F1821" s="4" t="n">
        <v>460</v>
      </c>
      <c r="G1821" t="inlineStr">
        <is>
          <t>VB</t>
        </is>
      </c>
      <c r="H1821" t="inlineStr">
        <is>
          <t>82380 Bayern - Peißenberg</t>
        </is>
      </c>
      <c r="I1821" s="5" t="n">
        <v>45490</v>
      </c>
      <c r="J1821" t="inlineStr"/>
      <c r="K1821" s="6">
        <f>HYPERLINK("https://www.kleinanzeigen.de/s-anzeige/jp-australia-freestyle-wave-pro-85-wind-surfboard/2814823298-230-17122", "Link")</f>
        <v/>
      </c>
      <c r="L1821" s="6">
        <f>HYPERLINK("C:\Projects\Kleinanzeigen-Scraper\offer_images\2814823298", "Link")</f>
        <v/>
      </c>
      <c r="M1821" t="inlineStr">
        <is>
          <t>Obereisenbuchner</t>
        </is>
      </c>
      <c r="N1821" s="6">
        <f>HYPERLINK("https://www.kleinanzeigen.de/s-bestandsliste.html?userId=132772653", "Link")</f>
        <v/>
      </c>
      <c r="O1821" s="7" t="n">
        <v>45549.5737962963</v>
      </c>
      <c r="P1821" s="3" t="inlineStr">
        <is>
          <t>51.99</t>
        </is>
      </c>
      <c r="Q1821" t="inlineStr">
        <is>
          <t>München</t>
        </is>
      </c>
    </row>
    <row r="1822">
      <c r="A1822" t="inlineStr">
        <is>
          <t>150</t>
        </is>
      </c>
      <c r="B1822" t="inlineStr">
        <is>
          <t>Naish HOVER CROSSOVER</t>
        </is>
      </c>
      <c r="C1822" t="inlineStr">
        <is>
          <t>SUP/Windsurf Foil</t>
        </is>
      </c>
      <c r="D1822" s="3" t="inlineStr"/>
      <c r="E1822" t="inlineStr"/>
      <c r="F1822" s="4" t="n">
        <v>790</v>
      </c>
      <c r="G1822" t="inlineStr">
        <is>
          <t>VB</t>
        </is>
      </c>
      <c r="H1822" t="inlineStr">
        <is>
          <t>12203 Berlin - Steglitz</t>
        </is>
      </c>
      <c r="I1822" s="5" t="n">
        <v>45537</v>
      </c>
      <c r="J1822" t="inlineStr"/>
      <c r="K1822" s="6">
        <f>HYPERLINK("https://www.kleinanzeigen.de/s-anzeige/naish-hover-crossover-150-inkl-boardbag/2852389784-230-3416", "Link")</f>
        <v/>
      </c>
      <c r="L1822" s="6">
        <f>HYPERLINK("C:\Projects\Kleinanzeigen-Scraper\offer_images\2852389784", "Link")</f>
        <v/>
      </c>
      <c r="M1822" t="inlineStr">
        <is>
          <t>Dirk Respondeck</t>
        </is>
      </c>
      <c r="N1822" s="6">
        <f>HYPERLINK("https://www.kleinanzeigen.de/s-bestandsliste.html?userId=148290", "Link")</f>
        <v/>
      </c>
      <c r="O1822" s="7" t="n">
        <v>45549.57378472222</v>
      </c>
      <c r="P1822" s="3" t="inlineStr">
        <is>
          <t>468.79</t>
        </is>
      </c>
      <c r="Q1822" t="inlineStr">
        <is>
          <t>Köln</t>
        </is>
      </c>
    </row>
    <row r="1823">
      <c r="A1823" t="inlineStr">
        <is>
          <t>223cm x 56cm</t>
        </is>
      </c>
      <c r="B1823" t="inlineStr">
        <is>
          <t>Naish ATV Junior</t>
        </is>
      </c>
      <c r="C1823" t="inlineStr"/>
      <c r="D1823" s="3" t="n">
        <v>75</v>
      </c>
      <c r="E1823" t="inlineStr"/>
      <c r="F1823" s="4" t="n">
        <v>150</v>
      </c>
      <c r="G1823" t="inlineStr">
        <is>
          <t>VB</t>
        </is>
      </c>
      <c r="H1823" t="inlineStr">
        <is>
          <t>88299 Baden-Württemberg - Leutkirch im Allgäu</t>
        </is>
      </c>
      <c r="I1823" s="5" t="n">
        <v>45499</v>
      </c>
      <c r="J1823" t="inlineStr">
        <is>
          <t>Sold</t>
        </is>
      </c>
      <c r="K1823" s="6">
        <f>HYPERLINK("https://www.kleinanzeigen.de/s-anzeige/naish-atv-junior-75l-windsurfboard-fuer-kinder-jugendliche/2821481361-230-8083", "Link")</f>
        <v/>
      </c>
      <c r="L1823" s="6">
        <f>HYPERLINK("C:\Projects\Kleinanzeigen-Scraper\offer_images\2821481361", "Link")</f>
        <v/>
      </c>
      <c r="M1823" t="inlineStr">
        <is>
          <t>Nico Wüst</t>
        </is>
      </c>
      <c r="N1823" s="6">
        <f>HYPERLINK("https://www.kleinanzeigen.de/s-bestandsliste.html?userId=8594857", "Link")</f>
        <v/>
      </c>
      <c r="O1823" s="7" t="n">
        <v>45549.57377314815</v>
      </c>
      <c r="P1823" s="3" t="inlineStr">
        <is>
          <t>121.70</t>
        </is>
      </c>
      <c r="Q1823" t="inlineStr">
        <is>
          <t>München</t>
        </is>
      </c>
    </row>
    <row r="1824">
      <c r="A1824" t="inlineStr"/>
      <c r="B1824" t="inlineStr">
        <is>
          <t>Fanatic New Wave</t>
        </is>
      </c>
      <c r="C1824" t="inlineStr">
        <is>
          <t>Wave</t>
        </is>
      </c>
      <c r="D1824" s="3" t="n">
        <v>83</v>
      </c>
      <c r="E1824" t="inlineStr"/>
      <c r="F1824" s="4" t="n">
        <v>50</v>
      </c>
      <c r="G1824" t="inlineStr">
        <is>
          <t>VB</t>
        </is>
      </c>
      <c r="H1824" t="inlineStr">
        <is>
          <t>23769 Kreis Ostholstein - Fehmarn</t>
        </is>
      </c>
      <c r="I1824" s="5" t="n">
        <v>45533</v>
      </c>
      <c r="J1824" t="inlineStr">
        <is>
          <t>Sold</t>
        </is>
      </c>
      <c r="K1824" s="6">
        <f>HYPERLINK("https://www.kleinanzeigen.de/s-anzeige/fanatic-new-wave-83-liter-windsurfboard/2849557014-230-19951", "Link")</f>
        <v/>
      </c>
      <c r="L1824" s="6">
        <f>HYPERLINK("C:\Projects\Kleinanzeigen-Scraper\offer_images\2849557014", "Link")</f>
        <v/>
      </c>
      <c r="M1824" t="inlineStr">
        <is>
          <t>Robert</t>
        </is>
      </c>
      <c r="N1824" s="6">
        <f>HYPERLINK("https://www.kleinanzeigen.de/s-bestandsliste.html?userId=61536276", "Link")</f>
        <v/>
      </c>
      <c r="O1824" s="7" t="n">
        <v>45549.57376157407</v>
      </c>
      <c r="P1824" s="3" t="inlineStr">
        <is>
          <t>483.01</t>
        </is>
      </c>
      <c r="Q1824" t="inlineStr">
        <is>
          <t>Köln</t>
        </is>
      </c>
    </row>
    <row r="1825">
      <c r="A1825" t="inlineStr">
        <is>
          <t>263 x 63.5 cm</t>
        </is>
      </c>
      <c r="B1825" t="inlineStr">
        <is>
          <t>Tabou Twister</t>
        </is>
      </c>
      <c r="C1825" t="inlineStr">
        <is>
          <t>Freestyle</t>
        </is>
      </c>
      <c r="D1825" s="3" t="n">
        <v>103</v>
      </c>
      <c r="E1825" t="inlineStr">
        <is>
          <t>2022</t>
        </is>
      </c>
      <c r="F1825" s="4" t="n">
        <v>649</v>
      </c>
      <c r="G1825" t="inlineStr">
        <is>
          <t>VB</t>
        </is>
      </c>
      <c r="H1825" t="inlineStr">
        <is>
          <t>92318 Bayern - Neumarkt i.d.OPf.</t>
        </is>
      </c>
      <c r="I1825" s="5" t="n">
        <v>45540</v>
      </c>
      <c r="J1825" t="inlineStr"/>
      <c r="K1825" s="6">
        <f>HYPERLINK("https://www.kleinanzeigen.de/s-anzeige/tabou-twister-103l-2022-windsurfboard-freestyle/2854772095-230-6588", "Link")</f>
        <v/>
      </c>
      <c r="L1825" s="6">
        <f>HYPERLINK("C:\Projects\Kleinanzeigen-Scraper\offer_images\2854772095", "Link")</f>
        <v/>
      </c>
      <c r="M1825" t="inlineStr">
        <is>
          <t>Thomas</t>
        </is>
      </c>
      <c r="N1825" s="6">
        <f>HYPERLINK("https://www.kleinanzeigen.de/s-bestandsliste.html?userId=54569682", "Link")</f>
        <v/>
      </c>
      <c r="O1825" s="7" t="n">
        <v>45549.57376157407</v>
      </c>
      <c r="P1825" s="3" t="inlineStr">
        <is>
          <t>126.78</t>
        </is>
      </c>
      <c r="Q1825" t="inlineStr">
        <is>
          <t>München</t>
        </is>
      </c>
    </row>
    <row r="1826">
      <c r="A1826" t="inlineStr">
        <is>
          <t>133x41</t>
        </is>
      </c>
      <c r="B1826" t="inlineStr">
        <is>
          <t>RRD Poison</t>
        </is>
      </c>
      <c r="C1826" t="inlineStr">
        <is>
          <t>Freestyle</t>
        </is>
      </c>
      <c r="D1826" s="3" t="inlineStr"/>
      <c r="E1826" t="inlineStr">
        <is>
          <t>2010</t>
        </is>
      </c>
      <c r="F1826" s="4" t="n">
        <v>250</v>
      </c>
      <c r="G1826" t="inlineStr">
        <is>
          <t>VB</t>
        </is>
      </c>
      <c r="H1826" t="inlineStr">
        <is>
          <t>50733 Köln - Nippes</t>
        </is>
      </c>
      <c r="I1826" s="5" t="n">
        <v>45527</v>
      </c>
      <c r="J1826" t="inlineStr">
        <is>
          <t>Sold</t>
        </is>
      </c>
      <c r="K1826" s="6">
        <f>HYPERLINK("https://www.kleinanzeigen.de/s-anzeige/kiteboard-poisen-rrd-133-41/2844588623-230-993", "Link")</f>
        <v/>
      </c>
      <c r="L1826" s="6">
        <f>HYPERLINK("C:\Projects\Kleinanzeigen-Scraper\offer_images\2844588623", "Link")</f>
        <v/>
      </c>
      <c r="M1826" t="inlineStr">
        <is>
          <t>Deniz Ertin</t>
        </is>
      </c>
      <c r="N1826" s="6">
        <f>HYPERLINK("https://www.kleinanzeigen.de/s-bestandsliste.html?userId=19812819", "Link")</f>
        <v/>
      </c>
      <c r="O1826" s="7" t="n">
        <v>45549.57375</v>
      </c>
      <c r="P1826" s="3" t="inlineStr">
        <is>
          <t>2.91</t>
        </is>
      </c>
      <c r="Q1826" t="inlineStr">
        <is>
          <t>Köln</t>
        </is>
      </c>
    </row>
    <row r="1827">
      <c r="A1827" t="inlineStr"/>
      <c r="B1827" t="inlineStr">
        <is>
          <t>RRD</t>
        </is>
      </c>
      <c r="C1827" t="inlineStr">
        <is>
          <t>Freestylewave</t>
        </is>
      </c>
      <c r="D1827" s="3" t="n">
        <v>97</v>
      </c>
      <c r="E1827" t="inlineStr"/>
      <c r="F1827" s="4" t="n">
        <v>180</v>
      </c>
      <c r="G1827" t="inlineStr"/>
      <c r="H1827" t="inlineStr">
        <is>
          <t>27283 Niedersachsen - Verden</t>
        </is>
      </c>
      <c r="I1827" s="5" t="n">
        <v>45549</v>
      </c>
      <c r="J1827" t="inlineStr"/>
      <c r="K1827" s="6">
        <f>HYPERLINK("https://www.kleinanzeigen.de/s-anzeige/rrd-fsw-windsurfboard-97l-einzelstueck/2670397234-230-2725", "Link")</f>
        <v/>
      </c>
      <c r="L1827" s="6">
        <f>HYPERLINK("C:\Projects\Kleinanzeigen-Scraper\offer_images\2670397234", "Link")</f>
        <v/>
      </c>
      <c r="M1827" t="inlineStr">
        <is>
          <t>Michael Schäfer</t>
        </is>
      </c>
      <c r="N1827" s="6">
        <f>HYPERLINK("https://www.kleinanzeigen.de/s-bestandsliste.html?userId=40929588", "Link")</f>
        <v/>
      </c>
      <c r="O1827" s="7" t="n">
        <v>45549.57375</v>
      </c>
      <c r="P1827" s="3" t="inlineStr">
        <is>
          <t>271.41</t>
        </is>
      </c>
      <c r="Q1827" t="inlineStr">
        <is>
          <t>Köln</t>
        </is>
      </c>
    </row>
    <row r="1828">
      <c r="A1828" t="inlineStr">
        <is>
          <t>234x58 cm</t>
        </is>
      </c>
      <c r="B1828" t="inlineStr">
        <is>
          <t>Starboard Evo</t>
        </is>
      </c>
      <c r="C1828" t="inlineStr">
        <is>
          <t>Wave</t>
        </is>
      </c>
      <c r="D1828" s="3" t="n">
        <v>83</v>
      </c>
      <c r="E1828" t="inlineStr"/>
      <c r="F1828" s="4" t="n">
        <v>70</v>
      </c>
      <c r="G1828" t="inlineStr"/>
      <c r="H1828" t="inlineStr">
        <is>
          <t>22043 Wandsbek - Hamburg Jenfeld</t>
        </is>
      </c>
      <c r="I1828" s="5" t="n">
        <v>45537</v>
      </c>
      <c r="J1828" t="inlineStr"/>
      <c r="K1828" s="6">
        <f>HYPERLINK("https://www.kleinanzeigen.de/s-anzeige/surfboard-starboard-evo-83-ltr-/2852526764-230-9465", "Link")</f>
        <v/>
      </c>
      <c r="L1828" s="6">
        <f>HYPERLINK("C:\Projects\Kleinanzeigen-Scraper\offer_images\2852526764", "Link")</f>
        <v/>
      </c>
      <c r="M1828" t="inlineStr">
        <is>
          <t>0le</t>
        </is>
      </c>
      <c r="N1828" s="6">
        <f>HYPERLINK("https://www.kleinanzeigen.de/s-bestandsliste.html?userId=75627427", "Link")</f>
        <v/>
      </c>
      <c r="O1828" s="7" t="n">
        <v>45549.57372685185</v>
      </c>
      <c r="P1828" s="3" t="inlineStr">
        <is>
          <t>362.40</t>
        </is>
      </c>
      <c r="Q1828" t="inlineStr">
        <is>
          <t>Köln</t>
        </is>
      </c>
    </row>
    <row r="1829">
      <c r="A1829" t="inlineStr">
        <is>
          <t>235cm x 71.5cm</t>
        </is>
      </c>
      <c r="B1829" t="inlineStr">
        <is>
          <t>Starboard Kode</t>
        </is>
      </c>
      <c r="C1829" t="inlineStr">
        <is>
          <t>Freemove</t>
        </is>
      </c>
      <c r="D1829" s="3" t="n">
        <v>123</v>
      </c>
      <c r="E1829" t="inlineStr"/>
      <c r="F1829" s="4" t="n">
        <v>370</v>
      </c>
      <c r="G1829" t="inlineStr">
        <is>
          <t>VB</t>
        </is>
      </c>
      <c r="H1829" t="inlineStr">
        <is>
          <t>47228 Duisburg - Rheinhausen</t>
        </is>
      </c>
      <c r="I1829" s="5" t="n">
        <v>45516</v>
      </c>
      <c r="J1829" t="inlineStr">
        <is>
          <t>Sold</t>
        </is>
      </c>
      <c r="K1829" s="6">
        <f>HYPERLINK("https://www.kleinanzeigen.de/s-anzeige/starboard-kode-123-freemove-tufskin-windsurfboard-mit-centerfinne/2835514945-230-2135", "Link")</f>
        <v/>
      </c>
      <c r="L1829" s="6">
        <f>HYPERLINK("C:\Projects\Kleinanzeigen-Scraper\offer_images\2835514945", "Link")</f>
        <v/>
      </c>
      <c r="M1829" t="inlineStr">
        <is>
          <t>Fabian</t>
        </is>
      </c>
      <c r="N1829" s="6">
        <f>HYPERLINK("https://www.kleinanzeigen.de/s-bestandsliste.html?userId=22920722", "Link")</f>
        <v/>
      </c>
      <c r="O1829" s="7" t="n">
        <v>45549.57372685185</v>
      </c>
      <c r="P1829" s="3" t="inlineStr">
        <is>
          <t>56.80</t>
        </is>
      </c>
      <c r="Q1829" t="inlineStr">
        <is>
          <t>Köln</t>
        </is>
      </c>
    </row>
    <row r="1830">
      <c r="A1830" t="inlineStr">
        <is>
          <t>239 cm x 61 cm</t>
        </is>
      </c>
      <c r="B1830" t="inlineStr">
        <is>
          <t>Tabou 3S</t>
        </is>
      </c>
      <c r="C1830" t="inlineStr">
        <is>
          <t>Freeride</t>
        </is>
      </c>
      <c r="D1830" s="3" t="n">
        <v>96</v>
      </c>
      <c r="E1830" t="inlineStr"/>
      <c r="F1830" s="4" t="n">
        <v>249</v>
      </c>
      <c r="G1830" t="inlineStr"/>
      <c r="H1830" t="inlineStr">
        <is>
          <t>24253 Schleswig-Holstein - Probsteierhagen</t>
        </is>
      </c>
      <c r="I1830" s="5" t="n">
        <v>45270</v>
      </c>
      <c r="J1830" t="inlineStr"/>
      <c r="K1830" s="6">
        <f>HYPERLINK("https://www.kleinanzeigen.de/s-anzeige/tabou-3s-96-windsurfbrett/2625265422-230-674", "Link")</f>
        <v/>
      </c>
      <c r="L1830" s="6">
        <f>HYPERLINK("C:\Projects\Kleinanzeigen-Scraper\offer_images\2625265422", "Link")</f>
        <v/>
      </c>
      <c r="M1830" t="inlineStr">
        <is>
          <t>Oskar und Krümel</t>
        </is>
      </c>
      <c r="N1830" s="6">
        <f>HYPERLINK("https://www.kleinanzeigen.de/s-bestandsliste.html?userId=5877352", "Link")</f>
        <v/>
      </c>
      <c r="O1830" s="7" t="n">
        <v>45549.5737037037</v>
      </c>
      <c r="P1830" s="3" t="inlineStr">
        <is>
          <t>442.30</t>
        </is>
      </c>
      <c r="Q1830" t="inlineStr">
        <is>
          <t>Köln</t>
        </is>
      </c>
    </row>
    <row r="1831">
      <c r="A1831" t="inlineStr">
        <is>
          <t>246 cm x 79 cm</t>
        </is>
      </c>
      <c r="B1831" t="inlineStr">
        <is>
          <t>Fanatic Gecko Foil Edition</t>
        </is>
      </c>
      <c r="C1831" t="inlineStr">
        <is>
          <t>Freeride</t>
        </is>
      </c>
      <c r="D1831" s="3" t="n">
        <v>135</v>
      </c>
      <c r="E1831" t="inlineStr">
        <is>
          <t>2020</t>
        </is>
      </c>
      <c r="F1831" s="4" t="n">
        <v>610</v>
      </c>
      <c r="G1831" t="inlineStr">
        <is>
          <t>VB</t>
        </is>
      </c>
      <c r="H1831" t="inlineStr">
        <is>
          <t>20357 Altona - Hamburg Sternschanze</t>
        </is>
      </c>
      <c r="I1831" s="5" t="n">
        <v>45530</v>
      </c>
      <c r="J1831" t="inlineStr">
        <is>
          <t>Sold</t>
        </is>
      </c>
      <c r="K1831" s="6">
        <f>HYPERLINK("https://www.kleinanzeigen.de/s-anzeige/fanatic-gecko-135-liter-hrs-foil-edition-2020/2847277440-230-9431", "Link")</f>
        <v/>
      </c>
      <c r="L1831" s="6">
        <f>HYPERLINK("C:\Projects\Kleinanzeigen-Scraper\offer_images\2847277440", "Link")</f>
        <v/>
      </c>
      <c r="M1831" t="inlineStr">
        <is>
          <t>Ralf</t>
        </is>
      </c>
      <c r="N1831" s="6">
        <f>HYPERLINK("https://www.kleinanzeigen.de/s-bestandsliste.html?userId=4361785", "Link")</f>
        <v/>
      </c>
      <c r="O1831" s="7" t="n">
        <v>45549.5737037037</v>
      </c>
      <c r="P1831" s="3" t="inlineStr">
        <is>
          <t>356.83</t>
        </is>
      </c>
      <c r="Q1831" t="inlineStr">
        <is>
          <t>Köln</t>
        </is>
      </c>
    </row>
    <row r="1832">
      <c r="A1832" t="inlineStr">
        <is>
          <t>102</t>
        </is>
      </c>
      <c r="B1832" t="inlineStr">
        <is>
          <t>JP Australia SuperRide</t>
        </is>
      </c>
      <c r="C1832" t="inlineStr">
        <is>
          <t>Freeride</t>
        </is>
      </c>
      <c r="D1832" s="3" t="n">
        <v>102</v>
      </c>
      <c r="E1832" t="inlineStr">
        <is>
          <t>2020</t>
        </is>
      </c>
      <c r="F1832" s="4" t="n">
        <v>1.25</v>
      </c>
      <c r="G1832" t="inlineStr">
        <is>
          <t>VB</t>
        </is>
      </c>
      <c r="H1832" t="inlineStr">
        <is>
          <t>86343 Bayern - Königsbrunn</t>
        </is>
      </c>
      <c r="I1832" s="5" t="n">
        <v>45213</v>
      </c>
      <c r="J1832" t="inlineStr"/>
      <c r="K1832" s="6">
        <f>HYPERLINK("https://www.kleinanzeigen.de/s-anzeige/2020-jp-australia-superride-102-pro-edition-incl-boardbag-und-or/2572090284-230-7034", "Link")</f>
        <v/>
      </c>
      <c r="L1832" s="6">
        <f>HYPERLINK("C:\Projects\Kleinanzeigen-Scraper\offer_images\2572090284", "Link")</f>
        <v/>
      </c>
      <c r="M1832" t="inlineStr">
        <is>
          <t>Wolfgang Dennstädt</t>
        </is>
      </c>
      <c r="N1832" s="6">
        <f>HYPERLINK("https://www.kleinanzeigen.de/s-bestandsliste.html?userId=20340449", "Link")</f>
        <v/>
      </c>
      <c r="O1832" s="7" t="n">
        <v>45549.5737037037</v>
      </c>
      <c r="P1832" s="3" t="inlineStr">
        <is>
          <t>52.97</t>
        </is>
      </c>
      <c r="Q1832" t="inlineStr">
        <is>
          <t>München</t>
        </is>
      </c>
    </row>
    <row r="1833">
      <c r="A1833" t="inlineStr">
        <is>
          <t>10'10" x 32" x 4"3/8</t>
        </is>
      </c>
      <c r="B1833" t="inlineStr">
        <is>
          <t>NAISH / NALU</t>
        </is>
      </c>
      <c r="C1833" t="inlineStr">
        <is>
          <t>All-around</t>
        </is>
      </c>
      <c r="D1833" s="3" t="n">
        <v>201</v>
      </c>
      <c r="E1833" t="inlineStr">
        <is>
          <t>2014</t>
        </is>
      </c>
      <c r="F1833" s="4" t="n">
        <v>400</v>
      </c>
      <c r="G1833" t="inlineStr"/>
      <c r="H1833" t="inlineStr">
        <is>
          <t>24963 Schleswig-Holstein - Tarp</t>
        </is>
      </c>
      <c r="I1833" s="5" t="n">
        <v>45546</v>
      </c>
      <c r="J1833" t="inlineStr">
        <is>
          <t>Sold</t>
        </is>
      </c>
      <c r="K1833" s="6">
        <f>HYPERLINK("https://www.kleinanzeigen.de/s-anzeige/naish-nalu-1010-gt-sup/2860060952-230-733", "Link")</f>
        <v/>
      </c>
      <c r="L1833" s="6">
        <f>HYPERLINK("C:\Projects\Kleinanzeigen-Scraper\offer_images\2860060952", "Link")</f>
        <v/>
      </c>
      <c r="M1833" t="inlineStr">
        <is>
          <t>Fockbeker</t>
        </is>
      </c>
      <c r="N1833" s="6">
        <f>HYPERLINK("https://www.kleinanzeigen.de/s-bestandsliste.html?userId=8836621", "Link")</f>
        <v/>
      </c>
      <c r="O1833" s="7" t="n">
        <v>45549.5737037037</v>
      </c>
      <c r="P1833" s="3" t="inlineStr">
        <is>
          <t>444.62</t>
        </is>
      </c>
      <c r="Q1833" t="inlineStr">
        <is>
          <t>Köln</t>
        </is>
      </c>
    </row>
    <row r="1834">
      <c r="A1834" t="inlineStr">
        <is>
          <t>246 x 62</t>
        </is>
      </c>
      <c r="B1834" t="inlineStr">
        <is>
          <t>JP Australia Freestyle Wave</t>
        </is>
      </c>
      <c r="C1834" t="inlineStr">
        <is>
          <t>Freestyle Wave</t>
        </is>
      </c>
      <c r="D1834" s="3" t="n">
        <v>101</v>
      </c>
      <c r="E1834" t="inlineStr"/>
      <c r="F1834" s="4" t="n">
        <v>325</v>
      </c>
      <c r="G1834" t="inlineStr"/>
      <c r="H1834" t="inlineStr">
        <is>
          <t>28755 Bremen - Vegesack</t>
        </is>
      </c>
      <c r="I1834" s="5" t="n">
        <v>45502</v>
      </c>
      <c r="J1834" t="inlineStr"/>
      <c r="K1834" s="6">
        <f>HYPERLINK("https://www.kleinanzeigen.de/s-anzeige/jp-australia-freestyle-wave-101/2824325436-230-13", "Link")</f>
        <v/>
      </c>
      <c r="L1834" s="6">
        <f>HYPERLINK("C:\Projects\Kleinanzeigen-Scraper\offer_images\2824325436", "Link")</f>
        <v/>
      </c>
      <c r="M1834" t="inlineStr">
        <is>
          <t>Matthias Lass</t>
        </is>
      </c>
      <c r="N1834" s="6">
        <f>HYPERLINK("https://www.kleinanzeigen.de/s-bestandsliste.html?userId=24931187", "Link")</f>
        <v/>
      </c>
      <c r="O1834" s="7" t="n">
        <v>45549.57368055556</v>
      </c>
      <c r="P1834" s="3" t="inlineStr">
        <is>
          <t>274.18</t>
        </is>
      </c>
      <c r="Q1834" t="inlineStr">
        <is>
          <t>Köln</t>
        </is>
      </c>
    </row>
    <row r="1835">
      <c r="A1835" t="inlineStr">
        <is>
          <t>136/41</t>
        </is>
      </c>
      <c r="B1835" t="inlineStr">
        <is>
          <t>Duotone Jaime</t>
        </is>
      </c>
      <c r="C1835" t="inlineStr"/>
      <c r="D1835" s="3" t="inlineStr"/>
      <c r="E1835" t="inlineStr">
        <is>
          <t>2023</t>
        </is>
      </c>
      <c r="F1835" s="4" t="n">
        <v>430</v>
      </c>
      <c r="G1835" t="inlineStr">
        <is>
          <t>VB</t>
        </is>
      </c>
      <c r="H1835" t="inlineStr">
        <is>
          <t>83043 Bayern - Bad Aibling</t>
        </is>
      </c>
      <c r="I1835" s="5" t="n">
        <v>45540</v>
      </c>
      <c r="J1835" t="inlineStr">
        <is>
          <t>Sold</t>
        </is>
      </c>
      <c r="K1835" s="6">
        <f>HYPERLINK("https://www.kleinanzeigen.de/s-anzeige/duotone-jaime-2023-kite-board-136-41/2854763446-230-6134", "Link")</f>
        <v/>
      </c>
      <c r="L1835" s="6">
        <f>HYPERLINK("C:\Projects\Kleinanzeigen-Scraper\offer_images\2854763446", "Link")</f>
        <v/>
      </c>
      <c r="M1835" t="inlineStr">
        <is>
          <t>Michael Hohmann</t>
        </is>
      </c>
      <c r="N1835" s="6">
        <f>HYPERLINK("https://www.kleinanzeigen.de/s-bestandsliste.html?userId=22739113", "Link")</f>
        <v/>
      </c>
      <c r="O1835" s="7" t="n">
        <v>45549.57366898148</v>
      </c>
      <c r="P1835" s="3" t="inlineStr">
        <is>
          <t>43.15</t>
        </is>
      </c>
      <c r="Q1835" t="inlineStr">
        <is>
          <t>München</t>
        </is>
      </c>
    </row>
    <row r="1836">
      <c r="A1836" t="inlineStr"/>
      <c r="B1836" t="inlineStr">
        <is>
          <t>Naish Motion</t>
        </is>
      </c>
      <c r="C1836" t="inlineStr"/>
      <c r="D1836" s="3" t="inlineStr"/>
      <c r="E1836" t="inlineStr">
        <is>
          <t>2024</t>
        </is>
      </c>
      <c r="F1836" s="4" t="n">
        <v>459</v>
      </c>
      <c r="G1836" t="inlineStr"/>
      <c r="H1836" t="inlineStr">
        <is>
          <t>22457 Eimsbüttel - Hamburg Schnelsen</t>
        </is>
      </c>
      <c r="I1836" s="5" t="n">
        <v>45547</v>
      </c>
      <c r="J1836" t="inlineStr">
        <is>
          <t>Sold</t>
        </is>
      </c>
      <c r="K1836" s="6">
        <f>HYPERLINK("https://www.kleinanzeigen.de/s-anzeige/naish-motion-kiteboard-2024-neu-kitesurfen/2735670063-230-9492", "Link")</f>
        <v/>
      </c>
      <c r="L1836" s="6">
        <f>HYPERLINK("C:\Projects\Kleinanzeigen-Scraper\offer_images\2735670063", "Link")</f>
        <v/>
      </c>
      <c r="M1836" t="inlineStr">
        <is>
          <t>No user name</t>
        </is>
      </c>
      <c r="N1836" s="6">
        <f>HYPERLINK("https://www.kleinanzeigen.deNo user link", "Link")</f>
        <v/>
      </c>
      <c r="O1836" s="7" t="n">
        <v>45549.57365740741</v>
      </c>
      <c r="P1836" s="3" t="inlineStr">
        <is>
          <t>362.41</t>
        </is>
      </c>
      <c r="Q1836" t="inlineStr">
        <is>
          <t>Köln</t>
        </is>
      </c>
    </row>
    <row r="1837">
      <c r="A1837" t="inlineStr">
        <is>
          <t>235 x 63</t>
        </is>
      </c>
      <c r="B1837" t="inlineStr">
        <is>
          <t>Goya One 3</t>
        </is>
      </c>
      <c r="C1837" t="inlineStr">
        <is>
          <t>Freeride</t>
        </is>
      </c>
      <c r="D1837" s="3" t="n">
        <v>105</v>
      </c>
      <c r="E1837" t="inlineStr">
        <is>
          <t>2022</t>
        </is>
      </c>
      <c r="F1837" s="4" t="n">
        <v>1.45</v>
      </c>
      <c r="G1837" t="inlineStr"/>
      <c r="H1837" t="inlineStr">
        <is>
          <t>23769 Kreis Ostholstein - Fehmarn</t>
        </is>
      </c>
      <c r="I1837" s="5" t="n">
        <v>45474</v>
      </c>
      <c r="J1837" t="inlineStr"/>
      <c r="K1837" s="6">
        <f>HYPERLINK("https://www.kleinanzeigen.de/s-anzeige/goya-one-3-105l/2801691494-230-19951", "Link")</f>
        <v/>
      </c>
      <c r="L1837" s="6">
        <f>HYPERLINK("C:\Projects\Kleinanzeigen-Scraper\offer_images\2801691494", "Link")</f>
        <v/>
      </c>
      <c r="M1837" t="inlineStr">
        <is>
          <t>Surfshop Fehmarn</t>
        </is>
      </c>
      <c r="N1837" s="6">
        <f>HYPERLINK("https://www.kleinanzeigen.de/s-bestandsliste.html?userId=85528872", "Link")</f>
        <v/>
      </c>
      <c r="O1837" s="7" t="n">
        <v>45549.57365740741</v>
      </c>
      <c r="P1837" s="3" t="inlineStr">
        <is>
          <t>483.01</t>
        </is>
      </c>
      <c r="Q1837" t="inlineStr">
        <is>
          <t>Köln</t>
        </is>
      </c>
    </row>
    <row r="1838">
      <c r="A1838" t="inlineStr">
        <is>
          <t>229 x 60 cm</t>
        </is>
      </c>
      <c r="B1838" t="inlineStr">
        <is>
          <t>RRD Freestyle Wave 90 LTD V4</t>
        </is>
      </c>
      <c r="C1838" t="inlineStr">
        <is>
          <t>Freestyle Wave</t>
        </is>
      </c>
      <c r="D1838" s="3" t="n">
        <v>90</v>
      </c>
      <c r="E1838" t="inlineStr"/>
      <c r="F1838" s="4" t="n">
        <v>590</v>
      </c>
      <c r="G1838" t="inlineStr"/>
      <c r="H1838" t="inlineStr">
        <is>
          <t>22880 Kreis Pinneberg - Wedel</t>
        </is>
      </c>
      <c r="I1838" s="5" t="n">
        <v>45520</v>
      </c>
      <c r="J1838" t="inlineStr"/>
      <c r="K1838" s="6">
        <f>HYPERLINK("https://www.kleinanzeigen.de/s-anzeige/rrd-freestyle-wave-90-ltd-v4-freewave/2838330351-230-756", "Link")</f>
        <v/>
      </c>
      <c r="L1838" s="6">
        <f>HYPERLINK("C:\Projects\Kleinanzeigen-Scraper\offer_images\2838330351", "Link")</f>
        <v/>
      </c>
      <c r="M1838" t="inlineStr">
        <is>
          <t>Björn</t>
        </is>
      </c>
      <c r="N1838" s="6">
        <f>HYPERLINK("https://www.kleinanzeigen.de/s-bestandsliste.html?userId=506614", "Link")</f>
        <v/>
      </c>
      <c r="O1838" s="7" t="n">
        <v>45549.57365740741</v>
      </c>
      <c r="P1838" s="3" t="inlineStr">
        <is>
          <t>349.30</t>
        </is>
      </c>
      <c r="Q1838" t="inlineStr">
        <is>
          <t>Köln</t>
        </is>
      </c>
    </row>
    <row r="1839">
      <c r="A1839" t="inlineStr"/>
      <c r="B1839" t="inlineStr">
        <is>
          <t>RRD Twin Tip</t>
        </is>
      </c>
      <c r="C1839" t="inlineStr">
        <is>
          <t>Twin Tip</t>
        </is>
      </c>
      <c r="D1839" s="3" t="n">
        <v>100</v>
      </c>
      <c r="E1839" t="inlineStr"/>
      <c r="F1839" s="4" t="n">
        <v>199</v>
      </c>
      <c r="G1839" t="inlineStr">
        <is>
          <t>VB</t>
        </is>
      </c>
      <c r="H1839" t="inlineStr">
        <is>
          <t>69190 Baden-Württemberg - Walldorf</t>
        </is>
      </c>
      <c r="I1839" s="5" t="n">
        <v>45482</v>
      </c>
      <c r="J1839" t="inlineStr">
        <is>
          <t>Sold</t>
        </is>
      </c>
      <c r="K1839" s="6">
        <f>HYPERLINK("https://www.kleinanzeigen.de/s-anzeige/rrd-board-twin-tip-volumen-100l/2764474376-230-8260", "Link")</f>
        <v/>
      </c>
      <c r="L1839" s="6">
        <f>HYPERLINK("C:\Projects\Kleinanzeigen-Scraper\offer_images\2764474376", "Link")</f>
        <v/>
      </c>
      <c r="M1839" t="inlineStr">
        <is>
          <t>Lukasz Strojny</t>
        </is>
      </c>
      <c r="N1839" s="6">
        <f>HYPERLINK("https://www.kleinanzeigen.de/s-bestandsliste.html?userId=118374373", "Link")</f>
        <v/>
      </c>
      <c r="O1839" s="7" t="n">
        <v>45549.57363425926</v>
      </c>
      <c r="P1839" s="3" t="inlineStr">
        <is>
          <t>36.84</t>
        </is>
      </c>
      <c r="Q1839" t="inlineStr">
        <is>
          <t>Karlsruhe</t>
        </is>
      </c>
    </row>
    <row r="1840">
      <c r="A1840" t="inlineStr"/>
      <c r="B1840" t="inlineStr">
        <is>
          <t>Fanatic Sky Wing Team Edition</t>
        </is>
      </c>
      <c r="C1840" t="inlineStr">
        <is>
          <t>Wing</t>
        </is>
      </c>
      <c r="D1840" s="3" t="n">
        <v>85</v>
      </c>
      <c r="E1840" t="inlineStr"/>
      <c r="F1840" s="4" t="n">
        <v>650</v>
      </c>
      <c r="G1840" t="inlineStr"/>
      <c r="H1840" t="inlineStr">
        <is>
          <t>23564 Schleswig-Holstein - Lübeck</t>
        </is>
      </c>
      <c r="I1840" s="5" t="n">
        <v>45527</v>
      </c>
      <c r="J1840" t="inlineStr">
        <is>
          <t>Sold</t>
        </is>
      </c>
      <c r="K1840" s="6">
        <f>HYPERLINK("https://www.kleinanzeigen.de/s-anzeige/fanatic-sky-wingboard-team-edition-85l/2844419174-230-420", "Link")</f>
        <v/>
      </c>
      <c r="L1840" s="6">
        <f>HYPERLINK("C:\Projects\Kleinanzeigen-Scraper\offer_images\2844419174", "Link")</f>
        <v/>
      </c>
      <c r="M1840" t="inlineStr">
        <is>
          <t>Christiane Schmidt</t>
        </is>
      </c>
      <c r="N1840" s="6">
        <f>HYPERLINK("https://www.kleinanzeigen.de/s-bestandsliste.html?userId=13201947", "Link")</f>
        <v/>
      </c>
      <c r="O1840" s="7" t="n">
        <v>45549.57363425926</v>
      </c>
      <c r="P1840" s="3" t="inlineStr">
        <is>
          <t>413.01</t>
        </is>
      </c>
      <c r="Q1840" t="inlineStr">
        <is>
          <t>Köln</t>
        </is>
      </c>
    </row>
    <row r="1841">
      <c r="A1841" t="inlineStr">
        <is>
          <t>135x40</t>
        </is>
      </c>
      <c r="B1841" t="inlineStr">
        <is>
          <t>Naish</t>
        </is>
      </c>
      <c r="C1841" t="inlineStr">
        <is>
          <t>Wave</t>
        </is>
      </c>
      <c r="D1841" s="3" t="inlineStr"/>
      <c r="E1841" t="inlineStr"/>
      <c r="F1841" s="4" t="n">
        <v>199</v>
      </c>
      <c r="G1841" t="inlineStr"/>
      <c r="H1841" t="inlineStr">
        <is>
          <t>23769 Kreis Ostholstein - Fehmarn</t>
        </is>
      </c>
      <c r="I1841" s="5" t="n">
        <v>45509</v>
      </c>
      <c r="J1841" t="inlineStr">
        <is>
          <t>Sold</t>
        </is>
      </c>
      <c r="K1841" s="6">
        <f>HYPERLINK("https://www.kleinanzeigen.de/s-anzeige/naish-kite-twin-tip-waveboard-135x40/2830044823-230-19951", "Link")</f>
        <v/>
      </c>
      <c r="L1841" s="6">
        <f>HYPERLINK("C:\Projects\Kleinanzeigen-Scraper\offer_images\2830044823", "Link")</f>
        <v/>
      </c>
      <c r="M1841" t="inlineStr">
        <is>
          <t>Thorsten Kühl</t>
        </is>
      </c>
      <c r="N1841" s="6">
        <f>HYPERLINK("https://www.kleinanzeigen.de/s-bestandsliste.html?userId=17759891", "Link")</f>
        <v/>
      </c>
      <c r="O1841" s="7" t="n">
        <v>45549.57362268519</v>
      </c>
      <c r="P1841" s="3" t="inlineStr">
        <is>
          <t>483.01</t>
        </is>
      </c>
      <c r="Q1841" t="inlineStr">
        <is>
          <t>Köln</t>
        </is>
      </c>
    </row>
    <row r="1842">
      <c r="A1842" t="inlineStr"/>
      <c r="B1842" t="inlineStr">
        <is>
          <t>Fanatic Mamba</t>
        </is>
      </c>
      <c r="C1842" t="inlineStr">
        <is>
          <t>Wave</t>
        </is>
      </c>
      <c r="D1842" s="3" t="n">
        <v>78</v>
      </c>
      <c r="E1842" t="inlineStr"/>
      <c r="F1842" s="4" t="n">
        <v>690</v>
      </c>
      <c r="G1842" t="inlineStr"/>
      <c r="H1842" t="inlineStr">
        <is>
          <t>24118 Kiel - Ravensberg-Brunswik-Düsternbrook</t>
        </is>
      </c>
      <c r="I1842" s="5" t="n">
        <v>45517</v>
      </c>
      <c r="J1842" t="inlineStr">
        <is>
          <t>Sold</t>
        </is>
      </c>
      <c r="K1842" s="6">
        <f>HYPERLINK("https://www.kleinanzeigen.de/s-anzeige/fanatic-mamba-78-duotone-wave-windsurf-grip/2836343644-230-704", "Link")</f>
        <v/>
      </c>
      <c r="L1842" s="6">
        <f>HYPERLINK("C:\Projects\Kleinanzeigen-Scraper\offer_images\2836343644", "Link")</f>
        <v/>
      </c>
      <c r="M1842" t="inlineStr">
        <is>
          <t>Anne</t>
        </is>
      </c>
      <c r="N1842" s="6">
        <f>HYPERLINK("https://www.kleinanzeigen.de/s-bestandsliste.html?userId=33740258", "Link")</f>
        <v/>
      </c>
      <c r="O1842" s="7" t="n">
        <v>45549.57362268519</v>
      </c>
      <c r="P1842" s="3" t="inlineStr">
        <is>
          <t>434.29</t>
        </is>
      </c>
      <c r="Q1842" t="inlineStr">
        <is>
          <t>Köln</t>
        </is>
      </c>
    </row>
    <row r="1843">
      <c r="A1843" t="inlineStr">
        <is>
          <t>Custom 4' 94"</t>
        </is>
      </c>
      <c r="B1843" t="inlineStr">
        <is>
          <t>GOYA</t>
        </is>
      </c>
      <c r="C1843" t="inlineStr">
        <is>
          <t>Quad</t>
        </is>
      </c>
      <c r="D1843" s="3" t="inlineStr"/>
      <c r="E1843" t="inlineStr">
        <is>
          <t>2023</t>
        </is>
      </c>
      <c r="F1843" s="4" t="n">
        <v>1.49</v>
      </c>
      <c r="G1843" t="inlineStr"/>
      <c r="H1843" t="inlineStr">
        <is>
          <t>68519 Hessen - Viernheim</t>
        </is>
      </c>
      <c r="I1843" s="5" t="n">
        <v>45548</v>
      </c>
      <c r="J1843" t="inlineStr"/>
      <c r="K1843" s="6">
        <f>HYPERLINK("https://www.kleinanzeigen.de/s-anzeige/goya-windsurf-brett-custom-quad-94-top-zustand-2023/2861987199-230-4763", "Link")</f>
        <v/>
      </c>
      <c r="L1843" s="6">
        <f>HYPERLINK("C:\Projects\Kleinanzeigen-Scraper\offer_images\2861987199", "Link")</f>
        <v/>
      </c>
      <c r="M1843" t="inlineStr">
        <is>
          <t>MB</t>
        </is>
      </c>
      <c r="N1843" s="6">
        <f>HYPERLINK("https://www.kleinanzeigen.de/s-bestandsliste.html?userId=12000926", "Link")</f>
        <v/>
      </c>
      <c r="O1843" s="7" t="n">
        <v>45549.57361111111</v>
      </c>
      <c r="P1843" s="3" t="inlineStr">
        <is>
          <t>62.64</t>
        </is>
      </c>
      <c r="Q1843" t="inlineStr">
        <is>
          <t>Karlsruhe</t>
        </is>
      </c>
    </row>
    <row r="1844">
      <c r="A1844" t="inlineStr"/>
      <c r="B1844" t="inlineStr">
        <is>
          <t>Duotone Pace</t>
        </is>
      </c>
      <c r="C1844" t="inlineStr">
        <is>
          <t>Foilboard</t>
        </is>
      </c>
      <c r="D1844" s="3" t="inlineStr"/>
      <c r="E1844" t="inlineStr"/>
      <c r="F1844" s="4" t="n">
        <v>699</v>
      </c>
      <c r="G1844" t="inlineStr"/>
      <c r="H1844" t="inlineStr">
        <is>
          <t>22457 Eimsbüttel - Hamburg Schnelsen</t>
        </is>
      </c>
      <c r="I1844" s="5" t="n">
        <v>45549</v>
      </c>
      <c r="J1844" t="inlineStr">
        <is>
          <t>Sold</t>
        </is>
      </c>
      <c r="K1844" s="6">
        <f>HYPERLINK("https://www.kleinanzeigen.de/s-anzeige/duotone-pace-foilboard-kitesurfen-neu/2656269790-230-9492", "Link")</f>
        <v/>
      </c>
      <c r="L1844" s="6">
        <f>HYPERLINK("C:\Projects\Kleinanzeigen-Scraper\offer_images\2656269790", "Link")</f>
        <v/>
      </c>
      <c r="M1844" t="inlineStr">
        <is>
          <t>No user name</t>
        </is>
      </c>
      <c r="N1844" s="6">
        <f>HYPERLINK("https://www.kleinanzeigen.deNo user link", "Link")</f>
        <v/>
      </c>
      <c r="O1844" s="7" t="n">
        <v>45549.57359953703</v>
      </c>
      <c r="P1844" s="3" t="inlineStr">
        <is>
          <t>362.41</t>
        </is>
      </c>
      <c r="Q1844" t="inlineStr">
        <is>
          <t>Köln</t>
        </is>
      </c>
    </row>
    <row r="1845">
      <c r="A1845" t="inlineStr">
        <is>
          <t>245 cm x 65 cm</t>
        </is>
      </c>
      <c r="B1845" t="inlineStr">
        <is>
          <t>Starboard</t>
        </is>
      </c>
      <c r="C1845" t="inlineStr">
        <is>
          <t>Freeride/Freestyle</t>
        </is>
      </c>
      <c r="D1845" s="3" t="n">
        <v>100</v>
      </c>
      <c r="E1845" t="inlineStr"/>
      <c r="F1845" s="4" t="n">
        <v>60</v>
      </c>
      <c r="G1845" t="inlineStr"/>
      <c r="H1845" t="inlineStr">
        <is>
          <t>45721 Nordrhein-Westfalen - Haltern am See</t>
        </is>
      </c>
      <c r="I1845" s="5" t="n">
        <v>45523</v>
      </c>
      <c r="J1845" t="inlineStr">
        <is>
          <t>Sold</t>
        </is>
      </c>
      <c r="K1845" s="6">
        <f>HYPERLINK("https://www.kleinanzeigen.de/s-anzeige/starboard-100l-surfboard-surfbrett-windsurf-freestyle/2840697344-230-1336", "Link")</f>
        <v/>
      </c>
      <c r="L1845" s="6">
        <f>HYPERLINK("C:\Projects\Kleinanzeigen-Scraper\offer_images\2840697344", "Link")</f>
        <v/>
      </c>
      <c r="M1845" t="inlineStr">
        <is>
          <t>Alexander</t>
        </is>
      </c>
      <c r="N1845" s="6">
        <f>HYPERLINK("https://www.kleinanzeigen.de/s-bestandsliste.html?userId=1171247", "Link")</f>
        <v/>
      </c>
      <c r="O1845" s="7" t="n">
        <v>45549.57359953703</v>
      </c>
      <c r="P1845" s="3" t="inlineStr">
        <is>
          <t>95.03</t>
        </is>
      </c>
      <c r="Q1845" t="inlineStr">
        <is>
          <t>Köln</t>
        </is>
      </c>
    </row>
    <row r="1846">
      <c r="A1846" t="inlineStr">
        <is>
          <t>224 x 58</t>
        </is>
      </c>
      <c r="B1846" t="inlineStr">
        <is>
          <t>Fanatic Grip</t>
        </is>
      </c>
      <c r="C1846" t="inlineStr">
        <is>
          <t>Allround</t>
        </is>
      </c>
      <c r="D1846" s="3" t="n">
        <v>82</v>
      </c>
      <c r="E1846" t="inlineStr">
        <is>
          <t>2018</t>
        </is>
      </c>
      <c r="F1846" s="4" t="n">
        <v>420</v>
      </c>
      <c r="G1846" t="inlineStr">
        <is>
          <t>VB</t>
        </is>
      </c>
      <c r="H1846" t="inlineStr">
        <is>
          <t>10439 Pankow - Prenzlauer Berg</t>
        </is>
      </c>
      <c r="I1846" s="5" t="n">
        <v>45546</v>
      </c>
      <c r="J1846" t="inlineStr">
        <is>
          <t>Sold</t>
        </is>
      </c>
      <c r="K1846" s="6">
        <f>HYPERLINK("https://www.kleinanzeigen.de/s-anzeige/fanatic-grip-82l/2860717323-230-3490", "Link")</f>
        <v/>
      </c>
      <c r="L1846" s="6">
        <f>HYPERLINK("C:\Projects\Kleinanzeigen-Scraper\offer_images\2860717323", "Link")</f>
        <v/>
      </c>
      <c r="M1846" t="inlineStr">
        <is>
          <t>Johannes Michels</t>
        </is>
      </c>
      <c r="N1846" s="6">
        <f>HYPERLINK("https://www.kleinanzeigen.de/s-bestandsliste.html?userId=16372092", "Link")</f>
        <v/>
      </c>
      <c r="O1846" s="7" t="n">
        <v>45549.57359953703</v>
      </c>
      <c r="P1846" s="3" t="inlineStr">
        <is>
          <t>479.25</t>
        </is>
      </c>
      <c r="Q1846" t="inlineStr">
        <is>
          <t>Köln</t>
        </is>
      </c>
    </row>
    <row r="1847">
      <c r="A1847" t="inlineStr"/>
      <c r="B1847" t="inlineStr">
        <is>
          <t>Fanatic NewWave</t>
        </is>
      </c>
      <c r="C1847" t="inlineStr">
        <is>
          <t>Freestyle</t>
        </is>
      </c>
      <c r="D1847" s="3" t="n">
        <v>80</v>
      </c>
      <c r="E1847" t="inlineStr"/>
      <c r="F1847" s="4" t="n">
        <v>20</v>
      </c>
      <c r="G1847" t="inlineStr"/>
      <c r="H1847" t="inlineStr">
        <is>
          <t>22041 Hamburg - Wandsbek</t>
        </is>
      </c>
      <c r="I1847" s="5" t="n">
        <v>45521</v>
      </c>
      <c r="J1847" t="inlineStr">
        <is>
          <t>Sold</t>
        </is>
      </c>
      <c r="K1847" s="6">
        <f>HYPERLINK("https://www.kleinanzeigen.de/s-anzeige/fanatic-newwave-80-liter-windsurfboard/2838749698-230-26506", "Link")</f>
        <v/>
      </c>
      <c r="L1847" s="6">
        <f>HYPERLINK("C:\Projects\Kleinanzeigen-Scraper\offer_images\2838749698", "Link")</f>
        <v/>
      </c>
      <c r="M1847" t="inlineStr">
        <is>
          <t>Darius</t>
        </is>
      </c>
      <c r="N1847" s="6">
        <f>HYPERLINK("https://www.kleinanzeigen.de/s-bestandsliste.html?userId=27832894", "Link")</f>
        <v/>
      </c>
      <c r="O1847" s="7" t="n">
        <v>45549.57357638889</v>
      </c>
      <c r="P1847" s="3" t="inlineStr">
        <is>
          <t>362.23</t>
        </is>
      </c>
      <c r="Q1847" t="inlineStr">
        <is>
          <t>Köln</t>
        </is>
      </c>
    </row>
    <row r="1848">
      <c r="A1848" t="inlineStr">
        <is>
          <t>178 cm x 72 cm x 15 cm</t>
        </is>
      </c>
      <c r="B1848" t="inlineStr">
        <is>
          <t>Fanatic Sky Air Premium</t>
        </is>
      </c>
      <c r="C1848" t="inlineStr"/>
      <c r="D1848" s="3" t="n">
        <v>150</v>
      </c>
      <c r="E1848" t="inlineStr"/>
      <c r="F1848" s="4" t="n">
        <v>549</v>
      </c>
      <c r="G1848" t="inlineStr">
        <is>
          <t>VB</t>
        </is>
      </c>
      <c r="H1848" t="inlineStr">
        <is>
          <t>73035 Baden-Württemberg - Göppingen</t>
        </is>
      </c>
      <c r="I1848" s="5" t="n">
        <v>45543</v>
      </c>
      <c r="J1848" t="inlineStr">
        <is>
          <t>Sold</t>
        </is>
      </c>
      <c r="K1848" s="6">
        <f>HYPERLINK("https://www.kleinanzeigen.de/s-anzeige/wingboard-fanatic-sky-air-premium-5-1-150-liter/2846727273-230-9025", "Link")</f>
        <v/>
      </c>
      <c r="L1848" s="6">
        <f>HYPERLINK("C:\Projects\Kleinanzeigen-Scraper\offer_images\2846727273", "Link")</f>
        <v/>
      </c>
      <c r="M1848" t="inlineStr">
        <is>
          <t>Gerald</t>
        </is>
      </c>
      <c r="N1848" s="6">
        <f>HYPERLINK("https://www.kleinanzeigen.de/s-bestandsliste.html?userId=10592618", "Link")</f>
        <v/>
      </c>
      <c r="O1848" s="7" t="n">
        <v>45549.57357638889</v>
      </c>
      <c r="P1848" s="3" t="inlineStr">
        <is>
          <t>48.53</t>
        </is>
      </c>
      <c r="Q1848" t="inlineStr">
        <is>
          <t>Böblingen</t>
        </is>
      </c>
    </row>
    <row r="1849">
      <c r="A1849" t="inlineStr">
        <is>
          <t>Dimensions not specified</t>
        </is>
      </c>
      <c r="B1849" t="inlineStr">
        <is>
          <t>JP Australia X-Cite Ride</t>
        </is>
      </c>
      <c r="C1849" t="inlineStr">
        <is>
          <t>Freeride</t>
        </is>
      </c>
      <c r="D1849" s="3" t="n">
        <v>135</v>
      </c>
      <c r="E1849" t="inlineStr"/>
      <c r="F1849" s="4" t="n">
        <v>100</v>
      </c>
      <c r="G1849" t="inlineStr">
        <is>
          <t>VB</t>
        </is>
      </c>
      <c r="H1849" t="inlineStr">
        <is>
          <t>82131 Bayern - Gauting</t>
        </is>
      </c>
      <c r="I1849" s="5" t="n">
        <v>45536</v>
      </c>
      <c r="J1849" t="inlineStr">
        <is>
          <t>Sold</t>
        </is>
      </c>
      <c r="K1849" s="6">
        <f>HYPERLINK("https://www.kleinanzeigen.de/s-anzeige/jp-australia-x-cite-ride-135-l/2851872424-230-6334", "Link")</f>
        <v/>
      </c>
      <c r="L1849" s="6">
        <f>HYPERLINK("C:\Projects\Kleinanzeigen-Scraper\offer_images\2851872424", "Link")</f>
        <v/>
      </c>
      <c r="M1849" t="inlineStr">
        <is>
          <t>Florian Bauer</t>
        </is>
      </c>
      <c r="N1849" s="6">
        <f>HYPERLINK("https://www.kleinanzeigen.de/s-bestandsliste.html?userId=33791003", "Link")</f>
        <v/>
      </c>
      <c r="O1849" s="7" t="n">
        <v>45549.57357638889</v>
      </c>
      <c r="P1849" s="3" t="inlineStr">
        <is>
          <t>16.76</t>
        </is>
      </c>
      <c r="Q1849" t="inlineStr">
        <is>
          <t>München</t>
        </is>
      </c>
    </row>
    <row r="1850">
      <c r="A1850" t="inlineStr">
        <is>
          <t>153x52 cm</t>
        </is>
      </c>
      <c r="B1850" t="inlineStr">
        <is>
          <t>ASV Performance XR-F</t>
        </is>
      </c>
      <c r="C1850" t="inlineStr">
        <is>
          <t>Kite/Wing Foil</t>
        </is>
      </c>
      <c r="D1850" s="3" t="inlineStr"/>
      <c r="E1850" t="inlineStr"/>
      <c r="F1850" s="4" t="n">
        <v>200</v>
      </c>
      <c r="G1850" t="inlineStr">
        <is>
          <t>VB</t>
        </is>
      </c>
      <c r="H1850" t="inlineStr">
        <is>
          <t>32120 Nordrhein-Westfalen - Hiddenhausen</t>
        </is>
      </c>
      <c r="I1850" s="5" t="n">
        <v>45541</v>
      </c>
      <c r="J1850" t="inlineStr">
        <is>
          <t>Sold</t>
        </is>
      </c>
      <c r="K1850" s="6">
        <f>HYPERLINK("https://www.kleinanzeigen.de/s-anzeige/asv-performance-xr-f-kite-wing-foil-carbon-board-duotone-/2855977018-230-1660", "Link")</f>
        <v/>
      </c>
      <c r="L1850" s="6">
        <f>HYPERLINK("C:\Projects\Kleinanzeigen-Scraper\offer_images\2855977018", "Link")</f>
        <v/>
      </c>
      <c r="M1850" t="inlineStr">
        <is>
          <t>JM</t>
        </is>
      </c>
      <c r="N1850" s="6">
        <f>HYPERLINK("https://www.kleinanzeigen.de/s-bestandsliste.html?userId=20116306", "Link")</f>
        <v/>
      </c>
      <c r="O1850" s="7" t="n">
        <v>45549.57355324074</v>
      </c>
      <c r="P1850" s="3" t="inlineStr">
        <is>
          <t>179.04</t>
        </is>
      </c>
      <c r="Q1850" t="inlineStr">
        <is>
          <t>Köln</t>
        </is>
      </c>
    </row>
    <row r="1851">
      <c r="A1851" t="inlineStr">
        <is>
          <t>134 x 41</t>
        </is>
      </c>
      <c r="B1851" t="inlineStr">
        <is>
          <t>Naish Motion</t>
        </is>
      </c>
      <c r="C1851" t="inlineStr">
        <is>
          <t>Kiteboard</t>
        </is>
      </c>
      <c r="D1851" s="3" t="inlineStr"/>
      <c r="E1851" t="inlineStr">
        <is>
          <t>2020</t>
        </is>
      </c>
      <c r="F1851" s="4" t="n">
        <v>330</v>
      </c>
      <c r="G1851" t="inlineStr">
        <is>
          <t>VB</t>
        </is>
      </c>
      <c r="H1851" t="inlineStr">
        <is>
          <t>24960 Schleswig-Holstein - Munkbrarup</t>
        </is>
      </c>
      <c r="I1851" s="5" t="n">
        <v>45511</v>
      </c>
      <c r="J1851" t="inlineStr">
        <is>
          <t>Sold</t>
        </is>
      </c>
      <c r="K1851" s="6">
        <f>HYPERLINK("https://www.kleinanzeigen.de/s-anzeige/naish-motion-2020-134-x-41-kiteboard/2831488149-230-727", "Link")</f>
        <v/>
      </c>
      <c r="L1851" s="6">
        <f>HYPERLINK("C:\Projects\Kleinanzeigen-Scraper\offer_images\2831488149", "Link")</f>
        <v/>
      </c>
      <c r="M1851" t="inlineStr">
        <is>
          <t>Malte</t>
        </is>
      </c>
      <c r="N1851" s="6">
        <f>HYPERLINK("https://www.kleinanzeigen.de/s-bestandsliste.html?userId=120069505", "Link")</f>
        <v/>
      </c>
      <c r="O1851" s="7" t="n">
        <v>45549.57355324074</v>
      </c>
      <c r="P1851" s="3" t="inlineStr">
        <is>
          <t>467.53</t>
        </is>
      </c>
      <c r="Q1851" t="inlineStr">
        <is>
          <t>Köln</t>
        </is>
      </c>
    </row>
    <row r="1852">
      <c r="A1852" t="inlineStr"/>
      <c r="B1852" t="inlineStr">
        <is>
          <t>Fanatic Freewave STB</t>
        </is>
      </c>
      <c r="C1852" t="inlineStr">
        <is>
          <t>Freewave</t>
        </is>
      </c>
      <c r="D1852" s="3" t="n">
        <v>85</v>
      </c>
      <c r="E1852" t="inlineStr"/>
      <c r="F1852" s="4" t="n">
        <v>690</v>
      </c>
      <c r="G1852" t="inlineStr">
        <is>
          <t>VB</t>
        </is>
      </c>
      <c r="H1852" t="inlineStr">
        <is>
          <t>71067 Baden-Württemberg - Sindelfingen</t>
        </is>
      </c>
      <c r="I1852" s="5" t="n">
        <v>45521</v>
      </c>
      <c r="J1852" t="inlineStr">
        <is>
          <t>Sold</t>
        </is>
      </c>
      <c r="K1852" s="6">
        <f>HYPERLINK("https://www.kleinanzeigen.de/s-anzeige/fanatic-freewave-stb-85-85l-textreme-txtr-duotone/2838976471-230-8992", "Link")</f>
        <v/>
      </c>
      <c r="L1852" s="6">
        <f>HYPERLINK("C:\Projects\Kleinanzeigen-Scraper\offer_images\2838976471", "Link")</f>
        <v/>
      </c>
      <c r="M1852" t="inlineStr">
        <is>
          <t>T.Z.</t>
        </is>
      </c>
      <c r="N1852" s="6">
        <f>HYPERLINK("https://www.kleinanzeigen.de/s-bestandsliste.html?userId=12397391", "Link")</f>
        <v/>
      </c>
      <c r="O1852" s="7" t="n">
        <v>45549.57355324074</v>
      </c>
      <c r="P1852" s="3" t="inlineStr">
        <is>
          <t>5.96</t>
        </is>
      </c>
      <c r="Q1852" t="inlineStr">
        <is>
          <t>Böblingen</t>
        </is>
      </c>
    </row>
    <row r="1853">
      <c r="A1853" t="inlineStr">
        <is>
          <t>Dimensions not specified</t>
        </is>
      </c>
      <c r="B1853" t="inlineStr">
        <is>
          <t>Fanatic Purebee</t>
        </is>
      </c>
      <c r="C1853" t="inlineStr"/>
      <c r="D1853" s="3" t="n">
        <v>144</v>
      </c>
      <c r="E1853" t="inlineStr"/>
      <c r="F1853" s="4" t="n">
        <v>300</v>
      </c>
      <c r="G1853" t="inlineStr"/>
      <c r="H1853" t="inlineStr">
        <is>
          <t>94569 Bayern - Stephansposching</t>
        </is>
      </c>
      <c r="I1853" s="5" t="n">
        <v>45509</v>
      </c>
      <c r="J1853" t="inlineStr">
        <is>
          <t>Sold</t>
        </is>
      </c>
      <c r="K1853" s="6">
        <f>HYPERLINK("https://www.kleinanzeigen.de/s-anzeige/surfboard-fanatic-mit-tasche/2829802314-230-6031", "Link")</f>
        <v/>
      </c>
      <c r="L1853" s="6">
        <f>HYPERLINK("C:\Projects\Kleinanzeigen-Scraper\offer_images\2829802314", "Link")</f>
        <v/>
      </c>
      <c r="M1853" t="inlineStr">
        <is>
          <t>Steininger Wilhelmine</t>
        </is>
      </c>
      <c r="N1853" s="6">
        <f>HYPERLINK("https://www.kleinanzeigen.de/s-bestandsliste.html?userId=20065111", "Link")</f>
        <v/>
      </c>
      <c r="O1853" s="7" t="n">
        <v>45549.57355324074</v>
      </c>
      <c r="P1853" s="3" t="inlineStr">
        <is>
          <t>118.06</t>
        </is>
      </c>
      <c r="Q1853" t="inlineStr">
        <is>
          <t>München</t>
        </is>
      </c>
    </row>
    <row r="1854">
      <c r="A1854" t="inlineStr"/>
      <c r="B1854" t="inlineStr">
        <is>
          <t>Fanatic Freewave</t>
        </is>
      </c>
      <c r="C1854" t="inlineStr">
        <is>
          <t>Freestyle</t>
        </is>
      </c>
      <c r="D1854" s="3" t="n">
        <v>95</v>
      </c>
      <c r="E1854" t="inlineStr"/>
      <c r="F1854" s="4" t="n">
        <v>200</v>
      </c>
      <c r="G1854" t="inlineStr">
        <is>
          <t>VB</t>
        </is>
      </c>
      <c r="H1854" t="inlineStr">
        <is>
          <t>59320 Nordrhein-Westfalen - Ennigerloh</t>
        </is>
      </c>
      <c r="I1854" s="5" t="n">
        <v>45513</v>
      </c>
      <c r="J1854" t="inlineStr">
        <is>
          <t>Sold</t>
        </is>
      </c>
      <c r="K1854" s="6">
        <f>HYPERLINK("https://www.kleinanzeigen.de/s-anzeige/windsurfboard-fanatic-freewave-95l/2832780019-230-1439", "Link")</f>
        <v/>
      </c>
      <c r="L1854" s="6">
        <f>HYPERLINK("C:\Projects\Kleinanzeigen-Scraper\offer_images\2832780019", "Link")</f>
        <v/>
      </c>
      <c r="M1854" t="inlineStr">
        <is>
          <t>Isabel</t>
        </is>
      </c>
      <c r="N1854" s="6">
        <f>HYPERLINK("https://www.kleinanzeigen.de/s-bestandsliste.html?userId=4452869", "Link")</f>
        <v/>
      </c>
      <c r="O1854" s="7" t="n">
        <v>45549.5735300926</v>
      </c>
      <c r="P1854" s="3" t="inlineStr">
        <is>
          <t>126.09</t>
        </is>
      </c>
      <c r="Q1854" t="inlineStr">
        <is>
          <t>Köln</t>
        </is>
      </c>
    </row>
    <row r="1855">
      <c r="A1855" t="inlineStr"/>
      <c r="B1855" t="inlineStr">
        <is>
          <t>Severne Psycho</t>
        </is>
      </c>
      <c r="C1855" t="inlineStr">
        <is>
          <t>Freestyle</t>
        </is>
      </c>
      <c r="D1855" s="3" t="n">
        <v>102</v>
      </c>
      <c r="E1855" t="inlineStr"/>
      <c r="F1855" s="4" t="n">
        <v>850</v>
      </c>
      <c r="G1855" t="inlineStr">
        <is>
          <t>VB</t>
        </is>
      </c>
      <c r="H1855" t="inlineStr">
        <is>
          <t>81371 München - Sendling</t>
        </is>
      </c>
      <c r="I1855" s="5" t="n">
        <v>45458</v>
      </c>
      <c r="J1855" t="inlineStr"/>
      <c r="K1855" s="6">
        <f>HYPERLINK("https://www.kleinanzeigen.de/s-anzeige/severne-psycho-102l-windsurf-freestyle-board/2788882096-230-6416", "Link")</f>
        <v/>
      </c>
      <c r="L1855" s="6">
        <f>HYPERLINK("C:\Projects\Kleinanzeigen-Scraper\offer_images\2788882096", "Link")</f>
        <v/>
      </c>
      <c r="M1855" t="inlineStr">
        <is>
          <t>dominik</t>
        </is>
      </c>
      <c r="N1855" s="6">
        <f>HYPERLINK("https://www.kleinanzeigen.de/s-bestandsliste.html?userId=30358238", "Link")</f>
        <v/>
      </c>
      <c r="O1855" s="7" t="n">
        <v>45549.5735300926</v>
      </c>
      <c r="P1855" s="3" t="inlineStr">
        <is>
          <t>2.76</t>
        </is>
      </c>
      <c r="Q1855" t="inlineStr">
        <is>
          <t>München</t>
        </is>
      </c>
    </row>
    <row r="1856">
      <c r="A1856" t="inlineStr">
        <is>
          <t>245cm x 53.5cm</t>
        </is>
      </c>
      <c r="B1856" t="inlineStr">
        <is>
          <t>Gun Sails Copello</t>
        </is>
      </c>
      <c r="C1856" t="inlineStr">
        <is>
          <t>Wave</t>
        </is>
      </c>
      <c r="D1856" s="3" t="n">
        <v>75</v>
      </c>
      <c r="E1856" t="inlineStr"/>
      <c r="F1856" s="4" t="n">
        <v>30</v>
      </c>
      <c r="G1856" t="inlineStr">
        <is>
          <t>VB</t>
        </is>
      </c>
      <c r="H1856" t="inlineStr">
        <is>
          <t>24109 Kiel - Melsdorf</t>
        </is>
      </c>
      <c r="I1856" s="5" t="n">
        <v>45535</v>
      </c>
      <c r="J1856" t="inlineStr"/>
      <c r="K1856" s="6">
        <f>HYPERLINK("https://www.kleinanzeigen.de/s-anzeige/waveboard-windsurfboard-gun-sails-75l-copello-deko-surfbrett/2850679494-230-17468", "Link")</f>
        <v/>
      </c>
      <c r="L1856" s="6">
        <f>HYPERLINK("C:\Projects\Kleinanzeigen-Scraper\offer_images\2850679494", "Link")</f>
        <v/>
      </c>
      <c r="M1856" t="inlineStr">
        <is>
          <t>Simon Falk</t>
        </is>
      </c>
      <c r="N1856" s="6">
        <f>HYPERLINK("https://www.kleinanzeigen.de/s-bestandsliste.html?userId=3573752", "Link")</f>
        <v/>
      </c>
      <c r="O1856" s="7" t="n">
        <v>45549.5735300926</v>
      </c>
      <c r="P1856" s="3" t="inlineStr">
        <is>
          <t>429.71</t>
        </is>
      </c>
      <c r="Q1856" t="inlineStr">
        <is>
          <t>Köln</t>
        </is>
      </c>
    </row>
    <row r="1857">
      <c r="A1857" t="inlineStr">
        <is>
          <t xml:space="preserve">Dimensions </t>
        </is>
      </c>
      <c r="B1857" t="inlineStr">
        <is>
          <t>Fanatic Quad</t>
        </is>
      </c>
      <c r="C1857" t="inlineStr">
        <is>
          <t>Wave</t>
        </is>
      </c>
      <c r="D1857" s="3" t="n">
        <v>79</v>
      </c>
      <c r="E1857" t="inlineStr"/>
      <c r="F1857" s="4" t="n">
        <v>230</v>
      </c>
      <c r="G1857" t="inlineStr">
        <is>
          <t>VB</t>
        </is>
      </c>
      <c r="H1857" t="inlineStr">
        <is>
          <t>50859 Lindenthal - Köln Lövenich</t>
        </is>
      </c>
      <c r="I1857" s="5" t="n">
        <v>45528</v>
      </c>
      <c r="J1857" t="inlineStr">
        <is>
          <t>Sold</t>
        </is>
      </c>
      <c r="K1857" s="6">
        <f>HYPERLINK("https://www.kleinanzeigen.de/s-anzeige/surfbrett-surfboard-waveboard-fanatic-quad-79-liter/2845377878-230-18670", "Link")</f>
        <v/>
      </c>
      <c r="L1857" s="6">
        <f>HYPERLINK("C:\Projects\Kleinanzeigen-Scraper\offer_images\2845377878", "Link")</f>
        <v/>
      </c>
      <c r="M1857" t="inlineStr">
        <is>
          <t>Jose Rodriguez</t>
        </is>
      </c>
      <c r="N1857" s="6">
        <f>HYPERLINK("https://www.kleinanzeigen.de/s-bestandsliste.html?userId=23282581", "Link")</f>
        <v/>
      </c>
      <c r="O1857" s="7" t="n">
        <v>45549.5735300926</v>
      </c>
      <c r="P1857" s="3" t="inlineStr">
        <is>
          <t>8.43</t>
        </is>
      </c>
      <c r="Q1857" t="inlineStr">
        <is>
          <t>Köln</t>
        </is>
      </c>
    </row>
    <row r="1858">
      <c r="A1858" t="inlineStr">
        <is>
          <t>12'6</t>
        </is>
      </c>
      <c r="B1858" t="inlineStr">
        <is>
          <t>JP Australia</t>
        </is>
      </c>
      <c r="C1858" t="inlineStr">
        <is>
          <t>Inflatable SUP</t>
        </is>
      </c>
      <c r="D1858" s="3" t="inlineStr"/>
      <c r="E1858" t="inlineStr"/>
      <c r="F1858" s="4" t="n">
        <v>980</v>
      </c>
      <c r="G1858" t="inlineStr">
        <is>
          <t>VB</t>
        </is>
      </c>
      <c r="H1858" t="inlineStr">
        <is>
          <t>55545 Rheinland-Pfalz - Bad Kreuznach</t>
        </is>
      </c>
      <c r="I1858" s="5" t="n">
        <v>44788</v>
      </c>
      <c r="J1858" t="inlineStr"/>
      <c r="K1858" s="6">
        <f>HYPERLINK("https://www.kleinanzeigen.de/s-anzeige/jp-australia-12-6-sports-air-se-3ds-inflatable-sup/2183840668-230-5075", "Link")</f>
        <v/>
      </c>
      <c r="L1858" s="6">
        <f>HYPERLINK("C:\Projects\Kleinanzeigen-Scraper\offer_images\2183840668", "Link")</f>
        <v/>
      </c>
      <c r="M1858" t="inlineStr">
        <is>
          <t>Rita</t>
        </is>
      </c>
      <c r="N1858" s="6">
        <f>HYPERLINK("https://www.kleinanzeigen.de/s-bestandsliste.html?userId=46156157", "Link")</f>
        <v/>
      </c>
      <c r="O1858" s="7" t="n">
        <v>45549.5735300926</v>
      </c>
      <c r="P1858" s="3" t="inlineStr">
        <is>
          <t>101.23</t>
        </is>
      </c>
      <c r="Q1858" t="inlineStr">
        <is>
          <t>Karlsruhe</t>
        </is>
      </c>
    </row>
    <row r="1859">
      <c r="A1859" t="inlineStr">
        <is>
          <t>3.90m x 0.64m</t>
        </is>
      </c>
      <c r="B1859" t="inlineStr">
        <is>
          <t>SAILBOARD DELTA</t>
        </is>
      </c>
      <c r="C1859" t="inlineStr">
        <is>
          <t>Sailboard</t>
        </is>
      </c>
      <c r="D1859" s="3" t="inlineStr"/>
      <c r="E1859" t="inlineStr"/>
      <c r="F1859" s="4" t="n">
        <v>98</v>
      </c>
      <c r="G1859" t="inlineStr"/>
      <c r="H1859" t="inlineStr">
        <is>
          <t>37124 Niedersachsen - Rosdorf</t>
        </is>
      </c>
      <c r="I1859" s="5" t="n">
        <v>45548</v>
      </c>
      <c r="J1859" t="inlineStr">
        <is>
          <t>Sold</t>
        </is>
      </c>
      <c r="K1859" s="6">
        <f>HYPERLINK("https://www.kleinanzeigen.de/s-anzeige/windsurfer-surfboard-sailboard-stand-up-paddler-sup-1451-/1784056763-230-3133", "Link")</f>
        <v/>
      </c>
      <c r="L1859" s="6">
        <f>HYPERLINK("C:\Projects\Kleinanzeigen-Scraper\offer_images\1784056763", "Link")</f>
        <v/>
      </c>
      <c r="M1859" t="inlineStr">
        <is>
          <t>No user name</t>
        </is>
      </c>
      <c r="N1859" s="6">
        <f>HYPERLINK("https://www.kleinanzeigen.deNo user link", "Link")</f>
        <v/>
      </c>
      <c r="O1859" s="7" t="n">
        <v>45549.5735300926</v>
      </c>
      <c r="P1859" s="3" t="inlineStr">
        <is>
          <t>214.72</t>
        </is>
      </c>
      <c r="Q1859" t="inlineStr">
        <is>
          <t>Köln</t>
        </is>
      </c>
    </row>
    <row r="1860">
      <c r="A1860" t="inlineStr">
        <is>
          <t>8'3"</t>
        </is>
      </c>
      <c r="B1860" t="inlineStr">
        <is>
          <t>RRD Wassup/Foil LTE Y25</t>
        </is>
      </c>
      <c r="C1860" t="inlineStr">
        <is>
          <t>Allround / Foil</t>
        </is>
      </c>
      <c r="D1860" s="3" t="n">
        <v>134</v>
      </c>
      <c r="E1860" t="inlineStr">
        <is>
          <t>Y25</t>
        </is>
      </c>
      <c r="F1860" s="4" t="n">
        <v>699</v>
      </c>
      <c r="G1860" t="inlineStr">
        <is>
          <t>VB</t>
        </is>
      </c>
      <c r="H1860" t="inlineStr">
        <is>
          <t>83646 Bayern - Bad Tölz</t>
        </is>
      </c>
      <c r="I1860" s="5" t="n">
        <v>45521</v>
      </c>
      <c r="J1860" t="inlineStr"/>
      <c r="K1860" s="6">
        <f>HYPERLINK("https://www.kleinanzeigen.de/s-anzeige/rrd-wassup-foil-lte-y25-134l-8-3-used-schnaeppchen/2838772486-230-5883", "Link")</f>
        <v/>
      </c>
      <c r="L1860" s="6">
        <f>HYPERLINK("C:\Projects\Kleinanzeigen-Scraper\offer_images\2838772486", "Link")</f>
        <v/>
      </c>
      <c r="M1860" t="inlineStr">
        <is>
          <t>Hans-Peter</t>
        </is>
      </c>
      <c r="N1860" s="6">
        <f>HYPERLINK("https://www.kleinanzeigen.de/s-bestandsliste.html?userId=15717801", "Link")</f>
        <v/>
      </c>
      <c r="O1860" s="7" t="n">
        <v>45549.57350694444</v>
      </c>
      <c r="P1860" s="3" t="inlineStr">
        <is>
          <t>43.27</t>
        </is>
      </c>
      <c r="Q1860" t="inlineStr">
        <is>
          <t>München</t>
        </is>
      </c>
    </row>
    <row r="1861">
      <c r="A1861" t="inlineStr">
        <is>
          <t>76</t>
        </is>
      </c>
      <c r="B1861" t="inlineStr">
        <is>
          <t>Fanatic Grip</t>
        </is>
      </c>
      <c r="C1861" t="inlineStr">
        <is>
          <t>Wave</t>
        </is>
      </c>
      <c r="D1861" s="3" t="inlineStr"/>
      <c r="E1861" t="inlineStr"/>
      <c r="F1861" s="4" t="n">
        <v>439</v>
      </c>
      <c r="G1861" t="inlineStr">
        <is>
          <t>VB</t>
        </is>
      </c>
      <c r="H1861" t="inlineStr">
        <is>
          <t>45897 Nordrhein-Westfalen - Gelsenkirchen</t>
        </is>
      </c>
      <c r="I1861" s="5" t="n">
        <v>45523</v>
      </c>
      <c r="J1861" t="inlineStr">
        <is>
          <t>Sold</t>
        </is>
      </c>
      <c r="K1861" s="6">
        <f>HYPERLINK("https://www.kleinanzeigen.de/s-anzeige/fanatic-grip-76/2841139768-230-1003", "Link")</f>
        <v/>
      </c>
      <c r="L1861" s="6">
        <f>HYPERLINK("C:\Projects\Kleinanzeigen-Scraper\offer_images\2841139768", "Link")</f>
        <v/>
      </c>
      <c r="M1861" t="inlineStr">
        <is>
          <t>Josh</t>
        </is>
      </c>
      <c r="N1861" s="6">
        <f>HYPERLINK("https://www.kleinanzeigen.de/s-bestandsliste.html?userId=32943409", "Link")</f>
        <v/>
      </c>
      <c r="O1861" s="7" t="n">
        <v>45549.57350694444</v>
      </c>
      <c r="P1861" s="3" t="inlineStr">
        <is>
          <t>69.88</t>
        </is>
      </c>
      <c r="Q1861" t="inlineStr">
        <is>
          <t>Köln</t>
        </is>
      </c>
    </row>
    <row r="1862">
      <c r="A1862" t="inlineStr">
        <is>
          <t>233 cm x 53.5 cm</t>
        </is>
      </c>
      <c r="B1862" t="inlineStr">
        <is>
          <t>Tabou Da Curve</t>
        </is>
      </c>
      <c r="C1862" t="inlineStr">
        <is>
          <t>Wave</t>
        </is>
      </c>
      <c r="D1862" s="3" t="n">
        <v>73</v>
      </c>
      <c r="E1862" t="inlineStr"/>
      <c r="F1862" s="4" t="n">
        <v>70</v>
      </c>
      <c r="G1862" t="inlineStr">
        <is>
          <t>VB</t>
        </is>
      </c>
      <c r="H1862" t="inlineStr">
        <is>
          <t>24259 Schleswig-Holstein - Westensee</t>
        </is>
      </c>
      <c r="I1862" s="5" t="n">
        <v>45497</v>
      </c>
      <c r="J1862" t="inlineStr">
        <is>
          <t>Sold</t>
        </is>
      </c>
      <c r="K1862" s="6">
        <f>HYPERLINK("https://www.kleinanzeigen.de/s-anzeige/tabou-da-curve-waveboard-surfboard-73-liter/2820382609-230-501", "Link")</f>
        <v/>
      </c>
      <c r="L1862" s="6">
        <f>HYPERLINK("C:\Projects\Kleinanzeigen-Scraper\offer_images\2820382609", "Link")</f>
        <v/>
      </c>
      <c r="M1862" t="inlineStr">
        <is>
          <t>Christian</t>
        </is>
      </c>
      <c r="N1862" s="6">
        <f>HYPERLINK("https://www.kleinanzeigen.de/s-bestandsliste.html?userId=7055492", "Link")</f>
        <v/>
      </c>
      <c r="O1862" s="7" t="n">
        <v>45549.57350694444</v>
      </c>
      <c r="P1862" s="3" t="inlineStr">
        <is>
          <t>420.58</t>
        </is>
      </c>
      <c r="Q1862" t="inlineStr">
        <is>
          <t>Köln</t>
        </is>
      </c>
    </row>
    <row r="1863">
      <c r="A1863" t="inlineStr"/>
      <c r="B1863" t="inlineStr">
        <is>
          <t>Severne Dyno</t>
        </is>
      </c>
      <c r="C1863" t="inlineStr">
        <is>
          <t>Freeride</t>
        </is>
      </c>
      <c r="D1863" s="3" t="n">
        <v>95</v>
      </c>
      <c r="E1863" t="inlineStr">
        <is>
          <t>2021</t>
        </is>
      </c>
      <c r="F1863" s="4" t="n">
        <v>1.099</v>
      </c>
      <c r="G1863" t="inlineStr">
        <is>
          <t>VB</t>
        </is>
      </c>
      <c r="H1863" t="inlineStr">
        <is>
          <t>23769 Fehmarn - Westfehmarn</t>
        </is>
      </c>
      <c r="I1863" s="5" t="n">
        <v>45565</v>
      </c>
      <c r="J1863" t="inlineStr"/>
      <c r="K1863" s="6">
        <f>HYPERLINK("https://www.kleinanzeigen.de/s-anzeige/severne-dyno-95l-und-115l/2751836327-230-430", "Link")</f>
        <v/>
      </c>
      <c r="L1863" s="6">
        <f>HYPERLINK("C:\Projects\Kleinanzeigen-Scraper\offer_images\2751836327", "Link")</f>
        <v/>
      </c>
      <c r="M1863" t="inlineStr">
        <is>
          <t>No user name</t>
        </is>
      </c>
      <c r="N1863" s="6">
        <f>HYPERLINK("https://www.kleinanzeigen.deNo user link", "Link")</f>
        <v/>
      </c>
      <c r="O1863" s="7" t="n">
        <v>45549.57349537037</v>
      </c>
      <c r="P1863" s="3" t="inlineStr">
        <is>
          <t>483.01</t>
        </is>
      </c>
      <c r="Q1863" t="inlineStr">
        <is>
          <t>Köln</t>
        </is>
      </c>
    </row>
    <row r="1864">
      <c r="A1864" t="inlineStr"/>
      <c r="B1864" t="inlineStr">
        <is>
          <t>Fanatic Hornet</t>
        </is>
      </c>
      <c r="C1864" t="inlineStr">
        <is>
          <t>Freeride, Freestyle</t>
        </is>
      </c>
      <c r="D1864" s="3" t="inlineStr"/>
      <c r="E1864" t="inlineStr"/>
      <c r="F1864" s="4" t="n">
        <v>220</v>
      </c>
      <c r="G1864" t="inlineStr">
        <is>
          <t>VB</t>
        </is>
      </c>
      <c r="H1864" t="inlineStr">
        <is>
          <t>27572 Häfen - Bremerhaven</t>
        </is>
      </c>
      <c r="I1864" s="5" t="n">
        <v>45512</v>
      </c>
      <c r="J1864" t="inlineStr">
        <is>
          <t>Sold</t>
        </is>
      </c>
      <c r="K1864" s="6">
        <f>HYPERLINK("https://www.kleinanzeigen.de/s-anzeige/fanatic-hornet-windsurfboard-mit-zubehoer/2832016041-230-56", "Link")</f>
        <v/>
      </c>
      <c r="L1864" s="6">
        <f>HYPERLINK("C:\Projects\Kleinanzeigen-Scraper\offer_images\2832016041", "Link")</f>
        <v/>
      </c>
      <c r="M1864" t="inlineStr">
        <is>
          <t>T.B.</t>
        </is>
      </c>
      <c r="N1864" s="6">
        <f>HYPERLINK("https://www.kleinanzeigen.de/s-bestandsliste.html?userId=2695188", "Link")</f>
        <v/>
      </c>
      <c r="O1864" s="7" t="n">
        <v>45549.57349537037</v>
      </c>
      <c r="P1864" s="3" t="inlineStr">
        <is>
          <t>306.60</t>
        </is>
      </c>
      <c r="Q1864" t="inlineStr">
        <is>
          <t>Köln</t>
        </is>
      </c>
    </row>
    <row r="1865">
      <c r="A1865" t="inlineStr">
        <is>
          <t>Dimensions not specified</t>
        </is>
      </c>
      <c r="B1865" t="inlineStr">
        <is>
          <t>North Nugget</t>
        </is>
      </c>
      <c r="C1865" t="inlineStr">
        <is>
          <t>Directional</t>
        </is>
      </c>
      <c r="D1865" s="3" t="n">
        <v>28.9</v>
      </c>
      <c r="E1865" t="inlineStr"/>
      <c r="F1865" s="4" t="n">
        <v>240</v>
      </c>
      <c r="G1865" t="inlineStr">
        <is>
          <t>VB</t>
        </is>
      </c>
      <c r="H1865" t="inlineStr">
        <is>
          <t>41464 Nordrhein-Westfalen - Neuss</t>
        </is>
      </c>
      <c r="I1865" s="5" t="n">
        <v>45536</v>
      </c>
      <c r="J1865" t="inlineStr">
        <is>
          <t>Sold</t>
        </is>
      </c>
      <c r="K1865" s="6">
        <f>HYPERLINK("https://www.kleinanzeigen.de/s-anzeige/north-nugget-leichtwind-beginner-directional-surfboard/2851366276-230-2113", "Link")</f>
        <v/>
      </c>
      <c r="L1865" s="6">
        <f>HYPERLINK("C:\Projects\Kleinanzeigen-Scraper\offer_images\2851366276", "Link")</f>
        <v/>
      </c>
      <c r="M1865" t="inlineStr">
        <is>
          <t>Christian Hoeft</t>
        </is>
      </c>
      <c r="N1865" s="6">
        <f>HYPERLINK("https://www.kleinanzeigen.de/s-bestandsliste.html?userId=22285795", "Link")</f>
        <v/>
      </c>
      <c r="O1865" s="7" t="n">
        <v>45549.57346064815</v>
      </c>
      <c r="P1865" s="3" t="inlineStr">
        <is>
          <t>34.26</t>
        </is>
      </c>
      <c r="Q1865" t="inlineStr">
        <is>
          <t>Köln</t>
        </is>
      </c>
    </row>
    <row r="1866">
      <c r="A1866" t="inlineStr">
        <is>
          <t>4'10"</t>
        </is>
      </c>
      <c r="B1866" t="inlineStr">
        <is>
          <t>Naish Hover Comet Crbn</t>
        </is>
      </c>
      <c r="C1866" t="inlineStr">
        <is>
          <t>Surf Foil</t>
        </is>
      </c>
      <c r="D1866" s="3" t="n">
        <v>29</v>
      </c>
      <c r="E1866" t="inlineStr">
        <is>
          <t>2020</t>
        </is>
      </c>
      <c r="F1866" s="4" t="n">
        <v>450</v>
      </c>
      <c r="G1866" t="inlineStr"/>
      <c r="H1866" t="inlineStr">
        <is>
          <t>12587 Berlin - Köpenick</t>
        </is>
      </c>
      <c r="I1866" s="5" t="n">
        <v>45548</v>
      </c>
      <c r="J1866" t="inlineStr"/>
      <c r="K1866" s="6">
        <f>HYPERLINK("https://www.kleinanzeigen.de/s-anzeige/naish-2020-surf-foil-hover-comet-crbn-4-10-29l/2861731322-230-3374", "Link")</f>
        <v/>
      </c>
      <c r="L1866" s="6">
        <f>HYPERLINK("C:\Projects\Kleinanzeigen-Scraper\offer_images\2861731322", "Link")</f>
        <v/>
      </c>
      <c r="M1866" t="inlineStr">
        <is>
          <t>Johannes Glitzky</t>
        </is>
      </c>
      <c r="N1866" s="6">
        <f>HYPERLINK("https://www.kleinanzeigen.de/s-bestandsliste.html?userId=133592437", "Link")</f>
        <v/>
      </c>
      <c r="O1866" s="7" t="n">
        <v>45549.57344907407</v>
      </c>
      <c r="P1866" s="3" t="inlineStr">
        <is>
          <t>490.72</t>
        </is>
      </c>
      <c r="Q1866" t="inlineStr">
        <is>
          <t>Köln</t>
        </is>
      </c>
    </row>
    <row r="1867">
      <c r="A1867" t="inlineStr">
        <is>
          <t>250 cm</t>
        </is>
      </c>
      <c r="B1867" t="inlineStr">
        <is>
          <t>Naish Supercross</t>
        </is>
      </c>
      <c r="C1867" t="inlineStr">
        <is>
          <t>Freeride</t>
        </is>
      </c>
      <c r="D1867" s="3" t="n">
        <v>85</v>
      </c>
      <c r="E1867" t="inlineStr"/>
      <c r="F1867" s="4" t="n">
        <v>60</v>
      </c>
      <c r="G1867" t="inlineStr">
        <is>
          <t>VB</t>
        </is>
      </c>
      <c r="H1867" t="inlineStr">
        <is>
          <t>23730 Kreis Ostholstein - Neustadt in Holstein</t>
        </is>
      </c>
      <c r="I1867" s="5" t="n">
        <v>45512</v>
      </c>
      <c r="J1867" t="inlineStr">
        <is>
          <t>Sold</t>
        </is>
      </c>
      <c r="K1867" s="6">
        <f>HYPERLINK("https://www.kleinanzeigen.de/s-anzeige/surfboard-naish-supercross/2831798997-230-13579", "Link")</f>
        <v/>
      </c>
      <c r="L1867" s="6">
        <f>HYPERLINK("C:\Projects\Kleinanzeigen-Scraper\offer_images\2831798997", "Link")</f>
        <v/>
      </c>
      <c r="M1867" t="inlineStr">
        <is>
          <t>Frank</t>
        </is>
      </c>
      <c r="N1867" s="6">
        <f>HYPERLINK("https://www.kleinanzeigen.de/s-bestandsliste.html?userId=24834991", "Link")</f>
        <v/>
      </c>
      <c r="O1867" s="7" t="n">
        <v>45549.57344907407</v>
      </c>
      <c r="P1867" s="3" t="inlineStr">
        <is>
          <t>441.08</t>
        </is>
      </c>
      <c r="Q1867" t="inlineStr">
        <is>
          <t>Köln</t>
        </is>
      </c>
    </row>
    <row r="1868">
      <c r="A1868" t="inlineStr">
        <is>
          <t>132x39</t>
        </is>
      </c>
      <c r="B1868" t="inlineStr">
        <is>
          <t>Naish Alana</t>
        </is>
      </c>
      <c r="C1868" t="inlineStr">
        <is>
          <t>Twintip</t>
        </is>
      </c>
      <c r="D1868" s="3" t="inlineStr"/>
      <c r="E1868" t="inlineStr"/>
      <c r="F1868" s="4" t="n">
        <v>350</v>
      </c>
      <c r="G1868" t="inlineStr"/>
      <c r="H1868" t="inlineStr">
        <is>
          <t>24802 Schleswig-Holstein - Emkendorf</t>
        </is>
      </c>
      <c r="I1868" s="5" t="n">
        <v>45518</v>
      </c>
      <c r="J1868" t="inlineStr">
        <is>
          <t>Sold</t>
        </is>
      </c>
      <c r="K1868" s="6">
        <f>HYPERLINK("https://www.kleinanzeigen.de/s-anzeige/naish-kiteboard-twintip-alana-132x39/2836683807-230-25876", "Link")</f>
        <v/>
      </c>
      <c r="L1868" s="6">
        <f>HYPERLINK("C:\Projects\Kleinanzeigen-Scraper\offer_images\2836683807", "Link")</f>
        <v/>
      </c>
      <c r="M1868" t="inlineStr">
        <is>
          <t>Lea-Sophie</t>
        </is>
      </c>
      <c r="N1868" s="6">
        <f>HYPERLINK("https://www.kleinanzeigen.de/s-bestandsliste.html?userId=22060148", "Link")</f>
        <v/>
      </c>
      <c r="O1868" s="7" t="n">
        <v>45549.57344907407</v>
      </c>
      <c r="P1868" s="3" t="inlineStr">
        <is>
          <t>415.87</t>
        </is>
      </c>
      <c r="Q1868" t="inlineStr">
        <is>
          <t>Köln</t>
        </is>
      </c>
    </row>
    <row r="1869">
      <c r="A1869" t="inlineStr">
        <is>
          <t>311 cm x 79 cm x 15 cm</t>
        </is>
      </c>
      <c r="B1869" t="inlineStr">
        <is>
          <t>F2 GLIDE</t>
        </is>
      </c>
      <c r="C1869" t="inlineStr">
        <is>
          <t>Windsurf/SUP</t>
        </is>
      </c>
      <c r="D1869" s="3" t="inlineStr"/>
      <c r="E1869" t="inlineStr"/>
      <c r="F1869" s="4" t="n">
        <v>649</v>
      </c>
      <c r="G1869" t="inlineStr"/>
      <c r="H1869" t="inlineStr">
        <is>
          <t>95028 Bayern - Hof (Saale)</t>
        </is>
      </c>
      <c r="I1869" s="5" t="n">
        <v>45546</v>
      </c>
      <c r="J1869" t="inlineStr">
        <is>
          <t>Sold</t>
        </is>
      </c>
      <c r="K1869" s="6">
        <f>HYPERLINK("https://www.kleinanzeigen.de/s-anzeige/f2-glide-windsurf-sup-10-2-petrol-board-allround-wing-6-0-qm/2835115942-230-7244", "Link")</f>
        <v/>
      </c>
      <c r="L1869" s="6">
        <f>HYPERLINK("C:\Projects\Kleinanzeigen-Scraper\offer_images\2835115942", "Link")</f>
        <v/>
      </c>
      <c r="M1869" t="inlineStr">
        <is>
          <t>No user name</t>
        </is>
      </c>
      <c r="N1869" s="6">
        <f>HYPERLINK("https://www.kleinanzeigen.deNo user link", "Link")</f>
        <v/>
      </c>
      <c r="O1869" s="7" t="n">
        <v>45549.57344907407</v>
      </c>
      <c r="P1869" s="3" t="inlineStr">
        <is>
          <t>244.83</t>
        </is>
      </c>
      <c r="Q1869" t="inlineStr">
        <is>
          <t>München</t>
        </is>
      </c>
    </row>
    <row r="1870">
      <c r="A1870" t="inlineStr"/>
      <c r="B1870" t="inlineStr">
        <is>
          <t>Tabou Rocket Wave</t>
        </is>
      </c>
      <c r="C1870" t="inlineStr">
        <is>
          <t>Wave</t>
        </is>
      </c>
      <c r="D1870" s="3" t="n">
        <v>85</v>
      </c>
      <c r="E1870" t="inlineStr"/>
      <c r="F1870" s="4" t="n">
        <v>150</v>
      </c>
      <c r="G1870" t="inlineStr"/>
      <c r="H1870" t="inlineStr">
        <is>
          <t>24145 Kiel - Meimersdorf-Moorsee</t>
        </is>
      </c>
      <c r="I1870" s="5" t="n">
        <v>45409</v>
      </c>
      <c r="J1870" t="inlineStr"/>
      <c r="K1870" s="6">
        <f>HYPERLINK("https://www.kleinanzeigen.de/s-anzeige/surfbrett-tabou-rocket-wave-85-l/2746302245-230-700", "Link")</f>
        <v/>
      </c>
      <c r="L1870" s="6">
        <f>HYPERLINK("C:\Projects\Kleinanzeigen-Scraper\offer_images\2746302245", "Link")</f>
        <v/>
      </c>
      <c r="M1870" t="inlineStr">
        <is>
          <t>Ulli</t>
        </is>
      </c>
      <c r="N1870" s="6">
        <f>HYPERLINK("https://www.kleinanzeigen.de/s-bestandsliste.html?userId=7431612", "Link")</f>
        <v/>
      </c>
      <c r="O1870" s="7" t="n">
        <v>45549.5734375</v>
      </c>
      <c r="P1870" s="3" t="inlineStr">
        <is>
          <t>430.05</t>
        </is>
      </c>
      <c r="Q1870" t="inlineStr">
        <is>
          <t>Köln</t>
        </is>
      </c>
    </row>
    <row r="1871">
      <c r="A1871" t="inlineStr">
        <is>
          <t>320cm x 81.3cm x 15.2cm</t>
        </is>
      </c>
      <c r="B1871" t="inlineStr">
        <is>
          <t>Naish Nalu</t>
        </is>
      </c>
      <c r="C1871" t="inlineStr">
        <is>
          <t>Allround</t>
        </is>
      </c>
      <c r="D1871" s="3" t="inlineStr"/>
      <c r="E1871" t="inlineStr"/>
      <c r="F1871" s="4" t="n">
        <v>444</v>
      </c>
      <c r="G1871" t="inlineStr"/>
      <c r="H1871" t="inlineStr">
        <is>
          <t>57489 Nordrhein-Westfalen - Drolshagen</t>
        </is>
      </c>
      <c r="I1871" s="5" t="n">
        <v>45519</v>
      </c>
      <c r="J1871" t="inlineStr"/>
      <c r="K1871" s="6">
        <f>HYPERLINK("https://www.kleinanzeigen.de/s-anzeige/summer-sale-naish-nalu-10-6x32-sup-board-und-paddel-aktion/2837173701-230-1530", "Link")</f>
        <v/>
      </c>
      <c r="L1871" s="6">
        <f>HYPERLINK("C:\Projects\Kleinanzeigen-Scraper\offer_images\2837173701", "Link")</f>
        <v/>
      </c>
      <c r="M1871" t="inlineStr">
        <is>
          <t>key2fun</t>
        </is>
      </c>
      <c r="N1871" s="6">
        <f>HYPERLINK("https://www.kleinanzeigen.de/s-bestandsliste.html?userId=68821592", "Link")</f>
        <v/>
      </c>
      <c r="O1871" s="7" t="n">
        <v>45549.57342592593</v>
      </c>
      <c r="P1871" s="3" t="inlineStr">
        <is>
          <t>58.85</t>
        </is>
      </c>
      <c r="Q1871" t="inlineStr">
        <is>
          <t>Köln</t>
        </is>
      </c>
    </row>
    <row r="1872">
      <c r="A1872" t="inlineStr">
        <is>
          <t>134x42</t>
        </is>
      </c>
      <c r="B1872" t="inlineStr">
        <is>
          <t>Naish Monarch</t>
        </is>
      </c>
      <c r="C1872" t="inlineStr"/>
      <c r="D1872" s="3" t="inlineStr"/>
      <c r="E1872" t="inlineStr"/>
      <c r="F1872" s="4" t="n">
        <v>300</v>
      </c>
      <c r="G1872" t="inlineStr">
        <is>
          <t>VB</t>
        </is>
      </c>
      <c r="H1872" t="inlineStr">
        <is>
          <t>88131 Bayern - Lindau</t>
        </is>
      </c>
      <c r="I1872" s="5" t="n">
        <v>45525</v>
      </c>
      <c r="J1872" t="inlineStr">
        <is>
          <t>Sold</t>
        </is>
      </c>
      <c r="K1872" s="6">
        <f>HYPERLINK("https://www.kleinanzeigen.de/s-anzeige/naish-monarch-134x42-kiteboard/2842518777-230-7707", "Link")</f>
        <v/>
      </c>
      <c r="L1872" s="6">
        <f>HYPERLINK("C:\Projects\Kleinanzeigen-Scraper\offer_images\2842518777", "Link")</f>
        <v/>
      </c>
      <c r="M1872" t="inlineStr">
        <is>
          <t>Chris</t>
        </is>
      </c>
      <c r="N1872" s="6">
        <f>HYPERLINK("https://www.kleinanzeigen.de/s-bestandsliste.html?userId=143603145", "Link")</f>
        <v/>
      </c>
      <c r="O1872" s="7" t="n">
        <v>45549.57342592593</v>
      </c>
      <c r="P1872" s="3" t="inlineStr">
        <is>
          <t>104.13</t>
        </is>
      </c>
      <c r="Q1872" t="inlineStr">
        <is>
          <t>Bonndorf</t>
        </is>
      </c>
    </row>
    <row r="1873">
      <c r="A1873" t="inlineStr">
        <is>
          <t>135 cm</t>
        </is>
      </c>
      <c r="B1873" t="inlineStr">
        <is>
          <t>Naish Monarch</t>
        </is>
      </c>
      <c r="C1873" t="inlineStr">
        <is>
          <t>Freestyle/Freeride</t>
        </is>
      </c>
      <c r="D1873" s="3" t="inlineStr"/>
      <c r="E1873" t="inlineStr"/>
      <c r="F1873" s="4" t="n">
        <v>450</v>
      </c>
      <c r="G1873" t="inlineStr"/>
      <c r="H1873" t="inlineStr">
        <is>
          <t>25980 Sylt - Westerland</t>
        </is>
      </c>
      <c r="I1873" s="5" t="n">
        <v>45549</v>
      </c>
      <c r="J1873" t="inlineStr">
        <is>
          <t>Sold</t>
        </is>
      </c>
      <c r="K1873" s="6">
        <f>HYPERLINK("https://www.kleinanzeigen.de/s-anzeige/kiteboard-135-naish-monarch/2862631877-230-634", "Link")</f>
        <v/>
      </c>
      <c r="L1873" s="6">
        <f>HYPERLINK("C:\Projects\Kleinanzeigen-Scraper\offer_images\2862631877", "Link")</f>
        <v/>
      </c>
      <c r="M1873" t="inlineStr">
        <is>
          <t>Dübbers</t>
        </is>
      </c>
      <c r="N1873" s="6">
        <f>HYPERLINK("https://www.kleinanzeigen.de/s-bestandsliste.html?userId=24226968", "Link")</f>
        <v/>
      </c>
      <c r="O1873" s="7" t="n">
        <v>45549.57342592593</v>
      </c>
      <c r="P1873" s="3" t="inlineStr">
        <is>
          <t>448.30</t>
        </is>
      </c>
      <c r="Q1873" t="inlineStr">
        <is>
          <t>Köln</t>
        </is>
      </c>
    </row>
    <row r="1874">
      <c r="A1874" t="inlineStr">
        <is>
          <t>138 x 41 cm</t>
        </is>
      </c>
      <c r="B1874" t="inlineStr">
        <is>
          <t>Lieuwe Shotgun</t>
        </is>
      </c>
      <c r="C1874" t="inlineStr"/>
      <c r="D1874" s="3" t="inlineStr"/>
      <c r="E1874" t="inlineStr">
        <is>
          <t>2024</t>
        </is>
      </c>
      <c r="F1874" s="4" t="n">
        <v>799</v>
      </c>
      <c r="G1874" t="inlineStr">
        <is>
          <t>VB</t>
        </is>
      </c>
      <c r="H1874" t="inlineStr">
        <is>
          <t>41066 Nordrhein-Westfalen - Mönchengladbach</t>
        </is>
      </c>
      <c r="I1874" s="5" t="n">
        <v>45509</v>
      </c>
      <c r="J1874" t="inlineStr">
        <is>
          <t>Sold</t>
        </is>
      </c>
      <c r="K1874" s="6">
        <f>HYPERLINK("https://www.kleinanzeigen.de/s-anzeige/lieuwe-shotgun-naish-apex-bindung-kiteboard-neuwertig/2829919948-230-1968", "Link")</f>
        <v/>
      </c>
      <c r="L1874" s="6">
        <f>HYPERLINK("C:\Projects\Kleinanzeigen-Scraper\offer_images\2829919948", "Link")</f>
        <v/>
      </c>
      <c r="M1874" t="inlineStr">
        <is>
          <t>Uli</t>
        </is>
      </c>
      <c r="N1874" s="6">
        <f>HYPERLINK("https://www.kleinanzeigen.de/s-bestandsliste.html?userId=24773790", "Link")</f>
        <v/>
      </c>
      <c r="O1874" s="7" t="n">
        <v>45549.57340277778</v>
      </c>
      <c r="P1874" s="3" t="inlineStr">
        <is>
          <t>46.71</t>
        </is>
      </c>
      <c r="Q1874" t="inlineStr">
        <is>
          <t>Köln</t>
        </is>
      </c>
    </row>
    <row r="1875">
      <c r="A1875" t="inlineStr"/>
      <c r="B1875" t="inlineStr">
        <is>
          <t>JP Australia all ride</t>
        </is>
      </c>
      <c r="C1875" t="inlineStr"/>
      <c r="D1875" s="3" t="n">
        <v>106</v>
      </c>
      <c r="E1875" t="inlineStr"/>
      <c r="F1875" s="4" t="n">
        <v>480</v>
      </c>
      <c r="G1875" t="inlineStr"/>
      <c r="H1875" t="inlineStr">
        <is>
          <t>42119 Wuppertal - Elberfeld</t>
        </is>
      </c>
      <c r="I1875" s="5" t="n">
        <v>45150</v>
      </c>
      <c r="J1875" t="inlineStr"/>
      <c r="K1875" s="6">
        <f>HYPERLINK("https://www.kleinanzeigen.de/s-anzeige/surfboard-jp-australia-all-ride-106/2518652323-230-1580", "Link")</f>
        <v/>
      </c>
      <c r="L1875" s="6">
        <f>HYPERLINK("C:\Projects\Kleinanzeigen-Scraper\offer_images\2518652323", "Link")</f>
        <v/>
      </c>
      <c r="M1875" t="inlineStr">
        <is>
          <t>Rainer</t>
        </is>
      </c>
      <c r="N1875" s="6">
        <f>HYPERLINK("https://www.kleinanzeigen.de/s-bestandsliste.html?userId=5780586", "Link")</f>
        <v/>
      </c>
      <c r="O1875" s="7" t="n">
        <v>45549.5733912037</v>
      </c>
      <c r="P1875" s="3" t="inlineStr">
        <is>
          <t>36.50</t>
        </is>
      </c>
      <c r="Q1875" t="inlineStr">
        <is>
          <t>Köln</t>
        </is>
      </c>
    </row>
    <row r="1876">
      <c r="A1876" t="inlineStr">
        <is>
          <t>244 x 75.5</t>
        </is>
      </c>
      <c r="B1876" t="inlineStr">
        <is>
          <t>Tabou Rocket LTD</t>
        </is>
      </c>
      <c r="C1876" t="inlineStr">
        <is>
          <t>Freeride</t>
        </is>
      </c>
      <c r="D1876" s="3" t="n">
        <v>125</v>
      </c>
      <c r="E1876" t="inlineStr">
        <is>
          <t>2022/23</t>
        </is>
      </c>
      <c r="F1876" s="4" t="n">
        <v>890</v>
      </c>
      <c r="G1876" t="inlineStr"/>
      <c r="H1876" t="inlineStr">
        <is>
          <t>13125 Berlin - Pankow</t>
        </is>
      </c>
      <c r="I1876" s="5" t="n">
        <v>45549</v>
      </c>
      <c r="J1876" t="inlineStr">
        <is>
          <t>Sold</t>
        </is>
      </c>
      <c r="K1876" s="6">
        <f>HYPERLINK("https://www.kleinanzeigen.de/s-anzeige/windsurfboard-tabou-rocket-ltd-125/2862979848-230-3466", "Link")</f>
        <v/>
      </c>
      <c r="L1876" s="6">
        <f>HYPERLINK("C:\Projects\Kleinanzeigen-Scraper\offer_images\2862979848", "Link")</f>
        <v/>
      </c>
      <c r="M1876" t="inlineStr">
        <is>
          <t>Schmidt Michael</t>
        </is>
      </c>
      <c r="N1876" s="6">
        <f>HYPERLINK("https://www.kleinanzeigen.de/s-bestandsliste.html?userId=34132350", "Link")</f>
        <v/>
      </c>
      <c r="O1876" s="7" t="n">
        <v>45549.57337962963</v>
      </c>
      <c r="P1876" s="3" t="inlineStr">
        <is>
          <t>486.44</t>
        </is>
      </c>
      <c r="Q1876" t="inlineStr">
        <is>
          <t>Köln</t>
        </is>
      </c>
    </row>
    <row r="1877">
      <c r="A1877" t="inlineStr">
        <is>
          <t>5'3"</t>
        </is>
      </c>
      <c r="B1877" t="inlineStr">
        <is>
          <t>Duotone Fanatic Sky Free TE</t>
        </is>
      </c>
      <c r="C1877" t="inlineStr">
        <is>
          <t>Freeride</t>
        </is>
      </c>
      <c r="D1877" s="3" t="n">
        <v>95</v>
      </c>
      <c r="E1877" t="inlineStr"/>
      <c r="F1877" s="4" t="n">
        <v>650</v>
      </c>
      <c r="G1877" t="inlineStr">
        <is>
          <t>VB</t>
        </is>
      </c>
      <c r="H1877" t="inlineStr">
        <is>
          <t>21376 Niedersachsen - Salzhausen</t>
        </is>
      </c>
      <c r="I1877" s="5" t="n">
        <v>45546</v>
      </c>
      <c r="J1877" t="inlineStr">
        <is>
          <t>Sold</t>
        </is>
      </c>
      <c r="K1877" s="6">
        <f>HYPERLINK("https://www.kleinanzeigen.de/s-anzeige/duotone-fanatic-sky-free-te-95-liter/2860606259-230-3266", "Link")</f>
        <v/>
      </c>
      <c r="L1877" s="6">
        <f>HYPERLINK("C:\Projects\Kleinanzeigen-Scraper\offer_images\2860606259", "Link")</f>
        <v/>
      </c>
      <c r="M1877" t="inlineStr">
        <is>
          <t>Schmidt</t>
        </is>
      </c>
      <c r="N1877" s="6">
        <f>HYPERLINK("https://www.kleinanzeigen.de/s-bestandsliste.html?userId=29722948", "Link")</f>
        <v/>
      </c>
      <c r="O1877" s="7" t="n">
        <v>45549.57336805556</v>
      </c>
      <c r="P1877" s="3" t="inlineStr">
        <is>
          <t>332.79</t>
        </is>
      </c>
      <c r="Q1877" t="inlineStr">
        <is>
          <t>Köln</t>
        </is>
      </c>
    </row>
    <row r="1878">
      <c r="A1878" t="inlineStr">
        <is>
          <t>256 x 76</t>
        </is>
      </c>
      <c r="B1878" t="inlineStr">
        <is>
          <t>Tabou Guru</t>
        </is>
      </c>
      <c r="C1878" t="inlineStr">
        <is>
          <t>Freeride</t>
        </is>
      </c>
      <c r="D1878" s="3" t="n">
        <v>155</v>
      </c>
      <c r="E1878" t="inlineStr"/>
      <c r="F1878" s="4" t="n">
        <v>349</v>
      </c>
      <c r="G1878" t="inlineStr">
        <is>
          <t>VB</t>
        </is>
      </c>
      <c r="H1878" t="inlineStr">
        <is>
          <t>59077 Nordrhein-Westfalen - Hamm</t>
        </is>
      </c>
      <c r="I1878" s="5" t="n">
        <v>45543</v>
      </c>
      <c r="J1878" t="inlineStr">
        <is>
          <t>Sold</t>
        </is>
      </c>
      <c r="K1878" s="6">
        <f>HYPERLINK("https://www.kleinanzeigen.de/s-anzeige/surfboard-tabou-guru-155-liter-/2857157750-230-2019", "Link")</f>
        <v/>
      </c>
      <c r="L1878" s="6">
        <f>HYPERLINK("C:\Projects\Kleinanzeigen-Scraper\offer_images\2857157750", "Link")</f>
        <v/>
      </c>
      <c r="M1878" t="inlineStr">
        <is>
          <t>Christian</t>
        </is>
      </c>
      <c r="N1878" s="6">
        <f>HYPERLINK("https://www.kleinanzeigen.de/s-bestandsliste.html?userId=47296272", "Link")</f>
        <v/>
      </c>
      <c r="O1878" s="7" t="n">
        <v>45549.57335648148</v>
      </c>
      <c r="P1878" s="3" t="inlineStr">
        <is>
          <t>96.02</t>
        </is>
      </c>
      <c r="Q1878" t="inlineStr">
        <is>
          <t>Köln</t>
        </is>
      </c>
    </row>
    <row r="1879">
      <c r="A1879" t="inlineStr">
        <is>
          <t>248 x 77.5 cm</t>
        </is>
      </c>
      <c r="B1879" t="inlineStr">
        <is>
          <t>Tabou Rocket Carbonflex</t>
        </is>
      </c>
      <c r="C1879" t="inlineStr">
        <is>
          <t>Freeride</t>
        </is>
      </c>
      <c r="D1879" s="3" t="n">
        <v>135</v>
      </c>
      <c r="E1879" t="inlineStr">
        <is>
          <t>3 years ago</t>
        </is>
      </c>
      <c r="F1879" s="4" t="n">
        <v>990</v>
      </c>
      <c r="G1879" t="inlineStr"/>
      <c r="H1879" t="inlineStr">
        <is>
          <t>48291 Nordrhein-Westfalen - Telgte</t>
        </is>
      </c>
      <c r="I1879" s="5" t="n">
        <v>45544</v>
      </c>
      <c r="J1879" t="inlineStr">
        <is>
          <t>Sold</t>
        </is>
      </c>
      <c r="K1879" s="6">
        <f>HYPERLINK("https://www.kleinanzeigen.de/s-anzeige/tabou-rocket-carbonflex-135-ltr-wie-neu-mit-tasche-u-2-finnen/2858239337-230-1305", "Link")</f>
        <v/>
      </c>
      <c r="L1879" s="6">
        <f>HYPERLINK("C:\Projects\Kleinanzeigen-Scraper\offer_images\2858239337", "Link")</f>
        <v/>
      </c>
      <c r="M1879" t="inlineStr">
        <is>
          <t>Köbbing</t>
        </is>
      </c>
      <c r="N1879" s="6">
        <f>HYPERLINK("https://www.kleinanzeigen.de/s-bestandsliste.html?userId=30507370", "Link")</f>
        <v/>
      </c>
      <c r="O1879" s="7" t="n">
        <v>45549.57333333333</v>
      </c>
      <c r="P1879" s="3" t="inlineStr">
        <is>
          <t>129.80</t>
        </is>
      </c>
      <c r="Q1879" t="inlineStr">
        <is>
          <t>Köln</t>
        </is>
      </c>
    </row>
    <row r="1880">
      <c r="A1880" t="inlineStr">
        <is>
          <t>95</t>
        </is>
      </c>
      <c r="B1880" t="inlineStr">
        <is>
          <t>Starboard IQ FOIL</t>
        </is>
      </c>
      <c r="C1880" t="inlineStr">
        <is>
          <t>Foil</t>
        </is>
      </c>
      <c r="D1880" s="3" t="inlineStr"/>
      <c r="E1880" t="inlineStr"/>
      <c r="F1880" s="4" t="n">
        <v>2</v>
      </c>
      <c r="G1880" t="inlineStr"/>
      <c r="H1880" t="inlineStr">
        <is>
          <t>94405 Bayern - Landau a d Isar</t>
        </is>
      </c>
      <c r="I1880" s="5" t="n">
        <v>45538</v>
      </c>
      <c r="J1880" t="inlineStr">
        <is>
          <t>Sold</t>
        </is>
      </c>
      <c r="K1880" s="6">
        <f>HYPERLINK("https://www.kleinanzeigen.de/s-anzeige/olympic-starboard-iq-foil-95/2796381733-230-6034", "Link")</f>
        <v/>
      </c>
      <c r="L1880" s="6">
        <f>HYPERLINK("C:\Projects\Kleinanzeigen-Scraper\offer_images\2796381733", "Link")</f>
        <v/>
      </c>
      <c r="M1880" t="inlineStr">
        <is>
          <t>Schopf Franz</t>
        </is>
      </c>
      <c r="N1880" s="6">
        <f>HYPERLINK("https://www.kleinanzeigen.de/s-bestandsliste.html?userId=57190226", "Link")</f>
        <v/>
      </c>
      <c r="O1880" s="7" t="n">
        <v>45549.57333333333</v>
      </c>
      <c r="P1880" s="3" t="inlineStr">
        <is>
          <t>100.77</t>
        </is>
      </c>
      <c r="Q1880" t="inlineStr">
        <is>
          <t>München</t>
        </is>
      </c>
    </row>
    <row r="1881">
      <c r="A1881" t="inlineStr">
        <is>
          <t>Dimensions not specified</t>
        </is>
      </c>
      <c r="B1881" t="inlineStr">
        <is>
          <t>Naish GT Sport</t>
        </is>
      </c>
      <c r="C1881" t="inlineStr">
        <is>
          <t>Freeride</t>
        </is>
      </c>
      <c r="D1881" s="3" t="n">
        <v>130</v>
      </c>
      <c r="E1881" t="inlineStr"/>
      <c r="F1881" s="4" t="n">
        <v>100</v>
      </c>
      <c r="G1881" t="inlineStr"/>
      <c r="H1881" t="inlineStr">
        <is>
          <t>24105 Schleswig-Holstein - Kiel</t>
        </is>
      </c>
      <c r="I1881" s="5" t="n">
        <v>45539</v>
      </c>
      <c r="J1881" t="inlineStr">
        <is>
          <t>Sold</t>
        </is>
      </c>
      <c r="K1881" s="6">
        <f>HYPERLINK("https://www.kleinanzeigen.de/s-anzeige/naish-gt-sport-130l-windsurfboard/2854420363-230-708", "Link")</f>
        <v/>
      </c>
      <c r="L1881" s="6">
        <f>HYPERLINK("C:\Projects\Kleinanzeigen-Scraper\offer_images\2854420363", "Link")</f>
        <v/>
      </c>
      <c r="M1881" t="inlineStr">
        <is>
          <t>Sebastian</t>
        </is>
      </c>
      <c r="N1881" s="6">
        <f>HYPERLINK("https://www.kleinanzeigen.de/s-bestandsliste.html?userId=47435915", "Link")</f>
        <v/>
      </c>
      <c r="O1881" s="7" t="n">
        <v>45549.57328703703</v>
      </c>
      <c r="P1881" s="3" t="inlineStr">
        <is>
          <t>435.05</t>
        </is>
      </c>
      <c r="Q1881" t="inlineStr">
        <is>
          <t>Köln</t>
        </is>
      </c>
    </row>
    <row r="1882">
      <c r="A1882" t="inlineStr"/>
      <c r="B1882" t="inlineStr">
        <is>
          <t>Fanatic Gecko</t>
        </is>
      </c>
      <c r="C1882" t="inlineStr"/>
      <c r="D1882" s="3" t="n">
        <v>156</v>
      </c>
      <c r="E1882" t="inlineStr"/>
      <c r="F1882" s="4" t="n">
        <v>899</v>
      </c>
      <c r="G1882" t="inlineStr"/>
      <c r="H1882" t="inlineStr">
        <is>
          <t>23758 Schleswig-Holstein - Oldenburg in Holstein</t>
        </is>
      </c>
      <c r="I1882" s="5" t="n">
        <v>45515</v>
      </c>
      <c r="J1882" t="inlineStr">
        <is>
          <t>Sold</t>
        </is>
      </c>
      <c r="K1882" s="6">
        <f>HYPERLINK("https://www.kleinanzeigen.de/s-anzeige/fanatic-gecko-surfboard-156-l/2834272144-230-18773", "Link")</f>
        <v/>
      </c>
      <c r="L1882" s="6">
        <f>HYPERLINK("C:\Projects\Kleinanzeigen-Scraper\offer_images\2834272144", "Link")</f>
        <v/>
      </c>
      <c r="M1882" t="inlineStr">
        <is>
          <t>Sophie Ernst</t>
        </is>
      </c>
      <c r="N1882" s="6">
        <f>HYPERLINK("https://www.kleinanzeigen.de/s-bestandsliste.html?userId=27725265", "Link")</f>
        <v/>
      </c>
      <c r="O1882" s="7" t="n">
        <v>45549.57328703703</v>
      </c>
      <c r="P1882" s="3" t="inlineStr">
        <is>
          <t>459.51</t>
        </is>
      </c>
      <c r="Q1882" t="inlineStr">
        <is>
          <t>Köln</t>
        </is>
      </c>
    </row>
    <row r="1883">
      <c r="A1883" t="inlineStr">
        <is>
          <t>12.6 x 26 x 6</t>
        </is>
      </c>
      <c r="B1883" t="inlineStr">
        <is>
          <t>Starboard Racer</t>
        </is>
      </c>
      <c r="C1883" t="inlineStr"/>
      <c r="D1883" s="3" t="inlineStr"/>
      <c r="E1883" t="inlineStr"/>
      <c r="F1883" s="4" t="n">
        <v>550</v>
      </c>
      <c r="G1883" t="inlineStr">
        <is>
          <t>VB</t>
        </is>
      </c>
      <c r="H1883" t="inlineStr">
        <is>
          <t>97855 Bayern - Triefenstein</t>
        </is>
      </c>
      <c r="I1883" s="5" t="n">
        <v>45521</v>
      </c>
      <c r="J1883" t="inlineStr"/>
      <c r="K1883" s="6">
        <f>HYPERLINK("https://www.kleinanzeigen.de/s-anzeige/isup-starboard-12-6/2831043150-230-8558", "Link")</f>
        <v/>
      </c>
      <c r="L1883" s="6">
        <f>HYPERLINK("C:\Projects\Kleinanzeigen-Scraper\offer_images\2831043150", "Link")</f>
        <v/>
      </c>
      <c r="M1883" t="inlineStr">
        <is>
          <t>Seitz Peter</t>
        </is>
      </c>
      <c r="N1883" s="6">
        <f>HYPERLINK("https://www.kleinanzeigen.de/s-bestandsliste.html?userId=14437541", "Link")</f>
        <v/>
      </c>
      <c r="O1883" s="7" t="n">
        <v>45549.57328703703</v>
      </c>
      <c r="P1883" s="3" t="inlineStr">
        <is>
          <t>123.25</t>
        </is>
      </c>
      <c r="Q1883" t="inlineStr">
        <is>
          <t>Karlsruhe</t>
        </is>
      </c>
    </row>
    <row r="1884">
      <c r="A1884" t="inlineStr">
        <is>
          <t>2.42 m x 0.52 m</t>
        </is>
      </c>
      <c r="B1884" t="inlineStr">
        <is>
          <t>Tabou</t>
        </is>
      </c>
      <c r="C1884" t="inlineStr">
        <is>
          <t>Wave</t>
        </is>
      </c>
      <c r="D1884" s="3" t="n">
        <v>68</v>
      </c>
      <c r="E1884" t="inlineStr"/>
      <c r="F1884" s="4" t="n">
        <v>300</v>
      </c>
      <c r="G1884" t="inlineStr">
        <is>
          <t>VB</t>
        </is>
      </c>
      <c r="H1884" t="inlineStr">
        <is>
          <t>49401 Niedersachsen - Damme</t>
        </is>
      </c>
      <c r="I1884" s="5" t="n">
        <v>45479</v>
      </c>
      <c r="J1884" t="inlineStr"/>
      <c r="K1884" s="6">
        <f>HYPERLINK("https://www.kleinanzeigen.de/s-anzeige/tabou-windsurf-surf-board-68-liter/2805567931-230-2617", "Link")</f>
        <v/>
      </c>
      <c r="L1884" s="6">
        <f>HYPERLINK("C:\Projects\Kleinanzeigen-Scraper\offer_images\2805567931", "Link")</f>
        <v/>
      </c>
      <c r="M1884" t="inlineStr">
        <is>
          <t>Rhiati</t>
        </is>
      </c>
      <c r="N1884" s="6">
        <f>HYPERLINK("https://www.kleinanzeigen.de/s-bestandsliste.html?userId=22541825", "Link")</f>
        <v/>
      </c>
      <c r="O1884" s="7" t="n">
        <v>45549.57327546296</v>
      </c>
      <c r="P1884" s="3" t="inlineStr">
        <is>
          <t>196.82</t>
        </is>
      </c>
      <c r="Q1884" t="inlineStr">
        <is>
          <t>Köln</t>
        </is>
      </c>
    </row>
    <row r="1885">
      <c r="A1885" t="inlineStr">
        <is>
          <t>242 cm x 74.5 cm</t>
        </is>
      </c>
      <c r="B1885" t="inlineStr">
        <is>
          <t>Tabou Rocket MTE</t>
        </is>
      </c>
      <c r="C1885" t="inlineStr">
        <is>
          <t>Freeride</t>
        </is>
      </c>
      <c r="D1885" s="3" t="n">
        <v>125</v>
      </c>
      <c r="E1885" t="inlineStr">
        <is>
          <t>2024</t>
        </is>
      </c>
      <c r="F1885" s="4" t="n">
        <v>1.099</v>
      </c>
      <c r="G1885" t="inlineStr">
        <is>
          <t>VB</t>
        </is>
      </c>
      <c r="H1885" t="inlineStr">
        <is>
          <t>23769 Fehmarn - Westfehmarn</t>
        </is>
      </c>
      <c r="I1885" s="5" t="n">
        <v>45541</v>
      </c>
      <c r="J1885" t="inlineStr"/>
      <c r="K1885" s="6">
        <f>HYPERLINK("https://www.kleinanzeigen.de/s-anzeige/tabou-rocket-mte-verschiedene-groessen/2831400536-230-430", "Link")</f>
        <v/>
      </c>
      <c r="L1885" s="6">
        <f>HYPERLINK("C:\Projects\Kleinanzeigen-Scraper\offer_images\2831400536", "Link")</f>
        <v/>
      </c>
      <c r="M1885" t="inlineStr">
        <is>
          <t>No user name</t>
        </is>
      </c>
      <c r="N1885" s="6">
        <f>HYPERLINK("https://www.kleinanzeigen.deNo user link", "Link")</f>
        <v/>
      </c>
      <c r="O1885" s="7" t="n">
        <v>45549.57326388889</v>
      </c>
      <c r="P1885" s="3" t="inlineStr">
        <is>
          <t>483.01</t>
        </is>
      </c>
      <c r="Q1885" t="inlineStr">
        <is>
          <t>Köln</t>
        </is>
      </c>
    </row>
    <row r="1886">
      <c r="A1886" t="inlineStr">
        <is>
          <t>12.6x30x6</t>
        </is>
      </c>
      <c r="B1886" t="inlineStr">
        <is>
          <t>JP Australia</t>
        </is>
      </c>
      <c r="C1886" t="inlineStr">
        <is>
          <t>Touring</t>
        </is>
      </c>
      <c r="D1886" s="3" t="n">
        <v>336</v>
      </c>
      <c r="E1886" t="inlineStr"/>
      <c r="F1886" s="4" t="n">
        <v>400</v>
      </c>
      <c r="G1886" t="inlineStr">
        <is>
          <t>VB</t>
        </is>
      </c>
      <c r="H1886" t="inlineStr">
        <is>
          <t>24852 Schleswig-Holstein - Eggebek</t>
        </is>
      </c>
      <c r="I1886" s="5" t="n">
        <v>45525</v>
      </c>
      <c r="J1886" t="inlineStr"/>
      <c r="K1886" s="6">
        <f>HYPERLINK("https://www.kleinanzeigen.de/s-anzeige/stand-up-board-sup-jp-australia-12-6-isup/2842662815-230-19833", "Link")</f>
        <v/>
      </c>
      <c r="L1886" s="6">
        <f>HYPERLINK("C:\Projects\Kleinanzeigen-Scraper\offer_images\2842662815", "Link")</f>
        <v/>
      </c>
      <c r="M1886" t="inlineStr">
        <is>
          <t>Petersen André</t>
        </is>
      </c>
      <c r="N1886" s="6">
        <f>HYPERLINK("https://www.kleinanzeigen.de/s-bestandsliste.html?userId=39629698", "Link")</f>
        <v/>
      </c>
      <c r="O1886" s="7" t="n">
        <v>45549.57325231482</v>
      </c>
      <c r="P1886" s="3" t="inlineStr">
        <is>
          <t>440.44</t>
        </is>
      </c>
      <c r="Q1886" t="inlineStr">
        <is>
          <t>Köln</t>
        </is>
      </c>
    </row>
    <row r="1887">
      <c r="A1887" t="inlineStr">
        <is>
          <t>380 cm x 67 cm</t>
        </is>
      </c>
      <c r="B1887" t="inlineStr">
        <is>
          <t>Fanatic X Class</t>
        </is>
      </c>
      <c r="C1887" t="inlineStr"/>
      <c r="D1887" s="3" t="n">
        <v>250</v>
      </c>
      <c r="E1887" t="inlineStr"/>
      <c r="F1887" s="4" t="n">
        <v>50</v>
      </c>
      <c r="G1887" t="inlineStr">
        <is>
          <t>VB</t>
        </is>
      </c>
      <c r="H1887" t="inlineStr">
        <is>
          <t>33758 Nordrhein-Westfalen - Schloß Holte-Stukenbrock</t>
        </is>
      </c>
      <c r="I1887" s="5" t="n">
        <v>45508</v>
      </c>
      <c r="J1887" t="inlineStr">
        <is>
          <t>Sold</t>
        </is>
      </c>
      <c r="K1887" s="6">
        <f>HYPERLINK("https://www.kleinanzeigen.de/s-anzeige/fanatic-x-class-board/2828582910-230-1646", "Link")</f>
        <v/>
      </c>
      <c r="L1887" s="6">
        <f>HYPERLINK("C:\Projects\Kleinanzeigen-Scraper\offer_images\2828582910", "Link")</f>
        <v/>
      </c>
      <c r="M1887" t="inlineStr">
        <is>
          <t>Lisa</t>
        </is>
      </c>
      <c r="N1887" s="6">
        <f>HYPERLINK("https://www.kleinanzeigen.de/s-bestandsliste.html?userId=139129732", "Link")</f>
        <v/>
      </c>
      <c r="O1887" s="7" t="n">
        <v>45549.57324074074</v>
      </c>
      <c r="P1887" s="3" t="inlineStr">
        <is>
          <t>158.29</t>
        </is>
      </c>
      <c r="Q1887" t="inlineStr">
        <is>
          <t>Köln</t>
        </is>
      </c>
    </row>
    <row r="1888">
      <c r="A1888" t="inlineStr">
        <is>
          <t>132 x 39</t>
        </is>
      </c>
      <c r="B1888" t="inlineStr">
        <is>
          <t>North Astra</t>
        </is>
      </c>
      <c r="C1888" t="inlineStr">
        <is>
          <t>Freeride</t>
        </is>
      </c>
      <c r="D1888" s="3" t="inlineStr"/>
      <c r="E1888" t="inlineStr">
        <is>
          <t>2024</t>
        </is>
      </c>
      <c r="F1888" s="4" t="n">
        <v>399</v>
      </c>
      <c r="G1888" t="inlineStr">
        <is>
          <t>VB</t>
        </is>
      </c>
      <c r="H1888" t="inlineStr">
        <is>
          <t>26465 Niedersachsen - Langeoog</t>
        </is>
      </c>
      <c r="I1888" s="5" t="n">
        <v>45538</v>
      </c>
      <c r="J1888" t="inlineStr">
        <is>
          <t>Sold</t>
        </is>
      </c>
      <c r="K1888" s="6">
        <f>HYPERLINK("https://www.kleinanzeigen.de/s-anzeige/north-astra-2024-132-39-rubine-red/2853271094-230-2480", "Link")</f>
        <v/>
      </c>
      <c r="L1888" s="6">
        <f>HYPERLINK("C:\Projects\Kleinanzeigen-Scraper\offer_images\2853271094", "Link")</f>
        <v/>
      </c>
      <c r="M1888" t="inlineStr">
        <is>
          <t>Tidens Surfhuus</t>
        </is>
      </c>
      <c r="N1888" s="6">
        <f>HYPERLINK("https://www.kleinanzeigen.de/s-bestandsliste.html?userId=122521264", "Link")</f>
        <v/>
      </c>
      <c r="O1888" s="7" t="n">
        <v>45549.57324074074</v>
      </c>
      <c r="P1888" s="3" t="inlineStr">
        <is>
          <t>314.45</t>
        </is>
      </c>
      <c r="Q1888" t="inlineStr">
        <is>
          <t>Köln</t>
        </is>
      </c>
    </row>
    <row r="1889">
      <c r="A1889" t="inlineStr"/>
      <c r="B1889" t="inlineStr">
        <is>
          <t>RRD Twintip</t>
        </is>
      </c>
      <c r="C1889" t="inlineStr">
        <is>
          <t>Freestyle/Freeride</t>
        </is>
      </c>
      <c r="D1889" s="3" t="inlineStr"/>
      <c r="E1889" t="inlineStr"/>
      <c r="F1889" s="4" t="n">
        <v>165</v>
      </c>
      <c r="G1889" t="inlineStr"/>
      <c r="H1889" t="inlineStr">
        <is>
          <t>81476 München - Thalk.Obersendl.-Forsten-Fürstenr.-Solln</t>
        </is>
      </c>
      <c r="I1889" s="5" t="n">
        <v>45526</v>
      </c>
      <c r="J1889" t="inlineStr"/>
      <c r="K1889" s="6">
        <f>HYPERLINK("https://www.kleinanzeigen.de/s-anzeige/rrd-twintip-100/2843786121-230-6436", "Link")</f>
        <v/>
      </c>
      <c r="L1889" s="6">
        <f>HYPERLINK("C:\Projects\Kleinanzeigen-Scraper\offer_images\2843786121", "Link")</f>
        <v/>
      </c>
      <c r="M1889" t="inlineStr">
        <is>
          <t>Frank Wittmann</t>
        </is>
      </c>
      <c r="N1889" s="6">
        <f>HYPERLINK("https://www.kleinanzeigen.de/s-bestandsliste.html?userId=47328016", "Link")</f>
        <v/>
      </c>
      <c r="O1889" s="7" t="n">
        <v>45549.5732175926</v>
      </c>
      <c r="P1889" s="3" t="inlineStr">
        <is>
          <t>8.19</t>
        </is>
      </c>
      <c r="Q1889" t="inlineStr">
        <is>
          <t>München</t>
        </is>
      </c>
    </row>
    <row r="1890">
      <c r="A1890" t="inlineStr"/>
      <c r="B1890" t="inlineStr">
        <is>
          <t>Naish</t>
        </is>
      </c>
      <c r="C1890" t="inlineStr">
        <is>
          <t>Wave</t>
        </is>
      </c>
      <c r="D1890" s="3" t="n">
        <v>64</v>
      </c>
      <c r="E1890" t="inlineStr"/>
      <c r="F1890" s="4" t="n">
        <v>100</v>
      </c>
      <c r="G1890" t="inlineStr">
        <is>
          <t>VB</t>
        </is>
      </c>
      <c r="H1890" t="inlineStr">
        <is>
          <t>24159 Kiel - Pries-Friedrichsort</t>
        </is>
      </c>
      <c r="I1890" s="5" t="n">
        <v>45492</v>
      </c>
      <c r="J1890" t="inlineStr">
        <is>
          <t>Sold</t>
        </is>
      </c>
      <c r="K1890" s="6">
        <f>HYPERLINK("https://www.kleinanzeigen.de/s-anzeige/naish-waveboard-surfboard-thruster-64-liter-auch-fuer-kinder/2815810519-230-695", "Link")</f>
        <v/>
      </c>
      <c r="L1890" s="6">
        <f>HYPERLINK("C:\Projects\Kleinanzeigen-Scraper\offer_images\2815810519", "Link")</f>
        <v/>
      </c>
      <c r="M1890" t="inlineStr">
        <is>
          <t>Frederik Steinbock</t>
        </is>
      </c>
      <c r="N1890" s="6">
        <f>HYPERLINK("https://www.kleinanzeigen.de/s-bestandsliste.html?userId=23119498", "Link")</f>
        <v/>
      </c>
      <c r="O1890" s="7" t="n">
        <v>45549.5732175926</v>
      </c>
      <c r="P1890" s="3" t="inlineStr">
        <is>
          <t>440.84</t>
        </is>
      </c>
      <c r="Q1890" t="inlineStr">
        <is>
          <t>Köln</t>
        </is>
      </c>
    </row>
    <row r="1891">
      <c r="A1891" t="inlineStr">
        <is>
          <t>14' x 24.5"</t>
        </is>
      </c>
      <c r="B1891" t="inlineStr">
        <is>
          <t>Starboard Allstar Airline De Lux</t>
        </is>
      </c>
      <c r="C1891" t="inlineStr">
        <is>
          <t>Race-Touring</t>
        </is>
      </c>
      <c r="D1891" s="3" t="inlineStr"/>
      <c r="E1891" t="inlineStr"/>
      <c r="F1891" s="4" t="n">
        <v>999</v>
      </c>
      <c r="G1891" t="inlineStr">
        <is>
          <t>VB</t>
        </is>
      </c>
      <c r="H1891" t="inlineStr">
        <is>
          <t>81667 München - Au-Haidhausen</t>
        </is>
      </c>
      <c r="I1891" s="5" t="n">
        <v>45530</v>
      </c>
      <c r="J1891" t="inlineStr"/>
      <c r="K1891" s="6">
        <f>HYPERLINK("https://www.kleinanzeigen.de/s-anzeige/sup-starboard-14-x-24-5-allstar-airline-de-lux-sc-24/2846591205-230-6454", "Link")</f>
        <v/>
      </c>
      <c r="L1891" s="6">
        <f>HYPERLINK("C:\Projects\Kleinanzeigen-Scraper\offer_images\2846591205", "Link")</f>
        <v/>
      </c>
      <c r="M1891" t="inlineStr">
        <is>
          <t>Guido Meier</t>
        </is>
      </c>
      <c r="N1891" s="6">
        <f>HYPERLINK("https://www.kleinanzeigen.de/s-bestandsliste.html?userId=11953205", "Link")</f>
        <v/>
      </c>
      <c r="O1891" s="7" t="n">
        <v>45549.57320601852</v>
      </c>
      <c r="P1891" s="3" t="inlineStr">
        <is>
          <t>2.06</t>
        </is>
      </c>
      <c r="Q1891" t="inlineStr">
        <is>
          <t>München</t>
        </is>
      </c>
    </row>
    <row r="1892">
      <c r="A1892" t="inlineStr">
        <is>
          <t>239cm x 61cm</t>
        </is>
      </c>
      <c r="B1892" t="inlineStr">
        <is>
          <t>Tabou 3S</t>
        </is>
      </c>
      <c r="C1892" t="inlineStr">
        <is>
          <t>Freestyle Wave</t>
        </is>
      </c>
      <c r="D1892" s="3" t="n">
        <v>96</v>
      </c>
      <c r="E1892" t="inlineStr"/>
      <c r="F1892" s="4" t="n">
        <v>250</v>
      </c>
      <c r="G1892" t="inlineStr"/>
      <c r="H1892" t="inlineStr">
        <is>
          <t>85254 Bayern - Sulzemoos</t>
        </is>
      </c>
      <c r="I1892" s="5" t="n">
        <v>45516</v>
      </c>
      <c r="J1892" t="inlineStr"/>
      <c r="K1892" s="6">
        <f>HYPERLINK("https://www.kleinanzeigen.de/s-anzeige/windsurfbrett-tabou-3s-96l/2835285736-230-5588", "Link")</f>
        <v/>
      </c>
      <c r="L1892" s="6">
        <f>HYPERLINK("C:\Projects\Kleinanzeigen-Scraper\offer_images\2835285736", "Link")</f>
        <v/>
      </c>
      <c r="M1892" t="inlineStr">
        <is>
          <t>Andi</t>
        </is>
      </c>
      <c r="N1892" s="6">
        <f>HYPERLINK("https://www.kleinanzeigen.de/s-bestandsliste.html?userId=27401205", "Link")</f>
        <v/>
      </c>
      <c r="O1892" s="7" t="n">
        <v>45549.57318287037</v>
      </c>
      <c r="P1892" s="3" t="inlineStr">
        <is>
          <t>28.55</t>
        </is>
      </c>
      <c r="Q1892" t="inlineStr">
        <is>
          <t>München</t>
        </is>
      </c>
    </row>
    <row r="1893">
      <c r="A1893" t="inlineStr">
        <is>
          <t>255 x 70 cm</t>
        </is>
      </c>
      <c r="B1893" t="inlineStr">
        <is>
          <t>RRD Evolution 360 S</t>
        </is>
      </c>
      <c r="C1893" t="inlineStr">
        <is>
          <t>Freeride</t>
        </is>
      </c>
      <c r="D1893" s="3" t="n">
        <v>133</v>
      </c>
      <c r="E1893" t="inlineStr"/>
      <c r="F1893" s="4" t="n">
        <v>320</v>
      </c>
      <c r="G1893" t="inlineStr">
        <is>
          <t>VB</t>
        </is>
      </c>
      <c r="H1893" t="inlineStr">
        <is>
          <t>24340 Schleswig-Holstein - Eckernförde</t>
        </is>
      </c>
      <c r="I1893" s="5" t="n">
        <v>45543</v>
      </c>
      <c r="J1893" t="inlineStr"/>
      <c r="K1893" s="6">
        <f>HYPERLINK("https://www.kleinanzeigen.de/s-anzeige/windsurfboard-rrd-evolution-360-s/2857875439-230-13234", "Link")</f>
        <v/>
      </c>
      <c r="L1893" s="6">
        <f>HYPERLINK("C:\Projects\Kleinanzeigen-Scraper\offer_images\2857875439", "Link")</f>
        <v/>
      </c>
      <c r="M1893" t="inlineStr">
        <is>
          <t>Stefan Kock</t>
        </is>
      </c>
      <c r="N1893" s="6">
        <f>HYPERLINK("https://www.kleinanzeigen.de/s-bestandsliste.html?userId=6910050", "Link")</f>
        <v/>
      </c>
      <c r="O1893" s="7" t="n">
        <v>45549.57318287037</v>
      </c>
      <c r="P1893" s="3" t="inlineStr">
        <is>
          <t>434.69</t>
        </is>
      </c>
      <c r="Q1893" t="inlineStr">
        <is>
          <t>Köln</t>
        </is>
      </c>
    </row>
    <row r="1894">
      <c r="A1894" t="inlineStr">
        <is>
          <t>Dimensions not specified</t>
        </is>
      </c>
      <c r="B1894" t="inlineStr">
        <is>
          <t>JP Australia X-cite ride</t>
        </is>
      </c>
      <c r="C1894" t="inlineStr">
        <is>
          <t>Freeride</t>
        </is>
      </c>
      <c r="D1894" s="3" t="n">
        <v>145</v>
      </c>
      <c r="E1894" t="inlineStr"/>
      <c r="F1894" s="4" t="n">
        <v>195</v>
      </c>
      <c r="G1894" t="inlineStr"/>
      <c r="H1894" t="inlineStr">
        <is>
          <t>38685 Niedersachsen - Langelsheim</t>
        </is>
      </c>
      <c r="I1894" s="5" t="n">
        <v>45529</v>
      </c>
      <c r="J1894" t="inlineStr">
        <is>
          <t>Sold</t>
        </is>
      </c>
      <c r="K1894" s="6">
        <f>HYPERLINK("https://www.kleinanzeigen.de/s-anzeige/surfboard-freeride-jp-australia-x-cite-ride/2845484465-230-2696", "Link")</f>
        <v/>
      </c>
      <c r="L1894" s="6">
        <f>HYPERLINK("C:\Projects\Kleinanzeigen-Scraper\offer_images\2845484465", "Link")</f>
        <v/>
      </c>
      <c r="M1894" t="inlineStr">
        <is>
          <t>Felix</t>
        </is>
      </c>
      <c r="N1894" s="6">
        <f>HYPERLINK("https://www.kleinanzeigen.de/s-bestandsliste.html?userId=22542994", "Link")</f>
        <v/>
      </c>
      <c r="O1894" s="7" t="n">
        <v>45549.57318287037</v>
      </c>
      <c r="P1894" s="3" t="inlineStr">
        <is>
          <t>256.26</t>
        </is>
      </c>
      <c r="Q1894" t="inlineStr">
        <is>
          <t>Köln</t>
        </is>
      </c>
    </row>
    <row r="1895">
      <c r="A1895" t="inlineStr">
        <is>
          <t>258cm x 76cm</t>
        </is>
      </c>
      <c r="B1895" t="inlineStr">
        <is>
          <t>Tabou Bullitt</t>
        </is>
      </c>
      <c r="C1895" t="inlineStr">
        <is>
          <t>Freeride</t>
        </is>
      </c>
      <c r="D1895" s="3" t="n">
        <v>145</v>
      </c>
      <c r="E1895" t="inlineStr">
        <is>
          <t>2023</t>
        </is>
      </c>
      <c r="F1895" s="4" t="n">
        <v>850</v>
      </c>
      <c r="G1895" t="inlineStr">
        <is>
          <t>VB</t>
        </is>
      </c>
      <c r="H1895" t="inlineStr">
        <is>
          <t>28870 Niedersachsen - Ottersberg</t>
        </is>
      </c>
      <c r="I1895" s="5" t="n">
        <v>45503</v>
      </c>
      <c r="J1895" t="inlineStr">
        <is>
          <t>Sold</t>
        </is>
      </c>
      <c r="K1895" s="6">
        <f>HYPERLINK("https://www.kleinanzeigen.de/s-anzeige/tabou-bullitt-2023-145l-windsurf-board/2824779804-230-2741", "Link")</f>
        <v/>
      </c>
      <c r="L1895" s="6">
        <f>HYPERLINK("C:\Projects\Kleinanzeigen-Scraper\offer_images\2824779804", "Link")</f>
        <v/>
      </c>
      <c r="M1895" t="inlineStr">
        <is>
          <t>Tobias</t>
        </is>
      </c>
      <c r="N1895" s="6">
        <f>HYPERLINK("https://www.kleinanzeigen.de/s-bestandsliste.html?userId=7807524", "Link")</f>
        <v/>
      </c>
      <c r="O1895" s="7" t="n">
        <v>45549.57318287037</v>
      </c>
      <c r="P1895" s="3" t="inlineStr">
        <is>
          <t>283.88</t>
        </is>
      </c>
      <c r="Q1895" t="inlineStr">
        <is>
          <t>Köln</t>
        </is>
      </c>
    </row>
    <row r="1896">
      <c r="A1896" t="inlineStr">
        <is>
          <t>5'3</t>
        </is>
      </c>
      <c r="B1896" t="inlineStr">
        <is>
          <t>Duotone Wam SLS</t>
        </is>
      </c>
      <c r="C1896" t="inlineStr">
        <is>
          <t>Wave</t>
        </is>
      </c>
      <c r="D1896" s="3" t="inlineStr"/>
      <c r="E1896" t="inlineStr"/>
      <c r="F1896" s="4" t="n">
        <v>620</v>
      </c>
      <c r="G1896" t="inlineStr"/>
      <c r="H1896" t="inlineStr">
        <is>
          <t>84518 Kr. Altötting - Garching an der Alz</t>
        </is>
      </c>
      <c r="I1896" s="5" t="n">
        <v>45541</v>
      </c>
      <c r="J1896" t="inlineStr">
        <is>
          <t>Sold</t>
        </is>
      </c>
      <c r="K1896" s="6">
        <f>HYPERLINK("https://www.kleinanzeigen.de/s-anzeige/duotone-kite-waveboard-wam-sls-gr-5-3-neu/2856061508-230-6627", "Link")</f>
        <v/>
      </c>
      <c r="L1896" s="6">
        <f>HYPERLINK("C:\Projects\Kleinanzeigen-Scraper\offer_images\2856061508", "Link")</f>
        <v/>
      </c>
      <c r="M1896" t="inlineStr">
        <is>
          <t>Gerry</t>
        </is>
      </c>
      <c r="N1896" s="6">
        <f>HYPERLINK("https://www.kleinanzeigen.de/s-bestandsliste.html?userId=14792213", "Link")</f>
        <v/>
      </c>
      <c r="O1896" s="7" t="n">
        <v>45549.57315972223</v>
      </c>
      <c r="P1896" s="3" t="inlineStr">
        <is>
          <t>74.26</t>
        </is>
      </c>
      <c r="Q1896" t="inlineStr">
        <is>
          <t>München</t>
        </is>
      </c>
    </row>
    <row r="1897">
      <c r="A1897" t="inlineStr">
        <is>
          <t>233 x 75</t>
        </is>
      </c>
      <c r="B1897" t="inlineStr">
        <is>
          <t>Tabou Manta FR</t>
        </is>
      </c>
      <c r="C1897" t="inlineStr">
        <is>
          <t>Freeride</t>
        </is>
      </c>
      <c r="D1897" s="3" t="n">
        <v>115</v>
      </c>
      <c r="E1897" t="inlineStr"/>
      <c r="F1897" s="4" t="n">
        <v>450</v>
      </c>
      <c r="G1897" t="inlineStr">
        <is>
          <t>VB</t>
        </is>
      </c>
      <c r="H1897" t="inlineStr">
        <is>
          <t>24223 Schleswig-Holstein - Raisdorf</t>
        </is>
      </c>
      <c r="I1897" s="5" t="n">
        <v>45541</v>
      </c>
      <c r="J1897" t="inlineStr">
        <is>
          <t>Sold</t>
        </is>
      </c>
      <c r="K1897" s="6">
        <f>HYPERLINK("https://www.kleinanzeigen.de/s-anzeige/windsurfboard-tabou-manta-fr-75/2855498106-230-474", "Link")</f>
        <v/>
      </c>
      <c r="L1897" s="6">
        <f>HYPERLINK("C:\Projects\Kleinanzeigen-Scraper\offer_images\2855498106", "Link")</f>
        <v/>
      </c>
      <c r="M1897" t="inlineStr">
        <is>
          <t>hudler</t>
        </is>
      </c>
      <c r="N1897" s="6">
        <f>HYPERLINK("https://www.kleinanzeigen.de/s-bestandsliste.html?userId=9942763", "Link")</f>
        <v/>
      </c>
      <c r="O1897" s="7" t="n">
        <v>45549.57315972223</v>
      </c>
      <c r="P1897" s="3" t="inlineStr">
        <is>
          <t>432.98</t>
        </is>
      </c>
      <c r="Q1897" t="inlineStr">
        <is>
          <t>Köln</t>
        </is>
      </c>
    </row>
    <row r="1898">
      <c r="A1898" t="inlineStr">
        <is>
          <t>322</t>
        </is>
      </c>
      <c r="B1898" t="inlineStr">
        <is>
          <t>Fanatic Fun Gun</t>
        </is>
      </c>
      <c r="C1898" t="inlineStr"/>
      <c r="D1898" s="3" t="inlineStr"/>
      <c r="E1898" t="inlineStr"/>
      <c r="F1898" s="4" t="inlineStr"/>
      <c r="G1898" t="inlineStr">
        <is>
          <t>VB</t>
        </is>
      </c>
      <c r="H1898" t="inlineStr">
        <is>
          <t>24321 Schleswig-Holstein - Hohwacht (Ostsee)</t>
        </is>
      </c>
      <c r="I1898" s="5" t="n">
        <v>45536</v>
      </c>
      <c r="J1898" t="inlineStr">
        <is>
          <t>Sold</t>
        </is>
      </c>
      <c r="K1898" s="6">
        <f>HYPERLINK("https://www.kleinanzeigen.de/s-anzeige/fanatic-fun-gun-bat-322-surfbrett/2851235756-230-29758", "Link")</f>
        <v/>
      </c>
      <c r="L1898" s="6">
        <f>HYPERLINK("C:\Projects\Kleinanzeigen-Scraper\offer_images\2851235756", "Link")</f>
        <v/>
      </c>
      <c r="M1898" t="inlineStr">
        <is>
          <t>Christian</t>
        </is>
      </c>
      <c r="N1898" s="6">
        <f>HYPERLINK("https://www.kleinanzeigen.de/s-bestandsliste.html?userId=90303819", "Link")</f>
        <v/>
      </c>
      <c r="O1898" s="7" t="n">
        <v>45549.57315972223</v>
      </c>
      <c r="P1898" s="3" t="inlineStr">
        <is>
          <t>446.03</t>
        </is>
      </c>
      <c r="Q1898" t="inlineStr">
        <is>
          <t>Köln</t>
        </is>
      </c>
    </row>
    <row r="1899">
      <c r="A1899" t="inlineStr">
        <is>
          <t>5'4''</t>
        </is>
      </c>
      <c r="B1899" t="inlineStr">
        <is>
          <t>RRD Lucky Fish Ian Armstrong</t>
        </is>
      </c>
      <c r="C1899" t="inlineStr">
        <is>
          <t>Wave</t>
        </is>
      </c>
      <c r="D1899" s="3" t="n">
        <v>30</v>
      </c>
      <c r="E1899" t="inlineStr"/>
      <c r="F1899" s="4" t="n">
        <v>575</v>
      </c>
      <c r="G1899" t="inlineStr">
        <is>
          <t>VB</t>
        </is>
      </c>
      <c r="H1899" t="inlineStr">
        <is>
          <t>93128 Bayern - Regenstauf</t>
        </is>
      </c>
      <c r="I1899" s="5" t="n">
        <v>45539</v>
      </c>
      <c r="J1899" t="inlineStr"/>
      <c r="K1899" s="6">
        <f>HYPERLINK("https://www.kleinanzeigen.de/s-anzeige/rrd-lucky-fish-ian-armstrong-5-4-wellenreiter/2854043075-230-5781", "Link")</f>
        <v/>
      </c>
      <c r="L1899" s="6">
        <f>HYPERLINK("C:\Projects\Kleinanzeigen-Scraper\offer_images\2854043075", "Link")</f>
        <v/>
      </c>
      <c r="M1899" t="inlineStr">
        <is>
          <t>Dan</t>
        </is>
      </c>
      <c r="N1899" s="6">
        <f>HYPERLINK("https://www.kleinanzeigen.de/s-bestandsliste.html?userId=21958890", "Link")</f>
        <v/>
      </c>
      <c r="O1899" s="7" t="n">
        <v>45549.57313657407</v>
      </c>
      <c r="P1899" s="3" t="inlineStr">
        <is>
          <t>120.91</t>
        </is>
      </c>
      <c r="Q1899" t="inlineStr">
        <is>
          <t>München</t>
        </is>
      </c>
    </row>
    <row r="1900">
      <c r="A1900" t="inlineStr">
        <is>
          <t>6.3</t>
        </is>
      </c>
      <c r="B1900" t="inlineStr">
        <is>
          <t>Fanatic Sky Sup</t>
        </is>
      </c>
      <c r="C1900" t="inlineStr">
        <is>
          <t>Wingfoil</t>
        </is>
      </c>
      <c r="D1900" s="3" t="n">
        <v>106</v>
      </c>
      <c r="E1900" t="inlineStr"/>
      <c r="F1900" s="4" t="n">
        <v>370</v>
      </c>
      <c r="G1900" t="inlineStr">
        <is>
          <t>VB</t>
        </is>
      </c>
      <c r="H1900" t="inlineStr">
        <is>
          <t>87700 Bayern - Memmingen</t>
        </is>
      </c>
      <c r="I1900" s="5" t="n">
        <v>45510</v>
      </c>
      <c r="J1900" t="inlineStr">
        <is>
          <t>Sold</t>
        </is>
      </c>
      <c r="K1900" s="6">
        <f>HYPERLINK("https://www.kleinanzeigen.de/s-anzeige/fanatic-sky-sup-6-3-wingfoil-board/2830860410-230-7315", "Link")</f>
        <v/>
      </c>
      <c r="L1900" s="6">
        <f>HYPERLINK("C:\Projects\Kleinanzeigen-Scraper\offer_images\2830860410", "Link")</f>
        <v/>
      </c>
      <c r="M1900" t="inlineStr">
        <is>
          <t>Roman</t>
        </is>
      </c>
      <c r="N1900" s="6">
        <f>HYPERLINK("https://www.kleinanzeigen.de/s-bestandsliste.html?userId=14132870", "Link")</f>
        <v/>
      </c>
      <c r="O1900" s="7" t="n">
        <v>45549.57313657407</v>
      </c>
      <c r="P1900" s="3" t="inlineStr">
        <is>
          <t>105.28</t>
        </is>
      </c>
      <c r="Q1900" t="inlineStr">
        <is>
          <t>München</t>
        </is>
      </c>
    </row>
    <row r="1901">
      <c r="A1901" t="inlineStr">
        <is>
          <t>10'0 x 28.5</t>
        </is>
      </c>
      <c r="B1901" t="inlineStr">
        <is>
          <t>Fanatic Stylemaster</t>
        </is>
      </c>
      <c r="C1901" t="inlineStr">
        <is>
          <t>SUP-Longboard</t>
        </is>
      </c>
      <c r="D1901" s="3" t="n">
        <v>130</v>
      </c>
      <c r="E1901" t="inlineStr"/>
      <c r="F1901" s="4" t="n">
        <v>875</v>
      </c>
      <c r="G1901" t="inlineStr">
        <is>
          <t>VB</t>
        </is>
      </c>
      <c r="H1901" t="inlineStr">
        <is>
          <t>22397 Wandsbek - Hamburg Lemsahl-Mellingstedt</t>
        </is>
      </c>
      <c r="I1901" s="5" t="n">
        <v>45535</v>
      </c>
      <c r="J1901" t="inlineStr">
        <is>
          <t>Sold</t>
        </is>
      </c>
      <c r="K1901" s="6">
        <f>HYPERLINK("https://www.kleinanzeigen.de/s-anzeige/fanatic-stylemaster-sup-longboard-mit-boardbag-10-0-x-28-5/2850344921-230-21154", "Link")</f>
        <v/>
      </c>
      <c r="L1901" s="6">
        <f>HYPERLINK("C:\Projects\Kleinanzeigen-Scraper\offer_images\2850344921", "Link")</f>
        <v/>
      </c>
      <c r="M1901" t="inlineStr">
        <is>
          <t>A. Knölke</t>
        </is>
      </c>
      <c r="N1901" s="6">
        <f>HYPERLINK("https://www.kleinanzeigen.de/s-bestandsliste.html?userId=4691181", "Link")</f>
        <v/>
      </c>
      <c r="O1901" s="7" t="n">
        <v>45549.57313657407</v>
      </c>
      <c r="P1901" s="3" t="inlineStr">
        <is>
          <t>373.25</t>
        </is>
      </c>
      <c r="Q1901" t="inlineStr">
        <is>
          <t>Köln</t>
        </is>
      </c>
    </row>
    <row r="1902">
      <c r="A1902" t="inlineStr"/>
      <c r="B1902" t="inlineStr">
        <is>
          <t>Fanatic Sting Ray</t>
        </is>
      </c>
      <c r="C1902" t="inlineStr">
        <is>
          <t>Freeride</t>
        </is>
      </c>
      <c r="D1902" s="3" t="n">
        <v>145</v>
      </c>
      <c r="E1902" t="inlineStr"/>
      <c r="F1902" s="4" t="n">
        <v>250</v>
      </c>
      <c r="G1902" t="inlineStr"/>
      <c r="H1902" t="inlineStr">
        <is>
          <t>59821 Nordrhein-Westfalen - Arnsberg</t>
        </is>
      </c>
      <c r="I1902" s="5" t="n">
        <v>45534</v>
      </c>
      <c r="J1902" t="inlineStr">
        <is>
          <t>Sold</t>
        </is>
      </c>
      <c r="K1902" s="6">
        <f>HYPERLINK("https://www.kleinanzeigen.de/s-anzeige/fanatic-sting-ray-surfboard-145l/2849948220-230-1811", "Link")</f>
        <v/>
      </c>
      <c r="L1902" s="6">
        <f>HYPERLINK("C:\Projects\Kleinanzeigen-Scraper\offer_images\2849948220", "Link")</f>
        <v/>
      </c>
      <c r="M1902" t="inlineStr">
        <is>
          <t>Frank</t>
        </is>
      </c>
      <c r="N1902" s="6">
        <f>HYPERLINK("https://www.kleinanzeigen.de/s-bestandsliste.html?userId=4267971", "Link")</f>
        <v/>
      </c>
      <c r="O1902" s="7" t="n">
        <v>45549.573125</v>
      </c>
      <c r="P1902" s="3" t="inlineStr">
        <is>
          <t>91.46</t>
        </is>
      </c>
      <c r="Q1902" t="inlineStr">
        <is>
          <t>Köln</t>
        </is>
      </c>
    </row>
    <row r="1903">
      <c r="A1903" t="inlineStr">
        <is>
          <t>2.10m x 0.55m</t>
        </is>
      </c>
      <c r="B1903" t="inlineStr">
        <is>
          <t>Tabou</t>
        </is>
      </c>
      <c r="C1903" t="inlineStr">
        <is>
          <t>Beginner to Intermediate</t>
        </is>
      </c>
      <c r="D1903" s="3" t="inlineStr"/>
      <c r="E1903" t="inlineStr"/>
      <c r="F1903" s="4" t="n">
        <v>160</v>
      </c>
      <c r="G1903" t="inlineStr">
        <is>
          <t>VB</t>
        </is>
      </c>
      <c r="H1903" t="inlineStr">
        <is>
          <t>94032 Kr. Passau - Passau</t>
        </is>
      </c>
      <c r="I1903" s="5" t="n">
        <v>45502</v>
      </c>
      <c r="J1903" t="inlineStr">
        <is>
          <t>Sold</t>
        </is>
      </c>
      <c r="K1903" s="6">
        <f>HYPERLINK("https://www.kleinanzeigen.de/s-anzeige/surfboard-tabou-designed-by-fab-vollenweider/2824426094-187-7482", "Link")</f>
        <v/>
      </c>
      <c r="L1903" s="6">
        <f>HYPERLINK("C:\Projects\Kleinanzeigen-Scraper\offer_images\2824426094", "Link")</f>
        <v/>
      </c>
      <c r="M1903" t="inlineStr">
        <is>
          <t>Pfütz</t>
        </is>
      </c>
      <c r="N1903" s="6">
        <f>HYPERLINK("https://www.kleinanzeigen.de/s-bestandsliste.html?userId=24164428", "Link")</f>
        <v/>
      </c>
      <c r="O1903" s="7" t="n">
        <v>45549.57311342593</v>
      </c>
      <c r="P1903" s="3" t="inlineStr">
        <is>
          <t>147.66</t>
        </is>
      </c>
      <c r="Q1903" t="inlineStr">
        <is>
          <t>München</t>
        </is>
      </c>
    </row>
    <row r="1904">
      <c r="A1904" t="inlineStr">
        <is>
          <t>11' 34</t>
        </is>
      </c>
      <c r="B1904" t="inlineStr">
        <is>
          <t>Starboard River</t>
        </is>
      </c>
      <c r="C1904" t="inlineStr">
        <is>
          <t>Wildwasserboard</t>
        </is>
      </c>
      <c r="D1904" s="3" t="inlineStr"/>
      <c r="E1904" t="inlineStr"/>
      <c r="F1904" s="4" t="n">
        <v>525</v>
      </c>
      <c r="G1904" t="inlineStr">
        <is>
          <t>VB</t>
        </is>
      </c>
      <c r="H1904" t="inlineStr">
        <is>
          <t>42657 Nordrhein-Westfalen - Solingen</t>
        </is>
      </c>
      <c r="I1904" s="5" t="n">
        <v>45546</v>
      </c>
      <c r="J1904" t="inlineStr"/>
      <c r="K1904" s="6">
        <f>HYPERLINK("https://www.kleinanzeigen.de/s-anzeige/starboard-river-sup-wildwasserboard/2860579665-230-2119", "Link")</f>
        <v/>
      </c>
      <c r="L1904" s="6">
        <f>HYPERLINK("C:\Projects\Kleinanzeigen-Scraper\offer_images\2860579665", "Link")</f>
        <v/>
      </c>
      <c r="M1904" t="inlineStr">
        <is>
          <t>SUPzarap</t>
        </is>
      </c>
      <c r="N1904" s="6">
        <f>HYPERLINK("https://www.kleinanzeigen.de/s-bestandsliste.html?userId=93406495", "Link")</f>
        <v/>
      </c>
      <c r="O1904" s="7" t="n">
        <v>45549.57310185185</v>
      </c>
      <c r="P1904" s="3" t="inlineStr">
        <is>
          <t>25.08</t>
        </is>
      </c>
      <c r="Q1904" t="inlineStr">
        <is>
          <t>Köln</t>
        </is>
      </c>
    </row>
    <row r="1905">
      <c r="A1905" t="inlineStr">
        <is>
          <t>250cm x 80cm</t>
        </is>
      </c>
      <c r="B1905" t="inlineStr">
        <is>
          <t>Fanatic X-Ray</t>
        </is>
      </c>
      <c r="C1905" t="inlineStr">
        <is>
          <t>Freeride</t>
        </is>
      </c>
      <c r="D1905" s="3" t="n">
        <v>160</v>
      </c>
      <c r="E1905" t="inlineStr"/>
      <c r="F1905" s="4" t="n">
        <v>160</v>
      </c>
      <c r="G1905" t="inlineStr">
        <is>
          <t>VB</t>
        </is>
      </c>
      <c r="H1905" t="inlineStr">
        <is>
          <t>66424 Saarland - Homburg</t>
        </is>
      </c>
      <c r="I1905" s="5" t="n">
        <v>45538</v>
      </c>
      <c r="J1905" t="inlineStr"/>
      <c r="K1905" s="6">
        <f>HYPERLINK("https://www.kleinanzeigen.de/s-anzeige/fanatic-surfboard-x-ray-160l-boardbag-aufsteiger-kein-jp-tabou/2853418991-230-372", "Link")</f>
        <v/>
      </c>
      <c r="L1905" s="6">
        <f>HYPERLINK("C:\Projects\Kleinanzeigen-Scraper\offer_images\2853418991", "Link")</f>
        <v/>
      </c>
      <c r="M1905" t="inlineStr">
        <is>
          <t>Daniel</t>
        </is>
      </c>
      <c r="N1905" s="6">
        <f>HYPERLINK("https://www.kleinanzeigen.de/s-bestandsliste.html?userId=26822018", "Link")</f>
        <v/>
      </c>
      <c r="O1905" s="7" t="n">
        <v>45549.57309027778</v>
      </c>
      <c r="P1905" s="3" t="inlineStr">
        <is>
          <t>84.10</t>
        </is>
      </c>
      <c r="Q1905" t="inlineStr">
        <is>
          <t>Karlsruhe</t>
        </is>
      </c>
    </row>
    <row r="1906">
      <c r="A1906" t="inlineStr">
        <is>
          <t>Dimensions not specified</t>
        </is>
      </c>
      <c r="B1906" t="inlineStr">
        <is>
          <t>Starboard Foil Freeride</t>
        </is>
      </c>
      <c r="C1906" t="inlineStr">
        <is>
          <t>Foil</t>
        </is>
      </c>
      <c r="D1906" s="3" t="n">
        <v>125</v>
      </c>
      <c r="E1906" t="inlineStr"/>
      <c r="F1906" s="4" t="n">
        <v>370</v>
      </c>
      <c r="G1906" t="inlineStr"/>
      <c r="H1906" t="inlineStr">
        <is>
          <t>82110 Bayern - Germering</t>
        </is>
      </c>
      <c r="I1906" s="5" t="n">
        <v>45514</v>
      </c>
      <c r="J1906" t="inlineStr"/>
      <c r="K1906" s="6">
        <f>HYPERLINK("https://www.kleinanzeigen.de/s-anzeige/starboard-foil-freeride-125l/2833758980-230-6326", "Link")</f>
        <v/>
      </c>
      <c r="L1906" s="6">
        <f>HYPERLINK("C:\Projects\Kleinanzeigen-Scraper\offer_images\2833758980", "Link")</f>
        <v/>
      </c>
      <c r="M1906" t="inlineStr">
        <is>
          <t>Stefan</t>
        </is>
      </c>
      <c r="N1906" s="6">
        <f>HYPERLINK("https://www.kleinanzeigen.de/s-bestandsliste.html?userId=17151045", "Link")</f>
        <v/>
      </c>
      <c r="O1906" s="7" t="n">
        <v>45549.57309027778</v>
      </c>
      <c r="P1906" s="3" t="inlineStr">
        <is>
          <t>16.13</t>
        </is>
      </c>
      <c r="Q1906" t="inlineStr">
        <is>
          <t>München</t>
        </is>
      </c>
    </row>
    <row r="1907">
      <c r="A1907" t="inlineStr"/>
      <c r="B1907" t="inlineStr">
        <is>
          <t>Fanatic Sky Wing</t>
        </is>
      </c>
      <c r="C1907" t="inlineStr">
        <is>
          <t>Foilboard</t>
        </is>
      </c>
      <c r="D1907" s="3" t="n">
        <v>85</v>
      </c>
      <c r="E1907" t="inlineStr">
        <is>
          <t>2023</t>
        </is>
      </c>
      <c r="F1907" s="4" t="n">
        <v>750</v>
      </c>
      <c r="G1907" t="inlineStr"/>
      <c r="H1907" t="inlineStr">
        <is>
          <t>24340 Schleswig-Holstein - Eckernförde</t>
        </is>
      </c>
      <c r="I1907" s="5" t="n">
        <v>45510</v>
      </c>
      <c r="J1907" t="inlineStr">
        <is>
          <t>Sold</t>
        </is>
      </c>
      <c r="K1907" s="6">
        <f>HYPERLINK("https://www.kleinanzeigen.de/s-anzeige/neuw-fanatic-sky-wing-foilboard-2023-85-l-fussschlaufen-wie-neu/2830339371-230-13234", "Link")</f>
        <v/>
      </c>
      <c r="L1907" s="6">
        <f>HYPERLINK("C:\Projects\Kleinanzeigen-Scraper\offer_images\2830339371", "Link")</f>
        <v/>
      </c>
      <c r="M1907" t="inlineStr">
        <is>
          <t>Burfeind</t>
        </is>
      </c>
      <c r="N1907" s="6">
        <f>HYPERLINK("https://www.kleinanzeigen.de/s-bestandsliste.html?userId=9864906", "Link")</f>
        <v/>
      </c>
      <c r="O1907" s="7" t="n">
        <v>45549.5730787037</v>
      </c>
      <c r="P1907" s="3" t="inlineStr">
        <is>
          <t>434.69</t>
        </is>
      </c>
      <c r="Q1907" t="inlineStr">
        <is>
          <t>Köln</t>
        </is>
      </c>
    </row>
    <row r="1908">
      <c r="A1908" t="inlineStr"/>
      <c r="B1908" t="inlineStr">
        <is>
          <t>Naish Global</t>
        </is>
      </c>
      <c r="C1908" t="inlineStr">
        <is>
          <t>Wave</t>
        </is>
      </c>
      <c r="D1908" s="3" t="inlineStr"/>
      <c r="E1908" t="inlineStr">
        <is>
          <t>2011</t>
        </is>
      </c>
      <c r="F1908" s="4" t="n">
        <v>88</v>
      </c>
      <c r="G1908" t="inlineStr"/>
      <c r="H1908" t="inlineStr">
        <is>
          <t>72793 Baden-Württemberg - Pfullingen</t>
        </is>
      </c>
      <c r="I1908" s="5" t="n">
        <v>45542</v>
      </c>
      <c r="J1908" t="inlineStr">
        <is>
          <t>Sold</t>
        </is>
      </c>
      <c r="K1908" s="6">
        <f>HYPERLINK("https://www.kleinanzeigen.de/s-anzeige/naish-global-custom-waveboard-kite/2856346074-230-8202", "Link")</f>
        <v/>
      </c>
      <c r="L1908" s="6">
        <f>HYPERLINK("C:\Projects\Kleinanzeigen-Scraper\offer_images\2856346074", "Link")</f>
        <v/>
      </c>
      <c r="M1908" t="inlineStr">
        <is>
          <t>Benni</t>
        </is>
      </c>
      <c r="N1908" s="6">
        <f>HYPERLINK("https://www.kleinanzeigen.de/s-bestandsliste.html?userId=12108878", "Link")</f>
        <v/>
      </c>
      <c r="O1908" s="7" t="n">
        <v>45549.57305555556</v>
      </c>
      <c r="P1908" s="3" t="inlineStr">
        <is>
          <t>29.93</t>
        </is>
      </c>
      <c r="Q1908" t="inlineStr">
        <is>
          <t>Böblingen</t>
        </is>
      </c>
    </row>
    <row r="1909">
      <c r="A1909" t="inlineStr"/>
      <c r="B1909" t="inlineStr">
        <is>
          <t>Fanatic Racy Cat</t>
        </is>
      </c>
      <c r="C1909" t="inlineStr">
        <is>
          <t>Race</t>
        </is>
      </c>
      <c r="D1909" s="3" t="inlineStr"/>
      <c r="E1909" t="inlineStr"/>
      <c r="F1909" s="4" t="n">
        <v>59</v>
      </c>
      <c r="G1909" t="inlineStr">
        <is>
          <t>VB</t>
        </is>
      </c>
      <c r="H1909" t="inlineStr">
        <is>
          <t>64673 Hessen - Zwingenberg</t>
        </is>
      </c>
      <c r="I1909" s="5" t="n">
        <v>45522</v>
      </c>
      <c r="J1909" t="inlineStr">
        <is>
          <t>Sold</t>
        </is>
      </c>
      <c r="K1909" s="6">
        <f>HYPERLINK("https://www.kleinanzeigen.de/s-anzeige/surfboard-fanatic-racy-cat-komplett-mit-rigg/2840499753-230-4770", "Link")</f>
        <v/>
      </c>
      <c r="L1909" s="6">
        <f>HYPERLINK("C:\Projects\Kleinanzeigen-Scraper\offer_images\2840499753", "Link")</f>
        <v/>
      </c>
      <c r="M1909" t="inlineStr">
        <is>
          <t>Dirk Bauer</t>
        </is>
      </c>
      <c r="N1909" s="6">
        <f>HYPERLINK("https://www.kleinanzeigen.de/s-bestandsliste.html?userId=41153424", "Link")</f>
        <v/>
      </c>
      <c r="O1909" s="7" t="n">
        <v>45549.57305555556</v>
      </c>
      <c r="P1909" s="3" t="inlineStr">
        <is>
          <t>81.52</t>
        </is>
      </c>
      <c r="Q1909" t="inlineStr">
        <is>
          <t>Karlsruhe</t>
        </is>
      </c>
    </row>
    <row r="1910">
      <c r="A1910" t="inlineStr"/>
      <c r="B1910" t="inlineStr">
        <is>
          <t>Severne Dyno</t>
        </is>
      </c>
      <c r="C1910" t="inlineStr"/>
      <c r="D1910" s="3" t="n">
        <v>95</v>
      </c>
      <c r="E1910" t="inlineStr"/>
      <c r="F1910" s="4" t="n">
        <v>780</v>
      </c>
      <c r="G1910" t="inlineStr">
        <is>
          <t>VB</t>
        </is>
      </c>
      <c r="H1910" t="inlineStr">
        <is>
          <t>23769 Kreis Ostholstein - Fehmarn</t>
        </is>
      </c>
      <c r="I1910" s="5" t="n">
        <v>45504</v>
      </c>
      <c r="J1910" t="inlineStr"/>
      <c r="K1910" s="6">
        <f>HYPERLINK("https://www.kleinanzeigen.de/s-anzeige/windsurfboard-severne-dyno-95-liter/2825917583-230-19951", "Link")</f>
        <v/>
      </c>
      <c r="L1910" s="6">
        <f>HYPERLINK("C:\Projects\Kleinanzeigen-Scraper\offer_images\2825917583", "Link")</f>
        <v/>
      </c>
      <c r="M1910" t="inlineStr">
        <is>
          <t>christopher</t>
        </is>
      </c>
      <c r="N1910" s="6">
        <f>HYPERLINK("https://www.kleinanzeigen.de/s-bestandsliste.html?userId=35196588", "Link")</f>
        <v/>
      </c>
      <c r="O1910" s="7" t="n">
        <v>45549.57305555556</v>
      </c>
      <c r="P1910" s="3" t="inlineStr">
        <is>
          <t>483.01</t>
        </is>
      </c>
      <c r="Q1910" t="inlineStr">
        <is>
          <t>Köln</t>
        </is>
      </c>
    </row>
    <row r="1911">
      <c r="A1911" t="inlineStr">
        <is>
          <t>12'6'' x 26'' x 6''</t>
        </is>
      </c>
      <c r="B1911" t="inlineStr">
        <is>
          <t>Starboard Astrorunner</t>
        </is>
      </c>
      <c r="C1911" t="inlineStr"/>
      <c r="D1911" s="3" t="inlineStr"/>
      <c r="E1911" t="inlineStr"/>
      <c r="F1911" s="4" t="n">
        <v>199</v>
      </c>
      <c r="G1911" t="inlineStr"/>
      <c r="H1911" t="inlineStr">
        <is>
          <t>81373 München - Sendling-Westpark</t>
        </is>
      </c>
      <c r="I1911" s="5" t="n">
        <v>45517</v>
      </c>
      <c r="J1911" t="inlineStr"/>
      <c r="K1911" s="6">
        <f>HYPERLINK("https://www.kleinanzeigen.de/s-anzeige/starboard-astrorunner-12-6-x26-x6-/2835763061-230-16394", "Link")</f>
        <v/>
      </c>
      <c r="L1911" s="6">
        <f>HYPERLINK("C:\Projects\Kleinanzeigen-Scraper\offer_images\2835763061", "Link")</f>
        <v/>
      </c>
      <c r="M1911" t="inlineStr">
        <is>
          <t>Seidl Hans</t>
        </is>
      </c>
      <c r="N1911" s="6">
        <f>HYPERLINK("https://www.kleinanzeigen.de/s-bestandsliste.html?userId=17569255", "Link")</f>
        <v/>
      </c>
      <c r="O1911" s="7" t="n">
        <v>45549.57292824074</v>
      </c>
      <c r="P1911" s="3" t="inlineStr">
        <is>
          <t>3.43</t>
        </is>
      </c>
      <c r="Q1911" t="inlineStr">
        <is>
          <t>München</t>
        </is>
      </c>
    </row>
    <row r="1912">
      <c r="A1912" t="inlineStr">
        <is>
          <t>Dimensions not specified</t>
        </is>
      </c>
      <c r="B1912" t="inlineStr">
        <is>
          <t>Starboard Evo</t>
        </is>
      </c>
      <c r="C1912" t="inlineStr">
        <is>
          <t>Wave</t>
        </is>
      </c>
      <c r="D1912" s="3" t="n">
        <v>92</v>
      </c>
      <c r="E1912" t="inlineStr">
        <is>
          <t>2005</t>
        </is>
      </c>
      <c r="F1912" s="4" t="n">
        <v>35</v>
      </c>
      <c r="G1912" t="inlineStr">
        <is>
          <t>VB</t>
        </is>
      </c>
      <c r="H1912" t="inlineStr">
        <is>
          <t>78462 Baden-Württemberg - Konstanz</t>
        </is>
      </c>
      <c r="I1912" s="5" t="n">
        <v>45520</v>
      </c>
      <c r="J1912" t="inlineStr"/>
      <c r="K1912" s="6">
        <f>HYPERLINK("https://www.kleinanzeigen.de/s-anzeige/starboard-evo-92l-waveboard-windsurfbrett-testsieger-surf-wave/2838136308-230-9390", "Link")</f>
        <v/>
      </c>
      <c r="L1912" s="6">
        <f>HYPERLINK("C:\Projects\Kleinanzeigen-Scraper\offer_images\2838136308", "Link")</f>
        <v/>
      </c>
      <c r="M1912" t="inlineStr">
        <is>
          <t>Uli Konstanz</t>
        </is>
      </c>
      <c r="N1912" s="6">
        <f>HYPERLINK("https://www.kleinanzeigen.de/s-bestandsliste.html?userId=59131475", "Link")</f>
        <v/>
      </c>
      <c r="O1912" s="7" t="n">
        <v>45549.57292824074</v>
      </c>
      <c r="P1912" s="3" t="inlineStr">
        <is>
          <t>64.75</t>
        </is>
      </c>
      <c r="Q1912" t="inlineStr">
        <is>
          <t>Bonndorf</t>
        </is>
      </c>
    </row>
    <row r="1913">
      <c r="A1913" t="inlineStr">
        <is>
          <t>235 x 75</t>
        </is>
      </c>
      <c r="B1913" t="inlineStr">
        <is>
          <t>Starboard Kode</t>
        </is>
      </c>
      <c r="C1913" t="inlineStr">
        <is>
          <t>Freeride</t>
        </is>
      </c>
      <c r="D1913" s="3" t="n">
        <v>135</v>
      </c>
      <c r="E1913" t="inlineStr">
        <is>
          <t>2023</t>
        </is>
      </c>
      <c r="F1913" s="4" t="n">
        <v>950</v>
      </c>
      <c r="G1913" t="inlineStr"/>
      <c r="H1913" t="inlineStr">
        <is>
          <t>73773 Baden-Württemberg - Aichwald</t>
        </is>
      </c>
      <c r="I1913" s="5" t="n">
        <v>45545</v>
      </c>
      <c r="J1913" t="inlineStr"/>
      <c r="K1913" s="6">
        <f>HYPERLINK("https://www.kleinanzeigen.de/s-anzeige/surfbrett-starboard-kode-135-l-mit-boardbag/2859699990-230-8381", "Link")</f>
        <v/>
      </c>
      <c r="L1913" s="6">
        <f>HYPERLINK("C:\Projects\Kleinanzeigen-Scraper\offer_images\2859699990", "Link")</f>
        <v/>
      </c>
      <c r="M1913" t="inlineStr">
        <is>
          <t>D B</t>
        </is>
      </c>
      <c r="N1913" s="6">
        <f>HYPERLINK("https://www.kleinanzeigen.de/s-bestandsliste.html?userId=34202690", "Link")</f>
        <v/>
      </c>
      <c r="O1913" s="7" t="n">
        <v>45549.57292824074</v>
      </c>
      <c r="P1913" s="3" t="inlineStr">
        <is>
          <t>31.67</t>
        </is>
      </c>
      <c r="Q1913" t="inlineStr">
        <is>
          <t>Böblingen</t>
        </is>
      </c>
    </row>
    <row r="1914">
      <c r="A1914" t="inlineStr">
        <is>
          <t>88</t>
        </is>
      </c>
      <c r="B1914" t="inlineStr">
        <is>
          <t>Naish Global Wave</t>
        </is>
      </c>
      <c r="C1914" t="inlineStr">
        <is>
          <t>Wave</t>
        </is>
      </c>
      <c r="D1914" s="3" t="inlineStr"/>
      <c r="E1914" t="inlineStr"/>
      <c r="F1914" s="4" t="n">
        <v>290</v>
      </c>
      <c r="G1914" t="inlineStr"/>
      <c r="H1914" t="inlineStr">
        <is>
          <t>66450 Saarland - Bexbach</t>
        </is>
      </c>
      <c r="I1914" s="5" t="n">
        <v>45534</v>
      </c>
      <c r="J1914" t="inlineStr"/>
      <c r="K1914" s="6">
        <f>HYPERLINK("https://www.kleinanzeigen.de/s-anzeige/windsurfboard-naish-global-wave-88/2849921143-230-298", "Link")</f>
        <v/>
      </c>
      <c r="L1914" s="6">
        <f>HYPERLINK("C:\Projects\Kleinanzeigen-Scraper\offer_images\2849921143", "Link")</f>
        <v/>
      </c>
      <c r="M1914" t="inlineStr">
        <is>
          <t>Trautmann</t>
        </is>
      </c>
      <c r="N1914" s="6">
        <f>HYPERLINK("https://www.kleinanzeigen.de/s-bestandsliste.html?userId=26981857", "Link")</f>
        <v/>
      </c>
      <c r="O1914" s="7" t="n">
        <v>45549.57290509259</v>
      </c>
      <c r="P1914" s="3" t="inlineStr">
        <is>
          <t>92.12</t>
        </is>
      </c>
      <c r="Q1914" t="inlineStr">
        <is>
          <t>Karlsruhe</t>
        </is>
      </c>
    </row>
    <row r="1915">
      <c r="A1915" t="inlineStr">
        <is>
          <t>238x67</t>
        </is>
      </c>
      <c r="B1915" t="inlineStr">
        <is>
          <t>RRD TwinTip LTD</t>
        </is>
      </c>
      <c r="C1915" t="inlineStr">
        <is>
          <t>TwinTip</t>
        </is>
      </c>
      <c r="D1915" s="3" t="n">
        <v>110</v>
      </c>
      <c r="E1915" t="inlineStr"/>
      <c r="F1915" s="4" t="n">
        <v>380</v>
      </c>
      <c r="G1915" t="inlineStr"/>
      <c r="H1915" t="inlineStr">
        <is>
          <t>93309 Bayern - Kelheim</t>
        </is>
      </c>
      <c r="I1915" s="5" t="n">
        <v>45543</v>
      </c>
      <c r="J1915" t="inlineStr"/>
      <c r="K1915" s="6">
        <f>HYPERLINK("https://www.kleinanzeigen.de/s-anzeige/rrd-twintip-ltd-110-l/2857061436-230-6235", "Link")</f>
        <v/>
      </c>
      <c r="L1915" s="6">
        <f>HYPERLINK("C:\Projects\Kleinanzeigen-Scraper\offer_images\2857061436", "Link")</f>
        <v/>
      </c>
      <c r="M1915" t="inlineStr">
        <is>
          <t>MS</t>
        </is>
      </c>
      <c r="N1915" s="6">
        <f>HYPERLINK("https://www.kleinanzeigen.de/s-bestandsliste.html?userId=19708796", "Link")</f>
        <v/>
      </c>
      <c r="O1915" s="7" t="n">
        <v>45549.57288194444</v>
      </c>
      <c r="P1915" s="3" t="inlineStr">
        <is>
          <t>88.18</t>
        </is>
      </c>
      <c r="Q1915" t="inlineStr">
        <is>
          <t>München</t>
        </is>
      </c>
    </row>
    <row r="1916">
      <c r="A1916" t="inlineStr"/>
      <c r="B1916" t="inlineStr">
        <is>
          <t>Fanatic Grip Stubby, Mamba Proto</t>
        </is>
      </c>
      <c r="C1916" t="inlineStr">
        <is>
          <t>Freestyle</t>
        </is>
      </c>
      <c r="D1916" s="3" t="n">
        <v>83</v>
      </c>
      <c r="E1916" t="inlineStr"/>
      <c r="F1916" s="4" t="n">
        <v>399</v>
      </c>
      <c r="G1916" t="inlineStr">
        <is>
          <t>VB</t>
        </is>
      </c>
      <c r="H1916" t="inlineStr">
        <is>
          <t>33803 Nordrhein-Westfalen - Steinhagen</t>
        </is>
      </c>
      <c r="I1916" s="5" t="n">
        <v>45529</v>
      </c>
      <c r="J1916" t="inlineStr">
        <is>
          <t>Sold</t>
        </is>
      </c>
      <c r="K1916" s="6">
        <f>HYPERLINK("https://www.kleinanzeigen.de/s-anzeige/fanatic-grip-stubby-mamba-proto-83l/2845611834-230-1642", "Link")</f>
        <v/>
      </c>
      <c r="L1916" s="6">
        <f>HYPERLINK("C:\Projects\Kleinanzeigen-Scraper\offer_images\2845611834", "Link")</f>
        <v/>
      </c>
      <c r="M1916" t="inlineStr">
        <is>
          <t>Volker Brill</t>
        </is>
      </c>
      <c r="N1916" s="6">
        <f>HYPERLINK("https://www.kleinanzeigen.de/s-bestandsliste.html?userId=15755289", "Link")</f>
        <v/>
      </c>
      <c r="O1916" s="7" t="n">
        <v>45549.57288194444</v>
      </c>
      <c r="P1916" s="3" t="inlineStr">
        <is>
          <t>153.21</t>
        </is>
      </c>
      <c r="Q1916" t="inlineStr">
        <is>
          <t>Köln</t>
        </is>
      </c>
    </row>
    <row r="1917">
      <c r="A1917" t="inlineStr">
        <is>
          <t>12.0</t>
        </is>
      </c>
      <c r="B1917" t="inlineStr">
        <is>
          <t>Bugs</t>
        </is>
      </c>
      <c r="C1917" t="inlineStr">
        <is>
          <t>SUP</t>
        </is>
      </c>
      <c r="D1917" s="3" t="inlineStr"/>
      <c r="E1917" t="inlineStr"/>
      <c r="F1917" s="4" t="n">
        <v>300</v>
      </c>
      <c r="G1917" t="inlineStr">
        <is>
          <t>VB</t>
        </is>
      </c>
      <c r="H1917" t="inlineStr">
        <is>
          <t>71032 Baden-Württemberg - Böblingen</t>
        </is>
      </c>
      <c r="I1917" s="5" t="n">
        <v>45536</v>
      </c>
      <c r="J1917" t="inlineStr"/>
      <c r="K1917" s="6">
        <f>HYPERLINK("https://www.kleinanzeigen.de/s-anzeige/sup-epoxy-board-bugs-12-0-mit-naish-paddel-in-kroatien-np899-/2851955995-230-8784", "Link")</f>
        <v/>
      </c>
      <c r="L1917" s="6">
        <f>HYPERLINK("C:\Projects\Kleinanzeigen-Scraper\offer_images\2851955995", "Link")</f>
        <v/>
      </c>
      <c r="M1917" t="inlineStr">
        <is>
          <t>BB</t>
        </is>
      </c>
      <c r="N1917" s="6">
        <f>HYPERLINK("https://www.kleinanzeigen.de/s-bestandsliste.html?userId=15801750", "Link")</f>
        <v/>
      </c>
      <c r="O1917" s="7" t="n">
        <v>45549.57285879629</v>
      </c>
      <c r="P1917" s="3" t="inlineStr">
        <is>
          <t>5.74</t>
        </is>
      </c>
      <c r="Q1917" t="inlineStr">
        <is>
          <t>Böblingen</t>
        </is>
      </c>
    </row>
    <row r="1918">
      <c r="A1918" t="inlineStr">
        <is>
          <t>5'3"</t>
        </is>
      </c>
      <c r="B1918" t="inlineStr">
        <is>
          <t>Fanatic Sky Free TE</t>
        </is>
      </c>
      <c r="C1918" t="inlineStr">
        <is>
          <t>Wingboard</t>
        </is>
      </c>
      <c r="D1918" s="3" t="n">
        <v>95</v>
      </c>
      <c r="E1918" t="inlineStr">
        <is>
          <t>2023</t>
        </is>
      </c>
      <c r="F1918" s="4" t="n">
        <v>899</v>
      </c>
      <c r="G1918" t="inlineStr">
        <is>
          <t>VB</t>
        </is>
      </c>
      <c r="H1918" t="inlineStr">
        <is>
          <t>21465 Schleswig-Holstein - Reinbek</t>
        </is>
      </c>
      <c r="I1918" s="5" t="n">
        <v>45517</v>
      </c>
      <c r="J1918" t="inlineStr">
        <is>
          <t>Sold</t>
        </is>
      </c>
      <c r="K1918" s="6">
        <f>HYPERLINK("https://www.kleinanzeigen.de/s-anzeige/fanatic-sky-free-te-5-3-wingboard-95-liter-2023-/2835948316-230-13590", "Link")</f>
        <v/>
      </c>
      <c r="L1918" s="6">
        <f>HYPERLINK("C:\Projects\Kleinanzeigen-Scraper\offer_images\2835948316", "Link")</f>
        <v/>
      </c>
      <c r="M1918" t="inlineStr">
        <is>
          <t>Christian von Holten</t>
        </is>
      </c>
      <c r="N1918" s="6">
        <f>HYPERLINK("https://www.kleinanzeigen.de/s-bestandsliste.html?userId=566678", "Link")</f>
        <v/>
      </c>
      <c r="O1918" s="7" t="n">
        <v>45549.57285879629</v>
      </c>
      <c r="P1918" s="3" t="inlineStr">
        <is>
          <t>366.85</t>
        </is>
      </c>
      <c r="Q1918" t="inlineStr">
        <is>
          <t>Köln</t>
        </is>
      </c>
    </row>
    <row r="1919">
      <c r="A1919" t="inlineStr">
        <is>
          <t>96</t>
        </is>
      </c>
      <c r="B1919" t="inlineStr">
        <is>
          <t>RRD Freestyle Wave</t>
        </is>
      </c>
      <c r="C1919" t="inlineStr">
        <is>
          <t>Freestyle Wave</t>
        </is>
      </c>
      <c r="D1919" s="3" t="inlineStr"/>
      <c r="E1919" t="inlineStr">
        <is>
          <t>2021</t>
        </is>
      </c>
      <c r="F1919" s="4" t="n">
        <v>740</v>
      </c>
      <c r="G1919" t="inlineStr">
        <is>
          <t>VB</t>
        </is>
      </c>
      <c r="H1919" t="inlineStr">
        <is>
          <t>30519 Hannover - Döhren-Wülfel</t>
        </is>
      </c>
      <c r="I1919" s="5" t="n">
        <v>45545</v>
      </c>
      <c r="J1919" t="inlineStr"/>
      <c r="K1919" s="6">
        <f>HYPERLINK("https://www.kleinanzeigen.de/s-anzeige/rrd-fsw-freestyle-wave-96-y-26-von-2021-lte/2859887227-230-3174", "Link")</f>
        <v/>
      </c>
      <c r="L1919" s="6">
        <f>HYPERLINK("C:\Projects\Kleinanzeigen-Scraper\offer_images\2859887227", "Link")</f>
        <v/>
      </c>
      <c r="M1919" t="inlineStr">
        <is>
          <t>Reiner Gils</t>
        </is>
      </c>
      <c r="N1919" s="6">
        <f>HYPERLINK("https://www.kleinanzeigen.de/s-bestandsliste.html?userId=31386551", "Link")</f>
        <v/>
      </c>
      <c r="O1919" s="7" t="n">
        <v>45549.57284722223</v>
      </c>
      <c r="P1919" s="3" t="inlineStr">
        <is>
          <t>248.98</t>
        </is>
      </c>
      <c r="Q1919" t="inlineStr">
        <is>
          <t>Köln</t>
        </is>
      </c>
    </row>
    <row r="1920">
      <c r="A1920" t="inlineStr">
        <is>
          <t>11'6 x 29</t>
        </is>
      </c>
      <c r="B1920" t="inlineStr">
        <is>
          <t>Starboard</t>
        </is>
      </c>
      <c r="C1920" t="inlineStr">
        <is>
          <t>Touring</t>
        </is>
      </c>
      <c r="D1920" s="3" t="n">
        <v>312</v>
      </c>
      <c r="E1920" t="inlineStr">
        <is>
          <t>2023</t>
        </is>
      </c>
      <c r="F1920" s="4" t="n">
        <v>599</v>
      </c>
      <c r="G1920" t="inlineStr">
        <is>
          <t>VB</t>
        </is>
      </c>
      <c r="H1920" t="inlineStr">
        <is>
          <t>81667 München - Au-Haidhausen</t>
        </is>
      </c>
      <c r="I1920" s="5" t="n">
        <v>45532</v>
      </c>
      <c r="J1920" t="inlineStr"/>
      <c r="K1920" s="6">
        <f>HYPERLINK("https://www.kleinanzeigen.de/s-anzeige/sup-starboard-touring-isup-11-6-x-29-de-lux-sc-2023/2848288148-230-6454", "Link")</f>
        <v/>
      </c>
      <c r="L1920" s="6">
        <f>HYPERLINK("C:\Projects\Kleinanzeigen-Scraper\offer_images\2848288148", "Link")</f>
        <v/>
      </c>
      <c r="M1920" t="inlineStr">
        <is>
          <t>Guido Meier</t>
        </is>
      </c>
      <c r="N1920" s="6">
        <f>HYPERLINK("https://www.kleinanzeigen.de/s-bestandsliste.html?userId=11953205", "Link")</f>
        <v/>
      </c>
      <c r="O1920" s="7" t="n">
        <v>45549.57283564815</v>
      </c>
      <c r="P1920" s="3" t="inlineStr">
        <is>
          <t>2.06</t>
        </is>
      </c>
      <c r="Q1920" t="inlineStr">
        <is>
          <t>München</t>
        </is>
      </c>
    </row>
    <row r="1921">
      <c r="A1921" t="inlineStr">
        <is>
          <t>239 x 52.5 cm</t>
        </is>
      </c>
      <c r="B1921" t="inlineStr">
        <is>
          <t>Tabou DaCurve</t>
        </is>
      </c>
      <c r="C1921" t="inlineStr">
        <is>
          <t>Freeride</t>
        </is>
      </c>
      <c r="D1921" s="3" t="n">
        <v>73</v>
      </c>
      <c r="E1921" t="inlineStr"/>
      <c r="F1921" s="4" t="n">
        <v>180</v>
      </c>
      <c r="G1921" t="inlineStr"/>
      <c r="H1921" t="inlineStr">
        <is>
          <t>12527 Berlin - Köpenick</t>
        </is>
      </c>
      <c r="I1921" s="5" t="n">
        <v>45533</v>
      </c>
      <c r="J1921" t="inlineStr">
        <is>
          <t>Sold</t>
        </is>
      </c>
      <c r="K1921" s="6">
        <f>HYPERLINK("https://www.kleinanzeigen.de/s-anzeige/surfbrett-neu-tabou-dacurve-73l-6kg-carbon-surfausruestung/2849069363-230-3370", "Link")</f>
        <v/>
      </c>
      <c r="L1921" s="6">
        <f>HYPERLINK("C:\Projects\Kleinanzeigen-Scraper\offer_images\2849069363", "Link")</f>
        <v/>
      </c>
      <c r="M1921" t="inlineStr">
        <is>
          <t>stg</t>
        </is>
      </c>
      <c r="N1921" s="6">
        <f>HYPERLINK("https://www.kleinanzeigen.de/s-bestandsliste.html?userId=8377", "Link")</f>
        <v/>
      </c>
      <c r="O1921" s="7" t="n">
        <v>45549.57280092593</v>
      </c>
      <c r="P1921" s="3" t="inlineStr">
        <is>
          <t>487.71</t>
        </is>
      </c>
      <c r="Q1921" t="inlineStr">
        <is>
          <t>Köln</t>
        </is>
      </c>
    </row>
    <row r="1922">
      <c r="A1922" t="inlineStr"/>
      <c r="B1922" t="inlineStr">
        <is>
          <t>Naish S26 Ultra Carbon</t>
        </is>
      </c>
      <c r="C1922" t="inlineStr">
        <is>
          <t>Foilboard</t>
        </is>
      </c>
      <c r="D1922" s="3" t="n">
        <v>60</v>
      </c>
      <c r="E1922" t="inlineStr"/>
      <c r="F1922" s="4" t="n">
        <v>500</v>
      </c>
      <c r="G1922" t="inlineStr"/>
      <c r="H1922" t="inlineStr">
        <is>
          <t>41812 Nordrhein-Westfalen - Erkelenz</t>
        </is>
      </c>
      <c r="I1922" s="5" t="n">
        <v>45512</v>
      </c>
      <c r="J1922" t="inlineStr"/>
      <c r="K1922" s="6">
        <f>HYPERLINK("https://www.kleinanzeigen.de/s-anzeige/naish-60l-foilboard-ultra-carbon-s26/2831790318-230-1202", "Link")</f>
        <v/>
      </c>
      <c r="L1922" s="6">
        <f>HYPERLINK("C:\Projects\Kleinanzeigen-Scraper\offer_images\2831790318", "Link")</f>
        <v/>
      </c>
      <c r="M1922" t="inlineStr">
        <is>
          <t>F-Foiler</t>
        </is>
      </c>
      <c r="N1922" s="6">
        <f>HYPERLINK("https://www.kleinanzeigen.de/s-bestandsliste.html?userId=139834833", "Link")</f>
        <v/>
      </c>
      <c r="O1922" s="7" t="n">
        <v>45549.57278935185</v>
      </c>
      <c r="P1922" s="3" t="inlineStr">
        <is>
          <t>46.78</t>
        </is>
      </c>
      <c r="Q1922" t="inlineStr">
        <is>
          <t>Köln</t>
        </is>
      </c>
    </row>
    <row r="1923">
      <c r="A1923" t="inlineStr">
        <is>
          <t>248x74 cm</t>
        </is>
      </c>
      <c r="B1923" t="inlineStr">
        <is>
          <t>RRD Freeride</t>
        </is>
      </c>
      <c r="C1923" t="inlineStr">
        <is>
          <t>Freeride</t>
        </is>
      </c>
      <c r="D1923" s="3" t="n">
        <v>135</v>
      </c>
      <c r="E1923" t="inlineStr"/>
      <c r="F1923" s="4" t="n">
        <v>550</v>
      </c>
      <c r="G1923" t="inlineStr">
        <is>
          <t>VB</t>
        </is>
      </c>
      <c r="H1923" t="inlineStr">
        <is>
          <t>23611 Kreis Ostholstein - Bad Schwartau</t>
        </is>
      </c>
      <c r="I1923" s="5" t="n">
        <v>45514</v>
      </c>
      <c r="J1923" t="inlineStr">
        <is>
          <t>Sold</t>
        </is>
      </c>
      <c r="K1923" s="6">
        <f>HYPERLINK("https://www.kleinanzeigen.de/s-anzeige/rrd-freeride-board-135/2833399566-230-464", "Link")</f>
        <v/>
      </c>
      <c r="L1923" s="6">
        <f>HYPERLINK("C:\Projects\Kleinanzeigen-Scraper\offer_images\2833399566", "Link")</f>
        <v/>
      </c>
      <c r="M1923" t="inlineStr">
        <is>
          <t>Max</t>
        </is>
      </c>
      <c r="N1923" s="6">
        <f>HYPERLINK("https://www.kleinanzeigen.de/s-bestandsliste.html?userId=20028762", "Link")</f>
        <v/>
      </c>
      <c r="O1923" s="7" t="n">
        <v>45549.57277777778</v>
      </c>
      <c r="P1923" s="3" t="inlineStr">
        <is>
          <t>417.93</t>
        </is>
      </c>
      <c r="Q1923" t="inlineStr">
        <is>
          <t>Köln</t>
        </is>
      </c>
    </row>
    <row r="1924">
      <c r="A1924" t="inlineStr"/>
      <c r="B1924" t="inlineStr">
        <is>
          <t>Tabou Twister</t>
        </is>
      </c>
      <c r="C1924" t="inlineStr">
        <is>
          <t>Freestyle</t>
        </is>
      </c>
      <c r="D1924" s="3" t="n">
        <v>90</v>
      </c>
      <c r="E1924" t="inlineStr">
        <is>
          <t>2007</t>
        </is>
      </c>
      <c r="F1924" s="4" t="n">
        <v>20</v>
      </c>
      <c r="G1924" t="inlineStr"/>
      <c r="H1924" t="inlineStr">
        <is>
          <t>24143 Kiel - Gaarden</t>
        </is>
      </c>
      <c r="I1924" s="5" t="n">
        <v>45208</v>
      </c>
      <c r="J1924" t="inlineStr"/>
      <c r="K1924" s="6">
        <f>HYPERLINK("https://www.kleinanzeigen.de/s-anzeige/aelteres-90l-tabou-twister/2567965886-230-702", "Link")</f>
        <v/>
      </c>
      <c r="L1924" s="6">
        <f>HYPERLINK("C:\Projects\Kleinanzeigen-Scraper\offer_images\2567965886", "Link")</f>
        <v/>
      </c>
      <c r="M1924" t="inlineStr">
        <is>
          <t>Johannes Loser</t>
        </is>
      </c>
      <c r="N1924" s="6">
        <f>HYPERLINK("https://www.kleinanzeigen.de/s-bestandsliste.html?userId=64053170", "Link")</f>
        <v/>
      </c>
      <c r="O1924" s="7" t="n">
        <v>45549.57275462963</v>
      </c>
      <c r="P1924" s="3" t="inlineStr">
        <is>
          <t>432.09</t>
        </is>
      </c>
      <c r="Q1924" t="inlineStr">
        <is>
          <t>Köln</t>
        </is>
      </c>
    </row>
    <row r="1925">
      <c r="A1925" t="inlineStr">
        <is>
          <t>280 x 60 cm</t>
        </is>
      </c>
      <c r="B1925" t="inlineStr">
        <is>
          <t>RRD Roberto Ricci Design</t>
        </is>
      </c>
      <c r="C1925" t="inlineStr">
        <is>
          <t>Freeride</t>
        </is>
      </c>
      <c r="D1925" s="3" t="n">
        <v>114</v>
      </c>
      <c r="E1925" t="inlineStr"/>
      <c r="F1925" s="4" t="n">
        <v>280</v>
      </c>
      <c r="G1925" t="inlineStr">
        <is>
          <t>VB</t>
        </is>
      </c>
      <c r="H1925" t="inlineStr">
        <is>
          <t>78256 Baden-Württemberg - Steißlingen</t>
        </is>
      </c>
      <c r="I1925" s="5" t="n">
        <v>45389</v>
      </c>
      <c r="J1925" t="inlineStr"/>
      <c r="K1925" s="6">
        <f>HYPERLINK("https://www.kleinanzeigen.de/s-anzeige/surfboard-rrd-roberto-ricci-design-windsurfing-surfer/2728136428-230-9406", "Link")</f>
        <v/>
      </c>
      <c r="L1925" s="6">
        <f>HYPERLINK("C:\Projects\Kleinanzeigen-Scraper\offer_images\2728136428", "Link")</f>
        <v/>
      </c>
      <c r="M1925" t="inlineStr">
        <is>
          <t>hefri</t>
        </is>
      </c>
      <c r="N1925" s="6">
        <f>HYPERLINK("https://www.kleinanzeigen.de/s-bestandsliste.html?userId=12385558", "Link")</f>
        <v/>
      </c>
      <c r="O1925" s="7" t="n">
        <v>45549.57275462963</v>
      </c>
      <c r="P1925" s="3" t="inlineStr">
        <is>
          <t>42.68</t>
        </is>
      </c>
      <c r="Q1925" t="inlineStr">
        <is>
          <t>Bonndorf</t>
        </is>
      </c>
    </row>
    <row r="1926">
      <c r="A1926" t="inlineStr">
        <is>
          <t>243x56</t>
        </is>
      </c>
      <c r="B1926" t="inlineStr">
        <is>
          <t>Starboard Trance</t>
        </is>
      </c>
      <c r="C1926" t="inlineStr">
        <is>
          <t>Wave</t>
        </is>
      </c>
      <c r="D1926" s="3" t="n">
        <v>84</v>
      </c>
      <c r="E1926" t="inlineStr"/>
      <c r="F1926" s="4" t="n">
        <v>125</v>
      </c>
      <c r="G1926" t="inlineStr">
        <is>
          <t>VB</t>
        </is>
      </c>
      <c r="H1926" t="inlineStr">
        <is>
          <t>33607 Bielefeld - Bielefeld (Innenstadt)</t>
        </is>
      </c>
      <c r="I1926" s="5" t="n">
        <v>45529</v>
      </c>
      <c r="J1926" t="inlineStr"/>
      <c r="K1926" s="6">
        <f>HYPERLINK("https://www.kleinanzeigen.de/s-anzeige/starboard-trance-84-surfboard-unbenutzt-mit-neuen-fussschlaufen/2846136836-230-1069", "Link")</f>
        <v/>
      </c>
      <c r="L1926" s="6">
        <f>HYPERLINK("C:\Projects\Kleinanzeigen-Scraper\offer_images\2846136836", "Link")</f>
        <v/>
      </c>
      <c r="M1926" t="inlineStr">
        <is>
          <t>Horst</t>
        </is>
      </c>
      <c r="N1926" s="6">
        <f>HYPERLINK("https://www.kleinanzeigen.de/s-bestandsliste.html?userId=18007600", "Link")</f>
        <v/>
      </c>
      <c r="O1926" s="7" t="n">
        <v>45549.57273148148</v>
      </c>
      <c r="P1926" s="3" t="inlineStr">
        <is>
          <t>164.50</t>
        </is>
      </c>
      <c r="Q1926" t="inlineStr">
        <is>
          <t>Köln</t>
        </is>
      </c>
    </row>
    <row r="1927">
      <c r="A1927" t="inlineStr">
        <is>
          <t>Length: 235 cm, Width: 60 cm</t>
        </is>
      </c>
      <c r="B1927" t="inlineStr">
        <is>
          <t>Fanatic Slalom Blade L</t>
        </is>
      </c>
      <c r="C1927" t="inlineStr">
        <is>
          <t>Slalom</t>
        </is>
      </c>
      <c r="D1927" s="3" t="inlineStr"/>
      <c r="E1927" t="inlineStr">
        <is>
          <t>2022</t>
        </is>
      </c>
      <c r="F1927" s="4" t="n">
        <v>140</v>
      </c>
      <c r="G1927" t="inlineStr"/>
      <c r="H1927" t="inlineStr">
        <is>
          <t>13405 Berlin - Reinickendorf</t>
        </is>
      </c>
      <c r="I1927" s="5" t="n">
        <v>45517</v>
      </c>
      <c r="J1927" t="inlineStr">
        <is>
          <t>Sold</t>
        </is>
      </c>
      <c r="K1927" s="6">
        <f>HYPERLINK("https://www.kleinanzeigen.de/s-anzeige/surfbrett-fanatic-slalom-blade-l/2835996782-230-3461", "Link")</f>
        <v/>
      </c>
      <c r="L1927" s="6">
        <f>HYPERLINK("C:\Projects\Kleinanzeigen-Scraper\offer_images\2835996782", "Link")</f>
        <v/>
      </c>
      <c r="M1927" t="inlineStr">
        <is>
          <t>Andreas</t>
        </is>
      </c>
      <c r="N1927" s="6">
        <f>HYPERLINK("https://www.kleinanzeigen.de/s-bestandsliste.html?userId=44392435", "Link")</f>
        <v/>
      </c>
      <c r="O1927" s="7" t="n">
        <v>45549.57273148148</v>
      </c>
      <c r="P1927" s="3" t="inlineStr">
        <is>
          <t>472.97</t>
        </is>
      </c>
      <c r="Q1927" t="inlineStr">
        <is>
          <t>Köln</t>
        </is>
      </c>
    </row>
    <row r="1928">
      <c r="A1928" t="inlineStr">
        <is>
          <t>139 x 41.5 cm</t>
        </is>
      </c>
      <c r="B1928" t="inlineStr">
        <is>
          <t>North X-Ride</t>
        </is>
      </c>
      <c r="C1928" t="inlineStr"/>
      <c r="D1928" s="3" t="inlineStr"/>
      <c r="E1928" t="inlineStr"/>
      <c r="F1928" s="4" t="n">
        <v>220</v>
      </c>
      <c r="G1928" t="inlineStr"/>
      <c r="H1928" t="inlineStr">
        <is>
          <t>40468 Düsseldorf - Derendorf</t>
        </is>
      </c>
      <c r="I1928" s="5" t="n">
        <v>45543</v>
      </c>
      <c r="J1928" t="inlineStr">
        <is>
          <t>Sold</t>
        </is>
      </c>
      <c r="K1928" s="6">
        <f>HYPERLINK("https://www.kleinanzeigen.de/s-anzeige/kiteboard-north-x-ride-139-x-41-5-cm-gebraucht-mit-bindung/2857229882-230-2073", "Link")</f>
        <v/>
      </c>
      <c r="L1928" s="6">
        <f>HYPERLINK("C:\Projects\Kleinanzeigen-Scraper\offer_images\2857229882", "Link")</f>
        <v/>
      </c>
      <c r="M1928" t="inlineStr">
        <is>
          <t>Carsten</t>
        </is>
      </c>
      <c r="N1928" s="6">
        <f>HYPERLINK("https://www.kleinanzeigen.de/s-bestandsliste.html?userId=16635796", "Link")</f>
        <v/>
      </c>
      <c r="O1928" s="7" t="n">
        <v>45549.57273148148</v>
      </c>
      <c r="P1928" s="3" t="inlineStr">
        <is>
          <t>37.89</t>
        </is>
      </c>
      <c r="Q1928" t="inlineStr">
        <is>
          <t>Köln</t>
        </is>
      </c>
    </row>
    <row r="1929">
      <c r="A1929" t="inlineStr">
        <is>
          <t>3.40m</t>
        </is>
      </c>
      <c r="B1929" t="inlineStr">
        <is>
          <t>FANATIC VIPER</t>
        </is>
      </c>
      <c r="C1929" t="inlineStr">
        <is>
          <t>Fun Race</t>
        </is>
      </c>
      <c r="D1929" s="3" t="n">
        <v>185</v>
      </c>
      <c r="E1929" t="inlineStr"/>
      <c r="F1929" s="4" t="n">
        <v>195</v>
      </c>
      <c r="G1929" t="inlineStr"/>
      <c r="H1929" t="inlineStr">
        <is>
          <t>37124 Niedersachsen - Rosdorf</t>
        </is>
      </c>
      <c r="I1929" s="5" t="n">
        <v>45564</v>
      </c>
      <c r="J1929" t="inlineStr"/>
      <c r="K1929" s="6">
        <f>HYPERLINK("https://www.kleinanzeigen.de/s-anzeige/surfbrett-fanatic-bat-325-fanatic-viper-3-40m-sup-guter-zustand/2825878411-230-3133", "Link")</f>
        <v/>
      </c>
      <c r="L1929" s="6">
        <f>HYPERLINK("C:\Projects\Kleinanzeigen-Scraper\offer_images\2825878411", "Link")</f>
        <v/>
      </c>
      <c r="M1929" t="inlineStr">
        <is>
          <t>No user name</t>
        </is>
      </c>
      <c r="N1929" s="6">
        <f>HYPERLINK("https://www.kleinanzeigen.deNo user link", "Link")</f>
        <v/>
      </c>
      <c r="O1929" s="7" t="n">
        <v>45549.57273148148</v>
      </c>
      <c r="P1929" s="3" t="inlineStr">
        <is>
          <t>214.72</t>
        </is>
      </c>
      <c r="Q1929" t="inlineStr">
        <is>
          <t>Köln</t>
        </is>
      </c>
    </row>
    <row r="1930">
      <c r="A1930" t="inlineStr">
        <is>
          <t>5'2'' x 19 1/2'' x 2 3/4''</t>
        </is>
      </c>
      <c r="B1930" t="inlineStr">
        <is>
          <t>RRD Lucky Fish Ian Armstrong</t>
        </is>
      </c>
      <c r="C1930" t="inlineStr">
        <is>
          <t>Wave</t>
        </is>
      </c>
      <c r="D1930" s="3" t="n">
        <v>33</v>
      </c>
      <c r="E1930" t="inlineStr"/>
      <c r="F1930" s="4" t="n">
        <v>550</v>
      </c>
      <c r="G1930" t="inlineStr">
        <is>
          <t>VB</t>
        </is>
      </c>
      <c r="H1930" t="inlineStr">
        <is>
          <t>93128 Bayern - Regenstauf</t>
        </is>
      </c>
      <c r="I1930" s="5" t="n">
        <v>45539</v>
      </c>
      <c r="J1930" t="inlineStr"/>
      <c r="K1930" s="6">
        <f>HYPERLINK("https://www.kleinanzeigen.de/s-anzeige/rrd-lucky-fish-ian-armstrong-5-2-wellenreiter/2854039518-230-5781", "Link")</f>
        <v/>
      </c>
      <c r="L1930" s="6">
        <f>HYPERLINK("C:\Projects\Kleinanzeigen-Scraper\offer_images\2854039518", "Link")</f>
        <v/>
      </c>
      <c r="M1930" t="inlineStr">
        <is>
          <t>Dan</t>
        </is>
      </c>
      <c r="N1930" s="6">
        <f>HYPERLINK("https://www.kleinanzeigen.de/s-bestandsliste.html?userId=21958890", "Link")</f>
        <v/>
      </c>
      <c r="O1930" s="7" t="n">
        <v>45549.57270833333</v>
      </c>
      <c r="P1930" s="3" t="inlineStr">
        <is>
          <t>120.91</t>
        </is>
      </c>
      <c r="Q1930" t="inlineStr">
        <is>
          <t>München</t>
        </is>
      </c>
    </row>
    <row r="1931">
      <c r="A1931" t="inlineStr">
        <is>
          <t>226.0 cm x 59.5 cm</t>
        </is>
      </c>
      <c r="B1931" t="inlineStr">
        <is>
          <t>Severne Dyno</t>
        </is>
      </c>
      <c r="C1931" t="inlineStr"/>
      <c r="D1931" s="3" t="n">
        <v>95</v>
      </c>
      <c r="E1931" t="inlineStr"/>
      <c r="F1931" s="4" t="n">
        <v>1.1</v>
      </c>
      <c r="G1931" t="inlineStr">
        <is>
          <t>VB</t>
        </is>
      </c>
      <c r="H1931" t="inlineStr">
        <is>
          <t>50677 Innenstadt - Köln Altstadt</t>
        </is>
      </c>
      <c r="I1931" s="5" t="n">
        <v>45262</v>
      </c>
      <c r="J1931" t="inlineStr"/>
      <c r="K1931" s="6">
        <f>HYPERLINK("https://www.kleinanzeigen.de/s-anzeige/severne-dyno-95l-windsurfbrett/2618556378-230-990", "Link")</f>
        <v/>
      </c>
      <c r="L1931" s="6">
        <f>HYPERLINK("C:\Projects\Kleinanzeigen-Scraper\offer_images\2618556378", "Link")</f>
        <v/>
      </c>
      <c r="M1931" t="inlineStr">
        <is>
          <t>Lars</t>
        </is>
      </c>
      <c r="N1931" s="6">
        <f>HYPERLINK("https://www.kleinanzeigen.de/s-bestandsliste.html?userId=6432297", "Link")</f>
        <v/>
      </c>
      <c r="O1931" s="7" t="n">
        <v>45549.57270833333</v>
      </c>
      <c r="P1931" s="3" t="inlineStr">
        <is>
          <t>2.07</t>
        </is>
      </c>
      <c r="Q1931" t="inlineStr">
        <is>
          <t>Köln</t>
        </is>
      </c>
    </row>
    <row r="1932">
      <c r="A1932" t="inlineStr">
        <is>
          <t>133/40</t>
        </is>
      </c>
      <c r="B1932" t="inlineStr">
        <is>
          <t>Duotone Jaime</t>
        </is>
      </c>
      <c r="C1932" t="inlineStr">
        <is>
          <t>Twintip</t>
        </is>
      </c>
      <c r="D1932" s="3" t="inlineStr"/>
      <c r="E1932" t="inlineStr"/>
      <c r="F1932" s="4" t="n">
        <v>295</v>
      </c>
      <c r="G1932" t="inlineStr"/>
      <c r="H1932" t="inlineStr">
        <is>
          <t>20259 Eimsbüttel - Hamburg Eimsbüttel (Stadtteil)</t>
        </is>
      </c>
      <c r="I1932" s="5" t="n">
        <v>45537</v>
      </c>
      <c r="J1932" t="inlineStr">
        <is>
          <t>Sold</t>
        </is>
      </c>
      <c r="K1932" s="6">
        <f>HYPERLINK("https://www.kleinanzeigen.de/s-anzeige/north-duotone-jaime-kitesurfboard-twintip/2852289246-230-9427", "Link")</f>
        <v/>
      </c>
      <c r="L1932" s="6">
        <f>HYPERLINK("C:\Projects\Kleinanzeigen-Scraper\offer_images\2852289246", "Link")</f>
        <v/>
      </c>
      <c r="M1932" t="inlineStr">
        <is>
          <t>Erik</t>
        </is>
      </c>
      <c r="N1932" s="6">
        <f>HYPERLINK("https://www.kleinanzeigen.de/s-bestandsliste.html?userId=4126433", "Link")</f>
        <v/>
      </c>
      <c r="O1932" s="7" t="n">
        <v>45549.57268518519</v>
      </c>
      <c r="P1932" s="3" t="inlineStr">
        <is>
          <t>356.92</t>
        </is>
      </c>
      <c r="Q1932" t="inlineStr">
        <is>
          <t>Köln</t>
        </is>
      </c>
    </row>
    <row r="1933">
      <c r="A1933" t="inlineStr">
        <is>
          <t>10.4</t>
        </is>
      </c>
      <c r="B1933" t="inlineStr">
        <is>
          <t>Fanatic Fly Air Premium</t>
        </is>
      </c>
      <c r="C1933" t="inlineStr"/>
      <c r="D1933" s="3" t="inlineStr"/>
      <c r="E1933" t="inlineStr"/>
      <c r="F1933" s="4" t="n">
        <v>350</v>
      </c>
      <c r="G1933" t="inlineStr"/>
      <c r="H1933" t="inlineStr">
        <is>
          <t>23628 Herzogtum Lauenburg - Krummesse</t>
        </is>
      </c>
      <c r="I1933" s="5" t="n">
        <v>45532</v>
      </c>
      <c r="J1933" t="inlineStr">
        <is>
          <t>Sold</t>
        </is>
      </c>
      <c r="K1933" s="6">
        <f>HYPERLINK("https://www.kleinanzeigen.de/s-anzeige/standup-paddle-board-fanatic-fly-air-premium-10-4-windsurfopt/2848657319-230-412", "Link")</f>
        <v/>
      </c>
      <c r="L1933" s="6">
        <f>HYPERLINK("C:\Projects\Kleinanzeigen-Scraper\offer_images\2848657319", "Link")</f>
        <v/>
      </c>
      <c r="M1933" t="inlineStr">
        <is>
          <t>M.S.</t>
        </is>
      </c>
      <c r="N1933" s="6">
        <f>HYPERLINK("https://www.kleinanzeigen.de/s-bestandsliste.html?userId=10970041", "Link")</f>
        <v/>
      </c>
      <c r="O1933" s="7" t="n">
        <v>45549.57268518519</v>
      </c>
      <c r="P1933" s="3" t="inlineStr">
        <is>
          <t>403.16</t>
        </is>
      </c>
      <c r="Q1933" t="inlineStr">
        <is>
          <t>Köln</t>
        </is>
      </c>
    </row>
    <row r="1934">
      <c r="A1934" t="inlineStr"/>
      <c r="B1934" t="inlineStr">
        <is>
          <t>Roberto Ricci Design Z-Ride</t>
        </is>
      </c>
      <c r="C1934" t="inlineStr"/>
      <c r="D1934" s="3" t="n">
        <v>105</v>
      </c>
      <c r="E1934" t="inlineStr"/>
      <c r="F1934" s="4" t="n">
        <v>299</v>
      </c>
      <c r="G1934" t="inlineStr">
        <is>
          <t>VB</t>
        </is>
      </c>
      <c r="H1934" t="inlineStr">
        <is>
          <t>14624 Brandenburg - Dallgow</t>
        </is>
      </c>
      <c r="I1934" s="5" t="n">
        <v>45530</v>
      </c>
      <c r="J1934" t="inlineStr"/>
      <c r="K1934" s="6">
        <f>HYPERLINK("https://www.kleinanzeigen.de/s-anzeige/rrd-z-ride-surfbrett-105-liter/2846901041-230-7730", "Link")</f>
        <v/>
      </c>
      <c r="L1934" s="6">
        <f>HYPERLINK("C:\Projects\Kleinanzeigen-Scraper\offer_images\2846901041", "Link")</f>
        <v/>
      </c>
      <c r="M1934" t="inlineStr">
        <is>
          <t>Cécile F-K</t>
        </is>
      </c>
      <c r="N1934" s="6">
        <f>HYPERLINK("https://www.kleinanzeigen.de/s-bestandsliste.html?userId=37098402", "Link")</f>
        <v/>
      </c>
      <c r="O1934" s="7" t="n">
        <v>45549.57267361111</v>
      </c>
      <c r="P1934" s="3" t="inlineStr">
        <is>
          <t>455.82</t>
        </is>
      </c>
      <c r="Q1934" t="inlineStr">
        <is>
          <t>Köln</t>
        </is>
      </c>
    </row>
    <row r="1935">
      <c r="A1935" t="inlineStr">
        <is>
          <t>85l</t>
        </is>
      </c>
      <c r="B1935" t="inlineStr">
        <is>
          <t>Fanatic Free Wave</t>
        </is>
      </c>
      <c r="C1935" t="inlineStr">
        <is>
          <t>Freeride</t>
        </is>
      </c>
      <c r="D1935" s="3" t="n">
        <v>85</v>
      </c>
      <c r="E1935" t="inlineStr">
        <is>
          <t>2022</t>
        </is>
      </c>
      <c r="F1935" s="4" t="n">
        <v>1.15</v>
      </c>
      <c r="G1935" t="inlineStr">
        <is>
          <t>VB</t>
        </is>
      </c>
      <c r="H1935" t="inlineStr">
        <is>
          <t>91301 Bayern - Forchheim</t>
        </is>
      </c>
      <c r="I1935" s="5" t="n">
        <v>45508</v>
      </c>
      <c r="J1935" t="inlineStr">
        <is>
          <t>Sold</t>
        </is>
      </c>
      <c r="K1935" s="6">
        <f>HYPERLINK("https://www.kleinanzeigen.de/s-anzeige/fanatic-free-wave-85l-textreme/2828610322-230-6278", "Link")</f>
        <v/>
      </c>
      <c r="L1935" s="6">
        <f>HYPERLINK("C:\Projects\Kleinanzeigen-Scraper\offer_images\2828610322", "Link")</f>
        <v/>
      </c>
      <c r="M1935" t="inlineStr">
        <is>
          <t>Hartmut Specht</t>
        </is>
      </c>
      <c r="N1935" s="6">
        <f>HYPERLINK("https://www.kleinanzeigen.de/s-bestandsliste.html?userId=17941459", "Link")</f>
        <v/>
      </c>
      <c r="O1935" s="7" t="n">
        <v>45549.57267361111</v>
      </c>
      <c r="P1935" s="3" t="inlineStr">
        <is>
          <t>180.34</t>
        </is>
      </c>
      <c r="Q1935" t="inlineStr">
        <is>
          <t>München</t>
        </is>
      </c>
    </row>
    <row r="1936">
      <c r="A1936" t="inlineStr">
        <is>
          <t>298 cm</t>
        </is>
      </c>
      <c r="B1936" t="inlineStr">
        <is>
          <t>Fanatic Hot Rabbit</t>
        </is>
      </c>
      <c r="C1936" t="inlineStr"/>
      <c r="D1936" s="3" t="n">
        <v>130</v>
      </c>
      <c r="E1936" t="inlineStr"/>
      <c r="F1936" s="4" t="n">
        <v>40</v>
      </c>
      <c r="G1936" t="inlineStr"/>
      <c r="H1936" t="inlineStr">
        <is>
          <t>20253 Eimsbüttel - Hamburg Eimsbüttel (Stadtteil)</t>
        </is>
      </c>
      <c r="I1936" s="5" t="n">
        <v>45530</v>
      </c>
      <c r="J1936" t="inlineStr">
        <is>
          <t>Sold</t>
        </is>
      </c>
      <c r="K1936" s="6">
        <f>HYPERLINK("https://www.kleinanzeigen.de/s-anzeige/fanatic-hot-rabbit-298/2846995462-230-9430", "Link")</f>
        <v/>
      </c>
      <c r="L1936" s="6">
        <f>HYPERLINK("C:\Projects\Kleinanzeigen-Scraper\offer_images\2846995462", "Link")</f>
        <v/>
      </c>
      <c r="M1936" t="inlineStr">
        <is>
          <t>André</t>
        </is>
      </c>
      <c r="N1936" s="6">
        <f>HYPERLINK("https://www.kleinanzeigen.de/s-bestandsliste.html?userId=118885493", "Link")</f>
        <v/>
      </c>
      <c r="O1936" s="7" t="n">
        <v>45549.57266203704</v>
      </c>
      <c r="P1936" s="3" t="inlineStr">
        <is>
          <t>357.98</t>
        </is>
      </c>
      <c r="Q1936" t="inlineStr">
        <is>
          <t>Köln</t>
        </is>
      </c>
    </row>
    <row r="1937">
      <c r="A1937" t="inlineStr">
        <is>
          <t>4'10" x 17 1/4" x 7/8"</t>
        </is>
      </c>
      <c r="B1937" t="inlineStr">
        <is>
          <t>North Comp Pro</t>
        </is>
      </c>
      <c r="C1937" t="inlineStr">
        <is>
          <t>Strapless Freestyle</t>
        </is>
      </c>
      <c r="D1937" s="3" t="inlineStr"/>
      <c r="E1937" t="inlineStr">
        <is>
          <t>2025</t>
        </is>
      </c>
      <c r="F1937" s="4" t="n">
        <v>650</v>
      </c>
      <c r="G1937" t="inlineStr"/>
      <c r="H1937" t="inlineStr">
        <is>
          <t>24598 Schleswig-Holstein - Boostedt</t>
        </is>
      </c>
      <c r="I1937" s="5" t="n">
        <v>45540</v>
      </c>
      <c r="J1937" t="inlineStr">
        <is>
          <t>Sold</t>
        </is>
      </c>
      <c r="K1937" s="6">
        <f>HYPERLINK("https://www.kleinanzeigen.de/s-anzeige/north-comp-pro-2025-surfboard-kiteboard/2854785333-230-19089", "Link")</f>
        <v/>
      </c>
      <c r="L1937" s="6">
        <f>HYPERLINK("C:\Projects\Kleinanzeigen-Scraper\offer_images\2854785333", "Link")</f>
        <v/>
      </c>
      <c r="M1937" t="inlineStr">
        <is>
          <t>Pame</t>
        </is>
      </c>
      <c r="N1937" s="6">
        <f>HYPERLINK("https://www.kleinanzeigen.de/s-bestandsliste.html?userId=22933548", "Link")</f>
        <v/>
      </c>
      <c r="O1937" s="7" t="n">
        <v>45549.57265046296</v>
      </c>
      <c r="P1937" s="3" t="inlineStr">
        <is>
          <t>400.32</t>
        </is>
      </c>
      <c r="Q1937" t="inlineStr">
        <is>
          <t>Köln</t>
        </is>
      </c>
    </row>
    <row r="1938">
      <c r="A1938" t="inlineStr">
        <is>
          <t>5'5</t>
        </is>
      </c>
      <c r="B1938" t="inlineStr">
        <is>
          <t>North Charge Pro</t>
        </is>
      </c>
      <c r="C1938" t="inlineStr"/>
      <c r="D1938" s="3" t="inlineStr"/>
      <c r="E1938" t="inlineStr">
        <is>
          <t>2025</t>
        </is>
      </c>
      <c r="F1938" s="4" t="n">
        <v>670</v>
      </c>
      <c r="G1938" t="inlineStr"/>
      <c r="H1938" t="inlineStr">
        <is>
          <t>24598 Schleswig-Holstein - Boostedt</t>
        </is>
      </c>
      <c r="I1938" s="5" t="n">
        <v>45540</v>
      </c>
      <c r="J1938" t="inlineStr">
        <is>
          <t>Sold</t>
        </is>
      </c>
      <c r="K1938" s="6">
        <f>HYPERLINK("https://www.kleinanzeigen.de/s-anzeige/north-charge-pro-2025-surfboard-neu/2854780806-230-19089", "Link")</f>
        <v/>
      </c>
      <c r="L1938" s="6">
        <f>HYPERLINK("C:\Projects\Kleinanzeigen-Scraper\offer_images\2854780806", "Link")</f>
        <v/>
      </c>
      <c r="M1938" t="inlineStr">
        <is>
          <t>Pame</t>
        </is>
      </c>
      <c r="N1938" s="6">
        <f>HYPERLINK("https://www.kleinanzeigen.de/s-bestandsliste.html?userId=22933548", "Link")</f>
        <v/>
      </c>
      <c r="O1938" s="7" t="n">
        <v>45549.57265046296</v>
      </c>
      <c r="P1938" s="3" t="inlineStr">
        <is>
          <t>400.32</t>
        </is>
      </c>
      <c r="Q1938" t="inlineStr">
        <is>
          <t>Köln</t>
        </is>
      </c>
    </row>
    <row r="1939">
      <c r="A1939" t="inlineStr">
        <is>
          <t>14'0 x 28 x 6</t>
        </is>
      </c>
      <c r="B1939" t="inlineStr">
        <is>
          <t>Starboard Allstar Airline Deluxe</t>
        </is>
      </c>
      <c r="C1939" t="inlineStr">
        <is>
          <t>Racer</t>
        </is>
      </c>
      <c r="D1939" s="3" t="inlineStr"/>
      <c r="E1939" t="inlineStr"/>
      <c r="F1939" s="4" t="n">
        <v>690</v>
      </c>
      <c r="G1939" t="inlineStr">
        <is>
          <t>VB</t>
        </is>
      </c>
      <c r="H1939" t="inlineStr">
        <is>
          <t>24229 Schleswig-Holstein - Strande</t>
        </is>
      </c>
      <c r="I1939" s="5" t="n">
        <v>45541</v>
      </c>
      <c r="J1939" t="inlineStr">
        <is>
          <t>Sold</t>
        </is>
      </c>
      <c r="K1939" s="6">
        <f>HYPERLINK("https://www.kleinanzeigen.de/s-anzeige/sup-starboard-allstar-airline-deluxe-14-0x28x6/2855909460-230-671", "Link")</f>
        <v/>
      </c>
      <c r="L1939" s="6">
        <f>HYPERLINK("C:\Projects\Kleinanzeigen-Scraper\offer_images\2855909460", "Link")</f>
        <v/>
      </c>
      <c r="M1939" t="inlineStr">
        <is>
          <t>Stefan Krebs</t>
        </is>
      </c>
      <c r="N1939" s="6">
        <f>HYPERLINK("https://www.kleinanzeigen.de/s-bestandsliste.html?userId=43711408", "Link")</f>
        <v/>
      </c>
      <c r="O1939" s="7" t="n">
        <v>45549.57262731482</v>
      </c>
      <c r="P1939" s="3" t="inlineStr">
        <is>
          <t>445.58</t>
        </is>
      </c>
      <c r="Q1939" t="inlineStr">
        <is>
          <t>Köln</t>
        </is>
      </c>
    </row>
    <row r="1940">
      <c r="A1940" t="inlineStr">
        <is>
          <t>2.33 m x 0.71 m</t>
        </is>
      </c>
      <c r="B1940" t="inlineStr">
        <is>
          <t>Tabou Manta 71</t>
        </is>
      </c>
      <c r="C1940" t="inlineStr"/>
      <c r="D1940" s="3" t="n">
        <v>116</v>
      </c>
      <c r="E1940" t="inlineStr">
        <is>
          <t>2019</t>
        </is>
      </c>
      <c r="F1940" s="4" t="n">
        <v>720</v>
      </c>
      <c r="G1940" t="inlineStr"/>
      <c r="H1940" t="inlineStr">
        <is>
          <t>21635 Niedersachsen - Jork</t>
        </is>
      </c>
      <c r="I1940" s="5" t="n">
        <v>45462</v>
      </c>
      <c r="J1940" t="inlineStr"/>
      <c r="K1940" s="6">
        <f>HYPERLINK("https://www.kleinanzeigen.de/s-anzeige/tabou-manta-71-2019/2791973039-230-3291", "Link")</f>
        <v/>
      </c>
      <c r="L1940" s="6">
        <f>HYPERLINK("C:\Projects\Kleinanzeigen-Scraper\offer_images\2791973039", "Link")</f>
        <v/>
      </c>
      <c r="M1940" t="inlineStr">
        <is>
          <t>MU</t>
        </is>
      </c>
      <c r="N1940" s="6">
        <f>HYPERLINK("https://www.kleinanzeigen.de/s-bestandsliste.html?userId=7562773", "Link")</f>
        <v/>
      </c>
      <c r="O1940" s="7" t="n">
        <v>45549.57262731482</v>
      </c>
      <c r="P1940" s="3" t="inlineStr">
        <is>
          <t>343.43</t>
        </is>
      </c>
      <c r="Q1940" t="inlineStr">
        <is>
          <t>Köln</t>
        </is>
      </c>
    </row>
    <row r="1941">
      <c r="A1941" t="inlineStr">
        <is>
          <t>4.9</t>
        </is>
      </c>
      <c r="B1941" t="inlineStr">
        <is>
          <t>Duotone Sky Style Teamedition</t>
        </is>
      </c>
      <c r="C1941" t="inlineStr">
        <is>
          <t>Wing Foil</t>
        </is>
      </c>
      <c r="D1941" s="3" t="n">
        <v>65</v>
      </c>
      <c r="E1941" t="inlineStr">
        <is>
          <t>2023</t>
        </is>
      </c>
      <c r="F1941" s="4" t="n">
        <v>649</v>
      </c>
      <c r="G1941" t="inlineStr"/>
      <c r="H1941" t="inlineStr">
        <is>
          <t>86899 Bayern - Landsberg (Lech)</t>
        </is>
      </c>
      <c r="I1941" s="5" t="n">
        <v>45548</v>
      </c>
      <c r="J1941" t="inlineStr">
        <is>
          <t>Sold</t>
        </is>
      </c>
      <c r="K1941" s="6">
        <f>HYPERLINK("https://www.kleinanzeigen.de/s-anzeige/duotone-sky-style-teamedition-2023-4-9-65-l-sls/2862381354-230-7091", "Link")</f>
        <v/>
      </c>
      <c r="L1941" s="6">
        <f>HYPERLINK("C:\Projects\Kleinanzeigen-Scraper\offer_images\2862381354", "Link")</f>
        <v/>
      </c>
      <c r="M1941" t="inlineStr">
        <is>
          <t>Chris</t>
        </is>
      </c>
      <c r="N1941" s="6">
        <f>HYPERLINK("https://www.kleinanzeigen.de/s-bestandsliste.html?userId=16182812", "Link")</f>
        <v/>
      </c>
      <c r="O1941" s="7" t="n">
        <v>45549.57260416666</v>
      </c>
      <c r="P1941" s="3" t="inlineStr">
        <is>
          <t>55.05</t>
        </is>
      </c>
      <c r="Q1941" t="inlineStr">
        <is>
          <t>München</t>
        </is>
      </c>
    </row>
    <row r="1942">
      <c r="A1942" t="inlineStr"/>
      <c r="B1942" t="inlineStr">
        <is>
          <t>JP X Winger Pro</t>
        </is>
      </c>
      <c r="C1942" t="inlineStr">
        <is>
          <t>Wingboard</t>
        </is>
      </c>
      <c r="D1942" s="3" t="n">
        <v>95</v>
      </c>
      <c r="E1942" t="inlineStr">
        <is>
          <t>2023</t>
        </is>
      </c>
      <c r="F1942" s="4" t="n">
        <v>1.5</v>
      </c>
      <c r="G1942" t="inlineStr"/>
      <c r="H1942" t="inlineStr">
        <is>
          <t>81925 München - Bogenhausen</t>
        </is>
      </c>
      <c r="I1942" s="5" t="n">
        <v>45508</v>
      </c>
      <c r="J1942" t="inlineStr">
        <is>
          <t>Sold</t>
        </is>
      </c>
      <c r="K1942" s="6">
        <f>HYPERLINK("https://www.kleinanzeigen.de/s-anzeige/jp-x-winger-wingboard-plus-neilpryde-wingfoil-set/2829075103-230-6528", "Link")</f>
        <v/>
      </c>
      <c r="L1942" s="6">
        <f>HYPERLINK("C:\Projects\Kleinanzeigen-Scraper\offer_images\2829075103", "Link")</f>
        <v/>
      </c>
      <c r="M1942" t="inlineStr">
        <is>
          <t>Monika</t>
        </is>
      </c>
      <c r="N1942" s="6">
        <f>HYPERLINK("https://www.kleinanzeigen.de/s-bestandsliste.html?userId=25843151", "Link")</f>
        <v/>
      </c>
      <c r="O1942" s="7" t="n">
        <v>45549.57260416666</v>
      </c>
      <c r="P1942" s="3" t="inlineStr">
        <is>
          <t>4.67</t>
        </is>
      </c>
      <c r="Q1942" t="inlineStr">
        <is>
          <t>München</t>
        </is>
      </c>
    </row>
    <row r="1943">
      <c r="A1943" t="inlineStr">
        <is>
          <t>11.2</t>
        </is>
      </c>
      <c r="B1943" t="inlineStr">
        <is>
          <t>Starboard Igo Sun Tikhine</t>
        </is>
      </c>
      <c r="C1943" t="inlineStr">
        <is>
          <t>SUP</t>
        </is>
      </c>
      <c r="D1943" s="3" t="inlineStr"/>
      <c r="E1943" t="inlineStr"/>
      <c r="F1943" s="4" t="n">
        <v>500</v>
      </c>
      <c r="G1943" t="inlineStr"/>
      <c r="H1943" t="inlineStr">
        <is>
          <t>18069 Rostock - Reutershagen</t>
        </is>
      </c>
      <c r="I1943" s="5" t="n">
        <v>45532</v>
      </c>
      <c r="J1943" t="inlineStr">
        <is>
          <t>Sold</t>
        </is>
      </c>
      <c r="K1943" s="6">
        <f>HYPERLINK("https://www.kleinanzeigen.de/s-anzeige/starboard-igo-sun-tikhine-11-2-sup-stand-up-paddle-board/2848150423-230-159", "Link")</f>
        <v/>
      </c>
      <c r="L1943" s="6">
        <f>HYPERLINK("C:\Projects\Kleinanzeigen-Scraper\offer_images\2848150423", "Link")</f>
        <v/>
      </c>
      <c r="M1943" t="inlineStr">
        <is>
          <t>Küstenkind J</t>
        </is>
      </c>
      <c r="N1943" s="6">
        <f>HYPERLINK("https://www.kleinanzeigen.de/s-bestandsliste.html?userId=76191263", "Link")</f>
        <v/>
      </c>
      <c r="O1943" s="7" t="n">
        <v>45549.57260416666</v>
      </c>
      <c r="P1943" s="3" t="inlineStr">
        <is>
          <t>493.58</t>
        </is>
      </c>
      <c r="Q1943" t="inlineStr">
        <is>
          <t>Köln</t>
        </is>
      </c>
    </row>
    <row r="1944">
      <c r="A1944" t="inlineStr"/>
      <c r="B1944" t="inlineStr">
        <is>
          <t>Starboard, Tabou</t>
        </is>
      </c>
      <c r="C1944" t="inlineStr"/>
      <c r="D1944" s="3" t="inlineStr"/>
      <c r="E1944" t="inlineStr"/>
      <c r="F1944" s="4" t="n">
        <v>500</v>
      </c>
      <c r="G1944" t="inlineStr"/>
      <c r="H1944" t="inlineStr">
        <is>
          <t>71522 Baden-Württemberg - Backnang</t>
        </is>
      </c>
      <c r="I1944" s="5" t="n">
        <v>45441</v>
      </c>
      <c r="J1944" t="inlineStr"/>
      <c r="K1944" s="6">
        <f>HYPERLINK("https://www.kleinanzeigen.de/s-anzeige/surfbrett-surfboard-starboard-tabou-surfsegel/2774309725-230-8355", "Link")</f>
        <v/>
      </c>
      <c r="L1944" s="6">
        <f>HYPERLINK("C:\Projects\Kleinanzeigen-Scraper\offer_images\2774309725", "Link")</f>
        <v/>
      </c>
      <c r="M1944" t="inlineStr">
        <is>
          <t>Celine Backnang</t>
        </is>
      </c>
      <c r="N1944" s="6">
        <f>HYPERLINK("https://www.kleinanzeigen.de/s-bestandsliste.html?userId=141196728", "Link")</f>
        <v/>
      </c>
      <c r="O1944" s="7" t="n">
        <v>45549.57260416666</v>
      </c>
      <c r="P1944" s="3" t="inlineStr">
        <is>
          <t>45.09</t>
        </is>
      </c>
      <c r="Q1944" t="inlineStr">
        <is>
          <t>Böblingen</t>
        </is>
      </c>
    </row>
    <row r="1945">
      <c r="A1945" t="inlineStr">
        <is>
          <t>241 x 61 cm</t>
        </is>
      </c>
      <c r="B1945" t="inlineStr">
        <is>
          <t>Tabou Da Curve</t>
        </is>
      </c>
      <c r="C1945" t="inlineStr">
        <is>
          <t>Wave</t>
        </is>
      </c>
      <c r="D1945" s="3" t="n">
        <v>79</v>
      </c>
      <c r="E1945" t="inlineStr"/>
      <c r="F1945" s="4" t="n">
        <v>75</v>
      </c>
      <c r="G1945" t="inlineStr">
        <is>
          <t>VB</t>
        </is>
      </c>
      <c r="H1945" t="inlineStr">
        <is>
          <t>22149 Wandsbek - Hamburg Rahlstedt</t>
        </is>
      </c>
      <c r="I1945" s="5" t="n">
        <v>45125</v>
      </c>
      <c r="J1945" t="inlineStr"/>
      <c r="K1945" s="6">
        <f>HYPERLINK("https://www.kleinanzeigen.de/s-anzeige/tabou-da-curve-79liter-waveboard-windsurfen-windsurfboard/2496212774-230-9457", "Link")</f>
        <v/>
      </c>
      <c r="L1945" s="6">
        <f>HYPERLINK("C:\Projects\Kleinanzeigen-Scraper\offer_images\2496212774", "Link")</f>
        <v/>
      </c>
      <c r="M1945" t="inlineStr">
        <is>
          <t>Marc</t>
        </is>
      </c>
      <c r="N1945" s="6">
        <f>HYPERLINK("https://www.kleinanzeigen.de/s-bestandsliste.html?userId=678112", "Link")</f>
        <v/>
      </c>
      <c r="O1945" s="7" t="n">
        <v>45549.57258101852</v>
      </c>
      <c r="P1945" s="3" t="inlineStr">
        <is>
          <t>367.05</t>
        </is>
      </c>
      <c r="Q1945" t="inlineStr">
        <is>
          <t>Köln</t>
        </is>
      </c>
    </row>
    <row r="1946">
      <c r="A1946" t="inlineStr">
        <is>
          <t>84</t>
        </is>
      </c>
      <c r="B1946" t="inlineStr">
        <is>
          <t>F2 Barracuda</t>
        </is>
      </c>
      <c r="C1946" t="inlineStr">
        <is>
          <t>Wave</t>
        </is>
      </c>
      <c r="D1946" s="3" t="inlineStr"/>
      <c r="E1946" t="inlineStr"/>
      <c r="F1946" s="4" t="n">
        <v>380</v>
      </c>
      <c r="G1946" t="inlineStr"/>
      <c r="H1946" t="inlineStr">
        <is>
          <t>22145 Hamburg - Hamburg-Nord</t>
        </is>
      </c>
      <c r="I1946" s="5" t="n">
        <v>45535</v>
      </c>
      <c r="J1946" t="inlineStr"/>
      <c r="K1946" s="6">
        <f>HYPERLINK("https://www.kleinanzeigen.de/s-anzeige/f2-barracuda-84-compact-wave-fish-top-jp-fanatic-severne-rrd/2850615859-230-17006", "Link")</f>
        <v/>
      </c>
      <c r="L1946" s="6">
        <f>HYPERLINK("C:\Projects\Kleinanzeigen-Scraper\offer_images\2850615859", "Link")</f>
        <v/>
      </c>
      <c r="M1946" t="inlineStr">
        <is>
          <t>Ulf</t>
        </is>
      </c>
      <c r="N1946" s="6">
        <f>HYPERLINK("https://www.kleinanzeigen.de/s-bestandsliste.html?userId=50449475", "Link")</f>
        <v/>
      </c>
      <c r="O1946" s="7" t="n">
        <v>45549.57258101852</v>
      </c>
      <c r="P1946" s="3" t="inlineStr">
        <is>
          <t>371.39</t>
        </is>
      </c>
      <c r="Q1946" t="inlineStr">
        <is>
          <t>Köln</t>
        </is>
      </c>
    </row>
    <row r="1947">
      <c r="A1947" t="inlineStr"/>
      <c r="B1947" t="inlineStr">
        <is>
          <t>Rrd</t>
        </is>
      </c>
      <c r="C1947" t="inlineStr">
        <is>
          <t>Freewave</t>
        </is>
      </c>
      <c r="D1947" s="3" t="inlineStr"/>
      <c r="E1947" t="inlineStr"/>
      <c r="F1947" s="4" t="n">
        <v>110</v>
      </c>
      <c r="G1947" t="inlineStr">
        <is>
          <t>VB</t>
        </is>
      </c>
      <c r="H1947" t="inlineStr">
        <is>
          <t>26123 Niedersachsen - Oldenburg</t>
        </is>
      </c>
      <c r="I1947" s="5" t="n">
        <v>45424</v>
      </c>
      <c r="J1947" t="inlineStr"/>
      <c r="K1947" s="6">
        <f>HYPERLINK("https://www.kleinanzeigen.de/s-anzeige/sufbrett-rrd-freewave-style/2759968613-230-3115", "Link")</f>
        <v/>
      </c>
      <c r="L1947" s="6">
        <f>HYPERLINK("C:\Projects\Kleinanzeigen-Scraper\offer_images\2759968613", "Link")</f>
        <v/>
      </c>
      <c r="M1947" t="inlineStr">
        <is>
          <t>Eike Klein</t>
        </is>
      </c>
      <c r="N1947" s="6">
        <f>HYPERLINK("https://www.kleinanzeigen.de/s-bestandsliste.html?userId=36305662", "Link")</f>
        <v/>
      </c>
      <c r="O1947" s="7" t="n">
        <v>45549.57255787037</v>
      </c>
      <c r="P1947" s="3" t="inlineStr">
        <is>
          <t>261.16</t>
        </is>
      </c>
      <c r="Q1947" t="inlineStr">
        <is>
          <t>Köln</t>
        </is>
      </c>
    </row>
    <row r="1948">
      <c r="A1948" t="inlineStr">
        <is>
          <t>Dimensions not specified</t>
        </is>
      </c>
      <c r="B1948" t="inlineStr">
        <is>
          <t>JP Australia</t>
        </is>
      </c>
      <c r="C1948" t="inlineStr">
        <is>
          <t>Freestyle Wave</t>
        </is>
      </c>
      <c r="D1948" s="3" t="n">
        <v>84</v>
      </c>
      <c r="E1948" t="inlineStr"/>
      <c r="F1948" s="4" t="n">
        <v>199</v>
      </c>
      <c r="G1948" t="inlineStr">
        <is>
          <t>VB</t>
        </is>
      </c>
      <c r="H1948" t="inlineStr">
        <is>
          <t>83395 Bayern - Freilassing</t>
        </is>
      </c>
      <c r="I1948" s="5" t="n">
        <v>45308</v>
      </c>
      <c r="J1948" t="inlineStr"/>
      <c r="K1948" s="6">
        <f>HYPERLINK("https://www.kleinanzeigen.de/s-anzeige/jp-australia-freestyle-wave-84-l-windsurfen-brett-board/2655625042-230-6273", "Link")</f>
        <v/>
      </c>
      <c r="L1948" s="6">
        <f>HYPERLINK("C:\Projects\Kleinanzeigen-Scraper\offer_images\2655625042", "Link")</f>
        <v/>
      </c>
      <c r="M1948" t="inlineStr">
        <is>
          <t>77besen</t>
        </is>
      </c>
      <c r="N1948" s="6">
        <f>HYPERLINK("https://www.kleinanzeigen.de/s-bestandsliste.html?userId=137238527", "Link")</f>
        <v/>
      </c>
      <c r="O1948" s="7" t="n">
        <v>45549.57253472223</v>
      </c>
      <c r="P1948" s="3" t="inlineStr">
        <is>
          <t>108.85</t>
        </is>
      </c>
      <c r="Q1948" t="inlineStr">
        <is>
          <t>München</t>
        </is>
      </c>
    </row>
    <row r="1949">
      <c r="A1949" t="inlineStr">
        <is>
          <t>5'3" (160 cm) x 30" (76.2 cm) x 6" (15.2 cm)</t>
        </is>
      </c>
      <c r="B1949" t="inlineStr">
        <is>
          <t>Naish S26 Hover Inflatable</t>
        </is>
      </c>
      <c r="C1949" t="inlineStr">
        <is>
          <t>WingFoil</t>
        </is>
      </c>
      <c r="D1949" s="3" t="n">
        <v>100</v>
      </c>
      <c r="E1949" t="inlineStr">
        <is>
          <t>2021</t>
        </is>
      </c>
      <c r="F1949" s="4" t="n">
        <v>824</v>
      </c>
      <c r="G1949" t="inlineStr">
        <is>
          <t>VB</t>
        </is>
      </c>
      <c r="H1949" t="inlineStr">
        <is>
          <t>18586 Mecklenburg-Vorpommern - Mönchgut, Ostseebad</t>
        </is>
      </c>
      <c r="I1949" s="5" t="n">
        <v>45535</v>
      </c>
      <c r="J1949" t="inlineStr">
        <is>
          <t>Sold</t>
        </is>
      </c>
      <c r="K1949" s="6">
        <f>HYPERLINK("https://www.kleinanzeigen.de/s-anzeige/naish-s26-hover-inflatable-2021-100l-135l-wingfoil-board-neu-25-/2049941339-230-120", "Link")</f>
        <v/>
      </c>
      <c r="L1949" s="6">
        <f>HYPERLINK("C:\Projects\Kleinanzeigen-Scraper\offer_images\2049941339", "Link")</f>
        <v/>
      </c>
      <c r="M1949" t="inlineStr">
        <is>
          <t>No user name</t>
        </is>
      </c>
      <c r="N1949" s="6">
        <f>HYPERLINK("https://www.kleinanzeigen.deNo user link", "Link")</f>
        <v/>
      </c>
      <c r="O1949" s="7" t="n">
        <v>45549.57252314815</v>
      </c>
      <c r="P1949" s="3" t="inlineStr">
        <is>
          <t>591.22</t>
        </is>
      </c>
      <c r="Q1949" t="inlineStr">
        <is>
          <t>Köln</t>
        </is>
      </c>
    </row>
    <row r="1950">
      <c r="A1950" t="inlineStr"/>
      <c r="B1950" t="inlineStr">
        <is>
          <t>JP Australia</t>
        </is>
      </c>
      <c r="C1950" t="inlineStr">
        <is>
          <t>Wave</t>
        </is>
      </c>
      <c r="D1950" s="3" t="n">
        <v>96</v>
      </c>
      <c r="E1950" t="inlineStr"/>
      <c r="F1950" s="4" t="n">
        <v>75</v>
      </c>
      <c r="G1950" t="inlineStr">
        <is>
          <t>VB</t>
        </is>
      </c>
      <c r="H1950" t="inlineStr">
        <is>
          <t>04249 Leipzig - Knautkleeberg-Knauthain</t>
        </is>
      </c>
      <c r="I1950" s="5" t="n">
        <v>45509</v>
      </c>
      <c r="J1950" t="inlineStr"/>
      <c r="K1950" s="6">
        <f>HYPERLINK("https://www.kleinanzeigen.de/s-anzeige/jp-australia-waveboard-gebraucht-und-gut-erhalten/2829617605-230-4252", "Link")</f>
        <v/>
      </c>
      <c r="L1950" s="6">
        <f>HYPERLINK("C:\Projects\Kleinanzeigen-Scraper\offer_images\2829617605", "Link")</f>
        <v/>
      </c>
      <c r="M1950" t="inlineStr">
        <is>
          <t>Jan</t>
        </is>
      </c>
      <c r="N1950" s="6">
        <f>HYPERLINK("https://www.kleinanzeigen.de/s-bestandsliste.html?userId=19623282", "Link")</f>
        <v/>
      </c>
      <c r="O1950" s="7" t="n">
        <v>45549.57252314815</v>
      </c>
      <c r="P1950" s="3" t="inlineStr">
        <is>
          <t>353.31</t>
        </is>
      </c>
      <c r="Q1950" t="inlineStr">
        <is>
          <t>München</t>
        </is>
      </c>
    </row>
    <row r="1951">
      <c r="A1951" t="inlineStr">
        <is>
          <t>237x81</t>
        </is>
      </c>
      <c r="B1951" t="inlineStr">
        <is>
          <t>Tabou Rocket Plus</t>
        </is>
      </c>
      <c r="C1951" t="inlineStr">
        <is>
          <t>Freeride</t>
        </is>
      </c>
      <c r="D1951" s="3" t="n">
        <v>133</v>
      </c>
      <c r="E1951" t="inlineStr">
        <is>
          <t>2019</t>
        </is>
      </c>
      <c r="F1951" s="4" t="n">
        <v>1</v>
      </c>
      <c r="G1951" t="inlineStr">
        <is>
          <t>VB</t>
        </is>
      </c>
      <c r="H1951" t="inlineStr">
        <is>
          <t>85276 Bayern - Pfaffenhofen a.d. Ilm</t>
        </is>
      </c>
      <c r="I1951" s="5" t="n">
        <v>45516</v>
      </c>
      <c r="J1951" t="inlineStr"/>
      <c r="K1951" s="6">
        <f>HYPERLINK("https://www.kleinanzeigen.de/s-anzeige/tabou-rocket-plus-133-2019-ltd-100-carbon/2835137441-230-5850", "Link")</f>
        <v/>
      </c>
      <c r="L1951" s="6">
        <f>HYPERLINK("C:\Projects\Kleinanzeigen-Scraper\offer_images\2835137441", "Link")</f>
        <v/>
      </c>
      <c r="M1951" t="inlineStr">
        <is>
          <t>OG</t>
        </is>
      </c>
      <c r="N1951" s="6">
        <f>HYPERLINK("https://www.kleinanzeigen.de/s-bestandsliste.html?userId=22659257", "Link")</f>
        <v/>
      </c>
      <c r="O1951" s="7" t="n">
        <v>45549.57252314815</v>
      </c>
      <c r="P1951" s="3" t="inlineStr">
        <is>
          <t>47.13</t>
        </is>
      </c>
      <c r="Q1951" t="inlineStr">
        <is>
          <t>München</t>
        </is>
      </c>
    </row>
    <row r="1952">
      <c r="A1952" t="inlineStr"/>
      <c r="B1952" t="inlineStr">
        <is>
          <t>Naish Hover GS Carbon Ultra Alana</t>
        </is>
      </c>
      <c r="C1952" t="inlineStr">
        <is>
          <t>Wing Foil, SUP Foil</t>
        </is>
      </c>
      <c r="D1952" s="3" t="inlineStr">
        <is>
          <t>75, 85, 95, 110, 125, 140, 100, 135, 131</t>
        </is>
      </c>
      <c r="E1952" t="inlineStr">
        <is>
          <t>S26</t>
        </is>
      </c>
      <c r="F1952" s="4" t="n">
        <v>809</v>
      </c>
      <c r="G1952" t="inlineStr"/>
      <c r="H1952" t="inlineStr">
        <is>
          <t>18586 Mecklenburg-Vorpommern - Mönchgut, Ostseebad</t>
        </is>
      </c>
      <c r="I1952" s="5" t="n">
        <v>45554</v>
      </c>
      <c r="J1952" t="inlineStr">
        <is>
          <t>Sold</t>
        </is>
      </c>
      <c r="K1952" s="6">
        <f>HYPERLINK("https://www.kleinanzeigen.de/s-anzeige/naish-wingfoil-boards-s26-hover-gs-carbon-ultra-alana-40-/1567296600-230-120", "Link")</f>
        <v/>
      </c>
      <c r="L1952" s="6">
        <f>HYPERLINK("C:\Projects\Kleinanzeigen-Scraper\offer_images\1567296600", "Link")</f>
        <v/>
      </c>
      <c r="M1952" t="inlineStr">
        <is>
          <t>No user name</t>
        </is>
      </c>
      <c r="N1952" s="6">
        <f>HYPERLINK("https://www.kleinanzeigen.deNo user link", "Link")</f>
        <v/>
      </c>
      <c r="O1952" s="7" t="n">
        <v>45549.57251157407</v>
      </c>
      <c r="P1952" s="3" t="inlineStr">
        <is>
          <t>591.22</t>
        </is>
      </c>
      <c r="Q1952" t="inlineStr">
        <is>
          <t>Köln</t>
        </is>
      </c>
    </row>
    <row r="1953">
      <c r="A1953" t="inlineStr">
        <is>
          <t>5'8" x 28"</t>
        </is>
      </c>
      <c r="B1953" t="inlineStr">
        <is>
          <t>Starboard Airfoil Deluxe</t>
        </is>
      </c>
      <c r="C1953" t="inlineStr">
        <is>
          <t>Wingfoil</t>
        </is>
      </c>
      <c r="D1953" s="3" t="n">
        <v>122</v>
      </c>
      <c r="E1953" t="inlineStr">
        <is>
          <t>2023</t>
        </is>
      </c>
      <c r="F1953" s="4" t="n">
        <v>490</v>
      </c>
      <c r="G1953" t="inlineStr"/>
      <c r="H1953" t="inlineStr">
        <is>
          <t>82211 Bayern - Herrsching</t>
        </is>
      </c>
      <c r="I1953" s="5" t="n">
        <v>45537</v>
      </c>
      <c r="J1953" t="inlineStr">
        <is>
          <t>Sold</t>
        </is>
      </c>
      <c r="K1953" s="6">
        <f>HYPERLINK("https://www.kleinanzeigen.de/s-anzeige/wingboard-inflatable-starboard-airfoil-deluxe-122l-top-/2852959716-230-5520", "Link")</f>
        <v/>
      </c>
      <c r="L1953" s="6">
        <f>HYPERLINK("C:\Projects\Kleinanzeigen-Scraper\offer_images\2852959716", "Link")</f>
        <v/>
      </c>
      <c r="M1953" t="inlineStr">
        <is>
          <t>Oliver</t>
        </is>
      </c>
      <c r="N1953" s="6">
        <f>HYPERLINK("https://www.kleinanzeigen.de/s-bestandsliste.html?userId=17846362", "Link")</f>
        <v/>
      </c>
      <c r="O1953" s="7" t="n">
        <v>45549.57251157407</v>
      </c>
      <c r="P1953" s="3" t="inlineStr">
        <is>
          <t>32.73</t>
        </is>
      </c>
      <c r="Q1953" t="inlineStr">
        <is>
          <t>München</t>
        </is>
      </c>
    </row>
    <row r="1954">
      <c r="A1954" t="inlineStr">
        <is>
          <t>247x80 cm</t>
        </is>
      </c>
      <c r="B1954" t="inlineStr">
        <is>
          <t>Starboard</t>
        </is>
      </c>
      <c r="C1954" t="inlineStr">
        <is>
          <t>Freeride</t>
        </is>
      </c>
      <c r="D1954" s="3" t="n">
        <v>144</v>
      </c>
      <c r="E1954" t="inlineStr"/>
      <c r="F1954" s="4" t="n">
        <v>460</v>
      </c>
      <c r="G1954" t="inlineStr">
        <is>
          <t>VB</t>
        </is>
      </c>
      <c r="H1954" t="inlineStr">
        <is>
          <t>48249 Nordrhein-Westfalen - Dülmen</t>
        </is>
      </c>
      <c r="I1954" s="5" t="n">
        <v>45518</v>
      </c>
      <c r="J1954" t="inlineStr"/>
      <c r="K1954" s="6">
        <f>HYPERLINK("https://www.kleinanzeigen.de/s-anzeige/windsurfboard-starboard-144l-inkl-boardbag/2837054068-230-1331", "Link")</f>
        <v/>
      </c>
      <c r="L1954" s="6">
        <f>HYPERLINK("C:\Projects\Kleinanzeigen-Scraper\offer_images\2837054068", "Link")</f>
        <v/>
      </c>
      <c r="M1954" t="inlineStr">
        <is>
          <t>Tobias Kipp</t>
        </is>
      </c>
      <c r="N1954" s="6">
        <f>HYPERLINK("https://www.kleinanzeigen.de/s-bestandsliste.html?userId=27736332", "Link")</f>
        <v/>
      </c>
      <c r="O1954" s="7" t="n">
        <v>45549.57247685185</v>
      </c>
      <c r="P1954" s="3" t="inlineStr">
        <is>
          <t>105.23</t>
        </is>
      </c>
      <c r="Q1954" t="inlineStr">
        <is>
          <t>Köln</t>
        </is>
      </c>
    </row>
    <row r="1955">
      <c r="A1955" t="inlineStr">
        <is>
          <t>2.33m x 0.57m</t>
        </is>
      </c>
      <c r="B1955" t="inlineStr">
        <is>
          <t>Fanatic</t>
        </is>
      </c>
      <c r="C1955" t="inlineStr">
        <is>
          <t>All Wave</t>
        </is>
      </c>
      <c r="D1955" s="3" t="n">
        <v>82</v>
      </c>
      <c r="E1955" t="inlineStr"/>
      <c r="F1955" s="4" t="n">
        <v>90</v>
      </c>
      <c r="G1955" t="inlineStr">
        <is>
          <t>VB</t>
        </is>
      </c>
      <c r="H1955" t="inlineStr">
        <is>
          <t>23617 Kreis Ostholstein - Stockelsdorf</t>
        </is>
      </c>
      <c r="I1955" s="5" t="n">
        <v>45528</v>
      </c>
      <c r="J1955" t="inlineStr">
        <is>
          <t>Sold</t>
        </is>
      </c>
      <c r="K1955" s="6">
        <f>HYPERLINK("https://www.kleinanzeigen.de/s-anzeige/fanatic-surfbrett-inkl-bordbag/2845197053-230-434", "Link")</f>
        <v/>
      </c>
      <c r="L1955" s="6">
        <f>HYPERLINK("C:\Projects\Kleinanzeigen-Scraper\offer_images\2845197053", "Link")</f>
        <v/>
      </c>
      <c r="M1955" t="inlineStr">
        <is>
          <t>Berit</t>
        </is>
      </c>
      <c r="N1955" s="6">
        <f>HYPERLINK("https://www.kleinanzeigen.de/s-bestandsliste.html?userId=393322", "Link")</f>
        <v/>
      </c>
      <c r="O1955" s="7" t="n">
        <v>45549.57247685185</v>
      </c>
      <c r="P1955" s="3" t="inlineStr">
        <is>
          <t>415.17</t>
        </is>
      </c>
      <c r="Q1955" t="inlineStr">
        <is>
          <t>Köln</t>
        </is>
      </c>
    </row>
    <row r="1956">
      <c r="A1956" t="inlineStr"/>
      <c r="B1956" t="inlineStr">
        <is>
          <t>Fanatic Shark</t>
        </is>
      </c>
      <c r="C1956" t="inlineStr">
        <is>
          <t>Freeride</t>
        </is>
      </c>
      <c r="D1956" s="3" t="n">
        <v>135</v>
      </c>
      <c r="E1956" t="inlineStr"/>
      <c r="F1956" s="4" t="n">
        <v>370</v>
      </c>
      <c r="G1956" t="inlineStr">
        <is>
          <t>VB</t>
        </is>
      </c>
      <c r="H1956" t="inlineStr">
        <is>
          <t>47239 Duisburg - Rumeln-Kaldenhausen</t>
        </is>
      </c>
      <c r="I1956" s="5" t="n">
        <v>45534</v>
      </c>
      <c r="J1956" t="inlineStr">
        <is>
          <t>Sold</t>
        </is>
      </c>
      <c r="K1956" s="6">
        <f>HYPERLINK("https://www.kleinanzeigen.de/s-anzeige/fanatic-shark-135-hrs/2850142084-230-2137", "Link")</f>
        <v/>
      </c>
      <c r="L1956" s="6">
        <f>HYPERLINK("C:\Projects\Kleinanzeigen-Scraper\offer_images\2850142084", "Link")</f>
        <v/>
      </c>
      <c r="M1956" t="inlineStr">
        <is>
          <t>M.S.</t>
        </is>
      </c>
      <c r="N1956" s="6">
        <f>HYPERLINK("https://www.kleinanzeigen.de/s-bestandsliste.html?userId=7303624", "Link")</f>
        <v/>
      </c>
      <c r="O1956" s="7" t="n">
        <v>45549.57247685185</v>
      </c>
      <c r="P1956" s="3" t="inlineStr">
        <is>
          <t>54.92</t>
        </is>
      </c>
      <c r="Q1956" t="inlineStr">
        <is>
          <t>Köln</t>
        </is>
      </c>
    </row>
    <row r="1957">
      <c r="A1957" t="inlineStr">
        <is>
          <t>262 cm x 53 cm</t>
        </is>
      </c>
      <c r="B1957" t="inlineStr">
        <is>
          <t>Naish</t>
        </is>
      </c>
      <c r="C1957" t="inlineStr"/>
      <c r="D1957" s="3" t="n">
        <v>89</v>
      </c>
      <c r="E1957" t="inlineStr"/>
      <c r="F1957" s="4" t="n">
        <v>75</v>
      </c>
      <c r="G1957" t="inlineStr"/>
      <c r="H1957" t="inlineStr">
        <is>
          <t>71576 Baden-Württemberg - Burgstetten</t>
        </is>
      </c>
      <c r="I1957" s="5" t="n">
        <v>45509</v>
      </c>
      <c r="J1957" t="inlineStr"/>
      <c r="K1957" s="6">
        <f>HYPERLINK("https://www.kleinanzeigen.de/s-anzeige/naish-8-7-/2829487932-230-8358", "Link")</f>
        <v/>
      </c>
      <c r="L1957" s="6">
        <f>HYPERLINK("C:\Projects\Kleinanzeigen-Scraper\offer_images\2829487932", "Link")</f>
        <v/>
      </c>
      <c r="M1957" t="inlineStr">
        <is>
          <t>Markus Ade</t>
        </is>
      </c>
      <c r="N1957" s="6">
        <f>HYPERLINK("https://www.kleinanzeigen.de/s-bestandsliste.html?userId=43466933", "Link")</f>
        <v/>
      </c>
      <c r="O1957" s="7" t="n">
        <v>45549.5724537037</v>
      </c>
      <c r="P1957" s="3" t="inlineStr">
        <is>
          <t>40.21</t>
        </is>
      </c>
      <c r="Q1957" t="inlineStr">
        <is>
          <t>Böblingen</t>
        </is>
      </c>
    </row>
    <row r="1958">
      <c r="A1958" t="inlineStr">
        <is>
          <t>138</t>
        </is>
      </c>
      <c r="B1958" t="inlineStr">
        <is>
          <t>Naish Motion</t>
        </is>
      </c>
      <c r="C1958" t="inlineStr"/>
      <c r="D1958" s="3" t="inlineStr"/>
      <c r="E1958" t="inlineStr">
        <is>
          <t>2024</t>
        </is>
      </c>
      <c r="F1958" s="4" t="n">
        <v>389</v>
      </c>
      <c r="G1958" t="inlineStr"/>
      <c r="H1958" t="inlineStr">
        <is>
          <t>85521 Kr. München - Ottobrunn</t>
        </is>
      </c>
      <c r="I1958" s="5" t="n">
        <v>45518</v>
      </c>
      <c r="J1958" t="inlineStr">
        <is>
          <t>Sold</t>
        </is>
      </c>
      <c r="K1958" s="6">
        <f>HYPERLINK("https://www.kleinanzeigen.de/s-anzeige/kiteboard-naish-motion-138-2024/2837026156-230-15597", "Link")</f>
        <v/>
      </c>
      <c r="L1958" s="6">
        <f>HYPERLINK("C:\Projects\Kleinanzeigen-Scraper\offer_images\2837026156", "Link")</f>
        <v/>
      </c>
      <c r="M1958" t="inlineStr">
        <is>
          <t>Dieter Raditsch</t>
        </is>
      </c>
      <c r="N1958" s="6">
        <f>HYPERLINK("https://www.kleinanzeigen.de/s-bestandsliste.html?userId=123269547", "Link")</f>
        <v/>
      </c>
      <c r="O1958" s="7" t="n">
        <v>45549.57240740741</v>
      </c>
      <c r="P1958" s="3" t="inlineStr">
        <is>
          <t>11.05</t>
        </is>
      </c>
      <c r="Q1958" t="inlineStr">
        <is>
          <t>München</t>
        </is>
      </c>
    </row>
    <row r="1959">
      <c r="A1959" t="inlineStr">
        <is>
          <t>5'4</t>
        </is>
      </c>
      <c r="B1959" t="inlineStr">
        <is>
          <t>Fanatic Sky Wing</t>
        </is>
      </c>
      <c r="C1959" t="inlineStr">
        <is>
          <t>Foil</t>
        </is>
      </c>
      <c r="D1959" s="3" t="n">
        <v>95</v>
      </c>
      <c r="E1959" t="inlineStr">
        <is>
          <t>2023</t>
        </is>
      </c>
      <c r="F1959" s="4" t="n">
        <v>620</v>
      </c>
      <c r="G1959" t="inlineStr">
        <is>
          <t>VB</t>
        </is>
      </c>
      <c r="H1959" t="inlineStr">
        <is>
          <t>27751 Niedersachsen - Delmenhorst</t>
        </is>
      </c>
      <c r="I1959" s="5" t="n">
        <v>45528</v>
      </c>
      <c r="J1959" t="inlineStr">
        <is>
          <t>Sold</t>
        </is>
      </c>
      <c r="K1959" s="6">
        <f>HYPERLINK("https://www.kleinanzeigen.de/s-anzeige/fanatic-sky-wing-5-4-95l-2023-foil/2845233062-230-2468", "Link")</f>
        <v/>
      </c>
      <c r="L1959" s="6">
        <f>HYPERLINK("C:\Projects\Kleinanzeigen-Scraper\offer_images\2845233062", "Link")</f>
        <v/>
      </c>
      <c r="M1959" t="inlineStr">
        <is>
          <t>Torben Sudau</t>
        </is>
      </c>
      <c r="N1959" s="6">
        <f>HYPERLINK("https://www.kleinanzeigen.de/s-bestandsliste.html?userId=35542865", "Link")</f>
        <v/>
      </c>
      <c r="O1959" s="7" t="n">
        <v>45549.57240740741</v>
      </c>
      <c r="P1959" s="3" t="inlineStr">
        <is>
          <t>262.60</t>
        </is>
      </c>
      <c r="Q1959" t="inlineStr">
        <is>
          <t>Köln</t>
        </is>
      </c>
    </row>
    <row r="1960">
      <c r="A1960" t="inlineStr">
        <is>
          <t>245 x 51.5</t>
        </is>
      </c>
      <c r="B1960" t="inlineStr">
        <is>
          <t>Fanatic Francisco Goya</t>
        </is>
      </c>
      <c r="C1960" t="inlineStr">
        <is>
          <t>Wave</t>
        </is>
      </c>
      <c r="D1960" s="3" t="n">
        <v>64</v>
      </c>
      <c r="E1960" t="inlineStr"/>
      <c r="F1960" s="4" t="n">
        <v>19</v>
      </c>
      <c r="G1960" t="inlineStr">
        <is>
          <t>VB</t>
        </is>
      </c>
      <c r="H1960" t="inlineStr">
        <is>
          <t>14089 Berlin - Gatow</t>
        </is>
      </c>
      <c r="I1960" s="5" t="n">
        <v>45536</v>
      </c>
      <c r="J1960" t="inlineStr"/>
      <c r="K1960" s="6">
        <f>HYPERLINK("https://www.kleinanzeigen.de/s-anzeige/fanatic-francisco-goya-64l-245-x-51-5-waveboard-windsurfboard/2851490426-230-23975", "Link")</f>
        <v/>
      </c>
      <c r="L1960" s="6">
        <f>HYPERLINK("C:\Projects\Kleinanzeigen-Scraper\offer_images\2851490426", "Link")</f>
        <v/>
      </c>
      <c r="M1960" t="inlineStr">
        <is>
          <t>Henrik</t>
        </is>
      </c>
      <c r="N1960" s="6">
        <f>HYPERLINK("https://www.kleinanzeigen.de/s-bestandsliste.html?userId=5762713", "Link")</f>
        <v/>
      </c>
      <c r="O1960" s="7" t="n">
        <v>45549.57240740741</v>
      </c>
      <c r="P1960" s="3" t="inlineStr">
        <is>
          <t>459.79</t>
        </is>
      </c>
      <c r="Q1960" t="inlineStr">
        <is>
          <t>Köln</t>
        </is>
      </c>
    </row>
    <row r="1961">
      <c r="A1961" t="inlineStr"/>
      <c r="B1961" t="inlineStr">
        <is>
          <t>Fanatic Goya</t>
        </is>
      </c>
      <c r="C1961" t="inlineStr">
        <is>
          <t>Wave</t>
        </is>
      </c>
      <c r="D1961" s="3" t="inlineStr"/>
      <c r="E1961" t="inlineStr"/>
      <c r="F1961" s="4" t="n">
        <v>70</v>
      </c>
      <c r="G1961" t="inlineStr">
        <is>
          <t>VB</t>
        </is>
      </c>
      <c r="H1961" t="inlineStr">
        <is>
          <t>88276 Baden-Württemberg - Berg</t>
        </is>
      </c>
      <c r="I1961" s="5" t="n">
        <v>45515</v>
      </c>
      <c r="J1961" t="inlineStr"/>
      <c r="K1961" s="6">
        <f>HYPERLINK("https://www.kleinanzeigen.de/s-anzeige/fanatic-goya/2834009186-230-8272", "Link")</f>
        <v/>
      </c>
      <c r="L1961" s="6">
        <f>HYPERLINK("C:\Projects\Kleinanzeigen-Scraper\offer_images\2834009186", "Link")</f>
        <v/>
      </c>
      <c r="M1961" t="inlineStr">
        <is>
          <t>Karin</t>
        </is>
      </c>
      <c r="N1961" s="6">
        <f>HYPERLINK("https://www.kleinanzeigen.de/s-bestandsliste.html?userId=24467126", "Link")</f>
        <v/>
      </c>
      <c r="O1961" s="7" t="n">
        <v>45549.57240740741</v>
      </c>
      <c r="P1961" s="3" t="inlineStr">
        <is>
          <t>94.35</t>
        </is>
      </c>
      <c r="Q1961" t="inlineStr">
        <is>
          <t>Bonndorf</t>
        </is>
      </c>
    </row>
    <row r="1962">
      <c r="A1962" t="inlineStr">
        <is>
          <t>6'0"</t>
        </is>
      </c>
      <c r="B1962" t="inlineStr">
        <is>
          <t>Naish Sky Pirate</t>
        </is>
      </c>
      <c r="C1962" t="inlineStr">
        <is>
          <t>Wave</t>
        </is>
      </c>
      <c r="D1962" s="3" t="inlineStr"/>
      <c r="E1962" t="inlineStr"/>
      <c r="F1962" s="4" t="n">
        <v>60</v>
      </c>
      <c r="G1962" t="inlineStr">
        <is>
          <t>VB</t>
        </is>
      </c>
      <c r="H1962" t="inlineStr">
        <is>
          <t>87527 Bayern - Sonthofen</t>
        </is>
      </c>
      <c r="I1962" s="5" t="n">
        <v>45538</v>
      </c>
      <c r="J1962" t="inlineStr">
        <is>
          <t>Sold</t>
        </is>
      </c>
      <c r="K1962" s="6">
        <f>HYPERLINK("https://www.kleinanzeigen.de/s-anzeige/kiteboard-waveboard-naish-sky-pirate-6-0/2853316559-230-5537", "Link")</f>
        <v/>
      </c>
      <c r="L1962" s="6">
        <f>HYPERLINK("C:\Projects\Kleinanzeigen-Scraper\offer_images\2853316559", "Link")</f>
        <v/>
      </c>
      <c r="M1962" t="inlineStr">
        <is>
          <t>Jenny</t>
        </is>
      </c>
      <c r="N1962" s="6">
        <f>HYPERLINK("https://www.kleinanzeigen.de/s-bestandsliste.html?userId=34284391", "Link")</f>
        <v/>
      </c>
      <c r="O1962" s="7" t="n">
        <v>45549.57238425926</v>
      </c>
      <c r="P1962" s="3" t="inlineStr">
        <is>
          <t>118.69</t>
        </is>
      </c>
      <c r="Q1962" t="inlineStr">
        <is>
          <t>München</t>
        </is>
      </c>
    </row>
    <row r="1963">
      <c r="A1963" t="inlineStr">
        <is>
          <t>232 x 59 cm</t>
        </is>
      </c>
      <c r="B1963" t="inlineStr">
        <is>
          <t>Starboard Play</t>
        </is>
      </c>
      <c r="C1963" t="inlineStr">
        <is>
          <t>Freeride</t>
        </is>
      </c>
      <c r="D1963" s="3" t="n">
        <v>85</v>
      </c>
      <c r="E1963" t="inlineStr"/>
      <c r="F1963" s="4" t="n">
        <v>150</v>
      </c>
      <c r="G1963" t="inlineStr"/>
      <c r="H1963" t="inlineStr">
        <is>
          <t>01309 Dresden - Seevorstadt-Ost/Großer Garten</t>
        </is>
      </c>
      <c r="I1963" s="5" t="n">
        <v>45516</v>
      </c>
      <c r="J1963" t="inlineStr"/>
      <c r="K1963" s="6">
        <f>HYPERLINK("https://www.kleinanzeigen.de/s-anzeige/windsurfboard-starboard-play-aufsteigerboard/2835160264-230-23497", "Link")</f>
        <v/>
      </c>
      <c r="L1963" s="6">
        <f>HYPERLINK("C:\Projects\Kleinanzeigen-Scraper\offer_images\2835160264", "Link")</f>
        <v/>
      </c>
      <c r="M1963" t="inlineStr">
        <is>
          <t>Markus Czekalla</t>
        </is>
      </c>
      <c r="N1963" s="6">
        <f>HYPERLINK("https://www.kleinanzeigen.de/s-bestandsliste.html?userId=35091395", "Link")</f>
        <v/>
      </c>
      <c r="O1963" s="7" t="n">
        <v>45549.57238425926</v>
      </c>
      <c r="P1963" s="3" t="inlineStr">
        <is>
          <t>361.06</t>
        </is>
      </c>
      <c r="Q1963" t="inlineStr">
        <is>
          <t>München</t>
        </is>
      </c>
    </row>
    <row r="1964">
      <c r="A1964" t="inlineStr">
        <is>
          <t>5.5</t>
        </is>
      </c>
      <c r="B1964" t="inlineStr">
        <is>
          <t>Duotone Sky Free SLS</t>
        </is>
      </c>
      <c r="C1964" t="inlineStr"/>
      <c r="D1964" s="3" t="n">
        <v>105</v>
      </c>
      <c r="E1964" t="inlineStr">
        <is>
          <t>2024</t>
        </is>
      </c>
      <c r="F1964" s="4" t="n">
        <v>975</v>
      </c>
      <c r="G1964" t="inlineStr"/>
      <c r="H1964" t="inlineStr">
        <is>
          <t>82447 Bayern - Spatzenhausen</t>
        </is>
      </c>
      <c r="I1964" s="5" t="n">
        <v>45547</v>
      </c>
      <c r="J1964" t="inlineStr">
        <is>
          <t>Sold</t>
        </is>
      </c>
      <c r="K1964" s="6">
        <f>HYPERLINK("https://www.kleinanzeigen.de/s-anzeige/duotone-wing-board-sky-free-sls-5-5-modell-24/2861526974-230-5554", "Link")</f>
        <v/>
      </c>
      <c r="L1964" s="6">
        <f>HYPERLINK("C:\Projects\Kleinanzeigen-Scraper\offer_images\2861526974", "Link")</f>
        <v/>
      </c>
      <c r="M1964" t="inlineStr">
        <is>
          <t>De</t>
        </is>
      </c>
      <c r="N1964" s="6">
        <f>HYPERLINK("https://www.kleinanzeigen.de/s-bestandsliste.html?userId=6718925", "Link")</f>
        <v/>
      </c>
      <c r="O1964" s="7" t="n">
        <v>45549.57238425926</v>
      </c>
      <c r="P1964" s="3" t="inlineStr">
        <is>
          <t>54.26</t>
        </is>
      </c>
      <c r="Q1964" t="inlineStr">
        <is>
          <t>München</t>
        </is>
      </c>
    </row>
    <row r="1965">
      <c r="A1965" t="inlineStr"/>
      <c r="B1965" t="inlineStr">
        <is>
          <t>Starboard EVO</t>
        </is>
      </c>
      <c r="C1965" t="inlineStr">
        <is>
          <t>Freeride</t>
        </is>
      </c>
      <c r="D1965" s="3" t="n">
        <v>80</v>
      </c>
      <c r="E1965" t="inlineStr"/>
      <c r="F1965" s="4" t="n">
        <v>60</v>
      </c>
      <c r="G1965" t="inlineStr">
        <is>
          <t>VB</t>
        </is>
      </c>
      <c r="H1965" t="inlineStr">
        <is>
          <t>45768 Nordrhein-Westfalen - Marl</t>
        </is>
      </c>
      <c r="I1965" s="5" t="n">
        <v>45530</v>
      </c>
      <c r="J1965" t="inlineStr"/>
      <c r="K1965" s="6">
        <f>HYPERLINK("https://www.kleinanzeigen.de/s-anzeige/starboard-evo-80-surfboard-windsurfboard/2847306746-230-1774", "Link")</f>
        <v/>
      </c>
      <c r="L1965" s="6">
        <f>HYPERLINK("C:\Projects\Kleinanzeigen-Scraper\offer_images\2847306746", "Link")</f>
        <v/>
      </c>
      <c r="M1965" t="inlineStr">
        <is>
          <t>Hasenclever</t>
        </is>
      </c>
      <c r="N1965" s="6">
        <f>HYPERLINK("https://www.kleinanzeigen.de/s-bestandsliste.html?userId=3933455", "Link")</f>
        <v/>
      </c>
      <c r="O1965" s="7" t="n">
        <v>45549.57237268519</v>
      </c>
      <c r="P1965" s="3" t="inlineStr">
        <is>
          <t>80.12</t>
        </is>
      </c>
      <c r="Q1965" t="inlineStr">
        <is>
          <t>Köln</t>
        </is>
      </c>
    </row>
    <row r="1966">
      <c r="A1966" t="inlineStr">
        <is>
          <t>5'6" x 21.5"</t>
        </is>
      </c>
      <c r="B1966" t="inlineStr">
        <is>
          <t>Starboard</t>
        </is>
      </c>
      <c r="C1966" t="inlineStr">
        <is>
          <t>Wing</t>
        </is>
      </c>
      <c r="D1966" s="3" t="n">
        <v>59</v>
      </c>
      <c r="E1966" t="inlineStr">
        <is>
          <t>2022</t>
        </is>
      </c>
      <c r="F1966" s="4" t="n">
        <v>150</v>
      </c>
      <c r="G1966" t="inlineStr">
        <is>
          <t>VB</t>
        </is>
      </c>
      <c r="H1966" t="inlineStr">
        <is>
          <t>66125 Saarbrücken-Dudweiler - Dudweiler</t>
        </is>
      </c>
      <c r="I1966" s="5" t="n">
        <v>45516</v>
      </c>
      <c r="J1966" t="inlineStr">
        <is>
          <t>Sold</t>
        </is>
      </c>
      <c r="K1966" s="6">
        <f>HYPERLINK("https://www.kleinanzeigen.de/s-anzeige/starboard-wing-board/2835414348-230-390", "Link")</f>
        <v/>
      </c>
      <c r="L1966" s="6">
        <f>HYPERLINK("C:\Projects\Kleinanzeigen-Scraper\offer_images\2835414348", "Link")</f>
        <v/>
      </c>
      <c r="M1966" t="inlineStr">
        <is>
          <t>florian jung</t>
        </is>
      </c>
      <c r="N1966" s="6">
        <f>HYPERLINK("https://www.kleinanzeigen.de/s-bestandsliste.html?userId=35582255", "Link")</f>
        <v/>
      </c>
      <c r="O1966" s="7" t="n">
        <v>45549.57237268519</v>
      </c>
      <c r="P1966" s="3" t="inlineStr">
        <is>
          <t>104.07</t>
        </is>
      </c>
      <c r="Q1966" t="inlineStr">
        <is>
          <t>Karlsruhe</t>
        </is>
      </c>
    </row>
    <row r="1967">
      <c r="A1967" t="inlineStr"/>
      <c r="B1967" t="inlineStr">
        <is>
          <t>Naish Hover Wingfoil Ascend Carbon Ultra</t>
        </is>
      </c>
      <c r="C1967" t="inlineStr"/>
      <c r="D1967" s="3" t="n">
        <v>82</v>
      </c>
      <c r="E1967" t="inlineStr">
        <is>
          <t>2024</t>
        </is>
      </c>
      <c r="F1967" s="4" t="n">
        <v>849</v>
      </c>
      <c r="G1967" t="inlineStr">
        <is>
          <t>VB</t>
        </is>
      </c>
      <c r="H1967" t="inlineStr">
        <is>
          <t>22549 Altona - Hamburg Bahrenfeld</t>
        </is>
      </c>
      <c r="I1967" s="5" t="n">
        <v>45496</v>
      </c>
      <c r="J1967" t="inlineStr">
        <is>
          <t>Sold</t>
        </is>
      </c>
      <c r="K1967" s="6">
        <f>HYPERLINK("https://www.kleinanzeigen.de/s-anzeige/naish-hover-wingfoil-ascend-carbon-ultra-2024-82l/2818862668-230-26483", "Link")</f>
        <v/>
      </c>
      <c r="L1967" s="6">
        <f>HYPERLINK("C:\Projects\Kleinanzeigen-Scraper\offer_images\2818862668", "Link")</f>
        <v/>
      </c>
      <c r="M1967" t="inlineStr">
        <is>
          <t>F. Jacobs</t>
        </is>
      </c>
      <c r="N1967" s="6">
        <f>HYPERLINK("https://www.kleinanzeigen.de/s-bestandsliste.html?userId=11056941", "Link")</f>
        <v/>
      </c>
      <c r="O1967" s="7" t="n">
        <v>45549.57236111111</v>
      </c>
      <c r="P1967" s="3" t="inlineStr">
        <is>
          <t>354.40</t>
        </is>
      </c>
      <c r="Q1967" t="inlineStr">
        <is>
          <t>Köln</t>
        </is>
      </c>
    </row>
    <row r="1968">
      <c r="A1968" t="inlineStr"/>
      <c r="B1968" t="inlineStr">
        <is>
          <t>Starboard EVO XTV 75</t>
        </is>
      </c>
      <c r="C1968" t="inlineStr"/>
      <c r="D1968" s="3" t="inlineStr"/>
      <c r="E1968" t="inlineStr"/>
      <c r="F1968" s="4" t="n">
        <v>115</v>
      </c>
      <c r="G1968" t="inlineStr">
        <is>
          <t>VB</t>
        </is>
      </c>
      <c r="H1968" t="inlineStr">
        <is>
          <t>24629 Schleswig-Holstein - Kisdorf</t>
        </is>
      </c>
      <c r="I1968" s="5" t="n">
        <v>45532</v>
      </c>
      <c r="J1968" t="inlineStr"/>
      <c r="K1968" s="6">
        <f>HYPERLINK("https://www.kleinanzeigen.de/s-anzeige/surfboard-surfbrett-starboard-evo-xtv-75-top-zustand-/2848741526-230-628", "Link")</f>
        <v/>
      </c>
      <c r="L1968" s="6">
        <f>HYPERLINK("C:\Projects\Kleinanzeigen-Scraper\offer_images\2848741526", "Link")</f>
        <v/>
      </c>
      <c r="M1968" t="inlineStr">
        <is>
          <t>Christian</t>
        </is>
      </c>
      <c r="N1968" s="6">
        <f>HYPERLINK("https://www.kleinanzeigen.de/s-bestandsliste.html?userId=10619387", "Link")</f>
        <v/>
      </c>
      <c r="O1968" s="7" t="n">
        <v>45549.57236111111</v>
      </c>
      <c r="P1968" s="3" t="inlineStr">
        <is>
          <t>380.51</t>
        </is>
      </c>
      <c r="Q1968" t="inlineStr">
        <is>
          <t>Köln</t>
        </is>
      </c>
    </row>
    <row r="1969">
      <c r="A1969" t="inlineStr">
        <is>
          <t>222 x 60.5</t>
        </is>
      </c>
      <c r="B1969" t="inlineStr">
        <is>
          <t>Tabou Da Bomb</t>
        </is>
      </c>
      <c r="C1969" t="inlineStr"/>
      <c r="D1969" s="3" t="n">
        <v>94</v>
      </c>
      <c r="E1969" t="inlineStr"/>
      <c r="F1969" s="4" t="n">
        <v>650</v>
      </c>
      <c r="G1969" t="inlineStr">
        <is>
          <t>VB</t>
        </is>
      </c>
      <c r="H1969" t="inlineStr">
        <is>
          <t>18211 Bad Doberan - Landkreis - Bargeshagen</t>
        </is>
      </c>
      <c r="I1969" s="5" t="n">
        <v>45541</v>
      </c>
      <c r="J1969" t="inlineStr"/>
      <c r="K1969" s="6">
        <f>HYPERLINK("https://www.kleinanzeigen.de/s-anzeige/tabou-da-bomb-94l-windsurfboard/2855634808-230-16583", "Link")</f>
        <v/>
      </c>
      <c r="L1969" s="6">
        <f>HYPERLINK("C:\Projects\Kleinanzeigen-Scraper\offer_images\2855634808", "Link")</f>
        <v/>
      </c>
      <c r="M1969" t="inlineStr">
        <is>
          <t>Dirk</t>
        </is>
      </c>
      <c r="N1969" s="6">
        <f>HYPERLINK("https://www.kleinanzeigen.de/s-bestandsliste.html?userId=141661148", "Link")</f>
        <v/>
      </c>
      <c r="O1969" s="7" t="n">
        <v>45549.57233796296</v>
      </c>
      <c r="P1969" s="3" t="inlineStr">
        <is>
          <t>490.50</t>
        </is>
      </c>
      <c r="Q1969" t="inlineStr">
        <is>
          <t>Köln</t>
        </is>
      </c>
    </row>
    <row r="1970">
      <c r="A1970" t="inlineStr">
        <is>
          <t>274 cm x 57 cm</t>
        </is>
      </c>
      <c r="B1970" t="inlineStr">
        <is>
          <t>Fanatic Bee</t>
        </is>
      </c>
      <c r="C1970" t="inlineStr"/>
      <c r="D1970" s="3" t="n">
        <v>103</v>
      </c>
      <c r="E1970" t="inlineStr"/>
      <c r="F1970" s="4" t="n">
        <v>30</v>
      </c>
      <c r="G1970" t="inlineStr">
        <is>
          <t>VB</t>
        </is>
      </c>
      <c r="H1970" t="inlineStr">
        <is>
          <t>52074 Aachen - Aachen-Südviertel</t>
        </is>
      </c>
      <c r="I1970" s="5" t="n">
        <v>45529</v>
      </c>
      <c r="J1970" t="inlineStr">
        <is>
          <t>Sold</t>
        </is>
      </c>
      <c r="K1970" s="6">
        <f>HYPERLINK("https://www.kleinanzeigen.de/s-anzeige/fanatic-bee-274-cm-103-l/2846060493-230-24625", "Link")</f>
        <v/>
      </c>
      <c r="L1970" s="6">
        <f>HYPERLINK("C:\Projects\Kleinanzeigen-Scraper\offer_images\2846060493", "Link")</f>
        <v/>
      </c>
      <c r="M1970" t="inlineStr">
        <is>
          <t>Thorsten Schumacher</t>
        </is>
      </c>
      <c r="N1970" s="6">
        <f>HYPERLINK("https://www.kleinanzeigen.de/s-bestandsliste.html?userId=5016327", "Link")</f>
        <v/>
      </c>
      <c r="O1970" s="7" t="n">
        <v>45549.57233796296</v>
      </c>
      <c r="P1970" s="3" t="inlineStr">
        <is>
          <t>66.56</t>
        </is>
      </c>
      <c r="Q1970" t="inlineStr">
        <is>
          <t>Köln</t>
        </is>
      </c>
    </row>
    <row r="1971">
      <c r="A1971" t="inlineStr">
        <is>
          <t>325 cm x 86 cm x 14 cm</t>
        </is>
      </c>
      <c r="B1971" t="inlineStr">
        <is>
          <t>Fanatic Fly Air Premium</t>
        </is>
      </c>
      <c r="C1971" t="inlineStr">
        <is>
          <t>Stand Up Board</t>
        </is>
      </c>
      <c r="D1971" s="3" t="n">
        <v>306</v>
      </c>
      <c r="E1971" t="inlineStr"/>
      <c r="F1971" s="4" t="n">
        <v>350</v>
      </c>
      <c r="G1971" t="inlineStr">
        <is>
          <t>VB</t>
        </is>
      </c>
      <c r="H1971" t="inlineStr">
        <is>
          <t>04928 Brandenburg - Plessa</t>
        </is>
      </c>
      <c r="I1971" s="5" t="n">
        <v>45517</v>
      </c>
      <c r="J1971" t="inlineStr">
        <is>
          <t>Sold</t>
        </is>
      </c>
      <c r="K1971" s="6">
        <f>HYPERLINK("https://www.kleinanzeigen.de/s-anzeige/fanatic-fly-air-premium-10-8-stand-up-board/2835889823-230-20492", "Link")</f>
        <v/>
      </c>
      <c r="L1971" s="6">
        <f>HYPERLINK("C:\Projects\Kleinanzeigen-Scraper\offer_images\2835889823", "Link")</f>
        <v/>
      </c>
      <c r="M1971" t="inlineStr">
        <is>
          <t>Frieda</t>
        </is>
      </c>
      <c r="N1971" s="6">
        <f>HYPERLINK("https://www.kleinanzeigen.de/s-bestandsliste.html?userId=53685182", "Link")</f>
        <v/>
      </c>
      <c r="O1971" s="7" t="n">
        <v>45549.57232638889</v>
      </c>
      <c r="P1971" s="3" t="inlineStr">
        <is>
          <t>398.41</t>
        </is>
      </c>
      <c r="Q1971" t="inlineStr">
        <is>
          <t>München</t>
        </is>
      </c>
    </row>
    <row r="1972">
      <c r="A1972" t="inlineStr">
        <is>
          <t>Dimensions not specified</t>
        </is>
      </c>
      <c r="B1972" t="inlineStr">
        <is>
          <t>JP Australia SLR 62 Pro Edition</t>
        </is>
      </c>
      <c r="C1972" t="inlineStr">
        <is>
          <t>Slalom</t>
        </is>
      </c>
      <c r="D1972" s="3" t="inlineStr"/>
      <c r="E1972" t="inlineStr"/>
      <c r="F1972" s="4" t="n">
        <v>520</v>
      </c>
      <c r="G1972" t="inlineStr">
        <is>
          <t>VB</t>
        </is>
      </c>
      <c r="H1972" t="inlineStr">
        <is>
          <t>82436 Bayern - Eglfing</t>
        </is>
      </c>
      <c r="I1972" s="5" t="n">
        <v>45505</v>
      </c>
      <c r="J1972" t="inlineStr">
        <is>
          <t>Sold</t>
        </is>
      </c>
      <c r="K1972" s="6">
        <f>HYPERLINK("https://www.kleinanzeigen.de/s-anzeige/jp-australia-slr-62-pro-edition-slalom-windsurfboard/2826379516-230-5550", "Link")</f>
        <v/>
      </c>
      <c r="L1972" s="6">
        <f>HYPERLINK("C:\Projects\Kleinanzeigen-Scraper\offer_images\2826379516", "Link")</f>
        <v/>
      </c>
      <c r="M1972" t="inlineStr">
        <is>
          <t>Fabian</t>
        </is>
      </c>
      <c r="N1972" s="6">
        <f>HYPERLINK("https://www.kleinanzeigen.de/s-bestandsliste.html?userId=22486204", "Link")</f>
        <v/>
      </c>
      <c r="O1972" s="7" t="n">
        <v>45549.57230324074</v>
      </c>
      <c r="P1972" s="3" t="inlineStr">
        <is>
          <t>53.89</t>
        </is>
      </c>
      <c r="Q1972" t="inlineStr">
        <is>
          <t>München</t>
        </is>
      </c>
    </row>
    <row r="1973">
      <c r="A1973" t="inlineStr">
        <is>
          <t>10.6' x 32' x 5'</t>
        </is>
      </c>
      <c r="B1973" t="inlineStr">
        <is>
          <t>JP Australia AllroundAir LEC</t>
        </is>
      </c>
      <c r="C1973" t="inlineStr">
        <is>
          <t>Allround</t>
        </is>
      </c>
      <c r="D1973" s="3" t="inlineStr"/>
      <c r="E1973" t="inlineStr"/>
      <c r="F1973" s="4" t="n">
        <v>290</v>
      </c>
      <c r="G1973" t="inlineStr"/>
      <c r="H1973" t="inlineStr">
        <is>
          <t>22941 Schleswig-Holstein - Delingsdorf</t>
        </is>
      </c>
      <c r="I1973" s="5" t="n">
        <v>45524</v>
      </c>
      <c r="J1973" t="inlineStr"/>
      <c r="K1973" s="6">
        <f>HYPERLINK("https://www.kleinanzeigen.de/s-anzeige/sup-jp-australia-allroundair-lec-10-6-x32-x5-/2841872432-230-24586", "Link")</f>
        <v/>
      </c>
      <c r="L1973" s="6">
        <f>HYPERLINK("C:\Projects\Kleinanzeigen-Scraper\offer_images\2841872432", "Link")</f>
        <v/>
      </c>
      <c r="M1973" t="inlineStr">
        <is>
          <t>O aus D</t>
        </is>
      </c>
      <c r="N1973" s="6">
        <f>HYPERLINK("https://www.kleinanzeigen.de/s-bestandsliste.html?userId=1337381", "Link")</f>
        <v/>
      </c>
      <c r="O1973" s="7" t="n">
        <v>45549.57230324074</v>
      </c>
      <c r="P1973" s="3" t="inlineStr">
        <is>
          <t>382.34</t>
        </is>
      </c>
      <c r="Q1973" t="inlineStr">
        <is>
          <t>Köln</t>
        </is>
      </c>
    </row>
    <row r="1974">
      <c r="A1974" t="inlineStr">
        <is>
          <t>246cm x 78cm</t>
        </is>
      </c>
      <c r="B1974" t="inlineStr">
        <is>
          <t>Fanatic Gecko Foil Edition</t>
        </is>
      </c>
      <c r="C1974" t="inlineStr">
        <is>
          <t>Foil</t>
        </is>
      </c>
      <c r="D1974" s="3" t="n">
        <v>133</v>
      </c>
      <c r="E1974" t="inlineStr"/>
      <c r="F1974" s="4" t="n">
        <v>900</v>
      </c>
      <c r="G1974" t="inlineStr">
        <is>
          <t>VB</t>
        </is>
      </c>
      <c r="H1974" t="inlineStr">
        <is>
          <t>14513 Brandenburg - Teltow</t>
        </is>
      </c>
      <c r="I1974" s="5" t="n">
        <v>45516</v>
      </c>
      <c r="J1974" t="inlineStr">
        <is>
          <t>Sold</t>
        </is>
      </c>
      <c r="K1974" s="6">
        <f>HYPERLINK("https://www.kleinanzeigen.de/s-anzeige/windsurfbrett-foil-fanatic-gecko-foil-edition-133l-inkl-foil/2835560906-230-7939", "Link")</f>
        <v/>
      </c>
      <c r="L1974" s="6">
        <f>HYPERLINK("C:\Projects\Kleinanzeigen-Scraper\offer_images\2835560906", "Link")</f>
        <v/>
      </c>
      <c r="M1974" t="inlineStr">
        <is>
          <t>Meinhard</t>
        </is>
      </c>
      <c r="N1974" s="6">
        <f>HYPERLINK("https://www.kleinanzeigen.de/s-bestandsliste.html?userId=7396805", "Link")</f>
        <v/>
      </c>
      <c r="O1974" s="7" t="n">
        <v>45549.57230324074</v>
      </c>
      <c r="P1974" s="3" t="inlineStr">
        <is>
          <t>464.56</t>
        </is>
      </c>
      <c r="Q1974" t="inlineStr">
        <is>
          <t>Köln</t>
        </is>
      </c>
    </row>
    <row r="1975">
      <c r="A1975" t="inlineStr"/>
      <c r="B1975" t="inlineStr">
        <is>
          <t>North Nugget</t>
        </is>
      </c>
      <c r="C1975" t="inlineStr">
        <is>
          <t>Wave Directional</t>
        </is>
      </c>
      <c r="D1975" s="3" t="inlineStr"/>
      <c r="E1975" t="inlineStr"/>
      <c r="F1975" s="4" t="n">
        <v>250</v>
      </c>
      <c r="G1975" t="inlineStr">
        <is>
          <t>VB</t>
        </is>
      </c>
      <c r="H1975" t="inlineStr">
        <is>
          <t>22926 Schleswig-Holstein - Ahrensburg</t>
        </is>
      </c>
      <c r="I1975" s="5" t="n">
        <v>45543</v>
      </c>
      <c r="J1975" t="inlineStr">
        <is>
          <t>Sold</t>
        </is>
      </c>
      <c r="K1975" s="6">
        <f>HYPERLINK("https://www.kleinanzeigen.de/s-anzeige/north-nugget-5-2-kiteboard-wave-directional-inkl-boardbag/2835926870-230-922", "Link")</f>
        <v/>
      </c>
      <c r="L1975" s="6">
        <f>HYPERLINK("C:\Projects\Kleinanzeigen-Scraper\offer_images\2835926870", "Link")</f>
        <v/>
      </c>
      <c r="M1975" t="inlineStr">
        <is>
          <t>Christian</t>
        </is>
      </c>
      <c r="N1975" s="6">
        <f>HYPERLINK("https://www.kleinanzeigen.de/s-bestandsliste.html?userId=5334461", "Link")</f>
        <v/>
      </c>
      <c r="O1975" s="7" t="n">
        <v>45549.57230324074</v>
      </c>
      <c r="P1975" s="3" t="inlineStr">
        <is>
          <t>377.16</t>
        </is>
      </c>
      <c r="Q1975" t="inlineStr">
        <is>
          <t>Köln</t>
        </is>
      </c>
    </row>
    <row r="1976">
      <c r="A1976" t="inlineStr">
        <is>
          <t>138cm x 41.5cm, 142cm x 42cm</t>
        </is>
      </c>
      <c r="B1976" t="inlineStr">
        <is>
          <t>Naish S26 TT Drive</t>
        </is>
      </c>
      <c r="C1976" t="inlineStr">
        <is>
          <t>Freeride</t>
        </is>
      </c>
      <c r="D1976" s="3" t="inlineStr"/>
      <c r="E1976" t="inlineStr">
        <is>
          <t>2022</t>
        </is>
      </c>
      <c r="F1976" s="4" t="n">
        <v>721</v>
      </c>
      <c r="G1976" t="inlineStr">
        <is>
          <t>VB</t>
        </is>
      </c>
      <c r="H1976" t="inlineStr">
        <is>
          <t>18586 Mecklenburg-Vorpommern - Mönchgut, Ostseebad</t>
        </is>
      </c>
      <c r="I1976" s="5" t="n">
        <v>45557</v>
      </c>
      <c r="J1976" t="inlineStr">
        <is>
          <t>Sold</t>
        </is>
      </c>
      <c r="K1976" s="6">
        <f>HYPERLINK("https://www.kleinanzeigen.de/s-anzeige/naish-s26-kiteboard-tt-drive-2022-15-neu-mit-pads-20-neu/1302435930-230-120", "Link")</f>
        <v/>
      </c>
      <c r="L1976" s="6">
        <f>HYPERLINK("C:\Projects\Kleinanzeigen-Scraper\offer_images\1302435930", "Link")</f>
        <v/>
      </c>
      <c r="M1976" t="inlineStr">
        <is>
          <t>No user name</t>
        </is>
      </c>
      <c r="N1976" s="6">
        <f>HYPERLINK("https://www.kleinanzeigen.deNo user link", "Link")</f>
        <v/>
      </c>
      <c r="O1976" s="7" t="n">
        <v>45549.57228009259</v>
      </c>
      <c r="P1976" s="3" t="inlineStr">
        <is>
          <t>591.22</t>
        </is>
      </c>
      <c r="Q1976" t="inlineStr">
        <is>
          <t>Köln</t>
        </is>
      </c>
    </row>
    <row r="1977">
      <c r="A1977" t="inlineStr">
        <is>
          <t>237 x 66.5</t>
        </is>
      </c>
      <c r="B1977" t="inlineStr">
        <is>
          <t>Fanatic Skate</t>
        </is>
      </c>
      <c r="C1977" t="inlineStr">
        <is>
          <t>Freestyle</t>
        </is>
      </c>
      <c r="D1977" s="3" t="n">
        <v>110</v>
      </c>
      <c r="E1977" t="inlineStr">
        <is>
          <t>2012</t>
        </is>
      </c>
      <c r="F1977" s="4" t="n">
        <v>170</v>
      </c>
      <c r="G1977" t="inlineStr"/>
      <c r="H1977" t="inlineStr">
        <is>
          <t>22045 Wandsbek - Hamburg Jenfeld</t>
        </is>
      </c>
      <c r="I1977" s="5" t="n">
        <v>45522</v>
      </c>
      <c r="J1977" t="inlineStr">
        <is>
          <t>Sold</t>
        </is>
      </c>
      <c r="K1977" s="6">
        <f>HYPERLINK("https://www.kleinanzeigen.de/s-anzeige/fanatic-skate-110/2840197103-230-9464", "Link")</f>
        <v/>
      </c>
      <c r="L1977" s="6">
        <f>HYPERLINK("C:\Projects\Kleinanzeigen-Scraper\offer_images\2840197103", "Link")</f>
        <v/>
      </c>
      <c r="M1977" t="inlineStr">
        <is>
          <t>M. Schmidt</t>
        </is>
      </c>
      <c r="N1977" s="6">
        <f>HYPERLINK("https://www.kleinanzeigen.de/s-bestandsliste.html?userId=10374365", "Link")</f>
        <v/>
      </c>
      <c r="O1977" s="7" t="n">
        <v>45549.57228009259</v>
      </c>
      <c r="P1977" s="3" t="inlineStr">
        <is>
          <t>364.91</t>
        </is>
      </c>
      <c r="Q1977" t="inlineStr">
        <is>
          <t>Köln</t>
        </is>
      </c>
    </row>
    <row r="1978">
      <c r="A1978" t="inlineStr">
        <is>
          <t>142</t>
        </is>
      </c>
      <c r="B1978" t="inlineStr">
        <is>
          <t>Duotone Gonzales</t>
        </is>
      </c>
      <c r="C1978" t="inlineStr">
        <is>
          <t>Kiteboard</t>
        </is>
      </c>
      <c r="D1978" s="3" t="inlineStr"/>
      <c r="E1978" t="inlineStr">
        <is>
          <t>2024</t>
        </is>
      </c>
      <c r="F1978" s="4" t="n">
        <v>509</v>
      </c>
      <c r="G1978" t="inlineStr">
        <is>
          <t>VB</t>
        </is>
      </c>
      <c r="H1978" t="inlineStr">
        <is>
          <t>26125 Niedersachsen - Oldenburg</t>
        </is>
      </c>
      <c r="I1978" s="5" t="n">
        <v>45545</v>
      </c>
      <c r="J1978" t="inlineStr">
        <is>
          <t>Sold</t>
        </is>
      </c>
      <c r="K1978" s="6">
        <f>HYPERLINK("https://www.kleinanzeigen.de/s-anzeige/duotone-kiteboard-gonzales-inkl-ntt-bindung-2024-142-ntt-l-xl/2859567320-230-3111", "Link")</f>
        <v/>
      </c>
      <c r="L1978" s="6">
        <f>HYPERLINK("C:\Projects\Kleinanzeigen-Scraper\offer_images\2859567320", "Link")</f>
        <v/>
      </c>
      <c r="M1978" t="inlineStr">
        <is>
          <t>No user name</t>
        </is>
      </c>
      <c r="N1978" s="6">
        <f>HYPERLINK("https://www.kleinanzeigen.deNo user link", "Link")</f>
        <v/>
      </c>
      <c r="O1978" s="7" t="n">
        <v>45549.57225694445</v>
      </c>
      <c r="P1978" s="3" t="inlineStr">
        <is>
          <t>264.10</t>
        </is>
      </c>
      <c r="Q1978" t="inlineStr">
        <is>
          <t>Köln</t>
        </is>
      </c>
    </row>
    <row r="1979">
      <c r="A1979" t="inlineStr">
        <is>
          <t>79</t>
        </is>
      </c>
      <c r="B1979" t="inlineStr">
        <is>
          <t>Starboard x15</t>
        </is>
      </c>
      <c r="C1979" t="inlineStr"/>
      <c r="D1979" s="3" t="inlineStr"/>
      <c r="E1979" t="inlineStr">
        <is>
          <t>2024</t>
        </is>
      </c>
      <c r="F1979" s="4" t="n">
        <v>1.55</v>
      </c>
      <c r="G1979" t="inlineStr"/>
      <c r="H1979" t="inlineStr">
        <is>
          <t>04626 Thüringen - Schmoelln</t>
        </is>
      </c>
      <c r="I1979" s="5" t="n">
        <v>45511</v>
      </c>
      <c r="J1979" t="inlineStr">
        <is>
          <t>Sold</t>
        </is>
      </c>
      <c r="K1979" s="6">
        <f>HYPERLINK("https://www.kleinanzeigen.de/s-anzeige/starboard-x15-79-2024-neu/2831552097-230-4176", "Link")</f>
        <v/>
      </c>
      <c r="L1979" s="6">
        <f>HYPERLINK("C:\Projects\Kleinanzeigen-Scraper\offer_images\2831552097", "Link")</f>
        <v/>
      </c>
      <c r="M1979" t="inlineStr">
        <is>
          <t>Fritz</t>
        </is>
      </c>
      <c r="N1979" s="6">
        <f>HYPERLINK("https://www.kleinanzeigen.de/s-bestandsliste.html?userId=9166072", "Link")</f>
        <v/>
      </c>
      <c r="O1979" s="7" t="n">
        <v>45549.57225694445</v>
      </c>
      <c r="P1979" s="3" t="inlineStr">
        <is>
          <t>310.28</t>
        </is>
      </c>
      <c r="Q1979" t="inlineStr">
        <is>
          <t>München</t>
        </is>
      </c>
    </row>
    <row r="1980">
      <c r="A1980" t="inlineStr">
        <is>
          <t>234 x 58</t>
        </is>
      </c>
      <c r="B1980" t="inlineStr">
        <is>
          <t>Starboard Evo 80 Wood Edition</t>
        </is>
      </c>
      <c r="C1980" t="inlineStr">
        <is>
          <t>Freeride</t>
        </is>
      </c>
      <c r="D1980" s="3" t="inlineStr"/>
      <c r="E1980" t="inlineStr"/>
      <c r="F1980" s="4" t="n">
        <v>105</v>
      </c>
      <c r="G1980" t="inlineStr"/>
      <c r="H1980" t="inlineStr">
        <is>
          <t>21244 Niedersachsen - Buchholz in der Nordheide</t>
        </is>
      </c>
      <c r="I1980" s="5" t="n">
        <v>45532</v>
      </c>
      <c r="J1980" t="inlineStr"/>
      <c r="K1980" s="6">
        <f>HYPERLINK("https://www.kleinanzeigen.de/s-anzeige/starboard-evo-80-wood-edition-surfboard/2848240469-230-14101", "Link")</f>
        <v/>
      </c>
      <c r="L1980" s="6">
        <f>HYPERLINK("C:\Projects\Kleinanzeigen-Scraper\offer_images\2848240469", "Link")</f>
        <v/>
      </c>
      <c r="M1980" t="inlineStr">
        <is>
          <t>Privat</t>
        </is>
      </c>
      <c r="N1980" s="6">
        <f>HYPERLINK("https://www.kleinanzeigen.de/s-bestandsliste.html?userId=23103421", "Link")</f>
        <v/>
      </c>
      <c r="O1980" s="7" t="n">
        <v>45549.57225694445</v>
      </c>
      <c r="P1980" s="3" t="inlineStr">
        <is>
          <t>330.99</t>
        </is>
      </c>
      <c r="Q1980" t="inlineStr">
        <is>
          <t>Köln</t>
        </is>
      </c>
    </row>
    <row r="1981">
      <c r="A1981" t="inlineStr">
        <is>
          <t>281 x 63</t>
        </is>
      </c>
      <c r="B1981" t="inlineStr">
        <is>
          <t>RRD Surfboard</t>
        </is>
      </c>
      <c r="C1981" t="inlineStr"/>
      <c r="D1981" s="3" t="n">
        <v>102</v>
      </c>
      <c r="E1981" t="inlineStr"/>
      <c r="F1981" s="4" t="n">
        <v>100</v>
      </c>
      <c r="G1981" t="inlineStr"/>
      <c r="H1981" t="inlineStr">
        <is>
          <t>18211 Bad Doberan - Landkreis - Nienhagen MV</t>
        </is>
      </c>
      <c r="I1981" s="5" t="n">
        <v>45482</v>
      </c>
      <c r="J1981" t="inlineStr">
        <is>
          <t>Sold</t>
        </is>
      </c>
      <c r="K1981" s="6">
        <f>HYPERLINK("https://www.kleinanzeigen.de/s-anzeige/rrd-surfboard-windsurfboard-102-l/2808147385-230-16589", "Link")</f>
        <v/>
      </c>
      <c r="L1981" s="6">
        <f>HYPERLINK("C:\Projects\Kleinanzeigen-Scraper\offer_images\2808147385", "Link")</f>
        <v/>
      </c>
      <c r="M1981" t="inlineStr">
        <is>
          <t>Nancy</t>
        </is>
      </c>
      <c r="N1981" s="6">
        <f>HYPERLINK("https://www.kleinanzeigen.de/s-bestandsliste.html?userId=3971503", "Link")</f>
        <v/>
      </c>
      <c r="O1981" s="7" t="n">
        <v>45549.57224537037</v>
      </c>
      <c r="P1981" s="3" t="inlineStr">
        <is>
          <t>490.50</t>
        </is>
      </c>
      <c r="Q1981" t="inlineStr">
        <is>
          <t>Köln</t>
        </is>
      </c>
    </row>
    <row r="1982">
      <c r="A1982" t="inlineStr"/>
      <c r="B1982" t="inlineStr">
        <is>
          <t>Tabou Rocket</t>
        </is>
      </c>
      <c r="C1982" t="inlineStr"/>
      <c r="D1982" s="3" t="inlineStr"/>
      <c r="E1982" t="inlineStr"/>
      <c r="F1982" s="4" t="n">
        <v>840</v>
      </c>
      <c r="G1982" t="inlineStr"/>
      <c r="H1982" t="inlineStr">
        <is>
          <t>57078 Nordrhein-Westfalen - Siegen</t>
        </is>
      </c>
      <c r="I1982" s="5" t="n">
        <v>45549</v>
      </c>
      <c r="J1982" t="inlineStr">
        <is>
          <t>Sold</t>
        </is>
      </c>
      <c r="K1982" s="6">
        <f>HYPERLINK("https://www.kleinanzeigen.de/s-anzeige/tabou-rocket-neu/2858733827-230-1030", "Link")</f>
        <v/>
      </c>
      <c r="L1982" s="6">
        <f>HYPERLINK("C:\Projects\Kleinanzeigen-Scraper\offer_images\2858733827", "Link")</f>
        <v/>
      </c>
      <c r="M1982" t="inlineStr">
        <is>
          <t>Rudolf</t>
        </is>
      </c>
      <c r="N1982" s="6">
        <f>HYPERLINK("https://www.kleinanzeigen.de/s-bestandsliste.html?userId=16368232", "Link")</f>
        <v/>
      </c>
      <c r="O1982" s="7" t="n">
        <v>45549.57223379629</v>
      </c>
      <c r="P1982" s="3" t="inlineStr">
        <is>
          <t>72.53</t>
        </is>
      </c>
      <c r="Q1982" t="inlineStr">
        <is>
          <t>Köln</t>
        </is>
      </c>
    </row>
    <row r="1983">
      <c r="A1983" t="inlineStr"/>
      <c r="B1983" t="inlineStr">
        <is>
          <t>Roberto Ricci Design</t>
        </is>
      </c>
      <c r="C1983" t="inlineStr">
        <is>
          <t>Lightwind</t>
        </is>
      </c>
      <c r="D1983" s="3" t="inlineStr"/>
      <c r="E1983" t="inlineStr"/>
      <c r="F1983" s="4" t="n">
        <v>140</v>
      </c>
      <c r="G1983" t="inlineStr">
        <is>
          <t>VB</t>
        </is>
      </c>
      <c r="H1983" t="inlineStr">
        <is>
          <t>48308 Nordrhein-Westfalen - Senden</t>
        </is>
      </c>
      <c r="I1983" s="5" t="n">
        <v>45054</v>
      </c>
      <c r="J1983" t="inlineStr">
        <is>
          <t>Sold</t>
        </is>
      </c>
      <c r="K1983" s="6">
        <f>HYPERLINK("https://www.kleinanzeigen.de/s-anzeige/kiteboard-roberto-ricci-design-rrd-/2436375380-230-13379", "Link")</f>
        <v/>
      </c>
      <c r="L1983" s="6">
        <f>HYPERLINK("C:\Projects\Kleinanzeigen-Scraper\offer_images\2436375380", "Link")</f>
        <v/>
      </c>
      <c r="M1983" t="inlineStr">
        <is>
          <t>hs</t>
        </is>
      </c>
      <c r="N1983" s="6">
        <f>HYPERLINK("https://www.kleinanzeigen.de/s-bestandsliste.html?userId=35558546", "Link")</f>
        <v/>
      </c>
      <c r="O1983" s="7" t="n">
        <v>45549.57223379629</v>
      </c>
      <c r="P1983" s="3" t="inlineStr">
        <is>
          <t>108.75</t>
        </is>
      </c>
      <c r="Q1983" t="inlineStr">
        <is>
          <t>Köln</t>
        </is>
      </c>
    </row>
    <row r="1984">
      <c r="A1984" t="inlineStr">
        <is>
          <t>5'5" x 19 1/2" x 2 1/4"</t>
        </is>
      </c>
      <c r="B1984" t="inlineStr">
        <is>
          <t>RRD Spark Wood</t>
        </is>
      </c>
      <c r="C1984" t="inlineStr">
        <is>
          <t>Freestyle</t>
        </is>
      </c>
      <c r="D1984" s="3" t="inlineStr"/>
      <c r="E1984" t="inlineStr"/>
      <c r="F1984" s="4" t="n">
        <v>180</v>
      </c>
      <c r="G1984" t="inlineStr">
        <is>
          <t>VB</t>
        </is>
      </c>
      <c r="H1984" t="inlineStr">
        <is>
          <t>50996 Köln - Rodenkirchen</t>
        </is>
      </c>
      <c r="I1984" s="5" t="n">
        <v>45494</v>
      </c>
      <c r="J1984" t="inlineStr">
        <is>
          <t>Sold</t>
        </is>
      </c>
      <c r="K1984" s="6">
        <f>HYPERLINK("https://www.kleinanzeigen.de/s-anzeige/rrd-spark-wood-freestyle-in-5-5-x-19-1-2-x-2-1-4-surfboard/2817128929-230-956", "Link")</f>
        <v/>
      </c>
      <c r="L1984" s="6">
        <f>HYPERLINK("C:\Projects\Kleinanzeigen-Scraper\offer_images\2817128929", "Link")</f>
        <v/>
      </c>
      <c r="M1984" t="inlineStr">
        <is>
          <t>Clemens</t>
        </is>
      </c>
      <c r="N1984" s="6">
        <f>HYPERLINK("https://www.kleinanzeigen.de/s-bestandsliste.html?userId=53794114", "Link")</f>
        <v/>
      </c>
      <c r="O1984" s="7" t="n">
        <v>45549.57223379629</v>
      </c>
      <c r="P1984" s="3" t="inlineStr">
        <is>
          <t>6.80</t>
        </is>
      </c>
      <c r="Q1984" t="inlineStr">
        <is>
          <t>Köln</t>
        </is>
      </c>
    </row>
    <row r="1985">
      <c r="A1985" t="inlineStr">
        <is>
          <t>1240</t>
        </is>
      </c>
      <c r="B1985" t="inlineStr">
        <is>
          <t>Naish Jet Foil HA</t>
        </is>
      </c>
      <c r="C1985" t="inlineStr"/>
      <c r="D1985" s="3" t="inlineStr"/>
      <c r="E1985" t="inlineStr">
        <is>
          <t>2022</t>
        </is>
      </c>
      <c r="F1985" s="4" t="n">
        <v>1.149</v>
      </c>
      <c r="G1985" t="inlineStr">
        <is>
          <t>VB</t>
        </is>
      </c>
      <c r="H1985" t="inlineStr">
        <is>
          <t>82319 Bayern - Starnberg</t>
        </is>
      </c>
      <c r="I1985" s="5" t="n">
        <v>45562</v>
      </c>
      <c r="J1985" t="inlineStr"/>
      <c r="K1985" s="6">
        <f>HYPERLINK("https://www.kleinanzeigen.de/s-anzeige/naish-jet-foil-ha-semi-complete-1240-no-mast-2022/2076178188-230-5525", "Link")</f>
        <v/>
      </c>
      <c r="L1985" s="6">
        <f>HYPERLINK("C:\Projects\Kleinanzeigen-Scraper\offer_images\2076178188", "Link")</f>
        <v/>
      </c>
      <c r="M1985" t="inlineStr">
        <is>
          <t>No user name</t>
        </is>
      </c>
      <c r="N1985" s="6">
        <f>HYPERLINK("https://www.kleinanzeigen.deNo user link", "Link")</f>
        <v/>
      </c>
      <c r="O1985" s="7" t="n">
        <v>45549.57222222222</v>
      </c>
      <c r="P1985" s="3" t="inlineStr">
        <is>
          <t>23.17</t>
        </is>
      </c>
      <c r="Q1985" t="inlineStr">
        <is>
          <t>München</t>
        </is>
      </c>
    </row>
    <row r="1986">
      <c r="A1986" t="inlineStr">
        <is>
          <t>241 x 63</t>
        </is>
      </c>
      <c r="B1986" t="inlineStr">
        <is>
          <t>Fanatic Free Wave</t>
        </is>
      </c>
      <c r="C1986" t="inlineStr">
        <is>
          <t>Freewave</t>
        </is>
      </c>
      <c r="D1986" s="3" t="n">
        <v>104</v>
      </c>
      <c r="E1986" t="inlineStr"/>
      <c r="F1986" s="4" t="n">
        <v>600</v>
      </c>
      <c r="G1986" t="inlineStr">
        <is>
          <t>VB</t>
        </is>
      </c>
      <c r="H1986" t="inlineStr">
        <is>
          <t>21129 Harburg - Hamburg Cranz</t>
        </is>
      </c>
      <c r="I1986" s="5" t="n">
        <v>45531</v>
      </c>
      <c r="J1986" t="inlineStr">
        <is>
          <t>Sold</t>
        </is>
      </c>
      <c r="K1986" s="6">
        <f>HYPERLINK("https://www.kleinanzeigen.de/s-anzeige/windsurfbrett-fanatic-free-wave-104-liter/2847413111-230-20516", "Link")</f>
        <v/>
      </c>
      <c r="L1986" s="6">
        <f>HYPERLINK("C:\Projects\Kleinanzeigen-Scraper\offer_images\2847413111", "Link")</f>
        <v/>
      </c>
      <c r="M1986" t="inlineStr">
        <is>
          <t>Kohn</t>
        </is>
      </c>
      <c r="N1986" s="6">
        <f>HYPERLINK("https://www.kleinanzeigen.de/s-bestandsliste.html?userId=20139955", "Link")</f>
        <v/>
      </c>
      <c r="O1986" s="7" t="n">
        <v>45549.57221064815</v>
      </c>
      <c r="P1986" s="3" t="inlineStr">
        <is>
          <t>347.86</t>
        </is>
      </c>
      <c r="Q1986" t="inlineStr">
        <is>
          <t>Köln</t>
        </is>
      </c>
    </row>
    <row r="1987">
      <c r="A1987" t="inlineStr"/>
      <c r="B1987" t="inlineStr">
        <is>
          <t>FURI</t>
        </is>
      </c>
      <c r="C1987" t="inlineStr">
        <is>
          <t>Wingfoil</t>
        </is>
      </c>
      <c r="D1987" s="3" t="inlineStr"/>
      <c r="E1987" t="inlineStr"/>
      <c r="F1987" s="4" t="n">
        <v>450</v>
      </c>
      <c r="G1987" t="inlineStr">
        <is>
          <t>VB</t>
        </is>
      </c>
      <c r="H1987" t="inlineStr">
        <is>
          <t>73460 Baden-Württemberg - Hüttlingen</t>
        </is>
      </c>
      <c r="I1987" s="5" t="n">
        <v>45545</v>
      </c>
      <c r="J1987" t="inlineStr">
        <is>
          <t>Sold</t>
        </is>
      </c>
      <c r="K1987" s="6">
        <f>HYPERLINK("https://www.kleinanzeigen.de/s-anzeige/wing-foil-board-furi-muenchen-kein-naish-duotone-fanatic/2859733315-230-9079", "Link")</f>
        <v/>
      </c>
      <c r="L1987" s="6">
        <f>HYPERLINK("C:\Projects\Kleinanzeigen-Scraper\offer_images\2859733315", "Link")</f>
        <v/>
      </c>
      <c r="M1987" t="inlineStr">
        <is>
          <t>Markus H.</t>
        </is>
      </c>
      <c r="N1987" s="6">
        <f>HYPERLINK("https://www.kleinanzeigen.de/s-bestandsliste.html?userId=17348971", "Link")</f>
        <v/>
      </c>
      <c r="O1987" s="7" t="n">
        <v>45549.57221064815</v>
      </c>
      <c r="P1987" s="3" t="inlineStr">
        <is>
          <t>85.73</t>
        </is>
      </c>
      <c r="Q1987" t="inlineStr">
        <is>
          <t>Böblingen</t>
        </is>
      </c>
    </row>
    <row r="1988">
      <c r="A1988" t="inlineStr"/>
      <c r="B1988" t="inlineStr">
        <is>
          <t>Naish Hover GS</t>
        </is>
      </c>
      <c r="C1988" t="inlineStr">
        <is>
          <t>Wing Foil</t>
        </is>
      </c>
      <c r="D1988" s="3" t="inlineStr">
        <is>
          <t>85, 95, 110, 125</t>
        </is>
      </c>
      <c r="E1988" t="inlineStr">
        <is>
          <t>S26</t>
        </is>
      </c>
      <c r="F1988" s="4" t="n">
        <v>809</v>
      </c>
      <c r="G1988" t="inlineStr"/>
      <c r="H1988" t="inlineStr">
        <is>
          <t>18586 Mecklenburg-Vorpommern - Mönchgut, Ostseebad</t>
        </is>
      </c>
      <c r="I1988" s="5" t="n">
        <v>45539</v>
      </c>
      <c r="J1988" t="inlineStr">
        <is>
          <t>Sold</t>
        </is>
      </c>
      <c r="K1988" s="6">
        <f>HYPERLINK("https://www.kleinanzeigen.de/s-anzeige/naish-s26-hover-gs-wing-foil-board/2781185796-230-120", "Link")</f>
        <v/>
      </c>
      <c r="L1988" s="6">
        <f>HYPERLINK("C:\Projects\Kleinanzeigen-Scraper\offer_images\2781185796", "Link")</f>
        <v/>
      </c>
      <c r="M1988" t="inlineStr">
        <is>
          <t>No user name</t>
        </is>
      </c>
      <c r="N1988" s="6">
        <f>HYPERLINK("https://www.kleinanzeigen.deNo user link", "Link")</f>
        <v/>
      </c>
      <c r="O1988" s="7" t="n">
        <v>45549.57221064815</v>
      </c>
      <c r="P1988" s="3" t="inlineStr">
        <is>
          <t>591.22</t>
        </is>
      </c>
      <c r="Q1988" t="inlineStr">
        <is>
          <t>Köln</t>
        </is>
      </c>
    </row>
    <row r="1989">
      <c r="A1989" t="inlineStr">
        <is>
          <t>141 x 42 cm</t>
        </is>
      </c>
      <c r="B1989" t="inlineStr">
        <is>
          <t>North Atmos Carbon</t>
        </is>
      </c>
      <c r="C1989" t="inlineStr">
        <is>
          <t>Twintip</t>
        </is>
      </c>
      <c r="D1989" s="3" t="inlineStr"/>
      <c r="E1989" t="inlineStr">
        <is>
          <t>2021</t>
        </is>
      </c>
      <c r="F1989" s="4" t="n">
        <v>380</v>
      </c>
      <c r="G1989" t="inlineStr"/>
      <c r="H1989" t="inlineStr">
        <is>
          <t>24105 Schleswig-Holstein - Kiel</t>
        </is>
      </c>
      <c r="I1989" s="5" t="n">
        <v>45538</v>
      </c>
      <c r="J1989" t="inlineStr">
        <is>
          <t>Sold</t>
        </is>
      </c>
      <c r="K1989" s="6">
        <f>HYPERLINK("https://www.kleinanzeigen.de/s-anzeige/north-atmos-carbon-2021-twintip-141-x-42-cm-kiteboard/2853689617-230-708", "Link")</f>
        <v/>
      </c>
      <c r="L1989" s="6">
        <f>HYPERLINK("C:\Projects\Kleinanzeigen-Scraper\offer_images\2853689617", "Link")</f>
        <v/>
      </c>
      <c r="M1989" t="inlineStr">
        <is>
          <t>Jülich</t>
        </is>
      </c>
      <c r="N1989" s="6">
        <f>HYPERLINK("https://www.kleinanzeigen.de/s-bestandsliste.html?userId=64035142", "Link")</f>
        <v/>
      </c>
      <c r="O1989" s="7" t="n">
        <v>45549.57221064815</v>
      </c>
      <c r="P1989" s="3" t="inlineStr">
        <is>
          <t>435.05</t>
        </is>
      </c>
      <c r="Q1989" t="inlineStr">
        <is>
          <t>Köln</t>
        </is>
      </c>
    </row>
    <row r="1990">
      <c r="A1990" t="inlineStr">
        <is>
          <t xml:space="preserve">Dimensions </t>
        </is>
      </c>
      <c r="B1990" t="inlineStr">
        <is>
          <t>Fanatic Hawk 120 Ltd</t>
        </is>
      </c>
      <c r="C1990" t="inlineStr">
        <is>
          <t>Freeride</t>
        </is>
      </c>
      <c r="D1990" s="3" t="n">
        <v>120</v>
      </c>
      <c r="E1990" t="inlineStr">
        <is>
          <t>2012</t>
        </is>
      </c>
      <c r="F1990" s="4" t="n">
        <v>350</v>
      </c>
      <c r="G1990" t="inlineStr">
        <is>
          <t>VB</t>
        </is>
      </c>
      <c r="H1990" t="inlineStr">
        <is>
          <t>91353 Bayern - Hausen Oberfr.</t>
        </is>
      </c>
      <c r="I1990" s="5" t="n">
        <v>45516</v>
      </c>
      <c r="J1990" t="inlineStr">
        <is>
          <t>Sold</t>
        </is>
      </c>
      <c r="K1990" s="6">
        <f>HYPERLINK("https://www.kleinanzeigen.de/s-anzeige/fanatic-hawk-120-ltd/2835598789-230-6296", "Link")</f>
        <v/>
      </c>
      <c r="L1990" s="6">
        <f>HYPERLINK("C:\Projects\Kleinanzeigen-Scraper\offer_images\2835598789", "Link")</f>
        <v/>
      </c>
      <c r="M1990" t="inlineStr">
        <is>
          <t>Lotter Irene</t>
        </is>
      </c>
      <c r="N1990" s="6">
        <f>HYPERLINK("https://www.kleinanzeigen.de/s-bestandsliste.html?userId=18729487", "Link")</f>
        <v/>
      </c>
      <c r="O1990" s="7" t="n">
        <v>45549.57219907407</v>
      </c>
      <c r="P1990" s="3" t="inlineStr">
        <is>
          <t>177.17</t>
        </is>
      </c>
      <c r="Q1990" t="inlineStr">
        <is>
          <t>München</t>
        </is>
      </c>
    </row>
    <row r="1991">
      <c r="A1991" t="inlineStr">
        <is>
          <t>265 cm</t>
        </is>
      </c>
      <c r="B1991" t="inlineStr">
        <is>
          <t>Fanatic, Starboard, Mistral, Neil Pryde</t>
        </is>
      </c>
      <c r="C1991" t="inlineStr"/>
      <c r="D1991" s="3" t="n">
        <v>125</v>
      </c>
      <c r="E1991" t="inlineStr"/>
      <c r="F1991" s="4" t="n">
        <v>400</v>
      </c>
      <c r="G1991" t="inlineStr">
        <is>
          <t>VB</t>
        </is>
      </c>
      <c r="H1991" t="inlineStr">
        <is>
          <t>71522 Baden-Württemberg - Backnang</t>
        </is>
      </c>
      <c r="I1991" s="5" t="n">
        <v>45527</v>
      </c>
      <c r="J1991" t="inlineStr">
        <is>
          <t>Sold</t>
        </is>
      </c>
      <c r="K1991" s="6">
        <f>HYPERLINK("https://www.kleinanzeigen.de/s-anzeige/surfbrett-125-liter-fanatic-starboard-mistral-neil-pryde/2844547168-230-8355", "Link")</f>
        <v/>
      </c>
      <c r="L1991" s="6">
        <f>HYPERLINK("C:\Projects\Kleinanzeigen-Scraper\offer_images\2844547168", "Link")</f>
        <v/>
      </c>
      <c r="M1991" t="inlineStr">
        <is>
          <t>Celine Backnang</t>
        </is>
      </c>
      <c r="N1991" s="6">
        <f>HYPERLINK("https://www.kleinanzeigen.de/s-bestandsliste.html?userId=141196728", "Link")</f>
        <v/>
      </c>
      <c r="O1991" s="7" t="n">
        <v>45549.57217592592</v>
      </c>
      <c r="P1991" s="3" t="inlineStr">
        <is>
          <t>45.09</t>
        </is>
      </c>
      <c r="Q1991" t="inlineStr">
        <is>
          <t>Böblingen</t>
        </is>
      </c>
    </row>
    <row r="1992">
      <c r="A1992" t="inlineStr">
        <is>
          <t>235 cm x 60 cm</t>
        </is>
      </c>
      <c r="B1992" t="inlineStr">
        <is>
          <t>Goya</t>
        </is>
      </c>
      <c r="C1992" t="inlineStr"/>
      <c r="D1992" s="3" t="inlineStr"/>
      <c r="E1992" t="inlineStr"/>
      <c r="F1992" s="4" t="n">
        <v>50</v>
      </c>
      <c r="G1992" t="inlineStr"/>
      <c r="H1992" t="inlineStr">
        <is>
          <t>10777 Berlin - Schöneberg</t>
        </is>
      </c>
      <c r="I1992" s="5" t="n">
        <v>45451</v>
      </c>
      <c r="J1992" t="inlineStr"/>
      <c r="K1992" s="6">
        <f>HYPERLINK("https://www.kleinanzeigen.de/s-anzeige/goya-surfboard-berlin-schoeneberg-/2782648254-230-9644", "Link")</f>
        <v/>
      </c>
      <c r="L1992" s="6">
        <f>HYPERLINK("C:\Projects\Kleinanzeigen-Scraper\offer_images\2782648254", "Link")</f>
        <v/>
      </c>
      <c r="M1992" t="inlineStr">
        <is>
          <t>Nancy</t>
        </is>
      </c>
      <c r="N1992" s="6">
        <f>HYPERLINK("https://www.kleinanzeigen.de/s-bestandsliste.html?userId=31081478", "Link")</f>
        <v/>
      </c>
      <c r="O1992" s="7" t="n">
        <v>45549.57216435186</v>
      </c>
      <c r="P1992" s="3" t="inlineStr">
        <is>
          <t>472.82</t>
        </is>
      </c>
      <c r="Q1992" t="inlineStr">
        <is>
          <t>Köln</t>
        </is>
      </c>
    </row>
    <row r="1993">
      <c r="A1993" t="inlineStr">
        <is>
          <t>153cm x 48cm</t>
        </is>
      </c>
      <c r="B1993" t="inlineStr">
        <is>
          <t>North Freestyle Fish</t>
        </is>
      </c>
      <c r="C1993" t="inlineStr">
        <is>
          <t>Freestyle</t>
        </is>
      </c>
      <c r="D1993" s="3" t="inlineStr"/>
      <c r="E1993" t="inlineStr">
        <is>
          <t>2008 or 2010</t>
        </is>
      </c>
      <c r="F1993" s="4" t="n">
        <v>50</v>
      </c>
      <c r="G1993" t="inlineStr"/>
      <c r="H1993" t="inlineStr">
        <is>
          <t>22851 Schleswig-Holstein - Norderstedt</t>
        </is>
      </c>
      <c r="I1993" s="5" t="n">
        <v>45547</v>
      </c>
      <c r="J1993" t="inlineStr">
        <is>
          <t>Sold</t>
        </is>
      </c>
      <c r="K1993" s="6">
        <f>HYPERLINK("https://www.kleinanzeigen.de/s-anzeige/kiteboard-north-freestyle-fish-laenge-1-53cm-48cm/2860901018-230-795", "Link")</f>
        <v/>
      </c>
      <c r="L1993" s="6">
        <f>HYPERLINK("C:\Projects\Kleinanzeigen-Scraper\offer_images\2860901018", "Link")</f>
        <v/>
      </c>
      <c r="M1993" t="inlineStr">
        <is>
          <t>Stephanie</t>
        </is>
      </c>
      <c r="N1993" s="6">
        <f>HYPERLINK("https://www.kleinanzeigen.de/s-bestandsliste.html?userId=77907473", "Link")</f>
        <v/>
      </c>
      <c r="O1993" s="7" t="n">
        <v>45549.57215277778</v>
      </c>
      <c r="P1993" s="3" t="inlineStr">
        <is>
          <t>372.21</t>
        </is>
      </c>
      <c r="Q1993" t="inlineStr">
        <is>
          <t>Köln</t>
        </is>
      </c>
    </row>
    <row r="1994">
      <c r="A1994" t="inlineStr">
        <is>
          <t>250cm x 68cm</t>
        </is>
      </c>
      <c r="B1994" t="inlineStr">
        <is>
          <t>RRD</t>
        </is>
      </c>
      <c r="C1994" t="inlineStr">
        <is>
          <t>Freestylewave</t>
        </is>
      </c>
      <c r="D1994" s="3" t="n">
        <v>120</v>
      </c>
      <c r="E1994" t="inlineStr"/>
      <c r="F1994" s="4" t="n">
        <v>190</v>
      </c>
      <c r="G1994" t="inlineStr"/>
      <c r="H1994" t="inlineStr">
        <is>
          <t>53332 Nordrhein-Westfalen - Bornheim</t>
        </is>
      </c>
      <c r="I1994" s="5" t="n">
        <v>45548</v>
      </c>
      <c r="J1994" t="inlineStr"/>
      <c r="K1994" s="6">
        <f>HYPERLINK("https://www.kleinanzeigen.de/s-anzeige/windsurfboard-surfbrett-rrd-120-l-freestylewave-surfboard/2861914273-230-1606", "Link")</f>
        <v/>
      </c>
      <c r="L1994" s="6">
        <f>HYPERLINK("C:\Projects\Kleinanzeigen-Scraper\offer_images\2861914273", "Link")</f>
        <v/>
      </c>
      <c r="M1994" t="inlineStr">
        <is>
          <t>Niko</t>
        </is>
      </c>
      <c r="N1994" s="6">
        <f>HYPERLINK("https://www.kleinanzeigen.de/s-bestandsliste.html?userId=24095479", "Link")</f>
        <v/>
      </c>
      <c r="O1994" s="7" t="n">
        <v>45549.57215277778</v>
      </c>
      <c r="P1994" s="3" t="inlineStr">
        <is>
          <t>18.44</t>
        </is>
      </c>
      <c r="Q1994" t="inlineStr">
        <is>
          <t>Köln</t>
        </is>
      </c>
    </row>
    <row r="1995">
      <c r="A1995" t="inlineStr">
        <is>
          <t>130/135 or 140 cm</t>
        </is>
      </c>
      <c r="B1995" t="inlineStr">
        <is>
          <t>Naish Hero</t>
        </is>
      </c>
      <c r="C1995" t="inlineStr"/>
      <c r="D1995" s="3" t="inlineStr"/>
      <c r="E1995" t="inlineStr">
        <is>
          <t>2023</t>
        </is>
      </c>
      <c r="F1995" s="4" t="n">
        <v>299</v>
      </c>
      <c r="G1995" t="inlineStr"/>
      <c r="H1995" t="inlineStr">
        <is>
          <t>22457 Eimsbüttel - Hamburg Schnelsen</t>
        </is>
      </c>
      <c r="I1995" s="5" t="n">
        <v>45554</v>
      </c>
      <c r="J1995" t="inlineStr">
        <is>
          <t>Sold</t>
        </is>
      </c>
      <c r="K1995" s="6">
        <f>HYPERLINK("https://www.kleinanzeigen.de/s-anzeige/naish-hero-kiteboard-2023-neu-kitesurfen/2742422229-230-9492", "Link")</f>
        <v/>
      </c>
      <c r="L1995" s="6">
        <f>HYPERLINK("C:\Projects\Kleinanzeigen-Scraper\offer_images\2742422229", "Link")</f>
        <v/>
      </c>
      <c r="M1995" t="inlineStr">
        <is>
          <t>No user name</t>
        </is>
      </c>
      <c r="N1995" s="6">
        <f>HYPERLINK("https://www.kleinanzeigen.deNo user link", "Link")</f>
        <v/>
      </c>
      <c r="O1995" s="7" t="n">
        <v>45549.57212962963</v>
      </c>
      <c r="P1995" s="3" t="inlineStr">
        <is>
          <t>362.41</t>
        </is>
      </c>
      <c r="Q1995" t="inlineStr">
        <is>
          <t>Köln</t>
        </is>
      </c>
    </row>
    <row r="1996">
      <c r="A1996" t="inlineStr">
        <is>
          <t>200x80</t>
        </is>
      </c>
      <c r="B1996" t="inlineStr">
        <is>
          <t>Rrd Pocket Rocket</t>
        </is>
      </c>
      <c r="C1996" t="inlineStr">
        <is>
          <t>Windfoiling/Wingfoiling</t>
        </is>
      </c>
      <c r="D1996" s="3" t="n">
        <v>140</v>
      </c>
      <c r="E1996" t="inlineStr"/>
      <c r="F1996" s="4" t="n">
        <v>490</v>
      </c>
      <c r="G1996" t="inlineStr">
        <is>
          <t>VB</t>
        </is>
      </c>
      <c r="H1996" t="inlineStr">
        <is>
          <t>01558 Sachsen - Großenhain</t>
        </is>
      </c>
      <c r="I1996" s="5" t="n">
        <v>45501</v>
      </c>
      <c r="J1996" t="inlineStr">
        <is>
          <t>Sold</t>
        </is>
      </c>
      <c r="K1996" s="6">
        <f>HYPERLINK("https://www.kleinanzeigen.de/s-anzeige/rrd-pocket-rocket/2822902250-230-3994", "Link")</f>
        <v/>
      </c>
      <c r="L1996" s="6">
        <f>HYPERLINK("C:\Projects\Kleinanzeigen-Scraper\offer_images\2822902250", "Link")</f>
        <v/>
      </c>
      <c r="M1996" t="inlineStr">
        <is>
          <t>Schmidt, Robert</t>
        </is>
      </c>
      <c r="N1996" s="6">
        <f>HYPERLINK("https://www.kleinanzeigen.de/s-bestandsliste.html?userId=18600490", "Link")</f>
        <v/>
      </c>
      <c r="O1996" s="7" t="n">
        <v>45549.57212962963</v>
      </c>
      <c r="P1996" s="3" t="inlineStr">
        <is>
          <t>378.05</t>
        </is>
      </c>
      <c r="Q1996" t="inlineStr">
        <is>
          <t>München</t>
        </is>
      </c>
    </row>
    <row r="1997">
      <c r="A1997" t="inlineStr">
        <is>
          <t>139x43.5</t>
        </is>
      </c>
      <c r="B1997" t="inlineStr">
        <is>
          <t>RRD Bliss</t>
        </is>
      </c>
      <c r="C1997" t="inlineStr"/>
      <c r="D1997" s="3" t="inlineStr"/>
      <c r="E1997" t="inlineStr"/>
      <c r="F1997" s="4" t="n">
        <v>120</v>
      </c>
      <c r="G1997" t="inlineStr"/>
      <c r="H1997" t="inlineStr">
        <is>
          <t>47829 Nordrhein-Westfalen - Krefeld</t>
        </is>
      </c>
      <c r="I1997" s="5" t="n">
        <v>45528</v>
      </c>
      <c r="J1997" t="inlineStr">
        <is>
          <t>Sold</t>
        </is>
      </c>
      <c r="K1997" s="6">
        <f>HYPERLINK("https://www.kleinanzeigen.de/s-anzeige/rrd-bliss-139x43-5-kiteboard/2845263686-230-1972", "Link")</f>
        <v/>
      </c>
      <c r="L1997" s="6">
        <f>HYPERLINK("C:\Projects\Kleinanzeigen-Scraper\offer_images\2845263686", "Link")</f>
        <v/>
      </c>
      <c r="M1997" t="inlineStr">
        <is>
          <t>L. Rauschenberg</t>
        </is>
      </c>
      <c r="N1997" s="6">
        <f>HYPERLINK("https://www.kleinanzeigen.de/s-bestandsliste.html?userId=36424337", "Link")</f>
        <v/>
      </c>
      <c r="O1997" s="7" t="n">
        <v>45549.57212962963</v>
      </c>
      <c r="P1997" s="3" t="inlineStr">
        <is>
          <t>52.94</t>
        </is>
      </c>
      <c r="Q1997" t="inlineStr">
        <is>
          <t>Köln</t>
        </is>
      </c>
    </row>
    <row r="1998">
      <c r="A1998" t="inlineStr"/>
      <c r="B1998" t="inlineStr">
        <is>
          <t>Starboard I-Sonic</t>
        </is>
      </c>
      <c r="C1998" t="inlineStr"/>
      <c r="D1998" s="3" t="n">
        <v>107</v>
      </c>
      <c r="E1998" t="inlineStr"/>
      <c r="F1998" s="4" t="n">
        <v>249</v>
      </c>
      <c r="G1998" t="inlineStr">
        <is>
          <t>VB</t>
        </is>
      </c>
      <c r="H1998" t="inlineStr">
        <is>
          <t>18211 Bad Doberan - Landkreis - Bargeshagen</t>
        </is>
      </c>
      <c r="I1998" s="5" t="n">
        <v>45541</v>
      </c>
      <c r="J1998" t="inlineStr"/>
      <c r="K1998" s="6">
        <f>HYPERLINK("https://www.kleinanzeigen.de/s-anzeige/starboard-i-sonic-107l-windsurfboard-prototyp/2855674589-230-16583", "Link")</f>
        <v/>
      </c>
      <c r="L1998" s="6">
        <f>HYPERLINK("C:\Projects\Kleinanzeigen-Scraper\offer_images\2855674589", "Link")</f>
        <v/>
      </c>
      <c r="M1998" t="inlineStr">
        <is>
          <t>Dirk</t>
        </is>
      </c>
      <c r="N1998" s="6">
        <f>HYPERLINK("https://www.kleinanzeigen.de/s-bestandsliste.html?userId=141661148", "Link")</f>
        <v/>
      </c>
      <c r="O1998" s="7" t="n">
        <v>45549.57212962963</v>
      </c>
      <c r="P1998" s="3" t="inlineStr">
        <is>
          <t>490.50</t>
        </is>
      </c>
      <c r="Q1998" t="inlineStr">
        <is>
          <t>Köln</t>
        </is>
      </c>
    </row>
    <row r="1999">
      <c r="A1999" t="inlineStr">
        <is>
          <t>136 / 139 / 142 cm</t>
        </is>
      </c>
      <c r="B1999" t="inlineStr">
        <is>
          <t>Duotone Jaime</t>
        </is>
      </c>
      <c r="C1999" t="inlineStr"/>
      <c r="D1999" s="3" t="inlineStr"/>
      <c r="E1999" t="inlineStr">
        <is>
          <t>2024</t>
        </is>
      </c>
      <c r="F1999" s="4" t="n">
        <v>650</v>
      </c>
      <c r="G1999" t="inlineStr"/>
      <c r="H1999" t="inlineStr">
        <is>
          <t>90451 Nürnberg (Mittelfr) - Aussenstadt-Sued</t>
        </is>
      </c>
      <c r="I1999" s="5" t="n">
        <v>45542</v>
      </c>
      <c r="J1999" t="inlineStr">
        <is>
          <t>Sold</t>
        </is>
      </c>
      <c r="K1999" s="6">
        <f>HYPERLINK("https://www.kleinanzeigen.de/s-anzeige/duotone-2024-jaime-kiteboard/2856256759-230-6836", "Link")</f>
        <v/>
      </c>
      <c r="L1999" s="6">
        <f>HYPERLINK("C:\Projects\Kleinanzeigen-Scraper\offer_images\2856256759", "Link")</f>
        <v/>
      </c>
      <c r="M1999" t="inlineStr">
        <is>
          <t>No user name</t>
        </is>
      </c>
      <c r="N1999" s="6">
        <f>HYPERLINK("https://www.kleinanzeigen.deNo user link", "Link")</f>
        <v/>
      </c>
      <c r="O1999" s="7" t="n">
        <v>45549.57210648148</v>
      </c>
      <c r="P1999" s="3" t="inlineStr">
        <is>
          <t>145.92</t>
        </is>
      </c>
      <c r="Q1999" t="inlineStr">
        <is>
          <t>München</t>
        </is>
      </c>
    </row>
    <row r="2000">
      <c r="A2000" t="inlineStr">
        <is>
          <t>232cm x 63cm</t>
        </is>
      </c>
      <c r="B2000" t="inlineStr">
        <is>
          <t>JP Australia Freestyle Pro</t>
        </is>
      </c>
      <c r="C2000" t="inlineStr">
        <is>
          <t>Freeride</t>
        </is>
      </c>
      <c r="D2000" s="3" t="n">
        <v>100</v>
      </c>
      <c r="E2000" t="inlineStr">
        <is>
          <t>2008</t>
        </is>
      </c>
      <c r="F2000" s="4" t="n">
        <v>490</v>
      </c>
      <c r="G2000" t="inlineStr"/>
      <c r="H2000" t="inlineStr">
        <is>
          <t>20148 Eimsbüttel - Hamburg Rotherbaum</t>
        </is>
      </c>
      <c r="I2000" s="5" t="n">
        <v>44418</v>
      </c>
      <c r="J2000" t="inlineStr"/>
      <c r="K2000" s="6">
        <f>HYPERLINK("https://www.kleinanzeigen.de/s-anzeige/jp-australia-freestyle-pro-100l-unikat/1842964060-230-9420", "Link")</f>
        <v/>
      </c>
      <c r="L2000" s="6">
        <f>HYPERLINK("C:\Projects\Kleinanzeigen-Scraper\offer_images\1842964060", "Link")</f>
        <v/>
      </c>
      <c r="M2000" t="inlineStr">
        <is>
          <t>Robbie K.</t>
        </is>
      </c>
      <c r="N2000" s="6">
        <f>HYPERLINK("https://www.kleinanzeigen.de/s-bestandsliste.html?userId=10677179", "Link")</f>
        <v/>
      </c>
      <c r="O2000" s="7" t="n">
        <v>45549.57210648148</v>
      </c>
      <c r="P2000" s="3" t="inlineStr">
        <is>
          <t>358.19</t>
        </is>
      </c>
      <c r="Q2000" t="inlineStr">
        <is>
          <t>Köln</t>
        </is>
      </c>
    </row>
    <row r="2001">
      <c r="A2001" t="inlineStr"/>
      <c r="B2001" t="inlineStr">
        <is>
          <t>Fanatic Skate</t>
        </is>
      </c>
      <c r="C2001" t="inlineStr">
        <is>
          <t>Freestyle</t>
        </is>
      </c>
      <c r="D2001" s="3" t="n">
        <v>94</v>
      </c>
      <c r="E2001" t="inlineStr">
        <is>
          <t>2016</t>
        </is>
      </c>
      <c r="F2001" s="4" t="n">
        <v>400</v>
      </c>
      <c r="G2001" t="inlineStr"/>
      <c r="H2001" t="inlineStr">
        <is>
          <t>82362 Bayern - Weilheim</t>
        </is>
      </c>
      <c r="I2001" s="5" t="n">
        <v>45535</v>
      </c>
      <c r="J2001" t="inlineStr">
        <is>
          <t>Sold</t>
        </is>
      </c>
      <c r="K2001" s="6">
        <f>HYPERLINK("https://www.kleinanzeigen.de/s-anzeige/fanatic-skate-2016-94l/2850383455-230-5562", "Link")</f>
        <v/>
      </c>
      <c r="L2001" s="6">
        <f>HYPERLINK("C:\Projects\Kleinanzeigen-Scraper\offer_images\2850383455", "Link")</f>
        <v/>
      </c>
      <c r="M2001" t="inlineStr">
        <is>
          <t>Kilian Kranz</t>
        </is>
      </c>
      <c r="N2001" s="6">
        <f>HYPERLINK("https://www.kleinanzeigen.de/s-bestandsliste.html?userId=3851334", "Link")</f>
        <v/>
      </c>
      <c r="O2001" s="7" t="n">
        <v>45549.57210648148</v>
      </c>
      <c r="P2001" s="3" t="inlineStr">
        <is>
          <t>44.78</t>
        </is>
      </c>
      <c r="Q2001" t="inlineStr">
        <is>
          <t>München</t>
        </is>
      </c>
    </row>
    <row r="2002">
      <c r="A2002" t="inlineStr">
        <is>
          <t>325 cm</t>
        </is>
      </c>
      <c r="B2002" t="inlineStr">
        <is>
          <t>Fanatic Lite Bat</t>
        </is>
      </c>
      <c r="C2002" t="inlineStr"/>
      <c r="D2002" s="3" t="n">
        <v>160</v>
      </c>
      <c r="E2002" t="inlineStr"/>
      <c r="F2002" s="4" t="n">
        <v>60</v>
      </c>
      <c r="G2002" t="inlineStr"/>
      <c r="H2002" t="inlineStr">
        <is>
          <t>24107 Schleswig-Holstein - Quarnbek</t>
        </is>
      </c>
      <c r="I2002" s="5" t="n">
        <v>45531</v>
      </c>
      <c r="J2002" t="inlineStr">
        <is>
          <t>Sold</t>
        </is>
      </c>
      <c r="K2002" s="6">
        <f>HYPERLINK("https://www.kleinanzeigen.de/s-anzeige/fanatic-lite-bat-surfbrett-325/2847401694-230-711", "Link")</f>
        <v/>
      </c>
      <c r="L2002" s="6">
        <f>HYPERLINK("C:\Projects\Kleinanzeigen-Scraper\offer_images\2847401694", "Link")</f>
        <v/>
      </c>
      <c r="M2002" t="inlineStr">
        <is>
          <t>Stefan Menzel</t>
        </is>
      </c>
      <c r="N2002" s="6">
        <f>HYPERLINK("https://www.kleinanzeigen.de/s-bestandsliste.html?userId=1135490", "Link")</f>
        <v/>
      </c>
      <c r="O2002" s="7" t="n">
        <v>45549.57210648148</v>
      </c>
      <c r="P2002" s="3" t="inlineStr">
        <is>
          <t>432.01</t>
        </is>
      </c>
      <c r="Q2002" t="inlineStr">
        <is>
          <t>Köln</t>
        </is>
      </c>
    </row>
    <row r="2003">
      <c r="A2003" t="inlineStr">
        <is>
          <t>228x67</t>
        </is>
      </c>
      <c r="B2003" t="inlineStr">
        <is>
          <t>Starboard Futura Carbon</t>
        </is>
      </c>
      <c r="C2003" t="inlineStr">
        <is>
          <t>Freeride/Freerace</t>
        </is>
      </c>
      <c r="D2003" s="3" t="n">
        <v>106</v>
      </c>
      <c r="E2003" t="inlineStr"/>
      <c r="F2003" s="4" t="n">
        <v>799</v>
      </c>
      <c r="G2003" t="inlineStr"/>
      <c r="H2003" t="inlineStr">
        <is>
          <t>87679 Bayern - Westendorf b Kaufbeuren</t>
        </is>
      </c>
      <c r="I2003" s="5" t="n">
        <v>45558</v>
      </c>
      <c r="J2003" t="inlineStr"/>
      <c r="K2003" s="6">
        <f>HYPERLINK("https://www.kleinanzeigen.de/s-anzeige/verkaufe-windsurfboard-starboard-futura-carbon-freeride-freerace/2852653873-230-7272", "Link")</f>
        <v/>
      </c>
      <c r="L2003" s="6">
        <f>HYPERLINK("C:\Projects\Kleinanzeigen-Scraper\offer_images\2852653873", "Link")</f>
        <v/>
      </c>
      <c r="M2003" t="inlineStr">
        <is>
          <t>Günther Saiko</t>
        </is>
      </c>
      <c r="N2003" s="6">
        <f>HYPERLINK("https://www.kleinanzeigen.de/s-bestandsliste.html?userId=12220258", "Link")</f>
        <v/>
      </c>
      <c r="O2003" s="7" t="n">
        <v>45549.57210648148</v>
      </c>
      <c r="P2003" s="3" t="inlineStr">
        <is>
          <t>68.91</t>
        </is>
      </c>
      <c r="Q2003" t="inlineStr">
        <is>
          <t>München</t>
        </is>
      </c>
    </row>
    <row r="2004">
      <c r="A2004" t="inlineStr">
        <is>
          <t>4'9"</t>
        </is>
      </c>
      <c r="B2004" t="inlineStr">
        <is>
          <t>Duotone Sky Style SLS</t>
        </is>
      </c>
      <c r="C2004" t="inlineStr">
        <is>
          <t>Freestyle</t>
        </is>
      </c>
      <c r="D2004" s="3" t="n">
        <v>65</v>
      </c>
      <c r="E2004" t="inlineStr"/>
      <c r="F2004" s="4" t="n">
        <v>850</v>
      </c>
      <c r="G2004" t="inlineStr"/>
      <c r="H2004" t="inlineStr">
        <is>
          <t>87494 Bayern - Rückholz</t>
        </is>
      </c>
      <c r="I2004" s="5" t="n">
        <v>45538</v>
      </c>
      <c r="J2004" t="inlineStr">
        <is>
          <t>Sold</t>
        </is>
      </c>
      <c r="K2004" s="6">
        <f>HYPERLINK("https://www.kleinanzeigen.de/s-anzeige/duotone-sky-style-sls-65l-4-9-kaum-gefahren-/2853155243-230-6558", "Link")</f>
        <v/>
      </c>
      <c r="L2004" s="6">
        <f>HYPERLINK("C:\Projects\Kleinanzeigen-Scraper\offer_images\2853155243", "Link")</f>
        <v/>
      </c>
      <c r="M2004" t="inlineStr">
        <is>
          <t>V. Hiermeier</t>
        </is>
      </c>
      <c r="N2004" s="6">
        <f>HYPERLINK("https://www.kleinanzeigen.de/s-bestandsliste.html?userId=7453073", "Link")</f>
        <v/>
      </c>
      <c r="O2004" s="7" t="n">
        <v>45549.57208333333</v>
      </c>
      <c r="P2004" s="3" t="inlineStr">
        <is>
          <t>92.86</t>
        </is>
      </c>
      <c r="Q2004" t="inlineStr">
        <is>
          <t>München</t>
        </is>
      </c>
    </row>
    <row r="2005">
      <c r="A2005" t="inlineStr">
        <is>
          <t xml:space="preserve">Dimensions </t>
        </is>
      </c>
      <c r="B2005" t="inlineStr">
        <is>
          <t>Starboard Atom IQ</t>
        </is>
      </c>
      <c r="C2005" t="inlineStr">
        <is>
          <t>Freeride</t>
        </is>
      </c>
      <c r="D2005" s="3" t="n">
        <v>100</v>
      </c>
      <c r="E2005" t="inlineStr"/>
      <c r="F2005" s="4" t="n">
        <v>475</v>
      </c>
      <c r="G2005" t="inlineStr">
        <is>
          <t>VB</t>
        </is>
      </c>
      <c r="H2005" t="inlineStr">
        <is>
          <t>30827 Niedersachsen - Garbsen</t>
        </is>
      </c>
      <c r="I2005" s="5" t="n">
        <v>45541</v>
      </c>
      <c r="J2005" t="inlineStr">
        <is>
          <t>Sold</t>
        </is>
      </c>
      <c r="K2005" s="6">
        <f>HYPERLINK("https://www.kleinanzeigen.de/s-anzeige/starboard-atom-iq-100-ltd-surfboard/2855719846-230-3070", "Link")</f>
        <v/>
      </c>
      <c r="L2005" s="6">
        <f>HYPERLINK("C:\Projects\Kleinanzeigen-Scraper\offer_images\2855719846", "Link")</f>
        <v/>
      </c>
      <c r="M2005" t="inlineStr">
        <is>
          <t>Lars Brandt</t>
        </is>
      </c>
      <c r="N2005" s="6">
        <f>HYPERLINK("https://www.kleinanzeigen.de/s-bestandsliste.html?userId=41642395", "Link")</f>
        <v/>
      </c>
      <c r="O2005" s="7" t="n">
        <v>45549.57207175926</v>
      </c>
      <c r="P2005" s="3" t="inlineStr">
        <is>
          <t>248.83</t>
        </is>
      </c>
      <c r="Q2005" t="inlineStr">
        <is>
          <t>Köln</t>
        </is>
      </c>
    </row>
    <row r="2006">
      <c r="A2006" t="inlineStr">
        <is>
          <t>Length: 177.8 cm, Width: 73.7 cm, Thickness: 10.9 cm</t>
        </is>
      </c>
      <c r="B2006" t="inlineStr">
        <is>
          <t>Naish Hover Wing Foil GS</t>
        </is>
      </c>
      <c r="C2006" t="inlineStr">
        <is>
          <t>Wing Foil</t>
        </is>
      </c>
      <c r="D2006" s="3" t="n">
        <v>85</v>
      </c>
      <c r="E2006" t="inlineStr">
        <is>
          <t>2023/24</t>
        </is>
      </c>
      <c r="F2006" s="4" t="n">
        <v>599</v>
      </c>
      <c r="G2006" t="inlineStr"/>
      <c r="H2006" t="inlineStr">
        <is>
          <t>82319 Bayern - Starnberg</t>
        </is>
      </c>
      <c r="I2006" s="5" t="n">
        <v>45536</v>
      </c>
      <c r="J2006" t="inlineStr">
        <is>
          <t>Sold</t>
        </is>
      </c>
      <c r="K2006" s="6">
        <f>HYPERLINK("https://www.kleinanzeigen.de/s-anzeige/naish-s26-wing-foil-hover-gs-85-liter-neu/1740312602-230-5525", "Link")</f>
        <v/>
      </c>
      <c r="L2006" s="6">
        <f>HYPERLINK("C:\Projects\Kleinanzeigen-Scraper\offer_images\1740312602", "Link")</f>
        <v/>
      </c>
      <c r="M2006" t="inlineStr">
        <is>
          <t>No user name</t>
        </is>
      </c>
      <c r="N2006" s="6">
        <f>HYPERLINK("https://www.kleinanzeigen.deNo user link", "Link")</f>
        <v/>
      </c>
      <c r="O2006" s="7" t="n">
        <v>45549.57206018519</v>
      </c>
      <c r="P2006" s="3" t="inlineStr">
        <is>
          <t>23.17</t>
        </is>
      </c>
      <c r="Q2006" t="inlineStr">
        <is>
          <t>München</t>
        </is>
      </c>
    </row>
    <row r="2007">
      <c r="A2007" t="inlineStr">
        <is>
          <t>229 x 60.5</t>
        </is>
      </c>
      <c r="B2007" t="inlineStr">
        <is>
          <t>Starboard Kode 87L</t>
        </is>
      </c>
      <c r="C2007" t="inlineStr">
        <is>
          <t>Freeride</t>
        </is>
      </c>
      <c r="D2007" s="3" t="n">
        <v>87</v>
      </c>
      <c r="E2007" t="inlineStr"/>
      <c r="F2007" s="4" t="n">
        <v>199</v>
      </c>
      <c r="G2007" t="inlineStr">
        <is>
          <t>VB</t>
        </is>
      </c>
      <c r="H2007" t="inlineStr">
        <is>
          <t>18211 Bad Doberan - Landkreis - Bargeshagen</t>
        </is>
      </c>
      <c r="I2007" s="5" t="n">
        <v>45541</v>
      </c>
      <c r="J2007" t="inlineStr"/>
      <c r="K2007" s="6">
        <f>HYPERLINK("https://www.kleinanzeigen.de/s-anzeige/starboard-kode-87l-windsurfboard/2855707281-230-16583", "Link")</f>
        <v/>
      </c>
      <c r="L2007" s="6">
        <f>HYPERLINK("C:\Projects\Kleinanzeigen-Scraper\offer_images\2855707281", "Link")</f>
        <v/>
      </c>
      <c r="M2007" t="inlineStr">
        <is>
          <t>Dirk</t>
        </is>
      </c>
      <c r="N2007" s="6">
        <f>HYPERLINK("https://www.kleinanzeigen.de/s-bestandsliste.html?userId=141661148", "Link")</f>
        <v/>
      </c>
      <c r="O2007" s="7" t="n">
        <v>45549.57206018519</v>
      </c>
      <c r="P2007" s="3" t="inlineStr">
        <is>
          <t>490.50</t>
        </is>
      </c>
      <c r="Q2007" t="inlineStr">
        <is>
          <t>Köln</t>
        </is>
      </c>
    </row>
    <row r="2008">
      <c r="A2008" t="inlineStr"/>
      <c r="B2008" t="inlineStr">
        <is>
          <t>Tabou 3S</t>
        </is>
      </c>
      <c r="C2008" t="inlineStr">
        <is>
          <t>Freeride</t>
        </is>
      </c>
      <c r="D2008" s="3" t="n">
        <v>106</v>
      </c>
      <c r="E2008" t="inlineStr">
        <is>
          <t>2015</t>
        </is>
      </c>
      <c r="F2008" s="4" t="n">
        <v>649</v>
      </c>
      <c r="G2008" t="inlineStr">
        <is>
          <t>VB</t>
        </is>
      </c>
      <c r="H2008" t="inlineStr">
        <is>
          <t>79618 Baden-Württemberg - Rheinfelden (Baden)</t>
        </is>
      </c>
      <c r="I2008" s="5" t="n">
        <v>45480</v>
      </c>
      <c r="J2008" t="inlineStr"/>
      <c r="K2008" s="6">
        <f>HYPERLINK("https://www.kleinanzeigen.de/s-anzeige/tabou-3s-carbon-windsurfboard-jahr-2015-106-liter/2806527078-230-8169", "Link")</f>
        <v/>
      </c>
      <c r="L2008" s="6">
        <f>HYPERLINK("C:\Projects\Kleinanzeigen-Scraper\offer_images\2806527078", "Link")</f>
        <v/>
      </c>
      <c r="M2008" t="inlineStr">
        <is>
          <t>Marcel Zimmermann</t>
        </is>
      </c>
      <c r="N2008" s="6">
        <f>HYPERLINK("https://www.kleinanzeigen.de/s-bestandsliste.html?userId=19710242", "Link")</f>
        <v/>
      </c>
      <c r="O2008" s="7" t="n">
        <v>45549.57204861111</v>
      </c>
      <c r="P2008" s="3" t="inlineStr">
        <is>
          <t>49.46</t>
        </is>
      </c>
      <c r="Q2008" t="inlineStr">
        <is>
          <t>Bonndorf</t>
        </is>
      </c>
    </row>
    <row r="2009">
      <c r="A2009" t="inlineStr"/>
      <c r="B2009" t="inlineStr">
        <is>
          <t>Naish Freestyle 100</t>
        </is>
      </c>
      <c r="C2009" t="inlineStr">
        <is>
          <t>Freestyle</t>
        </is>
      </c>
      <c r="D2009" s="3" t="inlineStr"/>
      <c r="E2009" t="inlineStr"/>
      <c r="F2009" s="4" t="n">
        <v>399</v>
      </c>
      <c r="G2009" t="inlineStr">
        <is>
          <t>VB</t>
        </is>
      </c>
      <c r="H2009" t="inlineStr">
        <is>
          <t>79359 Baden-Württemberg - Riegel</t>
        </is>
      </c>
      <c r="I2009" s="5" t="n">
        <v>45529</v>
      </c>
      <c r="J2009" t="inlineStr"/>
      <c r="K2009" s="6">
        <f>HYPERLINK("https://www.kleinanzeigen.de/s-anzeige/naish-freestyle-100-board-tabou-jp-doutone/2845788376-230-8911", "Link")</f>
        <v/>
      </c>
      <c r="L2009" s="6">
        <f>HYPERLINK("C:\Projects\Kleinanzeigen-Scraper\offer_images\2845788376", "Link")</f>
        <v/>
      </c>
      <c r="M2009" t="inlineStr">
        <is>
          <t>Oliver Hartmann</t>
        </is>
      </c>
      <c r="N2009" s="6">
        <f>HYPERLINK("https://www.kleinanzeigen.de/s-bestandsliste.html?userId=32870287", "Link")</f>
        <v/>
      </c>
      <c r="O2009" s="7" t="n">
        <v>45549.57204861111</v>
      </c>
      <c r="P2009" s="3" t="inlineStr">
        <is>
          <t>57.55</t>
        </is>
      </c>
      <c r="Q2009" t="inlineStr">
        <is>
          <t>Bonndorf</t>
        </is>
      </c>
    </row>
    <row r="2010">
      <c r="A2010" t="inlineStr">
        <is>
          <t>10'0" x 34" x 4.1"</t>
        </is>
      </c>
      <c r="B2010" t="inlineStr">
        <is>
          <t>Starboard</t>
        </is>
      </c>
      <c r="C2010" t="inlineStr"/>
      <c r="D2010" s="3" t="n">
        <v>150</v>
      </c>
      <c r="E2010" t="inlineStr"/>
      <c r="F2010" s="4" t="n">
        <v>350</v>
      </c>
      <c r="G2010" t="inlineStr"/>
      <c r="H2010" t="inlineStr">
        <is>
          <t>78464 Baden-Württemberg - Konstanz</t>
        </is>
      </c>
      <c r="I2010" s="5" t="n">
        <v>45539</v>
      </c>
      <c r="J2010" t="inlineStr"/>
      <c r="K2010" s="6">
        <f>HYPERLINK("https://www.kleinanzeigen.de/s-anzeige/stand-up-paddle-board-sup-10-hardboard-starboard-ca-150-liter/2854055013-230-9387", "Link")</f>
        <v/>
      </c>
      <c r="L2010" s="6">
        <f>HYPERLINK("C:\Projects\Kleinanzeigen-Scraper\offer_images\2854055013", "Link")</f>
        <v/>
      </c>
      <c r="M2010" t="inlineStr">
        <is>
          <t>S.J.</t>
        </is>
      </c>
      <c r="N2010" s="6">
        <f>HYPERLINK("https://www.kleinanzeigen.de/s-bestandsliste.html?userId=19707071", "Link")</f>
        <v/>
      </c>
      <c r="O2010" s="7" t="n">
        <v>45549.57203703704</v>
      </c>
      <c r="P2010" s="3" t="inlineStr">
        <is>
          <t>66.23</t>
        </is>
      </c>
      <c r="Q2010" t="inlineStr">
        <is>
          <t>Bonndorf</t>
        </is>
      </c>
    </row>
    <row r="2011">
      <c r="A2011" t="inlineStr">
        <is>
          <t>4.3m x 66cm x 15.6cm</t>
        </is>
      </c>
      <c r="B2011" t="inlineStr">
        <is>
          <t>Naish Javelin</t>
        </is>
      </c>
      <c r="C2011" t="inlineStr">
        <is>
          <t>Race</t>
        </is>
      </c>
      <c r="D2011" s="3" t="inlineStr"/>
      <c r="E2011" t="inlineStr">
        <is>
          <t>2016</t>
        </is>
      </c>
      <c r="F2011" s="4" t="n">
        <v>1.5</v>
      </c>
      <c r="G2011" t="inlineStr">
        <is>
          <t>VB</t>
        </is>
      </c>
      <c r="H2011" t="inlineStr">
        <is>
          <t>88662 Baden-Württemberg - Überlingen</t>
        </is>
      </c>
      <c r="I2011" s="5" t="n">
        <v>45496</v>
      </c>
      <c r="J2011" t="inlineStr"/>
      <c r="K2011" s="6">
        <f>HYPERLINK("https://www.kleinanzeigen.de/s-anzeige/naish-javelin-14-sup-stand-up-paddle-board-profi-race-hardboard/2819246643-230-9207", "Link")</f>
        <v/>
      </c>
      <c r="L2011" s="6">
        <f>HYPERLINK("C:\Projects\Kleinanzeigen-Scraper\offer_images\2819246643", "Link")</f>
        <v/>
      </c>
      <c r="M2011" t="inlineStr">
        <is>
          <t>Petra Delfino</t>
        </is>
      </c>
      <c r="N2011" s="6">
        <f>HYPERLINK("https://www.kleinanzeigen.de/s-bestandsliste.html?userId=89225776", "Link")</f>
        <v/>
      </c>
      <c r="O2011" s="7" t="n">
        <v>45549.57203703704</v>
      </c>
      <c r="P2011" s="3" t="inlineStr">
        <is>
          <t>60.60</t>
        </is>
      </c>
      <c r="Q2011" t="inlineStr">
        <is>
          <t>Bonndorf</t>
        </is>
      </c>
    </row>
    <row r="2012">
      <c r="A2012" t="inlineStr">
        <is>
          <t>14' (4.27m)</t>
        </is>
      </c>
      <c r="B2012" t="inlineStr">
        <is>
          <t>Naish Glide Javelin</t>
        </is>
      </c>
      <c r="C2012" t="inlineStr">
        <is>
          <t>Race</t>
        </is>
      </c>
      <c r="D2012" s="3" t="n">
        <v>284</v>
      </c>
      <c r="E2012" t="inlineStr"/>
      <c r="F2012" s="4" t="n">
        <v>750</v>
      </c>
      <c r="G2012" t="inlineStr">
        <is>
          <t>VB</t>
        </is>
      </c>
      <c r="H2012" t="inlineStr">
        <is>
          <t>24105 Schleswig-Holstein - Kiel</t>
        </is>
      </c>
      <c r="I2012" s="5" t="n">
        <v>45503</v>
      </c>
      <c r="J2012" t="inlineStr">
        <is>
          <t>Sold</t>
        </is>
      </c>
      <c r="K2012" s="6">
        <f>HYPERLINK("https://www.kleinanzeigen.de/s-anzeige/sup-naish-glide-javelin-14-raceboard/2824746918-230-708", "Link")</f>
        <v/>
      </c>
      <c r="L2012" s="6">
        <f>HYPERLINK("C:\Projects\Kleinanzeigen-Scraper\offer_images\2824746918", "Link")</f>
        <v/>
      </c>
      <c r="M2012" t="inlineStr">
        <is>
          <t>M. Kühl</t>
        </is>
      </c>
      <c r="N2012" s="6">
        <f>HYPERLINK("https://www.kleinanzeigen.de/s-bestandsliste.html?userId=16930148", "Link")</f>
        <v/>
      </c>
      <c r="O2012" s="7" t="n">
        <v>45549.57197916666</v>
      </c>
      <c r="P2012" s="3" t="inlineStr">
        <is>
          <t>435.05</t>
        </is>
      </c>
      <c r="Q2012" t="inlineStr">
        <is>
          <t>Köln</t>
        </is>
      </c>
    </row>
    <row r="2013">
      <c r="A2013" t="inlineStr"/>
      <c r="B2013" t="inlineStr">
        <is>
          <t>Tabou Rocket</t>
        </is>
      </c>
      <c r="C2013" t="inlineStr">
        <is>
          <t>Allrounder</t>
        </is>
      </c>
      <c r="D2013" s="3" t="n">
        <v>125</v>
      </c>
      <c r="E2013" t="inlineStr">
        <is>
          <t>2009</t>
        </is>
      </c>
      <c r="F2013" s="4" t="n">
        <v>350</v>
      </c>
      <c r="G2013" t="inlineStr">
        <is>
          <t>VB</t>
        </is>
      </c>
      <c r="H2013" t="inlineStr">
        <is>
          <t>79111 Baden-Württemberg - Freiburg im Breisgau</t>
        </is>
      </c>
      <c r="I2013" s="5" t="n">
        <v>45535</v>
      </c>
      <c r="J2013" t="inlineStr"/>
      <c r="K2013" s="6">
        <f>HYPERLINK("https://www.kleinanzeigen.de/s-anzeige/surfboard-tabou-rocket-125-09/2850938024-230-9361", "Link")</f>
        <v/>
      </c>
      <c r="L2013" s="6">
        <f>HYPERLINK("C:\Projects\Kleinanzeigen-Scraper\offer_images\2850938024", "Link")</f>
        <v/>
      </c>
      <c r="M2013" t="inlineStr">
        <is>
          <t>Bo</t>
        </is>
      </c>
      <c r="N2013" s="6">
        <f>HYPERLINK("https://www.kleinanzeigen.de/s-bestandsliste.html?userId=45788483", "Link")</f>
        <v/>
      </c>
      <c r="O2013" s="7" t="n">
        <v>45549.57195601852</v>
      </c>
      <c r="P2013" s="3" t="inlineStr">
        <is>
          <t>46.18</t>
        </is>
      </c>
      <c r="Q2013" t="inlineStr">
        <is>
          <t>Bonndorf</t>
        </is>
      </c>
    </row>
    <row r="2014">
      <c r="A2014" t="inlineStr">
        <is>
          <t>231cm x 63cm</t>
        </is>
      </c>
      <c r="B2014" t="inlineStr">
        <is>
          <t>Fanatic Freewave</t>
        </is>
      </c>
      <c r="C2014" t="inlineStr">
        <is>
          <t>Freeride</t>
        </is>
      </c>
      <c r="D2014" s="3" t="n">
        <v>105</v>
      </c>
      <c r="E2014" t="inlineStr">
        <is>
          <t>2021</t>
        </is>
      </c>
      <c r="F2014" s="4" t="n">
        <v>1.499</v>
      </c>
      <c r="G2014" t="inlineStr"/>
      <c r="H2014" t="inlineStr">
        <is>
          <t>30827 Niedersachsen - Garbsen</t>
        </is>
      </c>
      <c r="I2014" s="5" t="n">
        <v>45508</v>
      </c>
      <c r="J2014" t="inlineStr">
        <is>
          <t>Sold</t>
        </is>
      </c>
      <c r="K2014" s="6">
        <f>HYPERLINK("https://www.kleinanzeigen.de/s-anzeige/fanatic-freewave-105-textreme/2828591128-230-3070", "Link")</f>
        <v/>
      </c>
      <c r="L2014" s="6">
        <f>HYPERLINK("C:\Projects\Kleinanzeigen-Scraper\offer_images\2828591128", "Link")</f>
        <v/>
      </c>
      <c r="M2014" t="inlineStr">
        <is>
          <t>privat</t>
        </is>
      </c>
      <c r="N2014" s="6">
        <f>HYPERLINK("https://www.kleinanzeigen.de/s-bestandsliste.html?userId=129561899", "Link")</f>
        <v/>
      </c>
      <c r="O2014" s="7" t="n">
        <v>45549.57193287037</v>
      </c>
      <c r="P2014" s="3" t="inlineStr">
        <is>
          <t>248.83</t>
        </is>
      </c>
      <c r="Q2014" t="inlineStr">
        <is>
          <t>Köln</t>
        </is>
      </c>
    </row>
    <row r="2015">
      <c r="A2015" t="inlineStr">
        <is>
          <t>8.2</t>
        </is>
      </c>
      <c r="B2015" t="inlineStr">
        <is>
          <t>F2 Guerilla</t>
        </is>
      </c>
      <c r="C2015" t="inlineStr">
        <is>
          <t>Wave</t>
        </is>
      </c>
      <c r="D2015" s="3" t="n">
        <v>77</v>
      </c>
      <c r="E2015" t="inlineStr"/>
      <c r="F2015" s="4" t="n">
        <v>70</v>
      </c>
      <c r="G2015" t="inlineStr"/>
      <c r="H2015" t="inlineStr">
        <is>
          <t>15344 Brandenburg - Strausberg</t>
        </is>
      </c>
      <c r="I2015" s="5" t="n">
        <v>45218</v>
      </c>
      <c r="J2015" t="inlineStr">
        <is>
          <t>Sold</t>
        </is>
      </c>
      <c r="K2015" s="6">
        <f>HYPERLINK("https://www.kleinanzeigen.de/s-anzeige/f2-guerilla-8-2-77l-surfbrett-jp-australia-fanatic/2577227887-230-7853", "Link")</f>
        <v/>
      </c>
      <c r="L2015" s="6">
        <f>HYPERLINK("C:\Projects\Kleinanzeigen-Scraper\offer_images\2577227887", "Link")</f>
        <v/>
      </c>
      <c r="M2015" t="inlineStr">
        <is>
          <t>Christian</t>
        </is>
      </c>
      <c r="N2015" s="6">
        <f>HYPERLINK("https://www.kleinanzeigen.de/s-bestandsliste.html?userId=73586165", "Link")</f>
        <v/>
      </c>
      <c r="O2015" s="7" t="n">
        <v>45549.57193287037</v>
      </c>
      <c r="P2015" s="3" t="inlineStr">
        <is>
          <t>511.35</t>
        </is>
      </c>
      <c r="Q2015" t="inlineStr">
        <is>
          <t>Köln</t>
        </is>
      </c>
    </row>
    <row r="2016">
      <c r="A2016" t="inlineStr">
        <is>
          <t>138</t>
        </is>
      </c>
      <c r="B2016" t="inlineStr">
        <is>
          <t>Naish Motion</t>
        </is>
      </c>
      <c r="C2016" t="inlineStr"/>
      <c r="D2016" s="3" t="inlineStr"/>
      <c r="E2016" t="inlineStr">
        <is>
          <t>2023</t>
        </is>
      </c>
      <c r="F2016" s="4" t="n">
        <v>349</v>
      </c>
      <c r="G2016" t="inlineStr"/>
      <c r="H2016" t="inlineStr">
        <is>
          <t>22457 Eimsbüttel - Hamburg Schnelsen</t>
        </is>
      </c>
      <c r="I2016" s="5" t="n">
        <v>45554</v>
      </c>
      <c r="J2016" t="inlineStr">
        <is>
          <t>Sold</t>
        </is>
      </c>
      <c r="K2016" s="6">
        <f>HYPERLINK("https://www.kleinanzeigen.de/s-anzeige/naish-tt-motion-kiteboard-138-2023-kitesurfen-uvp-599-neu/2742420222-230-9492", "Link")</f>
        <v/>
      </c>
      <c r="L2016" s="6">
        <f>HYPERLINK("C:\Projects\Kleinanzeigen-Scraper\offer_images\2742420222", "Link")</f>
        <v/>
      </c>
      <c r="M2016" t="inlineStr">
        <is>
          <t>No user name</t>
        </is>
      </c>
      <c r="N2016" s="6">
        <f>HYPERLINK("https://www.kleinanzeigen.deNo user link", "Link")</f>
        <v/>
      </c>
      <c r="O2016" s="7" t="n">
        <v>45549.57193287037</v>
      </c>
      <c r="P2016" s="3" t="inlineStr">
        <is>
          <t>362.41</t>
        </is>
      </c>
      <c r="Q2016" t="inlineStr">
        <is>
          <t>Köln</t>
        </is>
      </c>
    </row>
    <row r="2017">
      <c r="A2017" t="inlineStr"/>
      <c r="B2017" t="inlineStr">
        <is>
          <t>Naish</t>
        </is>
      </c>
      <c r="C2017" t="inlineStr">
        <is>
          <t>Wingfoil</t>
        </is>
      </c>
      <c r="D2017" s="3" t="n">
        <v>75</v>
      </c>
      <c r="E2017" t="inlineStr">
        <is>
          <t>22/23</t>
        </is>
      </c>
      <c r="F2017" s="4" t="n">
        <v>850</v>
      </c>
      <c r="G2017" t="inlineStr">
        <is>
          <t>VB</t>
        </is>
      </c>
      <c r="H2017" t="inlineStr">
        <is>
          <t>24235 Schleswig-Holstein - Laboe</t>
        </is>
      </c>
      <c r="I2017" s="5" t="n">
        <v>45520</v>
      </c>
      <c r="J2017" t="inlineStr">
        <is>
          <t>Sold</t>
        </is>
      </c>
      <c r="K2017" s="6">
        <f>HYPERLINK("https://www.kleinanzeigen.de/s-anzeige/naish-ultra-carbon-wingfoil-board-neu/2838083215-230-19055", "Link")</f>
        <v/>
      </c>
      <c r="L2017" s="6">
        <f>HYPERLINK("C:\Projects\Kleinanzeigen-Scraper\offer_images\2838083215", "Link")</f>
        <v/>
      </c>
      <c r="M2017" t="inlineStr">
        <is>
          <t>Surfer's Paradise</t>
        </is>
      </c>
      <c r="N2017" s="6">
        <f>HYPERLINK("https://www.kleinanzeigen.de/s-bestandsliste.html?userId=56349268", "Link")</f>
        <v/>
      </c>
      <c r="O2017" s="7" t="n">
        <v>45549.57190972222</v>
      </c>
      <c r="P2017" s="3" t="inlineStr">
        <is>
          <t>443.73</t>
        </is>
      </c>
      <c r="Q2017" t="inlineStr">
        <is>
          <t>Köln</t>
        </is>
      </c>
    </row>
    <row r="2018">
      <c r="A2018" t="inlineStr">
        <is>
          <t>5.1</t>
        </is>
      </c>
      <c r="B2018" t="inlineStr">
        <is>
          <t>Duotone Sky Style SLS</t>
        </is>
      </c>
      <c r="C2018" t="inlineStr"/>
      <c r="D2018" s="3" t="n">
        <v>85</v>
      </c>
      <c r="E2018" t="inlineStr">
        <is>
          <t>2024</t>
        </is>
      </c>
      <c r="F2018" s="4" t="n">
        <v>1.15</v>
      </c>
      <c r="G2018" t="inlineStr">
        <is>
          <t>VB</t>
        </is>
      </c>
      <c r="H2018" t="inlineStr">
        <is>
          <t>49459 Niedersachsen - Lembruch</t>
        </is>
      </c>
      <c r="I2018" s="5" t="n">
        <v>45547</v>
      </c>
      <c r="J2018" t="inlineStr">
        <is>
          <t>Sold</t>
        </is>
      </c>
      <c r="K2018" s="6">
        <f>HYPERLINK("https://www.kleinanzeigen.de/s-anzeige/wingfoilboard-duotone-sky-style-sls-2024-5-1-85l-/2860848515-230-20676", "Link")</f>
        <v/>
      </c>
      <c r="L2018" s="6">
        <f>HYPERLINK("C:\Projects\Kleinanzeigen-Scraper\offer_images\2860848515", "Link")</f>
        <v/>
      </c>
      <c r="M2018" t="inlineStr">
        <is>
          <t>Mathias</t>
        </is>
      </c>
      <c r="N2018" s="6">
        <f>HYPERLINK("https://www.kleinanzeigen.de/s-bestandsliste.html?userId=11459789", "Link")</f>
        <v/>
      </c>
      <c r="O2018" s="7" t="n">
        <v>45549.57190972222</v>
      </c>
      <c r="P2018" s="3" t="inlineStr">
        <is>
          <t>201.54</t>
        </is>
      </c>
      <c r="Q2018" t="inlineStr">
        <is>
          <t>Köln</t>
        </is>
      </c>
    </row>
    <row r="2019">
      <c r="A2019" t="inlineStr">
        <is>
          <t>240</t>
        </is>
      </c>
      <c r="B2019" t="inlineStr">
        <is>
          <t>JP Australia Funster</t>
        </is>
      </c>
      <c r="C2019" t="inlineStr">
        <is>
          <t>Freeride</t>
        </is>
      </c>
      <c r="D2019" s="3" t="inlineStr"/>
      <c r="E2019" t="inlineStr">
        <is>
          <t>2024</t>
        </is>
      </c>
      <c r="F2019" s="4" t="n">
        <v>1.449</v>
      </c>
      <c r="G2019" t="inlineStr">
        <is>
          <t>VB</t>
        </is>
      </c>
      <c r="H2019" t="inlineStr">
        <is>
          <t>80809 München - Milbertshofen - Am Hart</t>
        </is>
      </c>
      <c r="I2019" s="5" t="n">
        <v>44797</v>
      </c>
      <c r="J2019" t="inlineStr"/>
      <c r="K2019" s="6">
        <f>HYPERLINK("https://www.kleinanzeigen.de/s-anzeige/neuwertig-2024-jp-australia-funster-240/2190935591-230-6471", "Link")</f>
        <v/>
      </c>
      <c r="L2019" s="6">
        <f>HYPERLINK("C:\Projects\Kleinanzeigen-Scraper\offer_images\2190935591", "Link")</f>
        <v/>
      </c>
      <c r="M2019" t="inlineStr">
        <is>
          <t>Dmitry</t>
        </is>
      </c>
      <c r="N2019" s="6">
        <f>HYPERLINK("https://www.kleinanzeigen.de/s-bestandsliste.html?userId=51595780", "Link")</f>
        <v/>
      </c>
      <c r="O2019" s="7" t="n">
        <v>45549.57189814815</v>
      </c>
      <c r="P2019" s="3" t="inlineStr">
        <is>
          <t>5.17</t>
        </is>
      </c>
      <c r="Q2019" t="inlineStr">
        <is>
          <t>München</t>
        </is>
      </c>
    </row>
    <row r="2020">
      <c r="A2020" t="inlineStr">
        <is>
          <t>325cm</t>
        </is>
      </c>
      <c r="B2020" t="inlineStr">
        <is>
          <t>Fanatic Pure Bat</t>
        </is>
      </c>
      <c r="C2020" t="inlineStr">
        <is>
          <t>Freeride</t>
        </is>
      </c>
      <c r="D2020" s="3" t="n">
        <v>160</v>
      </c>
      <c r="E2020" t="inlineStr"/>
      <c r="F2020" s="4" t="n">
        <v>40</v>
      </c>
      <c r="G2020" t="inlineStr"/>
      <c r="H2020" t="inlineStr">
        <is>
          <t>48149 Münster (Westfalen) - Sentrup</t>
        </is>
      </c>
      <c r="I2020" s="5" t="n">
        <v>45508</v>
      </c>
      <c r="J2020" t="inlineStr">
        <is>
          <t>Sold</t>
        </is>
      </c>
      <c r="K2020" s="6">
        <f>HYPERLINK("https://www.kleinanzeigen.de/s-anzeige/windsurfboard-160l-fanatic-pure-bat-einsteiger-board-/2829092546-230-24213", "Link")</f>
        <v/>
      </c>
      <c r="L2020" s="6">
        <f>HYPERLINK("C:\Projects\Kleinanzeigen-Scraper\offer_images\2829092546", "Link")</f>
        <v/>
      </c>
      <c r="M2020" t="inlineStr">
        <is>
          <t>Philipp</t>
        </is>
      </c>
      <c r="N2020" s="6">
        <f>HYPERLINK("https://www.kleinanzeigen.de/s-bestandsliste.html?userId=8327249", "Link")</f>
        <v/>
      </c>
      <c r="O2020" s="7" t="n">
        <v>45549.57189814815</v>
      </c>
      <c r="P2020" s="3" t="inlineStr">
        <is>
          <t>122.21</t>
        </is>
      </c>
      <c r="Q2020" t="inlineStr">
        <is>
          <t>Köln</t>
        </is>
      </c>
    </row>
    <row r="2021">
      <c r="A2021" t="inlineStr"/>
      <c r="B2021" t="inlineStr">
        <is>
          <t>rrd Freestyle Avantstyle</t>
        </is>
      </c>
      <c r="C2021" t="inlineStr">
        <is>
          <t>Freestyle</t>
        </is>
      </c>
      <c r="D2021" s="3" t="n">
        <v>95</v>
      </c>
      <c r="E2021" t="inlineStr">
        <is>
          <t>2007</t>
        </is>
      </c>
      <c r="F2021" s="4" t="n">
        <v>70</v>
      </c>
      <c r="G2021" t="inlineStr">
        <is>
          <t>VB</t>
        </is>
      </c>
      <c r="H2021" t="inlineStr">
        <is>
          <t>69124 Baden-Württemberg - Heidelberg</t>
        </is>
      </c>
      <c r="I2021" s="5" t="n">
        <v>45545</v>
      </c>
      <c r="J2021" t="inlineStr"/>
      <c r="K2021" s="6">
        <f>HYPERLINK("https://www.kleinanzeigen.de/s-anzeige/windsurfbret-rrd-freestyle-avantstyle-m-95l/2859829044-230-9178", "Link")</f>
        <v/>
      </c>
      <c r="L2021" s="6">
        <f>HYPERLINK("C:\Projects\Kleinanzeigen-Scraper\offer_images\2859829044", "Link")</f>
        <v/>
      </c>
      <c r="M2021" t="inlineStr">
        <is>
          <t>Matthias</t>
        </is>
      </c>
      <c r="N2021" s="6">
        <f>HYPERLINK("https://www.kleinanzeigen.de/s-bestandsliste.html?userId=10048535", "Link")</f>
        <v/>
      </c>
      <c r="O2021" s="7" t="n">
        <v>45549.571875</v>
      </c>
      <c r="P2021" s="3" t="inlineStr">
        <is>
          <t>44.31</t>
        </is>
      </c>
      <c r="Q2021" t="inlineStr">
        <is>
          <t>Karlsruhe</t>
        </is>
      </c>
    </row>
    <row r="2022">
      <c r="A2022" t="inlineStr">
        <is>
          <t>172 cm x 56 cm</t>
        </is>
      </c>
      <c r="B2022" t="inlineStr">
        <is>
          <t>Duotone Skybrid</t>
        </is>
      </c>
      <c r="C2022" t="inlineStr"/>
      <c r="D2022" s="3" t="n">
        <v>85</v>
      </c>
      <c r="E2022" t="inlineStr"/>
      <c r="F2022" s="4" t="n">
        <v>1.499</v>
      </c>
      <c r="G2022" t="inlineStr"/>
      <c r="H2022" t="inlineStr">
        <is>
          <t>23701 Kreis Ostholstein - Eutin</t>
        </is>
      </c>
      <c r="I2022" s="5" t="n">
        <v>45548</v>
      </c>
      <c r="J2022" t="inlineStr">
        <is>
          <t>Sold</t>
        </is>
      </c>
      <c r="K2022" s="6">
        <f>HYPERLINK("https://www.kleinanzeigen.de/s-anzeige/duotone-skybrid-5-8-sls-85-liter-carbon-wingboard/2862513664-230-10552", "Link")</f>
        <v/>
      </c>
      <c r="L2022" s="6">
        <f>HYPERLINK("C:\Projects\Kleinanzeigen-Scraper\offer_images\2862513664", "Link")</f>
        <v/>
      </c>
      <c r="M2022" t="inlineStr">
        <is>
          <t>Klaus</t>
        </is>
      </c>
      <c r="N2022" s="6">
        <f>HYPERLINK("https://www.kleinanzeigen.de/s-bestandsliste.html?userId=12489211", "Link")</f>
        <v/>
      </c>
      <c r="O2022" s="7" t="n">
        <v>45549.57186342592</v>
      </c>
      <c r="P2022" s="3" t="inlineStr">
        <is>
          <t>431.90</t>
        </is>
      </c>
      <c r="Q2022" t="inlineStr">
        <is>
          <t>Köln</t>
        </is>
      </c>
    </row>
    <row r="2023">
      <c r="A2023" t="inlineStr"/>
      <c r="B2023" t="inlineStr">
        <is>
          <t>Duotone Fanatic Sky Free TE</t>
        </is>
      </c>
      <c r="C2023" t="inlineStr"/>
      <c r="D2023" s="3" t="n">
        <v>95</v>
      </c>
      <c r="E2023" t="inlineStr">
        <is>
          <t>2023</t>
        </is>
      </c>
      <c r="F2023" s="4" t="n">
        <v>670</v>
      </c>
      <c r="G2023" t="inlineStr">
        <is>
          <t>VB</t>
        </is>
      </c>
      <c r="H2023" t="inlineStr">
        <is>
          <t>66625 Saarland - Nohfelden</t>
        </is>
      </c>
      <c r="I2023" s="5" t="n">
        <v>45546</v>
      </c>
      <c r="J2023" t="inlineStr">
        <is>
          <t>Sold</t>
        </is>
      </c>
      <c r="K2023" s="6">
        <f>HYPERLINK("https://www.kleinanzeigen.de/s-anzeige/duotone-fanatic-sky-free-te-2023-95-liter/2860599507-230-317", "Link")</f>
        <v/>
      </c>
      <c r="L2023" s="6">
        <f>HYPERLINK("C:\Projects\Kleinanzeigen-Scraper\offer_images\2860599507", "Link")</f>
        <v/>
      </c>
      <c r="M2023" t="inlineStr">
        <is>
          <t>Zadach</t>
        </is>
      </c>
      <c r="N2023" s="6">
        <f>HYPERLINK("https://www.kleinanzeigen.de/s-bestandsliste.html?userId=7415040", "Link")</f>
        <v/>
      </c>
      <c r="O2023" s="7" t="n">
        <v>45549.57185185186</v>
      </c>
      <c r="P2023" s="3" t="inlineStr">
        <is>
          <t>113.60</t>
        </is>
      </c>
      <c r="Q2023" t="inlineStr">
        <is>
          <t>Karlsruhe</t>
        </is>
      </c>
    </row>
    <row r="2024">
      <c r="A2024" t="inlineStr"/>
      <c r="B2024" t="inlineStr">
        <is>
          <t>Starboard Kode Wave</t>
        </is>
      </c>
      <c r="C2024" t="inlineStr">
        <is>
          <t>Wave</t>
        </is>
      </c>
      <c r="D2024" s="3" t="n">
        <v>87</v>
      </c>
      <c r="E2024" t="inlineStr"/>
      <c r="F2024" s="4" t="n">
        <v>250</v>
      </c>
      <c r="G2024" t="inlineStr"/>
      <c r="H2024" t="inlineStr">
        <is>
          <t>46149 Nordrhein-Westfalen - Oberhausen</t>
        </is>
      </c>
      <c r="I2024" s="5" t="n">
        <v>45526</v>
      </c>
      <c r="J2024" t="inlineStr"/>
      <c r="K2024" s="6">
        <f>HYPERLINK("https://www.kleinanzeigen.de/s-anzeige/starboard-kode-wave-am/2843657446-230-1290", "Link")</f>
        <v/>
      </c>
      <c r="L2024" s="6">
        <f>HYPERLINK("C:\Projects\Kleinanzeigen-Scraper\offer_images\2843657446", "Link")</f>
        <v/>
      </c>
      <c r="M2024" t="inlineStr">
        <is>
          <t>JL</t>
        </is>
      </c>
      <c r="N2024" s="6">
        <f>HYPERLINK("https://www.kleinanzeigen.de/s-bestandsliste.html?userId=7972067", "Link")</f>
        <v/>
      </c>
      <c r="O2024" s="7" t="n">
        <v>45549.57185185186</v>
      </c>
      <c r="P2024" s="3" t="inlineStr">
        <is>
          <t>65.42</t>
        </is>
      </c>
      <c r="Q2024" t="inlineStr">
        <is>
          <t>Köln</t>
        </is>
      </c>
    </row>
    <row r="2025">
      <c r="A2025" t="inlineStr">
        <is>
          <t>245x75</t>
        </is>
      </c>
      <c r="B2025" t="inlineStr">
        <is>
          <t>RRD Evolution</t>
        </is>
      </c>
      <c r="C2025" t="inlineStr">
        <is>
          <t>Freeride</t>
        </is>
      </c>
      <c r="D2025" s="3" t="n">
        <v>155</v>
      </c>
      <c r="E2025" t="inlineStr"/>
      <c r="F2025" s="4" t="n">
        <v>599</v>
      </c>
      <c r="G2025" t="inlineStr">
        <is>
          <t>VB</t>
        </is>
      </c>
      <c r="H2025" t="inlineStr">
        <is>
          <t>19061 Schwerin - Gartenstadt - Ostorf</t>
        </is>
      </c>
      <c r="I2025" s="5" t="n">
        <v>45360</v>
      </c>
      <c r="J2025" t="inlineStr"/>
      <c r="K2025" s="6">
        <f>HYPERLINK("https://www.kleinanzeigen.de/s-anzeige/rrd-evolution-360-freeride-windsurfboard-anfaenger-aufsteiger/2701195579-230-16515", "Link")</f>
        <v/>
      </c>
      <c r="L2025" s="6">
        <f>HYPERLINK("C:\Projects\Kleinanzeigen-Scraper\offer_images\2701195579", "Link")</f>
        <v/>
      </c>
      <c r="M2025" t="inlineStr">
        <is>
          <t>Tom</t>
        </is>
      </c>
      <c r="N2025" s="6">
        <f>HYPERLINK("https://www.kleinanzeigen.de/s-bestandsliste.html?userId=72951356", "Link")</f>
        <v/>
      </c>
      <c r="O2025" s="7" t="n">
        <v>45549.5718287037</v>
      </c>
      <c r="P2025" s="3" t="inlineStr">
        <is>
          <t>422.22</t>
        </is>
      </c>
      <c r="Q2025" t="inlineStr">
        <is>
          <t>Köln</t>
        </is>
      </c>
    </row>
    <row r="2026">
      <c r="A2026" t="inlineStr">
        <is>
          <t>5'7</t>
        </is>
      </c>
      <c r="B2026" t="inlineStr">
        <is>
          <t>Naish Global</t>
        </is>
      </c>
      <c r="C2026" t="inlineStr">
        <is>
          <t>Wave</t>
        </is>
      </c>
      <c r="D2026" s="3" t="inlineStr"/>
      <c r="E2026" t="inlineStr"/>
      <c r="F2026" s="4" t="n">
        <v>420</v>
      </c>
      <c r="G2026" t="inlineStr"/>
      <c r="H2026" t="inlineStr">
        <is>
          <t>23730 Kreis Ostholstein - Neustadt in Holstein</t>
        </is>
      </c>
      <c r="I2026" s="5" t="n">
        <v>45499</v>
      </c>
      <c r="J2026" t="inlineStr">
        <is>
          <t>Sold</t>
        </is>
      </c>
      <c r="K2026" s="6">
        <f>HYPERLINK("https://www.kleinanzeigen.de/s-anzeige/naish-global-5-7-waveboard-kite-neu-/2821586888-230-13579", "Link")</f>
        <v/>
      </c>
      <c r="L2026" s="6">
        <f>HYPERLINK("C:\Projects\Kleinanzeigen-Scraper\offer_images\2821586888", "Link")</f>
        <v/>
      </c>
      <c r="M2026" t="inlineStr">
        <is>
          <t>Felix</t>
        </is>
      </c>
      <c r="N2026" s="6">
        <f>HYPERLINK("https://www.kleinanzeigen.de/s-bestandsliste.html?userId=4261983", "Link")</f>
        <v/>
      </c>
      <c r="O2026" s="7" t="n">
        <v>45549.5718287037</v>
      </c>
      <c r="P2026" s="3" t="inlineStr">
        <is>
          <t>441.08</t>
        </is>
      </c>
      <c r="Q2026" t="inlineStr">
        <is>
          <t>Köln</t>
        </is>
      </c>
    </row>
    <row r="2027">
      <c r="A2027" t="inlineStr"/>
      <c r="B2027" t="inlineStr">
        <is>
          <t>Starboard Stream</t>
        </is>
      </c>
      <c r="C2027" t="inlineStr">
        <is>
          <t>River</t>
        </is>
      </c>
      <c r="D2027" s="3" t="inlineStr"/>
      <c r="E2027" t="inlineStr">
        <is>
          <t>1st Generation</t>
        </is>
      </c>
      <c r="F2027" s="4" t="n">
        <v>450</v>
      </c>
      <c r="G2027" t="inlineStr">
        <is>
          <t>VB</t>
        </is>
      </c>
      <c r="H2027" t="inlineStr">
        <is>
          <t>42653 Nordrhein-Westfalen - Solingen</t>
        </is>
      </c>
      <c r="I2027" s="5" t="n">
        <v>45526</v>
      </c>
      <c r="J2027" t="inlineStr"/>
      <c r="K2027" s="6">
        <f>HYPERLINK("https://www.kleinanzeigen.de/s-anzeige/starboard-stream-1ste-generation/2843789357-230-2121", "Link")</f>
        <v/>
      </c>
      <c r="L2027" s="6">
        <f>HYPERLINK("C:\Projects\Kleinanzeigen-Scraper\offer_images\2843789357", "Link")</f>
        <v/>
      </c>
      <c r="M2027" t="inlineStr">
        <is>
          <t>Marcus</t>
        </is>
      </c>
      <c r="N2027" s="6">
        <f>HYPERLINK("https://www.kleinanzeigen.de/s-bestandsliste.html?userId=11482469", "Link")</f>
        <v/>
      </c>
      <c r="O2027" s="7" t="n">
        <v>45549.5718287037</v>
      </c>
      <c r="P2027" s="3" t="inlineStr">
        <is>
          <t>30.54</t>
        </is>
      </c>
      <c r="Q2027" t="inlineStr">
        <is>
          <t>Köln</t>
        </is>
      </c>
    </row>
    <row r="2028">
      <c r="A2028" t="inlineStr">
        <is>
          <t>325cm x 67cm</t>
        </is>
      </c>
      <c r="B2028" t="inlineStr">
        <is>
          <t>Fanatic Hot Bat</t>
        </is>
      </c>
      <c r="C2028" t="inlineStr"/>
      <c r="D2028" s="3" t="n">
        <v>160</v>
      </c>
      <c r="E2028" t="inlineStr"/>
      <c r="F2028" s="4" t="n">
        <v>125</v>
      </c>
      <c r="G2028" t="inlineStr">
        <is>
          <t>VB</t>
        </is>
      </c>
      <c r="H2028" t="inlineStr">
        <is>
          <t>40597 Düsseldorf - Benrath</t>
        </is>
      </c>
      <c r="I2028" s="5" t="n">
        <v>45519</v>
      </c>
      <c r="J2028" t="inlineStr">
        <is>
          <t>Sold</t>
        </is>
      </c>
      <c r="K2028" s="6">
        <f>HYPERLINK("https://www.kleinanzeigen.de/s-anzeige/fanatic-hot-bat-surfboard/2837205548-230-2077", "Link")</f>
        <v/>
      </c>
      <c r="L2028" s="6">
        <f>HYPERLINK("C:\Projects\Kleinanzeigen-Scraper\offer_images\2837205548", "Link")</f>
        <v/>
      </c>
      <c r="M2028" t="inlineStr">
        <is>
          <t>FFK</t>
        </is>
      </c>
      <c r="N2028" s="6">
        <f>HYPERLINK("https://www.kleinanzeigen.de/s-bestandsliste.html?userId=13297586", "Link")</f>
        <v/>
      </c>
      <c r="O2028" s="7" t="n">
        <v>45549.57180555556</v>
      </c>
      <c r="P2028" s="3" t="inlineStr">
        <is>
          <t>25.70</t>
        </is>
      </c>
      <c r="Q2028" t="inlineStr">
        <is>
          <t>Köln</t>
        </is>
      </c>
    </row>
    <row r="2029">
      <c r="A2029" t="inlineStr">
        <is>
          <t>Dimensions not specified</t>
        </is>
      </c>
      <c r="B2029" t="inlineStr">
        <is>
          <t>Fanatic</t>
        </is>
      </c>
      <c r="C2029" t="inlineStr"/>
      <c r="D2029" s="3" t="n">
        <v>63</v>
      </c>
      <c r="E2029" t="inlineStr"/>
      <c r="F2029" s="4" t="n">
        <v>20</v>
      </c>
      <c r="G2029" t="inlineStr">
        <is>
          <t>VB</t>
        </is>
      </c>
      <c r="H2029" t="inlineStr">
        <is>
          <t>63679 Hessen - Schotten</t>
        </is>
      </c>
      <c r="I2029" s="5" t="n">
        <v>45529</v>
      </c>
      <c r="J2029" t="inlineStr">
        <is>
          <t>Sold</t>
        </is>
      </c>
      <c r="K2029" s="6">
        <f>HYPERLINK("https://www.kleinanzeigen.de/s-anzeige/fanatic-surfbrett/2846203613-230-18628", "Link")</f>
        <v/>
      </c>
      <c r="L2029" s="6">
        <f>HYPERLINK("C:\Projects\Kleinanzeigen-Scraper\offer_images\2846203613", "Link")</f>
        <v/>
      </c>
      <c r="M2029" t="inlineStr">
        <is>
          <t>Anja</t>
        </is>
      </c>
      <c r="N2029" s="6">
        <f>HYPERLINK("https://www.kleinanzeigen.de/s-bestandsliste.html?userId=45642513", "Link")</f>
        <v/>
      </c>
      <c r="O2029" s="7" t="n">
        <v>45549.57179398148</v>
      </c>
      <c r="P2029" s="3" t="inlineStr">
        <is>
          <t>161.32</t>
        </is>
      </c>
      <c r="Q2029" t="inlineStr">
        <is>
          <t>Köln</t>
        </is>
      </c>
    </row>
    <row r="2030">
      <c r="A2030" t="inlineStr">
        <is>
          <t>5'8'' x 25''</t>
        </is>
      </c>
      <c r="B2030" t="inlineStr">
        <is>
          <t>Starboard Wingboard</t>
        </is>
      </c>
      <c r="C2030" t="inlineStr"/>
      <c r="D2030" s="3" t="n">
        <v>88</v>
      </c>
      <c r="E2030" t="inlineStr"/>
      <c r="F2030" s="4" t="n">
        <v>450</v>
      </c>
      <c r="G2030" t="inlineStr">
        <is>
          <t>VB</t>
        </is>
      </c>
      <c r="H2030" t="inlineStr">
        <is>
          <t>24340 Schleswig-Holstein - Eckernförde</t>
        </is>
      </c>
      <c r="I2030" s="5" t="n">
        <v>45534</v>
      </c>
      <c r="J2030" t="inlineStr">
        <is>
          <t>Sold</t>
        </is>
      </c>
      <c r="K2030" s="6">
        <f>HYPERLINK("https://www.kleinanzeigen.de/s-anzeige/starboard-wingboard-5-8-88-liter/2850204896-230-13234", "Link")</f>
        <v/>
      </c>
      <c r="L2030" s="6">
        <f>HYPERLINK("C:\Projects\Kleinanzeigen-Scraper\offer_images\2850204896", "Link")</f>
        <v/>
      </c>
      <c r="M2030" t="inlineStr">
        <is>
          <t>Felix Neuling</t>
        </is>
      </c>
      <c r="N2030" s="6">
        <f>HYPERLINK("https://www.kleinanzeigen.de/s-bestandsliste.html?userId=62388955", "Link")</f>
        <v/>
      </c>
      <c r="O2030" s="7" t="n">
        <v>45549.57178240741</v>
      </c>
      <c r="P2030" s="3" t="inlineStr">
        <is>
          <t>434.69</t>
        </is>
      </c>
      <c r="Q2030" t="inlineStr">
        <is>
          <t>Köln</t>
        </is>
      </c>
    </row>
    <row r="2031">
      <c r="A2031" t="inlineStr">
        <is>
          <t>139</t>
        </is>
      </c>
      <c r="B2031" t="inlineStr">
        <is>
          <t>Duotone Team Series</t>
        </is>
      </c>
      <c r="C2031" t="inlineStr"/>
      <c r="D2031" s="3" t="inlineStr"/>
      <c r="E2031" t="inlineStr">
        <is>
          <t>2022</t>
        </is>
      </c>
      <c r="F2031" s="4" t="n">
        <v>300</v>
      </c>
      <c r="G2031" t="inlineStr"/>
      <c r="H2031" t="inlineStr">
        <is>
          <t>24118 Kiel - Ravensberg-Brunswik-Düsternbrook</t>
        </is>
      </c>
      <c r="I2031" s="5" t="n">
        <v>45543</v>
      </c>
      <c r="J2031" t="inlineStr">
        <is>
          <t>Sold</t>
        </is>
      </c>
      <c r="K2031" s="6">
        <f>HYPERLINK("https://www.kleinanzeigen.de/s-anzeige/duotone-team-series-2022-139-board-only-neuwertig/2857726510-230-704", "Link")</f>
        <v/>
      </c>
      <c r="L2031" s="6">
        <f>HYPERLINK("C:\Projects\Kleinanzeigen-Scraper\offer_images\2857726510", "Link")</f>
        <v/>
      </c>
      <c r="M2031" t="inlineStr">
        <is>
          <t>Lasse</t>
        </is>
      </c>
      <c r="N2031" s="6">
        <f>HYPERLINK("https://www.kleinanzeigen.de/s-bestandsliste.html?userId=6077060", "Link")</f>
        <v/>
      </c>
      <c r="O2031" s="7" t="n">
        <v>45549.57178240741</v>
      </c>
      <c r="P2031" s="3" t="inlineStr">
        <is>
          <t>434.29</t>
        </is>
      </c>
      <c r="Q2031" t="inlineStr">
        <is>
          <t>Köln</t>
        </is>
      </c>
    </row>
    <row r="2032">
      <c r="A2032" t="inlineStr">
        <is>
          <t>121</t>
        </is>
      </c>
      <c r="B2032" t="inlineStr">
        <is>
          <t>Starboard Futura</t>
        </is>
      </c>
      <c r="C2032" t="inlineStr">
        <is>
          <t>Freeride</t>
        </is>
      </c>
      <c r="D2032" s="3" t="inlineStr"/>
      <c r="E2032" t="inlineStr"/>
      <c r="F2032" s="4" t="n">
        <v>385</v>
      </c>
      <c r="G2032" t="inlineStr"/>
      <c r="H2032" t="inlineStr">
        <is>
          <t>48351 Nordrhein-Westfalen - Everswinkel</t>
        </is>
      </c>
      <c r="I2032" s="5" t="n">
        <v>45521</v>
      </c>
      <c r="J2032" t="inlineStr"/>
      <c r="K2032" s="6">
        <f>HYPERLINK("https://www.kleinanzeigen.de/s-anzeige/starboard-futura-121/2838881811-230-1306", "Link")</f>
        <v/>
      </c>
      <c r="L2032" s="6">
        <f>HYPERLINK("C:\Projects\Kleinanzeigen-Scraper\offer_images\2838881811", "Link")</f>
        <v/>
      </c>
      <c r="M2032" t="inlineStr">
        <is>
          <t>Matthias</t>
        </is>
      </c>
      <c r="N2032" s="6">
        <f>HYPERLINK("https://www.kleinanzeigen.de/s-bestandsliste.html?userId=31755530", "Link")</f>
        <v/>
      </c>
      <c r="O2032" s="7" t="n">
        <v>45549.57175925926</v>
      </c>
      <c r="P2032" s="3" t="inlineStr">
        <is>
          <t>123.68</t>
        </is>
      </c>
      <c r="Q2032" t="inlineStr">
        <is>
          <t>Köln</t>
        </is>
      </c>
    </row>
    <row r="2033">
      <c r="A2033" t="inlineStr">
        <is>
          <t>8'2"</t>
        </is>
      </c>
      <c r="B2033" t="inlineStr">
        <is>
          <t>Fanatic Bee</t>
        </is>
      </c>
      <c r="C2033" t="inlineStr">
        <is>
          <t>Multisport</t>
        </is>
      </c>
      <c r="D2033" s="3" t="inlineStr"/>
      <c r="E2033" t="inlineStr"/>
      <c r="F2033" s="4" t="n">
        <v>1.2</v>
      </c>
      <c r="G2033" t="inlineStr">
        <is>
          <t>VB</t>
        </is>
      </c>
      <c r="H2033" t="inlineStr">
        <is>
          <t>38300 Niedersachsen - Wolfenbüttel</t>
        </is>
      </c>
      <c r="I2033" s="5" t="n">
        <v>45544</v>
      </c>
      <c r="J2033" t="inlineStr">
        <is>
          <t>Sold</t>
        </is>
      </c>
      <c r="K2033" s="6">
        <f>HYPERLINK("https://www.kleinanzeigen.de/s-anzeige/fanatic-bee-8-2-wind-wing-sup-multisport-board/2858992200-230-3057", "Link")</f>
        <v/>
      </c>
      <c r="L2033" s="6">
        <f>HYPERLINK("C:\Projects\Kleinanzeigen-Scraper\offer_images\2858992200", "Link")</f>
        <v/>
      </c>
      <c r="M2033" t="inlineStr">
        <is>
          <t>Chris</t>
        </is>
      </c>
      <c r="N2033" s="6">
        <f>HYPERLINK("https://www.kleinanzeigen.de/s-bestandsliste.html?userId=31034740", "Link")</f>
        <v/>
      </c>
      <c r="O2033" s="7" t="n">
        <v>45549.57173611111</v>
      </c>
      <c r="P2033" s="3" t="inlineStr">
        <is>
          <t>283.45</t>
        </is>
      </c>
      <c r="Q2033" t="inlineStr">
        <is>
          <t>Köln</t>
        </is>
      </c>
    </row>
    <row r="2034">
      <c r="A2034" t="inlineStr"/>
      <c r="B2034" t="inlineStr">
        <is>
          <t>Naish Starship</t>
        </is>
      </c>
      <c r="C2034" t="inlineStr">
        <is>
          <t>Freeride</t>
        </is>
      </c>
      <c r="D2034" s="3" t="n">
        <v>105</v>
      </c>
      <c r="E2034" t="inlineStr">
        <is>
          <t>2022</t>
        </is>
      </c>
      <c r="F2034" s="4" t="n">
        <v>950</v>
      </c>
      <c r="G2034" t="inlineStr">
        <is>
          <t>VB</t>
        </is>
      </c>
      <c r="H2034" t="inlineStr">
        <is>
          <t>47198 Duisburg - Homberg/Ruhrort/Baerl</t>
        </is>
      </c>
      <c r="I2034" s="5" t="n">
        <v>45548</v>
      </c>
      <c r="J2034" t="inlineStr"/>
      <c r="K2034" s="6">
        <f>HYPERLINK("https://www.kleinanzeigen.de/s-anzeige/naish-starship-105l-bj-2022-windsurfen-surfbrett/2862359463-230-2140", "Link")</f>
        <v/>
      </c>
      <c r="L2034" s="6">
        <f>HYPERLINK("C:\Projects\Kleinanzeigen-Scraper\offer_images\2862359463", "Link")</f>
        <v/>
      </c>
      <c r="M2034" t="inlineStr">
        <is>
          <t>Stephan Kalbertod</t>
        </is>
      </c>
      <c r="N2034" s="6">
        <f>HYPERLINK("https://www.kleinanzeigen.de/s-bestandsliste.html?userId=8064073", "Link")</f>
        <v/>
      </c>
      <c r="O2034" s="7" t="n">
        <v>45549.57173611111</v>
      </c>
      <c r="P2034" s="3" t="inlineStr">
        <is>
          <t>59.95</t>
        </is>
      </c>
      <c r="Q2034" t="inlineStr">
        <is>
          <t>Köln</t>
        </is>
      </c>
    </row>
    <row r="2035">
      <c r="A2035" t="inlineStr">
        <is>
          <t>350x76x13 cm</t>
        </is>
      </c>
      <c r="B2035" t="inlineStr">
        <is>
          <t>JP Australia Venus LE</t>
        </is>
      </c>
      <c r="C2035" t="inlineStr">
        <is>
          <t>Allround</t>
        </is>
      </c>
      <c r="D2035" s="3" t="inlineStr"/>
      <c r="E2035" t="inlineStr">
        <is>
          <t>2021</t>
        </is>
      </c>
      <c r="F2035" s="4" t="n">
        <v>350</v>
      </c>
      <c r="G2035" t="inlineStr"/>
      <c r="H2035" t="inlineStr">
        <is>
          <t>80804 München - Schwabing-Freimann</t>
        </is>
      </c>
      <c r="I2035" s="5" t="n">
        <v>45471</v>
      </c>
      <c r="J2035" t="inlineStr"/>
      <c r="K2035" s="6">
        <f>HYPERLINK("https://www.kleinanzeigen.de/s-anzeige/sup-board-fuer-frauen-jp-australia-venus-le-350x76x13-cm-2021-/2799219046-230-16378", "Link")</f>
        <v/>
      </c>
      <c r="L2035" s="6">
        <f>HYPERLINK("C:\Projects\Kleinanzeigen-Scraper\offer_images\2799219046", "Link")</f>
        <v/>
      </c>
      <c r="M2035" t="inlineStr">
        <is>
          <t>Martha Geiger</t>
        </is>
      </c>
      <c r="N2035" s="6">
        <f>HYPERLINK("https://www.kleinanzeigen.de/s-bestandsliste.html?userId=120798093", "Link")</f>
        <v/>
      </c>
      <c r="O2035" s="7" t="n">
        <v>45549.57173611111</v>
      </c>
      <c r="P2035" s="3" t="inlineStr">
        <is>
          <t>3.78</t>
        </is>
      </c>
      <c r="Q2035" t="inlineStr">
        <is>
          <t>München</t>
        </is>
      </c>
    </row>
    <row r="2036">
      <c r="A2036" t="inlineStr"/>
      <c r="B2036" t="inlineStr">
        <is>
          <t>Fanatic Skate</t>
        </is>
      </c>
      <c r="C2036" t="inlineStr">
        <is>
          <t>Freestyle</t>
        </is>
      </c>
      <c r="D2036" s="3" t="n">
        <v>99</v>
      </c>
      <c r="E2036" t="inlineStr"/>
      <c r="F2036" s="4" t="inlineStr"/>
      <c r="G2036" t="inlineStr">
        <is>
          <t>VB</t>
        </is>
      </c>
      <c r="H2036" t="inlineStr">
        <is>
          <t>93426 Bayern - Roding</t>
        </is>
      </c>
      <c r="I2036" s="5" t="n">
        <v>45522</v>
      </c>
      <c r="J2036" t="inlineStr">
        <is>
          <t>Sold</t>
        </is>
      </c>
      <c r="K2036" s="6">
        <f>HYPERLINK("https://www.kleinanzeigen.de/s-anzeige/fanatic-skate-99l/2840454263-230-5953", "Link")</f>
        <v/>
      </c>
      <c r="L2036" s="6">
        <f>HYPERLINK("C:\Projects\Kleinanzeigen-Scraper\offer_images\2840454263", "Link")</f>
        <v/>
      </c>
      <c r="M2036" t="inlineStr">
        <is>
          <t>Avi</t>
        </is>
      </c>
      <c r="N2036" s="6">
        <f>HYPERLINK("https://www.kleinanzeigen.de/s-bestandsliste.html?userId=40397171", "Link")</f>
        <v/>
      </c>
      <c r="O2036" s="7" t="n">
        <v>45549.57168981482</v>
      </c>
      <c r="P2036" s="3" t="inlineStr">
        <is>
          <t>136.57</t>
        </is>
      </c>
      <c r="Q2036" t="inlineStr">
        <is>
          <t>München</t>
        </is>
      </c>
    </row>
    <row r="2037">
      <c r="A2037" t="inlineStr">
        <is>
          <t>110</t>
        </is>
      </c>
      <c r="B2037" t="inlineStr">
        <is>
          <t>Starboard Futura</t>
        </is>
      </c>
      <c r="C2037" t="inlineStr">
        <is>
          <t>Freeride</t>
        </is>
      </c>
      <c r="D2037" s="3" t="inlineStr"/>
      <c r="E2037" t="inlineStr">
        <is>
          <t>2023</t>
        </is>
      </c>
      <c r="F2037" s="4" t="n">
        <v>800</v>
      </c>
      <c r="G2037" t="inlineStr"/>
      <c r="H2037" t="inlineStr">
        <is>
          <t>28357 Bremen - Borgfeld</t>
        </is>
      </c>
      <c r="I2037" s="5" t="n">
        <v>45513</v>
      </c>
      <c r="J2037" t="inlineStr"/>
      <c r="K2037" s="6">
        <f>HYPERLINK("https://www.kleinanzeigen.de/s-anzeige/starboard-futura-110-2023/2833202109-230-17309", "Link")</f>
        <v/>
      </c>
      <c r="L2037" s="6">
        <f>HYPERLINK("C:\Projects\Kleinanzeigen-Scraper\offer_images\2833202109", "Link")</f>
        <v/>
      </c>
      <c r="M2037" t="inlineStr">
        <is>
          <t>Ben</t>
        </is>
      </c>
      <c r="N2037" s="6">
        <f>HYPERLINK("https://www.kleinanzeigen.de/s-bestandsliste.html?userId=10604735", "Link")</f>
        <v/>
      </c>
      <c r="O2037" s="7" t="n">
        <v>45549.57168981482</v>
      </c>
      <c r="P2037" s="3" t="inlineStr">
        <is>
          <t>275.85</t>
        </is>
      </c>
      <c r="Q2037" t="inlineStr">
        <is>
          <t>Köln</t>
        </is>
      </c>
    </row>
    <row r="2038">
      <c r="A2038" t="inlineStr">
        <is>
          <t>248 cm x 71.5 cm</t>
        </is>
      </c>
      <c r="B2038" t="inlineStr">
        <is>
          <t>Tabou Rocket LTD</t>
        </is>
      </c>
      <c r="C2038" t="inlineStr">
        <is>
          <t>Freeride</t>
        </is>
      </c>
      <c r="D2038" s="3" t="n">
        <v>135</v>
      </c>
      <c r="E2038" t="inlineStr">
        <is>
          <t>2024</t>
        </is>
      </c>
      <c r="F2038" s="4" t="n">
        <v>1.299</v>
      </c>
      <c r="G2038" t="inlineStr">
        <is>
          <t>VB</t>
        </is>
      </c>
      <c r="H2038" t="inlineStr">
        <is>
          <t>23769 Fehmarn - Westfehmarn</t>
        </is>
      </c>
      <c r="I2038" s="5" t="n">
        <v>45541</v>
      </c>
      <c r="J2038" t="inlineStr">
        <is>
          <t>Sold</t>
        </is>
      </c>
      <c r="K2038" s="6">
        <f>HYPERLINK("https://www.kleinanzeigen.de/s-anzeige/tabou-rocket-ltd-135l-145l/2831378276-230-430", "Link")</f>
        <v/>
      </c>
      <c r="L2038" s="6">
        <f>HYPERLINK("C:\Projects\Kleinanzeigen-Scraper\offer_images\2831378276", "Link")</f>
        <v/>
      </c>
      <c r="M2038" t="inlineStr">
        <is>
          <t>No user name</t>
        </is>
      </c>
      <c r="N2038" s="6">
        <f>HYPERLINK("https://www.kleinanzeigen.deNo user link", "Link")</f>
        <v/>
      </c>
      <c r="O2038" s="7" t="n">
        <v>45549.57168981482</v>
      </c>
      <c r="P2038" s="3" t="inlineStr">
        <is>
          <t>483.01</t>
        </is>
      </c>
      <c r="Q2038" t="inlineStr">
        <is>
          <t>Köln</t>
        </is>
      </c>
    </row>
    <row r="2039">
      <c r="A2039" t="inlineStr"/>
      <c r="B2039" t="inlineStr">
        <is>
          <t>JP Australia</t>
        </is>
      </c>
      <c r="C2039" t="inlineStr"/>
      <c r="D2039" s="3" t="n">
        <v>120</v>
      </c>
      <c r="E2039" t="inlineStr"/>
      <c r="F2039" s="4" t="n">
        <v>350</v>
      </c>
      <c r="G2039" t="inlineStr"/>
      <c r="H2039" t="inlineStr">
        <is>
          <t>88161 Bayern - Lindenberg im Allgäu</t>
        </is>
      </c>
      <c r="I2039" s="5" t="n">
        <v>45531</v>
      </c>
      <c r="J2039" t="inlineStr"/>
      <c r="K2039" s="6">
        <f>HYPERLINK("https://www.kleinanzeigen.de/s-anzeige/surbaord-jp-australia-120-l/2848031020-230-8596", "Link")</f>
        <v/>
      </c>
      <c r="L2039" s="6">
        <f>HYPERLINK("C:\Projects\Kleinanzeigen-Scraper\offer_images\2848031020", "Link")</f>
        <v/>
      </c>
      <c r="M2039" t="inlineStr">
        <is>
          <t>Frank Reisinger</t>
        </is>
      </c>
      <c r="N2039" s="6">
        <f>HYPERLINK("https://www.kleinanzeigen.de/s-bestandsliste.html?userId=130614574", "Link")</f>
        <v/>
      </c>
      <c r="O2039" s="7" t="n">
        <v>45549.57167824074</v>
      </c>
      <c r="P2039" s="3" t="inlineStr">
        <is>
          <t>118.20</t>
        </is>
      </c>
      <c r="Q2039" t="inlineStr">
        <is>
          <t>Bonndorf</t>
        </is>
      </c>
    </row>
    <row r="2040">
      <c r="A2040" t="inlineStr"/>
      <c r="B2040" t="inlineStr">
        <is>
          <t>Naish Foil Hover</t>
        </is>
      </c>
      <c r="C2040" t="inlineStr">
        <is>
          <t>SUP</t>
        </is>
      </c>
      <c r="D2040" s="3" t="n">
        <v>140</v>
      </c>
      <c r="E2040" t="inlineStr">
        <is>
          <t>2021</t>
        </is>
      </c>
      <c r="F2040" s="4" t="n">
        <v>1.002</v>
      </c>
      <c r="G2040" t="inlineStr">
        <is>
          <t>VB</t>
        </is>
      </c>
      <c r="H2040" t="inlineStr">
        <is>
          <t>20251 Hamburg-Nord - Hamburg Eppendorf</t>
        </is>
      </c>
      <c r="I2040" s="5" t="n">
        <v>45533</v>
      </c>
      <c r="J2040" t="inlineStr"/>
      <c r="K2040" s="6">
        <f>HYPERLINK("https://www.kleinanzeigen.de/s-anzeige/sup-naish-foil-hover-2021-140l-/2849252903-230-9475", "Link")</f>
        <v/>
      </c>
      <c r="L2040" s="6">
        <f>HYPERLINK("C:\Projects\Kleinanzeigen-Scraper\offer_images\2849252903", "Link")</f>
        <v/>
      </c>
      <c r="M2040" t="inlineStr">
        <is>
          <t>Y. Forster</t>
        </is>
      </c>
      <c r="N2040" s="6">
        <f>HYPERLINK("https://www.kleinanzeigen.de/s-bestandsliste.html?userId=45470613", "Link")</f>
        <v/>
      </c>
      <c r="O2040" s="7" t="n">
        <v>45549.57167824074</v>
      </c>
      <c r="P2040" s="3" t="inlineStr">
        <is>
          <t>360.06</t>
        </is>
      </c>
      <c r="Q2040" t="inlineStr">
        <is>
          <t>Köln</t>
        </is>
      </c>
    </row>
    <row r="2041">
      <c r="A2041" t="inlineStr">
        <is>
          <t>Dimensions not specified</t>
        </is>
      </c>
      <c r="B2041" t="inlineStr">
        <is>
          <t>FANATIC TriWave Team Edition</t>
        </is>
      </c>
      <c r="C2041" t="inlineStr">
        <is>
          <t>Wave</t>
        </is>
      </c>
      <c r="D2041" s="3" t="n">
        <v>88</v>
      </c>
      <c r="E2041" t="inlineStr"/>
      <c r="F2041" s="4" t="n">
        <v>449</v>
      </c>
      <c r="G2041" t="inlineStr"/>
      <c r="H2041" t="inlineStr">
        <is>
          <t>10119 Pankow - Prenzlauer Berg</t>
        </is>
      </c>
      <c r="I2041" s="5" t="n">
        <v>45536</v>
      </c>
      <c r="J2041" t="inlineStr">
        <is>
          <t>Sold</t>
        </is>
      </c>
      <c r="K2041" s="6">
        <f>HYPERLINK("https://www.kleinanzeigen.de/s-anzeige/fanatic-triwave-team-edition-88-top-zustand-grip-3-duotone/2851517889-230-9660", "Link")</f>
        <v/>
      </c>
      <c r="L2041" s="6">
        <f>HYPERLINK("C:\Projects\Kleinanzeigen-Scraper\offer_images\2851517889", "Link")</f>
        <v/>
      </c>
      <c r="M2041" t="inlineStr">
        <is>
          <t>Andreas</t>
        </is>
      </c>
      <c r="N2041" s="6">
        <f>HYPERLINK("https://www.kleinanzeigen.de/s-bestandsliste.html?userId=245621", "Link")</f>
        <v/>
      </c>
      <c r="O2041" s="7" t="n">
        <v>45549.57167824074</v>
      </c>
      <c r="P2041" s="3" t="inlineStr">
        <is>
          <t>478.06</t>
        </is>
      </c>
      <c r="Q2041" t="inlineStr">
        <is>
          <t>Köln</t>
        </is>
      </c>
    </row>
    <row r="2042">
      <c r="A2042" t="inlineStr"/>
      <c r="B2042" t="inlineStr">
        <is>
          <t>Naish Wing Foil Hover GS 110</t>
        </is>
      </c>
      <c r="C2042" t="inlineStr">
        <is>
          <t>Wing Foil</t>
        </is>
      </c>
      <c r="D2042" s="3" t="inlineStr"/>
      <c r="E2042" t="inlineStr">
        <is>
          <t>S26</t>
        </is>
      </c>
      <c r="F2042" s="4" t="n">
        <v>659</v>
      </c>
      <c r="G2042" t="inlineStr">
        <is>
          <t>VB</t>
        </is>
      </c>
      <c r="H2042" t="inlineStr">
        <is>
          <t>64665 Hessen - Alsbach-Hähnlein</t>
        </is>
      </c>
      <c r="I2042" s="5" t="n">
        <v>45501</v>
      </c>
      <c r="J2042" t="inlineStr">
        <is>
          <t>Sold</t>
        </is>
      </c>
      <c r="K2042" s="6">
        <f>HYPERLINK("https://www.kleinanzeigen.de/s-anzeige/naish-wing-foil-board-s26-wing-foil-hover-gs-110-wie-neu/2823229915-230-4511", "Link")</f>
        <v/>
      </c>
      <c r="L2042" s="6">
        <f>HYPERLINK("C:\Projects\Kleinanzeigen-Scraper\offer_images\2823229915", "Link")</f>
        <v/>
      </c>
      <c r="M2042" t="inlineStr">
        <is>
          <t>Matthias</t>
        </is>
      </c>
      <c r="N2042" s="6">
        <f>HYPERLINK("https://www.kleinanzeigen.de/s-bestandsliste.html?userId=6736192", "Link")</f>
        <v/>
      </c>
      <c r="O2042" s="7" t="n">
        <v>45549.57165509259</v>
      </c>
      <c r="P2042" s="3" t="inlineStr">
        <is>
          <t>82.33</t>
        </is>
      </c>
      <c r="Q2042" t="inlineStr">
        <is>
          <t>Karlsruhe</t>
        </is>
      </c>
    </row>
    <row r="2043">
      <c r="A2043" t="inlineStr"/>
      <c r="B2043" t="inlineStr">
        <is>
          <t>Vandal</t>
        </is>
      </c>
      <c r="C2043" t="inlineStr"/>
      <c r="D2043" s="3" t="inlineStr"/>
      <c r="E2043" t="inlineStr"/>
      <c r="F2043" s="4" t="n">
        <v>50</v>
      </c>
      <c r="G2043" t="inlineStr"/>
      <c r="H2043" t="inlineStr">
        <is>
          <t>86179 Bayern - Augsburg</t>
        </is>
      </c>
      <c r="I2043" s="5" t="n">
        <v>45517</v>
      </c>
      <c r="J2043" t="inlineStr"/>
      <c r="K2043" s="6">
        <f>HYPERLINK("https://www.kleinanzeigen.de/s-anzeige/sup-vandal/2836072683-230-7531", "Link")</f>
        <v/>
      </c>
      <c r="L2043" s="6">
        <f>HYPERLINK("C:\Projects\Kleinanzeigen-Scraper\offer_images\2836072683", "Link")</f>
        <v/>
      </c>
      <c r="M2043" t="inlineStr">
        <is>
          <t>Fischer</t>
        </is>
      </c>
      <c r="N2043" s="6">
        <f>HYPERLINK("https://www.kleinanzeigen.de/s-bestandsliste.html?userId=27758215", "Link")</f>
        <v/>
      </c>
      <c r="O2043" s="7" t="n">
        <v>45549.57164351852</v>
      </c>
      <c r="P2043" s="3" t="inlineStr">
        <is>
          <t>51.96</t>
        </is>
      </c>
      <c r="Q2043" t="inlineStr">
        <is>
          <t>München</t>
        </is>
      </c>
    </row>
    <row r="2044">
      <c r="A2044" t="inlineStr">
        <is>
          <t>3.35m x 0.68m</t>
        </is>
      </c>
      <c r="B2044" t="inlineStr">
        <is>
          <t>F2 COMET</t>
        </is>
      </c>
      <c r="C2044" t="inlineStr"/>
      <c r="D2044" s="3" t="n">
        <v>140</v>
      </c>
      <c r="E2044" t="inlineStr"/>
      <c r="F2044" s="4" t="n">
        <v>139</v>
      </c>
      <c r="G2044" t="inlineStr">
        <is>
          <t>VB</t>
        </is>
      </c>
      <c r="H2044" t="inlineStr">
        <is>
          <t>37124 Niedersachsen - Rosdorf</t>
        </is>
      </c>
      <c r="I2044" s="5" t="n">
        <v>45548</v>
      </c>
      <c r="J2044" t="inlineStr">
        <is>
          <t>Sold</t>
        </is>
      </c>
      <c r="K2044" s="6">
        <f>HYPERLINK("https://www.kleinanzeigen.de/s-anzeige/windsurfer-surfboard-f2-comet-3-3m-140l-stand-up-sup-1456-/1784120814-230-3133", "Link")</f>
        <v/>
      </c>
      <c r="L2044" s="6">
        <f>HYPERLINK("C:\Projects\Kleinanzeigen-Scraper\offer_images\1784120814", "Link")</f>
        <v/>
      </c>
      <c r="M2044" t="inlineStr">
        <is>
          <t>No user name</t>
        </is>
      </c>
      <c r="N2044" s="6">
        <f>HYPERLINK("https://www.kleinanzeigen.deNo user link", "Link")</f>
        <v/>
      </c>
      <c r="O2044" s="7" t="n">
        <v>45549.57163194445</v>
      </c>
      <c r="P2044" s="3" t="inlineStr">
        <is>
          <t>214.72</t>
        </is>
      </c>
      <c r="Q2044" t="inlineStr">
        <is>
          <t>Köln</t>
        </is>
      </c>
    </row>
    <row r="2045">
      <c r="A2045" t="inlineStr"/>
      <c r="B2045" t="inlineStr">
        <is>
          <t>RRD Freestyle Wave FSW Y26 LTD</t>
        </is>
      </c>
      <c r="C2045" t="inlineStr">
        <is>
          <t>Freestyle Wave</t>
        </is>
      </c>
      <c r="D2045" s="3" t="n">
        <v>90</v>
      </c>
      <c r="E2045" t="inlineStr"/>
      <c r="F2045" s="4" t="n">
        <v>1</v>
      </c>
      <c r="G2045" t="inlineStr"/>
      <c r="H2045" t="inlineStr">
        <is>
          <t>80639 Neuhausen-Nymphenburg - Neuhausen</t>
        </is>
      </c>
      <c r="I2045" s="5" t="n">
        <v>45536</v>
      </c>
      <c r="J2045" t="inlineStr"/>
      <c r="K2045" s="6">
        <f>HYPERLINK("https://www.kleinanzeigen.de/s-anzeige/rrd-freestyle-wave-fsw-y26-ltd-90l/2592644978-230-6420", "Link")</f>
        <v/>
      </c>
      <c r="L2045" s="6">
        <f>HYPERLINK("C:\Projects\Kleinanzeigen-Scraper\offer_images\2592644978", "Link")</f>
        <v/>
      </c>
      <c r="M2045" t="inlineStr">
        <is>
          <t>Andre Simlacher</t>
        </is>
      </c>
      <c r="N2045" s="6">
        <f>HYPERLINK("https://www.kleinanzeigen.de/s-bestandsliste.html?userId=46137019", "Link")</f>
        <v/>
      </c>
      <c r="O2045" s="7" t="n">
        <v>45549.57163194445</v>
      </c>
      <c r="P2045" s="3" t="inlineStr">
        <is>
          <t>4.83</t>
        </is>
      </c>
      <c r="Q2045" t="inlineStr">
        <is>
          <t>München</t>
        </is>
      </c>
    </row>
    <row r="2046">
      <c r="A2046" t="inlineStr">
        <is>
          <t>294 x 60 cm</t>
        </is>
      </c>
      <c r="B2046" t="inlineStr">
        <is>
          <t>Fanatic Bee</t>
        </is>
      </c>
      <c r="C2046" t="inlineStr">
        <is>
          <t>Freeride</t>
        </is>
      </c>
      <c r="D2046" s="3" t="n">
        <v>135</v>
      </c>
      <c r="E2046" t="inlineStr"/>
      <c r="F2046" s="4" t="n">
        <v>250</v>
      </c>
      <c r="G2046" t="inlineStr"/>
      <c r="H2046" t="inlineStr">
        <is>
          <t>09111 Sachsen - Chemnitz</t>
        </is>
      </c>
      <c r="I2046" s="5" t="n">
        <v>45547</v>
      </c>
      <c r="J2046" t="inlineStr">
        <is>
          <t>Sold</t>
        </is>
      </c>
      <c r="K2046" s="6">
        <f>HYPERLINK("https://www.kleinanzeigen.de/s-anzeige/windsurf-board-fanatic-bee-135-und-105-liter/2861653160-230-3886", "Link")</f>
        <v/>
      </c>
      <c r="L2046" s="6">
        <f>HYPERLINK("C:\Projects\Kleinanzeigen-Scraper\offer_images\2861653160", "Link")</f>
        <v/>
      </c>
      <c r="M2046" t="inlineStr">
        <is>
          <t>olaf</t>
        </is>
      </c>
      <c r="N2046" s="6">
        <f>HYPERLINK("https://www.kleinanzeigen.de/s-bestandsliste.html?userId=8857923", "Link")</f>
        <v/>
      </c>
      <c r="O2046" s="7" t="n">
        <v>45549.57162037037</v>
      </c>
      <c r="P2046" s="3" t="inlineStr">
        <is>
          <t>315.71</t>
        </is>
      </c>
      <c r="Q2046" t="inlineStr">
        <is>
          <t>München</t>
        </is>
      </c>
    </row>
    <row r="2047">
      <c r="A2047" t="inlineStr"/>
      <c r="B2047" t="inlineStr">
        <is>
          <t>Fanatic Goya</t>
        </is>
      </c>
      <c r="C2047" t="inlineStr">
        <is>
          <t>Freewave</t>
        </is>
      </c>
      <c r="D2047" s="3" t="n">
        <v>95</v>
      </c>
      <c r="E2047" t="inlineStr"/>
      <c r="F2047" s="4" t="n">
        <v>50</v>
      </c>
      <c r="G2047" t="inlineStr"/>
      <c r="H2047" t="inlineStr">
        <is>
          <t>46414 Nordrhein-Westfalen - Rhede</t>
        </is>
      </c>
      <c r="I2047" s="5" t="n">
        <v>45493</v>
      </c>
      <c r="J2047" t="inlineStr">
        <is>
          <t>Sold</t>
        </is>
      </c>
      <c r="K2047" s="6">
        <f>HYPERLINK("https://www.kleinanzeigen.de/s-anzeige/fanatic-goya-fw95-95-liter-freewave/2816555777-230-1381", "Link")</f>
        <v/>
      </c>
      <c r="L2047" s="6">
        <f>HYPERLINK("C:\Projects\Kleinanzeigen-Scraper\offer_images\2816555777", "Link")</f>
        <v/>
      </c>
      <c r="M2047" t="inlineStr">
        <is>
          <t>Privat</t>
        </is>
      </c>
      <c r="N2047" s="6">
        <f>HYPERLINK("https://www.kleinanzeigen.de/s-bestandsliste.html?userId=3769150", "Link")</f>
        <v/>
      </c>
      <c r="O2047" s="7" t="n">
        <v>45549.57162037037</v>
      </c>
      <c r="P2047" s="3" t="inlineStr">
        <is>
          <t>101.95</t>
        </is>
      </c>
      <c r="Q2047" t="inlineStr">
        <is>
          <t>Köln</t>
        </is>
      </c>
    </row>
    <row r="2048">
      <c r="A2048" t="inlineStr">
        <is>
          <t>55</t>
        </is>
      </c>
      <c r="B2048" t="inlineStr">
        <is>
          <t>RRD</t>
        </is>
      </c>
      <c r="C2048" t="inlineStr">
        <is>
          <t>Freestyle/Wave</t>
        </is>
      </c>
      <c r="D2048" s="3" t="n">
        <v>85</v>
      </c>
      <c r="E2048" t="inlineStr"/>
      <c r="F2048" s="4" t="n">
        <v>65</v>
      </c>
      <c r="G2048" t="inlineStr"/>
      <c r="H2048" t="inlineStr">
        <is>
          <t>12207 Berlin - Steglitz</t>
        </is>
      </c>
      <c r="I2048" s="5" t="n">
        <v>45515</v>
      </c>
      <c r="J2048" t="inlineStr"/>
      <c r="K2048" s="6">
        <f>HYPERLINK("https://www.kleinanzeigen.de/s-anzeige/surfboard-surfbrett-rrd-55-ttw-85l-freestyle-wave/2834685644-230-3418", "Link")</f>
        <v/>
      </c>
      <c r="L2048" s="6">
        <f>HYPERLINK("C:\Projects\Kleinanzeigen-Scraper\offer_images\2834685644", "Link")</f>
        <v/>
      </c>
      <c r="M2048" t="inlineStr">
        <is>
          <t>Bruno Koch</t>
        </is>
      </c>
      <c r="N2048" s="6">
        <f>HYPERLINK("https://www.kleinanzeigen.de/s-bestandsliste.html?userId=21567440", "Link")</f>
        <v/>
      </c>
      <c r="O2048" s="7" t="n">
        <v>45549.57162037037</v>
      </c>
      <c r="P2048" s="3" t="inlineStr">
        <is>
          <t>467.87</t>
        </is>
      </c>
      <c r="Q2048" t="inlineStr">
        <is>
          <t>Köln</t>
        </is>
      </c>
    </row>
    <row r="2049">
      <c r="A2049" t="inlineStr">
        <is>
          <t>255x59</t>
        </is>
      </c>
      <c r="B2049" t="inlineStr">
        <is>
          <t>Naish Floater</t>
        </is>
      </c>
      <c r="C2049" t="inlineStr">
        <is>
          <t>Wave</t>
        </is>
      </c>
      <c r="D2049" s="3" t="n">
        <v>99</v>
      </c>
      <c r="E2049" t="inlineStr"/>
      <c r="F2049" s="4" t="n">
        <v>65</v>
      </c>
      <c r="G2049" t="inlineStr">
        <is>
          <t>VB</t>
        </is>
      </c>
      <c r="H2049" t="inlineStr">
        <is>
          <t>80809 München - Milbertshofen - Am Hart</t>
        </is>
      </c>
      <c r="I2049" s="5" t="n">
        <v>45479</v>
      </c>
      <c r="J2049" t="inlineStr">
        <is>
          <t>Sold</t>
        </is>
      </c>
      <c r="K2049" s="6">
        <f>HYPERLINK("https://www.kleinanzeigen.de/s-anzeige/surfboard-windsurfboard-waveboard-naish-floater-99l/2805580606-230-6471", "Link")</f>
        <v/>
      </c>
      <c r="L2049" s="6">
        <f>HYPERLINK("C:\Projects\Kleinanzeigen-Scraper\offer_images\2805580606", "Link")</f>
        <v/>
      </c>
      <c r="M2049" t="inlineStr">
        <is>
          <t>Wolfgang</t>
        </is>
      </c>
      <c r="N2049" s="6">
        <f>HYPERLINK("https://www.kleinanzeigen.de/s-bestandsliste.html?userId=10675782", "Link")</f>
        <v/>
      </c>
      <c r="O2049" s="7" t="n">
        <v>45549.57160879629</v>
      </c>
      <c r="P2049" s="3" t="inlineStr">
        <is>
          <t>5.17</t>
        </is>
      </c>
      <c r="Q2049" t="inlineStr">
        <is>
          <t>München</t>
        </is>
      </c>
    </row>
    <row r="2050">
      <c r="A2050" t="inlineStr">
        <is>
          <t>81</t>
        </is>
      </c>
      <c r="B2050" t="inlineStr">
        <is>
          <t>Fanatic / Duotone Grip</t>
        </is>
      </c>
      <c r="C2050" t="inlineStr">
        <is>
          <t>Freestyle</t>
        </is>
      </c>
      <c r="D2050" s="3" t="inlineStr"/>
      <c r="E2050" t="inlineStr">
        <is>
          <t>2024</t>
        </is>
      </c>
      <c r="F2050" s="4" t="n">
        <v>1.6</v>
      </c>
      <c r="G2050" t="inlineStr">
        <is>
          <t>VB</t>
        </is>
      </c>
      <c r="H2050" t="inlineStr">
        <is>
          <t>57610 Rheinland-Pfalz - Altenkirchen</t>
        </is>
      </c>
      <c r="I2050" s="5" t="n">
        <v>45541</v>
      </c>
      <c r="J2050" t="inlineStr">
        <is>
          <t>Sold</t>
        </is>
      </c>
      <c r="K2050" s="6">
        <f>HYPERLINK("https://www.kleinanzeigen.de/s-anzeige/fanatic-duotone-grip-81-te-einzelstueck-2024/2855553144-230-1497", "Link")</f>
        <v/>
      </c>
      <c r="L2050" s="6">
        <f>HYPERLINK("C:\Projects\Kleinanzeigen-Scraper\offer_images\2855553144", "Link")</f>
        <v/>
      </c>
      <c r="M2050" t="inlineStr">
        <is>
          <t>der Junge</t>
        </is>
      </c>
      <c r="N2050" s="6">
        <f>HYPERLINK("https://www.kleinanzeigen.de/s-bestandsliste.html?userId=21976362", "Link")</f>
        <v/>
      </c>
      <c r="O2050" s="7" t="n">
        <v>45549.57160879629</v>
      </c>
      <c r="P2050" s="3" t="inlineStr">
        <is>
          <t>57.37</t>
        </is>
      </c>
      <c r="Q2050" t="inlineStr">
        <is>
          <t>Köln</t>
        </is>
      </c>
    </row>
    <row r="2051">
      <c r="A2051" t="inlineStr">
        <is>
          <t>236x62</t>
        </is>
      </c>
      <c r="B2051" t="inlineStr">
        <is>
          <t>RRD TwinTip</t>
        </is>
      </c>
      <c r="C2051" t="inlineStr">
        <is>
          <t>Freestyle</t>
        </is>
      </c>
      <c r="D2051" s="3" t="n">
        <v>90</v>
      </c>
      <c r="E2051" t="inlineStr"/>
      <c r="F2051" s="4" t="n">
        <v>220</v>
      </c>
      <c r="G2051" t="inlineStr">
        <is>
          <t>VB</t>
        </is>
      </c>
      <c r="H2051" t="inlineStr">
        <is>
          <t>41352 Nordrhein-Westfalen - Korschenbroich</t>
        </is>
      </c>
      <c r="I2051" s="5" t="n">
        <v>45508</v>
      </c>
      <c r="J2051" t="inlineStr">
        <is>
          <t>Sold</t>
        </is>
      </c>
      <c r="K2051" s="6">
        <f>HYPERLINK("https://www.kleinanzeigen.de/s-anzeige/freestyle-surfboard-rrd-twintip-90/2828767009-230-1188", "Link")</f>
        <v/>
      </c>
      <c r="L2051" s="6">
        <f>HYPERLINK("C:\Projects\Kleinanzeigen-Scraper\offer_images\2828767009", "Link")</f>
        <v/>
      </c>
      <c r="M2051" t="inlineStr">
        <is>
          <t>Oliver</t>
        </is>
      </c>
      <c r="N2051" s="6">
        <f>HYPERLINK("https://www.kleinanzeigen.de/s-bestandsliste.html?userId=12833327", "Link")</f>
        <v/>
      </c>
      <c r="O2051" s="7" t="n">
        <v>45549.57158564815</v>
      </c>
      <c r="P2051" s="3" t="inlineStr">
        <is>
          <t>40.41</t>
        </is>
      </c>
      <c r="Q2051" t="inlineStr">
        <is>
          <t>Köln</t>
        </is>
      </c>
    </row>
    <row r="2052">
      <c r="A2052" t="inlineStr"/>
      <c r="B2052" t="inlineStr">
        <is>
          <t>Starboard 97l isonic</t>
        </is>
      </c>
      <c r="C2052" t="inlineStr">
        <is>
          <t>Slalom, Race, Freeride</t>
        </is>
      </c>
      <c r="D2052" s="3" t="n">
        <v>97</v>
      </c>
      <c r="E2052" t="inlineStr">
        <is>
          <t>2020</t>
        </is>
      </c>
      <c r="F2052" s="4" t="n">
        <v>1.04</v>
      </c>
      <c r="G2052" t="inlineStr">
        <is>
          <t>VB</t>
        </is>
      </c>
      <c r="H2052" t="inlineStr">
        <is>
          <t>24235 Schleswig-Holstein - Laboe</t>
        </is>
      </c>
      <c r="I2052" s="5" t="n">
        <v>45525</v>
      </c>
      <c r="J2052" t="inlineStr"/>
      <c r="K2052" s="6">
        <f>HYPERLINK("https://www.kleinanzeigen.de/s-anzeige/windsurfboard-starboard-97l-isonic-wie-neu-inkl-schlaufen/2843019418-230-19055", "Link")</f>
        <v/>
      </c>
      <c r="L2052" s="6">
        <f>HYPERLINK("C:\Projects\Kleinanzeigen-Scraper\offer_images\2843019418", "Link")</f>
        <v/>
      </c>
      <c r="M2052" t="inlineStr">
        <is>
          <t>Barbara Ha</t>
        </is>
      </c>
      <c r="N2052" s="6">
        <f>HYPERLINK("https://www.kleinanzeigen.de/s-bestandsliste.html?userId=48240326", "Link")</f>
        <v/>
      </c>
      <c r="O2052" s="7" t="n">
        <v>45549.5715625</v>
      </c>
      <c r="P2052" s="3" t="inlineStr">
        <is>
          <t>443.73</t>
        </is>
      </c>
      <c r="Q2052" t="inlineStr">
        <is>
          <t>Köln</t>
        </is>
      </c>
    </row>
    <row r="2053">
      <c r="A2053" t="inlineStr">
        <is>
          <t>240 x 81</t>
        </is>
      </c>
      <c r="B2053" t="inlineStr">
        <is>
          <t>Tabou CED Rocket</t>
        </is>
      </c>
      <c r="C2053" t="inlineStr">
        <is>
          <t>Freeride</t>
        </is>
      </c>
      <c r="D2053" s="3" t="n">
        <v>135</v>
      </c>
      <c r="E2053" t="inlineStr"/>
      <c r="F2053" s="4" t="n">
        <v>999</v>
      </c>
      <c r="G2053" t="inlineStr">
        <is>
          <t>VB</t>
        </is>
      </c>
      <c r="H2053" t="inlineStr">
        <is>
          <t>97204 Bayern - Höchberg</t>
        </is>
      </c>
      <c r="I2053" s="5" t="n">
        <v>45543</v>
      </c>
      <c r="J2053" t="inlineStr">
        <is>
          <t>Sold</t>
        </is>
      </c>
      <c r="K2053" s="6">
        <f>HYPERLINK("https://www.kleinanzeigen.de/s-anzeige/tabou-ced-rocket-wide-135l-240-lenght-81-width/2857195384-230-7674", "Link")</f>
        <v/>
      </c>
      <c r="L2053" s="6">
        <f>HYPERLINK("C:\Projects\Kleinanzeigen-Scraper\offer_images\2857195384", "Link")</f>
        <v/>
      </c>
      <c r="M2053" t="inlineStr">
        <is>
          <t>Fam. Brauer</t>
        </is>
      </c>
      <c r="N2053" s="6">
        <f>HYPERLINK("https://www.kleinanzeigen.de/s-bestandsliste.html?userId=290551", "Link")</f>
        <v/>
      </c>
      <c r="O2053" s="7" t="n">
        <v>45549.5715625</v>
      </c>
      <c r="P2053" s="3" t="inlineStr">
        <is>
          <t>138.09</t>
        </is>
      </c>
      <c r="Q2053" t="inlineStr">
        <is>
          <t>Karlsruhe</t>
        </is>
      </c>
    </row>
    <row r="2054">
      <c r="A2054" t="inlineStr"/>
      <c r="B2054" t="inlineStr">
        <is>
          <t>Fanatic Stubby</t>
        </is>
      </c>
      <c r="C2054" t="inlineStr"/>
      <c r="D2054" s="3" t="n">
        <v>88</v>
      </c>
      <c r="E2054" t="inlineStr"/>
      <c r="F2054" s="4" t="n">
        <v>375</v>
      </c>
      <c r="G2054" t="inlineStr">
        <is>
          <t>VB</t>
        </is>
      </c>
      <c r="H2054" t="inlineStr">
        <is>
          <t>49459 Niedersachsen - Lembruch</t>
        </is>
      </c>
      <c r="I2054" s="5" t="n">
        <v>45516</v>
      </c>
      <c r="J2054" t="inlineStr">
        <is>
          <t>Sold</t>
        </is>
      </c>
      <c r="K2054" s="6">
        <f>HYPERLINK("https://www.kleinanzeigen.de/s-anzeige/fanatic-stubby-88l-inkl-boardbag/2835577609-230-20676", "Link")</f>
        <v/>
      </c>
      <c r="L2054" s="6">
        <f>HYPERLINK("C:\Projects\Kleinanzeigen-Scraper\offer_images\2835577609", "Link")</f>
        <v/>
      </c>
      <c r="M2054" t="inlineStr">
        <is>
          <t>Mathias</t>
        </is>
      </c>
      <c r="N2054" s="6">
        <f>HYPERLINK("https://www.kleinanzeigen.de/s-bestandsliste.html?userId=11459789", "Link")</f>
        <v/>
      </c>
      <c r="O2054" s="7" t="n">
        <v>45549.57153935185</v>
      </c>
      <c r="P2054" s="3" t="inlineStr">
        <is>
          <t>201.54</t>
        </is>
      </c>
      <c r="Q2054" t="inlineStr">
        <is>
          <t>Köln</t>
        </is>
      </c>
    </row>
    <row r="2055">
      <c r="A2055" t="inlineStr">
        <is>
          <t>5'3"</t>
        </is>
      </c>
      <c r="B2055" t="inlineStr">
        <is>
          <t>Duotone x Fanatic Sky Free TE</t>
        </is>
      </c>
      <c r="C2055" t="inlineStr">
        <is>
          <t>Wingfoil</t>
        </is>
      </c>
      <c r="D2055" s="3" t="n">
        <v>95</v>
      </c>
      <c r="E2055" t="inlineStr">
        <is>
          <t>2022</t>
        </is>
      </c>
      <c r="F2055" s="4" t="n">
        <v>850</v>
      </c>
      <c r="G2055" t="inlineStr"/>
      <c r="H2055" t="inlineStr">
        <is>
          <t>59494 Nordrhein-Westfalen - Soest</t>
        </is>
      </c>
      <c r="I2055" s="5" t="n">
        <v>45527</v>
      </c>
      <c r="J2055" t="inlineStr">
        <is>
          <t>Sold</t>
        </is>
      </c>
      <c r="K2055" s="6">
        <f>HYPERLINK("https://www.kleinanzeigen.de/s-anzeige/duotone-x-fanatic-sky-free-te-95-l-wingfoil-board/2844279128-230-1452", "Link")</f>
        <v/>
      </c>
      <c r="L2055" s="6">
        <f>HYPERLINK("C:\Projects\Kleinanzeigen-Scraper\offer_images\2844279128", "Link")</f>
        <v/>
      </c>
      <c r="M2055" t="inlineStr">
        <is>
          <t>Chris</t>
        </is>
      </c>
      <c r="N2055" s="6">
        <f>HYPERLINK("https://www.kleinanzeigen.de/s-bestandsliste.html?userId=23617155", "Link")</f>
        <v/>
      </c>
      <c r="O2055" s="7" t="n">
        <v>45549.57153935185</v>
      </c>
      <c r="P2055" s="3" t="inlineStr">
        <is>
          <t>105.40</t>
        </is>
      </c>
      <c r="Q2055" t="inlineStr">
        <is>
          <t>Köln</t>
        </is>
      </c>
    </row>
    <row r="2056">
      <c r="A2056" t="inlineStr">
        <is>
          <t>11 x 34 x 6</t>
        </is>
      </c>
      <c r="B2056" t="inlineStr">
        <is>
          <t>Starboard Stream Crossover</t>
        </is>
      </c>
      <c r="C2056" t="inlineStr">
        <is>
          <t>Crossover</t>
        </is>
      </c>
      <c r="D2056" s="3" t="n">
        <v>334</v>
      </c>
      <c r="E2056" t="inlineStr"/>
      <c r="F2056" s="4" t="n">
        <v>480</v>
      </c>
      <c r="G2056" t="inlineStr">
        <is>
          <t>VB</t>
        </is>
      </c>
      <c r="H2056" t="inlineStr">
        <is>
          <t>55268 Rheinland-Pfalz - Nieder-Olm</t>
        </is>
      </c>
      <c r="I2056" s="5" t="n">
        <v>45519</v>
      </c>
      <c r="J2056" t="inlineStr"/>
      <c r="K2056" s="6">
        <f>HYPERLINK("https://www.kleinanzeigen.de/s-anzeige/i-sup-starboard-stream-crossover-11-x-34-x-6-wildwasser-yoga/2837809731-230-5333", "Link")</f>
        <v/>
      </c>
      <c r="L2056" s="6">
        <f>HYPERLINK("C:\Projects\Kleinanzeigen-Scraper\offer_images\2837809731", "Link")</f>
        <v/>
      </c>
      <c r="M2056" t="inlineStr">
        <is>
          <t>Tom</t>
        </is>
      </c>
      <c r="N2056" s="6">
        <f>HYPERLINK("https://www.kleinanzeigen.de/s-bestandsliste.html?userId=22188407", "Link")</f>
        <v/>
      </c>
      <c r="O2056" s="7" t="n">
        <v>45549.57153935185</v>
      </c>
      <c r="P2056" s="3" t="inlineStr">
        <is>
          <t>101.19</t>
        </is>
      </c>
      <c r="Q2056" t="inlineStr">
        <is>
          <t>Karlsruhe</t>
        </is>
      </c>
    </row>
    <row r="2057">
      <c r="A2057" t="inlineStr">
        <is>
          <t>132x39</t>
        </is>
      </c>
      <c r="B2057" t="inlineStr">
        <is>
          <t>Naish Alana</t>
        </is>
      </c>
      <c r="C2057" t="inlineStr">
        <is>
          <t>Twintip</t>
        </is>
      </c>
      <c r="D2057" s="3" t="inlineStr"/>
      <c r="E2057" t="inlineStr">
        <is>
          <t>2023</t>
        </is>
      </c>
      <c r="F2057" s="4" t="n">
        <v>350</v>
      </c>
      <c r="G2057" t="inlineStr">
        <is>
          <t>VB</t>
        </is>
      </c>
      <c r="H2057" t="inlineStr">
        <is>
          <t>88048 Baden-Württemberg - Friedrichshafen</t>
        </is>
      </c>
      <c r="I2057" s="5" t="n">
        <v>45520</v>
      </c>
      <c r="J2057" t="inlineStr">
        <is>
          <t>Sold</t>
        </is>
      </c>
      <c r="K2057" s="6">
        <f>HYPERLINK("https://www.kleinanzeigen.de/s-anzeige/naish-alana-twintip-132x39-kiteboard/2838573348-230-9212", "Link")</f>
        <v/>
      </c>
      <c r="L2057" s="6">
        <f>HYPERLINK("C:\Projects\Kleinanzeigen-Scraper\offer_images\2838573348", "Link")</f>
        <v/>
      </c>
      <c r="M2057" t="inlineStr">
        <is>
          <t>M. Thum</t>
        </is>
      </c>
      <c r="N2057" s="6">
        <f>HYPERLINK("https://www.kleinanzeigen.de/s-bestandsliste.html?userId=19761909", "Link")</f>
        <v/>
      </c>
      <c r="O2057" s="7" t="n">
        <v>45549.57153935185</v>
      </c>
      <c r="P2057" s="3" t="inlineStr">
        <is>
          <t>87.69</t>
        </is>
      </c>
      <c r="Q2057" t="inlineStr">
        <is>
          <t>Bonndorf</t>
        </is>
      </c>
    </row>
    <row r="2058">
      <c r="A2058" t="inlineStr"/>
      <c r="B2058" t="inlineStr">
        <is>
          <t>Naish Nitrix</t>
        </is>
      </c>
      <c r="C2058" t="inlineStr">
        <is>
          <t>Freemove</t>
        </is>
      </c>
      <c r="D2058" s="3" t="n">
        <v>125</v>
      </c>
      <c r="E2058" t="inlineStr"/>
      <c r="F2058" s="4" t="n">
        <v>299</v>
      </c>
      <c r="G2058" t="inlineStr"/>
      <c r="H2058" t="inlineStr">
        <is>
          <t>73527 Baden-Württemberg - Schwäbisch Gmünd</t>
        </is>
      </c>
      <c r="I2058" s="5" t="n">
        <v>45537</v>
      </c>
      <c r="J2058" t="inlineStr">
        <is>
          <t>Sold</t>
        </is>
      </c>
      <c r="K2058" s="6">
        <f>HYPERLINK("https://www.kleinanzeigen.de/s-anzeige/windsurfing-brett-naish-nitrix-125/2852920014-230-9012", "Link")</f>
        <v/>
      </c>
      <c r="L2058" s="6">
        <f>HYPERLINK("C:\Projects\Kleinanzeigen-Scraper\offer_images\2852920014", "Link")</f>
        <v/>
      </c>
      <c r="M2058" t="inlineStr">
        <is>
          <t>Ak</t>
        </is>
      </c>
      <c r="N2058" s="6">
        <f>HYPERLINK("https://www.kleinanzeigen.de/s-bestandsliste.html?userId=12596326", "Link")</f>
        <v/>
      </c>
      <c r="O2058" s="7" t="n">
        <v>45549.57152777778</v>
      </c>
      <c r="P2058" s="3" t="inlineStr">
        <is>
          <t>63.98</t>
        </is>
      </c>
      <c r="Q2058" t="inlineStr">
        <is>
          <t>Böblingen</t>
        </is>
      </c>
    </row>
    <row r="2059">
      <c r="A2059" t="inlineStr">
        <is>
          <t>4'6"</t>
        </is>
      </c>
      <c r="B2059" t="inlineStr">
        <is>
          <t>Fanatic Sky Wing</t>
        </is>
      </c>
      <c r="C2059" t="inlineStr">
        <is>
          <t>Foilboard</t>
        </is>
      </c>
      <c r="D2059" s="3" t="inlineStr"/>
      <c r="E2059" t="inlineStr"/>
      <c r="F2059" s="4" t="n">
        <v>390</v>
      </c>
      <c r="G2059" t="inlineStr">
        <is>
          <t>VB</t>
        </is>
      </c>
      <c r="H2059" t="inlineStr">
        <is>
          <t>24248 Schleswig-Holstein - Mönkeberg</t>
        </is>
      </c>
      <c r="I2059" s="5" t="n">
        <v>45532</v>
      </c>
      <c r="J2059" t="inlineStr">
        <is>
          <t>Sold</t>
        </is>
      </c>
      <c r="K2059" s="6">
        <f>HYPERLINK("https://www.kleinanzeigen.de/s-anzeige/fanatic-sky-wing-4-6-surffoil-wingfoil-kids/2848131329-230-666", "Link")</f>
        <v/>
      </c>
      <c r="L2059" s="6">
        <f>HYPERLINK("C:\Projects\Kleinanzeigen-Scraper\offer_images\2848131329", "Link")</f>
        <v/>
      </c>
      <c r="M2059" t="inlineStr">
        <is>
          <t>Sebastian</t>
        </is>
      </c>
      <c r="N2059" s="6">
        <f>HYPERLINK("https://www.kleinanzeigen.de/s-bestandsliste.html?userId=18616929", "Link")</f>
        <v/>
      </c>
      <c r="O2059" s="7" t="n">
        <v>45549.57152777778</v>
      </c>
      <c r="P2059" s="3" t="inlineStr">
        <is>
          <t>437.31</t>
        </is>
      </c>
      <c r="Q2059" t="inlineStr">
        <is>
          <t>Köln</t>
        </is>
      </c>
    </row>
    <row r="2060">
      <c r="A2060" t="inlineStr">
        <is>
          <t>11.2 x 32 x 4.75</t>
        </is>
      </c>
      <c r="B2060" t="inlineStr">
        <is>
          <t>Starboard iGo Tikhine SUN</t>
        </is>
      </c>
      <c r="C2060" t="inlineStr"/>
      <c r="D2060" s="3" t="inlineStr"/>
      <c r="E2060" t="inlineStr"/>
      <c r="F2060" s="4" t="n">
        <v>349</v>
      </c>
      <c r="G2060" t="inlineStr">
        <is>
          <t>VB</t>
        </is>
      </c>
      <c r="H2060" t="inlineStr">
        <is>
          <t>42499 Nordrhein-Westfalen - Hückeswagen</t>
        </is>
      </c>
      <c r="I2060" s="5" t="n">
        <v>45519</v>
      </c>
      <c r="J2060" t="inlineStr"/>
      <c r="K2060" s="6">
        <f>HYPERLINK("https://www.kleinanzeigen.de/s-anzeige/sup-starboard-igo-tikhine-sun-11-2-x-32-x-4-75-/2837296211-230-1550", "Link")</f>
        <v/>
      </c>
      <c r="L2060" s="6">
        <f>HYPERLINK("C:\Projects\Kleinanzeigen-Scraper\offer_images\2837296211", "Link")</f>
        <v/>
      </c>
      <c r="M2060" t="inlineStr">
        <is>
          <t>Frank Noack</t>
        </is>
      </c>
      <c r="N2060" s="6">
        <f>HYPERLINK("https://www.kleinanzeigen.de/s-bestandsliste.html?userId=89866219", "Link")</f>
        <v/>
      </c>
      <c r="O2060" s="7" t="n">
        <v>45549.5715162037</v>
      </c>
      <c r="P2060" s="3" t="inlineStr">
        <is>
          <t>35.16</t>
        </is>
      </c>
      <c r="Q2060" t="inlineStr">
        <is>
          <t>Köln</t>
        </is>
      </c>
    </row>
    <row r="2061">
      <c r="A2061" t="inlineStr">
        <is>
          <t>8'8" / 264.2 cm x 29.5" / 74.9 cm</t>
        </is>
      </c>
      <c r="B2061" t="inlineStr">
        <is>
          <t>Fanatic Prowave LTD</t>
        </is>
      </c>
      <c r="C2061" t="inlineStr">
        <is>
          <t>Wave</t>
        </is>
      </c>
      <c r="D2061" s="3" t="n">
        <v>110</v>
      </c>
      <c r="E2061" t="inlineStr">
        <is>
          <t>2018</t>
        </is>
      </c>
      <c r="F2061" s="4" t="n">
        <v>400</v>
      </c>
      <c r="G2061" t="inlineStr">
        <is>
          <t>VB</t>
        </is>
      </c>
      <c r="H2061" t="inlineStr">
        <is>
          <t>15848 Brandenburg - Beeskow</t>
        </is>
      </c>
      <c r="I2061" s="5" t="n">
        <v>45532</v>
      </c>
      <c r="J2061" t="inlineStr">
        <is>
          <t>Sold</t>
        </is>
      </c>
      <c r="K2061" s="6">
        <f>HYPERLINK("https://www.kleinanzeigen.de/s-anzeige/8-8-fanatic-prowave-ltd-sup-2018-mit-110l/2848735059-230-7764", "Link")</f>
        <v/>
      </c>
      <c r="L2061" s="6">
        <f>HYPERLINK("C:\Projects\Kleinanzeigen-Scraper\offer_images\2848735059", "Link")</f>
        <v/>
      </c>
      <c r="M2061" t="inlineStr">
        <is>
          <t>Moritz Krüger</t>
        </is>
      </c>
      <c r="N2061" s="6">
        <f>HYPERLINK("https://www.kleinanzeigen.de/s-bestandsliste.html?userId=68204111", "Link")</f>
        <v/>
      </c>
      <c r="O2061" s="7" t="n">
        <v>45549.5715162037</v>
      </c>
      <c r="P2061" s="3" t="inlineStr">
        <is>
          <t>482.63</t>
        </is>
      </c>
      <c r="Q2061" t="inlineStr">
        <is>
          <t>München</t>
        </is>
      </c>
    </row>
    <row r="2062">
      <c r="A2062" t="inlineStr"/>
      <c r="B2062" t="inlineStr">
        <is>
          <t>JP Australia X-cite ride</t>
        </is>
      </c>
      <c r="C2062" t="inlineStr">
        <is>
          <t>Freeride</t>
        </is>
      </c>
      <c r="D2062" s="3" t="n">
        <v>120</v>
      </c>
      <c r="E2062" t="inlineStr"/>
      <c r="F2062" s="4" t="n">
        <v>350</v>
      </c>
      <c r="G2062" t="inlineStr">
        <is>
          <t>VB</t>
        </is>
      </c>
      <c r="H2062" t="inlineStr">
        <is>
          <t>58739 Nordrhein-Westfalen - Wickede (Ruhr)</t>
        </is>
      </c>
      <c r="I2062" s="5" t="n">
        <v>45258</v>
      </c>
      <c r="J2062" t="inlineStr"/>
      <c r="K2062" s="6">
        <f>HYPERLINK("https://www.kleinanzeigen.de/s-anzeige/jp-australia-x-cite-ride-120l-windsurfboard-surfboard/2615581927-230-1448", "Link")</f>
        <v/>
      </c>
      <c r="L2062" s="6">
        <f>HYPERLINK("C:\Projects\Kleinanzeigen-Scraper\offer_images\2615581927", "Link")</f>
        <v/>
      </c>
      <c r="M2062" t="inlineStr">
        <is>
          <t>Kathy Konrad</t>
        </is>
      </c>
      <c r="N2062" s="6">
        <f>HYPERLINK("https://www.kleinanzeigen.de/s-bestandsliste.html?userId=25886329", "Link")</f>
        <v/>
      </c>
      <c r="O2062" s="7" t="n">
        <v>45549.5715162037</v>
      </c>
      <c r="P2062" s="3" t="inlineStr">
        <is>
          <t>88.86</t>
        </is>
      </c>
      <c r="Q2062" t="inlineStr">
        <is>
          <t>Köln</t>
        </is>
      </c>
    </row>
    <row r="2063">
      <c r="A2063" t="inlineStr">
        <is>
          <t>4'11" x 24"</t>
        </is>
      </c>
      <c r="B2063" t="inlineStr">
        <is>
          <t>Duotone Sky Style SLS</t>
        </is>
      </c>
      <c r="C2063" t="inlineStr">
        <is>
          <t>Wing Foil</t>
        </is>
      </c>
      <c r="D2063" s="3" t="n">
        <v>75</v>
      </c>
      <c r="E2063" t="inlineStr">
        <is>
          <t>2024</t>
        </is>
      </c>
      <c r="F2063" s="4" t="n">
        <v>945</v>
      </c>
      <c r="G2063" t="inlineStr"/>
      <c r="H2063" t="inlineStr">
        <is>
          <t>83064 Bayern - Raubling</t>
        </is>
      </c>
      <c r="I2063" s="5" t="n">
        <v>45548</v>
      </c>
      <c r="J2063" t="inlineStr">
        <is>
          <t>Sold</t>
        </is>
      </c>
      <c r="K2063" s="6">
        <f>HYPERLINK("https://www.kleinanzeigen.de/s-anzeige/duotone-2024-sky-style-sls-4-11-75-ltr-wing-foil-board-bbag/2862394921-230-7579", "Link")</f>
        <v/>
      </c>
      <c r="L2063" s="6">
        <f>HYPERLINK("C:\Projects\Kleinanzeigen-Scraper\offer_images\2862394921", "Link")</f>
        <v/>
      </c>
      <c r="M2063" t="inlineStr">
        <is>
          <t>Stefan S.</t>
        </is>
      </c>
      <c r="N2063" s="6">
        <f>HYPERLINK("https://www.kleinanzeigen.de/s-bestandsliste.html?userId=14976924", "Link")</f>
        <v/>
      </c>
      <c r="O2063" s="7" t="n">
        <v>45549.5715162037</v>
      </c>
      <c r="P2063" s="3" t="inlineStr">
        <is>
          <t>53.54</t>
        </is>
      </c>
      <c r="Q2063" t="inlineStr">
        <is>
          <t>München</t>
        </is>
      </c>
    </row>
    <row r="2064">
      <c r="A2064" t="inlineStr">
        <is>
          <t>8'8</t>
        </is>
      </c>
      <c r="B2064" t="inlineStr">
        <is>
          <t>Fanatic All Wave</t>
        </is>
      </c>
      <c r="C2064" t="inlineStr">
        <is>
          <t>SUP</t>
        </is>
      </c>
      <c r="D2064" s="3" t="n">
        <v>135</v>
      </c>
      <c r="E2064" t="inlineStr">
        <is>
          <t>2022</t>
        </is>
      </c>
      <c r="F2064" s="4" t="n">
        <v>600</v>
      </c>
      <c r="G2064" t="inlineStr">
        <is>
          <t>VB</t>
        </is>
      </c>
      <c r="H2064" t="inlineStr">
        <is>
          <t>50321 Nordrhein-Westfalen - Brühl</t>
        </is>
      </c>
      <c r="I2064" s="5" t="n">
        <v>45516</v>
      </c>
      <c r="J2064" t="inlineStr">
        <is>
          <t>Sold</t>
        </is>
      </c>
      <c r="K2064" s="6">
        <f>HYPERLINK("https://www.kleinanzeigen.de/s-anzeige/fanatic-sup-board-all-wave-8-8-135l-2022/2835153730-230-1158", "Link")</f>
        <v/>
      </c>
      <c r="L2064" s="6">
        <f>HYPERLINK("C:\Projects\Kleinanzeigen-Scraper\offer_images\2835153730", "Link")</f>
        <v/>
      </c>
      <c r="M2064" t="inlineStr">
        <is>
          <t>Konstantin</t>
        </is>
      </c>
      <c r="N2064" s="6">
        <f>HYPERLINK("https://www.kleinanzeigen.de/s-bestandsliste.html?userId=87242418", "Link")</f>
        <v/>
      </c>
      <c r="O2064" s="7" t="n">
        <v>45549.57150462963</v>
      </c>
      <c r="P2064" s="3" t="inlineStr">
        <is>
          <t>14.26</t>
        </is>
      </c>
      <c r="Q2064" t="inlineStr">
        <is>
          <t>Köln</t>
        </is>
      </c>
    </row>
    <row r="2065">
      <c r="A2065" t="inlineStr">
        <is>
          <t>12'6" x 28"</t>
        </is>
      </c>
      <c r="B2065" t="inlineStr">
        <is>
          <t>JP Australia</t>
        </is>
      </c>
      <c r="C2065" t="inlineStr">
        <is>
          <t>Touring</t>
        </is>
      </c>
      <c r="D2065" s="3" t="inlineStr"/>
      <c r="E2065" t="inlineStr"/>
      <c r="F2065" s="4" t="n">
        <v>545</v>
      </c>
      <c r="G2065" t="inlineStr">
        <is>
          <t>VB</t>
        </is>
      </c>
      <c r="H2065" t="inlineStr">
        <is>
          <t>83623 Bayern - Dietramszell</t>
        </is>
      </c>
      <c r="I2065" s="5" t="n">
        <v>45503</v>
      </c>
      <c r="J2065" t="inlineStr">
        <is>
          <t>Sold</t>
        </is>
      </c>
      <c r="K2065" s="6">
        <f>HYPERLINK("https://www.kleinanzeigen.de/s-anzeige/jp-australia-touring-sup/2824674439-230-6194", "Link")</f>
        <v/>
      </c>
      <c r="L2065" s="6">
        <f>HYPERLINK("C:\Projects\Kleinanzeigen-Scraper\offer_images\2824674439", "Link")</f>
        <v/>
      </c>
      <c r="M2065" t="inlineStr">
        <is>
          <t>Lisa</t>
        </is>
      </c>
      <c r="N2065" s="6">
        <f>HYPERLINK("https://www.kleinanzeigen.de/s-bestandsliste.html?userId=25881481", "Link")</f>
        <v/>
      </c>
      <c r="O2065" s="7" t="n">
        <v>45549.57149305556</v>
      </c>
      <c r="P2065" s="3" t="inlineStr">
        <is>
          <t>31.34</t>
        </is>
      </c>
      <c r="Q2065" t="inlineStr">
        <is>
          <t>München</t>
        </is>
      </c>
    </row>
    <row r="2066">
      <c r="A2066" t="inlineStr">
        <is>
          <t>234x57.5</t>
        </is>
      </c>
      <c r="B2066" t="inlineStr">
        <is>
          <t>RRD Wavetwin</t>
        </is>
      </c>
      <c r="C2066" t="inlineStr">
        <is>
          <t>Twinser Waveboard</t>
        </is>
      </c>
      <c r="D2066" s="3" t="n">
        <v>82</v>
      </c>
      <c r="E2066" t="inlineStr"/>
      <c r="F2066" s="4" t="n">
        <v>275</v>
      </c>
      <c r="G2066" t="inlineStr"/>
      <c r="H2066" t="inlineStr">
        <is>
          <t>21149 Harburg - Hamburg Neugraben</t>
        </is>
      </c>
      <c r="I2066" s="5" t="n">
        <v>44843</v>
      </c>
      <c r="J2066" t="inlineStr"/>
      <c r="K2066" s="6">
        <f>HYPERLINK("https://www.kleinanzeigen.de/s-anzeige/rrd-wavetwin-82/2237251615-230-15765", "Link")</f>
        <v/>
      </c>
      <c r="L2066" s="6">
        <f>HYPERLINK("C:\Projects\Kleinanzeigen-Scraper\offer_images\2237251615", "Link")</f>
        <v/>
      </c>
      <c r="M2066" t="inlineStr">
        <is>
          <t>J.Wirth</t>
        </is>
      </c>
      <c r="N2066" s="6">
        <f>HYPERLINK("https://www.kleinanzeigen.de/s-bestandsliste.html?userId=5775412", "Link")</f>
        <v/>
      </c>
      <c r="O2066" s="7" t="n">
        <v>45549.57148148148</v>
      </c>
      <c r="P2066" s="3" t="inlineStr">
        <is>
          <t>342.48</t>
        </is>
      </c>
      <c r="Q2066" t="inlineStr">
        <is>
          <t>Köln</t>
        </is>
      </c>
    </row>
    <row r="2067">
      <c r="A2067" t="inlineStr"/>
      <c r="B2067" t="inlineStr">
        <is>
          <t>Severne Dyno HD</t>
        </is>
      </c>
      <c r="C2067" t="inlineStr">
        <is>
          <t>Freeride/Wave</t>
        </is>
      </c>
      <c r="D2067" s="3" t="n">
        <v>115</v>
      </c>
      <c r="E2067" t="inlineStr">
        <is>
          <t>2022</t>
        </is>
      </c>
      <c r="F2067" s="4" t="n">
        <v>1.45</v>
      </c>
      <c r="G2067" t="inlineStr">
        <is>
          <t>VB</t>
        </is>
      </c>
      <c r="H2067" t="inlineStr">
        <is>
          <t>23769 Kreis Ostholstein - Fehmarn</t>
        </is>
      </c>
      <c r="I2067" s="5" t="n">
        <v>45539</v>
      </c>
      <c r="J2067" t="inlineStr">
        <is>
          <t>Sold</t>
        </is>
      </c>
      <c r="K2067" s="6">
        <f>HYPERLINK("https://www.kleinanzeigen.de/s-anzeige/severne-dyno-hd-115-liter-windsurfboard/2853990911-230-19951", "Link")</f>
        <v/>
      </c>
      <c r="L2067" s="6">
        <f>HYPERLINK("C:\Projects\Kleinanzeigen-Scraper\offer_images\2853990911", "Link")</f>
        <v/>
      </c>
      <c r="M2067" t="inlineStr">
        <is>
          <t>Hermann</t>
        </is>
      </c>
      <c r="N2067" s="6">
        <f>HYPERLINK("https://www.kleinanzeigen.de/s-bestandsliste.html?userId=84019987", "Link")</f>
        <v/>
      </c>
      <c r="O2067" s="7" t="n">
        <v>45549.57146990741</v>
      </c>
      <c r="P2067" s="3" t="inlineStr">
        <is>
          <t>483.01</t>
        </is>
      </c>
      <c r="Q2067" t="inlineStr">
        <is>
          <t>Köln</t>
        </is>
      </c>
    </row>
    <row r="2068">
      <c r="A2068" t="inlineStr">
        <is>
          <t>141 x 42 cm</t>
        </is>
      </c>
      <c r="B2068" t="inlineStr">
        <is>
          <t>North Atmos</t>
        </is>
      </c>
      <c r="C2068" t="inlineStr"/>
      <c r="D2068" s="3" t="inlineStr"/>
      <c r="E2068" t="inlineStr"/>
      <c r="F2068" s="4" t="n">
        <v>490</v>
      </c>
      <c r="G2068" t="inlineStr">
        <is>
          <t>VB</t>
        </is>
      </c>
      <c r="H2068" t="inlineStr">
        <is>
          <t>14469 Brandenburg - Potsdam</t>
        </is>
      </c>
      <c r="I2068" s="5" t="n">
        <v>45536</v>
      </c>
      <c r="J2068" t="inlineStr">
        <is>
          <t>Sold</t>
        </is>
      </c>
      <c r="K2068" s="6">
        <f>HYPERLINK("https://www.kleinanzeigen.de/s-anzeige/north-atmos-141-x-42-cm-kiteboard/2851156809-230-7963", "Link")</f>
        <v/>
      </c>
      <c r="L2068" s="6">
        <f>HYPERLINK("C:\Projects\Kleinanzeigen-Scraper\offer_images\2851156809", "Link")</f>
        <v/>
      </c>
      <c r="M2068" t="inlineStr">
        <is>
          <t>Jeschull</t>
        </is>
      </c>
      <c r="N2068" s="6">
        <f>HYPERLINK("https://www.kleinanzeigen.de/s-bestandsliste.html?userId=16374689", "Link")</f>
        <v/>
      </c>
      <c r="O2068" s="7" t="n">
        <v>45549.57144675926</v>
      </c>
      <c r="P2068" s="3" t="inlineStr">
        <is>
          <t>450.30</t>
        </is>
      </c>
      <c r="Q2068" t="inlineStr">
        <is>
          <t>Köln</t>
        </is>
      </c>
    </row>
    <row r="2069">
      <c r="A2069" t="inlineStr">
        <is>
          <t>238x79</t>
        </is>
      </c>
      <c r="B2069" t="inlineStr">
        <is>
          <t>Roberto Ricci Designs Firemove</t>
        </is>
      </c>
      <c r="C2069" t="inlineStr">
        <is>
          <t>Freemove</t>
        </is>
      </c>
      <c r="D2069" s="3" t="n">
        <v>122</v>
      </c>
      <c r="E2069" t="inlineStr"/>
      <c r="F2069" s="4" t="n">
        <v>665</v>
      </c>
      <c r="G2069" t="inlineStr">
        <is>
          <t>VB</t>
        </is>
      </c>
      <c r="H2069" t="inlineStr">
        <is>
          <t>66793 Saarland - Saarwellingen</t>
        </is>
      </c>
      <c r="I2069" s="5" t="n">
        <v>45533</v>
      </c>
      <c r="J2069" t="inlineStr"/>
      <c r="K2069" s="6">
        <f>HYPERLINK("https://www.kleinanzeigen.de/s-anzeige/rrd-firemove-surfbrett-122l/2849124183-230-293", "Link")</f>
        <v/>
      </c>
      <c r="L2069" s="6">
        <f>HYPERLINK("C:\Projects\Kleinanzeigen-Scraper\offer_images\2849124183", "Link")</f>
        <v/>
      </c>
      <c r="M2069" t="inlineStr">
        <is>
          <t>Verkäufer</t>
        </is>
      </c>
      <c r="N2069" s="6">
        <f>HYPERLINK("https://www.kleinanzeigen.de/s-bestandsliste.html?userId=14879479", "Link")</f>
        <v/>
      </c>
      <c r="O2069" s="7" t="n">
        <v>45549.57144675926</v>
      </c>
      <c r="P2069" s="3" t="inlineStr">
        <is>
          <t>118.74</t>
        </is>
      </c>
      <c r="Q2069" t="inlineStr">
        <is>
          <t>Karlsruhe</t>
        </is>
      </c>
    </row>
    <row r="2070">
      <c r="A2070" t="inlineStr">
        <is>
          <t>11'2" x 31"</t>
        </is>
      </c>
      <c r="B2070" t="inlineStr">
        <is>
          <t>Starboard iGO Tikhine</t>
        </is>
      </c>
      <c r="C2070" t="inlineStr">
        <is>
          <t>Inflatable SUP</t>
        </is>
      </c>
      <c r="D2070" s="3" t="inlineStr"/>
      <c r="E2070" t="inlineStr">
        <is>
          <t>2021</t>
        </is>
      </c>
      <c r="F2070" s="4" t="n">
        <v>845</v>
      </c>
      <c r="G2070" t="inlineStr"/>
      <c r="H2070" t="inlineStr">
        <is>
          <t>82319 Bayern - Starnberg</t>
        </is>
      </c>
      <c r="I2070" s="5" t="n">
        <v>45565</v>
      </c>
      <c r="J2070" t="inlineStr"/>
      <c r="K2070" s="6">
        <f>HYPERLINK("https://www.kleinanzeigen.de/s-anzeige/starboard-inflatable-sup-10-2x31-x4-75-igo-tikhine-sun-deluxe-s/1798818920-230-5525", "Link")</f>
        <v/>
      </c>
      <c r="L2070" s="6">
        <f>HYPERLINK("C:\Projects\Kleinanzeigen-Scraper\offer_images\1798818920", "Link")</f>
        <v/>
      </c>
      <c r="M2070" t="inlineStr">
        <is>
          <t>No user name</t>
        </is>
      </c>
      <c r="N2070" s="6">
        <f>HYPERLINK("https://www.kleinanzeigen.deNo user link", "Link")</f>
        <v/>
      </c>
      <c r="O2070" s="7" t="n">
        <v>45549.57142361111</v>
      </c>
      <c r="P2070" s="3" t="inlineStr">
        <is>
          <t>23.17</t>
        </is>
      </c>
      <c r="Q2070" t="inlineStr">
        <is>
          <t>München</t>
        </is>
      </c>
    </row>
    <row r="2071">
      <c r="A2071" t="inlineStr">
        <is>
          <t>139 cm x 56 cm</t>
        </is>
      </c>
      <c r="B2071" t="inlineStr">
        <is>
          <t>Fanatic Sky Style TE</t>
        </is>
      </c>
      <c r="C2071" t="inlineStr">
        <is>
          <t>Foil</t>
        </is>
      </c>
      <c r="D2071" s="3" t="n">
        <v>55</v>
      </c>
      <c r="E2071" t="inlineStr"/>
      <c r="F2071" s="4" t="n">
        <v>620</v>
      </c>
      <c r="G2071" t="inlineStr">
        <is>
          <t>VB</t>
        </is>
      </c>
      <c r="H2071" t="inlineStr">
        <is>
          <t>24340 Schleswig-Holstein - Eckernförde</t>
        </is>
      </c>
      <c r="I2071" s="5" t="n">
        <v>45529</v>
      </c>
      <c r="J2071" t="inlineStr">
        <is>
          <t>Sold</t>
        </is>
      </c>
      <c r="K2071" s="6">
        <f>HYPERLINK("https://www.kleinanzeigen.de/s-anzeige/fanatic-sky-style-te-4-7-55l-foil-board/2846424869-230-13234", "Link")</f>
        <v/>
      </c>
      <c r="L2071" s="6">
        <f>HYPERLINK("C:\Projects\Kleinanzeigen-Scraper\offer_images\2846424869", "Link")</f>
        <v/>
      </c>
      <c r="M2071" t="inlineStr">
        <is>
          <t>Joost</t>
        </is>
      </c>
      <c r="N2071" s="6">
        <f>HYPERLINK("https://www.kleinanzeigen.de/s-bestandsliste.html?userId=77170974", "Link")</f>
        <v/>
      </c>
      <c r="O2071" s="7" t="n">
        <v>45549.57142361111</v>
      </c>
      <c r="P2071" s="3" t="inlineStr">
        <is>
          <t>434.69</t>
        </is>
      </c>
      <c r="Q2071" t="inlineStr">
        <is>
          <t>Köln</t>
        </is>
      </c>
    </row>
    <row r="2072">
      <c r="A2072" t="inlineStr">
        <is>
          <t>284 cm x 59 cm</t>
        </is>
      </c>
      <c r="B2072" t="inlineStr">
        <is>
          <t>Fanatic Bee</t>
        </is>
      </c>
      <c r="C2072" t="inlineStr"/>
      <c r="D2072" s="3" t="n">
        <v>117</v>
      </c>
      <c r="E2072" t="inlineStr"/>
      <c r="F2072" s="4" t="n">
        <v>70</v>
      </c>
      <c r="G2072" t="inlineStr">
        <is>
          <t>VB</t>
        </is>
      </c>
      <c r="H2072" t="inlineStr">
        <is>
          <t>82234 Bayern - Weßling</t>
        </is>
      </c>
      <c r="I2072" s="5" t="n">
        <v>45505</v>
      </c>
      <c r="J2072" t="inlineStr">
        <is>
          <t>Sold</t>
        </is>
      </c>
      <c r="K2072" s="6">
        <f>HYPERLINK("https://www.kleinanzeigen.de/s-anzeige/surfbrett-fanatic-bee-284/2826289346-230-6356", "Link")</f>
        <v/>
      </c>
      <c r="L2072" s="6">
        <f>HYPERLINK("C:\Projects\Kleinanzeigen-Scraper\offer_images\2826289346", "Link")</f>
        <v/>
      </c>
      <c r="M2072" t="inlineStr">
        <is>
          <t>Georg Josef</t>
        </is>
      </c>
      <c r="N2072" s="6">
        <f>HYPERLINK("https://www.kleinanzeigen.de/s-bestandsliste.html?userId=8642043", "Link")</f>
        <v/>
      </c>
      <c r="O2072" s="7" t="n">
        <v>45549.57140046296</v>
      </c>
      <c r="P2072" s="3" t="inlineStr">
        <is>
          <t>23.25</t>
        </is>
      </c>
      <c r="Q2072" t="inlineStr">
        <is>
          <t>München</t>
        </is>
      </c>
    </row>
    <row r="2073">
      <c r="A2073" t="inlineStr">
        <is>
          <t>236 x 65 cm</t>
        </is>
      </c>
      <c r="B2073" t="inlineStr">
        <is>
          <t>Nove Nove Style Wave Pro</t>
        </is>
      </c>
      <c r="C2073" t="inlineStr">
        <is>
          <t>Freewave</t>
        </is>
      </c>
      <c r="D2073" s="3" t="n">
        <v>113</v>
      </c>
      <c r="E2073" t="inlineStr"/>
      <c r="F2073" s="4" t="n">
        <v>790</v>
      </c>
      <c r="G2073" t="inlineStr">
        <is>
          <t>VB</t>
        </is>
      </c>
      <c r="H2073" t="inlineStr">
        <is>
          <t>23769 Fehmarn - Westfehmarn</t>
        </is>
      </c>
      <c r="I2073" s="5" t="n">
        <v>45520</v>
      </c>
      <c r="J2073" t="inlineStr">
        <is>
          <t>Sold</t>
        </is>
      </c>
      <c r="K2073" s="6">
        <f>HYPERLINK("https://www.kleinanzeigen.de/s-anzeige/nove-nove-style-wave-pro-113-freewave-board-aehnl-fanatic/2838326299-230-430", "Link")</f>
        <v/>
      </c>
      <c r="L2073" s="6">
        <f>HYPERLINK("C:\Projects\Kleinanzeigen-Scraper\offer_images\2838326299", "Link")</f>
        <v/>
      </c>
      <c r="M2073" t="inlineStr">
        <is>
          <t>Björn</t>
        </is>
      </c>
      <c r="N2073" s="6">
        <f>HYPERLINK("https://www.kleinanzeigen.de/s-bestandsliste.html?userId=506614", "Link")</f>
        <v/>
      </c>
      <c r="O2073" s="7" t="n">
        <v>45549.57140046296</v>
      </c>
      <c r="P2073" s="3" t="inlineStr">
        <is>
          <t>483.01</t>
        </is>
      </c>
      <c r="Q2073" t="inlineStr">
        <is>
          <t>Köln</t>
        </is>
      </c>
    </row>
    <row r="2074">
      <c r="A2074" t="inlineStr"/>
      <c r="B2074" t="inlineStr">
        <is>
          <t>RRD</t>
        </is>
      </c>
      <c r="C2074" t="inlineStr">
        <is>
          <t>Freestyle/Wave</t>
        </is>
      </c>
      <c r="D2074" s="3" t="n">
        <v>110</v>
      </c>
      <c r="E2074" t="inlineStr"/>
      <c r="F2074" s="4" t="n">
        <v>400</v>
      </c>
      <c r="G2074" t="inlineStr">
        <is>
          <t>VB</t>
        </is>
      </c>
      <c r="H2074" t="inlineStr">
        <is>
          <t>12107 Berlin - Tempelhof</t>
        </is>
      </c>
      <c r="I2074" s="5" t="n">
        <v>45445</v>
      </c>
      <c r="J2074" t="inlineStr"/>
      <c r="K2074" s="6">
        <f>HYPERLINK("https://www.kleinanzeigen.de/s-anzeige/surfbrett-rrd/2778598542-230-3407", "Link")</f>
        <v/>
      </c>
      <c r="L2074" s="6">
        <f>HYPERLINK("C:\Projects\Kleinanzeigen-Scraper\offer_images\2778598542", "Link")</f>
        <v/>
      </c>
      <c r="M2074" t="inlineStr">
        <is>
          <t>Ute</t>
        </is>
      </c>
      <c r="N2074" s="6">
        <f>HYPERLINK("https://www.kleinanzeigen.de/s-bestandsliste.html?userId=15543488", "Link")</f>
        <v/>
      </c>
      <c r="O2074" s="7" t="n">
        <v>45549.57137731482</v>
      </c>
      <c r="P2074" s="3" t="inlineStr">
        <is>
          <t>473.64</t>
        </is>
      </c>
      <c r="Q2074" t="inlineStr">
        <is>
          <t>Köln</t>
        </is>
      </c>
    </row>
    <row r="2075">
      <c r="A2075" t="inlineStr">
        <is>
          <t>204 cm</t>
        </is>
      </c>
      <c r="B2075" t="inlineStr">
        <is>
          <t>FANATIC McCoy</t>
        </is>
      </c>
      <c r="C2075" t="inlineStr">
        <is>
          <t>Kiteboard/Wellenreiter</t>
        </is>
      </c>
      <c r="D2075" s="3" t="inlineStr"/>
      <c r="E2075" t="inlineStr"/>
      <c r="F2075" s="4" t="n">
        <v>358</v>
      </c>
      <c r="G2075" t="inlineStr"/>
      <c r="H2075" t="inlineStr">
        <is>
          <t>37124 Niedersachsen - Rosdorf</t>
        </is>
      </c>
      <c r="I2075" s="5" t="n">
        <v>45553</v>
      </c>
      <c r="J2075" t="inlineStr">
        <is>
          <t>Sold</t>
        </is>
      </c>
      <c r="K2075" s="6">
        <f>HYPERLINK("https://www.kleinanzeigen.de/s-anzeige/wellenreiter-kiteboard-neu-von-fanatic-gfk-mod-mmcoy-2-04m-/2008688947-230-3133", "Link")</f>
        <v/>
      </c>
      <c r="L2075" s="6">
        <f>HYPERLINK("C:\Projects\Kleinanzeigen-Scraper\offer_images\2008688947", "Link")</f>
        <v/>
      </c>
      <c r="M2075" t="inlineStr">
        <is>
          <t>No user name</t>
        </is>
      </c>
      <c r="N2075" s="6">
        <f>HYPERLINK("https://www.kleinanzeigen.deNo user link", "Link")</f>
        <v/>
      </c>
      <c r="O2075" s="7" t="n">
        <v>45549.57137731482</v>
      </c>
      <c r="P2075" s="3" t="inlineStr">
        <is>
          <t>214.72</t>
        </is>
      </c>
      <c r="Q2075" t="inlineStr">
        <is>
          <t>Köln</t>
        </is>
      </c>
    </row>
    <row r="2076">
      <c r="A2076" t="inlineStr">
        <is>
          <t>246x64</t>
        </is>
      </c>
      <c r="B2076" t="inlineStr">
        <is>
          <t>RRD 110 FSW</t>
        </is>
      </c>
      <c r="C2076" t="inlineStr">
        <is>
          <t>Freestyle Wave</t>
        </is>
      </c>
      <c r="D2076" s="3" t="n">
        <v>110</v>
      </c>
      <c r="E2076" t="inlineStr"/>
      <c r="F2076" s="4" t="n">
        <v>350</v>
      </c>
      <c r="G2076" t="inlineStr"/>
      <c r="H2076" t="inlineStr">
        <is>
          <t>21075 Harburg - Hamburg Heimfeld</t>
        </is>
      </c>
      <c r="I2076" s="5" t="n">
        <v>45440</v>
      </c>
      <c r="J2076" t="inlineStr">
        <is>
          <t>Sold</t>
        </is>
      </c>
      <c r="K2076" s="6">
        <f>HYPERLINK("https://www.kleinanzeigen.de/s-anzeige/windsurfboard-surfbrett-rrd-110-fsw/2773134297-230-16405", "Link")</f>
        <v/>
      </c>
      <c r="L2076" s="6">
        <f>HYPERLINK("C:\Projects\Kleinanzeigen-Scraper\offer_images\2773134297", "Link")</f>
        <v/>
      </c>
      <c r="M2076" t="inlineStr">
        <is>
          <t>Emma</t>
        </is>
      </c>
      <c r="N2076" s="6">
        <f>HYPERLINK("https://www.kleinanzeigen.de/s-bestandsliste.html?userId=131894757", "Link")</f>
        <v/>
      </c>
      <c r="O2076" s="7" t="n">
        <v>45549.57137731482</v>
      </c>
      <c r="P2076" s="3" t="inlineStr">
        <is>
          <t>345.92</t>
        </is>
      </c>
      <c r="Q2076" t="inlineStr">
        <is>
          <t>Köln</t>
        </is>
      </c>
    </row>
    <row r="2077">
      <c r="A2077" t="inlineStr">
        <is>
          <t>242 x 76</t>
        </is>
      </c>
      <c r="B2077" t="inlineStr">
        <is>
          <t>Fanatic Gecko HRS</t>
        </is>
      </c>
      <c r="C2077" t="inlineStr">
        <is>
          <t>Freeride</t>
        </is>
      </c>
      <c r="D2077" s="3" t="n">
        <v>120</v>
      </c>
      <c r="E2077" t="inlineStr">
        <is>
          <t>2018</t>
        </is>
      </c>
      <c r="F2077" s="4" t="n">
        <v>500</v>
      </c>
      <c r="G2077" t="inlineStr">
        <is>
          <t>VB</t>
        </is>
      </c>
      <c r="H2077" t="inlineStr">
        <is>
          <t>48151 Münster (Westfalen) - Centrum</t>
        </is>
      </c>
      <c r="I2077" s="5" t="n">
        <v>45519</v>
      </c>
      <c r="J2077" t="inlineStr">
        <is>
          <t>Sold</t>
        </is>
      </c>
      <c r="K2077" s="6">
        <f>HYPERLINK("https://www.kleinanzeigen.de/s-anzeige/fanatic-gecko-hrs-120l-2018-/2837878954-230-940", "Link")</f>
        <v/>
      </c>
      <c r="L2077" s="6">
        <f>HYPERLINK("C:\Projects\Kleinanzeigen-Scraper\offer_images\2837878954", "Link")</f>
        <v/>
      </c>
      <c r="M2077" t="inlineStr">
        <is>
          <t>Chiara Krack</t>
        </is>
      </c>
      <c r="N2077" s="6">
        <f>HYPERLINK("https://www.kleinanzeigen.de/s-bestandsliste.html?userId=77546793", "Link")</f>
        <v/>
      </c>
      <c r="O2077" s="7" t="n">
        <v>45549.57137731482</v>
      </c>
      <c r="P2077" s="3" t="inlineStr">
        <is>
          <t>496.50</t>
        </is>
      </c>
      <c r="Q2077" t="inlineStr">
        <is>
          <t>Köln</t>
        </is>
      </c>
    </row>
    <row r="2078">
      <c r="A2078" t="inlineStr">
        <is>
          <t>225 x 79</t>
        </is>
      </c>
      <c r="B2078" t="inlineStr">
        <is>
          <t>RRD Freeride W-tech</t>
        </is>
      </c>
      <c r="C2078" t="inlineStr">
        <is>
          <t>Freeride</t>
        </is>
      </c>
      <c r="D2078" s="3" t="n">
        <v>122</v>
      </c>
      <c r="E2078" t="inlineStr"/>
      <c r="F2078" s="4" t="n">
        <v>290</v>
      </c>
      <c r="G2078" t="inlineStr">
        <is>
          <t>VB</t>
        </is>
      </c>
      <c r="H2078" t="inlineStr">
        <is>
          <t>18581 Mecklenburg-Vorpommern - Putbus</t>
        </is>
      </c>
      <c r="I2078" s="5" t="n">
        <v>45560</v>
      </c>
      <c r="J2078" t="inlineStr"/>
      <c r="K2078" s="6">
        <f>HYPERLINK("https://www.kleinanzeigen.de/s-anzeige/surfboard-rrd-freeride-w-tech-122/2861738920-230-20238", "Link")</f>
        <v/>
      </c>
      <c r="L2078" s="6">
        <f>HYPERLINK("C:\Projects\Kleinanzeigen-Scraper\offer_images\2861738920", "Link")</f>
        <v/>
      </c>
      <c r="M2078" t="inlineStr">
        <is>
          <t>Dirk Siewert</t>
        </is>
      </c>
      <c r="N2078" s="6">
        <f>HYPERLINK("https://www.kleinanzeigen.de/s-bestandsliste.html?userId=23852006", "Link")</f>
        <v/>
      </c>
      <c r="O2078" s="7" t="n">
        <v>45549.57133101852</v>
      </c>
      <c r="P2078" s="3" t="inlineStr">
        <is>
          <t>580.61</t>
        </is>
      </c>
      <c r="Q2078" t="inlineStr">
        <is>
          <t>Köln</t>
        </is>
      </c>
    </row>
    <row r="2079">
      <c r="A2079" t="inlineStr">
        <is>
          <t>136 x 40</t>
        </is>
      </c>
      <c r="B2079" t="inlineStr">
        <is>
          <t>NAISH Alana</t>
        </is>
      </c>
      <c r="C2079" t="inlineStr">
        <is>
          <t>Kiteboard</t>
        </is>
      </c>
      <c r="D2079" s="3" t="inlineStr"/>
      <c r="E2079" t="inlineStr"/>
      <c r="F2079" s="4" t="n">
        <v>360</v>
      </c>
      <c r="G2079" t="inlineStr">
        <is>
          <t>VB</t>
        </is>
      </c>
      <c r="H2079" t="inlineStr">
        <is>
          <t>12527 Berlin - Köpenick</t>
        </is>
      </c>
      <c r="I2079" s="5" t="n">
        <v>45520</v>
      </c>
      <c r="J2079" t="inlineStr">
        <is>
          <t>Sold</t>
        </is>
      </c>
      <c r="K2079" s="6">
        <f>HYPERLINK("https://www.kleinanzeigen.de/s-anzeige/naish-alana-kiteboard-136-x-40/2838319217-230-3370", "Link")</f>
        <v/>
      </c>
      <c r="L2079" s="6">
        <f>HYPERLINK("C:\Projects\Kleinanzeigen-Scraper\offer_images\2838319217", "Link")</f>
        <v/>
      </c>
      <c r="M2079" t="inlineStr">
        <is>
          <t>Diana</t>
        </is>
      </c>
      <c r="N2079" s="6">
        <f>HYPERLINK("https://www.kleinanzeigen.de/s-bestandsliste.html?userId=9785450", "Link")</f>
        <v/>
      </c>
      <c r="O2079" s="7" t="n">
        <v>45549.57131944445</v>
      </c>
      <c r="P2079" s="3" t="inlineStr">
        <is>
          <t>591.22</t>
        </is>
      </c>
      <c r="Q2079" t="inlineStr">
        <is>
          <t>Köln</t>
        </is>
      </c>
    </row>
    <row r="2080">
      <c r="A2080" t="inlineStr"/>
      <c r="B2080" t="inlineStr">
        <is>
          <t>Goya Custom Quad</t>
        </is>
      </c>
      <c r="C2080" t="inlineStr">
        <is>
          <t>Freestyle</t>
        </is>
      </c>
      <c r="D2080" s="3" t="n">
        <v>86</v>
      </c>
      <c r="E2080" t="inlineStr">
        <is>
          <t>2017</t>
        </is>
      </c>
      <c r="F2080" s="4" t="n">
        <v>450</v>
      </c>
      <c r="G2080" t="inlineStr">
        <is>
          <t>VB</t>
        </is>
      </c>
      <c r="H2080" t="inlineStr">
        <is>
          <t>40595 Düsseldorf - Garath</t>
        </is>
      </c>
      <c r="I2080" s="5" t="n">
        <v>45548</v>
      </c>
      <c r="J2080" t="inlineStr"/>
      <c r="K2080" s="6">
        <f>HYPERLINK("https://www.kleinanzeigen.de/s-anzeige/goya-custom-quad-86/2862122828-230-2078", "Link")</f>
        <v/>
      </c>
      <c r="L2080" s="6">
        <f>HYPERLINK("C:\Projects\Kleinanzeigen-Scraper\offer_images\2862122828", "Link")</f>
        <v/>
      </c>
      <c r="M2080" t="inlineStr">
        <is>
          <t>Sven Vogels</t>
        </is>
      </c>
      <c r="N2080" s="6">
        <f>HYPERLINK("https://www.kleinanzeigen.de/s-bestandsliste.html?userId=21651179", "Link")</f>
        <v/>
      </c>
      <c r="O2080" s="7" t="n">
        <v>45549.57129629629</v>
      </c>
      <c r="P2080" s="3" t="inlineStr">
        <is>
          <t>22.73</t>
        </is>
      </c>
      <c r="Q2080" t="inlineStr">
        <is>
          <t>Köln</t>
        </is>
      </c>
    </row>
    <row r="2081">
      <c r="A2081" t="inlineStr"/>
      <c r="B2081" t="inlineStr">
        <is>
          <t>Fanatic Falcon Air</t>
        </is>
      </c>
      <c r="C2081" t="inlineStr"/>
      <c r="D2081" s="3" t="inlineStr"/>
      <c r="E2081" t="inlineStr"/>
      <c r="F2081" s="4" t="n">
        <v>700</v>
      </c>
      <c r="G2081" t="inlineStr"/>
      <c r="H2081" t="inlineStr">
        <is>
          <t>81673 München - Berg-am-Laim</t>
        </is>
      </c>
      <c r="I2081" s="5" t="n">
        <v>45512</v>
      </c>
      <c r="J2081" t="inlineStr">
        <is>
          <t>Sold</t>
        </is>
      </c>
      <c r="K2081" s="6">
        <f>HYPERLINK("https://www.kleinanzeigen.de/s-anzeige/neu-fanatic-falcon-air-sup-board-premium-mit-pumpe/2832477915-230-6455", "Link")</f>
        <v/>
      </c>
      <c r="L2081" s="6">
        <f>HYPERLINK("C:\Projects\Kleinanzeigen-Scraper\offer_images\2832477915", "Link")</f>
        <v/>
      </c>
      <c r="M2081" t="inlineStr">
        <is>
          <t>Bella</t>
        </is>
      </c>
      <c r="N2081" s="6">
        <f>HYPERLINK("https://www.kleinanzeigen.de/s-bestandsliste.html?userId=80761529", "Link")</f>
        <v/>
      </c>
      <c r="O2081" s="7" t="n">
        <v>45549.57128472222</v>
      </c>
      <c r="P2081" s="3" t="inlineStr">
        <is>
          <t>4.60</t>
        </is>
      </c>
      <c r="Q2081" t="inlineStr">
        <is>
          <t>München</t>
        </is>
      </c>
    </row>
    <row r="2082">
      <c r="A2082" t="inlineStr">
        <is>
          <t>232cm x 81cm</t>
        </is>
      </c>
      <c r="B2082" t="inlineStr">
        <is>
          <t>Tabou Manta 81</t>
        </is>
      </c>
      <c r="C2082" t="inlineStr">
        <is>
          <t>Freeride</t>
        </is>
      </c>
      <c r="D2082" s="3" t="n">
        <v>128</v>
      </c>
      <c r="E2082" t="inlineStr">
        <is>
          <t>2018</t>
        </is>
      </c>
      <c r="F2082" s="4" t="n">
        <v>600</v>
      </c>
      <c r="G2082" t="inlineStr"/>
      <c r="H2082" t="inlineStr">
        <is>
          <t>24222 Schleswig-Holstein - Schwentinental</t>
        </is>
      </c>
      <c r="I2082" s="5" t="n">
        <v>45458</v>
      </c>
      <c r="J2082" t="inlineStr"/>
      <c r="K2082" s="6">
        <f>HYPERLINK("https://www.kleinanzeigen.de/s-anzeige/tabou-manta-81-windsurfen-letzte-preisreduzierung/2788587131-230-13377", "Link")</f>
        <v/>
      </c>
      <c r="L2082" s="6">
        <f>HYPERLINK("C:\Projects\Kleinanzeigen-Scraper\offer_images\2788587131", "Link")</f>
        <v/>
      </c>
      <c r="M2082" t="inlineStr">
        <is>
          <t>Stephan</t>
        </is>
      </c>
      <c r="N2082" s="6">
        <f>HYPERLINK("https://www.kleinanzeigen.de/s-bestandsliste.html?userId=75903396", "Link")</f>
        <v/>
      </c>
      <c r="O2082" s="7" t="n">
        <v>45549.57128472222</v>
      </c>
      <c r="P2082" s="3" t="inlineStr">
        <is>
          <t>433.89</t>
        </is>
      </c>
      <c r="Q2082" t="inlineStr">
        <is>
          <t>Köln</t>
        </is>
      </c>
    </row>
    <row r="2083">
      <c r="A2083" t="inlineStr">
        <is>
          <t>242x62x100</t>
        </is>
      </c>
      <c r="B2083" t="inlineStr">
        <is>
          <t>RRD Freestylewave</t>
        </is>
      </c>
      <c r="C2083" t="inlineStr">
        <is>
          <t>Freestyle</t>
        </is>
      </c>
      <c r="D2083" s="3" t="n">
        <v>100</v>
      </c>
      <c r="E2083" t="inlineStr"/>
      <c r="F2083" s="4" t="n">
        <v>333</v>
      </c>
      <c r="G2083" t="inlineStr">
        <is>
          <t>VB</t>
        </is>
      </c>
      <c r="H2083" t="inlineStr">
        <is>
          <t>10999 Friedrichshain-Kreuzberg - Kreuzberg</t>
        </is>
      </c>
      <c r="I2083" s="5" t="n">
        <v>45454</v>
      </c>
      <c r="J2083" t="inlineStr">
        <is>
          <t>Sold</t>
        </is>
      </c>
      <c r="K2083" s="6">
        <f>HYPERLINK("https://www.kleinanzeigen.de/s-anzeige/rrd-freestylewave-100-ltr-limited-edition/2785934661-230-9629", "Link")</f>
        <v/>
      </c>
      <c r="L2083" s="6">
        <f>HYPERLINK("C:\Projects\Kleinanzeigen-Scraper\offer_images\2785934661", "Link")</f>
        <v/>
      </c>
      <c r="M2083" t="inlineStr">
        <is>
          <t>Jan</t>
        </is>
      </c>
      <c r="N2083" s="6">
        <f>HYPERLINK("https://www.kleinanzeigen.de/s-bestandsliste.html?userId=8219375", "Link")</f>
        <v/>
      </c>
      <c r="O2083" s="7" t="n">
        <v>45549.57127314815</v>
      </c>
      <c r="P2083" s="3" t="inlineStr">
        <is>
          <t>478.17</t>
        </is>
      </c>
      <c r="Q2083" t="inlineStr">
        <is>
          <t>Köln</t>
        </is>
      </c>
    </row>
    <row r="2084">
      <c r="A2084" t="inlineStr">
        <is>
          <t>10'6"</t>
        </is>
      </c>
      <c r="B2084" t="inlineStr">
        <is>
          <t>Fanatic FLY</t>
        </is>
      </c>
      <c r="C2084" t="inlineStr"/>
      <c r="D2084" s="3" t="inlineStr"/>
      <c r="E2084" t="inlineStr"/>
      <c r="F2084" s="4" t="n">
        <v>250</v>
      </c>
      <c r="G2084" t="inlineStr">
        <is>
          <t>VB</t>
        </is>
      </c>
      <c r="H2084" t="inlineStr">
        <is>
          <t>24214 Schleswig-Holstein - Gettorf</t>
        </is>
      </c>
      <c r="I2084" s="5" t="n">
        <v>45552</v>
      </c>
      <c r="J2084" t="inlineStr"/>
      <c r="K2084" s="6">
        <f>HYPERLINK("https://www.kleinanzeigen.de/s-anzeige/fanatic-sup-fly-10-6/2829289844-230-17030", "Link")</f>
        <v/>
      </c>
      <c r="L2084" s="6">
        <f>HYPERLINK("C:\Projects\Kleinanzeigen-Scraper\offer_images\2829289844", "Link")</f>
        <v/>
      </c>
      <c r="M2084" t="inlineStr">
        <is>
          <t>Ingo Schiller</t>
        </is>
      </c>
      <c r="N2084" s="6">
        <f>HYPERLINK("https://www.kleinanzeigen.de/s-bestandsliste.html?userId=18377565", "Link")</f>
        <v/>
      </c>
      <c r="O2084" s="7" t="n">
        <v>45549.57126157408</v>
      </c>
      <c r="P2084" s="3" t="inlineStr">
        <is>
          <t>436.55</t>
        </is>
      </c>
      <c r="Q2084" t="inlineStr">
        <is>
          <t>Köln</t>
        </is>
      </c>
    </row>
    <row r="2085">
      <c r="A2085" t="inlineStr">
        <is>
          <t>135</t>
        </is>
      </c>
      <c r="B2085" t="inlineStr">
        <is>
          <t>Naish S27 Hover Crossover</t>
        </is>
      </c>
      <c r="C2085" t="inlineStr">
        <is>
          <t>Crossover, Wingfoil</t>
        </is>
      </c>
      <c r="D2085" s="3" t="inlineStr"/>
      <c r="E2085" t="inlineStr"/>
      <c r="F2085" s="4" t="n">
        <v>990</v>
      </c>
      <c r="G2085" t="inlineStr">
        <is>
          <t>VB</t>
        </is>
      </c>
      <c r="H2085" t="inlineStr">
        <is>
          <t>28357 Bremen - Borgfeld</t>
        </is>
      </c>
      <c r="I2085" s="5" t="n">
        <v>45501</v>
      </c>
      <c r="J2085" t="inlineStr">
        <is>
          <t>Sold</t>
        </is>
      </c>
      <c r="K2085" s="6">
        <f>HYPERLINK("https://www.kleinanzeigen.de/s-anzeige/naish-s27-hover-crossover-135-wingfoil-board-hardboard/2823504865-230-17309", "Link")</f>
        <v/>
      </c>
      <c r="L2085" s="6">
        <f>HYPERLINK("C:\Projects\Kleinanzeigen-Scraper\offer_images\2823504865", "Link")</f>
        <v/>
      </c>
      <c r="M2085" t="inlineStr">
        <is>
          <t>CG</t>
        </is>
      </c>
      <c r="N2085" s="6">
        <f>HYPERLINK("https://www.kleinanzeigen.de/s-bestandsliste.html?userId=52511912", "Link")</f>
        <v/>
      </c>
      <c r="O2085" s="7" t="n">
        <v>45549.57125</v>
      </c>
      <c r="P2085" s="3" t="inlineStr">
        <is>
          <t>275.85</t>
        </is>
      </c>
      <c r="Q2085" t="inlineStr">
        <is>
          <t>Köln</t>
        </is>
      </c>
    </row>
    <row r="2086">
      <c r="A2086" t="inlineStr">
        <is>
          <t>240 cm x 77 cm</t>
        </is>
      </c>
      <c r="B2086" t="inlineStr">
        <is>
          <t>Naish Galaxy GS</t>
        </is>
      </c>
      <c r="C2086" t="inlineStr">
        <is>
          <t>Freeride/Slalom/Foiling</t>
        </is>
      </c>
      <c r="D2086" s="3" t="n">
        <v>125</v>
      </c>
      <c r="E2086" t="inlineStr"/>
      <c r="F2086" s="4" t="n">
        <v>1.399</v>
      </c>
      <c r="G2086" t="inlineStr"/>
      <c r="H2086" t="inlineStr">
        <is>
          <t>82319 Bayern - Starnberg</t>
        </is>
      </c>
      <c r="I2086" s="5" t="n">
        <v>45553</v>
      </c>
      <c r="J2086" t="inlineStr"/>
      <c r="K2086" s="6">
        <f>HYPERLINK("https://www.kleinanzeigen.de/s-anzeige/naish-galaxy-gs-freeride-board-125-liter-gebraucht/2426732161-230-5525", "Link")</f>
        <v/>
      </c>
      <c r="L2086" s="6">
        <f>HYPERLINK("C:\Projects\Kleinanzeigen-Scraper\offer_images\2426732161", "Link")</f>
        <v/>
      </c>
      <c r="M2086" t="inlineStr">
        <is>
          <t>No user name</t>
        </is>
      </c>
      <c r="N2086" s="6">
        <f>HYPERLINK("https://www.kleinanzeigen.deNo user link", "Link")</f>
        <v/>
      </c>
      <c r="O2086" s="7" t="n">
        <v>45549.57125</v>
      </c>
      <c r="P2086" s="3" t="inlineStr">
        <is>
          <t>23.17</t>
        </is>
      </c>
      <c r="Q2086" t="inlineStr">
        <is>
          <t>München</t>
        </is>
      </c>
    </row>
    <row r="2087">
      <c r="A2087" t="inlineStr"/>
      <c r="B2087" t="inlineStr">
        <is>
          <t>North Cross</t>
        </is>
      </c>
      <c r="C2087" t="inlineStr">
        <is>
          <t>Wave</t>
        </is>
      </c>
      <c r="D2087" s="3" t="inlineStr"/>
      <c r="E2087" t="inlineStr">
        <is>
          <t>2023</t>
        </is>
      </c>
      <c r="F2087" s="4" t="n">
        <v>705</v>
      </c>
      <c r="G2087" t="inlineStr"/>
      <c r="H2087" t="inlineStr">
        <is>
          <t>22457 Eimsbüttel - Hamburg Schnelsen</t>
        </is>
      </c>
      <c r="I2087" s="5" t="n">
        <v>45537</v>
      </c>
      <c r="J2087" t="inlineStr">
        <is>
          <t>Sold</t>
        </is>
      </c>
      <c r="K2087" s="6">
        <f>HYPERLINK("https://www.kleinanzeigen.de/s-anzeige/north-cross-kiteboard-waveboard-kitesurfen/2779632466-230-9492", "Link")</f>
        <v/>
      </c>
      <c r="L2087" s="6">
        <f>HYPERLINK("C:\Projects\Kleinanzeigen-Scraper\offer_images\2779632466", "Link")</f>
        <v/>
      </c>
      <c r="M2087" t="inlineStr">
        <is>
          <t>No user name</t>
        </is>
      </c>
      <c r="N2087" s="6">
        <f>HYPERLINK("https://www.kleinanzeigen.deNo user link", "Link")</f>
        <v/>
      </c>
      <c r="O2087" s="7" t="n">
        <v>45549.57122685185</v>
      </c>
      <c r="P2087" s="3" t="inlineStr">
        <is>
          <t>362.41</t>
        </is>
      </c>
      <c r="Q2087" t="inlineStr">
        <is>
          <t>Köln</t>
        </is>
      </c>
    </row>
    <row r="2088">
      <c r="A2088" t="inlineStr">
        <is>
          <t>294 x 69</t>
        </is>
      </c>
      <c r="B2088" t="inlineStr">
        <is>
          <t>FANATIC protec bee</t>
        </is>
      </c>
      <c r="C2088" t="inlineStr">
        <is>
          <t>Freeride</t>
        </is>
      </c>
      <c r="D2088" s="3" t="n">
        <v>164</v>
      </c>
      <c r="E2088" t="inlineStr"/>
      <c r="F2088" s="4" t="n">
        <v>245</v>
      </c>
      <c r="G2088" t="inlineStr"/>
      <c r="H2088" t="inlineStr">
        <is>
          <t>01069 Dresden - Innere Altstadt</t>
        </is>
      </c>
      <c r="I2088" s="5" t="n">
        <v>45545</v>
      </c>
      <c r="J2088" t="inlineStr">
        <is>
          <t>Sold</t>
        </is>
      </c>
      <c r="K2088" s="6">
        <f>HYPERLINK("https://www.kleinanzeigen.de/s-anzeige/top-zust-surfbrett-surfboard-fanatic-protec-bee-164-boardbag/2859818752-230-3833", "Link")</f>
        <v/>
      </c>
      <c r="L2088" s="6">
        <f>HYPERLINK("C:\Projects\Kleinanzeigen-Scraper\offer_images\2859818752", "Link")</f>
        <v/>
      </c>
      <c r="M2088" t="inlineStr">
        <is>
          <t>Peter</t>
        </is>
      </c>
      <c r="N2088" s="6">
        <f>HYPERLINK("https://www.kleinanzeigen.de/s-bestandsliste.html?userId=24095757", "Link")</f>
        <v/>
      </c>
      <c r="O2088" s="7" t="n">
        <v>45549.57122685185</v>
      </c>
      <c r="P2088" s="3" t="inlineStr">
        <is>
          <t>358.49</t>
        </is>
      </c>
      <c r="Q2088" t="inlineStr">
        <is>
          <t>München</t>
        </is>
      </c>
    </row>
    <row r="2089">
      <c r="A2089" t="inlineStr">
        <is>
          <t>265cm</t>
        </is>
      </c>
      <c r="B2089" t="inlineStr">
        <is>
          <t>Soul Session</t>
        </is>
      </c>
      <c r="C2089" t="inlineStr">
        <is>
          <t>Freestyle</t>
        </is>
      </c>
      <c r="D2089" s="3" t="n">
        <v>105</v>
      </c>
      <c r="E2089" t="inlineStr"/>
      <c r="F2089" s="4" t="n">
        <v>129</v>
      </c>
      <c r="G2089" t="inlineStr"/>
      <c r="H2089" t="inlineStr">
        <is>
          <t>82229 Bayern - Seefeld</t>
        </is>
      </c>
      <c r="I2089" s="5" t="n">
        <v>45535</v>
      </c>
      <c r="J2089" t="inlineStr">
        <is>
          <t>Sold</t>
        </is>
      </c>
      <c r="K2089" s="6">
        <f>HYPERLINK("https://www.kleinanzeigen.de/s-anzeige/soul-session-custom-surfboard-105l-265cm-6-2kg-wie-fanatic-jp/2850346972-230-5519", "Link")</f>
        <v/>
      </c>
      <c r="L2089" s="6">
        <f>HYPERLINK("C:\Projects\Kleinanzeigen-Scraper\offer_images\2850346972", "Link")</f>
        <v/>
      </c>
      <c r="M2089" t="inlineStr">
        <is>
          <t>Tobias</t>
        </is>
      </c>
      <c r="N2089" s="6">
        <f>HYPERLINK("https://www.kleinanzeigen.de/s-bestandsliste.html?userId=26072985", "Link")</f>
        <v/>
      </c>
      <c r="O2089" s="7" t="n">
        <v>45549.57122685185</v>
      </c>
      <c r="P2089" s="3" t="inlineStr">
        <is>
          <t>27.49</t>
        </is>
      </c>
      <c r="Q2089" t="inlineStr">
        <is>
          <t>München</t>
        </is>
      </c>
    </row>
    <row r="2090">
      <c r="A2090" t="inlineStr">
        <is>
          <t>10'4" x 33"</t>
        </is>
      </c>
      <c r="B2090" t="inlineStr">
        <is>
          <t>Fanatic Fly Air Premium</t>
        </is>
      </c>
      <c r="C2090" t="inlineStr">
        <is>
          <t>SUP</t>
        </is>
      </c>
      <c r="D2090" s="3" t="n">
        <v>284</v>
      </c>
      <c r="E2090" t="inlineStr">
        <is>
          <t>2021</t>
        </is>
      </c>
      <c r="F2090" s="4" t="n">
        <v>629</v>
      </c>
      <c r="G2090" t="inlineStr">
        <is>
          <t>VB</t>
        </is>
      </c>
      <c r="H2090" t="inlineStr">
        <is>
          <t>18586 Mecklenburg-Vorpommern - Mönchgut, Ostseebad</t>
        </is>
      </c>
      <c r="I2090" s="5" t="n">
        <v>45559</v>
      </c>
      <c r="J2090" t="inlineStr"/>
      <c r="K2090" s="6">
        <f>HYPERLINK("https://www.kleinanzeigen.de/s-anzeige/fanatic-fly-air-premium-10-4-2021-sup-mit-ws-option-35-neu/1189329081-230-120", "Link")</f>
        <v/>
      </c>
      <c r="L2090" s="6">
        <f>HYPERLINK("C:\Projects\Kleinanzeigen-Scraper\offer_images\1189329081", "Link")</f>
        <v/>
      </c>
      <c r="M2090" t="inlineStr">
        <is>
          <t>No user name</t>
        </is>
      </c>
      <c r="N2090" s="6">
        <f>HYPERLINK("https://www.kleinanzeigen.deNo user link", "Link")</f>
        <v/>
      </c>
      <c r="O2090" s="7" t="n">
        <v>45549.57122685185</v>
      </c>
      <c r="P2090" s="3" t="inlineStr">
        <is>
          <t>591.22</t>
        </is>
      </c>
      <c r="Q2090" t="inlineStr">
        <is>
          <t>Köln</t>
        </is>
      </c>
    </row>
    <row r="2091">
      <c r="A2091" t="inlineStr">
        <is>
          <t>238 x 58.5</t>
        </is>
      </c>
      <c r="B2091" t="inlineStr">
        <is>
          <t>Fanatic Freewave</t>
        </is>
      </c>
      <c r="C2091" t="inlineStr">
        <is>
          <t>Freewave</t>
        </is>
      </c>
      <c r="D2091" s="3" t="n">
        <v>85</v>
      </c>
      <c r="E2091" t="inlineStr"/>
      <c r="F2091" s="4" t="n">
        <v>280</v>
      </c>
      <c r="G2091" t="inlineStr"/>
      <c r="H2091" t="inlineStr">
        <is>
          <t>44267 Dortmund - Benninghofen</t>
        </is>
      </c>
      <c r="I2091" s="5" t="n">
        <v>45536</v>
      </c>
      <c r="J2091" t="inlineStr">
        <is>
          <t>Sold</t>
        </is>
      </c>
      <c r="K2091" s="6">
        <f>HYPERLINK("https://www.kleinanzeigen.de/s-anzeige/fanatic-freewave-85/2851358926-230-1088", "Link")</f>
        <v/>
      </c>
      <c r="L2091" s="6">
        <f>HYPERLINK("C:\Projects\Kleinanzeigen-Scraper\offer_images\2851358926", "Link")</f>
        <v/>
      </c>
      <c r="M2091" t="inlineStr">
        <is>
          <t>Emil</t>
        </is>
      </c>
      <c r="N2091" s="6">
        <f>HYPERLINK("https://www.kleinanzeigen.de/s-bestandsliste.html?userId=54934248", "Link")</f>
        <v/>
      </c>
      <c r="O2091" s="7" t="n">
        <v>45549.57122685185</v>
      </c>
      <c r="P2091" s="3" t="inlineStr">
        <is>
          <t>70.17</t>
        </is>
      </c>
      <c r="Q2091" t="inlineStr">
        <is>
          <t>Köln</t>
        </is>
      </c>
    </row>
    <row r="2092">
      <c r="A2092" t="inlineStr"/>
      <c r="B2092" t="inlineStr">
        <is>
          <t>JP Australia</t>
        </is>
      </c>
      <c r="C2092" t="inlineStr"/>
      <c r="D2092" s="3" t="n">
        <v>118</v>
      </c>
      <c r="E2092" t="inlineStr"/>
      <c r="F2092" s="4" t="n">
        <v>25</v>
      </c>
      <c r="G2092" t="inlineStr">
        <is>
          <t>VB</t>
        </is>
      </c>
      <c r="H2092" t="inlineStr">
        <is>
          <t>28215 Findorff - Findorff-Bürgerweide</t>
        </is>
      </c>
      <c r="I2092" s="5" t="n">
        <v>45542</v>
      </c>
      <c r="J2092" t="inlineStr"/>
      <c r="K2092" s="6">
        <f>HYPERLINK("https://www.kleinanzeigen.de/s-anzeige/jp-australia-surfboard-118l-inkl-fussschlaufen/2856321455-230-38", "Link")</f>
        <v/>
      </c>
      <c r="L2092" s="6">
        <f>HYPERLINK("C:\Projects\Kleinanzeigen-Scraper\offer_images\2856321455", "Link")</f>
        <v/>
      </c>
      <c r="M2092" t="inlineStr">
        <is>
          <t>Kai</t>
        </is>
      </c>
      <c r="N2092" s="6">
        <f>HYPERLINK("https://www.kleinanzeigen.de/s-bestandsliste.html?userId=8807334", "Link")</f>
        <v/>
      </c>
      <c r="O2092" s="7" t="n">
        <v>45549.5712037037</v>
      </c>
      <c r="P2092" s="3" t="inlineStr">
        <is>
          <t>271.71</t>
        </is>
      </c>
      <c r="Q2092" t="inlineStr">
        <is>
          <t>Köln</t>
        </is>
      </c>
    </row>
    <row r="2093">
      <c r="A2093" t="inlineStr">
        <is>
          <t>10'8" (323cm) x 34" (86cm) x 5.5" (14cm)</t>
        </is>
      </c>
      <c r="B2093" t="inlineStr">
        <is>
          <t>Fanatic Fly Air Premium</t>
        </is>
      </c>
      <c r="C2093" t="inlineStr">
        <is>
          <t>Allround, Windsurf</t>
        </is>
      </c>
      <c r="D2093" s="3" t="n">
        <v>306</v>
      </c>
      <c r="E2093" t="inlineStr"/>
      <c r="F2093" s="4" t="n">
        <v>350</v>
      </c>
      <c r="G2093" t="inlineStr">
        <is>
          <t>VB</t>
        </is>
      </c>
      <c r="H2093" t="inlineStr">
        <is>
          <t>59423 Nordrhein-Westfalen - Unna</t>
        </is>
      </c>
      <c r="I2093" s="5" t="n">
        <v>45536</v>
      </c>
      <c r="J2093" t="inlineStr">
        <is>
          <t>Sold</t>
        </is>
      </c>
      <c r="K2093" s="6">
        <f>HYPERLINK("https://www.kleinanzeigen.de/s-anzeige/stand-up-paddle-sup-fanatic-fly-air-premium-sup-board/2851271984-230-1838", "Link")</f>
        <v/>
      </c>
      <c r="L2093" s="6">
        <f>HYPERLINK("C:\Projects\Kleinanzeigen-Scraper\offer_images\2851271984", "Link")</f>
        <v/>
      </c>
      <c r="M2093" t="inlineStr">
        <is>
          <t>Jörg.B</t>
        </is>
      </c>
      <c r="N2093" s="6">
        <f>HYPERLINK("https://www.kleinanzeigen.de/s-bestandsliste.html?userId=39073669", "Link")</f>
        <v/>
      </c>
      <c r="O2093" s="7" t="n">
        <v>45549.5712037037</v>
      </c>
      <c r="P2093" s="3" t="inlineStr">
        <is>
          <t>83.73</t>
        </is>
      </c>
      <c r="Q2093" t="inlineStr">
        <is>
          <t>Köln</t>
        </is>
      </c>
    </row>
    <row r="2094">
      <c r="A2094" t="inlineStr">
        <is>
          <t>139</t>
        </is>
      </c>
      <c r="B2094" t="inlineStr">
        <is>
          <t>Duotone Jaime SLS</t>
        </is>
      </c>
      <c r="C2094" t="inlineStr"/>
      <c r="D2094" s="3" t="inlineStr"/>
      <c r="E2094" t="inlineStr">
        <is>
          <t>2023</t>
        </is>
      </c>
      <c r="F2094" s="4" t="n">
        <v>690</v>
      </c>
      <c r="G2094" t="inlineStr"/>
      <c r="H2094" t="inlineStr">
        <is>
          <t>83024 Bayern - Rosenheim</t>
        </is>
      </c>
      <c r="I2094" s="5" t="n">
        <v>45539</v>
      </c>
      <c r="J2094" t="inlineStr">
        <is>
          <t>Sold</t>
        </is>
      </c>
      <c r="K2094" s="6">
        <f>HYPERLINK("https://www.kleinanzeigen.de/s-anzeige/duotone-jaime-sls-139-2023-top-zustand/2854000330-230-7582", "Link")</f>
        <v/>
      </c>
      <c r="L2094" s="6">
        <f>HYPERLINK("C:\Projects\Kleinanzeigen-Scraper\offer_images\2854000330", "Link")</f>
        <v/>
      </c>
      <c r="M2094" t="inlineStr">
        <is>
          <t>Sebastian</t>
        </is>
      </c>
      <c r="N2094" s="6">
        <f>HYPERLINK("https://www.kleinanzeigen.de/s-bestandsliste.html?userId=71627688", "Link")</f>
        <v/>
      </c>
      <c r="O2094" s="7" t="n">
        <v>45549.57118055555</v>
      </c>
      <c r="P2094" s="3" t="inlineStr">
        <is>
          <t>49.51</t>
        </is>
      </c>
      <c r="Q2094" t="inlineStr">
        <is>
          <t>München</t>
        </is>
      </c>
    </row>
    <row r="2095">
      <c r="A2095" t="inlineStr">
        <is>
          <t>240 x 57</t>
        </is>
      </c>
      <c r="B2095" t="inlineStr">
        <is>
          <t>Starboard Fish</t>
        </is>
      </c>
      <c r="C2095" t="inlineStr">
        <is>
          <t>Freeride</t>
        </is>
      </c>
      <c r="D2095" s="3" t="n">
        <v>85</v>
      </c>
      <c r="E2095" t="inlineStr"/>
      <c r="F2095" s="4" t="n">
        <v>99</v>
      </c>
      <c r="G2095" t="inlineStr">
        <is>
          <t>VB</t>
        </is>
      </c>
      <c r="H2095" t="inlineStr">
        <is>
          <t>18211 Bad Doberan - Landkreis - Bargeshagen</t>
        </is>
      </c>
      <c r="I2095" s="5" t="n">
        <v>45541</v>
      </c>
      <c r="J2095" t="inlineStr"/>
      <c r="K2095" s="6">
        <f>HYPERLINK("https://www.kleinanzeigen.de/s-anzeige/starboard-fish-85l-windsurfboard/2855670408-230-16583", "Link")</f>
        <v/>
      </c>
      <c r="L2095" s="6">
        <f>HYPERLINK("C:\Projects\Kleinanzeigen-Scraper\offer_images\2855670408", "Link")</f>
        <v/>
      </c>
      <c r="M2095" t="inlineStr">
        <is>
          <t>Dirk</t>
        </is>
      </c>
      <c r="N2095" s="6">
        <f>HYPERLINK("https://www.kleinanzeigen.de/s-bestandsliste.html?userId=141661148", "Link")</f>
        <v/>
      </c>
      <c r="O2095" s="7" t="n">
        <v>45549.57118055555</v>
      </c>
      <c r="P2095" s="3" t="inlineStr">
        <is>
          <t>490.50</t>
        </is>
      </c>
      <c r="Q2095" t="inlineStr">
        <is>
          <t>Köln</t>
        </is>
      </c>
    </row>
    <row r="2096">
      <c r="A2096" t="inlineStr">
        <is>
          <t>5'7" / 170.2 cm x 27" / 68.6 cm</t>
        </is>
      </c>
      <c r="B2096" t="inlineStr">
        <is>
          <t>Naish Hover SUP</t>
        </is>
      </c>
      <c r="C2096" t="inlineStr">
        <is>
          <t>Foil</t>
        </is>
      </c>
      <c r="D2096" s="3" t="n">
        <v>95</v>
      </c>
      <c r="E2096" t="inlineStr"/>
      <c r="F2096" s="4" t="n">
        <v>500</v>
      </c>
      <c r="G2096" t="inlineStr">
        <is>
          <t>VB</t>
        </is>
      </c>
      <c r="H2096" t="inlineStr">
        <is>
          <t>12587 Berlin - Köpenick</t>
        </is>
      </c>
      <c r="I2096" s="5" t="n">
        <v>45548</v>
      </c>
      <c r="J2096" t="inlineStr"/>
      <c r="K2096" s="6">
        <f>HYPERLINK("https://www.kleinanzeigen.de/s-anzeige/naish-hover-sup-foil-dedicated-carbon-ultra-95-l/2861727845-230-3374", "Link")</f>
        <v/>
      </c>
      <c r="L2096" s="6">
        <f>HYPERLINK("C:\Projects\Kleinanzeigen-Scraper\offer_images\2861727845", "Link")</f>
        <v/>
      </c>
      <c r="M2096" t="inlineStr">
        <is>
          <t>Johannes Glitzky</t>
        </is>
      </c>
      <c r="N2096" s="6">
        <f>HYPERLINK("https://www.kleinanzeigen.de/s-bestandsliste.html?userId=133592437", "Link")</f>
        <v/>
      </c>
      <c r="O2096" s="7" t="n">
        <v>45549.57116898148</v>
      </c>
      <c r="P2096" s="3" t="inlineStr">
        <is>
          <t>490.72</t>
        </is>
      </c>
      <c r="Q2096" t="inlineStr">
        <is>
          <t>Köln</t>
        </is>
      </c>
    </row>
    <row r="2097">
      <c r="A2097" t="inlineStr">
        <is>
          <t>Dimensions not specified</t>
        </is>
      </c>
      <c r="B2097" t="inlineStr">
        <is>
          <t>Tabou Manta</t>
        </is>
      </c>
      <c r="C2097" t="inlineStr">
        <is>
          <t>Slalom</t>
        </is>
      </c>
      <c r="D2097" s="3" t="n">
        <v>138</v>
      </c>
      <c r="E2097" t="inlineStr"/>
      <c r="F2097" s="4" t="n">
        <v>280</v>
      </c>
      <c r="G2097" t="inlineStr">
        <is>
          <t>VB</t>
        </is>
      </c>
      <c r="H2097" t="inlineStr">
        <is>
          <t>30989 Niedersachsen - Gehrden</t>
        </is>
      </c>
      <c r="I2097" s="5" t="n">
        <v>45537</v>
      </c>
      <c r="J2097" t="inlineStr"/>
      <c r="K2097" s="6">
        <f>HYPERLINK("https://www.kleinanzeigen.de/s-anzeige/tabou-manta-85-138l-slalomboard/2852294610-230-2903", "Link")</f>
        <v/>
      </c>
      <c r="L2097" s="6">
        <f>HYPERLINK("C:\Projects\Kleinanzeigen-Scraper\offer_images\2852294610", "Link")</f>
        <v/>
      </c>
      <c r="M2097" t="inlineStr">
        <is>
          <t>Alexander</t>
        </is>
      </c>
      <c r="N2097" s="6">
        <f>HYPERLINK("https://www.kleinanzeigen.de/s-bestandsliste.html?userId=14990951", "Link")</f>
        <v/>
      </c>
      <c r="O2097" s="7" t="n">
        <v>45549.57116898148</v>
      </c>
      <c r="P2097" s="3" t="inlineStr">
        <is>
          <t>237.68</t>
        </is>
      </c>
      <c r="Q2097" t="inlineStr">
        <is>
          <t>Köln</t>
        </is>
      </c>
    </row>
    <row r="2098">
      <c r="A2098" t="inlineStr">
        <is>
          <t>288 cm</t>
        </is>
      </c>
      <c r="B2098" t="inlineStr">
        <is>
          <t>Mistral Explosion</t>
        </is>
      </c>
      <c r="C2098" t="inlineStr">
        <is>
          <t>Freeride</t>
        </is>
      </c>
      <c r="D2098" s="3" t="n">
        <v>130</v>
      </c>
      <c r="E2098" t="inlineStr"/>
      <c r="F2098" s="4" t="n">
        <v>50</v>
      </c>
      <c r="G2098" t="inlineStr"/>
      <c r="H2098" t="inlineStr">
        <is>
          <t>41564 Nordrhein-Westfalen - Kaarst</t>
        </is>
      </c>
      <c r="I2098" s="5" t="n">
        <v>45548</v>
      </c>
      <c r="J2098" t="inlineStr">
        <is>
          <t>Sold</t>
        </is>
      </c>
      <c r="K2098" s="6">
        <f>HYPERLINK("https://www.kleinanzeigen.de/s-anzeige/windsurf-board-mistral-explosion-/2862333905-230-2107", "Link")</f>
        <v/>
      </c>
      <c r="L2098" s="6">
        <f>HYPERLINK("C:\Projects\Kleinanzeigen-Scraper\offer_images\2862333905", "Link")</f>
        <v/>
      </c>
      <c r="M2098" t="inlineStr">
        <is>
          <t>Hans-Jürgen</t>
        </is>
      </c>
      <c r="N2098" s="6">
        <f>HYPERLINK("https://www.kleinanzeigen.de/s-bestandsliste.html?userId=67801432", "Link")</f>
        <v/>
      </c>
      <c r="O2098" s="7" t="n">
        <v>45549.57115740741</v>
      </c>
      <c r="P2098" s="3" t="inlineStr">
        <is>
          <t>39.22</t>
        </is>
      </c>
      <c r="Q2098" t="inlineStr">
        <is>
          <t>Köln</t>
        </is>
      </c>
    </row>
    <row r="2099">
      <c r="A2099" t="inlineStr">
        <is>
          <t>227cm x 57.5cm</t>
        </is>
      </c>
      <c r="B2099" t="inlineStr">
        <is>
          <t>Tabou Da Curve</t>
        </is>
      </c>
      <c r="C2099" t="inlineStr">
        <is>
          <t>Wave</t>
        </is>
      </c>
      <c r="D2099" s="3" t="n">
        <v>88</v>
      </c>
      <c r="E2099" t="inlineStr">
        <is>
          <t>2022</t>
        </is>
      </c>
      <c r="F2099" s="4" t="n">
        <v>849</v>
      </c>
      <c r="G2099" t="inlineStr">
        <is>
          <t>VB</t>
        </is>
      </c>
      <c r="H2099" t="inlineStr">
        <is>
          <t>76767 Rheinland-Pfalz - Hagenbach</t>
        </is>
      </c>
      <c r="I2099" s="5" t="n">
        <v>45491</v>
      </c>
      <c r="J2099" t="inlineStr">
        <is>
          <t>Sold</t>
        </is>
      </c>
      <c r="K2099" s="6">
        <f>HYPERLINK("https://www.kleinanzeigen.de/s-anzeige/waveboard-tabou-da-curve-88-modell-2022/2815094792-230-18408", "Link")</f>
        <v/>
      </c>
      <c r="L2099" s="6">
        <f>HYPERLINK("C:\Projects\Kleinanzeigen-Scraper\offer_images\2815094792", "Link")</f>
        <v/>
      </c>
      <c r="M2099" t="inlineStr">
        <is>
          <t>Hilmar</t>
        </is>
      </c>
      <c r="N2099" s="6">
        <f>HYPERLINK("https://www.kleinanzeigen.de/s-bestandsliste.html?userId=22388239", "Link")</f>
        <v/>
      </c>
      <c r="O2099" s="7" t="n">
        <v>45549.57115740741</v>
      </c>
      <c r="P2099" s="3" t="inlineStr">
        <is>
          <t>10.31</t>
        </is>
      </c>
      <c r="Q2099" t="inlineStr">
        <is>
          <t>Karlsruhe</t>
        </is>
      </c>
    </row>
    <row r="2100">
      <c r="A2100" t="inlineStr"/>
      <c r="B2100" t="inlineStr">
        <is>
          <t>Severne Alien</t>
        </is>
      </c>
      <c r="C2100" t="inlineStr">
        <is>
          <t>Foil</t>
        </is>
      </c>
      <c r="D2100" s="3" t="n">
        <v>105</v>
      </c>
      <c r="E2100" t="inlineStr"/>
      <c r="F2100" s="4" t="n">
        <v>850</v>
      </c>
      <c r="G2100" t="inlineStr">
        <is>
          <t>VB</t>
        </is>
      </c>
      <c r="H2100" t="inlineStr">
        <is>
          <t>82481 Bayern - Mittenwald</t>
        </is>
      </c>
      <c r="I2100" s="5" t="n">
        <v>45534</v>
      </c>
      <c r="J2100" t="inlineStr"/>
      <c r="K2100" s="6">
        <f>HYPERLINK("https://www.kleinanzeigen.de/s-anzeige/severne-alien-105-foil-board/2849619831-230-6340", "Link")</f>
        <v/>
      </c>
      <c r="L2100" s="6">
        <f>HYPERLINK("C:\Projects\Kleinanzeigen-Scraper\offer_images\2849619831", "Link")</f>
        <v/>
      </c>
      <c r="M2100" t="inlineStr">
        <is>
          <t>Florian</t>
        </is>
      </c>
      <c r="N2100" s="6">
        <f>HYPERLINK("https://www.kleinanzeigen.de/s-bestandsliste.html?userId=61919776", "Link")</f>
        <v/>
      </c>
      <c r="O2100" s="7" t="n">
        <v>45549.57114583333</v>
      </c>
      <c r="P2100" s="3" t="inlineStr">
        <is>
          <t>80.64</t>
        </is>
      </c>
      <c r="Q2100" t="inlineStr">
        <is>
          <t>München</t>
        </is>
      </c>
    </row>
    <row r="2101">
      <c r="A2101" t="inlineStr">
        <is>
          <t>172cm x 42cm</t>
        </is>
      </c>
      <c r="B2101" t="inlineStr">
        <is>
          <t>RRD</t>
        </is>
      </c>
      <c r="C2101" t="inlineStr"/>
      <c r="D2101" s="3" t="inlineStr"/>
      <c r="E2101" t="inlineStr"/>
      <c r="F2101" s="4" t="n">
        <v>155</v>
      </c>
      <c r="G2101" t="inlineStr">
        <is>
          <t>VB</t>
        </is>
      </c>
      <c r="H2101" t="inlineStr">
        <is>
          <t>31737 Niedersachsen - Rinteln</t>
        </is>
      </c>
      <c r="I2101" s="5" t="n">
        <v>45529</v>
      </c>
      <c r="J2101" t="inlineStr">
        <is>
          <t>Sold</t>
        </is>
      </c>
      <c r="K2101" s="6">
        <f>HYPERLINK("https://www.kleinanzeigen.de/s-anzeige/kite-surf-board-rrd/2845594048-230-2512", "Link")</f>
        <v/>
      </c>
      <c r="L2101" s="6">
        <f>HYPERLINK("C:\Projects\Kleinanzeigen-Scraper\offer_images\2845594048", "Link")</f>
        <v/>
      </c>
      <c r="M2101" t="inlineStr">
        <is>
          <t>Thobias Weber</t>
        </is>
      </c>
      <c r="N2101" s="6">
        <f>HYPERLINK("https://www.kleinanzeigen.de/s-bestandsliste.html?userId=11412818", "Link")</f>
        <v/>
      </c>
      <c r="O2101" s="7" t="n">
        <v>45549.57114583333</v>
      </c>
      <c r="P2101" s="3" t="inlineStr">
        <is>
          <t>202.83</t>
        </is>
      </c>
      <c r="Q2101" t="inlineStr">
        <is>
          <t>Köln</t>
        </is>
      </c>
    </row>
    <row r="2102">
      <c r="A2102" t="inlineStr">
        <is>
          <t>5'10" (178 cm x 76 cm)</t>
        </is>
      </c>
      <c r="B2102" t="inlineStr">
        <is>
          <t>Fanatic Sky Wing Air</t>
        </is>
      </c>
      <c r="C2102" t="inlineStr"/>
      <c r="D2102" s="3" t="n">
        <v>160</v>
      </c>
      <c r="E2102" t="inlineStr"/>
      <c r="F2102" s="4" t="n">
        <v>449</v>
      </c>
      <c r="G2102" t="inlineStr">
        <is>
          <t>VB</t>
        </is>
      </c>
      <c r="H2102" t="inlineStr">
        <is>
          <t>90455 Nürnberg (Mittelfr) - Aussenstadt-Sued</t>
        </is>
      </c>
      <c r="I2102" s="5" t="n">
        <v>45513</v>
      </c>
      <c r="J2102" t="inlineStr">
        <is>
          <t>Sold</t>
        </is>
      </c>
      <c r="K2102" s="6">
        <f>HYPERLINK("https://www.kleinanzeigen.de/s-anzeige/fanatic-sky-wing-air-5-10/2832703150-230-6835", "Link")</f>
        <v/>
      </c>
      <c r="L2102" s="6">
        <f>HYPERLINK("C:\Projects\Kleinanzeigen-Scraper\offer_images\2832703150", "Link")</f>
        <v/>
      </c>
      <c r="M2102" t="inlineStr">
        <is>
          <t>Kiryan</t>
        </is>
      </c>
      <c r="N2102" s="6">
        <f>HYPERLINK("https://www.kleinanzeigen.de/s-bestandsliste.html?userId=21566374", "Link")</f>
        <v/>
      </c>
      <c r="O2102" s="7" t="n">
        <v>45549.57113425926</v>
      </c>
      <c r="P2102" s="3" t="inlineStr">
        <is>
          <t>142.06</t>
        </is>
      </c>
      <c r="Q2102" t="inlineStr">
        <is>
          <t>München</t>
        </is>
      </c>
    </row>
    <row r="2103">
      <c r="A2103" t="inlineStr">
        <is>
          <t>231 cm x 60.5 cm</t>
        </is>
      </c>
      <c r="B2103" t="inlineStr">
        <is>
          <t>Starboard Quad</t>
        </is>
      </c>
      <c r="C2103" t="inlineStr">
        <is>
          <t>Freestyle</t>
        </is>
      </c>
      <c r="D2103" s="3" t="n">
        <v>92</v>
      </c>
      <c r="E2103" t="inlineStr"/>
      <c r="F2103" s="4" t="n">
        <v>420</v>
      </c>
      <c r="G2103" t="inlineStr">
        <is>
          <t>VB</t>
        </is>
      </c>
      <c r="H2103" t="inlineStr">
        <is>
          <t>37073 Niedersachsen - Göttingen</t>
        </is>
      </c>
      <c r="I2103" s="5" t="n">
        <v>45512</v>
      </c>
      <c r="J2103" t="inlineStr"/>
      <c r="K2103" s="6">
        <f>HYPERLINK("https://www.kleinanzeigen.de/s-anzeige/starboard-windsurfboard-quad-92-l/2832218125-230-3137", "Link")</f>
        <v/>
      </c>
      <c r="L2103" s="6">
        <f>HYPERLINK("C:\Projects\Kleinanzeigen-Scraper\offer_images\2832218125", "Link")</f>
        <v/>
      </c>
      <c r="M2103" t="inlineStr">
        <is>
          <t>Andi</t>
        </is>
      </c>
      <c r="N2103" s="6">
        <f>HYPERLINK("https://www.kleinanzeigen.de/s-bestandsliste.html?userId=33295718", "Link")</f>
        <v/>
      </c>
      <c r="O2103" s="7" t="n">
        <v>45549.57111111111</v>
      </c>
      <c r="P2103" s="3" t="inlineStr">
        <is>
          <t>217.80</t>
        </is>
      </c>
      <c r="Q2103" t="inlineStr">
        <is>
          <t>Köln</t>
        </is>
      </c>
    </row>
    <row r="2104">
      <c r="A2104" t="inlineStr">
        <is>
          <t>284 cm x 59 cm</t>
        </is>
      </c>
      <c r="B2104" t="inlineStr">
        <is>
          <t>Fanatic Bee</t>
        </is>
      </c>
      <c r="C2104" t="inlineStr">
        <is>
          <t>Freeride</t>
        </is>
      </c>
      <c r="D2104" s="3" t="n">
        <v>117</v>
      </c>
      <c r="E2104" t="inlineStr"/>
      <c r="F2104" s="4" t="n">
        <v>90</v>
      </c>
      <c r="G2104" t="inlineStr">
        <is>
          <t>VB</t>
        </is>
      </c>
      <c r="H2104" t="inlineStr">
        <is>
          <t>30539 Hannover - Kirchrode-Bemerode-Wülferode</t>
        </is>
      </c>
      <c r="I2104" s="5" t="n">
        <v>45514</v>
      </c>
      <c r="J2104" t="inlineStr">
        <is>
          <t>Sold</t>
        </is>
      </c>
      <c r="K2104" s="6">
        <f>HYPERLINK("https://www.kleinanzeigen.de/s-anzeige/surf-board-fanatic-bee-mit-117-liter-volumen/2833832523-230-3173", "Link")</f>
        <v/>
      </c>
      <c r="L2104" s="6">
        <f>HYPERLINK("C:\Projects\Kleinanzeigen-Scraper\offer_images\2833832523", "Link")</f>
        <v/>
      </c>
      <c r="M2104" t="inlineStr">
        <is>
          <t>Flo</t>
        </is>
      </c>
      <c r="N2104" s="6">
        <f>HYPERLINK("https://www.kleinanzeigen.de/s-bestandsliste.html?userId=48789931", "Link")</f>
        <v/>
      </c>
      <c r="O2104" s="7" t="n">
        <v>45549.57111111111</v>
      </c>
      <c r="P2104" s="3" t="inlineStr">
        <is>
          <t>251.60</t>
        </is>
      </c>
      <c r="Q2104" t="inlineStr">
        <is>
          <t>Köln</t>
        </is>
      </c>
    </row>
    <row r="2105">
      <c r="A2105" t="inlineStr"/>
      <c r="B2105" t="inlineStr">
        <is>
          <t>Tabou Pocket</t>
        </is>
      </c>
      <c r="C2105" t="inlineStr"/>
      <c r="D2105" s="3" t="n">
        <v>62</v>
      </c>
      <c r="E2105" t="inlineStr"/>
      <c r="F2105" s="4" t="n">
        <v>150</v>
      </c>
      <c r="G2105" t="inlineStr"/>
      <c r="H2105" t="inlineStr">
        <is>
          <t>79102 Baden-Württemberg - Freiburg im Breisgau</t>
        </is>
      </c>
      <c r="I2105" s="5" t="n">
        <v>45466</v>
      </c>
      <c r="J2105" t="inlineStr"/>
      <c r="K2105" s="6">
        <f>HYPERLINK("https://www.kleinanzeigen.de/s-anzeige/windsurfboard-tabou-pocket/2795392506-230-9364", "Link")</f>
        <v/>
      </c>
      <c r="L2105" s="6">
        <f>HYPERLINK("C:\Projects\Kleinanzeigen-Scraper\offer_images\2795392506", "Link")</f>
        <v/>
      </c>
      <c r="M2105" t="inlineStr">
        <is>
          <t>Julia</t>
        </is>
      </c>
      <c r="N2105" s="6">
        <f>HYPERLINK("https://www.kleinanzeigen.de/s-bestandsliste.html?userId=17274062", "Link")</f>
        <v/>
      </c>
      <c r="O2105" s="7" t="n">
        <v>45549.57111111111</v>
      </c>
      <c r="P2105" s="3" t="inlineStr">
        <is>
          <t>40.20</t>
        </is>
      </c>
      <c r="Q2105" t="inlineStr">
        <is>
          <t>Bonndorf</t>
        </is>
      </c>
    </row>
    <row r="2106">
      <c r="A2106" t="inlineStr">
        <is>
          <t>142 cm x 56 cm</t>
        </is>
      </c>
      <c r="B2106" t="inlineStr">
        <is>
          <t>Fanatic Sky Wing</t>
        </is>
      </c>
      <c r="C2106" t="inlineStr"/>
      <c r="D2106" s="3" t="n">
        <v>60</v>
      </c>
      <c r="E2106" t="inlineStr">
        <is>
          <t>2023</t>
        </is>
      </c>
      <c r="F2106" s="4" t="n">
        <v>400</v>
      </c>
      <c r="G2106" t="inlineStr"/>
      <c r="H2106" t="inlineStr">
        <is>
          <t>22869 Kreis Pinneberg - Schenefeld</t>
        </is>
      </c>
      <c r="I2106" s="5" t="n">
        <v>45506</v>
      </c>
      <c r="J2106" t="inlineStr">
        <is>
          <t>Sold</t>
        </is>
      </c>
      <c r="K2106" s="6">
        <f>HYPERLINK("https://www.kleinanzeigen.de/s-anzeige/fanatic-sky-wing-4-8-aus-2023/2827532629-230-760", "Link")</f>
        <v/>
      </c>
      <c r="L2106" s="6">
        <f>HYPERLINK("C:\Projects\Kleinanzeigen-Scraper\offer_images\2827532629", "Link")</f>
        <v/>
      </c>
      <c r="M2106" t="inlineStr">
        <is>
          <t>Andreas</t>
        </is>
      </c>
      <c r="N2106" s="6">
        <f>HYPERLINK("https://www.kleinanzeigen.de/s-bestandsliste.html?userId=2286300", "Link")</f>
        <v/>
      </c>
      <c r="O2106" s="7" t="n">
        <v>45549.57109953704</v>
      </c>
      <c r="P2106" s="3" t="inlineStr">
        <is>
          <t>354.63</t>
        </is>
      </c>
      <c r="Q2106" t="inlineStr">
        <is>
          <t>Köln</t>
        </is>
      </c>
    </row>
    <row r="2107">
      <c r="A2107" t="inlineStr"/>
      <c r="B2107" t="inlineStr">
        <is>
          <t>Naish US 1111 Pro Wave</t>
        </is>
      </c>
      <c r="C2107" t="inlineStr">
        <is>
          <t>Wave</t>
        </is>
      </c>
      <c r="D2107" s="3" t="n">
        <v>84</v>
      </c>
      <c r="E2107" t="inlineStr"/>
      <c r="F2107" s="4" t="n">
        <v>135</v>
      </c>
      <c r="G2107" t="inlineStr"/>
      <c r="H2107" t="inlineStr">
        <is>
          <t>14129 Berlin - Zehlendorf</t>
        </is>
      </c>
      <c r="I2107" s="5" t="n">
        <v>45529</v>
      </c>
      <c r="J2107" t="inlineStr"/>
      <c r="K2107" s="6">
        <f>HYPERLINK("https://www.kleinanzeigen.de/s-anzeige/naish-us-1111-pro-wave-board-84l-mit-finne/2845470503-230-3530", "Link")</f>
        <v/>
      </c>
      <c r="L2107" s="6">
        <f>HYPERLINK("C:\Projects\Kleinanzeigen-Scraper\offer_images\2845470503", "Link")</f>
        <v/>
      </c>
      <c r="M2107" t="inlineStr">
        <is>
          <t>Angela</t>
        </is>
      </c>
      <c r="N2107" s="6">
        <f>HYPERLINK("https://www.kleinanzeigen.de/s-bestandsliste.html?userId=3569313", "Link")</f>
        <v/>
      </c>
      <c r="O2107" s="7" t="n">
        <v>45549.57109953704</v>
      </c>
      <c r="P2107" s="3" t="inlineStr">
        <is>
          <t>461.31</t>
        </is>
      </c>
      <c r="Q2107" t="inlineStr">
        <is>
          <t>Köln</t>
        </is>
      </c>
    </row>
    <row r="2108">
      <c r="A2108" t="inlineStr"/>
      <c r="B2108" t="inlineStr">
        <is>
          <t>Fanatic Hawk</t>
        </is>
      </c>
      <c r="C2108" t="inlineStr">
        <is>
          <t>Freeride</t>
        </is>
      </c>
      <c r="D2108" s="3" t="n">
        <v>135</v>
      </c>
      <c r="E2108" t="inlineStr"/>
      <c r="F2108" s="4" t="n">
        <v>160</v>
      </c>
      <c r="G2108" t="inlineStr">
        <is>
          <t>VB</t>
        </is>
      </c>
      <c r="H2108" t="inlineStr">
        <is>
          <t>80339 München - Schwanthalerhöhe</t>
        </is>
      </c>
      <c r="I2108" s="5" t="n">
        <v>45514</v>
      </c>
      <c r="J2108" t="inlineStr">
        <is>
          <t>Sold</t>
        </is>
      </c>
      <c r="K2108" s="6">
        <f>HYPERLINK("https://www.kleinanzeigen.de/s-anzeige/windsurf-brett-board-fanatic-hawk-135l/2833297618-230-6444", "Link")</f>
        <v/>
      </c>
      <c r="L2108" s="6">
        <f>HYPERLINK("C:\Projects\Kleinanzeigen-Scraper\offer_images\2833297618", "Link")</f>
        <v/>
      </c>
      <c r="M2108" t="inlineStr">
        <is>
          <t>Timo Kusior</t>
        </is>
      </c>
      <c r="N2108" s="6">
        <f>HYPERLINK("https://www.kleinanzeigen.de/s-bestandsliste.html?userId=26960606", "Link")</f>
        <v/>
      </c>
      <c r="O2108" s="7" t="n">
        <v>45549.57108796296</v>
      </c>
      <c r="P2108" s="3" t="inlineStr">
        <is>
          <t>2.57</t>
        </is>
      </c>
      <c r="Q2108" t="inlineStr">
        <is>
          <t>München</t>
        </is>
      </c>
    </row>
    <row r="2109">
      <c r="A2109" t="inlineStr">
        <is>
          <t>245x85 cm</t>
        </is>
      </c>
      <c r="B2109" t="inlineStr">
        <is>
          <t>Starboard Start</t>
        </is>
      </c>
      <c r="C2109" t="inlineStr">
        <is>
          <t>Freeride</t>
        </is>
      </c>
      <c r="D2109" s="3" t="n">
        <v>200</v>
      </c>
      <c r="E2109" t="inlineStr"/>
      <c r="F2109" s="4" t="n">
        <v>350</v>
      </c>
      <c r="G2109" t="inlineStr">
        <is>
          <t>VB</t>
        </is>
      </c>
      <c r="H2109" t="inlineStr">
        <is>
          <t>35216 Hessen - Biedenkopf</t>
        </is>
      </c>
      <c r="I2109" s="5" t="n">
        <v>45526</v>
      </c>
      <c r="J2109" t="inlineStr"/>
      <c r="K2109" s="6">
        <f>HYPERLINK("https://www.kleinanzeigen.de/s-anzeige/starboard-start-surfboard-fuer-anfaenger/2843517939-230-1471", "Link")</f>
        <v/>
      </c>
      <c r="L2109" s="6">
        <f>HYPERLINK("C:\Projects\Kleinanzeigen-Scraper\offer_images\2843517939", "Link")</f>
        <v/>
      </c>
      <c r="M2109" t="inlineStr">
        <is>
          <t>Swen Genz</t>
        </is>
      </c>
      <c r="N2109" s="6">
        <f>HYPERLINK("https://www.kleinanzeigen.de/s-bestandsliste.html?userId=8141284", "Link")</f>
        <v/>
      </c>
      <c r="O2109" s="7" t="n">
        <v>45549.57107638889</v>
      </c>
      <c r="P2109" s="3" t="inlineStr">
        <is>
          <t>109.63</t>
        </is>
      </c>
      <c r="Q2109" t="inlineStr">
        <is>
          <t>Köln</t>
        </is>
      </c>
    </row>
    <row r="2110">
      <c r="A2110" t="inlineStr">
        <is>
          <t>145 x 45 cm, 155 x 46 cm</t>
        </is>
      </c>
      <c r="B2110" t="inlineStr">
        <is>
          <t>North Trace TT</t>
        </is>
      </c>
      <c r="C2110" t="inlineStr">
        <is>
          <t>Freestyle</t>
        </is>
      </c>
      <c r="D2110" s="3" t="inlineStr"/>
      <c r="E2110" t="inlineStr"/>
      <c r="F2110" s="4" t="n">
        <v>569</v>
      </c>
      <c r="G2110" t="inlineStr"/>
      <c r="H2110" t="inlineStr">
        <is>
          <t>46569 Nordrhein-Westfalen - Hünxe</t>
        </is>
      </c>
      <c r="I2110" s="5" t="n">
        <v>45541</v>
      </c>
      <c r="J2110" t="inlineStr">
        <is>
          <t>Sold</t>
        </is>
      </c>
      <c r="K2110" s="6">
        <f>HYPERLINK("https://www.kleinanzeigen.de/s-anzeige/north-trace-tt-board-kiteboard-in-145-cm-und-155-cm/2026923889-282-1383", "Link")</f>
        <v/>
      </c>
      <c r="L2110" s="6">
        <f>HYPERLINK("C:\Projects\Kleinanzeigen-Scraper\offer_images\2026923889", "Link")</f>
        <v/>
      </c>
      <c r="M2110" t="inlineStr">
        <is>
          <t>No user name</t>
        </is>
      </c>
      <c r="N2110" s="6">
        <f>HYPERLINK("https://www.kleinanzeigen.deNo user link", "Link")</f>
        <v/>
      </c>
      <c r="O2110" s="7" t="n">
        <v>45549.57107638889</v>
      </c>
      <c r="P2110" s="3" t="inlineStr">
        <is>
          <t>78.61</t>
        </is>
      </c>
      <c r="Q2110" t="inlineStr">
        <is>
          <t>Köln</t>
        </is>
      </c>
    </row>
    <row r="2111">
      <c r="A2111" t="inlineStr">
        <is>
          <t>280 x 94 cm</t>
        </is>
      </c>
      <c r="B2111" t="inlineStr">
        <is>
          <t>Starboard</t>
        </is>
      </c>
      <c r="C2111" t="inlineStr">
        <is>
          <t>Beginner</t>
        </is>
      </c>
      <c r="D2111" s="3" t="n">
        <v>220</v>
      </c>
      <c r="E2111" t="inlineStr"/>
      <c r="F2111" s="4" t="n">
        <v>400</v>
      </c>
      <c r="G2111" t="inlineStr"/>
      <c r="H2111" t="inlineStr">
        <is>
          <t>12527 Berlin - Köpenick</t>
        </is>
      </c>
      <c r="I2111" s="5" t="n">
        <v>45545</v>
      </c>
      <c r="J2111" t="inlineStr">
        <is>
          <t>Sold</t>
        </is>
      </c>
      <c r="K2111" s="6">
        <f>HYPERLINK("https://www.kleinanzeigen.de/s-anzeige/starboard-220l-surfbrett-anfaenger-surfausruestung/2859540286-230-3370", "Link")</f>
        <v/>
      </c>
      <c r="L2111" s="6">
        <f>HYPERLINK("C:\Projects\Kleinanzeigen-Scraper\offer_images\2859540286", "Link")</f>
        <v/>
      </c>
      <c r="M2111" t="inlineStr">
        <is>
          <t>ste</t>
        </is>
      </c>
      <c r="N2111" s="6">
        <f>HYPERLINK("https://www.kleinanzeigen.de/s-bestandsliste.html?userId=27311742", "Link")</f>
        <v/>
      </c>
      <c r="O2111" s="7" t="n">
        <v>45549.57107638889</v>
      </c>
      <c r="P2111" s="3" t="inlineStr">
        <is>
          <t>487.71</t>
        </is>
      </c>
      <c r="Q2111" t="inlineStr">
        <is>
          <t>Köln</t>
        </is>
      </c>
    </row>
    <row r="2112">
      <c r="A2112" t="inlineStr">
        <is>
          <t>157.5 x 66 x 10.9 cm</t>
        </is>
      </c>
      <c r="B2112" t="inlineStr">
        <is>
          <t>Naish S26 Hover Wing Foil Carbon Ultra</t>
        </is>
      </c>
      <c r="C2112" t="inlineStr">
        <is>
          <t>Wingfoil</t>
        </is>
      </c>
      <c r="D2112" s="3" t="n">
        <v>85</v>
      </c>
      <c r="E2112" t="inlineStr">
        <is>
          <t>2024</t>
        </is>
      </c>
      <c r="F2112" s="4" t="n">
        <v>525</v>
      </c>
      <c r="G2112" t="inlineStr"/>
      <c r="H2112" t="inlineStr">
        <is>
          <t>68753 Baden-Württemberg - Waghäusel</t>
        </is>
      </c>
      <c r="I2112" s="5" t="n">
        <v>45545</v>
      </c>
      <c r="J2112" t="inlineStr">
        <is>
          <t>Sold</t>
        </is>
      </c>
      <c r="K2112" s="6">
        <f>HYPERLINK("https://www.kleinanzeigen.de/s-anzeige/wingfoil-board-naish-s26-hover-wing-foil-carbon-ultra-85l/2859172684-230-8337", "Link")</f>
        <v/>
      </c>
      <c r="L2112" s="6">
        <f>HYPERLINK("C:\Projects\Kleinanzeigen-Scraper\offer_images\2859172684", "Link")</f>
        <v/>
      </c>
      <c r="M2112" t="inlineStr">
        <is>
          <t>Ralph Heger</t>
        </is>
      </c>
      <c r="N2112" s="6">
        <f>HYPERLINK("https://www.kleinanzeigen.de/s-bestandsliste.html?userId=2144519", "Link")</f>
        <v/>
      </c>
      <c r="O2112" s="7" t="n">
        <v>45549.57107638889</v>
      </c>
      <c r="P2112" s="3" t="inlineStr">
        <is>
          <t>25.73</t>
        </is>
      </c>
      <c r="Q2112" t="inlineStr">
        <is>
          <t>Karlsruhe</t>
        </is>
      </c>
    </row>
    <row r="2113">
      <c r="A2113" t="inlineStr">
        <is>
          <t>Dimensions not provided</t>
        </is>
      </c>
      <c r="B2113" t="inlineStr">
        <is>
          <t>JP Australia Ultimate Wave</t>
        </is>
      </c>
      <c r="C2113" t="inlineStr">
        <is>
          <t>Wave</t>
        </is>
      </c>
      <c r="D2113" s="3" t="n">
        <v>88</v>
      </c>
      <c r="E2113" t="inlineStr">
        <is>
          <t>2021</t>
        </is>
      </c>
      <c r="F2113" s="4" t="n">
        <v>499</v>
      </c>
      <c r="G2113" t="inlineStr"/>
      <c r="H2113" t="inlineStr">
        <is>
          <t>24229 Schleswig-Holstein - Schwedeneck</t>
        </is>
      </c>
      <c r="I2113" s="5" t="n">
        <v>45546</v>
      </c>
      <c r="J2113" t="inlineStr"/>
      <c r="K2113" s="6">
        <f>HYPERLINK("https://www.kleinanzeigen.de/s-anzeige/jp-australia-windsurfboard/2860485820-230-17470", "Link")</f>
        <v/>
      </c>
      <c r="L2113" s="6">
        <f>HYPERLINK("C:\Projects\Kleinanzeigen-Scraper\offer_images\2860485820", "Link")</f>
        <v/>
      </c>
      <c r="M2113" t="inlineStr">
        <is>
          <t>Tim Michaelis</t>
        </is>
      </c>
      <c r="N2113" s="6">
        <f>HYPERLINK("https://www.kleinanzeigen.de/s-bestandsliste.html?userId=8051879", "Link")</f>
        <v/>
      </c>
      <c r="O2113" s="7" t="n">
        <v>45549.57105324074</v>
      </c>
      <c r="P2113" s="3" t="inlineStr">
        <is>
          <t>445.58</t>
        </is>
      </c>
      <c r="Q2113" t="inlineStr">
        <is>
          <t>Köln</t>
        </is>
      </c>
    </row>
    <row r="2114">
      <c r="A2114" t="inlineStr">
        <is>
          <t>140 x 34</t>
        </is>
      </c>
      <c r="B2114" t="inlineStr">
        <is>
          <t>RRD HS Humansize 34 Contest</t>
        </is>
      </c>
      <c r="C2114" t="inlineStr">
        <is>
          <t>Contest</t>
        </is>
      </c>
      <c r="D2114" s="3" t="inlineStr"/>
      <c r="E2114" t="inlineStr"/>
      <c r="F2114" s="4" t="n">
        <v>95</v>
      </c>
      <c r="G2114" t="inlineStr">
        <is>
          <t>VB</t>
        </is>
      </c>
      <c r="H2114" t="inlineStr">
        <is>
          <t>15537 Brandenburg - Gosen-Neu Zittau</t>
        </is>
      </c>
      <c r="I2114" s="5" t="n">
        <v>45547</v>
      </c>
      <c r="J2114" t="inlineStr">
        <is>
          <t>Sold</t>
        </is>
      </c>
      <c r="K2114" s="6">
        <f>HYPERLINK("https://www.kleinanzeigen.de/s-anzeige/rrd-kiteboard-hs-humansize-34-contest/2861623817-230-7886", "Link")</f>
        <v/>
      </c>
      <c r="L2114" s="6">
        <f>HYPERLINK("C:\Projects\Kleinanzeigen-Scraper\offer_images\2861623817", "Link")</f>
        <v/>
      </c>
      <c r="M2114" t="inlineStr">
        <is>
          <t>FB</t>
        </is>
      </c>
      <c r="N2114" s="6">
        <f>HYPERLINK("https://www.kleinanzeigen.de/s-bestandsliste.html?userId=28044942", "Link")</f>
        <v/>
      </c>
      <c r="O2114" s="7" t="n">
        <v>45549.57104166667</v>
      </c>
      <c r="P2114" s="3" t="inlineStr">
        <is>
          <t>503.97</t>
        </is>
      </c>
      <c r="Q2114" t="inlineStr">
        <is>
          <t>München</t>
        </is>
      </c>
    </row>
    <row r="2115">
      <c r="A2115" t="inlineStr">
        <is>
          <t>7'8''</t>
        </is>
      </c>
      <c r="B2115" t="inlineStr">
        <is>
          <t>Fanatic Bee</t>
        </is>
      </c>
      <c r="C2115" t="inlineStr">
        <is>
          <t>Wave</t>
        </is>
      </c>
      <c r="D2115" s="3" t="n">
        <v>120</v>
      </c>
      <c r="E2115" t="inlineStr"/>
      <c r="F2115" s="4" t="n">
        <v>950</v>
      </c>
      <c r="G2115" t="inlineStr">
        <is>
          <t>VB</t>
        </is>
      </c>
      <c r="H2115" t="inlineStr">
        <is>
          <t>14129 Berlin - Zehlendorf</t>
        </is>
      </c>
      <c r="I2115" s="5" t="n">
        <v>45561</v>
      </c>
      <c r="J2115" t="inlineStr"/>
      <c r="K2115" s="6">
        <f>HYPERLINK("https://www.kleinanzeigen.de/s-anzeige/fanatic-bee-7-8-120l/2829087583-230-3530", "Link")</f>
        <v/>
      </c>
      <c r="L2115" s="6">
        <f>HYPERLINK("C:\Projects\Kleinanzeigen-Scraper\offer_images\2829087583", "Link")</f>
        <v/>
      </c>
      <c r="M2115" t="inlineStr">
        <is>
          <t>Kathrin B.</t>
        </is>
      </c>
      <c r="N2115" s="6">
        <f>HYPERLINK("https://www.kleinanzeigen.de/s-bestandsliste.html?userId=13119067", "Link")</f>
        <v/>
      </c>
      <c r="O2115" s="7" t="n">
        <v>45549.57103009259</v>
      </c>
      <c r="P2115" s="3" t="inlineStr">
        <is>
          <t>461.31</t>
        </is>
      </c>
      <c r="Q2115" t="inlineStr">
        <is>
          <t>Köln</t>
        </is>
      </c>
    </row>
    <row r="2116">
      <c r="A2116" t="inlineStr">
        <is>
          <t>329 cm x 81 cm x 15 cm</t>
        </is>
      </c>
      <c r="B2116" t="inlineStr">
        <is>
          <t>F2 GLIDE</t>
        </is>
      </c>
      <c r="C2116" t="inlineStr">
        <is>
          <t>Windsurf SUP</t>
        </is>
      </c>
      <c r="D2116" s="3" t="inlineStr"/>
      <c r="E2116" t="inlineStr"/>
      <c r="F2116" s="4" t="n">
        <v>349</v>
      </c>
      <c r="G2116" t="inlineStr"/>
      <c r="H2116" t="inlineStr">
        <is>
          <t>95028 Bayern - Hof (Saale)</t>
        </is>
      </c>
      <c r="I2116" s="5" t="n">
        <v>45546</v>
      </c>
      <c r="J2116" t="inlineStr">
        <is>
          <t>Sold</t>
        </is>
      </c>
      <c r="K2116" s="6">
        <f>HYPERLINK("https://www.kleinanzeigen.de/s-anzeige/f2-glide-windsurf-sup-10-8-grey-stand-up-paddle-board-paddel/2835046328-230-7244", "Link")</f>
        <v/>
      </c>
      <c r="L2116" s="6">
        <f>HYPERLINK("C:\Projects\Kleinanzeigen-Scraper\offer_images\2835046328", "Link")</f>
        <v/>
      </c>
      <c r="M2116" t="inlineStr">
        <is>
          <t>No user name</t>
        </is>
      </c>
      <c r="N2116" s="6">
        <f>HYPERLINK("https://www.kleinanzeigen.deNo user link", "Link")</f>
        <v/>
      </c>
      <c r="O2116" s="7" t="n">
        <v>45549.57103009259</v>
      </c>
      <c r="P2116" s="3" t="inlineStr">
        <is>
          <t>244.83</t>
        </is>
      </c>
      <c r="Q2116" t="inlineStr">
        <is>
          <t>München</t>
        </is>
      </c>
    </row>
    <row r="2117">
      <c r="A2117" t="inlineStr"/>
      <c r="B2117" t="inlineStr">
        <is>
          <t>FANATIC</t>
        </is>
      </c>
      <c r="C2117" t="inlineStr"/>
      <c r="D2117" s="3" t="inlineStr"/>
      <c r="E2117" t="inlineStr"/>
      <c r="F2117" s="4" t="n">
        <v>159</v>
      </c>
      <c r="G2117" t="inlineStr"/>
      <c r="H2117" t="inlineStr">
        <is>
          <t>37124 Niedersachsen - Rosdorf</t>
        </is>
      </c>
      <c r="I2117" s="5" t="n">
        <v>45564</v>
      </c>
      <c r="J2117" t="inlineStr"/>
      <c r="K2117" s="6">
        <f>HYPERLINK("https://www.kleinanzeigen.de/s-anzeige/surfborads-windsurfing-fanatic-boards-ab-159-2581-/2538407098-230-3133", "Link")</f>
        <v/>
      </c>
      <c r="L2117" s="6">
        <f>HYPERLINK("C:\Projects\Kleinanzeigen-Scraper\offer_images\2538407098", "Link")</f>
        <v/>
      </c>
      <c r="M2117" t="inlineStr">
        <is>
          <t>No user name</t>
        </is>
      </c>
      <c r="N2117" s="6">
        <f>HYPERLINK("https://www.kleinanzeigen.deNo user link", "Link")</f>
        <v/>
      </c>
      <c r="O2117" s="7" t="n">
        <v>45549.57100694445</v>
      </c>
      <c r="P2117" s="3" t="inlineStr">
        <is>
          <t>214.72</t>
        </is>
      </c>
      <c r="Q2117" t="inlineStr">
        <is>
          <t>Köln</t>
        </is>
      </c>
    </row>
    <row r="2118">
      <c r="A2118" t="inlineStr">
        <is>
          <t>138x41</t>
        </is>
      </c>
      <c r="B2118" t="inlineStr">
        <is>
          <t>North (Duotone) Select</t>
        </is>
      </c>
      <c r="C2118" t="inlineStr">
        <is>
          <t>Freeride</t>
        </is>
      </c>
      <c r="D2118" s="3" t="inlineStr"/>
      <c r="E2118" t="inlineStr">
        <is>
          <t>2017</t>
        </is>
      </c>
      <c r="F2118" s="4" t="n">
        <v>430</v>
      </c>
      <c r="G2118" t="inlineStr"/>
      <c r="H2118" t="inlineStr">
        <is>
          <t>80336 München - Sendling</t>
        </is>
      </c>
      <c r="I2118" s="5" t="n">
        <v>45539</v>
      </c>
      <c r="J2118" t="inlineStr">
        <is>
          <t>Sold</t>
        </is>
      </c>
      <c r="K2118" s="6">
        <f>HYPERLINK("https://www.kleinanzeigen.de/s-anzeige/neu-kite-board-north-duotone-select-138-textreme-carbon-2017/2854577733-230-16383", "Link")</f>
        <v/>
      </c>
      <c r="L2118" s="6">
        <f>HYPERLINK("C:\Projects\Kleinanzeigen-Scraper\offer_images\2854577733", "Link")</f>
        <v/>
      </c>
      <c r="M2118" t="inlineStr">
        <is>
          <t>Notonlykite</t>
        </is>
      </c>
      <c r="N2118" s="6">
        <f>HYPERLINK("https://www.kleinanzeigen.de/s-bestandsliste.html?userId=141747500", "Link")</f>
        <v/>
      </c>
      <c r="O2118" s="7" t="n">
        <v>45549.57100694445</v>
      </c>
      <c r="P2118" s="3" t="inlineStr">
        <is>
          <t>1.19</t>
        </is>
      </c>
      <c r="Q2118" t="inlineStr">
        <is>
          <t>München</t>
        </is>
      </c>
    </row>
    <row r="2119">
      <c r="A2119" t="inlineStr"/>
      <c r="B2119" t="inlineStr">
        <is>
          <t>Severne Nuevo</t>
        </is>
      </c>
      <c r="C2119" t="inlineStr">
        <is>
          <t>Freeride</t>
        </is>
      </c>
      <c r="D2119" s="3" t="n">
        <v>120</v>
      </c>
      <c r="E2119" t="inlineStr"/>
      <c r="F2119" s="4" t="n">
        <v>1.1</v>
      </c>
      <c r="G2119" t="inlineStr"/>
      <c r="H2119" t="inlineStr">
        <is>
          <t>71549 Baden-Württemberg - Auenwald</t>
        </is>
      </c>
      <c r="I2119" s="5" t="n">
        <v>45548</v>
      </c>
      <c r="J2119" t="inlineStr">
        <is>
          <t>Sold</t>
        </is>
      </c>
      <c r="K2119" s="6">
        <f>HYPERLINK("https://www.kleinanzeigen.de/s-anzeige/severne-nuevo-120-l-windsurfbrett-surfbrett/2861967661-230-20234", "Link")</f>
        <v/>
      </c>
      <c r="L2119" s="6">
        <f>HYPERLINK("C:\Projects\Kleinanzeigen-Scraper\offer_images\2861967661", "Link")</f>
        <v/>
      </c>
      <c r="M2119" t="inlineStr">
        <is>
          <t>Sam</t>
        </is>
      </c>
      <c r="N2119" s="6">
        <f>HYPERLINK("https://www.kleinanzeigen.de/s-bestandsliste.html?userId=91227219", "Link")</f>
        <v/>
      </c>
      <c r="O2119" s="7" t="n">
        <v>45549.57100694445</v>
      </c>
      <c r="P2119" s="3" t="inlineStr">
        <is>
          <t>49.16</t>
        </is>
      </c>
      <c r="Q2119" t="inlineStr">
        <is>
          <t>Böblingen</t>
        </is>
      </c>
    </row>
    <row r="2120">
      <c r="A2120" t="inlineStr">
        <is>
          <t>10'2''</t>
        </is>
      </c>
      <c r="B2120" t="inlineStr">
        <is>
          <t>Starboard Tikhine</t>
        </is>
      </c>
      <c r="C2120" t="inlineStr">
        <is>
          <t>Allround</t>
        </is>
      </c>
      <c r="D2120" s="3" t="inlineStr"/>
      <c r="E2120" t="inlineStr"/>
      <c r="F2120" s="4" t="n">
        <v>380</v>
      </c>
      <c r="G2120" t="inlineStr">
        <is>
          <t>VB</t>
        </is>
      </c>
      <c r="H2120" t="inlineStr">
        <is>
          <t>22527 Eimsbüttel - Hamburg Stellingen</t>
        </is>
      </c>
      <c r="I2120" s="5" t="n">
        <v>45529</v>
      </c>
      <c r="J2120" t="inlineStr"/>
      <c r="K2120" s="6">
        <f>HYPERLINK("https://www.kleinanzeigen.de/s-anzeige/sup-starboard-seltenes-tikhine-sun-design-mit-pumpe-und-rucksack/2846307892-230-9435", "Link")</f>
        <v/>
      </c>
      <c r="L2120" s="6">
        <f>HYPERLINK("C:\Projects\Kleinanzeigen-Scraper\offer_images\2846307892", "Link")</f>
        <v/>
      </c>
      <c r="M2120" t="inlineStr">
        <is>
          <t>Ulrike</t>
        </is>
      </c>
      <c r="N2120" s="6">
        <f>HYPERLINK("https://www.kleinanzeigen.de/s-bestandsliste.html?userId=6368151", "Link")</f>
        <v/>
      </c>
      <c r="O2120" s="7" t="n">
        <v>45549.57100694445</v>
      </c>
      <c r="P2120" s="3" t="inlineStr">
        <is>
          <t>358.47</t>
        </is>
      </c>
      <c r="Q2120" t="inlineStr">
        <is>
          <t>Köln</t>
        </is>
      </c>
    </row>
    <row r="2121">
      <c r="A2121" t="inlineStr">
        <is>
          <t>5'3</t>
        </is>
      </c>
      <c r="B2121" t="inlineStr">
        <is>
          <t>Duotone Whip SLS</t>
        </is>
      </c>
      <c r="C2121" t="inlineStr">
        <is>
          <t>Wave</t>
        </is>
      </c>
      <c r="D2121" s="3" t="inlineStr"/>
      <c r="E2121" t="inlineStr"/>
      <c r="F2121" s="4" t="n">
        <v>839</v>
      </c>
      <c r="G2121" t="inlineStr"/>
      <c r="H2121" t="inlineStr">
        <is>
          <t>22457 Eimsbüttel - Hamburg Schnelsen</t>
        </is>
      </c>
      <c r="I2121" s="5" t="n">
        <v>45544</v>
      </c>
      <c r="J2121" t="inlineStr">
        <is>
          <t>Sold</t>
        </is>
      </c>
      <c r="K2121" s="6">
        <f>HYPERLINK("https://www.kleinanzeigen.de/s-anzeige/duotone-whip-sls-5-3-neu-kiteboard-waveboard-kitesurfen/2785312083-230-9492", "Link")</f>
        <v/>
      </c>
      <c r="L2121" s="6">
        <f>HYPERLINK("C:\Projects\Kleinanzeigen-Scraper\offer_images\2785312083", "Link")</f>
        <v/>
      </c>
      <c r="M2121" t="inlineStr">
        <is>
          <t>No user name</t>
        </is>
      </c>
      <c r="N2121" s="6">
        <f>HYPERLINK("https://www.kleinanzeigen.deNo user link", "Link")</f>
        <v/>
      </c>
      <c r="O2121" s="7" t="n">
        <v>45549.57098379629</v>
      </c>
      <c r="P2121" s="3" t="inlineStr">
        <is>
          <t>362.41</t>
        </is>
      </c>
      <c r="Q2121" t="inlineStr">
        <is>
          <t>Köln</t>
        </is>
      </c>
    </row>
    <row r="2122">
      <c r="A2122" t="inlineStr">
        <is>
          <t>245 x 61</t>
        </is>
      </c>
      <c r="B2122" t="inlineStr">
        <is>
          <t>Fanatic Skate</t>
        </is>
      </c>
      <c r="C2122" t="inlineStr">
        <is>
          <t>Freestyle</t>
        </is>
      </c>
      <c r="D2122" s="3" t="n">
        <v>100</v>
      </c>
      <c r="E2122" t="inlineStr"/>
      <c r="F2122" s="4" t="n">
        <v>290</v>
      </c>
      <c r="G2122" t="inlineStr">
        <is>
          <t>VB</t>
        </is>
      </c>
      <c r="H2122" t="inlineStr">
        <is>
          <t>82347 Bayern - Bernried</t>
        </is>
      </c>
      <c r="I2122" s="5" t="n">
        <v>45516</v>
      </c>
      <c r="J2122" t="inlineStr">
        <is>
          <t>Sold</t>
        </is>
      </c>
      <c r="K2122" s="6">
        <f>HYPERLINK("https://www.kleinanzeigen.de/s-anzeige/fanatic-skate-100-inkl-finne-daten-siehe-foto-/2835353209-230-5544", "Link")</f>
        <v/>
      </c>
      <c r="L2122" s="6">
        <f>HYPERLINK("C:\Projects\Kleinanzeigen-Scraper\offer_images\2835353209", "Link")</f>
        <v/>
      </c>
      <c r="M2122" t="inlineStr">
        <is>
          <t>Dirk Rosenberg</t>
        </is>
      </c>
      <c r="N2122" s="6">
        <f>HYPERLINK("https://www.kleinanzeigen.de/s-bestandsliste.html?userId=57048109", "Link")</f>
        <v/>
      </c>
      <c r="O2122" s="7" t="n">
        <v>45549.57098379629</v>
      </c>
      <c r="P2122" s="3" t="inlineStr">
        <is>
          <t>38.08</t>
        </is>
      </c>
      <c r="Q2122" t="inlineStr">
        <is>
          <t>München</t>
        </is>
      </c>
    </row>
    <row r="2123">
      <c r="A2123" t="inlineStr">
        <is>
          <t>Dimensions not specified</t>
        </is>
      </c>
      <c r="B2123" t="inlineStr">
        <is>
          <t>Starboard Carve Wood</t>
        </is>
      </c>
      <c r="C2123" t="inlineStr">
        <is>
          <t>Freeride</t>
        </is>
      </c>
      <c r="D2123" s="3" t="n">
        <v>109</v>
      </c>
      <c r="E2123" t="inlineStr">
        <is>
          <t>2023</t>
        </is>
      </c>
      <c r="F2123" s="4" t="n">
        <v>1.2</v>
      </c>
      <c r="G2123" t="inlineStr">
        <is>
          <t>VB</t>
        </is>
      </c>
      <c r="H2123" t="inlineStr">
        <is>
          <t>17139 Mecklenburg-Vorpommern - Malchin</t>
        </is>
      </c>
      <c r="I2123" s="5" t="n">
        <v>45544</v>
      </c>
      <c r="J2123" t="inlineStr">
        <is>
          <t>Sold</t>
        </is>
      </c>
      <c r="K2123" s="6">
        <f>HYPERLINK("https://www.kleinanzeigen.de/s-anzeige/starboard-carve-wood-109-2023-neuwertig-freerideboard/2847268256-230-74", "Link")</f>
        <v/>
      </c>
      <c r="L2123" s="6">
        <f>HYPERLINK("C:\Projects\Kleinanzeigen-Scraper\offer_images\2847268256", "Link")</f>
        <v/>
      </c>
      <c r="M2123" t="inlineStr">
        <is>
          <t>Michael Nehls</t>
        </is>
      </c>
      <c r="N2123" s="6">
        <f>HYPERLINK("https://www.kleinanzeigen.de/s-bestandsliste.html?userId=39584245", "Link")</f>
        <v/>
      </c>
      <c r="O2123" s="7" t="n">
        <v>45549.57098379629</v>
      </c>
      <c r="P2123" s="3" t="inlineStr">
        <is>
          <t>502.61</t>
        </is>
      </c>
      <c r="Q2123" t="inlineStr">
        <is>
          <t>Köln</t>
        </is>
      </c>
    </row>
    <row r="2124">
      <c r="A2124" t="inlineStr">
        <is>
          <t>Dimensions not provided</t>
        </is>
      </c>
      <c r="B2124" t="inlineStr">
        <is>
          <t>Tabou 3S PLUS</t>
        </is>
      </c>
      <c r="C2124" t="inlineStr">
        <is>
          <t>Freewave, FreestyleWave, Freemove</t>
        </is>
      </c>
      <c r="D2124" s="3" t="n">
        <v>106</v>
      </c>
      <c r="E2124" t="inlineStr">
        <is>
          <t>2024</t>
        </is>
      </c>
      <c r="F2124" s="4" t="n">
        <v>1.249</v>
      </c>
      <c r="G2124" t="inlineStr">
        <is>
          <t>VB</t>
        </is>
      </c>
      <c r="H2124" t="inlineStr">
        <is>
          <t>76767 Rheinland-Pfalz - Hagenbach</t>
        </is>
      </c>
      <c r="I2124" s="5" t="n">
        <v>45491</v>
      </c>
      <c r="J2124" t="inlineStr">
        <is>
          <t>Sold</t>
        </is>
      </c>
      <c r="K2124" s="6">
        <f>HYPERLINK("https://www.kleinanzeigen.de/s-anzeige/tabou-3s-plus-106l-2024-neu-freewave-freestylewave-freemove/2815111291-230-18408", "Link")</f>
        <v/>
      </c>
      <c r="L2124" s="6">
        <f>HYPERLINK("C:\Projects\Kleinanzeigen-Scraper\offer_images\2815111291", "Link")</f>
        <v/>
      </c>
      <c r="M2124" t="inlineStr">
        <is>
          <t>Hilmar</t>
        </is>
      </c>
      <c r="N2124" s="6">
        <f>HYPERLINK("https://www.kleinanzeigen.de/s-bestandsliste.html?userId=22388239", "Link")</f>
        <v/>
      </c>
      <c r="O2124" s="7" t="n">
        <v>45549.57096064815</v>
      </c>
      <c r="P2124" s="3" t="inlineStr">
        <is>
          <t>10.31</t>
        </is>
      </c>
      <c r="Q2124" t="inlineStr">
        <is>
          <t>Karlsruhe</t>
        </is>
      </c>
    </row>
    <row r="2125">
      <c r="A2125" t="inlineStr">
        <is>
          <t>232 x 59 cm</t>
        </is>
      </c>
      <c r="B2125" t="inlineStr">
        <is>
          <t>RRD Freestyle Wave 84 Ltd. V2</t>
        </is>
      </c>
      <c r="C2125" t="inlineStr">
        <is>
          <t>Freewave</t>
        </is>
      </c>
      <c r="D2125" s="3" t="n">
        <v>84</v>
      </c>
      <c r="E2125" t="inlineStr"/>
      <c r="F2125" s="4" t="n">
        <v>280</v>
      </c>
      <c r="G2125" t="inlineStr"/>
      <c r="H2125" t="inlineStr">
        <is>
          <t>23769 Fehmarn - Westfehmarn</t>
        </is>
      </c>
      <c r="I2125" s="5" t="n">
        <v>45520</v>
      </c>
      <c r="J2125" t="inlineStr">
        <is>
          <t>Sold</t>
        </is>
      </c>
      <c r="K2125" s="6">
        <f>HYPERLINK("https://www.kleinanzeigen.de/s-anzeige/rrd-freestyle-wave-84-ltd-v2-freewave/2838338882-230-430", "Link")</f>
        <v/>
      </c>
      <c r="L2125" s="6">
        <f>HYPERLINK("C:\Projects\Kleinanzeigen-Scraper\offer_images\2838338882", "Link")</f>
        <v/>
      </c>
      <c r="M2125" t="inlineStr">
        <is>
          <t>Björn</t>
        </is>
      </c>
      <c r="N2125" s="6">
        <f>HYPERLINK("https://www.kleinanzeigen.de/s-bestandsliste.html?userId=506614", "Link")</f>
        <v/>
      </c>
      <c r="O2125" s="7" t="n">
        <v>45549.57096064815</v>
      </c>
      <c r="P2125" s="3" t="inlineStr">
        <is>
          <t>483.01</t>
        </is>
      </c>
      <c r="Q2125" t="inlineStr">
        <is>
          <t>Köln</t>
        </is>
      </c>
    </row>
    <row r="2126">
      <c r="A2126" t="inlineStr">
        <is>
          <t>5'7" / 170 cm</t>
        </is>
      </c>
      <c r="B2126" t="inlineStr">
        <is>
          <t>Duotone Sky Free</t>
        </is>
      </c>
      <c r="C2126" t="inlineStr">
        <is>
          <t>Wing Foil</t>
        </is>
      </c>
      <c r="D2126" s="3" t="n">
        <v>115</v>
      </c>
      <c r="E2126" t="inlineStr">
        <is>
          <t>2024</t>
        </is>
      </c>
      <c r="F2126" s="4" t="n">
        <v>1.299</v>
      </c>
      <c r="G2126" t="inlineStr">
        <is>
          <t>VB</t>
        </is>
      </c>
      <c r="H2126" t="inlineStr">
        <is>
          <t>82319 Bayern - Starnberg</t>
        </is>
      </c>
      <c r="I2126" s="5" t="n">
        <v>45549</v>
      </c>
      <c r="J2126" t="inlineStr">
        <is>
          <t>Sold</t>
        </is>
      </c>
      <c r="K2126" s="6">
        <f>HYPERLINK("https://www.kleinanzeigen.de/s-anzeige/duotone-sky-free-5-7-duotone-2024-wing-foil-brett/2710421664-230-5525", "Link")</f>
        <v/>
      </c>
      <c r="L2126" s="6">
        <f>HYPERLINK("C:\Projects\Kleinanzeigen-Scraper\offer_images\2710421664", "Link")</f>
        <v/>
      </c>
      <c r="M2126" t="inlineStr">
        <is>
          <t>No user name</t>
        </is>
      </c>
      <c r="N2126" s="6">
        <f>HYPERLINK("https://www.kleinanzeigen.deNo user link", "Link")</f>
        <v/>
      </c>
      <c r="O2126" s="7" t="n">
        <v>45549.5709375</v>
      </c>
      <c r="P2126" s="3" t="inlineStr">
        <is>
          <t>23.17</t>
        </is>
      </c>
      <c r="Q2126" t="inlineStr">
        <is>
          <t>München</t>
        </is>
      </c>
    </row>
    <row r="2127">
      <c r="A2127" t="inlineStr"/>
      <c r="B2127" t="inlineStr">
        <is>
          <t>Tabou 3S+</t>
        </is>
      </c>
      <c r="C2127" t="inlineStr"/>
      <c r="D2127" s="3" t="n">
        <v>86</v>
      </c>
      <c r="E2127" t="inlineStr">
        <is>
          <t>2022</t>
        </is>
      </c>
      <c r="F2127" s="4" t="n">
        <v>960</v>
      </c>
      <c r="G2127" t="inlineStr"/>
      <c r="H2127" t="inlineStr">
        <is>
          <t>41379 Nordrhein-Westfalen - Brüggen</t>
        </is>
      </c>
      <c r="I2127" s="5" t="n">
        <v>45450</v>
      </c>
      <c r="J2127" t="inlineStr"/>
      <c r="K2127" s="6">
        <f>HYPERLINK("https://www.kleinanzeigen.de/s-anzeige/tabou-3s-86l-2022-in-der-hochwertigen-team-carbon-edition/2782353388-230-1204", "Link")</f>
        <v/>
      </c>
      <c r="L2127" s="6">
        <f>HYPERLINK("C:\Projects\Kleinanzeigen-Scraper\offer_images\2782353388", "Link")</f>
        <v/>
      </c>
      <c r="M2127" t="inlineStr">
        <is>
          <t>Marc Wilhelm</t>
        </is>
      </c>
      <c r="N2127" s="6">
        <f>HYPERLINK("https://www.kleinanzeigen.de/s-bestandsliste.html?userId=11611520", "Link")</f>
        <v/>
      </c>
      <c r="O2127" s="7" t="n">
        <v>45549.5709375</v>
      </c>
      <c r="P2127" s="3" t="inlineStr">
        <is>
          <t>65.56</t>
        </is>
      </c>
      <c r="Q2127" t="inlineStr">
        <is>
          <t>Köln</t>
        </is>
      </c>
    </row>
    <row r="2128">
      <c r="A2128" t="inlineStr"/>
      <c r="B2128" t="inlineStr">
        <is>
          <t>Fanatic New Wave</t>
        </is>
      </c>
      <c r="C2128" t="inlineStr">
        <is>
          <t>Wave</t>
        </is>
      </c>
      <c r="D2128" s="3" t="n">
        <v>81</v>
      </c>
      <c r="E2128" t="inlineStr"/>
      <c r="F2128" s="4" t="n">
        <v>20</v>
      </c>
      <c r="G2128" t="inlineStr">
        <is>
          <t>VB</t>
        </is>
      </c>
      <c r="H2128" t="inlineStr">
        <is>
          <t>86923 Bayern - Finning</t>
        </is>
      </c>
      <c r="I2128" s="5" t="n">
        <v>45544</v>
      </c>
      <c r="J2128" t="inlineStr">
        <is>
          <t>Sold</t>
        </is>
      </c>
      <c r="K2128" s="6">
        <f>HYPERLINK("https://www.kleinanzeigen.de/s-anzeige/fanatic-new-wave-81-liter/2858249817-230-7067", "Link")</f>
        <v/>
      </c>
      <c r="L2128" s="6">
        <f>HYPERLINK("C:\Projects\Kleinanzeigen-Scraper\offer_images\2858249817", "Link")</f>
        <v/>
      </c>
      <c r="M2128" t="inlineStr">
        <is>
          <t>Moritz Lang</t>
        </is>
      </c>
      <c r="N2128" s="6">
        <f>HYPERLINK("https://www.kleinanzeigen.de/s-bestandsliste.html?userId=17274865", "Link")</f>
        <v/>
      </c>
      <c r="O2128" s="7" t="n">
        <v>45549.5709375</v>
      </c>
      <c r="P2128" s="3" t="inlineStr">
        <is>
          <t>43.29</t>
        </is>
      </c>
      <c r="Q2128" t="inlineStr">
        <is>
          <t>München</t>
        </is>
      </c>
    </row>
    <row r="2129">
      <c r="A2129" t="inlineStr">
        <is>
          <t>170l</t>
        </is>
      </c>
      <c r="B2129" t="inlineStr">
        <is>
          <t>Naish Hover Wing Foil</t>
        </is>
      </c>
      <c r="C2129" t="inlineStr"/>
      <c r="D2129" s="3" t="n">
        <v>170</v>
      </c>
      <c r="E2129" t="inlineStr">
        <is>
          <t>S27</t>
        </is>
      </c>
      <c r="F2129" s="4" t="n">
        <v>700</v>
      </c>
      <c r="G2129" t="inlineStr"/>
      <c r="H2129" t="inlineStr">
        <is>
          <t>46509 Nordrhein-Westfalen - Xanten</t>
        </is>
      </c>
      <c r="I2129" s="5" t="n">
        <v>45523</v>
      </c>
      <c r="J2129" t="inlineStr">
        <is>
          <t>Sold</t>
        </is>
      </c>
      <c r="K2129" s="6">
        <f>HYPERLINK("https://www.kleinanzeigen.de/s-anzeige/naish-hover-wing-foil-170l-inflatable-s27/2841430943-230-1403", "Link")</f>
        <v/>
      </c>
      <c r="L2129" s="6">
        <f>HYPERLINK("C:\Projects\Kleinanzeigen-Scraper\offer_images\2841430943", "Link")</f>
        <v/>
      </c>
      <c r="M2129" t="inlineStr">
        <is>
          <t>Georg Verfürth</t>
        </is>
      </c>
      <c r="N2129" s="6">
        <f>HYPERLINK("https://www.kleinanzeigen.de/s-bestandsliste.html?userId=132593238", "Link")</f>
        <v/>
      </c>
      <c r="O2129" s="7" t="n">
        <v>45549.5709375</v>
      </c>
      <c r="P2129" s="3" t="inlineStr">
        <is>
          <t>88.27</t>
        </is>
      </c>
      <c r="Q2129" t="inlineStr">
        <is>
          <t>Köln</t>
        </is>
      </c>
    </row>
    <row r="2130">
      <c r="A2130" t="inlineStr">
        <is>
          <t>237 x 58.5</t>
        </is>
      </c>
      <c r="B2130" t="inlineStr">
        <is>
          <t>Fanatic Freewave</t>
        </is>
      </c>
      <c r="C2130" t="inlineStr">
        <is>
          <t>Freeride</t>
        </is>
      </c>
      <c r="D2130" s="3" t="n">
        <v>86</v>
      </c>
      <c r="E2130" t="inlineStr">
        <is>
          <t>2009</t>
        </is>
      </c>
      <c r="F2130" s="4" t="n">
        <v>50</v>
      </c>
      <c r="G2130" t="inlineStr"/>
      <c r="H2130" t="inlineStr">
        <is>
          <t>63303 Hessen - Dreieich</t>
        </is>
      </c>
      <c r="I2130" s="5" t="n">
        <v>45528</v>
      </c>
      <c r="J2130" t="inlineStr">
        <is>
          <t>Sold</t>
        </is>
      </c>
      <c r="K2130" s="6">
        <f>HYPERLINK("https://www.kleinanzeigen.de/s-anzeige/fanatic-freewave-86/2844905967-230-4291", "Link")</f>
        <v/>
      </c>
      <c r="L2130" s="6">
        <f>HYPERLINK("C:\Projects\Kleinanzeigen-Scraper\offer_images\2844905967", "Link")</f>
        <v/>
      </c>
      <c r="M2130" t="inlineStr">
        <is>
          <t>Andreas</t>
        </is>
      </c>
      <c r="N2130" s="6">
        <f>HYPERLINK("https://www.kleinanzeigen.de/s-bestandsliste.html?userId=132441118", "Link")</f>
        <v/>
      </c>
      <c r="O2130" s="7" t="n">
        <v>45549.5709375</v>
      </c>
      <c r="P2130" s="3" t="inlineStr">
        <is>
          <t>115.78</t>
        </is>
      </c>
      <c r="Q2130" t="inlineStr">
        <is>
          <t>Karlsruhe</t>
        </is>
      </c>
    </row>
    <row r="2131">
      <c r="A2131" t="inlineStr">
        <is>
          <t>250 cm x 58 cm</t>
        </is>
      </c>
      <c r="B2131" t="inlineStr">
        <is>
          <t>Fanatic Cross cx90</t>
        </is>
      </c>
      <c r="C2131" t="inlineStr">
        <is>
          <t>Freemove / Freeride</t>
        </is>
      </c>
      <c r="D2131" s="3" t="n">
        <v>89</v>
      </c>
      <c r="E2131" t="inlineStr"/>
      <c r="F2131" s="4" t="n">
        <v>130</v>
      </c>
      <c r="G2131" t="inlineStr"/>
      <c r="H2131" t="inlineStr">
        <is>
          <t>25821 Nordfriesland - Bredstedt</t>
        </is>
      </c>
      <c r="I2131" s="5" t="n">
        <v>45528</v>
      </c>
      <c r="J2131" t="inlineStr">
        <is>
          <t>Sold</t>
        </is>
      </c>
      <c r="K2131" s="6">
        <f>HYPERLINK("https://www.kleinanzeigen.de/s-anzeige/fanatic-cross-cx90-surfbrett-freemove-freeride/2844813451-230-16664", "Link")</f>
        <v/>
      </c>
      <c r="L2131" s="6">
        <f>HYPERLINK("C:\Projects\Kleinanzeigen-Scraper\offer_images\2844813451", "Link")</f>
        <v/>
      </c>
      <c r="M2131" t="inlineStr">
        <is>
          <t>Hansen</t>
        </is>
      </c>
      <c r="N2131" s="6">
        <f>HYPERLINK("https://www.kleinanzeigen.de/s-bestandsliste.html?userId=559499", "Link")</f>
        <v/>
      </c>
      <c r="O2131" s="7" t="n">
        <v>45549.5709375</v>
      </c>
      <c r="P2131" s="3" t="inlineStr">
        <is>
          <t>431.04</t>
        </is>
      </c>
      <c r="Q2131" t="inlineStr">
        <is>
          <t>Köln</t>
        </is>
      </c>
    </row>
    <row r="2132">
      <c r="A2132" t="inlineStr"/>
      <c r="B2132" t="inlineStr">
        <is>
          <t>Severne Nano</t>
        </is>
      </c>
      <c r="C2132" t="inlineStr"/>
      <c r="D2132" s="3" t="n">
        <v>92</v>
      </c>
      <c r="E2132" t="inlineStr"/>
      <c r="F2132" s="4" t="n">
        <v>800</v>
      </c>
      <c r="G2132" t="inlineStr">
        <is>
          <t>VB</t>
        </is>
      </c>
      <c r="H2132" t="inlineStr">
        <is>
          <t>21640 Niedersachsen - Nottensdorf</t>
        </is>
      </c>
      <c r="I2132" s="5" t="n">
        <v>45543</v>
      </c>
      <c r="J2132" t="inlineStr">
        <is>
          <t>Sold</t>
        </is>
      </c>
      <c r="K2132" s="6">
        <f>HYPERLINK("https://www.kleinanzeigen.de/s-anzeige/surfbrett-severne-nano-92-l/2857304829-230-3290", "Link")</f>
        <v/>
      </c>
      <c r="L2132" s="6">
        <f>HYPERLINK("C:\Projects\Kleinanzeigen-Scraper\offer_images\2857304829", "Link")</f>
        <v/>
      </c>
      <c r="M2132" t="inlineStr">
        <is>
          <t>Privater Anbieter</t>
        </is>
      </c>
      <c r="N2132" s="6">
        <f>HYPERLINK("https://www.kleinanzeigen.de/s-bestandsliste.html?userId=8163001", "Link")</f>
        <v/>
      </c>
      <c r="O2132" s="7" t="n">
        <v>45549.57092592592</v>
      </c>
      <c r="P2132" s="3" t="inlineStr">
        <is>
          <t>337.05</t>
        </is>
      </c>
      <c r="Q2132" t="inlineStr">
        <is>
          <t>Köln</t>
        </is>
      </c>
    </row>
    <row r="2133">
      <c r="A2133" t="inlineStr">
        <is>
          <t>95</t>
        </is>
      </c>
      <c r="B2133" t="inlineStr">
        <is>
          <t>Duotone Freewave SLS</t>
        </is>
      </c>
      <c r="C2133" t="inlineStr">
        <is>
          <t>Freewave</t>
        </is>
      </c>
      <c r="D2133" s="3" t="inlineStr"/>
      <c r="E2133" t="inlineStr"/>
      <c r="F2133" s="4" t="n">
        <v>1.2</v>
      </c>
      <c r="G2133" t="inlineStr"/>
      <c r="H2133" t="inlineStr">
        <is>
          <t>82467 Bayern - Garmisch-Partenkirchen</t>
        </is>
      </c>
      <c r="I2133" s="5" t="n">
        <v>45538</v>
      </c>
      <c r="J2133" t="inlineStr">
        <is>
          <t>Sold</t>
        </is>
      </c>
      <c r="K2133" s="6">
        <f>HYPERLINK("https://www.kleinanzeigen.de/s-anzeige/duotone-windsurfboard-freewave-95-sls/2853406943-230-6338", "Link")</f>
        <v/>
      </c>
      <c r="L2133" s="6">
        <f>HYPERLINK("C:\Projects\Kleinanzeigen-Scraper\offer_images\2853406943", "Link")</f>
        <v/>
      </c>
      <c r="M2133" t="inlineStr">
        <is>
          <t>Julia Bücking</t>
        </is>
      </c>
      <c r="N2133" s="6">
        <f>HYPERLINK("https://www.kleinanzeigen.de/s-bestandsliste.html?userId=79652599", "Link")</f>
        <v/>
      </c>
      <c r="O2133" s="7" t="n">
        <v>45549.57091435185</v>
      </c>
      <c r="P2133" s="3" t="inlineStr">
        <is>
          <t>80.76</t>
        </is>
      </c>
      <c r="Q2133" t="inlineStr">
        <is>
          <t>München</t>
        </is>
      </c>
    </row>
    <row r="2134">
      <c r="A2134" t="inlineStr">
        <is>
          <t>225 x 59.5 cm</t>
        </is>
      </c>
      <c r="B2134" t="inlineStr">
        <is>
          <t>Starboard Ultra</t>
        </is>
      </c>
      <c r="C2134" t="inlineStr">
        <is>
          <t>Freeride</t>
        </is>
      </c>
      <c r="D2134" s="3" t="n">
        <v>93</v>
      </c>
      <c r="E2134" t="inlineStr">
        <is>
          <t>2023</t>
        </is>
      </c>
      <c r="F2134" s="4" t="n">
        <v>950</v>
      </c>
      <c r="G2134" t="inlineStr">
        <is>
          <t>VB</t>
        </is>
      </c>
      <c r="H2134" t="inlineStr">
        <is>
          <t>19053 Schwerin - Altstadt</t>
        </is>
      </c>
      <c r="I2134" s="5" t="n">
        <v>45515</v>
      </c>
      <c r="J2134" t="inlineStr"/>
      <c r="K2134" s="6">
        <f>HYPERLINK("https://www.kleinanzeigen.de/s-anzeige/starboard-ultra-93-l/2834878915-230-284", "Link")</f>
        <v/>
      </c>
      <c r="L2134" s="6">
        <f>HYPERLINK("C:\Projects\Kleinanzeigen-Scraper\offer_images\2834878915", "Link")</f>
        <v/>
      </c>
      <c r="M2134" t="inlineStr">
        <is>
          <t>Thomas Jesse</t>
        </is>
      </c>
      <c r="N2134" s="6">
        <f>HYPERLINK("https://www.kleinanzeigen.de/s-bestandsliste.html?userId=27918765", "Link")</f>
        <v/>
      </c>
      <c r="O2134" s="7" t="n">
        <v>45549.57091435185</v>
      </c>
      <c r="P2134" s="3" t="inlineStr">
        <is>
          <t>425.13</t>
        </is>
      </c>
      <c r="Q2134" t="inlineStr">
        <is>
          <t>Köln</t>
        </is>
      </c>
    </row>
    <row r="2135">
      <c r="A2135" t="inlineStr">
        <is>
          <t>82</t>
        </is>
      </c>
      <c r="B2135" t="inlineStr">
        <is>
          <t>Fanatic Quad</t>
        </is>
      </c>
      <c r="C2135" t="inlineStr">
        <is>
          <t>Freestyle</t>
        </is>
      </c>
      <c r="D2135" s="3" t="inlineStr"/>
      <c r="E2135" t="inlineStr"/>
      <c r="F2135" s="4" t="n">
        <v>80</v>
      </c>
      <c r="G2135" t="inlineStr"/>
      <c r="H2135" t="inlineStr">
        <is>
          <t>44795 Bochum - Bochum-Südwest</t>
        </is>
      </c>
      <c r="I2135" s="5" t="n">
        <v>45532</v>
      </c>
      <c r="J2135" t="inlineStr">
        <is>
          <t>Sold</t>
        </is>
      </c>
      <c r="K2135" s="6">
        <f>HYPERLINK("https://www.kleinanzeigen.de/s-anzeige/fanatic-quad-82/2848809745-230-1944", "Link")</f>
        <v/>
      </c>
      <c r="L2135" s="6">
        <f>HYPERLINK("C:\Projects\Kleinanzeigen-Scraper\offer_images\2848809745", "Link")</f>
        <v/>
      </c>
      <c r="M2135" t="inlineStr">
        <is>
          <t>Marcel</t>
        </is>
      </c>
      <c r="N2135" s="6">
        <f>HYPERLINK("https://www.kleinanzeigen.de/s-bestandsliste.html?userId=5515801", "Link")</f>
        <v/>
      </c>
      <c r="O2135" s="7" t="n">
        <v>45549.57090277778</v>
      </c>
      <c r="P2135" s="3" t="inlineStr">
        <is>
          <t>59.22</t>
        </is>
      </c>
      <c r="Q2135" t="inlineStr">
        <is>
          <t>Köln</t>
        </is>
      </c>
    </row>
    <row r="2136">
      <c r="A2136" t="inlineStr">
        <is>
          <t>81</t>
        </is>
      </c>
      <c r="B2136" t="inlineStr">
        <is>
          <t>Fanatic Grip</t>
        </is>
      </c>
      <c r="C2136" t="inlineStr">
        <is>
          <t>Wave</t>
        </is>
      </c>
      <c r="D2136" s="3" t="inlineStr"/>
      <c r="E2136" t="inlineStr">
        <is>
          <t>2023</t>
        </is>
      </c>
      <c r="F2136" s="4" t="n">
        <v>999</v>
      </c>
      <c r="G2136" t="inlineStr">
        <is>
          <t>VB</t>
        </is>
      </c>
      <c r="H2136" t="inlineStr">
        <is>
          <t>21465 Schleswig-Holstein - Reinbek</t>
        </is>
      </c>
      <c r="I2136" s="5" t="n">
        <v>45530</v>
      </c>
      <c r="J2136" t="inlineStr">
        <is>
          <t>Sold</t>
        </is>
      </c>
      <c r="K2136" s="6">
        <f>HYPERLINK("https://www.kleinanzeigen.de/s-anzeige/fanatic-grip-81-te-2023er/2846917228-230-13590", "Link")</f>
        <v/>
      </c>
      <c r="L2136" s="6">
        <f>HYPERLINK("C:\Projects\Kleinanzeigen-Scraper\offer_images\2846917228", "Link")</f>
        <v/>
      </c>
      <c r="M2136" t="inlineStr">
        <is>
          <t>Christian von Holten</t>
        </is>
      </c>
      <c r="N2136" s="6">
        <f>HYPERLINK("https://www.kleinanzeigen.de/s-bestandsliste.html?userId=566678", "Link")</f>
        <v/>
      </c>
      <c r="O2136" s="7" t="n">
        <v>45549.57090277778</v>
      </c>
      <c r="P2136" s="3" t="inlineStr">
        <is>
          <t>366.85</t>
        </is>
      </c>
      <c r="Q2136" t="inlineStr">
        <is>
          <t>Köln</t>
        </is>
      </c>
    </row>
    <row r="2137">
      <c r="A2137" t="inlineStr"/>
      <c r="B2137" t="inlineStr">
        <is>
          <t>JP Australia Magic Move</t>
        </is>
      </c>
      <c r="C2137" t="inlineStr">
        <is>
          <t>Freeride</t>
        </is>
      </c>
      <c r="D2137" s="3" t="n">
        <v>110</v>
      </c>
      <c r="E2137" t="inlineStr">
        <is>
          <t>2024</t>
        </is>
      </c>
      <c r="F2137" s="4" t="n">
        <v>1.56</v>
      </c>
      <c r="G2137" t="inlineStr">
        <is>
          <t>VB</t>
        </is>
      </c>
      <c r="H2137" t="inlineStr">
        <is>
          <t>82049 Bayern - Pullach</t>
        </is>
      </c>
      <c r="I2137" s="5" t="n">
        <v>45519</v>
      </c>
      <c r="J2137" t="inlineStr"/>
      <c r="K2137" s="6">
        <f>HYPERLINK("https://www.kleinanzeigen.de/s-anzeige/jp-australia-magic-move-110l-wood-pro-2024/2837464150-230-6190", "Link")</f>
        <v/>
      </c>
      <c r="L2137" s="6">
        <f>HYPERLINK("C:\Projects\Kleinanzeigen-Scraper\offer_images\2837464150", "Link")</f>
        <v/>
      </c>
      <c r="M2137" t="inlineStr">
        <is>
          <t>Florian</t>
        </is>
      </c>
      <c r="N2137" s="6">
        <f>HYPERLINK("https://www.kleinanzeigen.de/s-bestandsliste.html?userId=23886423", "Link")</f>
        <v/>
      </c>
      <c r="O2137" s="7" t="n">
        <v>45549.5708912037</v>
      </c>
      <c r="P2137" s="3" t="inlineStr">
        <is>
          <t>9.62</t>
        </is>
      </c>
      <c r="Q2137" t="inlineStr">
        <is>
          <t>München</t>
        </is>
      </c>
    </row>
    <row r="2138">
      <c r="A2138" t="inlineStr">
        <is>
          <t>260x80</t>
        </is>
      </c>
      <c r="B2138" t="inlineStr">
        <is>
          <t>RRD Easy Ride</t>
        </is>
      </c>
      <c r="C2138" t="inlineStr"/>
      <c r="D2138" s="3" t="inlineStr"/>
      <c r="E2138" t="inlineStr"/>
      <c r="F2138" s="4" t="n">
        <v>599</v>
      </c>
      <c r="G2138" t="inlineStr">
        <is>
          <t>VB</t>
        </is>
      </c>
      <c r="H2138" t="inlineStr">
        <is>
          <t>88682 Baden-Württemberg - Salem</t>
        </is>
      </c>
      <c r="I2138" s="5" t="n">
        <v>45499</v>
      </c>
      <c r="J2138" t="inlineStr">
        <is>
          <t>Sold</t>
        </is>
      </c>
      <c r="K2138" s="6">
        <f>HYPERLINK("https://www.kleinanzeigen.de/s-anzeige/rrd-easy-ride-small-softskin-surfboard-kinder-anfaenger/2821507077-230-9206", "Link")</f>
        <v/>
      </c>
      <c r="L2138" s="6">
        <f>HYPERLINK("C:\Projects\Kleinanzeigen-Scraper\offer_images\2821507077", "Link")</f>
        <v/>
      </c>
      <c r="M2138" t="inlineStr">
        <is>
          <t>Tobias</t>
        </is>
      </c>
      <c r="N2138" s="6">
        <f>HYPERLINK("https://www.kleinanzeigen.de/s-bestandsliste.html?userId=72236851", "Link")</f>
        <v/>
      </c>
      <c r="O2138" s="7" t="n">
        <v>45549.57085648148</v>
      </c>
      <c r="P2138" s="3" t="inlineStr">
        <is>
          <t>71.86</t>
        </is>
      </c>
      <c r="Q2138" t="inlineStr">
        <is>
          <t>Bonndorf</t>
        </is>
      </c>
    </row>
    <row r="2139">
      <c r="A2139" t="inlineStr">
        <is>
          <t>247 x 64.5</t>
        </is>
      </c>
      <c r="B2139" t="inlineStr">
        <is>
          <t>Starboard Flare</t>
        </is>
      </c>
      <c r="C2139" t="inlineStr">
        <is>
          <t>Freestyle</t>
        </is>
      </c>
      <c r="D2139" s="3" t="n">
        <v>104</v>
      </c>
      <c r="E2139" t="inlineStr"/>
      <c r="F2139" s="4" t="n">
        <v>170</v>
      </c>
      <c r="G2139" t="inlineStr"/>
      <c r="H2139" t="inlineStr">
        <is>
          <t>52159 Nordrhein-Westfalen - Roetgen</t>
        </is>
      </c>
      <c r="I2139" s="5" t="n">
        <v>45529</v>
      </c>
      <c r="J2139" t="inlineStr"/>
      <c r="K2139" s="6">
        <f>HYPERLINK("https://www.kleinanzeigen.de/s-anzeige/starboard-flare-104-surfboard-surfbrett-inkl-boardbag-finne/2846055937-230-1729", "Link")</f>
        <v/>
      </c>
      <c r="L2139" s="6">
        <f>HYPERLINK("C:\Projects\Kleinanzeigen-Scraper\offer_images\2846055937", "Link")</f>
        <v/>
      </c>
      <c r="M2139" t="inlineStr">
        <is>
          <t>B.l</t>
        </is>
      </c>
      <c r="N2139" s="6">
        <f>HYPERLINK("https://www.kleinanzeigen.de/s-bestandsliste.html?userId=8479695", "Link")</f>
        <v/>
      </c>
      <c r="O2139" s="7" t="n">
        <v>45549.57084490741</v>
      </c>
      <c r="P2139" s="3" t="inlineStr">
        <is>
          <t>62.16</t>
        </is>
      </c>
      <c r="Q2139" t="inlineStr">
        <is>
          <t>Köln</t>
        </is>
      </c>
    </row>
    <row r="2140">
      <c r="A2140" t="inlineStr">
        <is>
          <t>Dimensions not specified</t>
        </is>
      </c>
      <c r="B2140" t="inlineStr">
        <is>
          <t>Naish Supercross</t>
        </is>
      </c>
      <c r="C2140" t="inlineStr">
        <is>
          <t>Freeride</t>
        </is>
      </c>
      <c r="D2140" s="3" t="n">
        <v>75</v>
      </c>
      <c r="E2140" t="inlineStr"/>
      <c r="F2140" s="4" t="n">
        <v>165</v>
      </c>
      <c r="G2140" t="inlineStr">
        <is>
          <t>VB</t>
        </is>
      </c>
      <c r="H2140" t="inlineStr">
        <is>
          <t>27476 Niedersachsen - Cuxhaven</t>
        </is>
      </c>
      <c r="I2140" s="5" t="n">
        <v>45537</v>
      </c>
      <c r="J2140" t="inlineStr"/>
      <c r="K2140" s="6">
        <f>HYPERLINK("https://www.kleinanzeigen.de/s-anzeige/naish-supercross-75-l-dakine-schlaufen-bag/2852750946-230-3299", "Link")</f>
        <v/>
      </c>
      <c r="L2140" s="6">
        <f>HYPERLINK("C:\Projects\Kleinanzeigen-Scraper\offer_images\2852750946", "Link")</f>
        <v/>
      </c>
      <c r="M2140" t="inlineStr">
        <is>
          <t>Lars</t>
        </is>
      </c>
      <c r="N2140" s="6">
        <f>HYPERLINK("https://www.kleinanzeigen.de/s-bestandsliste.html?userId=74371854", "Link")</f>
        <v/>
      </c>
      <c r="O2140" s="7" t="n">
        <v>45549.57083333333</v>
      </c>
      <c r="P2140" s="3" t="inlineStr">
        <is>
          <t>344.28</t>
        </is>
      </c>
      <c r="Q2140" t="inlineStr">
        <is>
          <t>Köln</t>
        </is>
      </c>
    </row>
    <row r="2141">
      <c r="A2141" t="inlineStr"/>
      <c r="B2141" t="inlineStr">
        <is>
          <t>Fanatic Falcon</t>
        </is>
      </c>
      <c r="C2141" t="inlineStr">
        <is>
          <t>Slalom</t>
        </is>
      </c>
      <c r="D2141" s="3" t="n">
        <v>120</v>
      </c>
      <c r="E2141" t="inlineStr"/>
      <c r="F2141" s="4" t="n">
        <v>550</v>
      </c>
      <c r="G2141" t="inlineStr"/>
      <c r="H2141" t="inlineStr">
        <is>
          <t>22763 Altona - Hamburg Ottensen</t>
        </is>
      </c>
      <c r="I2141" s="5" t="n">
        <v>45513</v>
      </c>
      <c r="J2141" t="inlineStr">
        <is>
          <t>Sold</t>
        </is>
      </c>
      <c r="K2141" s="6">
        <f>HYPERLINK("https://www.kleinanzeigen.de/s-anzeige/fanatic-falcon-120-gut-erhalten-slalomboard-surfbrett/2832723743-230-9505", "Link")</f>
        <v/>
      </c>
      <c r="L2141" s="6">
        <f>HYPERLINK("C:\Projects\Kleinanzeigen-Scraper\offer_images\2832723743", "Link")</f>
        <v/>
      </c>
      <c r="M2141" t="inlineStr">
        <is>
          <t>Matt</t>
        </is>
      </c>
      <c r="N2141" s="6">
        <f>HYPERLINK("https://www.kleinanzeigen.de/s-bestandsliste.html?userId=2273270", "Link")</f>
        <v/>
      </c>
      <c r="O2141" s="7" t="n">
        <v>45549.57081018519</v>
      </c>
      <c r="P2141" s="3" t="inlineStr">
        <is>
          <t>354.04</t>
        </is>
      </c>
      <c r="Q2141" t="inlineStr">
        <is>
          <t>Köln</t>
        </is>
      </c>
    </row>
    <row r="2142">
      <c r="A2142" t="inlineStr">
        <is>
          <t>325 x 67</t>
        </is>
      </c>
      <c r="B2142" t="inlineStr">
        <is>
          <t>Fanatic Hot Bat</t>
        </is>
      </c>
      <c r="C2142" t="inlineStr"/>
      <c r="D2142" s="3" t="n">
        <v>160</v>
      </c>
      <c r="E2142" t="inlineStr"/>
      <c r="F2142" s="4" t="n">
        <v>75</v>
      </c>
      <c r="G2142" t="inlineStr">
        <is>
          <t>VB</t>
        </is>
      </c>
      <c r="H2142" t="inlineStr">
        <is>
          <t>45699 Nordrhein-Westfalen - Herten</t>
        </is>
      </c>
      <c r="I2142" s="5" t="n">
        <v>45529</v>
      </c>
      <c r="J2142" t="inlineStr">
        <is>
          <t>Sold</t>
        </is>
      </c>
      <c r="K2142" s="6">
        <f>HYPERLINK("https://www.kleinanzeigen.de/s-anzeige/fanatic-hot-bat-325/2845642246-230-1832", "Link")</f>
        <v/>
      </c>
      <c r="L2142" s="6">
        <f>HYPERLINK("C:\Projects\Kleinanzeigen-Scraper\offer_images\2845642246", "Link")</f>
        <v/>
      </c>
      <c r="M2142" t="inlineStr">
        <is>
          <t>V.P.</t>
        </is>
      </c>
      <c r="N2142" s="6">
        <f>HYPERLINK("https://www.kleinanzeigen.de/s-bestandsliste.html?userId=10829434", "Link")</f>
        <v/>
      </c>
      <c r="O2142" s="7" t="n">
        <v>45549.57081018519</v>
      </c>
      <c r="P2142" s="3" t="inlineStr">
        <is>
          <t>73.42</t>
        </is>
      </c>
      <c r="Q2142" t="inlineStr">
        <is>
          <t>Köln</t>
        </is>
      </c>
    </row>
    <row r="2143">
      <c r="A2143" t="inlineStr">
        <is>
          <t>134-40</t>
        </is>
      </c>
      <c r="B2143" t="inlineStr">
        <is>
          <t>North Gonzales</t>
        </is>
      </c>
      <c r="C2143" t="inlineStr"/>
      <c r="D2143" s="3" t="inlineStr"/>
      <c r="E2143" t="inlineStr"/>
      <c r="F2143" s="4" t="n">
        <v>250</v>
      </c>
      <c r="G2143" t="inlineStr">
        <is>
          <t>VB</t>
        </is>
      </c>
      <c r="H2143" t="inlineStr">
        <is>
          <t>83317 Bayern - Teisendorf</t>
        </is>
      </c>
      <c r="I2143" s="5" t="n">
        <v>45547</v>
      </c>
      <c r="J2143" t="inlineStr">
        <is>
          <t>Sold</t>
        </is>
      </c>
      <c r="K2143" s="6">
        <f>HYPERLINK("https://www.kleinanzeigen.de/s-anzeige/kiteboard-north-gonzales-134-40/2861059706-230-6269", "Link")</f>
        <v/>
      </c>
      <c r="L2143" s="6">
        <f>HYPERLINK("C:\Projects\Kleinanzeigen-Scraper\offer_images\2861059706", "Link")</f>
        <v/>
      </c>
      <c r="M2143" t="inlineStr">
        <is>
          <t>Fabien B.</t>
        </is>
      </c>
      <c r="N2143" s="6">
        <f>HYPERLINK("https://www.kleinanzeigen.de/s-bestandsliste.html?userId=131694737", "Link")</f>
        <v/>
      </c>
      <c r="O2143" s="7" t="n">
        <v>45549.57078703704</v>
      </c>
      <c r="P2143" s="3" t="inlineStr">
        <is>
          <t>98.85</t>
        </is>
      </c>
      <c r="Q2143" t="inlineStr">
        <is>
          <t>München</t>
        </is>
      </c>
    </row>
    <row r="2144">
      <c r="A2144" t="inlineStr">
        <is>
          <t>381 x 81 x 15.2 cm</t>
        </is>
      </c>
      <c r="B2144" t="inlineStr">
        <is>
          <t>JP Australia Cruis Air LE 3DS</t>
        </is>
      </c>
      <c r="C2144" t="inlineStr">
        <is>
          <t>Touring</t>
        </is>
      </c>
      <c r="D2144" s="3" t="n">
        <v>333</v>
      </c>
      <c r="E2144" t="inlineStr"/>
      <c r="F2144" s="4" t="n">
        <v>699</v>
      </c>
      <c r="G2144" t="inlineStr">
        <is>
          <t>VB</t>
        </is>
      </c>
      <c r="H2144" t="inlineStr">
        <is>
          <t>76646 Baden-Württemberg - Bruchsal</t>
        </is>
      </c>
      <c r="I2144" s="5" t="n">
        <v>45402</v>
      </c>
      <c r="J2144" t="inlineStr"/>
      <c r="K2144" s="6">
        <f>HYPERLINK("https://www.kleinanzeigen.de/s-anzeige/stand-up-paddle-sup-board-jp-australia-cruis-air-le3ds/2740328531-230-8795", "Link")</f>
        <v/>
      </c>
      <c r="L2144" s="6">
        <f>HYPERLINK("C:\Projects\Kleinanzeigen-Scraper\offer_images\2740328531", "Link")</f>
        <v/>
      </c>
      <c r="M2144" t="inlineStr">
        <is>
          <t>Kaldi-Events</t>
        </is>
      </c>
      <c r="N2144" s="6">
        <f>HYPERLINK("https://www.kleinanzeigen.de/s-bestandsliste.html?userId=24102977", "Link")</f>
        <v/>
      </c>
      <c r="O2144" s="7" t="n">
        <v>45549.57078703704</v>
      </c>
      <c r="P2144" s="3" t="inlineStr">
        <is>
          <t>18.28</t>
        </is>
      </c>
      <c r="Q2144" t="inlineStr">
        <is>
          <t>Karlsruhe</t>
        </is>
      </c>
    </row>
    <row r="2145">
      <c r="A2145" t="inlineStr"/>
      <c r="B2145" t="inlineStr">
        <is>
          <t>RRD Waveboard Hardcore</t>
        </is>
      </c>
      <c r="C2145" t="inlineStr">
        <is>
          <t>Wave</t>
        </is>
      </c>
      <c r="D2145" s="3" t="n">
        <v>84</v>
      </c>
      <c r="E2145" t="inlineStr"/>
      <c r="F2145" s="4" t="n">
        <v>350</v>
      </c>
      <c r="G2145" t="inlineStr"/>
      <c r="H2145" t="inlineStr">
        <is>
          <t>48147 Münster (Westfalen) - Wienburg</t>
        </is>
      </c>
      <c r="I2145" s="5" t="n">
        <v>45472</v>
      </c>
      <c r="J2145" t="inlineStr"/>
      <c r="K2145" s="6">
        <f>HYPERLINK("https://www.kleinanzeigen.de/s-anzeige/rrd-waveboard-84l-hardcore-quad/2799463816-230-24217", "Link")</f>
        <v/>
      </c>
      <c r="L2145" s="6">
        <f>HYPERLINK("C:\Projects\Kleinanzeigen-Scraper\offer_images\2799463816", "Link")</f>
        <v/>
      </c>
      <c r="M2145" t="inlineStr">
        <is>
          <t>LNP</t>
        </is>
      </c>
      <c r="N2145" s="6">
        <f>HYPERLINK("https://www.kleinanzeigen.de/s-bestandsliste.html?userId=5240526", "Link")</f>
        <v/>
      </c>
      <c r="O2145" s="7" t="n">
        <v>45549.57078703704</v>
      </c>
      <c r="P2145" s="3" t="inlineStr">
        <is>
          <t>124.93</t>
        </is>
      </c>
      <c r="Q2145" t="inlineStr">
        <is>
          <t>Köln</t>
        </is>
      </c>
    </row>
    <row r="2146">
      <c r="A2146" t="inlineStr"/>
      <c r="B2146" t="inlineStr">
        <is>
          <t>Naish</t>
        </is>
      </c>
      <c r="C2146" t="inlineStr">
        <is>
          <t>Surf/Foil</t>
        </is>
      </c>
      <c r="D2146" s="3" t="n">
        <v>122</v>
      </c>
      <c r="E2146" t="inlineStr"/>
      <c r="F2146" s="4" t="n">
        <v>999</v>
      </c>
      <c r="G2146" t="inlineStr">
        <is>
          <t>VB</t>
        </is>
      </c>
      <c r="H2146" t="inlineStr">
        <is>
          <t>75196 Baden-Württemberg - Remchingen</t>
        </is>
      </c>
      <c r="I2146" s="5" t="n">
        <v>45529</v>
      </c>
      <c r="J2146" t="inlineStr"/>
      <c r="K2146" s="6">
        <f>HYPERLINK("https://www.kleinanzeigen.de/s-anzeige/naish-122-l-surf-foilboard-komplettset-/2846088290-230-8245", "Link")</f>
        <v/>
      </c>
      <c r="L2146" s="6">
        <f>HYPERLINK("C:\Projects\Kleinanzeigen-Scraper\offer_images\2846088290", "Link")</f>
        <v/>
      </c>
      <c r="M2146" t="inlineStr">
        <is>
          <t>Peter Held</t>
        </is>
      </c>
      <c r="N2146" s="6">
        <f>HYPERLINK("https://www.kleinanzeigen.de/s-bestandsliste.html?userId=30222529", "Link")</f>
        <v/>
      </c>
      <c r="O2146" s="7" t="n">
        <v>45549.57078703704</v>
      </c>
      <c r="P2146" s="3" t="inlineStr">
        <is>
          <t>15.74</t>
        </is>
      </c>
      <c r="Q2146" t="inlineStr">
        <is>
          <t>Karlsruhe</t>
        </is>
      </c>
    </row>
    <row r="2147">
      <c r="A2147" t="inlineStr"/>
      <c r="B2147" t="inlineStr">
        <is>
          <t>JP Australia</t>
        </is>
      </c>
      <c r="C2147" t="inlineStr">
        <is>
          <t>Freestyle Wave</t>
        </is>
      </c>
      <c r="D2147" s="3" t="n">
        <v>93</v>
      </c>
      <c r="E2147" t="inlineStr"/>
      <c r="F2147" s="4" t="n">
        <v>100</v>
      </c>
      <c r="G2147" t="inlineStr">
        <is>
          <t>VB</t>
        </is>
      </c>
      <c r="H2147" t="inlineStr">
        <is>
          <t>88276 Baden-Württemberg - Berg</t>
        </is>
      </c>
      <c r="I2147" s="5" t="n">
        <v>45524</v>
      </c>
      <c r="J2147" t="inlineStr"/>
      <c r="K2147" s="6">
        <f>HYPERLINK("https://www.kleinanzeigen.de/s-anzeige/jp-australia-freestyle-wave-93l/2841512337-230-8272", "Link")</f>
        <v/>
      </c>
      <c r="L2147" s="6">
        <f>HYPERLINK("C:\Projects\Kleinanzeigen-Scraper\offer_images\2841512337", "Link")</f>
        <v/>
      </c>
      <c r="M2147" t="inlineStr">
        <is>
          <t>Marco Denzel</t>
        </is>
      </c>
      <c r="N2147" s="6">
        <f>HYPERLINK("https://www.kleinanzeigen.de/s-bestandsliste.html?userId=58529375", "Link")</f>
        <v/>
      </c>
      <c r="O2147" s="7" t="n">
        <v>45549.57076388889</v>
      </c>
      <c r="P2147" s="3" t="inlineStr">
        <is>
          <t>94.35</t>
        </is>
      </c>
      <c r="Q2147" t="inlineStr">
        <is>
          <t>Bonndorf</t>
        </is>
      </c>
    </row>
    <row r="2148">
      <c r="A2148" t="inlineStr">
        <is>
          <t>325 x 80</t>
        </is>
      </c>
      <c r="B2148" t="inlineStr">
        <is>
          <t>Fanatic Lite Bat</t>
        </is>
      </c>
      <c r="C2148" t="inlineStr">
        <is>
          <t>Freeride</t>
        </is>
      </c>
      <c r="D2148" s="3" t="n">
        <v>160</v>
      </c>
      <c r="E2148" t="inlineStr"/>
      <c r="F2148" s="4" t="n">
        <v>155</v>
      </c>
      <c r="G2148" t="inlineStr">
        <is>
          <t>VB</t>
        </is>
      </c>
      <c r="H2148" t="inlineStr">
        <is>
          <t>47805 Nordrhein-Westfalen - Krefeld</t>
        </is>
      </c>
      <c r="I2148" s="5" t="n">
        <v>45509</v>
      </c>
      <c r="J2148" t="inlineStr">
        <is>
          <t>Sold</t>
        </is>
      </c>
      <c r="K2148" s="6">
        <f>HYPERLINK("https://www.kleinanzeigen.de/s-anzeige/fanatic-lite-bat-325xm-16-kg-160l-rigg-north/2829893292-230-1976", "Link")</f>
        <v/>
      </c>
      <c r="L2148" s="6">
        <f>HYPERLINK("C:\Projects\Kleinanzeigen-Scraper\offer_images\2829893292", "Link")</f>
        <v/>
      </c>
      <c r="M2148" t="inlineStr">
        <is>
          <t>norbert</t>
        </is>
      </c>
      <c r="N2148" s="6">
        <f>HYPERLINK("https://www.kleinanzeigen.de/s-bestandsliste.html?userId=57358760", "Link")</f>
        <v/>
      </c>
      <c r="O2148" s="7" t="n">
        <v>45549.57076388889</v>
      </c>
      <c r="P2148" s="3" t="inlineStr">
        <is>
          <t>50.21</t>
        </is>
      </c>
      <c r="Q2148" t="inlineStr">
        <is>
          <t>Köln</t>
        </is>
      </c>
    </row>
    <row r="2149">
      <c r="A2149" t="inlineStr">
        <is>
          <t>244cm x 88cm</t>
        </is>
      </c>
      <c r="B2149" t="inlineStr">
        <is>
          <t>Lorch FULL CUSTOM</t>
        </is>
      </c>
      <c r="C2149" t="inlineStr"/>
      <c r="D2149" s="3" t="n">
        <v>179</v>
      </c>
      <c r="E2149" t="inlineStr"/>
      <c r="F2149" s="4" t="n">
        <v>2000</v>
      </c>
      <c r="G2149" t="inlineStr"/>
      <c r="H2149" t="inlineStr">
        <is>
          <t>64291 Darmstadt</t>
        </is>
      </c>
      <c r="I2149" s="5" t="n">
        <v>45547</v>
      </c>
      <c r="J2149" t="inlineStr">
        <is>
          <t>Sold</t>
        </is>
      </c>
      <c r="K2149" s="6">
        <f>HYPERLINK("https://www.dailydose.de/kleinanzeigen/detail.htm?ai=422485&amp;cf=kk&amp;pg=5&amp;ci=11", "Link")</f>
        <v/>
      </c>
      <c r="L2149" s="6">
        <f>HYPERLINK("C:\Projects\Kleinanzeigen-Scraper\offer_images\422485", "Link")</f>
        <v/>
      </c>
      <c r="M2149" t="inlineStr">
        <is>
          <t>VolkerH</t>
        </is>
      </c>
      <c r="N2149" s="6">
        <f>HYPERLINK("https://www.dailydose.de/kleinanzeigen/user/26398", "Link")</f>
        <v/>
      </c>
      <c r="O2149" s="7" t="n">
        <v>45548.5519212963</v>
      </c>
      <c r="P2149" s="3" t="inlineStr">
        <is>
          <t>104.77</t>
        </is>
      </c>
      <c r="Q2149" t="inlineStr">
        <is>
          <t>Karlsruhe</t>
        </is>
      </c>
    </row>
    <row r="2150">
      <c r="A2150" t="inlineStr">
        <is>
          <t>Dimensions not specified</t>
        </is>
      </c>
      <c r="B2150" t="inlineStr">
        <is>
          <t>Starboard Ignite</t>
        </is>
      </c>
      <c r="C2150" t="inlineStr">
        <is>
          <t>Freeride</t>
        </is>
      </c>
      <c r="D2150" s="3" t="n">
        <v>87</v>
      </c>
      <c r="E2150" t="inlineStr">
        <is>
          <t>2023</t>
        </is>
      </c>
      <c r="F2150" s="4" t="n">
        <v>1750</v>
      </c>
      <c r="G2150" t="inlineStr"/>
      <c r="H2150" t="inlineStr">
        <is>
          <t>4493 mn Kamperland</t>
        </is>
      </c>
      <c r="I2150" s="5" t="n">
        <v>45548</v>
      </c>
      <c r="J2150" t="inlineStr">
        <is>
          <t>Sold</t>
        </is>
      </c>
      <c r="K2150" s="6">
        <f>HYPERLINK("https://www.dailydose.de/kleinanzeigen/detail.htm?ai=422496&amp;cf=kk&amp;pg=5&amp;ci=11", "Link")</f>
        <v/>
      </c>
      <c r="L2150" s="6">
        <f>HYPERLINK("C:\Projects\Kleinanzeigen-Scraper\offer_images\422496", "Link")</f>
        <v/>
      </c>
      <c r="M2150" t="inlineStr">
        <is>
          <t>Sten_132</t>
        </is>
      </c>
      <c r="N2150" s="6">
        <f>HYPERLINK("https://www.dailydose.de/kleinanzeigen/user/22109", "Link")</f>
        <v/>
      </c>
      <c r="O2150" s="7" t="n">
        <v>45548.55028935185</v>
      </c>
      <c r="P2150" s="3" t="inlineStr">
        <is>
          <t>240.25</t>
        </is>
      </c>
      <c r="Q2150" t="inlineStr">
        <is>
          <t>Köln</t>
        </is>
      </c>
    </row>
    <row r="2151">
      <c r="A2151" t="inlineStr">
        <is>
          <t>225 x 79</t>
        </is>
      </c>
      <c r="B2151" t="inlineStr">
        <is>
          <t>RRD Freeride W-tech</t>
        </is>
      </c>
      <c r="C2151" t="inlineStr">
        <is>
          <t>Freeride</t>
        </is>
      </c>
      <c r="D2151" s="3" t="n">
        <v>122</v>
      </c>
      <c r="E2151" t="inlineStr"/>
      <c r="F2151" s="4" t="n">
        <v>290</v>
      </c>
      <c r="G2151" t="inlineStr">
        <is>
          <t>VB</t>
        </is>
      </c>
      <c r="H2151" t="inlineStr">
        <is>
          <t>18581 Putbus</t>
        </is>
      </c>
      <c r="I2151" s="5" t="n">
        <v>45548</v>
      </c>
      <c r="J2151" t="inlineStr">
        <is>
          <t>Sold</t>
        </is>
      </c>
      <c r="K2151" s="6">
        <f>HYPERLINK("https://www.dailydose.de/kleinanzeigen/detail.htm?ai=422493&amp;cf=kk&amp;pg=5&amp;ci=11", "Link")</f>
        <v/>
      </c>
      <c r="L2151" s="6">
        <f>HYPERLINK("C:\Projects\Kleinanzeigen-Scraper\offer_images\422493", "Link")</f>
        <v/>
      </c>
      <c r="M2151" t="inlineStr">
        <is>
          <t>Kaeufer8</t>
        </is>
      </c>
      <c r="N2151" s="6">
        <f>HYPERLINK("https://www.dailydose.de/kleinanzeigen/user/26399", "Link")</f>
        <v/>
      </c>
      <c r="O2151" s="7" t="n">
        <v>45548.55025462963</v>
      </c>
      <c r="P2151" s="3" t="inlineStr">
        <is>
          <t>580.61</t>
        </is>
      </c>
      <c r="Q2151" t="inlineStr">
        <is>
          <t>Köln</t>
        </is>
      </c>
    </row>
    <row r="2152">
      <c r="A2152" t="inlineStr">
        <is>
          <t>236x68</t>
        </is>
      </c>
      <c r="B2152" t="inlineStr">
        <is>
          <t>RRD Firestorm Wood</t>
        </is>
      </c>
      <c r="C2152" t="inlineStr">
        <is>
          <t>Freeride</t>
        </is>
      </c>
      <c r="D2152" s="3" t="n">
        <v>111</v>
      </c>
      <c r="E2152" t="inlineStr"/>
      <c r="F2152" s="4" t="n">
        <v>350</v>
      </c>
      <c r="G2152" t="inlineStr">
        <is>
          <t>VB</t>
        </is>
      </c>
      <c r="H2152" t="inlineStr">
        <is>
          <t>91522 Ansbach</t>
        </is>
      </c>
      <c r="I2152" s="5" t="n">
        <v>45547</v>
      </c>
      <c r="J2152" t="inlineStr">
        <is>
          <t>Sold</t>
        </is>
      </c>
      <c r="K2152" s="6">
        <f>HYPERLINK("https://www.dailydose.de/kleinanzeigen/detail.htm?ai=422467&amp;cf=kk&amp;pg=5&amp;ci=11", "Link")</f>
        <v/>
      </c>
      <c r="L2152" s="6">
        <f>HYPERLINK("C:\Projects\Kleinanzeigen-Scraper\offer_images\422467", "Link")</f>
        <v/>
      </c>
      <c r="M2152" t="inlineStr">
        <is>
          <t>Roland Deppe</t>
        </is>
      </c>
      <c r="N2152" s="6">
        <f>HYPERLINK("https://www.dailydose.de/kleinanzeigen/user/6180", "Link")</f>
        <v/>
      </c>
      <c r="O2152" s="7" t="n">
        <v>45548.55021990741</v>
      </c>
      <c r="P2152" s="3" t="inlineStr">
        <is>
          <t>134.68</t>
        </is>
      </c>
      <c r="Q2152" t="inlineStr">
        <is>
          <t>Böblingen</t>
        </is>
      </c>
    </row>
    <row r="2153">
      <c r="A2153" t="inlineStr">
        <is>
          <t>230 cm x 56.3 cm</t>
        </is>
      </c>
      <c r="B2153" t="inlineStr">
        <is>
          <t>Quatro Sphere Thruster</t>
        </is>
      </c>
      <c r="C2153" t="inlineStr">
        <is>
          <t>Wave/Freewave</t>
        </is>
      </c>
      <c r="D2153" s="3" t="n">
        <v>80</v>
      </c>
      <c r="E2153" t="inlineStr">
        <is>
          <t>2016</t>
        </is>
      </c>
      <c r="F2153" s="4" t="n">
        <v>250</v>
      </c>
      <c r="G2153" t="inlineStr">
        <is>
          <t>VB</t>
        </is>
      </c>
      <c r="H2153" t="inlineStr">
        <is>
          <t>22527 Hamburg</t>
        </is>
      </c>
      <c r="I2153" s="5" t="n">
        <v>45547</v>
      </c>
      <c r="J2153" t="inlineStr">
        <is>
          <t>Sold</t>
        </is>
      </c>
      <c r="K2153" s="6">
        <f>HYPERLINK("https://www.dailydose.de/kleinanzeigen/detail.htm?ai=422489&amp;cf=kk&amp;pg=5&amp;ci=11", "Link")</f>
        <v/>
      </c>
      <c r="L2153" s="6">
        <f>HYPERLINK("C:\Projects\Kleinanzeigen-Scraper\offer_images\422489", "Link")</f>
        <v/>
      </c>
      <c r="M2153" t="inlineStr">
        <is>
          <t>Hanno_148</t>
        </is>
      </c>
      <c r="N2153" s="6">
        <f>HYPERLINK("https://www.dailydose.de/kleinanzeigen/user/9877", "Link")</f>
        <v/>
      </c>
      <c r="O2153" s="7" t="n">
        <v>45548.55012731482</v>
      </c>
      <c r="P2153" s="3" t="inlineStr">
        <is>
          <t>358.47</t>
        </is>
      </c>
      <c r="Q2153" t="inlineStr">
        <is>
          <t>Köln</t>
        </is>
      </c>
    </row>
    <row r="2154">
      <c r="A2154" t="inlineStr"/>
      <c r="B2154" t="inlineStr">
        <is>
          <t>Severne Psycho</t>
        </is>
      </c>
      <c r="C2154" t="inlineStr"/>
      <c r="D2154" s="3" t="n">
        <v>86</v>
      </c>
      <c r="E2154" t="inlineStr"/>
      <c r="F2154" s="4" t="n">
        <v>1099</v>
      </c>
      <c r="G2154" t="inlineStr">
        <is>
          <t>VB</t>
        </is>
      </c>
      <c r="H2154" t="inlineStr">
        <is>
          <t>47918 Tönisvorst</t>
        </is>
      </c>
      <c r="I2154" s="5" t="n">
        <v>45547</v>
      </c>
      <c r="J2154" t="inlineStr">
        <is>
          <t>Sold</t>
        </is>
      </c>
      <c r="K2154" s="6">
        <f>HYPERLINK("https://www.dailydose.de/kleinanzeigen/detail.htm?ai=422475&amp;cf=kk&amp;pg=5&amp;ci=11", "Link")</f>
        <v/>
      </c>
      <c r="L2154" s="6">
        <f>HYPERLINK("C:\Projects\Kleinanzeigen-Scraper\offer_images\422475", "Link")</f>
        <v/>
      </c>
      <c r="M2154" t="inlineStr">
        <is>
          <t>Felix Volkhardt</t>
        </is>
      </c>
      <c r="N2154" s="6">
        <f>HYPERLINK("https://www.dailydose.de/kleinanzeigen/user/8180", "Link")</f>
        <v/>
      </c>
      <c r="O2154" s="7" t="n">
        <v>45548.5497800926</v>
      </c>
      <c r="P2154" s="3" t="inlineStr">
        <is>
          <t>56.00</t>
        </is>
      </c>
      <c r="Q2154" t="inlineStr">
        <is>
          <t>Köln</t>
        </is>
      </c>
    </row>
    <row r="2155">
      <c r="A2155" t="inlineStr">
        <is>
          <t>242x73</t>
        </is>
      </c>
      <c r="B2155" t="inlineStr">
        <is>
          <t>Patrik Diethelm</t>
        </is>
      </c>
      <c r="C2155" t="inlineStr">
        <is>
          <t>Slalom</t>
        </is>
      </c>
      <c r="D2155" s="3" t="n">
        <v>115</v>
      </c>
      <c r="E2155" t="inlineStr"/>
      <c r="F2155" s="4" t="n">
        <v>790</v>
      </c>
      <c r="G2155" t="inlineStr"/>
      <c r="H2155" t="inlineStr">
        <is>
          <t>Bremen</t>
        </is>
      </c>
      <c r="I2155" s="5" t="n">
        <v>45547</v>
      </c>
      <c r="J2155" t="inlineStr">
        <is>
          <t>Sold</t>
        </is>
      </c>
      <c r="K2155" s="6">
        <f>HYPERLINK("https://www.dailydose.de/kleinanzeigen/detail.htm?ai=422480&amp;cf=kk&amp;pg=5&amp;ci=11", "Link")</f>
        <v/>
      </c>
      <c r="L2155" s="6">
        <f>HYPERLINK("C:\Projects\Kleinanzeigen-Scraper\offer_images\422480", "Link")</f>
        <v/>
      </c>
      <c r="M2155" t="inlineStr">
        <is>
          <t>Jo_150</t>
        </is>
      </c>
      <c r="N2155" s="6">
        <f>HYPERLINK("https://www.dailydose.de/kleinanzeigen/user/12342", "Link")</f>
        <v/>
      </c>
      <c r="O2155" s="7" t="n">
        <v>45548.54974537037</v>
      </c>
      <c r="P2155" s="3" t="inlineStr">
        <is>
          <t>269.36</t>
        </is>
      </c>
      <c r="Q2155" t="inlineStr">
        <is>
          <t>Köln</t>
        </is>
      </c>
    </row>
    <row r="2156">
      <c r="A2156" t="inlineStr">
        <is>
          <t>242 x 75.5</t>
        </is>
      </c>
      <c r="B2156" t="inlineStr">
        <is>
          <t>Tabou Rocket LTD</t>
        </is>
      </c>
      <c r="C2156" t="inlineStr">
        <is>
          <t>Freeride</t>
        </is>
      </c>
      <c r="D2156" s="3" t="n">
        <v>125</v>
      </c>
      <c r="E2156" t="inlineStr">
        <is>
          <t>2019</t>
        </is>
      </c>
      <c r="F2156" s="4" t="n">
        <v>840</v>
      </c>
      <c r="G2156" t="inlineStr"/>
      <c r="H2156" t="inlineStr">
        <is>
          <t>8402 Graz</t>
        </is>
      </c>
      <c r="I2156" s="5" t="n">
        <v>45548</v>
      </c>
      <c r="J2156" t="inlineStr">
        <is>
          <t>Sold</t>
        </is>
      </c>
      <c r="K2156" s="6">
        <f>HYPERLINK("https://www.dailydose.de/kleinanzeigen/detail.htm?ai=422505&amp;cf=kk&amp;pg=5&amp;ci=5", "Link")</f>
        <v/>
      </c>
      <c r="L2156" s="6">
        <f>HYPERLINK("C:\Projects\Kleinanzeigen-Scraper\offer_images\422505", "Link")</f>
        <v/>
      </c>
      <c r="M2156" t="inlineStr">
        <is>
          <t>Mario_117</t>
        </is>
      </c>
      <c r="N2156" s="6">
        <f>HYPERLINK("https://www.dailydose.de/kleinanzeigen/user/16485", "Link")</f>
        <v/>
      </c>
      <c r="O2156" s="7" t="n">
        <v>45548.54965277778</v>
      </c>
      <c r="P2156" s="3" t="inlineStr">
        <is>
          <t>313.03</t>
        </is>
      </c>
      <c r="Q2156" t="inlineStr">
        <is>
          <t>München</t>
        </is>
      </c>
    </row>
    <row r="2157">
      <c r="A2157" t="inlineStr">
        <is>
          <t>250x60 cm</t>
        </is>
      </c>
      <c r="B2157" t="inlineStr">
        <is>
          <t>Hifly Move</t>
        </is>
      </c>
      <c r="C2157" t="inlineStr"/>
      <c r="D2157" s="3" t="n">
        <v>96</v>
      </c>
      <c r="E2157" t="inlineStr"/>
      <c r="F2157" s="4" t="n">
        <v>75</v>
      </c>
      <c r="G2157" t="inlineStr"/>
      <c r="H2157" t="inlineStr">
        <is>
          <t>09117 Chemnitz - Rabenstein</t>
        </is>
      </c>
      <c r="I2157" s="5" t="n">
        <v>45547</v>
      </c>
      <c r="J2157" t="inlineStr">
        <is>
          <t>Sold</t>
        </is>
      </c>
      <c r="K2157" s="6">
        <f>HYPERLINK("https://www.kleinanzeigen.de/s-anzeige/hifly-move-96-liter-mit-boardbag-windsurfen-brett/2861149219-230-26066", "Link")</f>
        <v/>
      </c>
      <c r="L2157" s="6">
        <f>HYPERLINK("C:\Projects\Kleinanzeigen-Scraper\offer_images\2861149219", "Link")</f>
        <v/>
      </c>
      <c r="M2157" t="inlineStr">
        <is>
          <t>Frank Dittmar</t>
        </is>
      </c>
      <c r="N2157" s="6">
        <f>HYPERLINK("https://www.kleinanzeigen.de/s-bestandsliste.html?userId=9853269", "Link")</f>
        <v/>
      </c>
      <c r="O2157" s="7" t="n">
        <v>45548.54938657407</v>
      </c>
      <c r="P2157" s="3" t="inlineStr">
        <is>
          <t>312.37</t>
        </is>
      </c>
      <c r="Q2157" t="inlineStr">
        <is>
          <t>München</t>
        </is>
      </c>
    </row>
    <row r="2158">
      <c r="A2158" t="inlineStr">
        <is>
          <t>135</t>
        </is>
      </c>
      <c r="B2158" t="inlineStr">
        <is>
          <t>JP Australia Hydro Foil</t>
        </is>
      </c>
      <c r="C2158" t="inlineStr">
        <is>
          <t>Foil</t>
        </is>
      </c>
      <c r="D2158" s="3" t="inlineStr"/>
      <c r="E2158" t="inlineStr"/>
      <c r="F2158" s="4" t="n">
        <v>600</v>
      </c>
      <c r="G2158" t="inlineStr">
        <is>
          <t>VB</t>
        </is>
      </c>
      <c r="H2158" t="inlineStr">
        <is>
          <t>51147 Köln - Porz</t>
        </is>
      </c>
      <c r="I2158" s="5" t="n">
        <v>45542</v>
      </c>
      <c r="J2158" t="inlineStr"/>
      <c r="K2158" s="6">
        <f>HYPERLINK("https://www.kleinanzeigen.de/s-anzeige/jp-australia-hydro-foil-135-windsurfen-foilen-windfoilen/2856409385-230-961", "Link")</f>
        <v/>
      </c>
      <c r="L2158" s="6">
        <f>HYPERLINK("C:\Projects\Kleinanzeigen-Scraper\offer_images\2856409385", "Link")</f>
        <v/>
      </c>
      <c r="M2158" t="inlineStr">
        <is>
          <t>David Maes</t>
        </is>
      </c>
      <c r="N2158" s="6">
        <f>HYPERLINK("https://www.kleinanzeigen.de/s-bestandsliste.html?userId=34144277", "Link")</f>
        <v/>
      </c>
      <c r="O2158" s="7" t="n">
        <v>45548.54936342593</v>
      </c>
      <c r="P2158" s="3" t="inlineStr">
        <is>
          <t>14.27</t>
        </is>
      </c>
      <c r="Q2158" t="inlineStr">
        <is>
          <t>Köln</t>
        </is>
      </c>
    </row>
    <row r="2159">
      <c r="A2159" t="inlineStr"/>
      <c r="B2159" t="inlineStr">
        <is>
          <t>F2</t>
        </is>
      </c>
      <c r="C2159" t="inlineStr">
        <is>
          <t>Wave</t>
        </is>
      </c>
      <c r="D2159" s="3" t="n">
        <v>75</v>
      </c>
      <c r="E2159" t="inlineStr"/>
      <c r="F2159" s="4" t="n">
        <v>190</v>
      </c>
      <c r="G2159" t="inlineStr">
        <is>
          <t>VB</t>
        </is>
      </c>
      <c r="H2159" t="inlineStr">
        <is>
          <t>24118 Kiel - Ravensberg-Brunswik-Düsternbrook</t>
        </is>
      </c>
      <c r="I2159" s="5" t="n">
        <v>45541</v>
      </c>
      <c r="J2159" t="inlineStr">
        <is>
          <t>Sold</t>
        </is>
      </c>
      <c r="K2159" s="6">
        <f>HYPERLINK("https://www.kleinanzeigen.de/s-anzeige/windsurf-waveboard-75l/2855914674-230-704", "Link")</f>
        <v/>
      </c>
      <c r="L2159" s="6">
        <f>HYPERLINK("C:\Projects\Kleinanzeigen-Scraper\offer_images\2855914674", "Link")</f>
        <v/>
      </c>
      <c r="M2159" t="inlineStr">
        <is>
          <t>Berit Fellermann</t>
        </is>
      </c>
      <c r="N2159" s="6">
        <f>HYPERLINK("https://www.kleinanzeigen.de/s-bestandsliste.html?userId=122495755", "Link")</f>
        <v/>
      </c>
      <c r="O2159" s="7" t="n">
        <v>45548.54936342593</v>
      </c>
      <c r="P2159" s="3" t="inlineStr">
        <is>
          <t>434.29</t>
        </is>
      </c>
      <c r="Q2159" t="inlineStr">
        <is>
          <t>Köln</t>
        </is>
      </c>
    </row>
    <row r="2160">
      <c r="A2160" t="inlineStr">
        <is>
          <t>10'7"</t>
        </is>
      </c>
      <c r="B2160" t="inlineStr">
        <is>
          <t>UNIFIBER Oxygen iWindSup</t>
        </is>
      </c>
      <c r="C2160" t="inlineStr">
        <is>
          <t>Wind-SUP</t>
        </is>
      </c>
      <c r="D2160" s="3" t="n">
        <v>266</v>
      </c>
      <c r="E2160" t="inlineStr"/>
      <c r="F2160" s="4" t="n">
        <v>529</v>
      </c>
      <c r="G2160" t="inlineStr">
        <is>
          <t>VB</t>
        </is>
      </c>
      <c r="H2160" t="inlineStr">
        <is>
          <t>25836 Schleswig-Holstein - Garding, Kirchspiel</t>
        </is>
      </c>
      <c r="I2160" s="5" t="n">
        <v>45542</v>
      </c>
      <c r="J2160" t="inlineStr">
        <is>
          <t>Sold</t>
        </is>
      </c>
      <c r="K2160" s="6">
        <f>HYPERLINK("https://www.kleinanzeigen.de/s-anzeige/unifiber-wind-sup-zum-wingsurfen-windsurfen-stand-up-paddling/2856454513-230-27189", "Link")</f>
        <v/>
      </c>
      <c r="L2160" s="6">
        <f>HYPERLINK("C:\Projects\Kleinanzeigen-Scraper\offer_images\2856454513", "Link")</f>
        <v/>
      </c>
      <c r="M2160" t="inlineStr">
        <is>
          <t>KITE-POWER-SHOP</t>
        </is>
      </c>
      <c r="N2160" s="6">
        <f>HYPERLINK("https://www.kleinanzeigen.de/s-bestandsliste.html?userId=122188388", "Link")</f>
        <v/>
      </c>
      <c r="O2160" s="7" t="n">
        <v>45548.54929398148</v>
      </c>
      <c r="P2160" s="3" t="inlineStr">
        <is>
          <t>396.77</t>
        </is>
      </c>
      <c r="Q2160" t="inlineStr">
        <is>
          <t>Köln</t>
        </is>
      </c>
    </row>
    <row r="2161">
      <c r="A2161" t="inlineStr"/>
      <c r="B2161" t="inlineStr">
        <is>
          <t>Drops</t>
        </is>
      </c>
      <c r="C2161" t="inlineStr">
        <is>
          <t>Freeride</t>
        </is>
      </c>
      <c r="D2161" s="3" t="n">
        <v>98</v>
      </c>
      <c r="E2161" t="inlineStr"/>
      <c r="F2161" s="4" t="n">
        <v>98</v>
      </c>
      <c r="G2161" t="inlineStr">
        <is>
          <t>VB</t>
        </is>
      </c>
      <c r="H2161" t="inlineStr">
        <is>
          <t>40221 Düsseldorf - Unterbilk</t>
        </is>
      </c>
      <c r="I2161" s="5" t="n">
        <v>45547</v>
      </c>
      <c r="J2161" t="inlineStr">
        <is>
          <t>Sold</t>
        </is>
      </c>
      <c r="K2161" s="6">
        <f>HYPERLINK("https://www.kleinanzeigen.de/s-anzeige/windsurf-board-drops-freeride-98-l-glaube-ich-zu-wissen-pb-sy/2861083497-230-29950", "Link")</f>
        <v/>
      </c>
      <c r="L2161" s="6">
        <f>HYPERLINK("C:\Projects\Kleinanzeigen-Scraper\offer_images\2861083497", "Link")</f>
        <v/>
      </c>
      <c r="M2161" t="inlineStr">
        <is>
          <t>So_oder_So</t>
        </is>
      </c>
      <c r="N2161" s="6">
        <f>HYPERLINK("https://www.kleinanzeigen.de/s-bestandsliste.html?userId=62512814", "Link")</f>
        <v/>
      </c>
      <c r="O2161" s="7" t="n">
        <v>45548.54905092593</v>
      </c>
      <c r="P2161" s="3" t="inlineStr">
        <is>
          <t>32.31</t>
        </is>
      </c>
      <c r="Q2161" t="inlineStr">
        <is>
          <t>Köln</t>
        </is>
      </c>
    </row>
    <row r="2162">
      <c r="A2162" t="inlineStr">
        <is>
          <t>354 cm x 83 cm x 15 cm</t>
        </is>
      </c>
      <c r="B2162" t="inlineStr">
        <is>
          <t>F2 CRUISE TEAM</t>
        </is>
      </c>
      <c r="C2162" t="inlineStr">
        <is>
          <t>Inflatable SUP with Windsurf Option</t>
        </is>
      </c>
      <c r="D2162" s="3" t="inlineStr"/>
      <c r="E2162" t="inlineStr"/>
      <c r="F2162" s="4" t="n">
        <v>375</v>
      </c>
      <c r="G2162" t="inlineStr"/>
      <c r="H2162" t="inlineStr">
        <is>
          <t>95028 Bayern - Hof (Saale)</t>
        </is>
      </c>
      <c r="I2162" s="5" t="n">
        <v>45547</v>
      </c>
      <c r="J2162" t="inlineStr">
        <is>
          <t>Sold</t>
        </is>
      </c>
      <c r="K2162" s="6">
        <f>HYPERLINK("https://www.kleinanzeigen.de/s-anzeige/f2-cruise-team-windsurf-hft-inflatable-sup-set-11-6-testboard/2835761622-230-7244", "Link")</f>
        <v/>
      </c>
      <c r="L2162" s="6">
        <f>HYPERLINK("C:\Projects\Kleinanzeigen-Scraper\offer_images\2835761622", "Link")</f>
        <v/>
      </c>
      <c r="M2162" t="inlineStr">
        <is>
          <t>No user name</t>
        </is>
      </c>
      <c r="N2162" s="6">
        <f>HYPERLINK("https://www.kleinanzeigen.deNo user link", "Link")</f>
        <v/>
      </c>
      <c r="O2162" s="7" t="n">
        <v>45548.54903935185</v>
      </c>
      <c r="P2162" s="3" t="inlineStr">
        <is>
          <t>244.83</t>
        </is>
      </c>
      <c r="Q2162" t="inlineStr">
        <is>
          <t>München</t>
        </is>
      </c>
    </row>
    <row r="2163">
      <c r="A2163" t="inlineStr">
        <is>
          <t>259 cm x 60 cm</t>
        </is>
      </c>
      <c r="B2163" t="inlineStr">
        <is>
          <t>F2 Max 2 Air</t>
        </is>
      </c>
      <c r="C2163" t="inlineStr">
        <is>
          <t>Freeride</t>
        </is>
      </c>
      <c r="D2163" s="3" t="n">
        <v>100</v>
      </c>
      <c r="E2163" t="inlineStr"/>
      <c r="F2163" s="4" t="n">
        <v>69</v>
      </c>
      <c r="G2163" t="inlineStr"/>
      <c r="H2163" t="inlineStr">
        <is>
          <t>71394 Baden-Württemberg - Kernen im Remstal</t>
        </is>
      </c>
      <c r="I2163" s="5" t="n">
        <v>45547</v>
      </c>
      <c r="J2163" t="inlineStr">
        <is>
          <t>Sold</t>
        </is>
      </c>
      <c r="K2163" s="6">
        <f>HYPERLINK("https://www.kleinanzeigen.de/s-anzeige/windsurfen-board-f2-max-2-air-100-l/2861347020-230-8383", "Link")</f>
        <v/>
      </c>
      <c r="L2163" s="6">
        <f>HYPERLINK("C:\Projects\Kleinanzeigen-Scraper\offer_images\2861347020", "Link")</f>
        <v/>
      </c>
      <c r="M2163" t="inlineStr">
        <is>
          <t>Thomas Bezler</t>
        </is>
      </c>
      <c r="N2163" s="6">
        <f>HYPERLINK("https://www.kleinanzeigen.de/s-bestandsliste.html?userId=31103849", "Link")</f>
        <v/>
      </c>
      <c r="O2163" s="7" t="n">
        <v>45548.54903935185</v>
      </c>
      <c r="P2163" s="3" t="inlineStr">
        <is>
          <t>29.07</t>
        </is>
      </c>
      <c r="Q2163" t="inlineStr">
        <is>
          <t>Böblingen</t>
        </is>
      </c>
    </row>
    <row r="2164">
      <c r="A2164" t="inlineStr">
        <is>
          <t>Dimensions not specified</t>
        </is>
      </c>
      <c r="B2164" t="inlineStr">
        <is>
          <t>JP</t>
        </is>
      </c>
      <c r="C2164" t="inlineStr">
        <is>
          <t>Freeride</t>
        </is>
      </c>
      <c r="D2164" s="3" t="n">
        <v>115</v>
      </c>
      <c r="E2164" t="inlineStr"/>
      <c r="F2164" s="4" t="n">
        <v>175</v>
      </c>
      <c r="G2164" t="inlineStr">
        <is>
          <t>VB</t>
        </is>
      </c>
      <c r="H2164" t="inlineStr">
        <is>
          <t>40221 Düsseldorf - Unterbilk</t>
        </is>
      </c>
      <c r="I2164" s="5" t="n">
        <v>45547</v>
      </c>
      <c r="J2164" t="inlineStr">
        <is>
          <t>Sold</t>
        </is>
      </c>
      <c r="K2164" s="6">
        <f>HYPERLINK("https://www.kleinanzeigen.de/s-anzeige/windsurf-board-jp-freeride-115-l-pb-system/2861079091-230-29950", "Link")</f>
        <v/>
      </c>
      <c r="L2164" s="6">
        <f>HYPERLINK("C:\Projects\Kleinanzeigen-Scraper\offer_images\2861079091", "Link")</f>
        <v/>
      </c>
      <c r="M2164" t="inlineStr">
        <is>
          <t>So_oder_So</t>
        </is>
      </c>
      <c r="N2164" s="6">
        <f>HYPERLINK("https://www.kleinanzeigen.de/s-bestandsliste.html?userId=62512814", "Link")</f>
        <v/>
      </c>
      <c r="O2164" s="7" t="n">
        <v>45548.54893518519</v>
      </c>
      <c r="P2164" s="3" t="inlineStr">
        <is>
          <t>32.31</t>
        </is>
      </c>
      <c r="Q2164" t="inlineStr">
        <is>
          <t>Köln</t>
        </is>
      </c>
    </row>
    <row r="2165">
      <c r="A2165" t="inlineStr">
        <is>
          <t>112</t>
        </is>
      </c>
      <c r="B2165" t="inlineStr">
        <is>
          <t>JP Young Gun Magic Ride</t>
        </is>
      </c>
      <c r="C2165" t="inlineStr">
        <is>
          <t>Freeride</t>
        </is>
      </c>
      <c r="D2165" s="3" t="inlineStr"/>
      <c r="E2165" t="inlineStr">
        <is>
          <t>2024</t>
        </is>
      </c>
      <c r="F2165" s="4" t="n">
        <v>1.299</v>
      </c>
      <c r="G2165" t="inlineStr">
        <is>
          <t>VB</t>
        </is>
      </c>
      <c r="H2165" t="inlineStr">
        <is>
          <t>82319 Bayern - Starnberg</t>
        </is>
      </c>
      <c r="I2165" s="5" t="n">
        <v>45547</v>
      </c>
      <c r="J2165" t="inlineStr">
        <is>
          <t>Sold</t>
        </is>
      </c>
      <c r="K2165" s="6">
        <f>HYPERLINK("https://www.kleinanzeigen.de/s-anzeige/jp-young-gun-magic-ride-windsurf-board/2836162087-230-5525", "Link")</f>
        <v/>
      </c>
      <c r="L2165" s="6">
        <f>HYPERLINK("C:\Projects\Kleinanzeigen-Scraper\offer_images\2836162087", "Link")</f>
        <v/>
      </c>
      <c r="M2165" t="inlineStr">
        <is>
          <t>No user name</t>
        </is>
      </c>
      <c r="N2165" s="6">
        <f>HYPERLINK("https://www.kleinanzeigen.deNo user link", "Link")</f>
        <v/>
      </c>
      <c r="O2165" s="7" t="n">
        <v>45548.54887731482</v>
      </c>
      <c r="P2165" s="3" t="inlineStr">
        <is>
          <t>23.17</t>
        </is>
      </c>
      <c r="Q2165" t="inlineStr">
        <is>
          <t>München</t>
        </is>
      </c>
    </row>
    <row r="2166">
      <c r="A2166" t="inlineStr">
        <is>
          <t>95</t>
        </is>
      </c>
      <c r="B2166" t="inlineStr">
        <is>
          <t>Puls MAG (ALLWAVE)</t>
        </is>
      </c>
      <c r="C2166" t="inlineStr"/>
      <c r="D2166" s="3" t="inlineStr"/>
      <c r="E2166" t="inlineStr"/>
      <c r="F2166" s="4" t="n">
        <v>950</v>
      </c>
      <c r="G2166" t="inlineStr">
        <is>
          <t>VB</t>
        </is>
      </c>
      <c r="H2166" t="inlineStr">
        <is>
          <t>24118 Kiel - Ravensberg-Brunswik-Düsternbrook</t>
        </is>
      </c>
      <c r="I2166" s="5" t="n">
        <v>45543</v>
      </c>
      <c r="J2166" t="inlineStr">
        <is>
          <t>Sold</t>
        </is>
      </c>
      <c r="K2166" s="6">
        <f>HYPERLINK("https://www.kleinanzeigen.de/s-anzeige/puls-mag-95-windsurf-board-custom-surfboard/2857898862-84-704", "Link")</f>
        <v/>
      </c>
      <c r="L2166" s="6">
        <f>HYPERLINK("C:\Projects\Kleinanzeigen-Scraper\offer_images\2857898862", "Link")</f>
        <v/>
      </c>
      <c r="M2166" t="inlineStr">
        <is>
          <t>Raphael</t>
        </is>
      </c>
      <c r="N2166" s="6">
        <f>HYPERLINK("https://www.kleinanzeigen.de/s-bestandsliste.html?userId=25473199", "Link")</f>
        <v/>
      </c>
      <c r="O2166" s="7" t="n">
        <v>45548.54883101852</v>
      </c>
      <c r="P2166" s="3" t="inlineStr">
        <is>
          <t>434.29</t>
        </is>
      </c>
      <c r="Q2166" t="inlineStr">
        <is>
          <t>Köln</t>
        </is>
      </c>
    </row>
    <row r="2167">
      <c r="A2167" t="inlineStr">
        <is>
          <t>365cm x 67cm</t>
        </is>
      </c>
      <c r="B2167" t="inlineStr"/>
      <c r="C2167" t="inlineStr">
        <is>
          <t>SUP</t>
        </is>
      </c>
      <c r="D2167" s="3" t="inlineStr"/>
      <c r="E2167" t="inlineStr"/>
      <c r="F2167" s="4" t="n">
        <v>75</v>
      </c>
      <c r="G2167" t="inlineStr">
        <is>
          <t>VB</t>
        </is>
      </c>
      <c r="H2167" t="inlineStr">
        <is>
          <t>12589 Berlin - Köpenick</t>
        </is>
      </c>
      <c r="I2167" s="5" t="n">
        <v>45547</v>
      </c>
      <c r="J2167" t="inlineStr">
        <is>
          <t>Sold</t>
        </is>
      </c>
      <c r="K2167" s="6">
        <f>HYPERLINK("https://www.kleinanzeigen.de/s-anzeige/windsurf-sup-standup-paddle-board/2861443420-230-3373", "Link")</f>
        <v/>
      </c>
      <c r="L2167" s="6">
        <f>HYPERLINK("C:\Projects\Kleinanzeigen-Scraper\offer_images\2861443420", "Link")</f>
        <v/>
      </c>
      <c r="M2167" t="inlineStr">
        <is>
          <t>Andreas</t>
        </is>
      </c>
      <c r="N2167" s="6">
        <f>HYPERLINK("https://www.kleinanzeigen.de/s-bestandsliste.html?userId=11252100", "Link")</f>
        <v/>
      </c>
      <c r="O2167" s="7" t="n">
        <v>45548.54880787037</v>
      </c>
      <c r="P2167" s="3" t="inlineStr">
        <is>
          <t>494.39</t>
        </is>
      </c>
      <c r="Q2167" t="inlineStr">
        <is>
          <t>Köln</t>
        </is>
      </c>
    </row>
    <row r="2168">
      <c r="A2168" t="inlineStr">
        <is>
          <t>2.34m x 0.68m</t>
        </is>
      </c>
      <c r="B2168" t="inlineStr">
        <is>
          <t>JP Super Ride 116 ES</t>
        </is>
      </c>
      <c r="C2168" t="inlineStr">
        <is>
          <t>Freeride</t>
        </is>
      </c>
      <c r="D2168" s="3" t="n">
        <v>116</v>
      </c>
      <c r="E2168" t="inlineStr">
        <is>
          <t>2019</t>
        </is>
      </c>
      <c r="F2168" s="4" t="n">
        <v>270</v>
      </c>
      <c r="G2168" t="inlineStr"/>
      <c r="H2168" t="inlineStr">
        <is>
          <t>23775 Großenbrode</t>
        </is>
      </c>
      <c r="I2168" s="5" t="n">
        <v>45547</v>
      </c>
      <c r="J2168" t="inlineStr">
        <is>
          <t>Sold</t>
        </is>
      </c>
      <c r="K2168" s="6">
        <f>HYPERLINK("https://www.dailydose.de/kleinanzeigen/detail.htm?ai=422436&amp;cf=kk&amp;pg=1&amp;ci=11", "Link")</f>
        <v/>
      </c>
      <c r="L2168" s="6">
        <f>HYPERLINK("C:\Projects\Kleinanzeigen-Scraper\offer_images\422436", "Link")</f>
        <v/>
      </c>
      <c r="M2168" t="inlineStr">
        <is>
          <t>Holger_156</t>
        </is>
      </c>
      <c r="N2168" s="6">
        <f>HYPERLINK("https://www.dailydose.de/kleinanzeigen/user/10571", "Link")</f>
        <v/>
      </c>
      <c r="O2168" s="7" t="n">
        <v>45547.55546296296</v>
      </c>
      <c r="P2168" s="3" t="inlineStr">
        <is>
          <t>471.97</t>
        </is>
      </c>
      <c r="Q2168" t="inlineStr">
        <is>
          <t>Köln</t>
        </is>
      </c>
    </row>
    <row r="2169">
      <c r="A2169" t="inlineStr"/>
      <c r="B2169" t="inlineStr">
        <is>
          <t>Starboard Freefoil</t>
        </is>
      </c>
      <c r="C2169" t="inlineStr">
        <is>
          <t>Freeride</t>
        </is>
      </c>
      <c r="D2169" s="3" t="n">
        <v>125</v>
      </c>
      <c r="E2169" t="inlineStr">
        <is>
          <t>2023</t>
        </is>
      </c>
      <c r="F2169" s="4" t="n">
        <v>700</v>
      </c>
      <c r="G2169" t="inlineStr">
        <is>
          <t>VB</t>
        </is>
      </c>
      <c r="H2169" t="inlineStr">
        <is>
          <t>52080 Aachen</t>
        </is>
      </c>
      <c r="I2169" s="5" t="n">
        <v>45546</v>
      </c>
      <c r="J2169" t="inlineStr">
        <is>
          <t>Sold</t>
        </is>
      </c>
      <c r="K2169" s="6">
        <f>HYPERLINK("https://www.dailydose.de/kleinanzeigen/detail.htm?ai=422414&amp;cf=kk&amp;pg=5&amp;ci=11", "Link")</f>
        <v/>
      </c>
      <c r="L2169" s="6">
        <f>HYPERLINK("C:\Projects\Kleinanzeigen-Scraper\offer_images\422414", "Link")</f>
        <v/>
      </c>
      <c r="M2169" t="inlineStr">
        <is>
          <t>Ralf_14</t>
        </is>
      </c>
      <c r="N2169" s="6">
        <f>HYPERLINK("https://www.dailydose.de/kleinanzeigen/user/10502", "Link")</f>
        <v/>
      </c>
      <c r="O2169" s="7" t="n">
        <v>45547.5553125</v>
      </c>
      <c r="P2169" s="3" t="inlineStr">
        <is>
          <t>58.05</t>
        </is>
      </c>
      <c r="Q2169" t="inlineStr">
        <is>
          <t>Köln</t>
        </is>
      </c>
    </row>
    <row r="2170">
      <c r="A2170" t="inlineStr">
        <is>
          <t>242 x 75.5</t>
        </is>
      </c>
      <c r="B2170" t="inlineStr">
        <is>
          <t>Tabou Rocket LTD</t>
        </is>
      </c>
      <c r="C2170" t="inlineStr">
        <is>
          <t>Freeride</t>
        </is>
      </c>
      <c r="D2170" s="3" t="n">
        <v>125</v>
      </c>
      <c r="E2170" t="inlineStr">
        <is>
          <t>2022</t>
        </is>
      </c>
      <c r="F2170" s="4" t="n">
        <v>860</v>
      </c>
      <c r="G2170" t="inlineStr"/>
      <c r="H2170" t="inlineStr">
        <is>
          <t>8402 Graz</t>
        </is>
      </c>
      <c r="I2170" s="5" t="n">
        <v>45547</v>
      </c>
      <c r="J2170" t="inlineStr">
        <is>
          <t>Sold</t>
        </is>
      </c>
      <c r="K2170" s="6">
        <f>HYPERLINK("https://www.dailydose.de/kleinanzeigen/detail.htm?ai=422459&amp;cf=kk&amp;pg=1&amp;ci=11", "Link")</f>
        <v/>
      </c>
      <c r="L2170" s="6">
        <f>HYPERLINK("C:\Projects\Kleinanzeigen-Scraper\offer_images\422459", "Link")</f>
        <v/>
      </c>
      <c r="M2170" t="inlineStr">
        <is>
          <t>Mario_117</t>
        </is>
      </c>
      <c r="N2170" s="6">
        <f>HYPERLINK("https://www.dailydose.de/kleinanzeigen/user/16485", "Link")</f>
        <v/>
      </c>
      <c r="O2170" s="7" t="n">
        <v>45547.55502314815</v>
      </c>
      <c r="P2170" s="3" t="inlineStr">
        <is>
          <t>313.03</t>
        </is>
      </c>
      <c r="Q2170" t="inlineStr">
        <is>
          <t>München</t>
        </is>
      </c>
    </row>
    <row r="2171">
      <c r="A2171" t="inlineStr">
        <is>
          <t>85</t>
        </is>
      </c>
      <c r="B2171" t="inlineStr">
        <is>
          <t>JP Freestyle Wave</t>
        </is>
      </c>
      <c r="C2171" t="inlineStr">
        <is>
          <t>Freestyle Wave</t>
        </is>
      </c>
      <c r="D2171" s="3" t="inlineStr"/>
      <c r="E2171" t="inlineStr"/>
      <c r="F2171" s="4" t="n">
        <v>450</v>
      </c>
      <c r="G2171" t="inlineStr"/>
      <c r="H2171" t="inlineStr">
        <is>
          <t>13467 Berlin</t>
        </is>
      </c>
      <c r="I2171" s="5" t="n">
        <v>45546</v>
      </c>
      <c r="J2171" t="inlineStr">
        <is>
          <t>Sold</t>
        </is>
      </c>
      <c r="K2171" s="6">
        <f>HYPERLINK("https://www.dailydose.de/kleinanzeigen/detail.htm?ai=422408&amp;cf=kk&amp;pg=2&amp;ci=11", "Link")</f>
        <v/>
      </c>
      <c r="L2171" s="6">
        <f>HYPERLINK("C:\Projects\Kleinanzeigen-Scraper\offer_images\422408", "Link")</f>
        <v/>
      </c>
      <c r="M2171" t="inlineStr">
        <is>
          <t>Rainer_39</t>
        </is>
      </c>
      <c r="N2171" s="6">
        <f>HYPERLINK("https://www.dailydose.de/kleinanzeigen/user/19594", "Link")</f>
        <v/>
      </c>
      <c r="O2171" s="7" t="n">
        <v>45547.55502314815</v>
      </c>
      <c r="P2171" s="3" t="inlineStr">
        <is>
          <t>474.84</t>
        </is>
      </c>
      <c r="Q2171" t="inlineStr">
        <is>
          <t>Köln</t>
        </is>
      </c>
    </row>
    <row r="2172">
      <c r="A2172" t="inlineStr">
        <is>
          <t>232cm x 85cm</t>
        </is>
      </c>
      <c r="B2172" t="inlineStr">
        <is>
          <t>Tabou Manta</t>
        </is>
      </c>
      <c r="C2172" t="inlineStr">
        <is>
          <t>Slalom</t>
        </is>
      </c>
      <c r="D2172" s="3" t="n">
        <v>135</v>
      </c>
      <c r="E2172" t="inlineStr"/>
      <c r="F2172" s="4" t="n">
        <v>720</v>
      </c>
      <c r="G2172" t="inlineStr"/>
      <c r="H2172" t="inlineStr">
        <is>
          <t>59846 Sundern</t>
        </is>
      </c>
      <c r="I2172" s="5" t="n">
        <v>45546</v>
      </c>
      <c r="J2172" t="inlineStr">
        <is>
          <t>Sold</t>
        </is>
      </c>
      <c r="K2172" s="6">
        <f>HYPERLINK("https://www.dailydose.de/kleinanzeigen/detail.htm?ai=422418&amp;cf=kk&amp;pg=5&amp;ci=11", "Link")</f>
        <v/>
      </c>
      <c r="L2172" s="6">
        <f>HYPERLINK("C:\Projects\Kleinanzeigen-Scraper\offer_images\422418", "Link")</f>
        <v/>
      </c>
      <c r="M2172" t="inlineStr">
        <is>
          <t>Lucas G</t>
        </is>
      </c>
      <c r="N2172" s="6">
        <f>HYPERLINK("https://www.dailydose.de/kleinanzeigen/user/9510", "Link")</f>
        <v/>
      </c>
      <c r="O2172" s="7" t="n">
        <v>45547.55479166667</v>
      </c>
      <c r="P2172" s="3" t="inlineStr">
        <is>
          <t>82.38</t>
        </is>
      </c>
      <c r="Q2172" t="inlineStr">
        <is>
          <t>Köln</t>
        </is>
      </c>
    </row>
    <row r="2173">
      <c r="A2173" t="inlineStr">
        <is>
          <t>245x64</t>
        </is>
      </c>
      <c r="B2173" t="inlineStr">
        <is>
          <t>Rocket</t>
        </is>
      </c>
      <c r="C2173" t="inlineStr">
        <is>
          <t>Freeride</t>
        </is>
      </c>
      <c r="D2173" s="3" t="n">
        <v>115</v>
      </c>
      <c r="E2173" t="inlineStr"/>
      <c r="F2173" s="4" t="n">
        <v>250</v>
      </c>
      <c r="G2173" t="inlineStr"/>
      <c r="H2173" t="inlineStr">
        <is>
          <t>12526 BERLIN</t>
        </is>
      </c>
      <c r="I2173" s="5" t="n">
        <v>45547</v>
      </c>
      <c r="J2173" t="inlineStr">
        <is>
          <t>Sold</t>
        </is>
      </c>
      <c r="K2173" s="6">
        <f>HYPERLINK("https://www.dailydose.de/kleinanzeigen/detail.htm?ai=422460&amp;cf=kk&amp;pg=5&amp;ci=11", "Link")</f>
        <v/>
      </c>
      <c r="L2173" s="6">
        <f>HYPERLINK("C:\Projects\Kleinanzeigen-Scraper\offer_images\422460", "Link")</f>
        <v/>
      </c>
      <c r="M2173" t="inlineStr">
        <is>
          <t>surfi_159</t>
        </is>
      </c>
      <c r="N2173" s="6">
        <f>HYPERLINK("https://www.dailydose.de/kleinanzeigen/user/17564", "Link")</f>
        <v/>
      </c>
      <c r="O2173" s="7" t="n">
        <v>45547.55466435185</v>
      </c>
      <c r="P2173" s="3" t="inlineStr">
        <is>
          <t>484.42</t>
        </is>
      </c>
      <c r="Q2173" t="inlineStr">
        <is>
          <t>Köln</t>
        </is>
      </c>
    </row>
    <row r="2174">
      <c r="A2174" t="inlineStr">
        <is>
          <t>122</t>
        </is>
      </c>
      <c r="B2174" t="inlineStr">
        <is>
          <t>JP Supersport Wood Pro</t>
        </is>
      </c>
      <c r="C2174" t="inlineStr">
        <is>
          <t>Freeride</t>
        </is>
      </c>
      <c r="D2174" s="3" t="n">
        <v>122</v>
      </c>
      <c r="E2174" t="inlineStr">
        <is>
          <t>2024</t>
        </is>
      </c>
      <c r="F2174" s="4" t="n">
        <v>1750</v>
      </c>
      <c r="G2174" t="inlineStr"/>
      <c r="H2174" t="inlineStr">
        <is>
          <t>50171 Kerpen</t>
        </is>
      </c>
      <c r="I2174" s="5" t="n">
        <v>45547</v>
      </c>
      <c r="J2174" t="inlineStr">
        <is>
          <t>Sold</t>
        </is>
      </c>
      <c r="K2174" s="6">
        <f>HYPERLINK("https://www.dailydose.de/kleinanzeigen/detail.htm?ai=422450&amp;cf=kk&amp;pg=1&amp;ci=11", "Link")</f>
        <v/>
      </c>
      <c r="L2174" s="6">
        <f>HYPERLINK("C:\Projects\Kleinanzeigen-Scraper\offer_images\422450", "Link")</f>
        <v/>
      </c>
      <c r="M2174" t="inlineStr">
        <is>
          <t>J_3</t>
        </is>
      </c>
      <c r="N2174" s="6">
        <f>HYPERLINK("https://www.dailydose.de/kleinanzeigen/user/12693", "Link")</f>
        <v/>
      </c>
      <c r="O2174" s="7" t="n">
        <v>45547.55462962963</v>
      </c>
      <c r="P2174" s="3" t="inlineStr">
        <is>
          <t>21.83</t>
        </is>
      </c>
      <c r="Q2174" t="inlineStr">
        <is>
          <t>Köln</t>
        </is>
      </c>
    </row>
    <row r="2175">
      <c r="A2175" t="inlineStr">
        <is>
          <t>239 x 52.5</t>
        </is>
      </c>
      <c r="B2175" t="inlineStr">
        <is>
          <t>Tabou Da Curve</t>
        </is>
      </c>
      <c r="C2175" t="inlineStr">
        <is>
          <t>Wave</t>
        </is>
      </c>
      <c r="D2175" s="3" t="n">
        <v>73</v>
      </c>
      <c r="E2175" t="inlineStr"/>
      <c r="F2175" s="4" t="n">
        <v>180</v>
      </c>
      <c r="G2175" t="inlineStr"/>
      <c r="H2175" t="inlineStr">
        <is>
          <t>12527 Berlin</t>
        </is>
      </c>
      <c r="I2175" s="5" t="n">
        <v>45546</v>
      </c>
      <c r="J2175" t="inlineStr">
        <is>
          <t>Sold</t>
        </is>
      </c>
      <c r="K2175" s="6">
        <f>HYPERLINK("https://www.dailydose.de/kleinanzeigen/detail.htm?ai=422397&amp;cf=kk&amp;pg=5&amp;ci=11", "Link")</f>
        <v/>
      </c>
      <c r="L2175" s="6">
        <f>HYPERLINK("C:\Projects\Kleinanzeigen-Scraper\offer_images\422397", "Link")</f>
        <v/>
      </c>
      <c r="M2175" t="inlineStr">
        <is>
          <t>newt3</t>
        </is>
      </c>
      <c r="N2175" s="6">
        <f>HYPERLINK("https://www.dailydose.de/kleinanzeigen/user/22148", "Link")</f>
        <v/>
      </c>
      <c r="O2175" s="7" t="n">
        <v>45547.55421296296</v>
      </c>
      <c r="P2175" s="3" t="inlineStr">
        <is>
          <t>487.71</t>
        </is>
      </c>
      <c r="Q2175" t="inlineStr">
        <is>
          <t>Köln</t>
        </is>
      </c>
    </row>
    <row r="2176">
      <c r="A2176" t="inlineStr">
        <is>
          <t>228 x 72</t>
        </is>
      </c>
      <c r="B2176" t="inlineStr">
        <is>
          <t>Starboard iSONIC</t>
        </is>
      </c>
      <c r="C2176" t="inlineStr">
        <is>
          <t>Slalom</t>
        </is>
      </c>
      <c r="D2176" s="3" t="n">
        <v>121</v>
      </c>
      <c r="E2176" t="inlineStr">
        <is>
          <t>2021</t>
        </is>
      </c>
      <c r="F2176" s="4" t="n">
        <v>1390</v>
      </c>
      <c r="G2176" t="inlineStr"/>
      <c r="H2176" t="inlineStr">
        <is>
          <t>22147 Hamburg</t>
        </is>
      </c>
      <c r="I2176" s="5" t="n">
        <v>45546</v>
      </c>
      <c r="J2176" t="inlineStr">
        <is>
          <t>Sold</t>
        </is>
      </c>
      <c r="K2176" s="6">
        <f>HYPERLINK("https://www.dailydose.de/kleinanzeigen/detail.htm?ai=422416&amp;cf=kk&amp;pg=5&amp;ci=11", "Link")</f>
        <v/>
      </c>
      <c r="L2176" s="6">
        <f>HYPERLINK("C:\Projects\Kleinanzeigen-Scraper\offer_images\422416", "Link")</f>
        <v/>
      </c>
      <c r="M2176" t="inlineStr">
        <is>
          <t>Dressen</t>
        </is>
      </c>
      <c r="N2176" s="6">
        <f>HYPERLINK("https://www.dailydose.de/kleinanzeigen/user/26391", "Link")</f>
        <v/>
      </c>
      <c r="O2176" s="7" t="n">
        <v>45547.55405092592</v>
      </c>
      <c r="P2176" s="3" t="inlineStr">
        <is>
          <t>367.83</t>
        </is>
      </c>
      <c r="Q2176" t="inlineStr">
        <is>
          <t>Köln</t>
        </is>
      </c>
    </row>
    <row r="2177">
      <c r="A2177" t="inlineStr">
        <is>
          <t>378 cm x 68 cm x 20 cm</t>
        </is>
      </c>
      <c r="B2177" t="inlineStr">
        <is>
          <t>Unifiber Proteus</t>
        </is>
      </c>
      <c r="C2177" t="inlineStr">
        <is>
          <t>Raceboard</t>
        </is>
      </c>
      <c r="D2177" s="3" t="n">
        <v>316</v>
      </c>
      <c r="E2177" t="inlineStr"/>
      <c r="F2177" s="4" t="n">
        <v>2995</v>
      </c>
      <c r="G2177" t="inlineStr"/>
      <c r="H2177" t="inlineStr">
        <is>
          <t>22851 Norderstedt</t>
        </is>
      </c>
      <c r="I2177" s="5" t="n">
        <v>45546</v>
      </c>
      <c r="J2177" t="inlineStr">
        <is>
          <t>Sold</t>
        </is>
      </c>
      <c r="K2177" s="6">
        <f>HYPERLINK("https://www.dailydose.de/kleinanzeigen/detail.htm?ai=422415&amp;cf=kk&amp;pg=5&amp;ci=11", "Link")</f>
        <v/>
      </c>
      <c r="L2177" s="6">
        <f>HYPERLINK("C:\Projects\Kleinanzeigen-Scraper\offer_images\422415", "Link")</f>
        <v/>
      </c>
      <c r="M2177" t="inlineStr">
        <is>
          <t>Suse_91</t>
        </is>
      </c>
      <c r="N2177" s="6">
        <f>HYPERLINK("https://www.dailydose.de/kleinanzeigen/user/21775", "Link")</f>
        <v/>
      </c>
      <c r="O2177" s="7" t="n">
        <v>45547.55387731481</v>
      </c>
      <c r="P2177" s="3" t="inlineStr">
        <is>
          <t>372.21</t>
        </is>
      </c>
      <c r="Q2177" t="inlineStr">
        <is>
          <t>Köln</t>
        </is>
      </c>
    </row>
    <row r="2178">
      <c r="A2178" t="inlineStr">
        <is>
          <t>248 x 68 cm</t>
        </is>
      </c>
      <c r="B2178" t="inlineStr">
        <is>
          <t>Exocet SCross PRO</t>
        </is>
      </c>
      <c r="C2178" t="inlineStr">
        <is>
          <t>FreeRace/FreeRide</t>
        </is>
      </c>
      <c r="D2178" s="3" t="n">
        <v>115</v>
      </c>
      <c r="E2178" t="inlineStr"/>
      <c r="F2178" s="4" t="n">
        <v>450</v>
      </c>
      <c r="G2178" t="inlineStr"/>
      <c r="H2178" t="inlineStr">
        <is>
          <t>12527 Berlin</t>
        </is>
      </c>
      <c r="I2178" s="5" t="n">
        <v>45546</v>
      </c>
      <c r="J2178" t="inlineStr">
        <is>
          <t>Sold</t>
        </is>
      </c>
      <c r="K2178" s="6">
        <f>HYPERLINK("https://www.dailydose.de/kleinanzeigen/detail.htm?ai=422396&amp;cf=kk&amp;pg=5&amp;ci=11", "Link")</f>
        <v/>
      </c>
      <c r="L2178" s="6">
        <f>HYPERLINK("C:\Projects\Kleinanzeigen-Scraper\offer_images\422396", "Link")</f>
        <v/>
      </c>
      <c r="M2178" t="inlineStr">
        <is>
          <t>newt3</t>
        </is>
      </c>
      <c r="N2178" s="6">
        <f>HYPERLINK("https://www.dailydose.de/kleinanzeigen/user/22148", "Link")</f>
        <v/>
      </c>
      <c r="O2178" s="7" t="n">
        <v>45547.55369212963</v>
      </c>
      <c r="P2178" s="3" t="inlineStr">
        <is>
          <t>487.71</t>
        </is>
      </c>
      <c r="Q2178" t="inlineStr">
        <is>
          <t>Köln</t>
        </is>
      </c>
    </row>
    <row r="2179">
      <c r="A2179" t="inlineStr"/>
      <c r="B2179" t="inlineStr">
        <is>
          <t>Severne DYNO 3</t>
        </is>
      </c>
      <c r="C2179" t="inlineStr">
        <is>
          <t>Freewave</t>
        </is>
      </c>
      <c r="D2179" s="3" t="n">
        <v>95</v>
      </c>
      <c r="E2179" t="inlineStr">
        <is>
          <t>2023</t>
        </is>
      </c>
      <c r="F2179" s="4" t="n">
        <v>900</v>
      </c>
      <c r="G2179" t="inlineStr"/>
      <c r="H2179" t="inlineStr">
        <is>
          <t>58540 Sauerland -NRW</t>
        </is>
      </c>
      <c r="I2179" s="5" t="n">
        <v>45546</v>
      </c>
      <c r="J2179" t="inlineStr">
        <is>
          <t>Sold</t>
        </is>
      </c>
      <c r="K2179" s="6">
        <f>HYPERLINK("https://www.dailydose.de/kleinanzeigen/detail.htm?ai=422431&amp;cf=kk&amp;pg=1&amp;ci=11", "Link")</f>
        <v/>
      </c>
      <c r="L2179" s="6">
        <f>HYPERLINK("C:\Projects\Kleinanzeigen-Scraper\offer_images\422431", "Link")</f>
        <v/>
      </c>
      <c r="M2179" t="inlineStr">
        <is>
          <t>tivitac</t>
        </is>
      </c>
      <c r="N2179" s="6">
        <f>HYPERLINK("https://www.dailydose.de/kleinanzeigen/user/1938", "Link")</f>
        <v/>
      </c>
      <c r="O2179" s="7" t="n">
        <v>45547.55304398148</v>
      </c>
      <c r="P2179" s="3" t="inlineStr">
        <is>
          <t>56.25</t>
        </is>
      </c>
      <c r="Q2179" t="inlineStr">
        <is>
          <t>Köln</t>
        </is>
      </c>
    </row>
    <row r="2180">
      <c r="A2180" t="inlineStr">
        <is>
          <t>133</t>
        </is>
      </c>
      <c r="B2180" t="inlineStr">
        <is>
          <t>Tabou Rocket + 133 LTD</t>
        </is>
      </c>
      <c r="C2180" t="inlineStr">
        <is>
          <t>Freeride</t>
        </is>
      </c>
      <c r="D2180" s="3" t="inlineStr"/>
      <c r="E2180" t="inlineStr">
        <is>
          <t>2022</t>
        </is>
      </c>
      <c r="F2180" s="4" t="n">
        <v>795</v>
      </c>
      <c r="G2180" t="inlineStr"/>
      <c r="H2180" t="inlineStr">
        <is>
          <t>23775 Großenbrode</t>
        </is>
      </c>
      <c r="I2180" s="5" t="n">
        <v>45547</v>
      </c>
      <c r="J2180" t="inlineStr">
        <is>
          <t>Sold</t>
        </is>
      </c>
      <c r="K2180" s="6">
        <f>HYPERLINK("https://www.dailydose.de/kleinanzeigen/detail.htm?ai=422435&amp;cf=kk&amp;pg=1&amp;ci=11", "Link")</f>
        <v/>
      </c>
      <c r="L2180" s="6">
        <f>HYPERLINK("C:\Projects\Kleinanzeigen-Scraper\offer_images\422435", "Link")</f>
        <v/>
      </c>
      <c r="M2180" t="inlineStr">
        <is>
          <t>Holger_156</t>
        </is>
      </c>
      <c r="N2180" s="6">
        <f>HYPERLINK("https://www.dailydose.de/kleinanzeigen/user/10571", "Link")</f>
        <v/>
      </c>
      <c r="O2180" s="7" t="n">
        <v>45547.55302083334</v>
      </c>
      <c r="P2180" s="3" t="inlineStr">
        <is>
          <t>471.97</t>
        </is>
      </c>
      <c r="Q2180" t="inlineStr">
        <is>
          <t>Köln</t>
        </is>
      </c>
    </row>
    <row r="2181">
      <c r="A2181" t="inlineStr">
        <is>
          <t>83</t>
        </is>
      </c>
      <c r="B2181" t="inlineStr">
        <is>
          <t>Thommen Custom G-Wave</t>
        </is>
      </c>
      <c r="C2181" t="inlineStr">
        <is>
          <t>Wave</t>
        </is>
      </c>
      <c r="D2181" s="3" t="inlineStr"/>
      <c r="E2181" t="inlineStr"/>
      <c r="F2181" s="4" t="n">
        <v>650</v>
      </c>
      <c r="G2181" t="inlineStr"/>
      <c r="H2181" t="inlineStr">
        <is>
          <t>44789 Bochum</t>
        </is>
      </c>
      <c r="I2181" s="5" t="n">
        <v>45547</v>
      </c>
      <c r="J2181" t="inlineStr">
        <is>
          <t>Sold</t>
        </is>
      </c>
      <c r="K2181" s="6">
        <f>HYPERLINK("https://www.dailydose.de/kleinanzeigen/detail.htm?ai=422437&amp;cf=kk&amp;pg=5&amp;ci=11", "Link")</f>
        <v/>
      </c>
      <c r="L2181" s="6">
        <f>HYPERLINK("C:\Projects\Kleinanzeigen-Scraper\offer_images\422437", "Link")</f>
        <v/>
      </c>
      <c r="M2181" t="inlineStr">
        <is>
          <t>Julius_10</t>
        </is>
      </c>
      <c r="N2181" s="6">
        <f>HYPERLINK("https://www.dailydose.de/kleinanzeigen/user/12817", "Link")</f>
        <v/>
      </c>
      <c r="O2181" s="7" t="n">
        <v>45547.55298611111</v>
      </c>
      <c r="P2181" s="3" t="inlineStr">
        <is>
          <t>61.88</t>
        </is>
      </c>
      <c r="Q2181" t="inlineStr">
        <is>
          <t>Köln</t>
        </is>
      </c>
    </row>
    <row r="2182">
      <c r="A2182" t="inlineStr"/>
      <c r="B2182" t="inlineStr">
        <is>
          <t>Severne Dyno</t>
        </is>
      </c>
      <c r="C2182" t="inlineStr"/>
      <c r="D2182" s="3" t="n">
        <v>85</v>
      </c>
      <c r="E2182" t="inlineStr">
        <is>
          <t>2023</t>
        </is>
      </c>
      <c r="F2182" s="4" t="n">
        <v>900</v>
      </c>
      <c r="G2182" t="inlineStr"/>
      <c r="H2182" t="inlineStr">
        <is>
          <t>Stuttgart</t>
        </is>
      </c>
      <c r="I2182" s="5" t="n">
        <v>45546</v>
      </c>
      <c r="J2182" t="inlineStr">
        <is>
          <t>Sold</t>
        </is>
      </c>
      <c r="K2182" s="6">
        <f>HYPERLINK("https://www.dailydose.de/kleinanzeigen/detail.htm?ai=422421&amp;cf=kk&amp;pg=1&amp;ci=11", "Link")</f>
        <v/>
      </c>
      <c r="L2182" s="6">
        <f>HYPERLINK("C:\Projects\Kleinanzeigen-Scraper\offer_images\422421", "Link")</f>
        <v/>
      </c>
      <c r="M2182" t="inlineStr">
        <is>
          <t>Roman_96</t>
        </is>
      </c>
      <c r="N2182" s="6">
        <f>HYPERLINK("https://www.dailydose.de/kleinanzeigen/user/20905", "Link")</f>
        <v/>
      </c>
      <c r="O2182" s="7" t="n">
        <v>45547.55289351852</v>
      </c>
      <c r="P2182" s="3" t="inlineStr">
        <is>
          <t>18.71</t>
        </is>
      </c>
      <c r="Q2182" t="inlineStr">
        <is>
          <t>Böblingen</t>
        </is>
      </c>
    </row>
    <row r="2183">
      <c r="A2183" t="inlineStr">
        <is>
          <t>247x70 cm</t>
        </is>
      </c>
      <c r="B2183" t="inlineStr">
        <is>
          <t>Fanatic Shark</t>
        </is>
      </c>
      <c r="C2183" t="inlineStr">
        <is>
          <t>FreeRide</t>
        </is>
      </c>
      <c r="D2183" s="3" t="n">
        <v>125</v>
      </c>
      <c r="E2183" t="inlineStr"/>
      <c r="F2183" s="4" t="n">
        <v>450</v>
      </c>
      <c r="G2183" t="inlineStr"/>
      <c r="H2183" t="inlineStr">
        <is>
          <t>12527 Berlin</t>
        </is>
      </c>
      <c r="I2183" s="5" t="n">
        <v>45546</v>
      </c>
      <c r="J2183" t="inlineStr">
        <is>
          <t>Sold</t>
        </is>
      </c>
      <c r="K2183" s="6">
        <f>HYPERLINK("https://www.dailydose.de/kleinanzeigen/detail.htm?ai=422401&amp;cf=kk&amp;pg=5&amp;ci=11", "Link")</f>
        <v/>
      </c>
      <c r="L2183" s="6">
        <f>HYPERLINK("C:\Projects\Kleinanzeigen-Scraper\offer_images\422401", "Link")</f>
        <v/>
      </c>
      <c r="M2183" t="inlineStr">
        <is>
          <t>newt3</t>
        </is>
      </c>
      <c r="N2183" s="6">
        <f>HYPERLINK("https://www.dailydose.de/kleinanzeigen/user/22148", "Link")</f>
        <v/>
      </c>
      <c r="O2183" s="7" t="n">
        <v>45547.55269675926</v>
      </c>
      <c r="P2183" s="3" t="inlineStr">
        <is>
          <t>487.71</t>
        </is>
      </c>
      <c r="Q2183" t="inlineStr">
        <is>
          <t>Köln</t>
        </is>
      </c>
    </row>
    <row r="2184">
      <c r="A2184" t="inlineStr">
        <is>
          <t>106</t>
        </is>
      </c>
      <c r="B2184" t="inlineStr">
        <is>
          <t>JP All Ride Pro</t>
        </is>
      </c>
      <c r="C2184" t="inlineStr">
        <is>
          <t>Freeride</t>
        </is>
      </c>
      <c r="D2184" s="3" t="inlineStr"/>
      <c r="E2184" t="inlineStr"/>
      <c r="F2184" s="4" t="n">
        <v>450</v>
      </c>
      <c r="G2184" t="inlineStr"/>
      <c r="H2184" t="inlineStr">
        <is>
          <t>13467 Berlin</t>
        </is>
      </c>
      <c r="I2184" s="5" t="n">
        <v>45546</v>
      </c>
      <c r="J2184" t="inlineStr">
        <is>
          <t>Sold</t>
        </is>
      </c>
      <c r="K2184" s="6">
        <f>HYPERLINK("https://www.dailydose.de/kleinanzeigen/detail.htm?ai=422403&amp;cf=kk&amp;pg=2&amp;ci=11", "Link")</f>
        <v/>
      </c>
      <c r="L2184" s="6">
        <f>HYPERLINK("C:\Projects\Kleinanzeigen-Scraper\offer_images\422403", "Link")</f>
        <v/>
      </c>
      <c r="M2184" t="inlineStr">
        <is>
          <t>Rainer_39</t>
        </is>
      </c>
      <c r="N2184" s="6">
        <f>HYPERLINK("https://www.dailydose.de/kleinanzeigen/user/19594", "Link")</f>
        <v/>
      </c>
      <c r="O2184" s="7" t="n">
        <v>45547.55266203704</v>
      </c>
      <c r="P2184" s="3" t="inlineStr">
        <is>
          <t>474.84</t>
        </is>
      </c>
      <c r="Q2184" t="inlineStr">
        <is>
          <t>Köln</t>
        </is>
      </c>
    </row>
    <row r="2185">
      <c r="A2185" t="inlineStr"/>
      <c r="B2185" t="inlineStr">
        <is>
          <t>Severne DYNO</t>
        </is>
      </c>
      <c r="C2185" t="inlineStr">
        <is>
          <t>Freewave</t>
        </is>
      </c>
      <c r="D2185" s="3" t="n">
        <v>105</v>
      </c>
      <c r="E2185" t="inlineStr">
        <is>
          <t>2023</t>
        </is>
      </c>
      <c r="F2185" s="4" t="n">
        <v>900</v>
      </c>
      <c r="G2185" t="inlineStr"/>
      <c r="H2185" t="inlineStr">
        <is>
          <t>58540 Sauerland -NRW</t>
        </is>
      </c>
      <c r="I2185" s="5" t="n">
        <v>45546</v>
      </c>
      <c r="J2185" t="inlineStr">
        <is>
          <t>Sold</t>
        </is>
      </c>
      <c r="K2185" s="6">
        <f>HYPERLINK("https://www.dailydose.de/kleinanzeigen/detail.htm?ai=422432&amp;cf=kk&amp;pg=1&amp;ci=11", "Link")</f>
        <v/>
      </c>
      <c r="L2185" s="6">
        <f>HYPERLINK("C:\Projects\Kleinanzeigen-Scraper\offer_images\422432", "Link")</f>
        <v/>
      </c>
      <c r="M2185" t="inlineStr">
        <is>
          <t>tivitac</t>
        </is>
      </c>
      <c r="N2185" s="6">
        <f>HYPERLINK("https://www.dailydose.de/kleinanzeigen/user/1938", "Link")</f>
        <v/>
      </c>
      <c r="O2185" s="7" t="n">
        <v>45547.55230324074</v>
      </c>
      <c r="P2185" s="3" t="inlineStr">
        <is>
          <t>56.25</t>
        </is>
      </c>
      <c r="Q2185" t="inlineStr">
        <is>
          <t>Köln</t>
        </is>
      </c>
    </row>
    <row r="2186">
      <c r="A2186" t="inlineStr">
        <is>
          <t>311 cm x 79 cm x 15 cm</t>
        </is>
      </c>
      <c r="B2186" t="inlineStr">
        <is>
          <t>F2 GLIDE</t>
        </is>
      </c>
      <c r="C2186" t="inlineStr">
        <is>
          <t>Windsurf SUP</t>
        </is>
      </c>
      <c r="D2186" s="3" t="inlineStr"/>
      <c r="E2186" t="inlineStr"/>
      <c r="F2186" s="4" t="n">
        <v>599</v>
      </c>
      <c r="G2186" t="inlineStr"/>
      <c r="H2186" t="inlineStr">
        <is>
          <t>95028 Bayern - Hof (Saale)</t>
        </is>
      </c>
      <c r="I2186" s="5" t="n">
        <v>45546</v>
      </c>
      <c r="J2186" t="inlineStr">
        <is>
          <t>Sold</t>
        </is>
      </c>
      <c r="K2186" s="6">
        <f>HYPERLINK("https://www.kleinanzeigen.de/s-anzeige/f2-glide-windsurf-sup-10-2-petrol-stand-up-paddle-board-paddel/2835070906-230-7244", "Link")</f>
        <v/>
      </c>
      <c r="L2186" s="6">
        <f>HYPERLINK("C:\Projects\Kleinanzeigen-Scraper\offer_images\2835070906", "Link")</f>
        <v/>
      </c>
      <c r="M2186" t="inlineStr">
        <is>
          <t>No user name</t>
        </is>
      </c>
      <c r="N2186" s="6">
        <f>HYPERLINK("https://www.kleinanzeigen.deNo user link", "Link")</f>
        <v/>
      </c>
      <c r="O2186" s="7" t="n">
        <v>45547.55209490741</v>
      </c>
      <c r="P2186" s="3" t="inlineStr">
        <is>
          <t>244.83</t>
        </is>
      </c>
      <c r="Q2186" t="inlineStr">
        <is>
          <t>München</t>
        </is>
      </c>
    </row>
    <row r="2187">
      <c r="A2187" t="inlineStr">
        <is>
          <t>10'7" x 33"</t>
        </is>
      </c>
      <c r="B2187" t="inlineStr">
        <is>
          <t>Red Paddle Wind SUP</t>
        </is>
      </c>
      <c r="C2187" t="inlineStr"/>
      <c r="D2187" s="3" t="n">
        <v>296</v>
      </c>
      <c r="E2187" t="inlineStr"/>
      <c r="F2187" s="4" t="n">
        <v>450</v>
      </c>
      <c r="G2187" t="inlineStr"/>
      <c r="H2187" t="inlineStr">
        <is>
          <t>01445 Sachsen - Radebeul</t>
        </is>
      </c>
      <c r="I2187" s="5" t="n">
        <v>45546</v>
      </c>
      <c r="J2187" t="inlineStr">
        <is>
          <t>Sold</t>
        </is>
      </c>
      <c r="K2187" s="6">
        <f>HYPERLINK("https://www.kleinanzeigen.de/s-anzeige/red-paddle-wind-sup-10-7-surfbrett-windsurfen/2860252021-230-4057", "Link")</f>
        <v/>
      </c>
      <c r="L2187" s="6">
        <f>HYPERLINK("C:\Projects\Kleinanzeigen-Scraper\offer_images\2860252021", "Link")</f>
        <v/>
      </c>
      <c r="M2187" t="inlineStr">
        <is>
          <t>Sebastian Popp</t>
        </is>
      </c>
      <c r="N2187" s="6">
        <f>HYPERLINK("https://www.kleinanzeigen.de/s-bestandsliste.html?userId=8321040", "Link")</f>
        <v/>
      </c>
      <c r="O2187" s="7" t="n">
        <v>45547.55206018518</v>
      </c>
      <c r="P2187" s="3" t="inlineStr">
        <is>
          <t>362.87</t>
        </is>
      </c>
      <c r="Q2187" t="inlineStr">
        <is>
          <t>München</t>
        </is>
      </c>
    </row>
    <row r="2188">
      <c r="A2188" t="inlineStr">
        <is>
          <t>311 cm x 79 cm x 15 cm</t>
        </is>
      </c>
      <c r="B2188" t="inlineStr">
        <is>
          <t>F2 GLIDE</t>
        </is>
      </c>
      <c r="C2188" t="inlineStr">
        <is>
          <t>Windsurf/SUP</t>
        </is>
      </c>
      <c r="D2188" s="3" t="inlineStr"/>
      <c r="E2188" t="inlineStr"/>
      <c r="F2188" s="4" t="n">
        <v>999</v>
      </c>
      <c r="G2188" t="inlineStr"/>
      <c r="H2188" t="inlineStr">
        <is>
          <t>95028 Bayern - Hof (Saale)</t>
        </is>
      </c>
      <c r="I2188" s="5" t="n">
        <v>45546</v>
      </c>
      <c r="J2188" t="inlineStr">
        <is>
          <t>Sold</t>
        </is>
      </c>
      <c r="K2188" s="6">
        <f>HYPERLINK("https://www.kleinanzeigen.de/s-anzeige/f2-glide-windsurf-sup-10-2-petrol-board-surf-wing-6-0-qm/2835111884-230-7244", "Link")</f>
        <v/>
      </c>
      <c r="L2188" s="6">
        <f>HYPERLINK("C:\Projects\Kleinanzeigen-Scraper\offer_images\2835111884", "Link")</f>
        <v/>
      </c>
      <c r="M2188" t="inlineStr">
        <is>
          <t>No user name</t>
        </is>
      </c>
      <c r="N2188" s="6">
        <f>HYPERLINK("https://www.kleinanzeigen.deNo user link", "Link")</f>
        <v/>
      </c>
      <c r="O2188" s="7" t="n">
        <v>45547.55204861111</v>
      </c>
      <c r="P2188" s="3" t="inlineStr">
        <is>
          <t>244.83</t>
        </is>
      </c>
      <c r="Q2188" t="inlineStr">
        <is>
          <t>München</t>
        </is>
      </c>
    </row>
    <row r="2189">
      <c r="A2189" t="inlineStr">
        <is>
          <t>311 cm x 79 cm x 15 cm</t>
        </is>
      </c>
      <c r="B2189" t="inlineStr">
        <is>
          <t>F2 GLIDE</t>
        </is>
      </c>
      <c r="C2189" t="inlineStr">
        <is>
          <t>Windsurf/SUP</t>
        </is>
      </c>
      <c r="D2189" s="3" t="inlineStr"/>
      <c r="E2189" t="inlineStr"/>
      <c r="F2189" s="4" t="n">
        <v>999</v>
      </c>
      <c r="G2189" t="inlineStr"/>
      <c r="H2189" t="inlineStr">
        <is>
          <t>95028 Bayern - Hof (Saale)</t>
        </is>
      </c>
      <c r="I2189" s="5" t="n">
        <v>45546</v>
      </c>
      <c r="J2189" t="inlineStr">
        <is>
          <t>Sold</t>
        </is>
      </c>
      <c r="K2189" s="6">
        <f>HYPERLINK("https://www.kleinanzeigen.de/s-anzeige/f2-glide-windsurf-sup-10-2-grey-board-surf-wing-6-0-qm/2835077862-230-7244", "Link")</f>
        <v/>
      </c>
      <c r="L2189" s="6">
        <f>HYPERLINK("C:\Projects\Kleinanzeigen-Scraper\offer_images\2835077862", "Link")</f>
        <v/>
      </c>
      <c r="M2189" t="inlineStr">
        <is>
          <t>No user name</t>
        </is>
      </c>
      <c r="N2189" s="6">
        <f>HYPERLINK("https://www.kleinanzeigen.deNo user link", "Link")</f>
        <v/>
      </c>
      <c r="O2189" s="7" t="n">
        <v>45547.55203703704</v>
      </c>
      <c r="P2189" s="3" t="inlineStr">
        <is>
          <t>244.83</t>
        </is>
      </c>
      <c r="Q2189" t="inlineStr">
        <is>
          <t>München</t>
        </is>
      </c>
    </row>
    <row r="2190">
      <c r="A2190" t="inlineStr">
        <is>
          <t>357 cm x 82 cm x 15 cm</t>
        </is>
      </c>
      <c r="B2190" t="inlineStr">
        <is>
          <t>F2 GLIDE</t>
        </is>
      </c>
      <c r="C2190" t="inlineStr">
        <is>
          <t>Windsurf/SUP</t>
        </is>
      </c>
      <c r="D2190" s="3" t="inlineStr"/>
      <c r="E2190" t="inlineStr"/>
      <c r="F2190" s="4" t="n">
        <v>849</v>
      </c>
      <c r="G2190" t="inlineStr"/>
      <c r="H2190" t="inlineStr">
        <is>
          <t>95028 Bayern - Hof (Saale)</t>
        </is>
      </c>
      <c r="I2190" s="5" t="n">
        <v>45546</v>
      </c>
      <c r="J2190" t="inlineStr">
        <is>
          <t>Sold</t>
        </is>
      </c>
      <c r="K2190" s="6">
        <f>HYPERLINK("https://www.kleinanzeigen.de/s-anzeige/f2-glide-windsurf-sup-11-7-grey-board-allround-wing-4-0-qm/2835031271-230-7244", "Link")</f>
        <v/>
      </c>
      <c r="L2190" s="6">
        <f>HYPERLINK("C:\Projects\Kleinanzeigen-Scraper\offer_images\2835031271", "Link")</f>
        <v/>
      </c>
      <c r="M2190" t="inlineStr">
        <is>
          <t>No user name</t>
        </is>
      </c>
      <c r="N2190" s="6">
        <f>HYPERLINK("https://www.kleinanzeigen.deNo user link", "Link")</f>
        <v/>
      </c>
      <c r="O2190" s="7" t="n">
        <v>45547.55202546297</v>
      </c>
      <c r="P2190" s="3" t="inlineStr">
        <is>
          <t>244.83</t>
        </is>
      </c>
      <c r="Q2190" t="inlineStr">
        <is>
          <t>München</t>
        </is>
      </c>
    </row>
    <row r="2191">
      <c r="A2191" t="inlineStr">
        <is>
          <t>287 x 58</t>
        </is>
      </c>
      <c r="B2191" t="inlineStr">
        <is>
          <t>JP Australia Ultimate Wave</t>
        </is>
      </c>
      <c r="C2191" t="inlineStr">
        <is>
          <t>Wave</t>
        </is>
      </c>
      <c r="D2191" s="3" t="n">
        <v>88</v>
      </c>
      <c r="E2191" t="inlineStr">
        <is>
          <t>2021</t>
        </is>
      </c>
      <c r="F2191" s="4" t="n">
        <v>780</v>
      </c>
      <c r="G2191" t="inlineStr">
        <is>
          <t>VB</t>
        </is>
      </c>
      <c r="H2191" t="inlineStr">
        <is>
          <t>26203 Niedersachsen - Wardenburg</t>
        </is>
      </c>
      <c r="I2191" s="5" t="n">
        <v>45546</v>
      </c>
      <c r="J2191" t="inlineStr">
        <is>
          <t>Sold</t>
        </is>
      </c>
      <c r="K2191" s="6">
        <f>HYPERLINK("https://www.kleinanzeigen.de/s-anzeige/jp-windsurf-board-ultimate-wave-88l-bj-2021/2860198002-230-2645", "Link")</f>
        <v/>
      </c>
      <c r="L2191" s="6">
        <f>HYPERLINK("C:\Projects\Kleinanzeigen-Scraper\offer_images\2860198002", "Link")</f>
        <v/>
      </c>
      <c r="M2191" t="inlineStr">
        <is>
          <t>Wilfried Lehmann</t>
        </is>
      </c>
      <c r="N2191" s="6">
        <f>HYPERLINK("https://www.kleinanzeigen.de/s-bestandsliste.html?userId=13377104", "Link")</f>
        <v/>
      </c>
      <c r="O2191" s="7" t="n">
        <v>45547.55200231481</v>
      </c>
      <c r="P2191" s="3" t="inlineStr">
        <is>
          <t>248.34</t>
        </is>
      </c>
      <c r="Q2191" t="inlineStr">
        <is>
          <t>Köln</t>
        </is>
      </c>
    </row>
    <row r="2192">
      <c r="A2192" t="inlineStr">
        <is>
          <t>329 cm x 81 cm x 15 cm</t>
        </is>
      </c>
      <c r="B2192" t="inlineStr">
        <is>
          <t>F2 GLIDE</t>
        </is>
      </c>
      <c r="C2192" t="inlineStr">
        <is>
          <t>Windsurf SUP</t>
        </is>
      </c>
      <c r="D2192" s="3" t="inlineStr"/>
      <c r="E2192" t="inlineStr"/>
      <c r="F2192" s="4" t="n">
        <v>299</v>
      </c>
      <c r="G2192" t="inlineStr"/>
      <c r="H2192" t="inlineStr">
        <is>
          <t>95028 Bayern - Hof (Saale)</t>
        </is>
      </c>
      <c r="I2192" s="5" t="n">
        <v>45546</v>
      </c>
      <c r="J2192" t="inlineStr">
        <is>
          <t>Sold</t>
        </is>
      </c>
      <c r="K2192" s="6">
        <f>HYPERLINK("https://www.kleinanzeigen.de/s-anzeige/f2-glide-windsurf-sup-10-8-grey-stand-up-paddle-board-testboard/2835036623-230-7244", "Link")</f>
        <v/>
      </c>
      <c r="L2192" s="6">
        <f>HYPERLINK("C:\Projects\Kleinanzeigen-Scraper\offer_images\2835036623", "Link")</f>
        <v/>
      </c>
      <c r="M2192" t="inlineStr">
        <is>
          <t>No user name</t>
        </is>
      </c>
      <c r="N2192" s="6">
        <f>HYPERLINK("https://www.kleinanzeigen.deNo user link", "Link")</f>
        <v/>
      </c>
      <c r="O2192" s="7" t="n">
        <v>45547.55197916667</v>
      </c>
      <c r="P2192" s="3" t="inlineStr">
        <is>
          <t>244.83</t>
        </is>
      </c>
      <c r="Q2192" t="inlineStr">
        <is>
          <t>München</t>
        </is>
      </c>
    </row>
    <row r="2193">
      <c r="A2193" t="inlineStr">
        <is>
          <t>258 cm x 57 cm</t>
        </is>
      </c>
      <c r="B2193" t="inlineStr">
        <is>
          <t>ON Free Wave</t>
        </is>
      </c>
      <c r="C2193" t="inlineStr">
        <is>
          <t>Wave</t>
        </is>
      </c>
      <c r="D2193" s="3" t="n">
        <v>85</v>
      </c>
      <c r="E2193" t="inlineStr"/>
      <c r="F2193" s="4" t="n">
        <v>50</v>
      </c>
      <c r="G2193" t="inlineStr"/>
      <c r="H2193" t="inlineStr">
        <is>
          <t>66701 Saarland - Beckingen</t>
        </is>
      </c>
      <c r="I2193" s="5" t="n">
        <v>45562</v>
      </c>
      <c r="J2193" t="inlineStr"/>
      <c r="K2193" s="6">
        <f>HYPERLINK("https://www.kleinanzeigen.de/s-anzeige/wave-board-85l-windsurfer-mit-boardbag/2498153151-230-296", "Link")</f>
        <v/>
      </c>
      <c r="L2193" s="6">
        <f>HYPERLINK("C:\Projects\Kleinanzeigen-Scraper\offer_images\2498153151", "Link")</f>
        <v/>
      </c>
      <c r="M2193" t="inlineStr">
        <is>
          <t>John Colbourne</t>
        </is>
      </c>
      <c r="N2193" s="6">
        <f>HYPERLINK("https://www.kleinanzeigen.de/s-bestandsliste.html?userId=5697855", "Link")</f>
        <v/>
      </c>
      <c r="O2193" s="7" t="n">
        <v>45547.55189814815</v>
      </c>
      <c r="P2193" s="3" t="inlineStr">
        <is>
          <t>128.04</t>
        </is>
      </c>
      <c r="Q2193" t="inlineStr">
        <is>
          <t>Karlsruhe</t>
        </is>
      </c>
    </row>
    <row r="2194">
      <c r="A2194" t="inlineStr">
        <is>
          <t>330 cm</t>
        </is>
      </c>
      <c r="B2194" t="inlineStr">
        <is>
          <t>F2 Comet</t>
        </is>
      </c>
      <c r="C2194" t="inlineStr"/>
      <c r="D2194" s="3" t="inlineStr"/>
      <c r="E2194" t="inlineStr"/>
      <c r="F2194" s="4" t="n">
        <v>10</v>
      </c>
      <c r="G2194" t="inlineStr"/>
      <c r="H2194" t="inlineStr">
        <is>
          <t>50668 Innenstadt - Köln Altstadt</t>
        </is>
      </c>
      <c r="I2194" s="5" t="n">
        <v>45546</v>
      </c>
      <c r="J2194" t="inlineStr">
        <is>
          <t>Sold</t>
        </is>
      </c>
      <c r="K2194" s="6">
        <f>HYPERLINK("https://www.kleinanzeigen.de/s-anzeige/f2-comet-330-cm-windsurfen-surfbrett-windsurfboard/2860439735-230-982", "Link")</f>
        <v/>
      </c>
      <c r="L2194" s="6">
        <f>HYPERLINK("C:\Projects\Kleinanzeigen-Scraper\offer_images\2860439735", "Link")</f>
        <v/>
      </c>
      <c r="M2194" t="inlineStr">
        <is>
          <t>Ben Reuters</t>
        </is>
      </c>
      <c r="N2194" s="6">
        <f>HYPERLINK("https://www.kleinanzeigen.de/s-bestandsliste.html?userId=13274815", "Link")</f>
        <v/>
      </c>
      <c r="O2194" s="7" t="n">
        <v>45547.55181712963</v>
      </c>
      <c r="P2194" s="3" t="inlineStr">
        <is>
          <t>1.27</t>
        </is>
      </c>
      <c r="Q2194" t="inlineStr">
        <is>
          <t>Köln</t>
        </is>
      </c>
    </row>
    <row r="2195">
      <c r="A2195" t="inlineStr">
        <is>
          <t>311 cm x 79 cm x 15 cm</t>
        </is>
      </c>
      <c r="B2195" t="inlineStr">
        <is>
          <t>F2 GLIDE</t>
        </is>
      </c>
      <c r="C2195" t="inlineStr">
        <is>
          <t>Windsurf/SUP</t>
        </is>
      </c>
      <c r="D2195" s="3" t="inlineStr"/>
      <c r="E2195" t="inlineStr"/>
      <c r="F2195" s="4" t="n">
        <v>649</v>
      </c>
      <c r="G2195" t="inlineStr"/>
      <c r="H2195" t="inlineStr">
        <is>
          <t>95028 Bayern - Hof (Saale)</t>
        </is>
      </c>
      <c r="I2195" s="5" t="n">
        <v>45546</v>
      </c>
      <c r="J2195" t="inlineStr">
        <is>
          <t>Sold</t>
        </is>
      </c>
      <c r="K2195" s="6">
        <f>HYPERLINK("https://www.kleinanzeigen.de/s-anzeige/f2-glide-windsurf-sup-10-2-petrol-board-allround-wing-5-0-qm/2835117188-230-7244", "Link")</f>
        <v/>
      </c>
      <c r="L2195" s="6">
        <f>HYPERLINK("C:\Projects\Kleinanzeigen-Scraper\offer_images\2835117188", "Link")</f>
        <v/>
      </c>
      <c r="M2195" t="inlineStr">
        <is>
          <t>No user name</t>
        </is>
      </c>
      <c r="N2195" s="6">
        <f>HYPERLINK("https://www.kleinanzeigen.deNo user link", "Link")</f>
        <v/>
      </c>
      <c r="O2195" s="7" t="n">
        <v>45547.55177083334</v>
      </c>
      <c r="P2195" s="3" t="inlineStr">
        <is>
          <t>244.83</t>
        </is>
      </c>
      <c r="Q2195" t="inlineStr">
        <is>
          <t>München</t>
        </is>
      </c>
    </row>
    <row r="2196">
      <c r="A2196" t="inlineStr">
        <is>
          <t>311 cm x 79 cm x 15 cm</t>
        </is>
      </c>
      <c r="B2196" t="inlineStr">
        <is>
          <t>F2 GLIDE</t>
        </is>
      </c>
      <c r="C2196" t="inlineStr">
        <is>
          <t>Windsurf/SUP</t>
        </is>
      </c>
      <c r="D2196" s="3" t="inlineStr"/>
      <c r="E2196" t="inlineStr"/>
      <c r="F2196" s="4" t="n">
        <v>999</v>
      </c>
      <c r="G2196" t="inlineStr"/>
      <c r="H2196" t="inlineStr">
        <is>
          <t>95028 Bayern - Hof (Saale)</t>
        </is>
      </c>
      <c r="I2196" s="5" t="n">
        <v>45546</v>
      </c>
      <c r="J2196" t="inlineStr">
        <is>
          <t>Sold</t>
        </is>
      </c>
      <c r="K2196" s="6">
        <f>HYPERLINK("https://www.kleinanzeigen.de/s-anzeige/f2-glide-windsurf-sup-10-2-petrol-board-surf-wing-5-0-qm/2835113241-230-7244", "Link")</f>
        <v/>
      </c>
      <c r="L2196" s="6">
        <f>HYPERLINK("C:\Projects\Kleinanzeigen-Scraper\offer_images\2835113241", "Link")</f>
        <v/>
      </c>
      <c r="M2196" t="inlineStr">
        <is>
          <t>No user name</t>
        </is>
      </c>
      <c r="N2196" s="6">
        <f>HYPERLINK("https://www.kleinanzeigen.deNo user link", "Link")</f>
        <v/>
      </c>
      <c r="O2196" s="7" t="n">
        <v>45547.55173611111</v>
      </c>
      <c r="P2196" s="3" t="inlineStr">
        <is>
          <t>244.83</t>
        </is>
      </c>
      <c r="Q2196" t="inlineStr">
        <is>
          <t>München</t>
        </is>
      </c>
    </row>
    <row r="2197">
      <c r="A2197" t="inlineStr">
        <is>
          <t>320 cm</t>
        </is>
      </c>
      <c r="B2197" t="inlineStr">
        <is>
          <t>Klepper S</t>
        </is>
      </c>
      <c r="C2197" t="inlineStr">
        <is>
          <t>Oldtimer</t>
        </is>
      </c>
      <c r="D2197" s="3" t="inlineStr"/>
      <c r="E2197" t="inlineStr"/>
      <c r="F2197" s="4" t="n">
        <v>80</v>
      </c>
      <c r="G2197" t="inlineStr">
        <is>
          <t>VB</t>
        </is>
      </c>
      <c r="H2197" t="inlineStr">
        <is>
          <t>53773 Nordrhein-Westfalen - Hennef (Sieg)</t>
        </is>
      </c>
      <c r="I2197" s="5" t="n">
        <v>45546</v>
      </c>
      <c r="J2197" t="inlineStr">
        <is>
          <t>Sold</t>
        </is>
      </c>
      <c r="K2197" s="6">
        <f>HYPERLINK("https://www.kleinanzeigen.de/s-anzeige/surfbrett-klepper-s-320-mit-viel-zubehoer-windsurfen/2860691202-230-1697", "Link")</f>
        <v/>
      </c>
      <c r="L2197" s="6">
        <f>HYPERLINK("C:\Projects\Kleinanzeigen-Scraper\offer_images\2860691202", "Link")</f>
        <v/>
      </c>
      <c r="M2197" t="inlineStr">
        <is>
          <t>Sabine Widl</t>
        </is>
      </c>
      <c r="N2197" s="6">
        <f>HYPERLINK("https://www.kleinanzeigen.de/s-bestandsliste.html?userId=29809004", "Link")</f>
        <v/>
      </c>
      <c r="O2197" s="7" t="n">
        <v>45547.55173611111</v>
      </c>
      <c r="P2197" s="3" t="inlineStr">
        <is>
          <t>30.84</t>
        </is>
      </c>
      <c r="Q2197" t="inlineStr">
        <is>
          <t>Köln</t>
        </is>
      </c>
    </row>
    <row r="2198">
      <c r="A2198" t="inlineStr">
        <is>
          <t>329 cm x 81 cm x 15 cm</t>
        </is>
      </c>
      <c r="B2198" t="inlineStr">
        <is>
          <t>F2 GLIDE</t>
        </is>
      </c>
      <c r="C2198" t="inlineStr">
        <is>
          <t>Windsurf/SUP</t>
        </is>
      </c>
      <c r="D2198" s="3" t="inlineStr"/>
      <c r="E2198" t="inlineStr"/>
      <c r="F2198" s="4" t="n">
        <v>999</v>
      </c>
      <c r="G2198" t="inlineStr"/>
      <c r="H2198" t="inlineStr">
        <is>
          <t>95028 Bayern - Hof (Saale)</t>
        </is>
      </c>
      <c r="I2198" s="5" t="n">
        <v>45546</v>
      </c>
      <c r="J2198" t="inlineStr">
        <is>
          <t>Sold</t>
        </is>
      </c>
      <c r="K2198" s="6">
        <f>HYPERLINK("https://www.kleinanzeigen.de/s-anzeige/f2-glide-windsurf-sup-10-8-grey-board-surf-wing-6-0-qm/2835040334-230-7244", "Link")</f>
        <v/>
      </c>
      <c r="L2198" s="6">
        <f>HYPERLINK("C:\Projects\Kleinanzeigen-Scraper\offer_images\2835040334", "Link")</f>
        <v/>
      </c>
      <c r="M2198" t="inlineStr">
        <is>
          <t>No user name</t>
        </is>
      </c>
      <c r="N2198" s="6">
        <f>HYPERLINK("https://www.kleinanzeigen.deNo user link", "Link")</f>
        <v/>
      </c>
      <c r="O2198" s="7" t="n">
        <v>45547.55167824074</v>
      </c>
      <c r="P2198" s="3" t="inlineStr">
        <is>
          <t>244.83</t>
        </is>
      </c>
      <c r="Q2198" t="inlineStr">
        <is>
          <t>München</t>
        </is>
      </c>
    </row>
    <row r="2199">
      <c r="A2199" t="inlineStr">
        <is>
          <t>357 cm x 82 cm x 15 cm</t>
        </is>
      </c>
      <c r="B2199" t="inlineStr">
        <is>
          <t>F2 GLIDE</t>
        </is>
      </c>
      <c r="C2199" t="inlineStr">
        <is>
          <t>Windsurf/SUP</t>
        </is>
      </c>
      <c r="D2199" s="3" t="inlineStr"/>
      <c r="E2199" t="inlineStr"/>
      <c r="F2199" s="4" t="n">
        <v>849</v>
      </c>
      <c r="G2199" t="inlineStr"/>
      <c r="H2199" t="inlineStr">
        <is>
          <t>95028 Bayern - Hof (Saale)</t>
        </is>
      </c>
      <c r="I2199" s="5" t="n">
        <v>45546</v>
      </c>
      <c r="J2199" t="inlineStr">
        <is>
          <t>Sold</t>
        </is>
      </c>
      <c r="K2199" s="6">
        <f>HYPERLINK("https://www.kleinanzeigen.de/s-anzeige/f2-glide-windsurf-sup-11-7-grey-board-allround-wing-6-0-qm/2835029274-230-7244", "Link")</f>
        <v/>
      </c>
      <c r="L2199" s="6">
        <f>HYPERLINK("C:\Projects\Kleinanzeigen-Scraper\offer_images\2835029274", "Link")</f>
        <v/>
      </c>
      <c r="M2199" t="inlineStr">
        <is>
          <t>No user name</t>
        </is>
      </c>
      <c r="N2199" s="6">
        <f>HYPERLINK("https://www.kleinanzeigen.deNo user link", "Link")</f>
        <v/>
      </c>
      <c r="O2199" s="7" t="n">
        <v>45547.55163194444</v>
      </c>
      <c r="P2199" s="3" t="inlineStr">
        <is>
          <t>244.83</t>
        </is>
      </c>
      <c r="Q2199" t="inlineStr">
        <is>
          <t>München</t>
        </is>
      </c>
    </row>
    <row r="2200">
      <c r="A2200" t="inlineStr">
        <is>
          <t>329 cm x 81 cm x 15 cm</t>
        </is>
      </c>
      <c r="B2200" t="inlineStr">
        <is>
          <t>F2 GLIDE</t>
        </is>
      </c>
      <c r="C2200" t="inlineStr">
        <is>
          <t>Windsurf/SUP</t>
        </is>
      </c>
      <c r="D2200" s="3" t="inlineStr"/>
      <c r="E2200" t="inlineStr"/>
      <c r="F2200" s="4" t="n">
        <v>849</v>
      </c>
      <c r="G2200" t="inlineStr"/>
      <c r="H2200" t="inlineStr">
        <is>
          <t>95028 Bayern - Hof (Saale)</t>
        </is>
      </c>
      <c r="I2200" s="5" t="n">
        <v>45546</v>
      </c>
      <c r="J2200" t="inlineStr">
        <is>
          <t>Sold</t>
        </is>
      </c>
      <c r="K2200" s="6">
        <f>HYPERLINK("https://www.kleinanzeigen.de/s-anzeige/f2-glide-windsurf-sup-10-8-grey-board-allround-wing-6-0-qm/2835059683-230-7244", "Link")</f>
        <v/>
      </c>
      <c r="L2200" s="6">
        <f>HYPERLINK("C:\Projects\Kleinanzeigen-Scraper\offer_images\2835059683", "Link")</f>
        <v/>
      </c>
      <c r="M2200" t="inlineStr">
        <is>
          <t>No user name</t>
        </is>
      </c>
      <c r="N2200" s="6">
        <f>HYPERLINK("https://www.kleinanzeigen.deNo user link", "Link")</f>
        <v/>
      </c>
      <c r="O2200" s="7" t="n">
        <v>45547.55152777778</v>
      </c>
      <c r="P2200" s="3" t="inlineStr">
        <is>
          <t>244.83</t>
        </is>
      </c>
      <c r="Q2200" t="inlineStr">
        <is>
          <t>München</t>
        </is>
      </c>
    </row>
    <row r="2201">
      <c r="A2201" t="inlineStr">
        <is>
          <t>311 cm x 79 cm x 15 cm</t>
        </is>
      </c>
      <c r="B2201" t="inlineStr">
        <is>
          <t>F2 GLIDE</t>
        </is>
      </c>
      <c r="C2201" t="inlineStr">
        <is>
          <t>Windsurf/SUP</t>
        </is>
      </c>
      <c r="D2201" s="3" t="inlineStr"/>
      <c r="E2201" t="inlineStr"/>
      <c r="F2201" s="4" t="n">
        <v>999</v>
      </c>
      <c r="G2201" t="inlineStr"/>
      <c r="H2201" t="inlineStr">
        <is>
          <t>95028 Bayern - Hof (Saale)</t>
        </is>
      </c>
      <c r="I2201" s="5" t="n">
        <v>45546</v>
      </c>
      <c r="J2201" t="inlineStr">
        <is>
          <t>Sold</t>
        </is>
      </c>
      <c r="K2201" s="6">
        <f>HYPERLINK("https://www.kleinanzeigen.de/s-anzeige/f2-glide-windsurf-sup-10-2-grey-board-surf-wing-4-2-qm/2835083077-230-7244", "Link")</f>
        <v/>
      </c>
      <c r="L2201" s="6">
        <f>HYPERLINK("C:\Projects\Kleinanzeigen-Scraper\offer_images\2835083077", "Link")</f>
        <v/>
      </c>
      <c r="M2201" t="inlineStr">
        <is>
          <t>No user name</t>
        </is>
      </c>
      <c r="N2201" s="6">
        <f>HYPERLINK("https://www.kleinanzeigen.deNo user link", "Link")</f>
        <v/>
      </c>
      <c r="O2201" s="7" t="n">
        <v>45547.55152777778</v>
      </c>
      <c r="P2201" s="3" t="inlineStr">
        <is>
          <t>244.83</t>
        </is>
      </c>
      <c r="Q2201" t="inlineStr">
        <is>
          <t>München</t>
        </is>
      </c>
    </row>
    <row r="2202">
      <c r="A2202" t="inlineStr">
        <is>
          <t>311 cm x 79 cm x 15 cm</t>
        </is>
      </c>
      <c r="B2202" t="inlineStr">
        <is>
          <t>F2 GLIDE</t>
        </is>
      </c>
      <c r="C2202" t="inlineStr">
        <is>
          <t>Windsurf/SUP</t>
        </is>
      </c>
      <c r="D2202" s="3" t="inlineStr"/>
      <c r="E2202" t="inlineStr"/>
      <c r="F2202" s="4" t="n">
        <v>999</v>
      </c>
      <c r="G2202" t="inlineStr"/>
      <c r="H2202" t="inlineStr">
        <is>
          <t>95028 Bayern - Hof (Saale)</t>
        </is>
      </c>
      <c r="I2202" s="5" t="n">
        <v>45546</v>
      </c>
      <c r="J2202" t="inlineStr">
        <is>
          <t>Sold</t>
        </is>
      </c>
      <c r="K2202" s="6">
        <f>HYPERLINK("https://www.kleinanzeigen.de/s-anzeige/f2-glide-windsurf-sup-10-2-grey-board-surf-wing-5-0-qm/2835079620-230-7244", "Link")</f>
        <v/>
      </c>
      <c r="L2202" s="6">
        <f>HYPERLINK("C:\Projects\Kleinanzeigen-Scraper\offer_images\2835079620", "Link")</f>
        <v/>
      </c>
      <c r="M2202" t="inlineStr">
        <is>
          <t>No user name</t>
        </is>
      </c>
      <c r="N2202" s="6">
        <f>HYPERLINK("https://www.kleinanzeigen.deNo user link", "Link")</f>
        <v/>
      </c>
      <c r="O2202" s="7" t="n">
        <v>45547.55148148148</v>
      </c>
      <c r="P2202" s="3" t="inlineStr">
        <is>
          <t>244.83</t>
        </is>
      </c>
      <c r="Q2202" t="inlineStr">
        <is>
          <t>München</t>
        </is>
      </c>
    </row>
    <row r="2203">
      <c r="A2203" t="inlineStr">
        <is>
          <t>311 cm x 79 cm x 15 cm</t>
        </is>
      </c>
      <c r="B2203" t="inlineStr">
        <is>
          <t>F2 GLIDE</t>
        </is>
      </c>
      <c r="C2203" t="inlineStr">
        <is>
          <t>Windsurf/SUP</t>
        </is>
      </c>
      <c r="D2203" s="3" t="inlineStr"/>
      <c r="E2203" t="inlineStr"/>
      <c r="F2203" s="4" t="n">
        <v>479</v>
      </c>
      <c r="G2203" t="inlineStr"/>
      <c r="H2203" t="inlineStr">
        <is>
          <t>95028 Bayern - Hof (Saale)</t>
        </is>
      </c>
      <c r="I2203" s="5" t="n">
        <v>45546</v>
      </c>
      <c r="J2203" t="inlineStr">
        <is>
          <t>Sold</t>
        </is>
      </c>
      <c r="K2203" s="6">
        <f>HYPERLINK("https://www.kleinanzeigen.de/s-anzeige/f2-glide-windsurf-sup-10-2-petrol-testboard/2835068510-230-7244", "Link")</f>
        <v/>
      </c>
      <c r="L2203" s="6">
        <f>HYPERLINK("C:\Projects\Kleinanzeigen-Scraper\offer_images\2835068510", "Link")</f>
        <v/>
      </c>
      <c r="M2203" t="inlineStr">
        <is>
          <t>No user name</t>
        </is>
      </c>
      <c r="N2203" s="6">
        <f>HYPERLINK("https://www.kleinanzeigen.deNo user link", "Link")</f>
        <v/>
      </c>
      <c r="O2203" s="7" t="n">
        <v>45547.55144675926</v>
      </c>
      <c r="P2203" s="3" t="inlineStr">
        <is>
          <t>244.83</t>
        </is>
      </c>
      <c r="Q2203" t="inlineStr">
        <is>
          <t>München</t>
        </is>
      </c>
    </row>
    <row r="2204">
      <c r="A2204" t="inlineStr">
        <is>
          <t>235 x 70.5</t>
        </is>
      </c>
      <c r="B2204" t="inlineStr">
        <is>
          <t>JP Super Ride 124 Pro Edition</t>
        </is>
      </c>
      <c r="C2204" t="inlineStr">
        <is>
          <t>Freeride</t>
        </is>
      </c>
      <c r="D2204" s="3" t="n">
        <v>124</v>
      </c>
      <c r="E2204" t="inlineStr"/>
      <c r="F2204" s="4" t="n">
        <v>750</v>
      </c>
      <c r="G2204" t="inlineStr">
        <is>
          <t>VB</t>
        </is>
      </c>
      <c r="H2204" t="inlineStr">
        <is>
          <t>85368 Bayern - Moosburg a.d. Isar</t>
        </is>
      </c>
      <c r="I2204" s="5" t="n">
        <v>45545</v>
      </c>
      <c r="J2204" t="inlineStr">
        <is>
          <t>Sold</t>
        </is>
      </c>
      <c r="K2204" s="6">
        <f>HYPERLINK("https://www.kleinanzeigen.de/s-anzeige/gebrauchter-jp-super-ride-124-pro-edition-windsurf-board-surfbre/2859153645-230-6540", "Link")</f>
        <v/>
      </c>
      <c r="L2204" s="6">
        <f>HYPERLINK("C:\Projects\Kleinanzeigen-Scraper\offer_images\2859153645", "Link")</f>
        <v/>
      </c>
      <c r="M2204" t="inlineStr">
        <is>
          <t>Fam. Werner</t>
        </is>
      </c>
      <c r="N2204" s="6">
        <f>HYPERLINK("https://www.kleinanzeigen.de/s-bestandsliste.html?userId=8987959", "Link")</f>
        <v/>
      </c>
      <c r="O2204" s="7" t="n">
        <v>45547.55144675926</v>
      </c>
      <c r="P2204" s="3" t="inlineStr">
        <is>
          <t>46.07</t>
        </is>
      </c>
      <c r="Q2204" t="inlineStr">
        <is>
          <t>München</t>
        </is>
      </c>
    </row>
    <row r="2205">
      <c r="A2205" t="inlineStr">
        <is>
          <t>311 cm x 79 cm x 15 cm</t>
        </is>
      </c>
      <c r="B2205" t="inlineStr">
        <is>
          <t>F2 GLIDE</t>
        </is>
      </c>
      <c r="C2205" t="inlineStr">
        <is>
          <t>Windsurf/SUP</t>
        </is>
      </c>
      <c r="D2205" s="3" t="inlineStr"/>
      <c r="E2205" t="inlineStr"/>
      <c r="F2205" s="4" t="n">
        <v>999</v>
      </c>
      <c r="G2205" t="inlineStr"/>
      <c r="H2205" t="inlineStr">
        <is>
          <t>95028 Bayern - Hof (Saale)</t>
        </is>
      </c>
      <c r="I2205" s="5" t="n">
        <v>45546</v>
      </c>
      <c r="J2205" t="inlineStr">
        <is>
          <t>Sold</t>
        </is>
      </c>
      <c r="K2205" s="6">
        <f>HYPERLINK("https://www.kleinanzeigen.de/s-anzeige/f2-glide-windsurf-sup-10-2-petrol-board-surf-wing-4-2-qm/2835114544-230-7244", "Link")</f>
        <v/>
      </c>
      <c r="L2205" s="6">
        <f>HYPERLINK("C:\Projects\Kleinanzeigen-Scraper\offer_images\2835114544", "Link")</f>
        <v/>
      </c>
      <c r="M2205" t="inlineStr">
        <is>
          <t>No user name</t>
        </is>
      </c>
      <c r="N2205" s="6">
        <f>HYPERLINK("https://www.kleinanzeigen.deNo user link", "Link")</f>
        <v/>
      </c>
      <c r="O2205" s="7" t="n">
        <v>45547.55142361111</v>
      </c>
      <c r="P2205" s="3" t="inlineStr">
        <is>
          <t>244.83</t>
        </is>
      </c>
      <c r="Q2205" t="inlineStr">
        <is>
          <t>München</t>
        </is>
      </c>
    </row>
    <row r="2206">
      <c r="A2206" t="inlineStr">
        <is>
          <t>311 cm x 79 cm x 15 cm</t>
        </is>
      </c>
      <c r="B2206" t="inlineStr">
        <is>
          <t>F2 GLIDE</t>
        </is>
      </c>
      <c r="C2206" t="inlineStr">
        <is>
          <t>Windsurf/SUP</t>
        </is>
      </c>
      <c r="D2206" s="3" t="inlineStr"/>
      <c r="E2206" t="inlineStr"/>
      <c r="F2206" s="4" t="n">
        <v>849</v>
      </c>
      <c r="G2206" t="inlineStr"/>
      <c r="H2206" t="inlineStr">
        <is>
          <t>95028 Bayern - Hof (Saale)</t>
        </is>
      </c>
      <c r="I2206" s="5" t="n">
        <v>45546</v>
      </c>
      <c r="J2206" t="inlineStr">
        <is>
          <t>Sold</t>
        </is>
      </c>
      <c r="K2206" s="6">
        <f>HYPERLINK("https://www.kleinanzeigen.de/s-anzeige/f2-glide-windsurf-sup-10-2-grey-board-allround-wing-5-0-qm/2835107555-230-7244", "Link")</f>
        <v/>
      </c>
      <c r="L2206" s="6">
        <f>HYPERLINK("C:\Projects\Kleinanzeigen-Scraper\offer_images\2835107555", "Link")</f>
        <v/>
      </c>
      <c r="M2206" t="inlineStr">
        <is>
          <t>No user name</t>
        </is>
      </c>
      <c r="N2206" s="6">
        <f>HYPERLINK("https://www.kleinanzeigen.deNo user link", "Link")</f>
        <v/>
      </c>
      <c r="O2206" s="7" t="n">
        <v>45547.55140046297</v>
      </c>
      <c r="P2206" s="3" t="inlineStr">
        <is>
          <t>244.83</t>
        </is>
      </c>
      <c r="Q2206" t="inlineStr">
        <is>
          <t>München</t>
        </is>
      </c>
    </row>
    <row r="2207">
      <c r="A2207" t="inlineStr">
        <is>
          <t>311 cm x 79 cm x 15 cm</t>
        </is>
      </c>
      <c r="B2207" t="inlineStr">
        <is>
          <t>F2 GLIDE</t>
        </is>
      </c>
      <c r="C2207" t="inlineStr">
        <is>
          <t>Windsurf/SUP</t>
        </is>
      </c>
      <c r="D2207" s="3" t="inlineStr"/>
      <c r="E2207" t="inlineStr"/>
      <c r="F2207" s="4" t="n">
        <v>849</v>
      </c>
      <c r="G2207" t="inlineStr"/>
      <c r="H2207" t="inlineStr">
        <is>
          <t>95028 Bayern - Hof (Saale)</t>
        </is>
      </c>
      <c r="I2207" s="5" t="n">
        <v>45546</v>
      </c>
      <c r="J2207" t="inlineStr">
        <is>
          <t>Sold</t>
        </is>
      </c>
      <c r="K2207" s="6">
        <f>HYPERLINK("https://www.kleinanzeigen.de/s-anzeige/f2-glide-windsurf-sup-10-2-grey-board-allround-wing-6-0-qm/2835104164-230-7244", "Link")</f>
        <v/>
      </c>
      <c r="L2207" s="6">
        <f>HYPERLINK("C:\Projects\Kleinanzeigen-Scraper\offer_images\2835104164", "Link")</f>
        <v/>
      </c>
      <c r="M2207" t="inlineStr">
        <is>
          <t>No user name</t>
        </is>
      </c>
      <c r="N2207" s="6">
        <f>HYPERLINK("https://www.kleinanzeigen.deNo user link", "Link")</f>
        <v/>
      </c>
      <c r="O2207" s="7" t="n">
        <v>45547.55134259259</v>
      </c>
      <c r="P2207" s="3" t="inlineStr">
        <is>
          <t>244.83</t>
        </is>
      </c>
      <c r="Q2207" t="inlineStr">
        <is>
          <t>München</t>
        </is>
      </c>
    </row>
    <row r="2208">
      <c r="A2208" t="inlineStr">
        <is>
          <t>357 cm x 82 cm x 15 cm</t>
        </is>
      </c>
      <c r="B2208" t="inlineStr">
        <is>
          <t>F2 GLIDE</t>
        </is>
      </c>
      <c r="C2208" t="inlineStr">
        <is>
          <t>Windsurf SUP</t>
        </is>
      </c>
      <c r="D2208" s="3" t="inlineStr"/>
      <c r="E2208" t="inlineStr"/>
      <c r="F2208" s="4" t="n">
        <v>349</v>
      </c>
      <c r="G2208" t="inlineStr"/>
      <c r="H2208" t="inlineStr">
        <is>
          <t>95028 Bayern - Hof (Saale)</t>
        </is>
      </c>
      <c r="I2208" s="5" t="n">
        <v>45546</v>
      </c>
      <c r="J2208" t="inlineStr">
        <is>
          <t>Sold</t>
        </is>
      </c>
      <c r="K2208" s="6">
        <f>HYPERLINK("https://www.kleinanzeigen.de/s-anzeige/f2-glide-windsurf-sup-11-7-grey-stand-up-paddle-board-paddel/2835004841-230-7244", "Link")</f>
        <v/>
      </c>
      <c r="L2208" s="6">
        <f>HYPERLINK("C:\Projects\Kleinanzeigen-Scraper\offer_images\2835004841", "Link")</f>
        <v/>
      </c>
      <c r="M2208" t="inlineStr">
        <is>
          <t>No user name</t>
        </is>
      </c>
      <c r="N2208" s="6">
        <f>HYPERLINK("https://www.kleinanzeigen.deNo user link", "Link")</f>
        <v/>
      </c>
      <c r="O2208" s="7" t="n">
        <v>45547.55131944444</v>
      </c>
      <c r="P2208" s="3" t="inlineStr">
        <is>
          <t>244.83</t>
        </is>
      </c>
      <c r="Q2208" t="inlineStr">
        <is>
          <t>München</t>
        </is>
      </c>
    </row>
    <row r="2209">
      <c r="A2209" t="inlineStr">
        <is>
          <t>79 ltr</t>
        </is>
      </c>
      <c r="B2209" t="inlineStr">
        <is>
          <t>JP Freestyle Wave</t>
        </is>
      </c>
      <c r="C2209" t="inlineStr">
        <is>
          <t>Freestyle Wave</t>
        </is>
      </c>
      <c r="D2209" s="3" t="n">
        <v>79</v>
      </c>
      <c r="E2209" t="inlineStr"/>
      <c r="F2209" s="4" t="n">
        <v>875</v>
      </c>
      <c r="G2209" t="inlineStr"/>
      <c r="H2209" t="inlineStr">
        <is>
          <t>Zwolle schwichen Veluwemeer und IJsselmeer und nordsee in Holland</t>
        </is>
      </c>
      <c r="I2209" s="5" t="n">
        <v>45545</v>
      </c>
      <c r="J2209" t="inlineStr">
        <is>
          <t>Sold</t>
        </is>
      </c>
      <c r="K2209" s="6">
        <f>HYPERLINK("https://www.dailydose.de/kleinanzeigen/detail.htm?ai=422364&amp;cf=kk&amp;pg=5&amp;ci=11", "Link")</f>
        <v/>
      </c>
      <c r="L2209" s="6">
        <f>HYPERLINK("C:\Projects\Kleinanzeigen-Scraper\offer_images\422364", "Link")</f>
        <v/>
      </c>
      <c r="M2209" t="inlineStr">
        <is>
          <t>barth</t>
        </is>
      </c>
      <c r="N2209" s="6">
        <f>HYPERLINK("https://www.dailydose.de/kleinanzeigen/user/4366", "Link")</f>
        <v/>
      </c>
      <c r="O2209" s="7" t="n">
        <v>45546.57875</v>
      </c>
      <c r="P2209" s="3" t="inlineStr">
        <is>
          <t>357.65</t>
        </is>
      </c>
      <c r="Q2209" t="inlineStr">
        <is>
          <t>Köln</t>
        </is>
      </c>
    </row>
    <row r="2210">
      <c r="A2210" t="inlineStr"/>
      <c r="B2210" t="inlineStr">
        <is>
          <t>Fanatic Freewave TXTR</t>
        </is>
      </c>
      <c r="C2210" t="inlineStr">
        <is>
          <t>Freeride</t>
        </is>
      </c>
      <c r="D2210" s="3" t="n">
        <v>105</v>
      </c>
      <c r="E2210" t="inlineStr">
        <is>
          <t>2020</t>
        </is>
      </c>
      <c r="F2210" s="4" t="n">
        <v>890</v>
      </c>
      <c r="G2210" t="inlineStr"/>
      <c r="H2210" t="inlineStr">
        <is>
          <t>69412 Eberbach</t>
        </is>
      </c>
      <c r="I2210" s="5" t="n">
        <v>45546</v>
      </c>
      <c r="J2210" t="inlineStr">
        <is>
          <t>Sold</t>
        </is>
      </c>
      <c r="K2210" s="6">
        <f>HYPERLINK("https://www.dailydose.de/kleinanzeigen/detail.htm?ai=422388&amp;cf=kk&amp;pg=5&amp;ci=11", "Link")</f>
        <v/>
      </c>
      <c r="L2210" s="6">
        <f>HYPERLINK("C:\Projects\Kleinanzeigen-Scraper\offer_images\422388", "Link")</f>
        <v/>
      </c>
      <c r="M2210" t="inlineStr">
        <is>
          <t>Hans-J_188</t>
        </is>
      </c>
      <c r="N2210" s="6">
        <f>HYPERLINK("https://www.dailydose.de/kleinanzeigen/user/9918", "Link")</f>
        <v/>
      </c>
      <c r="O2210" s="7" t="n">
        <v>45546.57821759259</v>
      </c>
      <c r="P2210" s="3" t="inlineStr">
        <is>
          <t>68.32</t>
        </is>
      </c>
      <c r="Q2210" t="inlineStr">
        <is>
          <t>Karlsruhe</t>
        </is>
      </c>
    </row>
    <row r="2211">
      <c r="A2211" t="inlineStr">
        <is>
          <t>244 x 75.5</t>
        </is>
      </c>
      <c r="B2211" t="inlineStr">
        <is>
          <t>Tabou Rocket 125 LTD</t>
        </is>
      </c>
      <c r="C2211" t="inlineStr">
        <is>
          <t>Freeride</t>
        </is>
      </c>
      <c r="D2211" s="3" t="n">
        <v>125</v>
      </c>
      <c r="E2211" t="inlineStr">
        <is>
          <t>2022/23</t>
        </is>
      </c>
      <c r="F2211" s="4" t="n">
        <v>1</v>
      </c>
      <c r="G2211" t="inlineStr"/>
      <c r="H2211" t="inlineStr">
        <is>
          <t>13125 Berlin oder Rügen</t>
        </is>
      </c>
      <c r="I2211" s="5" t="n">
        <v>45546</v>
      </c>
      <c r="J2211" t="inlineStr">
        <is>
          <t>Sold</t>
        </is>
      </c>
      <c r="K2211" s="6">
        <f>HYPERLINK("https://www.dailydose.de/kleinanzeigen/detail.htm?ai=422382&amp;cf=kk&amp;pg=4&amp;ci=11", "Link")</f>
        <v/>
      </c>
      <c r="L2211" s="6">
        <f>HYPERLINK("C:\Projects\Kleinanzeigen-Scraper\offer_images\422382", "Link")</f>
        <v/>
      </c>
      <c r="M2211" t="inlineStr">
        <is>
          <t>otschjor6</t>
        </is>
      </c>
      <c r="N2211" s="6">
        <f>HYPERLINK("https://www.dailydose.de/kleinanzeigen/user/1594", "Link")</f>
        <v/>
      </c>
      <c r="O2211" s="7" t="n">
        <v>45546.57802083333</v>
      </c>
      <c r="P2211" s="3" t="inlineStr">
        <is>
          <t>486.44</t>
        </is>
      </c>
      <c r="Q2211" t="inlineStr">
        <is>
          <t>Köln</t>
        </is>
      </c>
    </row>
    <row r="2212">
      <c r="A2212" t="inlineStr">
        <is>
          <t>Dimensions not specified</t>
        </is>
      </c>
      <c r="B2212" t="inlineStr">
        <is>
          <t>RRD X-Fire</t>
        </is>
      </c>
      <c r="C2212" t="inlineStr">
        <is>
          <t>Freeride</t>
        </is>
      </c>
      <c r="D2212" s="3" t="n">
        <v>98</v>
      </c>
      <c r="E2212" t="inlineStr">
        <is>
          <t>V10</t>
        </is>
      </c>
      <c r="F2212" s="4" t="n">
        <v>290</v>
      </c>
      <c r="G2212" t="inlineStr"/>
      <c r="H2212" t="inlineStr">
        <is>
          <t>69412 Eberbach</t>
        </is>
      </c>
      <c r="I2212" s="5" t="n">
        <v>45546</v>
      </c>
      <c r="J2212" t="inlineStr">
        <is>
          <t>Sold</t>
        </is>
      </c>
      <c r="K2212" s="6">
        <f>HYPERLINK("https://www.dailydose.de/kleinanzeigen/detail.htm?ai=422384&amp;cf=kk&amp;pg=5&amp;ci=11", "Link")</f>
        <v/>
      </c>
      <c r="L2212" s="6">
        <f>HYPERLINK("C:\Projects\Kleinanzeigen-Scraper\offer_images\422384", "Link")</f>
        <v/>
      </c>
      <c r="M2212" t="inlineStr">
        <is>
          <t>Hans-J_188</t>
        </is>
      </c>
      <c r="N2212" s="6">
        <f>HYPERLINK("https://www.dailydose.de/kleinanzeigen/user/9918", "Link")</f>
        <v/>
      </c>
      <c r="O2212" s="7" t="n">
        <v>45546.57796296296</v>
      </c>
      <c r="P2212" s="3" t="inlineStr">
        <is>
          <t>68.32</t>
        </is>
      </c>
      <c r="Q2212" t="inlineStr">
        <is>
          <t>Karlsruhe</t>
        </is>
      </c>
    </row>
    <row r="2213">
      <c r="A2213" t="inlineStr"/>
      <c r="B2213" t="inlineStr">
        <is>
          <t>F2</t>
        </is>
      </c>
      <c r="C2213" t="inlineStr">
        <is>
          <t>Twin Sport</t>
        </is>
      </c>
      <c r="D2213" s="3" t="n">
        <v>136</v>
      </c>
      <c r="E2213" t="inlineStr">
        <is>
          <t>2024</t>
        </is>
      </c>
      <c r="F2213" s="4" t="n">
        <v>1.009</v>
      </c>
      <c r="G2213" t="inlineStr">
        <is>
          <t>VB</t>
        </is>
      </c>
      <c r="H2213" t="inlineStr">
        <is>
          <t>26125 Niedersachsen - Oldenburg</t>
        </is>
      </c>
      <c r="I2213" s="5" t="n">
        <v>45545</v>
      </c>
      <c r="J2213" t="inlineStr">
        <is>
          <t>Sold</t>
        </is>
      </c>
      <c r="K2213" s="6">
        <f>HYPERLINK("https://www.kleinanzeigen.de/s-anzeige/f2-windsurf-board-vegas-twin-sport-inkl-bag-2024-136-l/2859563952-230-3111", "Link")</f>
        <v/>
      </c>
      <c r="L2213" s="6">
        <f>HYPERLINK("C:\Projects\Kleinanzeigen-Scraper\offer_images\2859563952", "Link")</f>
        <v/>
      </c>
      <c r="M2213" t="inlineStr">
        <is>
          <t>No user name</t>
        </is>
      </c>
      <c r="N2213" s="6">
        <f>HYPERLINK("https://www.kleinanzeigen.deNo user link", "Link")</f>
        <v/>
      </c>
      <c r="O2213" s="7" t="n">
        <v>45546.57626157408</v>
      </c>
      <c r="P2213" s="3" t="inlineStr">
        <is>
          <t>264.10</t>
        </is>
      </c>
      <c r="Q2213" t="inlineStr">
        <is>
          <t>Köln</t>
        </is>
      </c>
    </row>
    <row r="2214">
      <c r="A2214" t="inlineStr"/>
      <c r="B2214" t="inlineStr">
        <is>
          <t>F2 Rebel Pro</t>
        </is>
      </c>
      <c r="C2214" t="inlineStr"/>
      <c r="D2214" s="3" t="n">
        <v>125</v>
      </c>
      <c r="E2214" t="inlineStr">
        <is>
          <t>2024</t>
        </is>
      </c>
      <c r="F2214" s="4" t="n">
        <v>1.329</v>
      </c>
      <c r="G2214" t="inlineStr">
        <is>
          <t>VB</t>
        </is>
      </c>
      <c r="H2214" t="inlineStr">
        <is>
          <t>26125 Niedersachsen - Oldenburg</t>
        </is>
      </c>
      <c r="I2214" s="5" t="n">
        <v>45545</v>
      </c>
      <c r="J2214" t="inlineStr">
        <is>
          <t>Sold</t>
        </is>
      </c>
      <c r="K2214" s="6">
        <f>HYPERLINK("https://www.kleinanzeigen.de/s-anzeige/f2-windsurf-board-rebel-pro-inkl-bag-2024-125-l/2859563411-230-3111", "Link")</f>
        <v/>
      </c>
      <c r="L2214" s="6">
        <f>HYPERLINK("C:\Projects\Kleinanzeigen-Scraper\offer_images\2859563411", "Link")</f>
        <v/>
      </c>
      <c r="M2214" t="inlineStr">
        <is>
          <t>No user name</t>
        </is>
      </c>
      <c r="N2214" s="6">
        <f>HYPERLINK("https://www.kleinanzeigen.deNo user link", "Link")</f>
        <v/>
      </c>
      <c r="O2214" s="7" t="n">
        <v>45546.57622685185</v>
      </c>
      <c r="P2214" s="3" t="inlineStr">
        <is>
          <t>264.10</t>
        </is>
      </c>
      <c r="Q2214" t="inlineStr">
        <is>
          <t>Köln</t>
        </is>
      </c>
    </row>
    <row r="2215">
      <c r="A2215" t="inlineStr">
        <is>
          <t>227 x 60</t>
        </is>
      </c>
      <c r="B2215" t="inlineStr">
        <is>
          <t>Flikka Custom Wave</t>
        </is>
      </c>
      <c r="C2215" t="inlineStr">
        <is>
          <t>Wave</t>
        </is>
      </c>
      <c r="D2215" s="3" t="n">
        <v>97</v>
      </c>
      <c r="E2215" t="inlineStr">
        <is>
          <t>2015</t>
        </is>
      </c>
      <c r="F2215" s="4" t="n">
        <v>550</v>
      </c>
      <c r="G2215" t="inlineStr">
        <is>
          <t>VB</t>
        </is>
      </c>
      <c r="H2215" t="inlineStr">
        <is>
          <t>47058 Duisburg - Duisburg-Mitte</t>
        </is>
      </c>
      <c r="I2215" s="5" t="n">
        <v>45545</v>
      </c>
      <c r="J2215" t="inlineStr">
        <is>
          <t>Sold</t>
        </is>
      </c>
      <c r="K2215" s="6">
        <f>HYPERLINK("https://www.kleinanzeigen.de/s-anzeige/flikka-custom-wave-97l-windsurf/2859074828-230-2152", "Link")</f>
        <v/>
      </c>
      <c r="L2215" s="6">
        <f>HYPERLINK("C:\Projects\Kleinanzeigen-Scraper\offer_images\2859074828", "Link")</f>
        <v/>
      </c>
      <c r="M2215" t="inlineStr">
        <is>
          <t>Arne Dehn</t>
        </is>
      </c>
      <c r="N2215" s="6">
        <f>HYPERLINK("https://www.kleinanzeigen.de/s-bestandsliste.html?userId=13062862", "Link")</f>
        <v/>
      </c>
      <c r="O2215" s="7" t="n">
        <v>45546.57616898148</v>
      </c>
      <c r="P2215" s="3" t="inlineStr">
        <is>
          <t>56.75</t>
        </is>
      </c>
      <c r="Q2215" t="inlineStr">
        <is>
          <t>Köln</t>
        </is>
      </c>
    </row>
    <row r="2216">
      <c r="A2216" t="inlineStr">
        <is>
          <t>227.5 x 62.5</t>
        </is>
      </c>
      <c r="B2216" t="inlineStr">
        <is>
          <t>Puls Custom Pro Wave</t>
        </is>
      </c>
      <c r="C2216" t="inlineStr">
        <is>
          <t>Wave</t>
        </is>
      </c>
      <c r="D2216" s="3" t="n">
        <v>105</v>
      </c>
      <c r="E2216" t="inlineStr"/>
      <c r="F2216" s="4" t="n">
        <v>775</v>
      </c>
      <c r="G2216" t="inlineStr">
        <is>
          <t>VB</t>
        </is>
      </c>
      <c r="H2216" t="inlineStr">
        <is>
          <t>23701 Kreis Ostholstein - Süsel</t>
        </is>
      </c>
      <c r="I2216" s="5" t="n">
        <v>45545</v>
      </c>
      <c r="J2216" t="inlineStr">
        <is>
          <t>Sold</t>
        </is>
      </c>
      <c r="K2216" s="6">
        <f>HYPERLINK("https://www.kleinanzeigen.de/s-anzeige/windsurfen-windsurfboard-puls-custom-pro-wave-105/2859177979-230-460", "Link")</f>
        <v/>
      </c>
      <c r="L2216" s="6">
        <f>HYPERLINK("C:\Projects\Kleinanzeigen-Scraper\offer_images\2859177979", "Link")</f>
        <v/>
      </c>
      <c r="M2216" t="inlineStr">
        <is>
          <t>Gunnar</t>
        </is>
      </c>
      <c r="N2216" s="6">
        <f>HYPERLINK("https://www.kleinanzeigen.de/s-bestandsliste.html?userId=18278794", "Link")</f>
        <v/>
      </c>
      <c r="O2216" s="7" t="n">
        <v>45546.57608796296</v>
      </c>
      <c r="P2216" s="3" t="inlineStr">
        <is>
          <t>431.90</t>
        </is>
      </c>
      <c r="Q2216" t="inlineStr">
        <is>
          <t>Köln</t>
        </is>
      </c>
    </row>
    <row r="2217">
      <c r="A2217" t="inlineStr"/>
      <c r="B2217" t="inlineStr">
        <is>
          <t>F2 Sunset Sport</t>
        </is>
      </c>
      <c r="C2217" t="inlineStr"/>
      <c r="D2217" s="3" t="n">
        <v>136</v>
      </c>
      <c r="E2217" t="inlineStr">
        <is>
          <t>2024</t>
        </is>
      </c>
      <c r="F2217" s="4" t="n">
        <v>1.009</v>
      </c>
      <c r="G2217" t="inlineStr">
        <is>
          <t>VB</t>
        </is>
      </c>
      <c r="H2217" t="inlineStr">
        <is>
          <t>26125 Niedersachsen - Oldenburg</t>
        </is>
      </c>
      <c r="I2217" s="5" t="n">
        <v>45545</v>
      </c>
      <c r="J2217" t="inlineStr">
        <is>
          <t>Sold</t>
        </is>
      </c>
      <c r="K2217" s="6">
        <f>HYPERLINK("https://www.kleinanzeigen.de/s-anzeige/f2-windsurf-board-sunset-sport-inkl-bag-2024-136-l/2859563592-230-3111", "Link")</f>
        <v/>
      </c>
      <c r="L2217" s="6">
        <f>HYPERLINK("C:\Projects\Kleinanzeigen-Scraper\offer_images\2859563592", "Link")</f>
        <v/>
      </c>
      <c r="M2217" t="inlineStr">
        <is>
          <t>No user name</t>
        </is>
      </c>
      <c r="N2217" s="6">
        <f>HYPERLINK("https://www.kleinanzeigen.deNo user link", "Link")</f>
        <v/>
      </c>
      <c r="O2217" s="7" t="n">
        <v>45546.57604166667</v>
      </c>
      <c r="P2217" s="3" t="inlineStr">
        <is>
          <t>264.10</t>
        </is>
      </c>
      <c r="Q2217" t="inlineStr">
        <is>
          <t>Köln</t>
        </is>
      </c>
    </row>
    <row r="2218">
      <c r="A2218" t="inlineStr">
        <is>
          <t>246 cm x 78 cm</t>
        </is>
      </c>
      <c r="B2218" t="inlineStr">
        <is>
          <t>Fanatic Gecko HRS</t>
        </is>
      </c>
      <c r="C2218" t="inlineStr">
        <is>
          <t>Freeride</t>
        </is>
      </c>
      <c r="D2218" s="3" t="n">
        <v>135</v>
      </c>
      <c r="E2218" t="inlineStr">
        <is>
          <t>2022</t>
        </is>
      </c>
      <c r="F2218" s="4" t="n">
        <v>830</v>
      </c>
      <c r="G2218" t="inlineStr">
        <is>
          <t>VB</t>
        </is>
      </c>
      <c r="H2218" t="inlineStr">
        <is>
          <t>24975 Schleswig-Holstein - Maasbüll</t>
        </is>
      </c>
      <c r="I2218" s="5" t="n">
        <v>45543</v>
      </c>
      <c r="J2218" t="inlineStr">
        <is>
          <t>Sold</t>
        </is>
      </c>
      <c r="K2218" s="6">
        <f>HYPERLINK("https://www.kleinanzeigen.de/s-anzeige/fanatic-gecko-135-hrs-2022-windsurfen-board-mit-bag/2857792136-230-725", "Link")</f>
        <v/>
      </c>
      <c r="L2218" s="6">
        <f>HYPERLINK("C:\Projects\Kleinanzeigen-Scraper\offer_images\2857792136", "Link")</f>
        <v/>
      </c>
      <c r="M2218" t="inlineStr">
        <is>
          <t>Mo</t>
        </is>
      </c>
      <c r="N2218" s="6">
        <f>HYPERLINK("https://www.kleinanzeigen.de/s-bestandsliste.html?userId=9081421", "Link")</f>
        <v/>
      </c>
      <c r="O2218" s="7" t="n">
        <v>45546.57601851852</v>
      </c>
      <c r="P2218" s="3" t="inlineStr">
        <is>
          <t>458.46</t>
        </is>
      </c>
      <c r="Q2218" t="inlineStr">
        <is>
          <t>Köln</t>
        </is>
      </c>
    </row>
    <row r="2219">
      <c r="A2219" t="inlineStr">
        <is>
          <t>311 cm x 79 cm x 15 cm</t>
        </is>
      </c>
      <c r="B2219" t="inlineStr">
        <is>
          <t>F2 GLIDE</t>
        </is>
      </c>
      <c r="C2219" t="inlineStr">
        <is>
          <t>Windsurf SUP</t>
        </is>
      </c>
      <c r="D2219" s="3" t="inlineStr"/>
      <c r="E2219" t="inlineStr"/>
      <c r="F2219" s="4" t="n">
        <v>349</v>
      </c>
      <c r="G2219" t="inlineStr"/>
      <c r="H2219" t="inlineStr">
        <is>
          <t>95028 Bayern - Hof (Saale)</t>
        </is>
      </c>
      <c r="I2219" s="5" t="n">
        <v>45546</v>
      </c>
      <c r="J2219" t="inlineStr">
        <is>
          <t>Sold</t>
        </is>
      </c>
      <c r="K2219" s="6">
        <f>HYPERLINK("https://www.kleinanzeigen.de/s-anzeige/f2-glide-windsurf-sup-10-2-grey-stand-up-paddle-board-paddel/2835087333-230-7244", "Link")</f>
        <v/>
      </c>
      <c r="L2219" s="6">
        <f>HYPERLINK("C:\Projects\Kleinanzeigen-Scraper\offer_images\2835087333", "Link")</f>
        <v/>
      </c>
      <c r="M2219" t="inlineStr">
        <is>
          <t>No user name</t>
        </is>
      </c>
      <c r="N2219" s="6">
        <f>HYPERLINK("https://www.kleinanzeigen.deNo user link", "Link")</f>
        <v/>
      </c>
      <c r="O2219" s="7" t="n">
        <v>45546.57597222222</v>
      </c>
      <c r="P2219" s="3" t="inlineStr">
        <is>
          <t>244.83</t>
        </is>
      </c>
      <c r="Q2219" t="inlineStr">
        <is>
          <t>München</t>
        </is>
      </c>
    </row>
    <row r="2220">
      <c r="A2220" t="inlineStr">
        <is>
          <t>329 cm x 81 cm x 15 cm</t>
        </is>
      </c>
      <c r="B2220" t="inlineStr">
        <is>
          <t>F2 GLIDE</t>
        </is>
      </c>
      <c r="C2220" t="inlineStr">
        <is>
          <t>Windsurf/SUP</t>
        </is>
      </c>
      <c r="D2220" s="3" t="inlineStr"/>
      <c r="E2220" t="inlineStr"/>
      <c r="F2220" s="4" t="n">
        <v>849</v>
      </c>
      <c r="G2220" t="inlineStr"/>
      <c r="H2220" t="inlineStr">
        <is>
          <t>95028 Bayern - Hof (Saale)</t>
        </is>
      </c>
      <c r="I2220" s="5" t="n">
        <v>45546</v>
      </c>
      <c r="J2220" t="inlineStr">
        <is>
          <t>Sold</t>
        </is>
      </c>
      <c r="K2220" s="6">
        <f>HYPERLINK("https://www.kleinanzeigen.de/s-anzeige/f2-glide-windsurf-sup-10-8-grey-board-allround-wing-4-0-qm/2835063296-230-7244", "Link")</f>
        <v/>
      </c>
      <c r="L2220" s="6">
        <f>HYPERLINK("C:\Projects\Kleinanzeigen-Scraper\offer_images\2835063296", "Link")</f>
        <v/>
      </c>
      <c r="M2220" t="inlineStr">
        <is>
          <t>No user name</t>
        </is>
      </c>
      <c r="N2220" s="6">
        <f>HYPERLINK("https://www.kleinanzeigen.deNo user link", "Link")</f>
        <v/>
      </c>
      <c r="O2220" s="7" t="n">
        <v>45546.57576388889</v>
      </c>
      <c r="P2220" s="3" t="inlineStr">
        <is>
          <t>244.83</t>
        </is>
      </c>
      <c r="Q2220" t="inlineStr">
        <is>
          <t>München</t>
        </is>
      </c>
    </row>
    <row r="2221">
      <c r="A2221" t="inlineStr">
        <is>
          <t>2.75m x 0.60m</t>
        </is>
      </c>
      <c r="B2221" t="inlineStr">
        <is>
          <t>F2 SUNSET</t>
        </is>
      </c>
      <c r="C2221" t="inlineStr">
        <is>
          <t>Wellenreiter</t>
        </is>
      </c>
      <c r="D2221" s="3" t="n">
        <v>80</v>
      </c>
      <c r="E2221" t="inlineStr"/>
      <c r="F2221" s="4" t="n">
        <v>89</v>
      </c>
      <c r="G2221" t="inlineStr"/>
      <c r="H2221" t="inlineStr">
        <is>
          <t>37124 Niedersachsen - Rosdorf</t>
        </is>
      </c>
      <c r="I2221" s="5" t="n">
        <v>45545</v>
      </c>
      <c r="J2221" t="inlineStr">
        <is>
          <t>Sold</t>
        </is>
      </c>
      <c r="K2221" s="6">
        <f>HYPERLINK("https://www.kleinanzeigen.de/s-anzeige/windsurfer-wellenreiter-surfboard-sup-f2-sunset-2-75m-80l/2786464244-230-3133", "Link")</f>
        <v/>
      </c>
      <c r="L2221" s="6">
        <f>HYPERLINK("C:\Projects\Kleinanzeigen-Scraper\offer_images\2786464244", "Link")</f>
        <v/>
      </c>
      <c r="M2221" t="inlineStr">
        <is>
          <t>No user name</t>
        </is>
      </c>
      <c r="N2221" s="6">
        <f>HYPERLINK("https://www.kleinanzeigen.deNo user link", "Link")</f>
        <v/>
      </c>
      <c r="O2221" s="7" t="n">
        <v>45546.57571759259</v>
      </c>
      <c r="P2221" s="3" t="inlineStr">
        <is>
          <t>214.72</t>
        </is>
      </c>
      <c r="Q2221" t="inlineStr">
        <is>
          <t>Köln</t>
        </is>
      </c>
    </row>
    <row r="2222">
      <c r="A2222" t="inlineStr">
        <is>
          <t>239/56</t>
        </is>
      </c>
      <c r="B2222" t="inlineStr">
        <is>
          <t>Tabou Da Curve</t>
        </is>
      </c>
      <c r="C2222" t="inlineStr">
        <is>
          <t>Wave</t>
        </is>
      </c>
      <c r="D2222" s="3" t="n">
        <v>85</v>
      </c>
      <c r="E2222" t="inlineStr"/>
      <c r="F2222" s="4" t="n">
        <v>177</v>
      </c>
      <c r="G2222" t="inlineStr">
        <is>
          <t>VB</t>
        </is>
      </c>
      <c r="H2222" t="inlineStr">
        <is>
          <t>19230 Mecklenburg-Vorpommern - Hoort</t>
        </is>
      </c>
      <c r="I2222" s="5" t="n">
        <v>45543</v>
      </c>
      <c r="J2222" t="inlineStr">
        <is>
          <t>Sold</t>
        </is>
      </c>
      <c r="K2222" s="6">
        <f>HYPERLINK("https://www.kleinanzeigen.de/s-anzeige/windsurfen-waveboard-tabou-da-curve-85/2857744474-230-25011", "Link")</f>
        <v/>
      </c>
      <c r="L2222" s="6">
        <f>HYPERLINK("C:\Projects\Kleinanzeigen-Scraper\offer_images\2857744474", "Link")</f>
        <v/>
      </c>
      <c r="M2222" t="inlineStr">
        <is>
          <t>Andre</t>
        </is>
      </c>
      <c r="N2222" s="6">
        <f>HYPERLINK("https://www.kleinanzeigen.de/s-bestandsliste.html?userId=26896216", "Link")</f>
        <v/>
      </c>
      <c r="O2222" s="7" t="n">
        <v>45546.57564814815</v>
      </c>
      <c r="P2222" s="3" t="inlineStr">
        <is>
          <t>400.92</t>
        </is>
      </c>
      <c r="Q2222" t="inlineStr">
        <is>
          <t>Köln</t>
        </is>
      </c>
    </row>
    <row r="2223">
      <c r="A2223" t="inlineStr">
        <is>
          <t>230 cm x 55 cm</t>
        </is>
      </c>
      <c r="B2223" t="inlineStr">
        <is>
          <t>F2 Guerilla</t>
        </is>
      </c>
      <c r="C2223" t="inlineStr">
        <is>
          <t>Freeride</t>
        </is>
      </c>
      <c r="D2223" s="3" t="n">
        <v>76</v>
      </c>
      <c r="E2223" t="inlineStr"/>
      <c r="F2223" s="4" t="n">
        <v>99</v>
      </c>
      <c r="G2223" t="inlineStr"/>
      <c r="H2223" t="inlineStr">
        <is>
          <t>04416 Sachsen - Markkleeberg</t>
        </is>
      </c>
      <c r="I2223" s="5" t="n">
        <v>45545</v>
      </c>
      <c r="J2223" t="inlineStr">
        <is>
          <t>Sold</t>
        </is>
      </c>
      <c r="K2223" s="6">
        <f>HYPERLINK("https://www.kleinanzeigen.de/s-anzeige/surfboard-surfbrett-f2-guerilla-76-l-windsurfen-1a-zustand/2859817201-230-3911", "Link")</f>
        <v/>
      </c>
      <c r="L2223" s="6">
        <f>HYPERLINK("C:\Projects\Kleinanzeigen-Scraper\offer_images\2859817201", "Link")</f>
        <v/>
      </c>
      <c r="M2223" t="inlineStr">
        <is>
          <t>Stefan</t>
        </is>
      </c>
      <c r="N2223" s="6">
        <f>HYPERLINK("https://www.kleinanzeigen.de/s-bestandsliste.html?userId=139928347", "Link")</f>
        <v/>
      </c>
      <c r="O2223" s="7" t="n">
        <v>45546.57563657407</v>
      </c>
      <c r="P2223" s="3" t="inlineStr">
        <is>
          <t>353.27</t>
        </is>
      </c>
      <c r="Q2223" t="inlineStr">
        <is>
          <t>München</t>
        </is>
      </c>
    </row>
    <row r="2224">
      <c r="A2224" t="inlineStr"/>
      <c r="B2224" t="inlineStr">
        <is>
          <t>F2 Sunset Sport</t>
        </is>
      </c>
      <c r="C2224" t="inlineStr"/>
      <c r="D2224" s="3" t="n">
        <v>144</v>
      </c>
      <c r="E2224" t="inlineStr">
        <is>
          <t>2024</t>
        </is>
      </c>
      <c r="F2224" s="4" t="n">
        <v>1.009</v>
      </c>
      <c r="G2224" t="inlineStr">
        <is>
          <t>VB</t>
        </is>
      </c>
      <c r="H2224" t="inlineStr">
        <is>
          <t>26125 Niedersachsen - Oldenburg</t>
        </is>
      </c>
      <c r="I2224" s="5" t="n">
        <v>45545</v>
      </c>
      <c r="J2224" t="inlineStr">
        <is>
          <t>Sold</t>
        </is>
      </c>
      <c r="K2224" s="6">
        <f>HYPERLINK("https://www.kleinanzeigen.de/s-anzeige/f2-windsurf-board-sunset-sport-inkl-bag-2024-144-l/2859563778-230-3111", "Link")</f>
        <v/>
      </c>
      <c r="L2224" s="6">
        <f>HYPERLINK("C:\Projects\Kleinanzeigen-Scraper\offer_images\2859563778", "Link")</f>
        <v/>
      </c>
      <c r="M2224" t="inlineStr">
        <is>
          <t>No user name</t>
        </is>
      </c>
      <c r="N2224" s="6">
        <f>HYPERLINK("https://www.kleinanzeigen.deNo user link", "Link")</f>
        <v/>
      </c>
      <c r="O2224" s="7" t="n">
        <v>45546.57561342593</v>
      </c>
      <c r="P2224" s="3" t="inlineStr">
        <is>
          <t>264.10</t>
        </is>
      </c>
      <c r="Q2224" t="inlineStr">
        <is>
          <t>Köln</t>
        </is>
      </c>
    </row>
    <row r="2225">
      <c r="A2225" t="inlineStr">
        <is>
          <t>329 cm x 81 cm x 15 cm</t>
        </is>
      </c>
      <c r="B2225" t="inlineStr">
        <is>
          <t>F2 GLIDE</t>
        </is>
      </c>
      <c r="C2225" t="inlineStr">
        <is>
          <t>Windsurf/SUP</t>
        </is>
      </c>
      <c r="D2225" s="3" t="inlineStr"/>
      <c r="E2225" t="inlineStr"/>
      <c r="F2225" s="4" t="n">
        <v>849</v>
      </c>
      <c r="G2225" t="inlineStr"/>
      <c r="H2225" t="inlineStr">
        <is>
          <t>95028 Bayern - Hof (Saale)</t>
        </is>
      </c>
      <c r="I2225" s="5" t="n">
        <v>45546</v>
      </c>
      <c r="J2225" t="inlineStr">
        <is>
          <t>Sold</t>
        </is>
      </c>
      <c r="K2225" s="6">
        <f>HYPERLINK("https://www.kleinanzeigen.de/s-anzeige/f2-glide-windsurf-sup-10-8-grey-board-allround-wing-5-0-qm/2835061840-230-7244", "Link")</f>
        <v/>
      </c>
      <c r="L2225" s="6">
        <f>HYPERLINK("C:\Projects\Kleinanzeigen-Scraper\offer_images\2835061840", "Link")</f>
        <v/>
      </c>
      <c r="M2225" t="inlineStr">
        <is>
          <t>No user name</t>
        </is>
      </c>
      <c r="N2225" s="6">
        <f>HYPERLINK("https://www.kleinanzeigen.deNo user link", "Link")</f>
        <v/>
      </c>
      <c r="O2225" s="7" t="n">
        <v>45546.57552083334</v>
      </c>
      <c r="P2225" s="3" t="inlineStr">
        <is>
          <t>244.83</t>
        </is>
      </c>
      <c r="Q2225" t="inlineStr">
        <is>
          <t>München</t>
        </is>
      </c>
    </row>
    <row r="2226">
      <c r="A2226" t="inlineStr">
        <is>
          <t>10.8</t>
        </is>
      </c>
      <c r="B2226" t="inlineStr">
        <is>
          <t>Starboard IGO Deluxe</t>
        </is>
      </c>
      <c r="C2226" t="inlineStr">
        <is>
          <t>SUP Windsurf</t>
        </is>
      </c>
      <c r="D2226" s="3" t="inlineStr"/>
      <c r="E2226" t="inlineStr">
        <is>
          <t>2023</t>
        </is>
      </c>
      <c r="F2226" s="4" t="n">
        <v>980</v>
      </c>
      <c r="G2226" t="inlineStr">
        <is>
          <t>VB</t>
        </is>
      </c>
      <c r="H2226" t="inlineStr">
        <is>
          <t>23701 Kreis Ostholstein - Eutin</t>
        </is>
      </c>
      <c r="I2226" s="5" t="n">
        <v>45545</v>
      </c>
      <c r="J2226" t="inlineStr"/>
      <c r="K2226" s="6">
        <f>HYPERLINK("https://www.kleinanzeigen.de/s-anzeige/starboard-igo-10-8-deluxe-sup-windsurf/2859177425-230-10552", "Link")</f>
        <v/>
      </c>
      <c r="L2226" s="6">
        <f>HYPERLINK("C:\Projects\Kleinanzeigen-Scraper\offer_images\2859177425", "Link")</f>
        <v/>
      </c>
      <c r="M2226" t="inlineStr">
        <is>
          <t>Alexander</t>
        </is>
      </c>
      <c r="N2226" s="6">
        <f>HYPERLINK("https://www.kleinanzeigen.de/s-bestandsliste.html?userId=36389214", "Link")</f>
        <v/>
      </c>
      <c r="O2226" s="7" t="n">
        <v>45546.57541666667</v>
      </c>
      <c r="P2226" s="3" t="inlineStr">
        <is>
          <t>431.90</t>
        </is>
      </c>
      <c r="Q2226" t="inlineStr">
        <is>
          <t>Köln</t>
        </is>
      </c>
    </row>
    <row r="2227">
      <c r="A2227" t="inlineStr">
        <is>
          <t>242 cm x 66 cm</t>
        </is>
      </c>
      <c r="B2227" t="inlineStr">
        <is>
          <t>Tabou 3S LTD</t>
        </is>
      </c>
      <c r="C2227" t="inlineStr">
        <is>
          <t>Freeride</t>
        </is>
      </c>
      <c r="D2227" s="3" t="n">
        <v>116</v>
      </c>
      <c r="E2227" t="inlineStr"/>
      <c r="F2227" s="4" t="n">
        <v>600</v>
      </c>
      <c r="G2227" t="inlineStr">
        <is>
          <t>VB</t>
        </is>
      </c>
      <c r="H2227" t="inlineStr">
        <is>
          <t>67071 Ludwigshafen</t>
        </is>
      </c>
      <c r="I2227" s="5" t="n">
        <v>45544</v>
      </c>
      <c r="J2227" t="inlineStr">
        <is>
          <t>Sold</t>
        </is>
      </c>
      <c r="K2227" s="6">
        <f>HYPERLINK("https://www.dailydose.de/kleinanzeigen/detail.htm?ai=422305&amp;cf=kk&amp;pg=5&amp;ci=11", "Link")</f>
        <v/>
      </c>
      <c r="L2227" s="6">
        <f>HYPERLINK("C:\Projects\Kleinanzeigen-Scraper\offer_images\422305", "Link")</f>
        <v/>
      </c>
      <c r="M2227" t="inlineStr">
        <is>
          <t>windsun</t>
        </is>
      </c>
      <c r="N2227" s="6">
        <f>HYPERLINK("https://www.dailydose.de/kleinanzeigen/user/25093", "Link")</f>
        <v/>
      </c>
      <c r="O2227" s="7" t="n">
        <v>45545.865625</v>
      </c>
      <c r="P2227" s="3" t="inlineStr">
        <is>
          <t>52.34</t>
        </is>
      </c>
      <c r="Q2227" t="inlineStr">
        <is>
          <t>Karlsruhe</t>
        </is>
      </c>
    </row>
    <row r="2228">
      <c r="A2228" t="inlineStr"/>
      <c r="B2228" t="inlineStr">
        <is>
          <t>RRD Firewave</t>
        </is>
      </c>
      <c r="C2228" t="inlineStr"/>
      <c r="D2228" s="3" t="n">
        <v>82</v>
      </c>
      <c r="E2228" t="inlineStr"/>
      <c r="F2228" s="4" t="n">
        <v>190</v>
      </c>
      <c r="G2228" t="inlineStr"/>
      <c r="H2228" t="inlineStr">
        <is>
          <t>24116 Kiel</t>
        </is>
      </c>
      <c r="I2228" s="5" t="n">
        <v>45545</v>
      </c>
      <c r="J2228" t="inlineStr">
        <is>
          <t>Sold</t>
        </is>
      </c>
      <c r="K2228" s="6">
        <f>HYPERLINK("https://www.dailydose.de/kleinanzeigen/detail.htm?ai=422318&amp;cf=kk&amp;pg=5&amp;ci=11", "Link")</f>
        <v/>
      </c>
      <c r="L2228" s="6">
        <f>HYPERLINK("C:\Projects\Kleinanzeigen-Scraper\offer_images\422318", "Link")</f>
        <v/>
      </c>
      <c r="M2228" t="inlineStr">
        <is>
          <t>Uli_28</t>
        </is>
      </c>
      <c r="N2228" s="6">
        <f>HYPERLINK("https://www.dailydose.de/kleinanzeigen/user/4139", "Link")</f>
        <v/>
      </c>
      <c r="O2228" s="7" t="n">
        <v>45545.86559027778</v>
      </c>
      <c r="P2228" s="3" t="inlineStr">
        <is>
          <t>432.62</t>
        </is>
      </c>
      <c r="Q2228" t="inlineStr">
        <is>
          <t>Köln</t>
        </is>
      </c>
    </row>
    <row r="2229">
      <c r="A2229" t="inlineStr">
        <is>
          <t>242 cm x 66 cm</t>
        </is>
      </c>
      <c r="B2229" t="inlineStr">
        <is>
          <t>Tabou Rocket</t>
        </is>
      </c>
      <c r="C2229" t="inlineStr">
        <is>
          <t>Freeride</t>
        </is>
      </c>
      <c r="D2229" s="3" t="n">
        <v>115</v>
      </c>
      <c r="E2229" t="inlineStr"/>
      <c r="F2229" s="4" t="n">
        <v>490</v>
      </c>
      <c r="G2229" t="inlineStr">
        <is>
          <t>VB</t>
        </is>
      </c>
      <c r="H2229" t="inlineStr">
        <is>
          <t>81929 München</t>
        </is>
      </c>
      <c r="I2229" s="5" t="n">
        <v>45545</v>
      </c>
      <c r="J2229" t="inlineStr">
        <is>
          <t>Sold</t>
        </is>
      </c>
      <c r="K2229" s="6">
        <f>HYPERLINK("https://www.dailydose.de/kleinanzeigen/detail.htm?ai=422327&amp;cf=kk&amp;pg=2&amp;ci=11", "Link")</f>
        <v/>
      </c>
      <c r="L2229" s="6">
        <f>HYPERLINK("C:\Projects\Kleinanzeigen-Scraper\offer_images\422327", "Link")</f>
        <v/>
      </c>
      <c r="M2229" t="inlineStr">
        <is>
          <t>Kristian_11</t>
        </is>
      </c>
      <c r="N2229" s="6">
        <f>HYPERLINK("https://www.dailydose.de/kleinanzeigen/user/13808", "Link")</f>
        <v/>
      </c>
      <c r="O2229" s="7" t="n">
        <v>45545.8640625</v>
      </c>
      <c r="P2229" s="3" t="inlineStr">
        <is>
          <t>6.89</t>
        </is>
      </c>
      <c r="Q2229" t="inlineStr">
        <is>
          <t>München</t>
        </is>
      </c>
    </row>
    <row r="2230">
      <c r="A2230" t="inlineStr"/>
      <c r="B2230" t="inlineStr">
        <is>
          <t>Fanatic Falcon</t>
        </is>
      </c>
      <c r="C2230" t="inlineStr">
        <is>
          <t>Foil</t>
        </is>
      </c>
      <c r="D2230" s="3" t="inlineStr"/>
      <c r="E2230" t="inlineStr"/>
      <c r="F2230" s="4" t="inlineStr">
        <is>
          <t>899 FP</t>
        </is>
      </c>
      <c r="G2230" t="inlineStr"/>
      <c r="H2230" t="inlineStr">
        <is>
          <t>83236 Chiemsee</t>
        </is>
      </c>
      <c r="I2230" s="5" t="n">
        <v>45545</v>
      </c>
      <c r="J2230" t="inlineStr">
        <is>
          <t>Sold</t>
        </is>
      </c>
      <c r="K2230" s="6">
        <f>HYPERLINK("https://www.dailydose.de/kleinanzeigen/detail.htm?ai=422336&amp;cf=kk&amp;pg=5&amp;ci=11", "Link")</f>
        <v/>
      </c>
      <c r="L2230" s="6">
        <f>HYPERLINK("C:\Projects\Kleinanzeigen-Scraper\offer_images\422336", "Link")</f>
        <v/>
      </c>
      <c r="M2230" t="inlineStr">
        <is>
          <t>Markus Buchner</t>
        </is>
      </c>
      <c r="N2230" s="6">
        <f>HYPERLINK("https://www.dailydose.de/kleinanzeigen/user/19350", "Link")</f>
        <v/>
      </c>
      <c r="O2230" s="7" t="n">
        <v>45545.86393518518</v>
      </c>
      <c r="P2230" s="3" t="inlineStr">
        <is>
          <t>76.24</t>
        </is>
      </c>
      <c r="Q2230" t="inlineStr">
        <is>
          <t>München</t>
        </is>
      </c>
    </row>
    <row r="2231">
      <c r="A2231" t="inlineStr">
        <is>
          <t>234 cm x 64 cm</t>
        </is>
      </c>
      <c r="B2231" t="inlineStr">
        <is>
          <t>JP Freestyle Wave</t>
        </is>
      </c>
      <c r="C2231" t="inlineStr">
        <is>
          <t>Freestyle Wave</t>
        </is>
      </c>
      <c r="D2231" s="3" t="n">
        <v>111</v>
      </c>
      <c r="E2231" t="inlineStr"/>
      <c r="F2231" s="4" t="n">
        <v>500</v>
      </c>
      <c r="G2231" t="inlineStr">
        <is>
          <t>VB</t>
        </is>
      </c>
      <c r="H2231" t="inlineStr">
        <is>
          <t>67071 Ludwigshafen</t>
        </is>
      </c>
      <c r="I2231" s="5" t="n">
        <v>45544</v>
      </c>
      <c r="J2231" t="inlineStr">
        <is>
          <t>Sold</t>
        </is>
      </c>
      <c r="K2231" s="6">
        <f>HYPERLINK("https://www.dailydose.de/kleinanzeigen/detail.htm?ai=422304&amp;cf=kk&amp;pg=3&amp;ci=11", "Link")</f>
        <v/>
      </c>
      <c r="L2231" s="6">
        <f>HYPERLINK("C:\Projects\Kleinanzeigen-Scraper\offer_images\422304", "Link")</f>
        <v/>
      </c>
      <c r="M2231" t="inlineStr">
        <is>
          <t>windsun</t>
        </is>
      </c>
      <c r="N2231" s="6">
        <f>HYPERLINK("https://www.dailydose.de/kleinanzeigen/user/25093", "Link")</f>
        <v/>
      </c>
      <c r="O2231" s="7" t="n">
        <v>45545.86373842593</v>
      </c>
      <c r="P2231" s="3" t="inlineStr">
        <is>
          <t>52.34</t>
        </is>
      </c>
      <c r="Q2231" t="inlineStr">
        <is>
          <t>Karlsruhe</t>
        </is>
      </c>
    </row>
    <row r="2232">
      <c r="A2232" t="inlineStr"/>
      <c r="B2232" t="inlineStr">
        <is>
          <t>Malibu Concept</t>
        </is>
      </c>
      <c r="C2232" t="inlineStr">
        <is>
          <t>Freeride</t>
        </is>
      </c>
      <c r="D2232" s="3" t="n">
        <v>175</v>
      </c>
      <c r="E2232" t="inlineStr">
        <is>
          <t>2000</t>
        </is>
      </c>
      <c r="F2232" s="4" t="n">
        <v>250</v>
      </c>
      <c r="G2232" t="inlineStr"/>
      <c r="H2232" t="inlineStr">
        <is>
          <t>12526 BERLIN</t>
        </is>
      </c>
      <c r="I2232" s="5" t="n">
        <v>45545</v>
      </c>
      <c r="J2232" t="inlineStr">
        <is>
          <t>Sold</t>
        </is>
      </c>
      <c r="K2232" s="6">
        <f>HYPERLINK("https://www.dailydose.de/kleinanzeigen/detail.htm?ai=422338&amp;cf=kk&amp;pg=5&amp;ci=11", "Link")</f>
        <v/>
      </c>
      <c r="L2232" s="6">
        <f>HYPERLINK("C:\Projects\Kleinanzeigen-Scraper\offer_images\422338", "Link")</f>
        <v/>
      </c>
      <c r="M2232" t="inlineStr">
        <is>
          <t>surfi_159</t>
        </is>
      </c>
      <c r="N2232" s="6">
        <f>HYPERLINK("https://www.dailydose.de/kleinanzeigen/user/17564", "Link")</f>
        <v/>
      </c>
      <c r="O2232" s="7" t="n">
        <v>45545.86364583333</v>
      </c>
      <c r="P2232" s="3" t="inlineStr">
        <is>
          <t>484.42</t>
        </is>
      </c>
      <c r="Q2232" t="inlineStr">
        <is>
          <t>Köln</t>
        </is>
      </c>
    </row>
    <row r="2233">
      <c r="A2233" t="inlineStr"/>
      <c r="B2233" t="inlineStr">
        <is>
          <t>Tabou 3S</t>
        </is>
      </c>
      <c r="C2233" t="inlineStr">
        <is>
          <t>Freeride</t>
        </is>
      </c>
      <c r="D2233" s="3" t="n">
        <v>106</v>
      </c>
      <c r="E2233" t="inlineStr"/>
      <c r="F2233" s="4" t="n">
        <v>900</v>
      </c>
      <c r="G2233" t="inlineStr"/>
      <c r="H2233" t="inlineStr">
        <is>
          <t>17207 Müritz</t>
        </is>
      </c>
      <c r="I2233" s="5" t="n">
        <v>45545</v>
      </c>
      <c r="J2233" t="inlineStr">
        <is>
          <t>Sold</t>
        </is>
      </c>
      <c r="K2233" s="6">
        <f>HYPERLINK("https://www.dailydose.de/kleinanzeigen/detail.htm?ai=422355&amp;cf=kk&amp;pg=5&amp;ci=11", "Link")</f>
        <v/>
      </c>
      <c r="L2233" s="6">
        <f>HYPERLINK("C:\Projects\Kleinanzeigen-Scraper\offer_images\422355", "Link")</f>
        <v/>
      </c>
      <c r="M2233" t="inlineStr">
        <is>
          <t>ralf_81</t>
        </is>
      </c>
      <c r="N2233" s="6">
        <f>HYPERLINK("https://www.dailydose.de/kleinanzeigen/user/7730", "Link")</f>
        <v/>
      </c>
      <c r="O2233" s="7" t="n">
        <v>45545.8634837963</v>
      </c>
      <c r="P2233" s="3" t="inlineStr">
        <is>
          <t>470.71</t>
        </is>
      </c>
      <c r="Q2233" t="inlineStr">
        <is>
          <t>Köln</t>
        </is>
      </c>
    </row>
    <row r="2234">
      <c r="A2234" t="inlineStr"/>
      <c r="B2234" t="inlineStr">
        <is>
          <t>Lorch Offroad</t>
        </is>
      </c>
      <c r="C2234" t="inlineStr">
        <is>
          <t>Freeride</t>
        </is>
      </c>
      <c r="D2234" s="3" t="n">
        <v>114</v>
      </c>
      <c r="E2234" t="inlineStr"/>
      <c r="F2234" s="4" t="n">
        <v>650</v>
      </c>
      <c r="G2234" t="inlineStr"/>
      <c r="H2234" t="inlineStr">
        <is>
          <t>23775 Großenbrode</t>
        </is>
      </c>
      <c r="I2234" s="5" t="n">
        <v>45545</v>
      </c>
      <c r="J2234" t="inlineStr">
        <is>
          <t>Sold</t>
        </is>
      </c>
      <c r="K2234" s="6">
        <f>HYPERLINK("https://www.dailydose.de/kleinanzeigen/detail.htm?ai=422348&amp;cf=kk&amp;pg=5&amp;ci=11", "Link")</f>
        <v/>
      </c>
      <c r="L2234" s="6">
        <f>HYPERLINK("C:\Projects\Kleinanzeigen-Scraper\offer_images\422348", "Link")</f>
        <v/>
      </c>
      <c r="M2234" t="inlineStr">
        <is>
          <t>Winni</t>
        </is>
      </c>
      <c r="N2234" s="6">
        <f>HYPERLINK("https://www.dailydose.de/kleinanzeigen/user/25032", "Link")</f>
        <v/>
      </c>
      <c r="O2234" s="7" t="n">
        <v>45545.86333333333</v>
      </c>
      <c r="P2234" s="3" t="inlineStr">
        <is>
          <t>471.97</t>
        </is>
      </c>
      <c r="Q2234" t="inlineStr">
        <is>
          <t>Köln</t>
        </is>
      </c>
    </row>
    <row r="2235">
      <c r="A2235" t="inlineStr">
        <is>
          <t>96</t>
        </is>
      </c>
      <c r="B2235" t="inlineStr">
        <is>
          <t>RRD FSW</t>
        </is>
      </c>
      <c r="C2235" t="inlineStr">
        <is>
          <t>Freestyle Wave</t>
        </is>
      </c>
      <c r="D2235" s="3" t="inlineStr"/>
      <c r="E2235" t="inlineStr">
        <is>
          <t>2021</t>
        </is>
      </c>
      <c r="F2235" s="4" t="n">
        <v>790</v>
      </c>
      <c r="G2235" t="inlineStr"/>
      <c r="H2235" t="inlineStr">
        <is>
          <t>30519 Hannover</t>
        </is>
      </c>
      <c r="I2235" s="5" t="n">
        <v>45545</v>
      </c>
      <c r="J2235" t="inlineStr">
        <is>
          <t>Sold</t>
        </is>
      </c>
      <c r="K2235" s="6">
        <f>HYPERLINK("https://www.dailydose.de/kleinanzeigen/detail.htm?ai=422349&amp;cf=kk&amp;pg=5&amp;ci=11", "Link")</f>
        <v/>
      </c>
      <c r="L2235" s="6">
        <f>HYPERLINK("C:\Projects\Kleinanzeigen-Scraper\offer_images\422349", "Link")</f>
        <v/>
      </c>
      <c r="M2235" t="inlineStr">
        <is>
          <t>Reiner_12</t>
        </is>
      </c>
      <c r="N2235" s="6">
        <f>HYPERLINK("https://www.dailydose.de/kleinanzeigen/user/19819", "Link")</f>
        <v/>
      </c>
      <c r="O2235" s="7" t="n">
        <v>45545.86329861111</v>
      </c>
      <c r="P2235" s="3" t="inlineStr">
        <is>
          <t>248.98</t>
        </is>
      </c>
      <c r="Q2235" t="inlineStr">
        <is>
          <t>Köln</t>
        </is>
      </c>
    </row>
    <row r="2236">
      <c r="A2236" t="inlineStr">
        <is>
          <t>81 x 237</t>
        </is>
      </c>
      <c r="B2236" t="inlineStr">
        <is>
          <t>Tabou Rocket + 133 LTD</t>
        </is>
      </c>
      <c r="C2236" t="inlineStr">
        <is>
          <t>Freeride</t>
        </is>
      </c>
      <c r="D2236" s="3" t="n">
        <v>133</v>
      </c>
      <c r="E2236" t="inlineStr">
        <is>
          <t>2022</t>
        </is>
      </c>
      <c r="F2236" s="4" t="n">
        <v>850</v>
      </c>
      <c r="G2236" t="inlineStr"/>
      <c r="H2236" t="inlineStr">
        <is>
          <t>23775  Großenbrode</t>
        </is>
      </c>
      <c r="I2236" s="5" t="n">
        <v>45545</v>
      </c>
      <c r="J2236" t="inlineStr">
        <is>
          <t>Sold</t>
        </is>
      </c>
      <c r="K2236" s="6">
        <f>HYPERLINK("https://www.dailydose.de/kleinanzeigen/detail.htm?ai=422340&amp;cf=kk&amp;pg=1&amp;ci=11", "Link")</f>
        <v/>
      </c>
      <c r="L2236" s="6">
        <f>HYPERLINK("C:\Projects\Kleinanzeigen-Scraper\offer_images\422340", "Link")</f>
        <v/>
      </c>
      <c r="M2236" t="inlineStr">
        <is>
          <t>Holger_156</t>
        </is>
      </c>
      <c r="N2236" s="6">
        <f>HYPERLINK("https://www.dailydose.de/kleinanzeigen/user/10571", "Link")</f>
        <v/>
      </c>
      <c r="O2236" s="7" t="n">
        <v>45545.8631712963</v>
      </c>
      <c r="P2236" s="3" t="inlineStr">
        <is>
          <t>471.97</t>
        </is>
      </c>
      <c r="Q2236" t="inlineStr">
        <is>
          <t>Köln</t>
        </is>
      </c>
    </row>
    <row r="2237">
      <c r="A2237" t="inlineStr">
        <is>
          <t>269 cm x 67 cm</t>
        </is>
      </c>
      <c r="B2237" t="inlineStr">
        <is>
          <t>Starboard RIO</t>
        </is>
      </c>
      <c r="C2237" t="inlineStr">
        <is>
          <t>Freeride</t>
        </is>
      </c>
      <c r="D2237" s="3" t="n">
        <v>180</v>
      </c>
      <c r="E2237" t="inlineStr"/>
      <c r="F2237" s="4" t="n">
        <v>475</v>
      </c>
      <c r="G2237" t="inlineStr">
        <is>
          <t>VB</t>
        </is>
      </c>
      <c r="H2237" t="inlineStr">
        <is>
          <t>23909 Ratzeburg</t>
        </is>
      </c>
      <c r="I2237" s="5" t="n">
        <v>45545</v>
      </c>
      <c r="J2237" t="inlineStr">
        <is>
          <t>Sold</t>
        </is>
      </c>
      <c r="K2237" s="6">
        <f>HYPERLINK("https://www.dailydose.de/kleinanzeigen/detail.htm?ai=422326&amp;cf=kk&amp;pg=3&amp;ci=11", "Link")</f>
        <v/>
      </c>
      <c r="L2237" s="6">
        <f>HYPERLINK("C:\Projects\Kleinanzeigen-Scraper\offer_images\422326", "Link")</f>
        <v/>
      </c>
      <c r="M2237" t="inlineStr">
        <is>
          <t>Insider</t>
        </is>
      </c>
      <c r="N2237" s="6">
        <f>HYPERLINK("https://www.dailydose.de/kleinanzeigen/user/20603", "Link")</f>
        <v/>
      </c>
      <c r="O2237" s="7" t="n">
        <v>45545.86297453703</v>
      </c>
      <c r="P2237" s="3" t="inlineStr">
        <is>
          <t>401.75</t>
        </is>
      </c>
      <c r="Q2237" t="inlineStr">
        <is>
          <t>Köln</t>
        </is>
      </c>
    </row>
    <row r="2238">
      <c r="A2238" t="inlineStr">
        <is>
          <t>230 cm x 90 cm</t>
        </is>
      </c>
      <c r="B2238" t="inlineStr">
        <is>
          <t>Fanatic Falcon Lightwind</t>
        </is>
      </c>
      <c r="C2238" t="inlineStr">
        <is>
          <t>Freeride</t>
        </is>
      </c>
      <c r="D2238" s="3" t="n">
        <v>159</v>
      </c>
      <c r="E2238" t="inlineStr"/>
      <c r="F2238" s="4" t="n">
        <v>490</v>
      </c>
      <c r="G2238" t="inlineStr"/>
      <c r="H2238" t="inlineStr">
        <is>
          <t>83236 Chiemsee</t>
        </is>
      </c>
      <c r="I2238" s="5" t="n">
        <v>45545</v>
      </c>
      <c r="J2238" t="inlineStr">
        <is>
          <t>Sold</t>
        </is>
      </c>
      <c r="K2238" s="6">
        <f>HYPERLINK("https://www.dailydose.de/kleinanzeigen/detail.htm?ai=422359&amp;cf=kk&amp;pg=5&amp;ci=11", "Link")</f>
        <v/>
      </c>
      <c r="L2238" s="6">
        <f>HYPERLINK("C:\Projects\Kleinanzeigen-Scraper\offer_images\422359", "Link")</f>
        <v/>
      </c>
      <c r="M2238" t="inlineStr">
        <is>
          <t>Markus Buchner</t>
        </is>
      </c>
      <c r="N2238" s="6">
        <f>HYPERLINK("https://www.dailydose.de/kleinanzeigen/user/19350", "Link")</f>
        <v/>
      </c>
      <c r="O2238" s="7" t="n">
        <v>45545.86297453703</v>
      </c>
      <c r="P2238" s="3" t="inlineStr">
        <is>
          <t>76.24</t>
        </is>
      </c>
      <c r="Q2238" t="inlineStr">
        <is>
          <t>München</t>
        </is>
      </c>
    </row>
    <row r="2239">
      <c r="A2239" t="inlineStr">
        <is>
          <t>237 cm x 81 cm</t>
        </is>
      </c>
      <c r="B2239" t="inlineStr">
        <is>
          <t>Tabou Rocket Plus Team</t>
        </is>
      </c>
      <c r="C2239" t="inlineStr">
        <is>
          <t>Freeride</t>
        </is>
      </c>
      <c r="D2239" s="3" t="n">
        <v>133</v>
      </c>
      <c r="E2239" t="inlineStr"/>
      <c r="F2239" s="4" t="n">
        <v>1400</v>
      </c>
      <c r="G2239" t="inlineStr">
        <is>
          <t>VB</t>
        </is>
      </c>
      <c r="H2239" t="inlineStr">
        <is>
          <t>67071 Ludwigshafen</t>
        </is>
      </c>
      <c r="I2239" s="5" t="n">
        <v>45544</v>
      </c>
      <c r="J2239" t="inlineStr">
        <is>
          <t>Sold</t>
        </is>
      </c>
      <c r="K2239" s="6">
        <f>HYPERLINK("https://www.dailydose.de/kleinanzeigen/detail.htm?ai=422303&amp;cf=kk&amp;pg=3&amp;ci=11", "Link")</f>
        <v/>
      </c>
      <c r="L2239" s="6">
        <f>HYPERLINK("C:\Projects\Kleinanzeigen-Scraper\offer_images\422303", "Link")</f>
        <v/>
      </c>
      <c r="M2239" t="inlineStr">
        <is>
          <t>windsun</t>
        </is>
      </c>
      <c r="N2239" s="6">
        <f>HYPERLINK("https://www.dailydose.de/kleinanzeigen/user/25093", "Link")</f>
        <v/>
      </c>
      <c r="O2239" s="7" t="n">
        <v>45545.86287037037</v>
      </c>
      <c r="P2239" s="3" t="inlineStr">
        <is>
          <t>52.34</t>
        </is>
      </c>
      <c r="Q2239" t="inlineStr">
        <is>
          <t>Karlsruhe</t>
        </is>
      </c>
    </row>
    <row r="2240">
      <c r="A2240" t="inlineStr">
        <is>
          <t>285 x 94</t>
        </is>
      </c>
      <c r="B2240" t="inlineStr">
        <is>
          <t>F2 Sputnik</t>
        </is>
      </c>
      <c r="C2240" t="inlineStr">
        <is>
          <t>Freeride</t>
        </is>
      </c>
      <c r="D2240" s="3" t="n">
        <v>110</v>
      </c>
      <c r="E2240" t="inlineStr"/>
      <c r="F2240" s="4" t="n">
        <v>65</v>
      </c>
      <c r="G2240" t="inlineStr"/>
      <c r="H2240" t="inlineStr">
        <is>
          <t>12527 Berlin</t>
        </is>
      </c>
      <c r="I2240" s="5" t="n">
        <v>45544</v>
      </c>
      <c r="J2240" t="inlineStr">
        <is>
          <t>Sold</t>
        </is>
      </c>
      <c r="K2240" s="6">
        <f>HYPERLINK("https://www.dailydose.de/kleinanzeigen/detail.htm?ai=422297&amp;cf=kk&amp;pg=5&amp;ci=11", "Link")</f>
        <v/>
      </c>
      <c r="L2240" s="6">
        <f>HYPERLINK("C:\Projects\Kleinanzeigen-Scraper\offer_images\422297", "Link")</f>
        <v/>
      </c>
      <c r="M2240" t="inlineStr">
        <is>
          <t>stg</t>
        </is>
      </c>
      <c r="N2240" s="6">
        <f>HYPERLINK("https://www.dailydose.de/kleinanzeigen/user/22114", "Link")</f>
        <v/>
      </c>
      <c r="O2240" s="7" t="n">
        <v>45545.86239583333</v>
      </c>
      <c r="P2240" s="3" t="inlineStr">
        <is>
          <t>487.71</t>
        </is>
      </c>
      <c r="Q2240" t="inlineStr">
        <is>
          <t>Köln</t>
        </is>
      </c>
    </row>
    <row r="2241">
      <c r="A2241" t="inlineStr"/>
      <c r="B2241" t="inlineStr">
        <is>
          <t>Fanatic Grip TE</t>
        </is>
      </c>
      <c r="C2241" t="inlineStr">
        <is>
          <t>Freestyle</t>
        </is>
      </c>
      <c r="D2241" s="3" t="n">
        <v>76</v>
      </c>
      <c r="E2241" t="inlineStr">
        <is>
          <t>2018</t>
        </is>
      </c>
      <c r="F2241" s="4" t="n">
        <v>600</v>
      </c>
      <c r="G2241" t="inlineStr">
        <is>
          <t>VB</t>
        </is>
      </c>
      <c r="H2241" t="inlineStr">
        <is>
          <t>18055 Rostock</t>
        </is>
      </c>
      <c r="I2241" s="5" t="n">
        <v>45545</v>
      </c>
      <c r="J2241" t="inlineStr">
        <is>
          <t>Sold</t>
        </is>
      </c>
      <c r="K2241" s="6">
        <f>HYPERLINK("https://www.dailydose.de/kleinanzeigen/detail.htm?ai=422317&amp;cf=kk&amp;pg=5&amp;ci=11", "Link")</f>
        <v/>
      </c>
      <c r="L2241" s="6">
        <f>HYPERLINK("C:\Projects\Kleinanzeigen-Scraper\offer_images\422317", "Link")</f>
        <v/>
      </c>
      <c r="M2241" t="inlineStr">
        <is>
          <t>Flo_137</t>
        </is>
      </c>
      <c r="N2241" s="6">
        <f>HYPERLINK("https://www.dailydose.de/kleinanzeigen/user/20623", "Link")</f>
        <v/>
      </c>
      <c r="O2241" s="7" t="n">
        <v>45545.8622337963</v>
      </c>
      <c r="P2241" s="3" t="inlineStr">
        <is>
          <t>496.50</t>
        </is>
      </c>
      <c r="Q2241" t="inlineStr">
        <is>
          <t>Köln</t>
        </is>
      </c>
    </row>
    <row r="2242">
      <c r="A2242" t="inlineStr">
        <is>
          <t>249 x 63.5 cm</t>
        </is>
      </c>
      <c r="B2242" t="inlineStr">
        <is>
          <t>BIC Tabou</t>
        </is>
      </c>
      <c r="C2242" t="inlineStr">
        <is>
          <t>Freestyle</t>
        </is>
      </c>
      <c r="D2242" s="3" t="n">
        <v>108</v>
      </c>
      <c r="E2242" t="inlineStr"/>
      <c r="F2242" s="4" t="n">
        <v>395</v>
      </c>
      <c r="G2242" t="inlineStr"/>
      <c r="H2242" t="inlineStr">
        <is>
          <t>88316 Baden-Württemberg - Isny im Allgäu</t>
        </is>
      </c>
      <c r="I2242" s="5" t="n">
        <v>45544</v>
      </c>
      <c r="J2242" t="inlineStr">
        <is>
          <t>Sold</t>
        </is>
      </c>
      <c r="K2242" s="6">
        <f>HYPERLINK("https://www.kleinanzeigen.de/s-anzeige/bic-tabou-3s-108-l-freestyle-windsurf-board/2858824685-230-8085", "Link")</f>
        <v/>
      </c>
      <c r="L2242" s="6">
        <f>HYPERLINK("C:\Projects\Kleinanzeigen-Scraper\offer_images\2858824685", "Link")</f>
        <v/>
      </c>
      <c r="M2242" t="inlineStr">
        <is>
          <t>Roger</t>
        </is>
      </c>
      <c r="N2242" s="6">
        <f>HYPERLINK("https://www.kleinanzeigen.de/s-bestandsliste.html?userId=5466740", "Link")</f>
        <v/>
      </c>
      <c r="O2242" s="7" t="n">
        <v>45545.86164351852</v>
      </c>
      <c r="P2242" s="3" t="inlineStr">
        <is>
          <t>122.71</t>
        </is>
      </c>
      <c r="Q2242" t="inlineStr">
        <is>
          <t>München</t>
        </is>
      </c>
    </row>
    <row r="2243">
      <c r="A2243" t="inlineStr">
        <is>
          <t>280 x 85 x 15 cm</t>
        </is>
      </c>
      <c r="B2243" t="inlineStr">
        <is>
          <t>STX iWindsurf</t>
        </is>
      </c>
      <c r="C2243" t="inlineStr"/>
      <c r="D2243" s="3" t="n">
        <v>280</v>
      </c>
      <c r="E2243" t="inlineStr">
        <is>
          <t>2022</t>
        </is>
      </c>
      <c r="F2243" s="4" t="n">
        <v>669</v>
      </c>
      <c r="G2243" t="inlineStr"/>
      <c r="H2243" t="inlineStr">
        <is>
          <t>82319 Bayern - Starnberg</t>
        </is>
      </c>
      <c r="I2243" s="5" t="n">
        <v>45543</v>
      </c>
      <c r="J2243" t="inlineStr">
        <is>
          <t>Sold</t>
        </is>
      </c>
      <c r="K2243" s="6">
        <f>HYPERLINK("https://www.kleinanzeigen.de/s-anzeige/stx-iwindsurf-280-x-85-x-6-rs-windsurf-brett-neu/2704457699-84-5525", "Link")</f>
        <v/>
      </c>
      <c r="L2243" s="6">
        <f>HYPERLINK("C:\Projects\Kleinanzeigen-Scraper\offer_images\2704457699", "Link")</f>
        <v/>
      </c>
      <c r="M2243" t="inlineStr">
        <is>
          <t>No user name</t>
        </is>
      </c>
      <c r="N2243" s="6">
        <f>HYPERLINK("https://www.kleinanzeigen.deNo user link", "Link")</f>
        <v/>
      </c>
      <c r="O2243" s="7" t="n">
        <v>45545.8615625</v>
      </c>
      <c r="P2243" s="3" t="inlineStr">
        <is>
          <t>23.17</t>
        </is>
      </c>
      <c r="Q2243" t="inlineStr">
        <is>
          <t>München</t>
        </is>
      </c>
    </row>
    <row r="2244">
      <c r="A2244" t="inlineStr">
        <is>
          <t>122</t>
        </is>
      </c>
      <c r="B2244" t="inlineStr">
        <is>
          <t>JP Australia Super Sport</t>
        </is>
      </c>
      <c r="C2244" t="inlineStr">
        <is>
          <t>Freeride</t>
        </is>
      </c>
      <c r="D2244" s="3" t="inlineStr"/>
      <c r="E2244" t="inlineStr">
        <is>
          <t>2020 or 2021</t>
        </is>
      </c>
      <c r="F2244" s="4" t="n">
        <v>900</v>
      </c>
      <c r="G2244" t="inlineStr">
        <is>
          <t>VB</t>
        </is>
      </c>
      <c r="H2244" t="inlineStr">
        <is>
          <t>51147 Köln - Porz</t>
        </is>
      </c>
      <c r="I2244" s="5" t="n">
        <v>45542</v>
      </c>
      <c r="J2244" t="inlineStr">
        <is>
          <t>Sold</t>
        </is>
      </c>
      <c r="K2244" s="6">
        <f>HYPERLINK("https://www.kleinanzeigen.de/s-anzeige/jp-australia-super-sport-122i-windsurfen-surfbrett/2856568237-230-961", "Link")</f>
        <v/>
      </c>
      <c r="L2244" s="6">
        <f>HYPERLINK("C:\Projects\Kleinanzeigen-Scraper\offer_images\2856568237", "Link")</f>
        <v/>
      </c>
      <c r="M2244" t="inlineStr">
        <is>
          <t>David Maes</t>
        </is>
      </c>
      <c r="N2244" s="6">
        <f>HYPERLINK("https://www.kleinanzeigen.de/s-bestandsliste.html?userId=34144277", "Link")</f>
        <v/>
      </c>
      <c r="O2244" s="7" t="n">
        <v>45545.86146990741</v>
      </c>
      <c r="P2244" s="3" t="inlineStr">
        <is>
          <t>14.27</t>
        </is>
      </c>
      <c r="Q2244" t="inlineStr">
        <is>
          <t>Köln</t>
        </is>
      </c>
    </row>
    <row r="2245">
      <c r="A2245" t="inlineStr"/>
      <c r="B2245" t="inlineStr">
        <is>
          <t>Fanatic Stubby TE</t>
        </is>
      </c>
      <c r="C2245" t="inlineStr"/>
      <c r="D2245" s="3" t="n">
        <v>77</v>
      </c>
      <c r="E2245" t="inlineStr"/>
      <c r="F2245" s="4" t="n">
        <v>425</v>
      </c>
      <c r="G2245" t="inlineStr">
        <is>
          <t>VB</t>
        </is>
      </c>
      <c r="H2245" t="inlineStr">
        <is>
          <t>23568 Lübeck - St. Gertrud</t>
        </is>
      </c>
      <c r="I2245" s="5" t="n">
        <v>45542</v>
      </c>
      <c r="J2245" t="inlineStr">
        <is>
          <t>Sold</t>
        </is>
      </c>
      <c r="K2245" s="6">
        <f>HYPERLINK("https://www.kleinanzeigen.de/s-anzeige/fanatic-stubby-te-in-77-l-windsurf-board/2856295393-230-24240", "Link")</f>
        <v/>
      </c>
      <c r="L2245" s="6">
        <f>HYPERLINK("C:\Projects\Kleinanzeigen-Scraper\offer_images\2856295393", "Link")</f>
        <v/>
      </c>
      <c r="M2245" t="inlineStr">
        <is>
          <t>Lasse</t>
        </is>
      </c>
      <c r="N2245" s="6">
        <f>HYPERLINK("https://www.kleinanzeigen.de/s-bestandsliste.html?userId=139391162", "Link")</f>
        <v/>
      </c>
      <c r="O2245" s="7" t="n">
        <v>45545.86144675926</v>
      </c>
      <c r="P2245" s="3" t="inlineStr">
        <is>
          <t>418.25</t>
        </is>
      </c>
      <c r="Q2245" t="inlineStr">
        <is>
          <t>Köln</t>
        </is>
      </c>
    </row>
    <row r="2246">
      <c r="A2246" t="inlineStr">
        <is>
          <t>320 cm x 82 cm x 15 cm</t>
        </is>
      </c>
      <c r="B2246" t="inlineStr">
        <is>
          <t>F2 TEAM</t>
        </is>
      </c>
      <c r="C2246" t="inlineStr">
        <is>
          <t>Windsurf SUP</t>
        </is>
      </c>
      <c r="D2246" s="3" t="n">
        <v>10.5</v>
      </c>
      <c r="E2246" t="inlineStr"/>
      <c r="F2246" s="4" t="n">
        <v>299</v>
      </c>
      <c r="G2246" t="inlineStr"/>
      <c r="H2246" t="inlineStr">
        <is>
          <t>95028 Bayern - Hof (Saale)</t>
        </is>
      </c>
      <c r="I2246" s="5" t="n">
        <v>45543</v>
      </c>
      <c r="J2246" t="inlineStr">
        <is>
          <t>Sold</t>
        </is>
      </c>
      <c r="K2246" s="6">
        <f>HYPERLINK("https://www.kleinanzeigen.de/s-anzeige/f2-team-windsurf-sup-10-5-stand-up-paddle-board-paddel-bag/2832565406-230-7244", "Link")</f>
        <v/>
      </c>
      <c r="L2246" s="6">
        <f>HYPERLINK("C:\Projects\Kleinanzeigen-Scraper\offer_images\2832565406", "Link")</f>
        <v/>
      </c>
      <c r="M2246" t="inlineStr">
        <is>
          <t>No user name</t>
        </is>
      </c>
      <c r="N2246" s="6">
        <f>HYPERLINK("https://www.kleinanzeigen.deNo user link", "Link")</f>
        <v/>
      </c>
      <c r="O2246" s="7" t="n">
        <v>45545.86133101852</v>
      </c>
      <c r="P2246" s="3" t="inlineStr">
        <is>
          <t>244.83</t>
        </is>
      </c>
      <c r="Q2246" t="inlineStr">
        <is>
          <t>München</t>
        </is>
      </c>
    </row>
    <row r="2247">
      <c r="A2247" t="inlineStr">
        <is>
          <t>2.34m x 0.68m</t>
        </is>
      </c>
      <c r="B2247" t="inlineStr">
        <is>
          <t>JP Super Ride</t>
        </is>
      </c>
      <c r="C2247" t="inlineStr">
        <is>
          <t>Freeride</t>
        </is>
      </c>
      <c r="D2247" s="3" t="n">
        <v>116</v>
      </c>
      <c r="E2247" t="inlineStr">
        <is>
          <t>2019</t>
        </is>
      </c>
      <c r="F2247" s="4" t="n">
        <v>280</v>
      </c>
      <c r="G2247" t="inlineStr"/>
      <c r="H2247" t="inlineStr">
        <is>
          <t>23775 Großenbrode</t>
        </is>
      </c>
      <c r="I2247" s="5" t="n">
        <v>45544</v>
      </c>
      <c r="J2247" t="inlineStr">
        <is>
          <t>Sold</t>
        </is>
      </c>
      <c r="K2247" s="6">
        <f>HYPERLINK("https://www.dailydose.de/kleinanzeigen/detail.htm?ai=422258&amp;cf=kk&amp;pg=2&amp;ci=11", "Link")</f>
        <v/>
      </c>
      <c r="L2247" s="6">
        <f>HYPERLINK("C:\Projects\Kleinanzeigen-Scraper\offer_images\422258", "Link")</f>
        <v/>
      </c>
      <c r="M2247" t="inlineStr">
        <is>
          <t>Holger_156</t>
        </is>
      </c>
      <c r="N2247" s="6">
        <f>HYPERLINK("https://www.dailydose.de/kleinanzeigen/user/10571", "Link")</f>
        <v/>
      </c>
      <c r="O2247" s="7" t="n">
        <v>45544.75287037037</v>
      </c>
      <c r="P2247" s="3" t="inlineStr">
        <is>
          <t>471.97</t>
        </is>
      </c>
      <c r="Q2247" t="inlineStr">
        <is>
          <t>Köln</t>
        </is>
      </c>
    </row>
    <row r="2248">
      <c r="A2248" t="inlineStr">
        <is>
          <t>222x57</t>
        </is>
      </c>
      <c r="B2248" t="inlineStr">
        <is>
          <t>Puls Boards MAG</t>
        </is>
      </c>
      <c r="C2248" t="inlineStr">
        <is>
          <t>ALLWAVE</t>
        </is>
      </c>
      <c r="D2248" s="3" t="n">
        <v>78</v>
      </c>
      <c r="E2248" t="inlineStr"/>
      <c r="F2248" s="4" t="n">
        <v>550</v>
      </c>
      <c r="G2248" t="inlineStr">
        <is>
          <t>VB</t>
        </is>
      </c>
      <c r="H2248" t="inlineStr">
        <is>
          <t>24118 Kiel</t>
        </is>
      </c>
      <c r="I2248" s="5" t="n">
        <v>45543</v>
      </c>
      <c r="J2248" t="inlineStr">
        <is>
          <t>Sold</t>
        </is>
      </c>
      <c r="K2248" s="6">
        <f>HYPERLINK("https://www.dailydose.de/kleinanzeigen/detail.htm?ai=422252&amp;cf=kk&amp;pg=5&amp;ci=11", "Link")</f>
        <v/>
      </c>
      <c r="L2248" s="6">
        <f>HYPERLINK("C:\Projects\Kleinanzeigen-Scraper\offer_images\422252", "Link")</f>
        <v/>
      </c>
      <c r="M2248" t="inlineStr">
        <is>
          <t>Raffi</t>
        </is>
      </c>
      <c r="N2248" s="6">
        <f>HYPERLINK("https://www.dailydose.de/kleinanzeigen/user/2637", "Link")</f>
        <v/>
      </c>
      <c r="O2248" s="7" t="n">
        <v>45544.7528125</v>
      </c>
      <c r="P2248" s="3" t="inlineStr">
        <is>
          <t>434.29</t>
        </is>
      </c>
      <c r="Q2248" t="inlineStr">
        <is>
          <t>Köln</t>
        </is>
      </c>
    </row>
    <row r="2249">
      <c r="A2249" t="inlineStr">
        <is>
          <t>234 cm x 60.5 cm</t>
        </is>
      </c>
      <c r="B2249" t="inlineStr">
        <is>
          <t>JP Freestyle Wave Pro Edition</t>
        </is>
      </c>
      <c r="C2249" t="inlineStr">
        <is>
          <t>Freestyle Wave</t>
        </is>
      </c>
      <c r="D2249" s="3" t="n">
        <v>93</v>
      </c>
      <c r="E2249" t="inlineStr">
        <is>
          <t>2016</t>
        </is>
      </c>
      <c r="F2249" s="4" t="n">
        <v>300</v>
      </c>
      <c r="G2249" t="inlineStr"/>
      <c r="H2249" t="inlineStr">
        <is>
          <t>82067 Schäftlarn</t>
        </is>
      </c>
      <c r="I2249" s="5" t="n">
        <v>45544</v>
      </c>
      <c r="J2249" t="inlineStr">
        <is>
          <t>Sold</t>
        </is>
      </c>
      <c r="K2249" s="6">
        <f>HYPERLINK("https://www.dailydose.de/kleinanzeigen/detail.htm?ai=422275&amp;cf=kk&amp;pg=5&amp;ci=11", "Link")</f>
        <v/>
      </c>
      <c r="L2249" s="6">
        <f>HYPERLINK("C:\Projects\Kleinanzeigen-Scraper\offer_images\422275", "Link")</f>
        <v/>
      </c>
      <c r="M2249" t="inlineStr">
        <is>
          <t>Kjahn686</t>
        </is>
      </c>
      <c r="N2249" s="6">
        <f>HYPERLINK("https://www.dailydose.de/kleinanzeigen/user/26078", "Link")</f>
        <v/>
      </c>
      <c r="O2249" s="7" t="n">
        <v>45544.75274305556</v>
      </c>
      <c r="P2249" s="3" t="inlineStr">
        <is>
          <t>19.61</t>
        </is>
      </c>
      <c r="Q2249" t="inlineStr">
        <is>
          <t>München</t>
        </is>
      </c>
    </row>
    <row r="2250">
      <c r="A2250" t="inlineStr"/>
      <c r="B2250" t="inlineStr">
        <is>
          <t>Puls Boards MAG</t>
        </is>
      </c>
      <c r="C2250" t="inlineStr">
        <is>
          <t>ALLWAVE</t>
        </is>
      </c>
      <c r="D2250" s="3" t="n">
        <v>95</v>
      </c>
      <c r="E2250" t="inlineStr"/>
      <c r="F2250" s="4" t="n">
        <v>950</v>
      </c>
      <c r="G2250" t="inlineStr"/>
      <c r="H2250" t="inlineStr">
        <is>
          <t>24118 Kiel</t>
        </is>
      </c>
      <c r="I2250" s="5" t="n">
        <v>45543</v>
      </c>
      <c r="J2250" t="inlineStr">
        <is>
          <t>Sold</t>
        </is>
      </c>
      <c r="K2250" s="6">
        <f>HYPERLINK("https://www.dailydose.de/kleinanzeigen/detail.htm?ai=422250&amp;cf=kk&amp;pg=5&amp;ci=11", "Link")</f>
        <v/>
      </c>
      <c r="L2250" s="6">
        <f>HYPERLINK("C:\Projects\Kleinanzeigen-Scraper\offer_images\422250", "Link")</f>
        <v/>
      </c>
      <c r="M2250" t="inlineStr">
        <is>
          <t>Raffi</t>
        </is>
      </c>
      <c r="N2250" s="6">
        <f>HYPERLINK("https://www.dailydose.de/kleinanzeigen/user/2637", "Link")</f>
        <v/>
      </c>
      <c r="O2250" s="7" t="n">
        <v>45544.75248842593</v>
      </c>
      <c r="P2250" s="3" t="inlineStr">
        <is>
          <t>434.29</t>
        </is>
      </c>
      <c r="Q2250" t="inlineStr">
        <is>
          <t>Köln</t>
        </is>
      </c>
    </row>
    <row r="2251">
      <c r="A2251" t="inlineStr">
        <is>
          <t>87</t>
        </is>
      </c>
      <c r="B2251" t="inlineStr">
        <is>
          <t>Quatro Cube</t>
        </is>
      </c>
      <c r="C2251" t="inlineStr">
        <is>
          <t>Freestyle</t>
        </is>
      </c>
      <c r="D2251" s="3" t="inlineStr"/>
      <c r="E2251" t="inlineStr">
        <is>
          <t>2023</t>
        </is>
      </c>
      <c r="F2251" s="4" t="n">
        <v>1000</v>
      </c>
      <c r="G2251" t="inlineStr"/>
      <c r="H2251" t="inlineStr">
        <is>
          <t>23774 Heiligenhafen/HL</t>
        </is>
      </c>
      <c r="I2251" s="5" t="n">
        <v>45544</v>
      </c>
      <c r="J2251" t="inlineStr">
        <is>
          <t>Sold</t>
        </is>
      </c>
      <c r="K2251" s="6">
        <f>HYPERLINK("https://www.dailydose.de/kleinanzeigen/detail.htm?ai=422285&amp;cf=kk&amp;pg=1&amp;ci=11", "Link")</f>
        <v/>
      </c>
      <c r="L2251" s="6">
        <f>HYPERLINK("C:\Projects\Kleinanzeigen-Scraper\offer_images\422285", "Link")</f>
        <v/>
      </c>
      <c r="M2251" t="inlineStr">
        <is>
          <t>Sven23774</t>
        </is>
      </c>
      <c r="N2251" s="6">
        <f>HYPERLINK("https://www.dailydose.de/kleinanzeigen/user/26376", "Link")</f>
        <v/>
      </c>
      <c r="O2251" s="7" t="n">
        <v>45544.75236111111</v>
      </c>
      <c r="P2251" s="3" t="inlineStr">
        <is>
          <t>467.75</t>
        </is>
      </c>
      <c r="Q2251" t="inlineStr">
        <is>
          <t>Köln</t>
        </is>
      </c>
    </row>
    <row r="2252">
      <c r="A2252" t="inlineStr"/>
      <c r="B2252" t="inlineStr">
        <is>
          <t>Severne Pyro</t>
        </is>
      </c>
      <c r="C2252" t="inlineStr"/>
      <c r="D2252" s="3" t="n">
        <v>93</v>
      </c>
      <c r="E2252" t="inlineStr">
        <is>
          <t>2023</t>
        </is>
      </c>
      <c r="F2252" s="4" t="n">
        <v>980</v>
      </c>
      <c r="G2252" t="inlineStr"/>
      <c r="H2252" t="inlineStr">
        <is>
          <t>58540 Sauerland -NRW</t>
        </is>
      </c>
      <c r="I2252" s="5" t="n">
        <v>45544</v>
      </c>
      <c r="J2252" t="inlineStr">
        <is>
          <t>Sold</t>
        </is>
      </c>
      <c r="K2252" s="6">
        <f>HYPERLINK("https://www.dailydose.de/kleinanzeigen/detail.htm?ai=422265&amp;cf=kk&amp;pg=3&amp;ci=11", "Link")</f>
        <v/>
      </c>
      <c r="L2252" s="6">
        <f>HYPERLINK("C:\Projects\Kleinanzeigen-Scraper\offer_images\422265", "Link")</f>
        <v/>
      </c>
      <c r="M2252" t="inlineStr">
        <is>
          <t>tivitac</t>
        </is>
      </c>
      <c r="N2252" s="6">
        <f>HYPERLINK("https://www.dailydose.de/kleinanzeigen/user/1938", "Link")</f>
        <v/>
      </c>
      <c r="O2252" s="7" t="n">
        <v>45544.75217592593</v>
      </c>
      <c r="P2252" s="3" t="inlineStr">
        <is>
          <t>56.25</t>
        </is>
      </c>
      <c r="Q2252" t="inlineStr">
        <is>
          <t>Köln</t>
        </is>
      </c>
    </row>
    <row r="2253">
      <c r="A2253" t="inlineStr"/>
      <c r="B2253" t="inlineStr">
        <is>
          <t>Puls Boards INTRO</t>
        </is>
      </c>
      <c r="C2253" t="inlineStr">
        <is>
          <t>Freestyle Wave</t>
        </is>
      </c>
      <c r="D2253" s="3" t="n">
        <v>105</v>
      </c>
      <c r="E2253" t="inlineStr"/>
      <c r="F2253" s="4" t="n">
        <v>1000</v>
      </c>
      <c r="G2253" t="inlineStr"/>
      <c r="H2253" t="inlineStr">
        <is>
          <t>24118 Kiel</t>
        </is>
      </c>
      <c r="I2253" s="5" t="n">
        <v>45543</v>
      </c>
      <c r="J2253" t="inlineStr">
        <is>
          <t>Sold</t>
        </is>
      </c>
      <c r="K2253" s="6">
        <f>HYPERLINK("https://www.dailydose.de/kleinanzeigen/detail.htm?ai=422251&amp;cf=kk&amp;pg=5&amp;ci=11", "Link")</f>
        <v/>
      </c>
      <c r="L2253" s="6">
        <f>HYPERLINK("C:\Projects\Kleinanzeigen-Scraper\offer_images\422251", "Link")</f>
        <v/>
      </c>
      <c r="M2253" t="inlineStr">
        <is>
          <t>Raffi</t>
        </is>
      </c>
      <c r="N2253" s="6">
        <f>HYPERLINK("https://www.dailydose.de/kleinanzeigen/user/2637", "Link")</f>
        <v/>
      </c>
      <c r="O2253" s="7" t="n">
        <v>45544.75208333333</v>
      </c>
      <c r="P2253" s="3" t="inlineStr">
        <is>
          <t>434.29</t>
        </is>
      </c>
      <c r="Q2253" t="inlineStr">
        <is>
          <t>Köln</t>
        </is>
      </c>
    </row>
    <row r="2254">
      <c r="A2254" t="inlineStr">
        <is>
          <t>244 cm x 63 cm</t>
        </is>
      </c>
      <c r="B2254" t="inlineStr">
        <is>
          <t>RRD Freestyle Wave 105 LTD</t>
        </is>
      </c>
      <c r="C2254" t="inlineStr">
        <is>
          <t>Freestyle Wave</t>
        </is>
      </c>
      <c r="D2254" s="3" t="n">
        <v>105</v>
      </c>
      <c r="E2254" t="inlineStr"/>
      <c r="F2254" s="4" t="n">
        <v>400</v>
      </c>
      <c r="G2254" t="inlineStr">
        <is>
          <t>VB</t>
        </is>
      </c>
      <c r="H2254" t="inlineStr">
        <is>
          <t>23909 Ratzeburg</t>
        </is>
      </c>
      <c r="I2254" s="5" t="n">
        <v>45543</v>
      </c>
      <c r="J2254" t="inlineStr">
        <is>
          <t>Sold</t>
        </is>
      </c>
      <c r="K2254" s="6">
        <f>HYPERLINK("https://www.dailydose.de/kleinanzeigen/detail.htm?ai=422223&amp;cf=kk&amp;pg=5&amp;ci=11", "Link")</f>
        <v/>
      </c>
      <c r="L2254" s="6">
        <f>HYPERLINK("C:\Projects\Kleinanzeigen-Scraper\offer_images\422223", "Link")</f>
        <v/>
      </c>
      <c r="M2254" t="inlineStr">
        <is>
          <t>Insider</t>
        </is>
      </c>
      <c r="N2254" s="6">
        <f>HYPERLINK("https://www.dailydose.de/kleinanzeigen/user/20603", "Link")</f>
        <v/>
      </c>
      <c r="O2254" s="7" t="n">
        <v>45544.75208333333</v>
      </c>
      <c r="P2254" s="3" t="inlineStr">
        <is>
          <t>401.75</t>
        </is>
      </c>
      <c r="Q2254" t="inlineStr">
        <is>
          <t>Köln</t>
        </is>
      </c>
    </row>
    <row r="2255">
      <c r="A2255" t="inlineStr">
        <is>
          <t>145 ltr</t>
        </is>
      </c>
      <c r="B2255" t="inlineStr">
        <is>
          <t>Patrik Foilride</t>
        </is>
      </c>
      <c r="C2255" t="inlineStr">
        <is>
          <t>Foil</t>
        </is>
      </c>
      <c r="D2255" s="3" t="n">
        <v>145</v>
      </c>
      <c r="E2255" t="inlineStr"/>
      <c r="F2255" s="4" t="n">
        <v>850</v>
      </c>
      <c r="G2255" t="inlineStr"/>
      <c r="H2255" t="inlineStr">
        <is>
          <t>6340 Kruså / Dänemark</t>
        </is>
      </c>
      <c r="I2255" s="5" t="n">
        <v>45544</v>
      </c>
      <c r="J2255" t="inlineStr">
        <is>
          <t>Sold</t>
        </is>
      </c>
      <c r="K2255" s="6">
        <f>HYPERLINK("https://www.dailydose.de/kleinanzeigen/detail.htm?ai=422278&amp;cf=kk&amp;pg=5&amp;ci=11", "Link")</f>
        <v/>
      </c>
      <c r="L2255" s="6">
        <f>HYPERLINK("C:\Projects\Kleinanzeigen-Scraper\offer_images\422278", "Link")</f>
        <v/>
      </c>
      <c r="M2255" t="inlineStr">
        <is>
          <t>shredder</t>
        </is>
      </c>
      <c r="N2255" s="6">
        <f>HYPERLINK("https://www.dailydose.de/kleinanzeigen/user/7873", "Link")</f>
        <v/>
      </c>
      <c r="O2255" s="7" t="n">
        <v>45544.75204861111</v>
      </c>
      <c r="P2255" s="3" t="inlineStr">
        <is>
          <t>464.74</t>
        </is>
      </c>
      <c r="Q2255" t="inlineStr">
        <is>
          <t>Köln</t>
        </is>
      </c>
    </row>
    <row r="2256">
      <c r="A2256" t="inlineStr">
        <is>
          <t>72</t>
        </is>
      </c>
      <c r="B2256" t="inlineStr">
        <is>
          <t>JP</t>
        </is>
      </c>
      <c r="C2256" t="inlineStr">
        <is>
          <t>Slalom</t>
        </is>
      </c>
      <c r="D2256" s="3" t="n">
        <v>117</v>
      </c>
      <c r="E2256" t="inlineStr">
        <is>
          <t>2022</t>
        </is>
      </c>
      <c r="F2256" s="4" t="n">
        <v>1000</v>
      </c>
      <c r="G2256" t="inlineStr"/>
      <c r="H2256" t="inlineStr">
        <is>
          <t>58540 Sauerland -NRW</t>
        </is>
      </c>
      <c r="I2256" s="5" t="n">
        <v>45544</v>
      </c>
      <c r="J2256" t="inlineStr">
        <is>
          <t>Sold</t>
        </is>
      </c>
      <c r="K2256" s="6">
        <f>HYPERLINK("https://www.dailydose.de/kleinanzeigen/detail.htm?ai=422267&amp;cf=kk&amp;pg=5&amp;ci=11", "Link")</f>
        <v/>
      </c>
      <c r="L2256" s="6">
        <f>HYPERLINK("C:\Projects\Kleinanzeigen-Scraper\offer_images\422267", "Link")</f>
        <v/>
      </c>
      <c r="M2256" t="inlineStr">
        <is>
          <t>tivitac</t>
        </is>
      </c>
      <c r="N2256" s="6">
        <f>HYPERLINK("https://www.dailydose.de/kleinanzeigen/user/1938", "Link")</f>
        <v/>
      </c>
      <c r="O2256" s="7" t="n">
        <v>45544.75204861111</v>
      </c>
      <c r="P2256" s="3" t="inlineStr">
        <is>
          <t>56.25</t>
        </is>
      </c>
      <c r="Q2256" t="inlineStr">
        <is>
          <t>Köln</t>
        </is>
      </c>
    </row>
    <row r="2257">
      <c r="A2257" t="inlineStr">
        <is>
          <t xml:space="preserve">Dimensions </t>
        </is>
      </c>
      <c r="B2257" t="inlineStr">
        <is>
          <t>Mistral</t>
        </is>
      </c>
      <c r="C2257" t="inlineStr"/>
      <c r="D2257" s="3" t="n">
        <v>150</v>
      </c>
      <c r="E2257" t="inlineStr"/>
      <c r="F2257" s="4" t="n">
        <v>80</v>
      </c>
      <c r="G2257" t="inlineStr"/>
      <c r="H2257" t="inlineStr">
        <is>
          <t>25938 Wyk auf Föhr</t>
        </is>
      </c>
      <c r="I2257" s="5" t="n">
        <v>45544</v>
      </c>
      <c r="J2257" t="inlineStr">
        <is>
          <t>Sold</t>
        </is>
      </c>
      <c r="K2257" s="6">
        <f>HYPERLINK("https://www.dailydose.de/kleinanzeigen/detail.htm?ai=422284&amp;cf=kk&amp;pg=5&amp;ci=11", "Link")</f>
        <v/>
      </c>
      <c r="L2257" s="6">
        <f>HYPERLINK("C:\Projects\Kleinanzeigen-Scraper\offer_images\422284", "Link")</f>
        <v/>
      </c>
      <c r="M2257" t="inlineStr">
        <is>
          <t>emmy04schulze</t>
        </is>
      </c>
      <c r="N2257" s="6">
        <f>HYPERLINK("https://www.dailydose.de/kleinanzeigen/user/26240", "Link")</f>
        <v/>
      </c>
      <c r="O2257" s="7" t="n">
        <v>45544.75188657407</v>
      </c>
      <c r="P2257" s="3" t="inlineStr">
        <is>
          <t>432.94</t>
        </is>
      </c>
      <c r="Q2257" t="inlineStr">
        <is>
          <t>Köln</t>
        </is>
      </c>
    </row>
    <row r="2258">
      <c r="A2258" t="inlineStr"/>
      <c r="B2258" t="inlineStr">
        <is>
          <t>We One We Style</t>
        </is>
      </c>
      <c r="C2258" t="inlineStr"/>
      <c r="D2258" s="3" t="n">
        <v>93</v>
      </c>
      <c r="E2258" t="inlineStr"/>
      <c r="F2258" s="4" t="n">
        <v>1350</v>
      </c>
      <c r="G2258" t="inlineStr"/>
      <c r="H2258" t="inlineStr">
        <is>
          <t>8580 Köflach</t>
        </is>
      </c>
      <c r="I2258" s="5" t="n">
        <v>45543</v>
      </c>
      <c r="J2258" t="inlineStr">
        <is>
          <t>Sold</t>
        </is>
      </c>
      <c r="K2258" s="6">
        <f>HYPERLINK("https://www.dailydose.de/kleinanzeigen/detail.htm?ai=422222&amp;cf=kk&amp;pg=5&amp;ci=11", "Link")</f>
        <v/>
      </c>
      <c r="L2258" s="6">
        <f>HYPERLINK("C:\Projects\Kleinanzeigen-Scraper\offer_images\422222", "Link")</f>
        <v/>
      </c>
      <c r="M2258" t="inlineStr">
        <is>
          <t>brooks</t>
        </is>
      </c>
      <c r="N2258" s="6">
        <f>HYPERLINK("https://www.dailydose.de/kleinanzeigen/user/22113", "Link")</f>
        <v/>
      </c>
      <c r="O2258" s="7" t="n">
        <v>45544.75181712963</v>
      </c>
      <c r="P2258" s="3" t="inlineStr">
        <is>
          <t>289.39</t>
        </is>
      </c>
      <c r="Q2258" t="inlineStr">
        <is>
          <t>München</t>
        </is>
      </c>
    </row>
    <row r="2259">
      <c r="A2259" t="inlineStr">
        <is>
          <t>99</t>
        </is>
      </c>
      <c r="B2259" t="inlineStr">
        <is>
          <t>Duotone Falcon</t>
        </is>
      </c>
      <c r="C2259" t="inlineStr"/>
      <c r="D2259" s="3" t="inlineStr"/>
      <c r="E2259" t="inlineStr"/>
      <c r="F2259" s="4" t="n">
        <v>1490</v>
      </c>
      <c r="G2259" t="inlineStr"/>
      <c r="H2259" t="inlineStr">
        <is>
          <t>33758 Schloß Holte</t>
        </is>
      </c>
      <c r="I2259" s="5" t="n">
        <v>45543</v>
      </c>
      <c r="J2259" t="inlineStr">
        <is>
          <t>Sold</t>
        </is>
      </c>
      <c r="K2259" s="6">
        <f>HYPERLINK("https://www.dailydose.de/kleinanzeigen/detail.htm?ai=422245&amp;cf=kk&amp;pg=5&amp;ci=11", "Link")</f>
        <v/>
      </c>
      <c r="L2259" s="6">
        <f>HYPERLINK("C:\Projects\Kleinanzeigen-Scraper\offer_images\422245", "Link")</f>
        <v/>
      </c>
      <c r="M2259" t="inlineStr">
        <is>
          <t>table__top</t>
        </is>
      </c>
      <c r="N2259" s="6">
        <f>HYPERLINK("https://www.dailydose.de/kleinanzeigen/user/808", "Link")</f>
        <v/>
      </c>
      <c r="O2259" s="7" t="n">
        <v>45544.75168981482</v>
      </c>
      <c r="P2259" s="3" t="inlineStr">
        <is>
          <t>158.29</t>
        </is>
      </c>
      <c r="Q2259" t="inlineStr">
        <is>
          <t>Köln</t>
        </is>
      </c>
    </row>
    <row r="2260">
      <c r="A2260" t="inlineStr">
        <is>
          <t>315 x 64 cm</t>
        </is>
      </c>
      <c r="B2260" t="inlineStr">
        <is>
          <t>F2 Comet</t>
        </is>
      </c>
      <c r="C2260" t="inlineStr">
        <is>
          <t>Freeride</t>
        </is>
      </c>
      <c r="D2260" s="3" t="n">
        <v>149</v>
      </c>
      <c r="E2260" t="inlineStr">
        <is>
          <t>1990</t>
        </is>
      </c>
      <c r="F2260" s="4" t="n">
        <v>100</v>
      </c>
      <c r="G2260" t="inlineStr"/>
      <c r="H2260" t="inlineStr">
        <is>
          <t>12527 Berlin</t>
        </is>
      </c>
      <c r="I2260" s="5" t="n">
        <v>45544</v>
      </c>
      <c r="J2260" t="inlineStr">
        <is>
          <t>Sold</t>
        </is>
      </c>
      <c r="K2260" s="6">
        <f>HYPERLINK("https://www.dailydose.de/kleinanzeigen/detail.htm?ai=422286&amp;cf=kk&amp;pg=5&amp;ci=11", "Link")</f>
        <v/>
      </c>
      <c r="L2260" s="6">
        <f>HYPERLINK("C:\Projects\Kleinanzeigen-Scraper\offer_images\422286", "Link")</f>
        <v/>
      </c>
      <c r="M2260" t="inlineStr">
        <is>
          <t>stg</t>
        </is>
      </c>
      <c r="N2260" s="6">
        <f>HYPERLINK("https://www.dailydose.de/kleinanzeigen/user/22114", "Link")</f>
        <v/>
      </c>
      <c r="O2260" s="7" t="n">
        <v>45544.75155092592</v>
      </c>
      <c r="P2260" s="3" t="inlineStr">
        <is>
          <t>487.71</t>
        </is>
      </c>
      <c r="Q2260" t="inlineStr">
        <is>
          <t>Köln</t>
        </is>
      </c>
    </row>
    <row r="2261">
      <c r="A2261" t="inlineStr"/>
      <c r="B2261" t="inlineStr">
        <is>
          <t>Tabou Rocket LTD</t>
        </is>
      </c>
      <c r="C2261" t="inlineStr">
        <is>
          <t>Freeride</t>
        </is>
      </c>
      <c r="D2261" s="3" t="n">
        <v>105</v>
      </c>
      <c r="E2261" t="inlineStr"/>
      <c r="F2261" s="4" t="n">
        <v>600</v>
      </c>
      <c r="G2261" t="inlineStr">
        <is>
          <t>VB</t>
        </is>
      </c>
      <c r="H2261" t="inlineStr">
        <is>
          <t>23769 Petersdorf</t>
        </is>
      </c>
      <c r="I2261" s="5" t="n">
        <v>45544</v>
      </c>
      <c r="J2261" t="inlineStr">
        <is>
          <t>Sold</t>
        </is>
      </c>
      <c r="K2261" s="6">
        <f>HYPERLINK("https://www.dailydose.de/kleinanzeigen/detail.htm?ai=422266&amp;cf=kk&amp;pg=5&amp;ci=11", "Link")</f>
        <v/>
      </c>
      <c r="L2261" s="6">
        <f>HYPERLINK("C:\Projects\Kleinanzeigen-Scraper\offer_images\422266", "Link")</f>
        <v/>
      </c>
      <c r="M2261" t="inlineStr">
        <is>
          <t>NeoInfinity</t>
        </is>
      </c>
      <c r="N2261" s="6">
        <f>HYPERLINK("https://www.dailydose.de/kleinanzeigen/user/26374", "Link")</f>
        <v/>
      </c>
      <c r="O2261" s="7" t="n">
        <v>45544.75121527778</v>
      </c>
      <c r="P2261" s="3" t="inlineStr">
        <is>
          <t>483.01</t>
        </is>
      </c>
      <c r="Q2261" t="inlineStr">
        <is>
          <t>Köln</t>
        </is>
      </c>
    </row>
    <row r="2262">
      <c r="A2262" t="inlineStr">
        <is>
          <t>238 x 92</t>
        </is>
      </c>
      <c r="B2262" t="inlineStr">
        <is>
          <t>JP</t>
        </is>
      </c>
      <c r="C2262" t="inlineStr">
        <is>
          <t>Lightwind</t>
        </is>
      </c>
      <c r="D2262" s="3" t="n">
        <v>166</v>
      </c>
      <c r="E2262" t="inlineStr">
        <is>
          <t>2024</t>
        </is>
      </c>
      <c r="F2262" s="4" t="n">
        <v>1890</v>
      </c>
      <c r="G2262" t="inlineStr"/>
      <c r="H2262" t="inlineStr">
        <is>
          <t>8402 Graz</t>
        </is>
      </c>
      <c r="I2262" s="5" t="n">
        <v>45544</v>
      </c>
      <c r="J2262" t="inlineStr">
        <is>
          <t>Sold</t>
        </is>
      </c>
      <c r="K2262" s="6">
        <f>HYPERLINK("https://www.dailydose.de/kleinanzeigen/detail.htm?ai=422276&amp;cf=kk&amp;pg=5&amp;ci=11", "Link")</f>
        <v/>
      </c>
      <c r="L2262" s="6">
        <f>HYPERLINK("C:\Projects\Kleinanzeigen-Scraper\offer_images\422276", "Link")</f>
        <v/>
      </c>
      <c r="M2262" t="inlineStr">
        <is>
          <t>Mario_117</t>
        </is>
      </c>
      <c r="N2262" s="6">
        <f>HYPERLINK("https://www.dailydose.de/kleinanzeigen/user/16485", "Link")</f>
        <v/>
      </c>
      <c r="O2262" s="7" t="n">
        <v>45544.75083333333</v>
      </c>
      <c r="P2262" s="3" t="inlineStr">
        <is>
          <t>313.03</t>
        </is>
      </c>
      <c r="Q2262" t="inlineStr">
        <is>
          <t>München</t>
        </is>
      </c>
    </row>
    <row r="2263">
      <c r="A2263" t="inlineStr">
        <is>
          <t>99</t>
        </is>
      </c>
      <c r="B2263" t="inlineStr">
        <is>
          <t>Fanatic Skate TE</t>
        </is>
      </c>
      <c r="C2263" t="inlineStr">
        <is>
          <t>Freestyle</t>
        </is>
      </c>
      <c r="D2263" s="3" t="inlineStr"/>
      <c r="E2263" t="inlineStr">
        <is>
          <t>2020</t>
        </is>
      </c>
      <c r="F2263" s="4" t="n">
        <v>699</v>
      </c>
      <c r="G2263" t="inlineStr"/>
      <c r="H2263" t="inlineStr">
        <is>
          <t>7100 Neusiedl am See</t>
        </is>
      </c>
      <c r="I2263" s="5" t="n">
        <v>45543</v>
      </c>
      <c r="J2263" t="inlineStr">
        <is>
          <t>Sold</t>
        </is>
      </c>
      <c r="K2263" s="6">
        <f>HYPERLINK("https://www.dailydose.de/kleinanzeigen/detail.htm?ai=422254&amp;cf=kk&amp;pg=5&amp;ci=11", "Link")</f>
        <v/>
      </c>
      <c r="L2263" s="6">
        <f>HYPERLINK("C:\Projects\Kleinanzeigen-Scraper\offer_images\422254", "Link")</f>
        <v/>
      </c>
      <c r="M2263" t="inlineStr">
        <is>
          <t>schmidl</t>
        </is>
      </c>
      <c r="N2263" s="6">
        <f>HYPERLINK("https://www.dailydose.de/kleinanzeigen/user/20891", "Link")</f>
        <v/>
      </c>
      <c r="O2263" s="7" t="n">
        <v>45544.75076388889</v>
      </c>
      <c r="P2263" s="3" t="inlineStr">
        <is>
          <t>392.35</t>
        </is>
      </c>
      <c r="Q2263" t="inlineStr">
        <is>
          <t>München</t>
        </is>
      </c>
    </row>
    <row r="2264">
      <c r="A2264" t="inlineStr">
        <is>
          <t>90</t>
        </is>
      </c>
      <c r="B2264" t="inlineStr">
        <is>
          <t>Duotone Falcon</t>
        </is>
      </c>
      <c r="C2264" t="inlineStr">
        <is>
          <t>Freeride</t>
        </is>
      </c>
      <c r="D2264" s="3" t="inlineStr"/>
      <c r="E2264" t="inlineStr"/>
      <c r="F2264" s="4" t="n">
        <v>1490</v>
      </c>
      <c r="G2264" t="inlineStr"/>
      <c r="H2264" t="inlineStr">
        <is>
          <t>33758 Schloß Holte</t>
        </is>
      </c>
      <c r="I2264" s="5" t="n">
        <v>45543</v>
      </c>
      <c r="J2264" t="inlineStr">
        <is>
          <t>Sold</t>
        </is>
      </c>
      <c r="K2264" s="6">
        <f>HYPERLINK("https://www.dailydose.de/kleinanzeigen/detail.htm?ai=422246&amp;cf=kk&amp;pg=2&amp;ci=11", "Link")</f>
        <v/>
      </c>
      <c r="L2264" s="6">
        <f>HYPERLINK("C:\Projects\Kleinanzeigen-Scraper\offer_images\422246", "Link")</f>
        <v/>
      </c>
      <c r="M2264" t="inlineStr">
        <is>
          <t>table__top</t>
        </is>
      </c>
      <c r="N2264" s="6">
        <f>HYPERLINK("https://www.dailydose.de/kleinanzeigen/user/808", "Link")</f>
        <v/>
      </c>
      <c r="O2264" s="7" t="n">
        <v>45544.7503125</v>
      </c>
      <c r="P2264" s="3" t="inlineStr">
        <is>
          <t>158.29</t>
        </is>
      </c>
      <c r="Q2264" t="inlineStr">
        <is>
          <t>Köln</t>
        </is>
      </c>
    </row>
    <row r="2265">
      <c r="A2265" t="inlineStr">
        <is>
          <t>94</t>
        </is>
      </c>
      <c r="B2265" t="inlineStr">
        <is>
          <t>JP Freestylewave</t>
        </is>
      </c>
      <c r="C2265" t="inlineStr">
        <is>
          <t>Freestyle</t>
        </is>
      </c>
      <c r="D2265" s="3" t="inlineStr"/>
      <c r="E2265" t="inlineStr"/>
      <c r="F2265" s="4" t="n">
        <v>850</v>
      </c>
      <c r="G2265" t="inlineStr">
        <is>
          <t>VB</t>
        </is>
      </c>
      <c r="H2265" t="inlineStr">
        <is>
          <t>88131 Lindau</t>
        </is>
      </c>
      <c r="I2265" s="5" t="n">
        <v>45543</v>
      </c>
      <c r="J2265" t="inlineStr">
        <is>
          <t>Sold</t>
        </is>
      </c>
      <c r="K2265" s="6">
        <f>HYPERLINK("https://www.dailydose.de/kleinanzeigen/detail.htm?ai=422224&amp;cf=kk&amp;pg=5&amp;ci=11", "Link")</f>
        <v/>
      </c>
      <c r="L2265" s="6">
        <f>HYPERLINK("C:\Projects\Kleinanzeigen-Scraper\offer_images\422224", "Link")</f>
        <v/>
      </c>
      <c r="M2265" t="inlineStr">
        <is>
          <t>Michael Abt</t>
        </is>
      </c>
      <c r="N2265" s="6">
        <f>HYPERLINK("https://www.dailydose.de/kleinanzeigen/user/2956", "Link")</f>
        <v/>
      </c>
      <c r="O2265" s="7" t="n">
        <v>45544.74990740741</v>
      </c>
      <c r="P2265" s="3" t="inlineStr">
        <is>
          <t>104.13</t>
        </is>
      </c>
      <c r="Q2265" t="inlineStr">
        <is>
          <t>Bonndorf</t>
        </is>
      </c>
    </row>
    <row r="2266">
      <c r="A2266" t="inlineStr"/>
      <c r="B2266" t="inlineStr">
        <is>
          <t>Puls Boards MAG</t>
        </is>
      </c>
      <c r="C2266" t="inlineStr">
        <is>
          <t>ALLWAVE</t>
        </is>
      </c>
      <c r="D2266" s="3" t="n">
        <v>85</v>
      </c>
      <c r="E2266" t="inlineStr"/>
      <c r="F2266" s="4" t="n">
        <v>650</v>
      </c>
      <c r="G2266" t="inlineStr">
        <is>
          <t>VB</t>
        </is>
      </c>
      <c r="H2266" t="inlineStr">
        <is>
          <t>24118 Kiel</t>
        </is>
      </c>
      <c r="I2266" s="5" t="n">
        <v>45543</v>
      </c>
      <c r="J2266" t="inlineStr">
        <is>
          <t>Sold</t>
        </is>
      </c>
      <c r="K2266" s="6">
        <f>HYPERLINK("https://www.dailydose.de/kleinanzeigen/detail.htm?ai=422249&amp;cf=kk&amp;pg=5&amp;ci=11", "Link")</f>
        <v/>
      </c>
      <c r="L2266" s="6">
        <f>HYPERLINK("C:\Projects\Kleinanzeigen-Scraper\offer_images\422249", "Link")</f>
        <v/>
      </c>
      <c r="M2266" t="inlineStr">
        <is>
          <t>Raffi</t>
        </is>
      </c>
      <c r="N2266" s="6">
        <f>HYPERLINK("https://www.dailydose.de/kleinanzeigen/user/2637", "Link")</f>
        <v/>
      </c>
      <c r="O2266" s="7" t="n">
        <v>45544.74959490741</v>
      </c>
      <c r="P2266" s="3" t="inlineStr">
        <is>
          <t>434.29</t>
        </is>
      </c>
      <c r="Q2266" t="inlineStr">
        <is>
          <t>Köln</t>
        </is>
      </c>
    </row>
    <row r="2267">
      <c r="A2267" t="inlineStr"/>
      <c r="B2267" t="inlineStr">
        <is>
          <t>Patrik Qt Wave</t>
        </is>
      </c>
      <c r="C2267" t="inlineStr">
        <is>
          <t>Wave</t>
        </is>
      </c>
      <c r="D2267" s="3" t="n">
        <v>83</v>
      </c>
      <c r="E2267" t="inlineStr"/>
      <c r="F2267" s="4" t="n">
        <v>420</v>
      </c>
      <c r="G2267" t="inlineStr"/>
      <c r="H2267" t="inlineStr">
        <is>
          <t>Luzern</t>
        </is>
      </c>
      <c r="I2267" s="5" t="n">
        <v>45544</v>
      </c>
      <c r="J2267" t="inlineStr">
        <is>
          <t>Sold</t>
        </is>
      </c>
      <c r="K2267" s="6">
        <f>HYPERLINK("https://www.dailydose.de/kleinanzeigen/detail.htm?ai=422277&amp;cf=kk&amp;pg=5&amp;ci=11", "Link")</f>
        <v/>
      </c>
      <c r="L2267" s="6">
        <f>HYPERLINK("C:\Projects\Kleinanzeigen-Scraper\offer_images\422277", "Link")</f>
        <v/>
      </c>
      <c r="M2267" t="inlineStr">
        <is>
          <t>AdrianU</t>
        </is>
      </c>
      <c r="N2267" s="6">
        <f>HYPERLINK("https://www.dailydose.de/kleinanzeigen/user/26375", "Link")</f>
        <v/>
      </c>
      <c r="O2267" s="7" t="n">
        <v>45544.74927083333</v>
      </c>
      <c r="P2267" s="3" t="inlineStr">
        <is>
          <t>85.19</t>
        </is>
      </c>
      <c r="Q2267" t="inlineStr">
        <is>
          <t>Bonndorf</t>
        </is>
      </c>
    </row>
    <row r="2268">
      <c r="A2268" t="inlineStr"/>
      <c r="B2268" t="inlineStr">
        <is>
          <t>Duotone Freewave SLS</t>
        </is>
      </c>
      <c r="C2268" t="inlineStr">
        <is>
          <t>Freeride</t>
        </is>
      </c>
      <c r="D2268" s="3" t="n">
        <v>94</v>
      </c>
      <c r="E2268" t="inlineStr">
        <is>
          <t>2024</t>
        </is>
      </c>
      <c r="F2268" s="4" t="n">
        <v>1250</v>
      </c>
      <c r="G2268" t="inlineStr"/>
      <c r="H2268" t="inlineStr">
        <is>
          <t>5020 Salzburg</t>
        </is>
      </c>
      <c r="I2268" s="5" t="n">
        <v>45544</v>
      </c>
      <c r="J2268" t="inlineStr">
        <is>
          <t>Sold</t>
        </is>
      </c>
      <c r="K2268" s="6">
        <f>HYPERLINK("https://www.dailydose.de/kleinanzeigen/detail.htm?ai=422279&amp;cf=kk&amp;pg=3&amp;ci=11", "Link")</f>
        <v/>
      </c>
      <c r="L2268" s="6">
        <f>HYPERLINK("C:\Projects\Kleinanzeigen-Scraper\offer_images\422279", "Link")</f>
        <v/>
      </c>
      <c r="M2268" t="inlineStr">
        <is>
          <t>Christian_149</t>
        </is>
      </c>
      <c r="N2268" s="6">
        <f>HYPERLINK("https://www.dailydose.de/kleinanzeigen/user/10753", "Link")</f>
        <v/>
      </c>
      <c r="O2268" s="7" t="n">
        <v>45544.74908564815</v>
      </c>
      <c r="P2268" s="3" t="inlineStr">
        <is>
          <t>115.37</t>
        </is>
      </c>
      <c r="Q2268" t="inlineStr">
        <is>
          <t>München</t>
        </is>
      </c>
    </row>
    <row r="2269">
      <c r="A2269" t="inlineStr">
        <is>
          <t>234cm x 56cm</t>
        </is>
      </c>
      <c r="B2269" t="inlineStr">
        <is>
          <t>Naish Global Wave</t>
        </is>
      </c>
      <c r="C2269" t="inlineStr">
        <is>
          <t>Wave</t>
        </is>
      </c>
      <c r="D2269" s="3" t="n">
        <v>78</v>
      </c>
      <c r="E2269" t="inlineStr"/>
      <c r="F2269" s="4" t="n">
        <v>170</v>
      </c>
      <c r="G2269" t="inlineStr">
        <is>
          <t>VB</t>
        </is>
      </c>
      <c r="H2269" t="inlineStr">
        <is>
          <t>56076 Koblenz</t>
        </is>
      </c>
      <c r="I2269" s="5" t="n">
        <v>45543</v>
      </c>
      <c r="J2269" t="inlineStr">
        <is>
          <t>Sold</t>
        </is>
      </c>
      <c r="K2269" s="6">
        <f>HYPERLINK("https://www.dailydose.de/kleinanzeigen/detail.htm?ai=422242&amp;cf=kk&amp;pg=5&amp;ci=11", "Link")</f>
        <v/>
      </c>
      <c r="L2269" s="6">
        <f>HYPERLINK("C:\Projects\Kleinanzeigen-Scraper\offer_images\422242", "Link")</f>
        <v/>
      </c>
      <c r="M2269" t="inlineStr">
        <is>
          <t>kork</t>
        </is>
      </c>
      <c r="N2269" s="6">
        <f>HYPERLINK("https://www.dailydose.de/kleinanzeigen/user/19621", "Link")</f>
        <v/>
      </c>
      <c r="O2269" s="7" t="n">
        <v>45544.74908564815</v>
      </c>
      <c r="P2269" s="3" t="inlineStr">
        <is>
          <t>82.82</t>
        </is>
      </c>
      <c r="Q2269" t="inlineStr">
        <is>
          <t>Köln</t>
        </is>
      </c>
    </row>
    <row r="2270">
      <c r="A2270" t="inlineStr"/>
      <c r="B2270" t="inlineStr">
        <is>
          <t>Quatro Cube</t>
        </is>
      </c>
      <c r="C2270" t="inlineStr"/>
      <c r="D2270" s="3" t="n">
        <v>80</v>
      </c>
      <c r="E2270" t="inlineStr"/>
      <c r="F2270" s="4" t="n">
        <v>390</v>
      </c>
      <c r="G2270" t="inlineStr">
        <is>
          <t>VB</t>
        </is>
      </c>
      <c r="H2270" t="inlineStr">
        <is>
          <t>20359 Hamburg</t>
        </is>
      </c>
      <c r="I2270" s="5" t="n">
        <v>45544</v>
      </c>
      <c r="J2270" t="inlineStr">
        <is>
          <t>Sold</t>
        </is>
      </c>
      <c r="K2270" s="6">
        <f>HYPERLINK("https://www.dailydose.de/kleinanzeigen/detail.htm?ai=422260&amp;cf=kk&amp;pg=2&amp;ci=11", "Link")</f>
        <v/>
      </c>
      <c r="L2270" s="6">
        <f>HYPERLINK("C:\Projects\Kleinanzeigen-Scraper\offer_images\422260", "Link")</f>
        <v/>
      </c>
      <c r="M2270" t="inlineStr">
        <is>
          <t>FLueders</t>
        </is>
      </c>
      <c r="N2270" s="6">
        <f>HYPERLINK("https://www.dailydose.de/kleinanzeigen/user/8897", "Link")</f>
        <v/>
      </c>
      <c r="O2270" s="7" t="n">
        <v>45544.74902777778</v>
      </c>
      <c r="P2270" s="3" t="inlineStr">
        <is>
          <t>355.45</t>
        </is>
      </c>
      <c r="Q2270" t="inlineStr">
        <is>
          <t>Köln</t>
        </is>
      </c>
    </row>
    <row r="2271">
      <c r="A2271" t="inlineStr"/>
      <c r="B2271" t="inlineStr">
        <is>
          <t>Fanatic Ripper Air</t>
        </is>
      </c>
      <c r="C2271" t="inlineStr">
        <is>
          <t>SUP</t>
        </is>
      </c>
      <c r="D2271" s="3" t="n">
        <v>187</v>
      </c>
      <c r="E2271" t="inlineStr"/>
      <c r="F2271" s="4" t="n">
        <v>450</v>
      </c>
      <c r="G2271" t="inlineStr"/>
      <c r="H2271" t="inlineStr">
        <is>
          <t>58339 Nordrhein-Westfalen - Breckerfeld</t>
        </is>
      </c>
      <c r="I2271" s="5" t="n">
        <v>45543</v>
      </c>
      <c r="J2271" t="inlineStr">
        <is>
          <t>Sold</t>
        </is>
      </c>
      <c r="K2271" s="6">
        <f>HYPERLINK("https://www.kleinanzeigen.de/s-anzeige/fanatic-ripper-air-windsurf-sup-187l-volumen/2857931844-230-1408", "Link")</f>
        <v/>
      </c>
      <c r="L2271" s="6">
        <f>HYPERLINK("C:\Projects\Kleinanzeigen-Scraper\offer_images\2857931844", "Link")</f>
        <v/>
      </c>
      <c r="M2271" t="inlineStr">
        <is>
          <t>Tanja</t>
        </is>
      </c>
      <c r="N2271" s="6">
        <f>HYPERLINK("https://www.kleinanzeigen.de/s-bestandsliste.html?userId=16191712", "Link")</f>
        <v/>
      </c>
      <c r="O2271" s="7" t="n">
        <v>45544.74895833333</v>
      </c>
      <c r="P2271" s="3" t="inlineStr">
        <is>
          <t>51.15</t>
        </is>
      </c>
      <c r="Q2271" t="inlineStr">
        <is>
          <t>Köln</t>
        </is>
      </c>
    </row>
    <row r="2272">
      <c r="A2272" t="inlineStr">
        <is>
          <t>345 cm</t>
        </is>
      </c>
      <c r="B2272" t="inlineStr">
        <is>
          <t>HiFly Spirit</t>
        </is>
      </c>
      <c r="C2272" t="inlineStr">
        <is>
          <t>Freeride</t>
        </is>
      </c>
      <c r="D2272" s="3" t="inlineStr"/>
      <c r="E2272" t="inlineStr"/>
      <c r="F2272" s="4" t="n">
        <v>70</v>
      </c>
      <c r="G2272" t="inlineStr">
        <is>
          <t>VB</t>
        </is>
      </c>
      <c r="H2272" t="inlineStr">
        <is>
          <t>09600 Sachsen - Weißenborn Erzgebirge</t>
        </is>
      </c>
      <c r="I2272" s="5" t="n">
        <v>45544</v>
      </c>
      <c r="J2272" t="inlineStr">
        <is>
          <t>Sold</t>
        </is>
      </c>
      <c r="K2272" s="6">
        <f>HYPERLINK("https://www.kleinanzeigen.de/s-anzeige/windsurfer-hifly-spirit-345/2858727215-230-4199", "Link")</f>
        <v/>
      </c>
      <c r="L2272" s="6">
        <f>HYPERLINK("C:\Projects\Kleinanzeigen-Scraper\offer_images\2858727215", "Link")</f>
        <v/>
      </c>
      <c r="M2272" t="inlineStr">
        <is>
          <t>ulli</t>
        </is>
      </c>
      <c r="N2272" s="6">
        <f>HYPERLINK("https://www.kleinanzeigen.de/s-bestandsliste.html?userId=10894370", "Link")</f>
        <v/>
      </c>
      <c r="O2272" s="7" t="n">
        <v>45544.74894675926</v>
      </c>
      <c r="P2272" s="3" t="inlineStr">
        <is>
          <t>330.08</t>
        </is>
      </c>
      <c r="Q2272" t="inlineStr">
        <is>
          <t>München</t>
        </is>
      </c>
    </row>
    <row r="2273">
      <c r="A2273" t="inlineStr"/>
      <c r="B2273" t="inlineStr">
        <is>
          <t>Quatro Cube</t>
        </is>
      </c>
      <c r="C2273" t="inlineStr">
        <is>
          <t>Wave</t>
        </is>
      </c>
      <c r="D2273" s="3" t="n">
        <v>80</v>
      </c>
      <c r="E2273" t="inlineStr"/>
      <c r="F2273" s="4" t="n">
        <v>390</v>
      </c>
      <c r="G2273" t="inlineStr">
        <is>
          <t>VB</t>
        </is>
      </c>
      <c r="H2273" t="inlineStr">
        <is>
          <t>20359 Altona - Hamburg Altona-Altstadt</t>
        </is>
      </c>
      <c r="I2273" s="5" t="n">
        <v>45544</v>
      </c>
      <c r="J2273" t="inlineStr">
        <is>
          <t>Sold</t>
        </is>
      </c>
      <c r="K2273" s="6">
        <f>HYPERLINK("https://www.kleinanzeigen.de/s-anzeige/quatro-cube-windsurf-waveboard-80-l/2858164575-230-26472", "Link")</f>
        <v/>
      </c>
      <c r="L2273" s="6">
        <f>HYPERLINK("C:\Projects\Kleinanzeigen-Scraper\offer_images\2858164575", "Link")</f>
        <v/>
      </c>
      <c r="M2273" t="inlineStr">
        <is>
          <t>Fri tz</t>
        </is>
      </c>
      <c r="N2273" s="6">
        <f>HYPERLINK("https://www.kleinanzeigen.de/s-bestandsliste.html?userId=88577916", "Link")</f>
        <v/>
      </c>
      <c r="O2273" s="7" t="n">
        <v>45544.74890046296</v>
      </c>
      <c r="P2273" s="3" t="inlineStr">
        <is>
          <t>355.45</t>
        </is>
      </c>
      <c r="Q2273" t="inlineStr">
        <is>
          <t>Köln</t>
        </is>
      </c>
    </row>
    <row r="2274">
      <c r="A2274" t="inlineStr"/>
      <c r="B2274" t="inlineStr">
        <is>
          <t>JP Australia Super Sport 113I Pro Edition</t>
        </is>
      </c>
      <c r="C2274" t="inlineStr">
        <is>
          <t>Freeride</t>
        </is>
      </c>
      <c r="D2274" s="3" t="n">
        <v>113</v>
      </c>
      <c r="E2274" t="inlineStr">
        <is>
          <t>2019 or 2020</t>
        </is>
      </c>
      <c r="F2274" s="4" t="n">
        <v>800</v>
      </c>
      <c r="G2274" t="inlineStr">
        <is>
          <t>VB</t>
        </is>
      </c>
      <c r="H2274" t="inlineStr">
        <is>
          <t>51147 Köln - Porz</t>
        </is>
      </c>
      <c r="I2274" s="5" t="n">
        <v>45542</v>
      </c>
      <c r="J2274" t="inlineStr">
        <is>
          <t>Sold</t>
        </is>
      </c>
      <c r="K2274" s="6">
        <f>HYPERLINK("https://www.kleinanzeigen.de/s-anzeige/jp-australia-super-sport-113i-pro-edition-top-zustand-windsurfen/2856549925-230-961", "Link")</f>
        <v/>
      </c>
      <c r="L2274" s="6">
        <f>HYPERLINK("C:\Projects\Kleinanzeigen-Scraper\offer_images\2856549925", "Link")</f>
        <v/>
      </c>
      <c r="M2274" t="inlineStr">
        <is>
          <t>David Maes</t>
        </is>
      </c>
      <c r="N2274" s="6">
        <f>HYPERLINK("https://www.kleinanzeigen.de/s-bestandsliste.html?userId=34144277", "Link")</f>
        <v/>
      </c>
      <c r="O2274" s="7" t="n">
        <v>45544.74885416667</v>
      </c>
      <c r="P2274" s="3" t="inlineStr">
        <is>
          <t>14.27</t>
        </is>
      </c>
      <c r="Q2274" t="inlineStr">
        <is>
          <t>Köln</t>
        </is>
      </c>
    </row>
    <row r="2275">
      <c r="A2275" t="inlineStr"/>
      <c r="B2275" t="inlineStr">
        <is>
          <t>Flikka Horue</t>
        </is>
      </c>
      <c r="C2275" t="inlineStr">
        <is>
          <t>Foil</t>
        </is>
      </c>
      <c r="D2275" s="3" t="inlineStr"/>
      <c r="E2275" t="inlineStr"/>
      <c r="F2275" s="4" t="n">
        <v>629</v>
      </c>
      <c r="G2275" t="inlineStr"/>
      <c r="H2275" t="inlineStr">
        <is>
          <t>22880 Kreis Pinneberg - Wedel</t>
        </is>
      </c>
      <c r="I2275" s="5" t="n">
        <v>45543</v>
      </c>
      <c r="J2275" t="inlineStr">
        <is>
          <t>Sold</t>
        </is>
      </c>
      <c r="K2275" s="6">
        <f>HYPERLINK("https://www.kleinanzeigen.de/s-anzeige/flikka-horue-tiny-110-windsurf-foil-board-sabfoil-kraken/2857577980-230-756", "Link")</f>
        <v/>
      </c>
      <c r="L2275" s="6">
        <f>HYPERLINK("C:\Projects\Kleinanzeigen-Scraper\offer_images\2857577980", "Link")</f>
        <v/>
      </c>
      <c r="M2275" t="inlineStr">
        <is>
          <t>Jahn</t>
        </is>
      </c>
      <c r="N2275" s="6">
        <f>HYPERLINK("https://www.kleinanzeigen.de/s-bestandsliste.html?userId=16125684", "Link")</f>
        <v/>
      </c>
      <c r="O2275" s="7" t="n">
        <v>45544.74885416667</v>
      </c>
      <c r="P2275" s="3" t="inlineStr">
        <is>
          <t>349.30</t>
        </is>
      </c>
      <c r="Q2275" t="inlineStr">
        <is>
          <t>Köln</t>
        </is>
      </c>
    </row>
    <row r="2276">
      <c r="A2276" t="inlineStr">
        <is>
          <t>290cm</t>
        </is>
      </c>
      <c r="B2276" t="inlineStr">
        <is>
          <t>Mistral</t>
        </is>
      </c>
      <c r="C2276" t="inlineStr">
        <is>
          <t>Raceboard</t>
        </is>
      </c>
      <c r="D2276" s="3" t="inlineStr">
        <is>
          <t>100-130</t>
        </is>
      </c>
      <c r="E2276" t="inlineStr"/>
      <c r="F2276" s="4" t="n">
        <v>100</v>
      </c>
      <c r="G2276" t="inlineStr">
        <is>
          <t>VB</t>
        </is>
      </c>
      <c r="H2276" t="inlineStr">
        <is>
          <t>59955 Nordrhein-Westfalen - Winterberg</t>
        </is>
      </c>
      <c r="I2276" s="5" t="n">
        <v>45543</v>
      </c>
      <c r="J2276" t="inlineStr">
        <is>
          <t>Sold</t>
        </is>
      </c>
      <c r="K2276" s="6">
        <f>HYPERLINK("https://www.kleinanzeigen.de/s-anzeige/raceboard-ultra-leicht-windsurfen-windsurfboard-mistral/2857409525-230-1015", "Link")</f>
        <v/>
      </c>
      <c r="L2276" s="6">
        <f>HYPERLINK("C:\Projects\Kleinanzeigen-Scraper\offer_images\2857409525", "Link")</f>
        <v/>
      </c>
      <c r="M2276" t="inlineStr">
        <is>
          <t>Erik Homrighausen</t>
        </is>
      </c>
      <c r="N2276" s="6">
        <f>HYPERLINK("https://www.kleinanzeigen.de/s-bestandsliste.html?userId=25907685", "Link")</f>
        <v/>
      </c>
      <c r="O2276" s="7" t="n">
        <v>45544.74884259259</v>
      </c>
      <c r="P2276" s="3" t="inlineStr">
        <is>
          <t>112.67</t>
        </is>
      </c>
      <c r="Q2276" t="inlineStr">
        <is>
          <t>Köln</t>
        </is>
      </c>
    </row>
    <row r="2277">
      <c r="A2277" t="inlineStr">
        <is>
          <t xml:space="preserve">Dimensions </t>
        </is>
      </c>
      <c r="B2277" t="inlineStr">
        <is>
          <t>Seatrend eight three</t>
        </is>
      </c>
      <c r="C2277" t="inlineStr">
        <is>
          <t>Wave</t>
        </is>
      </c>
      <c r="D2277" s="3" t="n">
        <v>68</v>
      </c>
      <c r="E2277" t="inlineStr"/>
      <c r="F2277" s="4" t="n">
        <v>130</v>
      </c>
      <c r="G2277" t="inlineStr"/>
      <c r="H2277" t="inlineStr">
        <is>
          <t>44143 Dortmund - Mitte</t>
        </is>
      </c>
      <c r="I2277" s="5" t="n">
        <v>45544</v>
      </c>
      <c r="J2277" t="inlineStr">
        <is>
          <t>Sold</t>
        </is>
      </c>
      <c r="K2277" s="6">
        <f>HYPERLINK("https://www.kleinanzeigen.de/s-anzeige/windsurf-board-wave-board-seatrend-eight-three/2858324440-230-1105", "Link")</f>
        <v/>
      </c>
      <c r="L2277" s="6">
        <f>HYPERLINK("C:\Projects\Kleinanzeigen-Scraper\offer_images\2858324440", "Link")</f>
        <v/>
      </c>
      <c r="M2277" t="inlineStr">
        <is>
          <t>Michael W</t>
        </is>
      </c>
      <c r="N2277" s="6">
        <f>HYPERLINK("https://www.kleinanzeigen.de/s-bestandsliste.html?userId=24712585", "Link")</f>
        <v/>
      </c>
      <c r="O2277" s="7" t="n">
        <v>45544.7487962963</v>
      </c>
      <c r="P2277" s="3" t="inlineStr">
        <is>
          <t>75.39</t>
        </is>
      </c>
      <c r="Q2277" t="inlineStr">
        <is>
          <t>Köln</t>
        </is>
      </c>
    </row>
    <row r="2278">
      <c r="A2278" t="inlineStr">
        <is>
          <t>245 cm</t>
        </is>
      </c>
      <c r="B2278" t="inlineStr">
        <is>
          <t>Tabou Rocket</t>
        </is>
      </c>
      <c r="C2278" t="inlineStr">
        <is>
          <t>Freeride</t>
        </is>
      </c>
      <c r="D2278" s="3" t="n">
        <v>145</v>
      </c>
      <c r="E2278" t="inlineStr"/>
      <c r="F2278" s="4" t="n">
        <v>530</v>
      </c>
      <c r="G2278" t="inlineStr">
        <is>
          <t>VB</t>
        </is>
      </c>
      <c r="H2278" t="inlineStr">
        <is>
          <t>14513 Brandenburg - Teltow</t>
        </is>
      </c>
      <c r="I2278" s="5" t="n">
        <v>45543</v>
      </c>
      <c r="J2278" t="inlineStr">
        <is>
          <t>Sold</t>
        </is>
      </c>
      <c r="K2278" s="6">
        <f>HYPERLINK("https://www.kleinanzeigen.de/s-anzeige/tabou-rocket-145-liter-windsurf-board/2857644410-230-7939", "Link")</f>
        <v/>
      </c>
      <c r="L2278" s="6">
        <f>HYPERLINK("C:\Projects\Kleinanzeigen-Scraper\offer_images\2857644410", "Link")</f>
        <v/>
      </c>
      <c r="M2278" t="inlineStr">
        <is>
          <t>Thomas</t>
        </is>
      </c>
      <c r="N2278" s="6">
        <f>HYPERLINK("https://www.kleinanzeigen.de/s-bestandsliste.html?userId=25517038", "Link")</f>
        <v/>
      </c>
      <c r="O2278" s="7" t="n">
        <v>45544.74862268518</v>
      </c>
      <c r="P2278" s="3" t="inlineStr">
        <is>
          <t>464.56</t>
        </is>
      </c>
      <c r="Q2278" t="inlineStr">
        <is>
          <t>Köln</t>
        </is>
      </c>
    </row>
    <row r="2279">
      <c r="A2279" t="inlineStr">
        <is>
          <t>295 x 87</t>
        </is>
      </c>
      <c r="B2279" t="inlineStr">
        <is>
          <t>MISTRAL</t>
        </is>
      </c>
      <c r="C2279" t="inlineStr">
        <is>
          <t>Wave</t>
        </is>
      </c>
      <c r="D2279" s="3" t="n">
        <v>92</v>
      </c>
      <c r="E2279" t="inlineStr"/>
      <c r="F2279" s="4" t="n">
        <v>90</v>
      </c>
      <c r="G2279" t="inlineStr">
        <is>
          <t>VB</t>
        </is>
      </c>
      <c r="H2279" t="inlineStr">
        <is>
          <t>41470 Nordrhein-Westfalen - Neuss</t>
        </is>
      </c>
      <c r="I2279" s="5" t="n">
        <v>45543</v>
      </c>
      <c r="J2279" t="inlineStr">
        <is>
          <t>Sold</t>
        </is>
      </c>
      <c r="K2279" s="6">
        <f>HYPERLINK("https://www.kleinanzeigen.de/s-anzeige/mistral-windsurf-wavebord-semi-mit-original-mistral-gfk-finne/2857446551-230-2115", "Link")</f>
        <v/>
      </c>
      <c r="L2279" s="6">
        <f>HYPERLINK("C:\Projects\Kleinanzeigen-Scraper\offer_images\2857446551", "Link")</f>
        <v/>
      </c>
      <c r="M2279" t="inlineStr">
        <is>
          <t>Hilgers</t>
        </is>
      </c>
      <c r="N2279" s="6">
        <f>HYPERLINK("https://www.kleinanzeigen.de/s-bestandsliste.html?userId=8191015", "Link")</f>
        <v/>
      </c>
      <c r="O2279" s="7" t="n">
        <v>45544.74854166667</v>
      </c>
      <c r="P2279" s="3" t="inlineStr">
        <is>
          <t>26.87</t>
        </is>
      </c>
      <c r="Q2279" t="inlineStr">
        <is>
          <t>Köln</t>
        </is>
      </c>
    </row>
    <row r="2280">
      <c r="A2280" t="inlineStr">
        <is>
          <t>343 cm x 68 cm</t>
        </is>
      </c>
      <c r="B2280" t="inlineStr">
        <is>
          <t>Fanatic Hot Viper</t>
        </is>
      </c>
      <c r="C2280" t="inlineStr">
        <is>
          <t>All Round Fun</t>
        </is>
      </c>
      <c r="D2280" s="3" t="n">
        <v>187</v>
      </c>
      <c r="E2280" t="inlineStr"/>
      <c r="F2280" s="4" t="n">
        <v>80</v>
      </c>
      <c r="G2280" t="inlineStr">
        <is>
          <t>VB</t>
        </is>
      </c>
      <c r="H2280" t="inlineStr">
        <is>
          <t>81373 München - Sendling-Westpark</t>
        </is>
      </c>
      <c r="I2280" s="5" t="n">
        <v>45543</v>
      </c>
      <c r="J2280" t="inlineStr">
        <is>
          <t>Sold</t>
        </is>
      </c>
      <c r="K2280" s="6">
        <f>HYPERLINK("https://www.kleinanzeigen.de/s-anzeige/fanatic-hot-viper-windsurf-board/2857590918-230-16394", "Link")</f>
        <v/>
      </c>
      <c r="L2280" s="6">
        <f>HYPERLINK("C:\Projects\Kleinanzeigen-Scraper\offer_images\2857590918", "Link")</f>
        <v/>
      </c>
      <c r="M2280" t="inlineStr">
        <is>
          <t>Wolfgang</t>
        </is>
      </c>
      <c r="N2280" s="6">
        <f>HYPERLINK("https://www.kleinanzeigen.de/s-bestandsliste.html?userId=28821944", "Link")</f>
        <v/>
      </c>
      <c r="O2280" s="7" t="n">
        <v>45544.74841435185</v>
      </c>
      <c r="P2280" s="3" t="inlineStr">
        <is>
          <t>3.43</t>
        </is>
      </c>
      <c r="Q2280" t="inlineStr">
        <is>
          <t>München</t>
        </is>
      </c>
    </row>
    <row r="2281">
      <c r="A2281" t="inlineStr">
        <is>
          <t>105</t>
        </is>
      </c>
      <c r="B2281" t="inlineStr">
        <is>
          <t>Puls Boards INTRO</t>
        </is>
      </c>
      <c r="C2281" t="inlineStr">
        <is>
          <t>Freestyle Wave</t>
        </is>
      </c>
      <c r="D2281" s="3" t="inlineStr"/>
      <c r="E2281" t="inlineStr"/>
      <c r="F2281" s="4" t="n">
        <v>1</v>
      </c>
      <c r="G2281" t="inlineStr"/>
      <c r="H2281" t="inlineStr">
        <is>
          <t>24118 Kiel - Ravensberg-Brunswik-Düsternbrook</t>
        </is>
      </c>
      <c r="I2281" s="5" t="n">
        <v>45543</v>
      </c>
      <c r="J2281" t="inlineStr">
        <is>
          <t>Sold</t>
        </is>
      </c>
      <c r="K2281" s="6">
        <f>HYPERLINK("https://www.kleinanzeigen.de/s-anzeige/puls-bords-intro-105-windsurf-custom-surfboard/2857902638-230-704", "Link")</f>
        <v/>
      </c>
      <c r="L2281" s="6">
        <f>HYPERLINK("C:\Projects\Kleinanzeigen-Scraper\offer_images\2857902638", "Link")</f>
        <v/>
      </c>
      <c r="M2281" t="inlineStr">
        <is>
          <t>Raphael</t>
        </is>
      </c>
      <c r="N2281" s="6">
        <f>HYPERLINK("https://www.kleinanzeigen.de/s-bestandsliste.html?userId=25473199", "Link")</f>
        <v/>
      </c>
      <c r="O2281" s="7" t="n">
        <v>45544.74839120371</v>
      </c>
      <c r="P2281" s="3" t="inlineStr">
        <is>
          <t>434.29</t>
        </is>
      </c>
      <c r="Q2281" t="inlineStr">
        <is>
          <t>Köln</t>
        </is>
      </c>
    </row>
    <row r="2282">
      <c r="A2282" t="inlineStr">
        <is>
          <t>228 cm x 63.5 cm</t>
        </is>
      </c>
      <c r="B2282" t="inlineStr">
        <is>
          <t>Patrick Freestyle</t>
        </is>
      </c>
      <c r="C2282" t="inlineStr">
        <is>
          <t>Freestyle</t>
        </is>
      </c>
      <c r="D2282" s="3" t="n">
        <v>99</v>
      </c>
      <c r="E2282" t="inlineStr"/>
      <c r="F2282" s="4" t="n">
        <v>450</v>
      </c>
      <c r="G2282" t="inlineStr">
        <is>
          <t>VB</t>
        </is>
      </c>
      <c r="H2282" t="inlineStr">
        <is>
          <t>40789 Nordrhein-Westfalen - Monheim am Rhein</t>
        </is>
      </c>
      <c r="I2282" s="5" t="n">
        <v>45544</v>
      </c>
      <c r="J2282" t="inlineStr">
        <is>
          <t>Sold</t>
        </is>
      </c>
      <c r="K2282" s="6">
        <f>HYPERLINK("https://www.kleinanzeigen.de/s-anzeige/patrick-freestyle-99-liter-windsurfen-ink-boardbag-und-18cm-finne/2858653925-230-1116", "Link")</f>
        <v/>
      </c>
      <c r="L2282" s="6">
        <f>HYPERLINK("C:\Projects\Kleinanzeigen-Scraper\offer_images\2858653925", "Link")</f>
        <v/>
      </c>
      <c r="M2282" t="inlineStr">
        <is>
          <t>Anne Langenfeld</t>
        </is>
      </c>
      <c r="N2282" s="6">
        <f>HYPERLINK("https://www.kleinanzeigen.de/s-bestandsliste.html?userId=34911340", "Link")</f>
        <v/>
      </c>
      <c r="O2282" s="7" t="n">
        <v>45544.74828703704</v>
      </c>
      <c r="P2282" s="3" t="inlineStr">
        <is>
          <t>18.00</t>
        </is>
      </c>
      <c r="Q2282" t="inlineStr">
        <is>
          <t>Köln</t>
        </is>
      </c>
    </row>
    <row r="2283">
      <c r="A2283" t="inlineStr">
        <is>
          <t>266cm</t>
        </is>
      </c>
      <c r="B2283" t="inlineStr">
        <is>
          <t>Fanatic Ultra Hawk</t>
        </is>
      </c>
      <c r="C2283" t="inlineStr">
        <is>
          <t>Freeride</t>
        </is>
      </c>
      <c r="D2283" s="3" t="n">
        <v>86</v>
      </c>
      <c r="E2283" t="inlineStr"/>
      <c r="F2283" s="4" t="n">
        <v>200</v>
      </c>
      <c r="G2283" t="inlineStr">
        <is>
          <t>VB</t>
        </is>
      </c>
      <c r="H2283" t="inlineStr">
        <is>
          <t>59955 Nordrhein-Westfalen - Winterberg</t>
        </is>
      </c>
      <c r="I2283" s="5" t="n">
        <v>45543</v>
      </c>
      <c r="J2283" t="inlineStr">
        <is>
          <t>Sold</t>
        </is>
      </c>
      <c r="K2283" s="6">
        <f>HYPERLINK("https://www.kleinanzeigen.de/s-anzeige/windsurfboard-windsurfen-brett-fanatic-ultra-hawk-86liter/2857414401-230-1015", "Link")</f>
        <v/>
      </c>
      <c r="L2283" s="6">
        <f>HYPERLINK("C:\Projects\Kleinanzeigen-Scraper\offer_images\2857414401", "Link")</f>
        <v/>
      </c>
      <c r="M2283" t="inlineStr">
        <is>
          <t>Erik Homrighausen</t>
        </is>
      </c>
      <c r="N2283" s="6">
        <f>HYPERLINK("https://www.kleinanzeigen.de/s-bestandsliste.html?userId=25907685", "Link")</f>
        <v/>
      </c>
      <c r="O2283" s="7" t="n">
        <v>45544.74826388889</v>
      </c>
      <c r="P2283" s="3" t="inlineStr">
        <is>
          <t>112.67</t>
        </is>
      </c>
      <c r="Q2283" t="inlineStr">
        <is>
          <t>Köln</t>
        </is>
      </c>
    </row>
    <row r="2284">
      <c r="A2284" t="inlineStr"/>
      <c r="B2284" t="inlineStr">
        <is>
          <t>Mistral</t>
        </is>
      </c>
      <c r="C2284" t="inlineStr"/>
      <c r="D2284" s="3" t="inlineStr"/>
      <c r="E2284" t="inlineStr">
        <is>
          <t>1995</t>
        </is>
      </c>
      <c r="F2284" s="4" t="n">
        <v>250</v>
      </c>
      <c r="G2284" t="inlineStr">
        <is>
          <t>VB</t>
        </is>
      </c>
      <c r="H2284" t="inlineStr">
        <is>
          <t>59955 Nordrhein-Westfalen - Winterberg</t>
        </is>
      </c>
      <c r="I2284" s="5" t="n">
        <v>45543</v>
      </c>
      <c r="J2284" t="inlineStr">
        <is>
          <t>Sold</t>
        </is>
      </c>
      <c r="K2284" s="6">
        <f>HYPERLINK("https://www.kleinanzeigen.de/s-anzeige/windsurf-windsurfen-surfbrett-windsurfbrett-mistral-einsteiger/2857401918-230-1015", "Link")</f>
        <v/>
      </c>
      <c r="L2284" s="6">
        <f>HYPERLINK("C:\Projects\Kleinanzeigen-Scraper\offer_images\2857401918", "Link")</f>
        <v/>
      </c>
      <c r="M2284" t="inlineStr">
        <is>
          <t>Erik Homrighausen</t>
        </is>
      </c>
      <c r="N2284" s="6">
        <f>HYPERLINK("https://www.kleinanzeigen.de/s-bestandsliste.html?userId=25907685", "Link")</f>
        <v/>
      </c>
      <c r="O2284" s="7" t="n">
        <v>45544.74822916667</v>
      </c>
      <c r="P2284" s="3" t="inlineStr">
        <is>
          <t>112.67</t>
        </is>
      </c>
      <c r="Q2284" t="inlineStr">
        <is>
          <t>Köln</t>
        </is>
      </c>
    </row>
    <row r="2285">
      <c r="A2285" t="inlineStr">
        <is>
          <t>275 x 57 cm</t>
        </is>
      </c>
      <c r="B2285" t="inlineStr">
        <is>
          <t>Tiga Slalom 275 ACR</t>
        </is>
      </c>
      <c r="C2285" t="inlineStr">
        <is>
          <t>Slalom</t>
        </is>
      </c>
      <c r="D2285" s="3" t="n">
        <v>110</v>
      </c>
      <c r="E2285" t="inlineStr"/>
      <c r="F2285" s="4" t="n">
        <v>110</v>
      </c>
      <c r="G2285" t="inlineStr">
        <is>
          <t>VB</t>
        </is>
      </c>
      <c r="H2285" t="inlineStr">
        <is>
          <t>15859 Brandenburg - Storkow (Mark)</t>
        </is>
      </c>
      <c r="I2285" s="5" t="n">
        <v>45543</v>
      </c>
      <c r="J2285" t="inlineStr">
        <is>
          <t>Sold</t>
        </is>
      </c>
      <c r="K2285" s="6">
        <f>HYPERLINK("https://www.kleinanzeigen.de/s-anzeige/tiga-slalom-275-acr-windsurf-board-top-zustand/2857391425-230-19030", "Link")</f>
        <v/>
      </c>
      <c r="L2285" s="6">
        <f>HYPERLINK("C:\Projects\Kleinanzeigen-Scraper\offer_images\2857391425", "Link")</f>
        <v/>
      </c>
      <c r="M2285" t="inlineStr">
        <is>
          <t>Lex Hoffmann</t>
        </is>
      </c>
      <c r="N2285" s="6">
        <f>HYPERLINK("https://www.kleinanzeigen.de/s-bestandsliste.html?userId=141759924", "Link")</f>
        <v/>
      </c>
      <c r="O2285" s="7" t="n">
        <v>45544.74822916667</v>
      </c>
      <c r="P2285" s="3" t="inlineStr">
        <is>
          <t>486.26</t>
        </is>
      </c>
      <c r="Q2285" t="inlineStr">
        <is>
          <t>München</t>
        </is>
      </c>
    </row>
    <row r="2286">
      <c r="A2286" t="inlineStr">
        <is>
          <t>131 liters</t>
        </is>
      </c>
      <c r="B2286" t="inlineStr">
        <is>
          <t>Naish Micro Hover S25</t>
        </is>
      </c>
      <c r="C2286" t="inlineStr">
        <is>
          <t>Foil</t>
        </is>
      </c>
      <c r="D2286" s="3" t="n">
        <v>131</v>
      </c>
      <c r="E2286" t="inlineStr">
        <is>
          <t>2021</t>
        </is>
      </c>
      <c r="F2286" s="4" t="n">
        <v>299</v>
      </c>
      <c r="G2286" t="inlineStr"/>
      <c r="H2286" t="inlineStr">
        <is>
          <t>63505 Hessen - Langenselbold</t>
        </is>
      </c>
      <c r="I2286" s="5" t="n">
        <v>45543</v>
      </c>
      <c r="J2286" t="inlineStr">
        <is>
          <t>Sold</t>
        </is>
      </c>
      <c r="K2286" s="6">
        <f>HYPERLINK("https://www.kleinanzeigen.de/s-anzeige/naish-micro-hover-s25-windsurf-131-liter/2857377479-230-4550", "Link")</f>
        <v/>
      </c>
      <c r="L2286" s="6">
        <f>HYPERLINK("C:\Projects\Kleinanzeigen-Scraper\offer_images\2857377479", "Link")</f>
        <v/>
      </c>
      <c r="M2286" t="inlineStr">
        <is>
          <t>jürgen wolf</t>
        </is>
      </c>
      <c r="N2286" s="6">
        <f>HYPERLINK("https://www.kleinanzeigen.de/s-bestandsliste.html?userId=27546956", "Link")</f>
        <v/>
      </c>
      <c r="O2286" s="7" t="n">
        <v>45544.74820601852</v>
      </c>
      <c r="P2286" s="3" t="inlineStr">
        <is>
          <t>140.07</t>
        </is>
      </c>
      <c r="Q2286" t="inlineStr">
        <is>
          <t>Karlsruhe</t>
        </is>
      </c>
    </row>
    <row r="2287">
      <c r="A2287" t="inlineStr">
        <is>
          <t>2.44 x 0.70</t>
        </is>
      </c>
      <c r="B2287" t="inlineStr">
        <is>
          <t>Severne Fox V2</t>
        </is>
      </c>
      <c r="C2287" t="inlineStr">
        <is>
          <t>Freeride</t>
        </is>
      </c>
      <c r="D2287" s="3" t="n">
        <v>120</v>
      </c>
      <c r="E2287" t="inlineStr">
        <is>
          <t>2024</t>
        </is>
      </c>
      <c r="F2287" s="4" t="n">
        <v>1.35</v>
      </c>
      <c r="G2287" t="inlineStr"/>
      <c r="H2287" t="inlineStr">
        <is>
          <t>41238 Nordrhein-Westfalen - Mönchengladbach</t>
        </is>
      </c>
      <c r="I2287" s="5" t="n">
        <v>45543</v>
      </c>
      <c r="J2287" t="inlineStr">
        <is>
          <t>Sold</t>
        </is>
      </c>
      <c r="K2287" s="6">
        <f>HYPERLINK("https://www.kleinanzeigen.de/s-anzeige/windsurfen-severne-fox-v2-120-carbon/2857472988-230-1962", "Link")</f>
        <v/>
      </c>
      <c r="L2287" s="6">
        <f>HYPERLINK("C:\Projects\Kleinanzeigen-Scraper\offer_images\2857472988", "Link")</f>
        <v/>
      </c>
      <c r="M2287" t="inlineStr">
        <is>
          <t>Horst R.</t>
        </is>
      </c>
      <c r="N2287" s="6">
        <f>HYPERLINK("https://www.kleinanzeigen.de/s-bestandsliste.html?userId=36121954", "Link")</f>
        <v/>
      </c>
      <c r="O2287" s="7" t="n">
        <v>45544.74818287037</v>
      </c>
      <c r="P2287" s="3" t="inlineStr">
        <is>
          <t>40.78</t>
        </is>
      </c>
      <c r="Q2287" t="inlineStr">
        <is>
          <t>Köln</t>
        </is>
      </c>
    </row>
    <row r="2288">
      <c r="A2288" t="inlineStr"/>
      <c r="B2288" t="inlineStr">
        <is>
          <t>Custom Design Andre Schulte</t>
        </is>
      </c>
      <c r="C2288" t="inlineStr">
        <is>
          <t>Wave</t>
        </is>
      </c>
      <c r="D2288" s="3" t="n">
        <v>70</v>
      </c>
      <c r="E2288" t="inlineStr"/>
      <c r="F2288" s="4" t="n">
        <v>350</v>
      </c>
      <c r="G2288" t="inlineStr"/>
      <c r="H2288" t="inlineStr">
        <is>
          <t>47800 Nordrhein-Westfalen - Krefeld</t>
        </is>
      </c>
      <c r="I2288" s="5" t="n">
        <v>45544</v>
      </c>
      <c r="J2288" t="inlineStr">
        <is>
          <t>Sold</t>
        </is>
      </c>
      <c r="K2288" s="6">
        <f>HYPERLINK("https://www.kleinanzeigen.de/s-anzeige/windsurf-board-custom-design-andre-schulte-70-liter-wave/2858680864-230-1975", "Link")</f>
        <v/>
      </c>
      <c r="L2288" s="6">
        <f>HYPERLINK("C:\Projects\Kleinanzeigen-Scraper\offer_images\2858680864", "Link")</f>
        <v/>
      </c>
      <c r="M2288" t="inlineStr">
        <is>
          <t>Mats</t>
        </is>
      </c>
      <c r="N2288" s="6">
        <f>HYPERLINK("https://www.kleinanzeigen.de/s-bestandsliste.html?userId=33403312", "Link")</f>
        <v/>
      </c>
      <c r="O2288" s="7" t="n">
        <v>45544.74813657408</v>
      </c>
      <c r="P2288" s="3" t="inlineStr">
        <is>
          <t>51.49</t>
        </is>
      </c>
      <c r="Q2288" t="inlineStr">
        <is>
          <t>Köln</t>
        </is>
      </c>
    </row>
    <row r="2289">
      <c r="A2289" t="inlineStr">
        <is>
          <t>Dimensions not provided</t>
        </is>
      </c>
      <c r="B2289" t="inlineStr">
        <is>
          <t>Style Pro Freestyle i-99</t>
        </is>
      </c>
      <c r="C2289" t="inlineStr">
        <is>
          <t>Freestyle</t>
        </is>
      </c>
      <c r="D2289" s="3" t="n">
        <v>92</v>
      </c>
      <c r="E2289" t="inlineStr"/>
      <c r="F2289" s="4" t="n">
        <v>300</v>
      </c>
      <c r="G2289" t="inlineStr">
        <is>
          <t>VB</t>
        </is>
      </c>
      <c r="H2289" t="inlineStr">
        <is>
          <t>24118 Kiel - Ravensberg-Brunswik-Düsternbrook</t>
        </is>
      </c>
      <c r="I2289" s="5" t="n">
        <v>45544</v>
      </c>
      <c r="J2289" t="inlineStr">
        <is>
          <t>Sold</t>
        </is>
      </c>
      <c r="K2289" s="6">
        <f>HYPERLINK("https://www.kleinanzeigen.de/s-anzeige/style-pro-freestyle-i-99-windsurf-board-92-liter/2858593529-230-704", "Link")</f>
        <v/>
      </c>
      <c r="L2289" s="6">
        <f>HYPERLINK("C:\Projects\Kleinanzeigen-Scraper\offer_images\2858593529", "Link")</f>
        <v/>
      </c>
      <c r="M2289" t="inlineStr">
        <is>
          <t>J. Fischer</t>
        </is>
      </c>
      <c r="N2289" s="6">
        <f>HYPERLINK("https://www.kleinanzeigen.de/s-bestandsliste.html?userId=21788337", "Link")</f>
        <v/>
      </c>
      <c r="O2289" s="7" t="n">
        <v>45544.748125</v>
      </c>
      <c r="P2289" s="3" t="inlineStr">
        <is>
          <t>434.29</t>
        </is>
      </c>
      <c r="Q2289" t="inlineStr">
        <is>
          <t>Köln</t>
        </is>
      </c>
    </row>
    <row r="2290">
      <c r="A2290" t="inlineStr">
        <is>
          <t>71</t>
        </is>
      </c>
      <c r="B2290" t="inlineStr">
        <is>
          <t>JP</t>
        </is>
      </c>
      <c r="C2290" t="inlineStr">
        <is>
          <t>Slalom</t>
        </is>
      </c>
      <c r="D2290" s="3" t="n">
        <v>111</v>
      </c>
      <c r="E2290" t="inlineStr"/>
      <c r="F2290" s="4" t="n">
        <v>800</v>
      </c>
      <c r="G2290" t="inlineStr"/>
      <c r="H2290" t="inlineStr">
        <is>
          <t>58540 Sauerland -NRW</t>
        </is>
      </c>
      <c r="I2290" s="5" t="n">
        <v>45543</v>
      </c>
      <c r="J2290" t="inlineStr">
        <is>
          <t>Sold</t>
        </is>
      </c>
      <c r="K2290" s="6">
        <f>HYPERLINK("https://www.dailydose.de/kleinanzeigen/detail.htm?ai=422213&amp;cf=kk&amp;pg=3&amp;ci=11", "Link")</f>
        <v/>
      </c>
      <c r="L2290" s="6">
        <f>HYPERLINK("C:\Projects\Kleinanzeigen-Scraper\offer_images\422213", "Link")</f>
        <v/>
      </c>
      <c r="M2290" t="inlineStr">
        <is>
          <t>tivitac</t>
        </is>
      </c>
      <c r="N2290" s="6">
        <f>HYPERLINK("https://www.dailydose.de/kleinanzeigen/user/1938", "Link")</f>
        <v/>
      </c>
      <c r="O2290" s="7" t="n">
        <v>45543.55325231481</v>
      </c>
      <c r="P2290" s="3" t="inlineStr">
        <is>
          <t>56.25</t>
        </is>
      </c>
      <c r="Q2290" t="inlineStr">
        <is>
          <t>Köln</t>
        </is>
      </c>
    </row>
    <row r="2291">
      <c r="A2291" t="inlineStr">
        <is>
          <t>Dimensions not specified</t>
        </is>
      </c>
      <c r="B2291" t="inlineStr">
        <is>
          <t>Severne DYNO 3</t>
        </is>
      </c>
      <c r="C2291" t="inlineStr">
        <is>
          <t>Freewave</t>
        </is>
      </c>
      <c r="D2291" s="3" t="n">
        <v>105</v>
      </c>
      <c r="E2291" t="inlineStr">
        <is>
          <t>2023</t>
        </is>
      </c>
      <c r="F2291" s="4" t="n">
        <v>900</v>
      </c>
      <c r="G2291" t="inlineStr"/>
      <c r="H2291" t="inlineStr">
        <is>
          <t>58540 Sauerland -NRW</t>
        </is>
      </c>
      <c r="I2291" s="5" t="n">
        <v>45543</v>
      </c>
      <c r="J2291" t="inlineStr">
        <is>
          <t>Sold</t>
        </is>
      </c>
      <c r="K2291" s="6">
        <f>HYPERLINK("https://www.dailydose.de/kleinanzeigen/detail.htm?ai=422212&amp;cf=kk&amp;pg=2&amp;ci=11", "Link")</f>
        <v/>
      </c>
      <c r="L2291" s="6">
        <f>HYPERLINK("C:\Projects\Kleinanzeigen-Scraper\offer_images\422212", "Link")</f>
        <v/>
      </c>
      <c r="M2291" t="inlineStr">
        <is>
          <t>tivitac</t>
        </is>
      </c>
      <c r="N2291" s="6">
        <f>HYPERLINK("https://www.dailydose.de/kleinanzeigen/user/1938", "Link")</f>
        <v/>
      </c>
      <c r="O2291" s="7" t="n">
        <v>45543.55300925926</v>
      </c>
      <c r="P2291" s="3" t="inlineStr">
        <is>
          <t>56.25</t>
        </is>
      </c>
      <c r="Q2291" t="inlineStr">
        <is>
          <t>Köln</t>
        </is>
      </c>
    </row>
    <row r="2292">
      <c r="A2292" t="inlineStr">
        <is>
          <t>250x78</t>
        </is>
      </c>
      <c r="B2292" t="inlineStr">
        <is>
          <t>Fanatic SHARK 150 LTD</t>
        </is>
      </c>
      <c r="C2292" t="inlineStr">
        <is>
          <t>Freeride</t>
        </is>
      </c>
      <c r="D2292" s="3" t="n">
        <v>150</v>
      </c>
      <c r="E2292" t="inlineStr"/>
      <c r="F2292" s="4" t="n">
        <v>490</v>
      </c>
      <c r="G2292" t="inlineStr"/>
      <c r="H2292" t="inlineStr">
        <is>
          <t>12526 Berlin</t>
        </is>
      </c>
      <c r="I2292" s="5" t="n">
        <v>45543</v>
      </c>
      <c r="J2292" t="inlineStr">
        <is>
          <t>Sold</t>
        </is>
      </c>
      <c r="K2292" s="6">
        <f>HYPERLINK("https://www.dailydose.de/kleinanzeigen/detail.htm?ai=422199&amp;cf=kk&amp;pg=4&amp;ci=11", "Link")</f>
        <v/>
      </c>
      <c r="L2292" s="6">
        <f>HYPERLINK("C:\Projects\Kleinanzeigen-Scraper\offer_images\422199", "Link")</f>
        <v/>
      </c>
      <c r="M2292" t="inlineStr">
        <is>
          <t>Rasmus 1</t>
        </is>
      </c>
      <c r="N2292" s="6">
        <f>HYPERLINK("https://www.dailydose.de/kleinanzeigen/user/17567", "Link")</f>
        <v/>
      </c>
      <c r="O2292" s="7" t="n">
        <v>45543.55255787037</v>
      </c>
      <c r="P2292" s="3" t="inlineStr">
        <is>
          <t>484.42</t>
        </is>
      </c>
      <c r="Q2292" t="inlineStr">
        <is>
          <t>Köln</t>
        </is>
      </c>
    </row>
    <row r="2293">
      <c r="A2293" t="inlineStr">
        <is>
          <t>138</t>
        </is>
      </c>
      <c r="B2293" t="inlineStr">
        <is>
          <t>FMX Invictus</t>
        </is>
      </c>
      <c r="C2293" t="inlineStr">
        <is>
          <t>Slalom</t>
        </is>
      </c>
      <c r="D2293" s="3" t="inlineStr"/>
      <c r="E2293" t="inlineStr">
        <is>
          <t>2021</t>
        </is>
      </c>
      <c r="F2293" s="4" t="n">
        <v>1150</v>
      </c>
      <c r="G2293" t="inlineStr"/>
      <c r="H2293" t="inlineStr">
        <is>
          <t>46499 Horst Makkum Amsterdam</t>
        </is>
      </c>
      <c r="I2293" s="5" t="n">
        <v>45543</v>
      </c>
      <c r="J2293" t="inlineStr">
        <is>
          <t>Sold</t>
        </is>
      </c>
      <c r="K2293" s="6">
        <f>HYPERLINK("https://www.dailydose.de/kleinanzeigen/detail.htm?ai=422192&amp;cf=kk&amp;pg=5&amp;ci=11", "Link")</f>
        <v/>
      </c>
      <c r="L2293" s="6">
        <f>HYPERLINK("C:\Projects\Kleinanzeigen-Scraper\offer_images\422192", "Link")</f>
        <v/>
      </c>
      <c r="M2293" t="inlineStr">
        <is>
          <t>Tristan_21</t>
        </is>
      </c>
      <c r="N2293" s="6">
        <f>HYPERLINK("https://www.dailydose.de/kleinanzeigen/user/26110", "Link")</f>
        <v/>
      </c>
      <c r="O2293" s="7" t="n">
        <v>45543.55236111111</v>
      </c>
      <c r="P2293" s="3" t="inlineStr">
        <is>
          <t>90.67</t>
        </is>
      </c>
      <c r="Q2293" t="inlineStr">
        <is>
          <t>Köln</t>
        </is>
      </c>
    </row>
    <row r="2294">
      <c r="A2294" t="inlineStr"/>
      <c r="B2294" t="inlineStr">
        <is>
          <t>F2</t>
        </is>
      </c>
      <c r="C2294" t="inlineStr"/>
      <c r="D2294" s="3" t="n">
        <v>150</v>
      </c>
      <c r="E2294" t="inlineStr">
        <is>
          <t>2010</t>
        </is>
      </c>
      <c r="F2294" s="4" t="inlineStr">
        <is>
          <t>Bis 250 EUR</t>
        </is>
      </c>
      <c r="G2294" t="inlineStr"/>
      <c r="H2294" t="inlineStr">
        <is>
          <t>22765 Hamburg</t>
        </is>
      </c>
      <c r="I2294" s="5" t="n">
        <v>45543</v>
      </c>
      <c r="J2294" t="inlineStr">
        <is>
          <t>Sold</t>
        </is>
      </c>
      <c r="K2294" s="6">
        <f>HYPERLINK("https://www.dailydose.de/kleinanzeigen/detail.htm?ai=422205&amp;cf=kk&amp;pg=5&amp;ci=11", "Link")</f>
        <v/>
      </c>
      <c r="L2294" s="6">
        <f>HYPERLINK("C:\Projects\Kleinanzeigen-Scraper\offer_images\422205", "Link")</f>
        <v/>
      </c>
      <c r="M2294" t="inlineStr">
        <is>
          <t>Manfred-Keupen</t>
        </is>
      </c>
      <c r="N2294" s="6">
        <f>HYPERLINK("https://www.dailydose.de/kleinanzeigen/user/26369", "Link")</f>
        <v/>
      </c>
      <c r="O2294" s="7" t="n">
        <v>45543.55165509259</v>
      </c>
      <c r="P2294" s="3" t="inlineStr">
        <is>
          <t>354.49</t>
        </is>
      </c>
      <c r="Q2294" t="inlineStr">
        <is>
          <t>Köln</t>
        </is>
      </c>
    </row>
    <row r="2295">
      <c r="A2295" t="inlineStr"/>
      <c r="B2295" t="inlineStr">
        <is>
          <t>Fanatic Freewave TE</t>
        </is>
      </c>
      <c r="C2295" t="inlineStr">
        <is>
          <t>Freestyle</t>
        </is>
      </c>
      <c r="D2295" s="3" t="n">
        <v>96</v>
      </c>
      <c r="E2295" t="inlineStr">
        <is>
          <t>2017</t>
        </is>
      </c>
      <c r="F2295" s="4" t="n">
        <v>190</v>
      </c>
      <c r="G2295" t="inlineStr"/>
      <c r="H2295" t="inlineStr">
        <is>
          <t>92224 Amberg</t>
        </is>
      </c>
      <c r="I2295" s="5" t="n">
        <v>45543</v>
      </c>
      <c r="J2295" t="inlineStr">
        <is>
          <t>Sold</t>
        </is>
      </c>
      <c r="K2295" s="6">
        <f>HYPERLINK("https://www.dailydose.de/kleinanzeigen/detail.htm?ai=422204&amp;cf=kk&amp;pg=4&amp;ci=11", "Link")</f>
        <v/>
      </c>
      <c r="L2295" s="6">
        <f>HYPERLINK("C:\Projects\Kleinanzeigen-Scraper\offer_images\422204", "Link")</f>
        <v/>
      </c>
      <c r="M2295" t="inlineStr">
        <is>
          <t>Wolfgang Mayer</t>
        </is>
      </c>
      <c r="N2295" s="6">
        <f>HYPERLINK("https://www.dailydose.de/kleinanzeigen/user/24739", "Link")</f>
        <v/>
      </c>
      <c r="O2295" s="7" t="n">
        <v>45543.55133101852</v>
      </c>
      <c r="P2295" s="3" t="inlineStr">
        <is>
          <t>146.51</t>
        </is>
      </c>
      <c r="Q2295" t="inlineStr">
        <is>
          <t>München</t>
        </is>
      </c>
    </row>
    <row r="2296">
      <c r="A2296" t="inlineStr"/>
      <c r="B2296" t="inlineStr">
        <is>
          <t>RRD Roberto Ricci</t>
        </is>
      </c>
      <c r="C2296" t="inlineStr">
        <is>
          <t>Freestyle Wave</t>
        </is>
      </c>
      <c r="D2296" s="3" t="n">
        <v>100</v>
      </c>
      <c r="E2296" t="inlineStr">
        <is>
          <t>2014</t>
        </is>
      </c>
      <c r="F2296" s="4" t="n">
        <v>100</v>
      </c>
      <c r="G2296" t="inlineStr">
        <is>
          <t>VB</t>
        </is>
      </c>
      <c r="H2296" t="inlineStr">
        <is>
          <t>92224 Amberg</t>
        </is>
      </c>
      <c r="I2296" s="5" t="n">
        <v>45543</v>
      </c>
      <c r="J2296" t="inlineStr">
        <is>
          <t>Sold</t>
        </is>
      </c>
      <c r="K2296" s="6">
        <f>HYPERLINK("https://www.dailydose.de/kleinanzeigen/detail.htm?ai=422209&amp;cf=kk&amp;pg=4&amp;ci=11", "Link")</f>
        <v/>
      </c>
      <c r="L2296" s="6">
        <f>HYPERLINK("C:\Projects\Kleinanzeigen-Scraper\offer_images\422209", "Link")</f>
        <v/>
      </c>
      <c r="M2296" t="inlineStr">
        <is>
          <t>Wolfgang Mayer</t>
        </is>
      </c>
      <c r="N2296" s="6">
        <f>HYPERLINK("https://www.dailydose.de/kleinanzeigen/user/24739", "Link")</f>
        <v/>
      </c>
      <c r="O2296" s="7" t="n">
        <v>45543.55086805556</v>
      </c>
      <c r="P2296" s="3" t="inlineStr">
        <is>
          <t>146.51</t>
        </is>
      </c>
      <c r="Q2296" t="inlineStr">
        <is>
          <t>München</t>
        </is>
      </c>
    </row>
    <row r="2297">
      <c r="A2297" t="inlineStr">
        <is>
          <t>96 x 214 x 52</t>
        </is>
      </c>
      <c r="B2297" t="inlineStr">
        <is>
          <t>Goya Custom</t>
        </is>
      </c>
      <c r="C2297" t="inlineStr">
        <is>
          <t>Wave</t>
        </is>
      </c>
      <c r="D2297" s="3" t="n">
        <v>68</v>
      </c>
      <c r="E2297" t="inlineStr">
        <is>
          <t>2023</t>
        </is>
      </c>
      <c r="F2297" s="4" t="n">
        <v>850</v>
      </c>
      <c r="G2297" t="inlineStr"/>
      <c r="H2297" t="inlineStr">
        <is>
          <t>80799 München</t>
        </is>
      </c>
      <c r="I2297" s="5" t="n">
        <v>45542</v>
      </c>
      <c r="J2297" t="inlineStr">
        <is>
          <t>Sold</t>
        </is>
      </c>
      <c r="K2297" s="6">
        <f>HYPERLINK("https://www.dailydose.de/kleinanzeigen/detail.htm?ai=422182&amp;cf=kk&amp;pg=5&amp;ci=11", "Link")</f>
        <v/>
      </c>
      <c r="L2297" s="6">
        <f>HYPERLINK("C:\Projects\Kleinanzeigen-Scraper\offer_images\422182", "Link")</f>
        <v/>
      </c>
      <c r="M2297" t="inlineStr">
        <is>
          <t>surf_freeke</t>
        </is>
      </c>
      <c r="N2297" s="6">
        <f>HYPERLINK("https://www.dailydose.de/kleinanzeigen/user/504", "Link")</f>
        <v/>
      </c>
      <c r="O2297" s="7" t="n">
        <v>45543.54990740741</v>
      </c>
      <c r="P2297" s="3" t="inlineStr">
        <is>
          <t>1.66</t>
        </is>
      </c>
      <c r="Q2297" t="inlineStr">
        <is>
          <t>München</t>
        </is>
      </c>
    </row>
    <row r="2298">
      <c r="A2298" t="inlineStr">
        <is>
          <t>238 x 79 cm</t>
        </is>
      </c>
      <c r="B2298" t="inlineStr">
        <is>
          <t>RRD Firemove 122 LTD</t>
        </is>
      </c>
      <c r="C2298" t="inlineStr">
        <is>
          <t>Freeride</t>
        </is>
      </c>
      <c r="D2298" s="3" t="n">
        <v>122</v>
      </c>
      <c r="E2298" t="inlineStr"/>
      <c r="F2298" s="4" t="n">
        <v>890</v>
      </c>
      <c r="G2298" t="inlineStr">
        <is>
          <t>VB</t>
        </is>
      </c>
      <c r="H2298" t="inlineStr">
        <is>
          <t>73667 Baden-Württemberg - Kaisersbach</t>
        </is>
      </c>
      <c r="I2298" s="5" t="n">
        <v>45541</v>
      </c>
      <c r="J2298" t="inlineStr">
        <is>
          <t>Sold</t>
        </is>
      </c>
      <c r="K2298" s="6">
        <f>HYPERLINK("https://www.kleinanzeigen.de/s-anzeige/rrd-firemove-122-ltd-windsurf-brett-top-zustand-/2855830599-230-8367", "Link")</f>
        <v/>
      </c>
      <c r="L2298" s="6">
        <f>HYPERLINK("C:\Projects\Kleinanzeigen-Scraper\offer_images\2855830599", "Link")</f>
        <v/>
      </c>
      <c r="M2298" t="inlineStr">
        <is>
          <t>K.D.</t>
        </is>
      </c>
      <c r="N2298" s="6">
        <f>HYPERLINK("https://www.kleinanzeigen.de/s-bestandsliste.html?userId=3597290", "Link")</f>
        <v/>
      </c>
      <c r="O2298" s="7" t="n">
        <v>45543.54940972223</v>
      </c>
      <c r="P2298" s="3" t="inlineStr">
        <is>
          <t>55.95</t>
        </is>
      </c>
      <c r="Q2298" t="inlineStr">
        <is>
          <t>Böblingen</t>
        </is>
      </c>
    </row>
    <row r="2299">
      <c r="A2299" t="inlineStr">
        <is>
          <t>360 cm x 86 cm x 15 cm</t>
        </is>
      </c>
      <c r="B2299" t="inlineStr">
        <is>
          <t>F2 TRAVEL</t>
        </is>
      </c>
      <c r="C2299" t="inlineStr"/>
      <c r="D2299" s="3" t="n">
        <v>12</v>
      </c>
      <c r="E2299" t="inlineStr"/>
      <c r="F2299" s="4" t="n">
        <v>329</v>
      </c>
      <c r="G2299" t="inlineStr"/>
      <c r="H2299" t="inlineStr">
        <is>
          <t>95028 Bayern - Hof (Saale)</t>
        </is>
      </c>
      <c r="I2299" s="5" t="n">
        <v>45543</v>
      </c>
      <c r="J2299" t="inlineStr">
        <is>
          <t>Sold</t>
        </is>
      </c>
      <c r="K2299" s="6">
        <f>HYPERLINK("https://www.kleinanzeigen.de/s-anzeige/f2-travel-windsurf-sup-12-0-stand-up-paddle-board-paddel-bag/2832561021-230-7244", "Link")</f>
        <v/>
      </c>
      <c r="L2299" s="6">
        <f>HYPERLINK("C:\Projects\Kleinanzeigen-Scraper\offer_images\2832561021", "Link")</f>
        <v/>
      </c>
      <c r="M2299" t="inlineStr">
        <is>
          <t>No user name</t>
        </is>
      </c>
      <c r="N2299" s="6">
        <f>HYPERLINK("https://www.kleinanzeigen.deNo user link", "Link")</f>
        <v/>
      </c>
      <c r="O2299" s="7" t="n">
        <v>45543.54923611111</v>
      </c>
      <c r="P2299" s="3" t="inlineStr">
        <is>
          <t>244.83</t>
        </is>
      </c>
      <c r="Q2299" t="inlineStr">
        <is>
          <t>München</t>
        </is>
      </c>
    </row>
    <row r="2300">
      <c r="A2300" t="inlineStr"/>
      <c r="B2300" t="inlineStr">
        <is>
          <t>Fanatic Grip</t>
        </is>
      </c>
      <c r="C2300" t="inlineStr">
        <is>
          <t>Wave</t>
        </is>
      </c>
      <c r="D2300" s="3" t="n">
        <v>69</v>
      </c>
      <c r="E2300" t="inlineStr">
        <is>
          <t>2023</t>
        </is>
      </c>
      <c r="F2300" s="4" t="n">
        <v>900</v>
      </c>
      <c r="G2300" t="inlineStr">
        <is>
          <t>VB</t>
        </is>
      </c>
      <c r="H2300" t="inlineStr">
        <is>
          <t>24118 Kiel - Ravensberg-Brunswik-Düsternbrook</t>
        </is>
      </c>
      <c r="I2300" s="5" t="n">
        <v>45543</v>
      </c>
      <c r="J2300" t="inlineStr">
        <is>
          <t>Sold</t>
        </is>
      </c>
      <c r="K2300" s="6">
        <f>HYPERLINK("https://www.kleinanzeigen.de/s-anzeige/fanatic-grip-69-duotone-wave-windsurf-board/2857000963-230-704", "Link")</f>
        <v/>
      </c>
      <c r="L2300" s="6">
        <f>HYPERLINK("C:\Projects\Kleinanzeigen-Scraper\offer_images\2857000963", "Link")</f>
        <v/>
      </c>
      <c r="M2300" t="inlineStr">
        <is>
          <t>Anne</t>
        </is>
      </c>
      <c r="N2300" s="6">
        <f>HYPERLINK("https://www.kleinanzeigen.de/s-bestandsliste.html?userId=33740258", "Link")</f>
        <v/>
      </c>
      <c r="O2300" s="7" t="n">
        <v>45543.54910879629</v>
      </c>
      <c r="P2300" s="3" t="inlineStr">
        <is>
          <t>434.29</t>
        </is>
      </c>
      <c r="Q2300" t="inlineStr">
        <is>
          <t>Köln</t>
        </is>
      </c>
    </row>
    <row r="2301">
      <c r="A2301" t="inlineStr">
        <is>
          <t>300 cm x 82 cm x 15 cm</t>
        </is>
      </c>
      <c r="B2301" t="inlineStr">
        <is>
          <t>F2 TEAM</t>
        </is>
      </c>
      <c r="C2301" t="inlineStr">
        <is>
          <t>Windsurf SUP</t>
        </is>
      </c>
      <c r="D2301" s="3" t="n">
        <v>10</v>
      </c>
      <c r="E2301" t="inlineStr"/>
      <c r="F2301" s="4" t="n">
        <v>299</v>
      </c>
      <c r="G2301" t="inlineStr"/>
      <c r="H2301" t="inlineStr">
        <is>
          <t>95028 Bayern - Hof (Saale)</t>
        </is>
      </c>
      <c r="I2301" s="5" t="n">
        <v>45543</v>
      </c>
      <c r="J2301" t="inlineStr">
        <is>
          <t>Sold</t>
        </is>
      </c>
      <c r="K2301" s="6">
        <f>HYPERLINK("https://www.kleinanzeigen.de/s-anzeige/f2-team-windsurf-sup-10-0-stand-up-paddle-board-paddel-bag/2832566936-230-7244", "Link")</f>
        <v/>
      </c>
      <c r="L2301" s="6">
        <f>HYPERLINK("C:\Projects\Kleinanzeigen-Scraper\offer_images\2832566936", "Link")</f>
        <v/>
      </c>
      <c r="M2301" t="inlineStr">
        <is>
          <t>No user name</t>
        </is>
      </c>
      <c r="N2301" s="6">
        <f>HYPERLINK("https://www.kleinanzeigen.deNo user link", "Link")</f>
        <v/>
      </c>
      <c r="O2301" s="7" t="n">
        <v>45543.54903935185</v>
      </c>
      <c r="P2301" s="3" t="inlineStr">
        <is>
          <t>244.83</t>
        </is>
      </c>
      <c r="Q2301" t="inlineStr">
        <is>
          <t>München</t>
        </is>
      </c>
    </row>
    <row r="2302">
      <c r="A2302" t="inlineStr">
        <is>
          <t>232 x 65</t>
        </is>
      </c>
      <c r="B2302" t="inlineStr">
        <is>
          <t>RRD Powermove LTD</t>
        </is>
      </c>
      <c r="C2302" t="inlineStr">
        <is>
          <t>Freestyle-Wave</t>
        </is>
      </c>
      <c r="D2302" s="3" t="n">
        <v>114</v>
      </c>
      <c r="E2302" t="inlineStr">
        <is>
          <t>Y28</t>
        </is>
      </c>
      <c r="F2302" s="4" t="n">
        <v>1.973</v>
      </c>
      <c r="G2302" t="inlineStr">
        <is>
          <t>VB</t>
        </is>
      </c>
      <c r="H2302" t="inlineStr">
        <is>
          <t>82319 Bayern - Starnberg</t>
        </is>
      </c>
      <c r="I2302" s="5" t="n">
        <v>45541</v>
      </c>
      <c r="J2302" t="inlineStr"/>
      <c r="K2302" s="6">
        <f>HYPERLINK("https://www.kleinanzeigen.de/s-anzeige/rrd-powermove-ltd-testbrett-114l-windsurf-board/2649456793-230-5525", "Link")</f>
        <v/>
      </c>
      <c r="L2302" s="6">
        <f>HYPERLINK("C:\Projects\Kleinanzeigen-Scraper\offer_images\2649456793", "Link")</f>
        <v/>
      </c>
      <c r="M2302" t="inlineStr">
        <is>
          <t>No user name</t>
        </is>
      </c>
      <c r="N2302" s="6">
        <f>HYPERLINK("https://www.kleinanzeigen.deNo user link", "Link")</f>
        <v/>
      </c>
      <c r="O2302" s="7" t="n">
        <v>45543.54896990741</v>
      </c>
      <c r="P2302" s="3" t="inlineStr">
        <is>
          <t>23.17</t>
        </is>
      </c>
      <c r="Q2302" t="inlineStr">
        <is>
          <t>München</t>
        </is>
      </c>
    </row>
    <row r="2303">
      <c r="A2303" t="inlineStr"/>
      <c r="B2303" t="inlineStr">
        <is>
          <t>Klepper S306</t>
        </is>
      </c>
      <c r="C2303" t="inlineStr"/>
      <c r="D2303" s="3" t="inlineStr"/>
      <c r="E2303" t="inlineStr"/>
      <c r="F2303" s="4" t="n">
        <v>350</v>
      </c>
      <c r="G2303" t="inlineStr">
        <is>
          <t>VB</t>
        </is>
      </c>
      <c r="H2303" t="inlineStr">
        <is>
          <t>85095 Bayern - Denkendorf</t>
        </is>
      </c>
      <c r="I2303" s="5" t="n">
        <v>45543</v>
      </c>
      <c r="J2303" t="inlineStr">
        <is>
          <t>Sold</t>
        </is>
      </c>
      <c r="K2303" s="6">
        <f>HYPERLINK("https://www.kleinanzeigen.de/s-anzeige/surfbrett-klepper-s-306-windsurf-set-mit-2-segeln/2857078672-230-7605", "Link")</f>
        <v/>
      </c>
      <c r="L2303" s="6">
        <f>HYPERLINK("C:\Projects\Kleinanzeigen-Scraper\offer_images\2857078672", "Link")</f>
        <v/>
      </c>
      <c r="M2303" t="inlineStr">
        <is>
          <t>Franz</t>
        </is>
      </c>
      <c r="N2303" s="6">
        <f>HYPERLINK("https://www.kleinanzeigen.de/s-bestandsliste.html?userId=10920115", "Link")</f>
        <v/>
      </c>
      <c r="O2303" s="7" t="n">
        <v>45543.54888888889</v>
      </c>
      <c r="P2303" s="3" t="inlineStr">
        <is>
          <t>88.31</t>
        </is>
      </c>
      <c r="Q2303" t="inlineStr">
        <is>
          <t>München</t>
        </is>
      </c>
    </row>
    <row r="2304">
      <c r="A2304" t="inlineStr"/>
      <c r="B2304" t="inlineStr">
        <is>
          <t>F2 Xantos</t>
        </is>
      </c>
      <c r="C2304" t="inlineStr"/>
      <c r="D2304" s="3" t="inlineStr"/>
      <c r="E2304" t="inlineStr"/>
      <c r="F2304" s="4" t="n">
        <v>1</v>
      </c>
      <c r="G2304" t="inlineStr">
        <is>
          <t>VB</t>
        </is>
      </c>
      <c r="H2304" t="inlineStr">
        <is>
          <t>27356 Niedersachsen - Rotenburg (Wümme)</t>
        </is>
      </c>
      <c r="I2304" s="5" t="n">
        <v>45542</v>
      </c>
      <c r="J2304" t="inlineStr">
        <is>
          <t>Sold</t>
        </is>
      </c>
      <c r="K2304" s="6">
        <f>HYPERLINK("https://www.kleinanzeigen.de/s-anzeige/f2-xantos-windsurf-brett/2856260651-230-2937", "Link")</f>
        <v/>
      </c>
      <c r="L2304" s="6">
        <f>HYPERLINK("C:\Projects\Kleinanzeigen-Scraper\offer_images\2856260651", "Link")</f>
        <v/>
      </c>
      <c r="M2304" t="inlineStr">
        <is>
          <t>Sascha haasner</t>
        </is>
      </c>
      <c r="N2304" s="6">
        <f>HYPERLINK("https://www.kleinanzeigen.de/s-bestandsliste.html?userId=81603274", "Link")</f>
        <v/>
      </c>
      <c r="O2304" s="7" t="n">
        <v>45543.54879629629</v>
      </c>
      <c r="P2304" s="3" t="inlineStr">
        <is>
          <t>290.99</t>
        </is>
      </c>
      <c r="Q2304" t="inlineStr">
        <is>
          <t>Köln</t>
        </is>
      </c>
    </row>
    <row r="2305">
      <c r="A2305" t="inlineStr">
        <is>
          <t>270x80</t>
        </is>
      </c>
      <c r="B2305" t="inlineStr">
        <is>
          <t>Fanatic Shark</t>
        </is>
      </c>
      <c r="C2305" t="inlineStr">
        <is>
          <t>Freeride</t>
        </is>
      </c>
      <c r="D2305" s="3" t="n">
        <v>160</v>
      </c>
      <c r="E2305" t="inlineStr"/>
      <c r="F2305" s="4" t="n">
        <v>160</v>
      </c>
      <c r="G2305" t="inlineStr">
        <is>
          <t>VB</t>
        </is>
      </c>
      <c r="H2305" t="inlineStr">
        <is>
          <t>30519 Hannover - Döhren-Wülfel</t>
        </is>
      </c>
      <c r="I2305" s="5" t="n">
        <v>45541</v>
      </c>
      <c r="J2305" t="inlineStr">
        <is>
          <t>Sold</t>
        </is>
      </c>
      <c r="K2305" s="6">
        <f>HYPERLINK("https://www.kleinanzeigen.de/s-anzeige/windsurf-board-fanatic-shark-160l-finne-26-34-boardbag/2855870927-230-3174", "Link")</f>
        <v/>
      </c>
      <c r="L2305" s="6">
        <f>HYPERLINK("C:\Projects\Kleinanzeigen-Scraper\offer_images\2855870927", "Link")</f>
        <v/>
      </c>
      <c r="M2305" t="inlineStr">
        <is>
          <t>Jörk</t>
        </is>
      </c>
      <c r="N2305" s="6">
        <f>HYPERLINK("https://www.kleinanzeigen.de/s-bestandsliste.html?userId=59220870", "Link")</f>
        <v/>
      </c>
      <c r="O2305" s="7" t="n">
        <v>45543.54866898148</v>
      </c>
      <c r="P2305" s="3" t="inlineStr">
        <is>
          <t>248.98</t>
        </is>
      </c>
      <c r="Q2305" t="inlineStr">
        <is>
          <t>Köln</t>
        </is>
      </c>
    </row>
    <row r="2306">
      <c r="A2306" t="inlineStr">
        <is>
          <t>Dimensions not specified</t>
        </is>
      </c>
      <c r="B2306" t="inlineStr">
        <is>
          <t>Mistral Style RD</t>
        </is>
      </c>
      <c r="C2306" t="inlineStr">
        <is>
          <t>Freewave</t>
        </is>
      </c>
      <c r="D2306" s="3" t="n">
        <v>85</v>
      </c>
      <c r="E2306" t="inlineStr"/>
      <c r="F2306" s="4" t="n">
        <v>150</v>
      </c>
      <c r="G2306" t="inlineStr">
        <is>
          <t>VB</t>
        </is>
      </c>
      <c r="H2306" t="inlineStr">
        <is>
          <t>21039 Hamburg - Bergedorf</t>
        </is>
      </c>
      <c r="I2306" s="5" t="n">
        <v>45543</v>
      </c>
      <c r="J2306" t="inlineStr">
        <is>
          <t>Sold</t>
        </is>
      </c>
      <c r="K2306" s="6">
        <f>HYPERLINK("https://www.kleinanzeigen.de/s-anzeige/windsurfing-windsurfen-windsurfbrett-windsurfboard/2857279103-230-16433", "Link")</f>
        <v/>
      </c>
      <c r="L2306" s="6">
        <f>HYPERLINK("C:\Projects\Kleinanzeigen-Scraper\offer_images\2857279103", "Link")</f>
        <v/>
      </c>
      <c r="M2306" t="inlineStr">
        <is>
          <t>Holger</t>
        </is>
      </c>
      <c r="N2306" s="6">
        <f>HYPERLINK("https://www.kleinanzeigen.de/s-bestandsliste.html?userId=5294557", "Link")</f>
        <v/>
      </c>
      <c r="O2306" s="7" t="n">
        <v>45543.54864583333</v>
      </c>
      <c r="P2306" s="3" t="inlineStr">
        <is>
          <t>360.30</t>
        </is>
      </c>
      <c r="Q2306" t="inlineStr">
        <is>
          <t>Köln</t>
        </is>
      </c>
    </row>
    <row r="2307">
      <c r="A2307" t="inlineStr"/>
      <c r="B2307" t="inlineStr">
        <is>
          <t>RRD Freewave</t>
        </is>
      </c>
      <c r="C2307" t="inlineStr">
        <is>
          <t>Freeride</t>
        </is>
      </c>
      <c r="D2307" s="3" t="n">
        <v>80</v>
      </c>
      <c r="E2307" t="inlineStr"/>
      <c r="F2307" s="4" t="n">
        <v>280</v>
      </c>
      <c r="G2307" t="inlineStr">
        <is>
          <t>VB</t>
        </is>
      </c>
      <c r="H2307" t="inlineStr">
        <is>
          <t>23568 Lübeck - St. Gertrud</t>
        </is>
      </c>
      <c r="I2307" s="5" t="n">
        <v>45542</v>
      </c>
      <c r="J2307" t="inlineStr"/>
      <c r="K2307" s="6">
        <f>HYPERLINK("https://www.kleinanzeigen.de/s-anzeige/rrd-freewave-80-l-single-fin-windsurf-board-windsurf-ausruestung/2856292214-230-24240", "Link")</f>
        <v/>
      </c>
      <c r="L2307" s="6">
        <f>HYPERLINK("C:\Projects\Kleinanzeigen-Scraper\offer_images\2856292214", "Link")</f>
        <v/>
      </c>
      <c r="M2307" t="inlineStr">
        <is>
          <t>Lasse</t>
        </is>
      </c>
      <c r="N2307" s="6">
        <f>HYPERLINK("https://www.kleinanzeigen.de/s-bestandsliste.html?userId=139391162", "Link")</f>
        <v/>
      </c>
      <c r="O2307" s="7" t="n">
        <v>45543.54861111111</v>
      </c>
      <c r="P2307" s="3" t="inlineStr">
        <is>
          <t>418.25</t>
        </is>
      </c>
      <c r="Q2307" t="inlineStr">
        <is>
          <t>Köln</t>
        </is>
      </c>
    </row>
    <row r="2308">
      <c r="A2308" t="inlineStr"/>
      <c r="B2308" t="inlineStr">
        <is>
          <t>Fanatic Stingray Foil LTD</t>
        </is>
      </c>
      <c r="C2308" t="inlineStr">
        <is>
          <t>Foil</t>
        </is>
      </c>
      <c r="D2308" s="3" t="n">
        <v>125</v>
      </c>
      <c r="E2308" t="inlineStr"/>
      <c r="F2308" s="4" t="n">
        <v>700</v>
      </c>
      <c r="G2308" t="inlineStr"/>
      <c r="H2308" t="inlineStr">
        <is>
          <t>14199 Berlin - Wilmersdorf</t>
        </is>
      </c>
      <c r="I2308" s="5" t="n">
        <v>45542</v>
      </c>
      <c r="J2308" t="inlineStr">
        <is>
          <t>Sold</t>
        </is>
      </c>
      <c r="K2308" s="6">
        <f>HYPERLINK("https://www.kleinanzeigen.de/s-anzeige/windsurf-fanatic-stingray-foil-board-komplett/2856287676-230-3541", "Link")</f>
        <v/>
      </c>
      <c r="L2308" s="6">
        <f>HYPERLINK("C:\Projects\Kleinanzeigen-Scraper\offer_images\2856287676", "Link")</f>
        <v/>
      </c>
      <c r="M2308" t="inlineStr">
        <is>
          <t>Thomas</t>
        </is>
      </c>
      <c r="N2308" s="6">
        <f>HYPERLINK("https://www.kleinanzeigen.de/s-bestandsliste.html?userId=74406168", "Link")</f>
        <v/>
      </c>
      <c r="O2308" s="7" t="n">
        <v>45543.54850694445</v>
      </c>
      <c r="P2308" s="3" t="inlineStr">
        <is>
          <t>469.09</t>
        </is>
      </c>
      <c r="Q2308" t="inlineStr">
        <is>
          <t>Köln</t>
        </is>
      </c>
    </row>
    <row r="2309">
      <c r="A2309" t="inlineStr"/>
      <c r="B2309" t="inlineStr">
        <is>
          <t>RRD Hardcore Wave</t>
        </is>
      </c>
      <c r="C2309" t="inlineStr">
        <is>
          <t>Wave</t>
        </is>
      </c>
      <c r="D2309" s="3" t="n">
        <v>76</v>
      </c>
      <c r="E2309" t="inlineStr"/>
      <c r="F2309" s="4" t="n">
        <v>350</v>
      </c>
      <c r="G2309" t="inlineStr">
        <is>
          <t>VB</t>
        </is>
      </c>
      <c r="H2309" t="inlineStr">
        <is>
          <t>23568 Lübeck - St. Gertrud</t>
        </is>
      </c>
      <c r="I2309" s="5" t="n">
        <v>45542</v>
      </c>
      <c r="J2309" t="inlineStr"/>
      <c r="K2309" s="6">
        <f>HYPERLINK("https://www.kleinanzeigen.de/s-anzeige/rrd-hardcore-wave-in-76-l-singlefin-us-box-windsurf-board/2856293963-230-24240", "Link")</f>
        <v/>
      </c>
      <c r="L2309" s="6">
        <f>HYPERLINK("C:\Projects\Kleinanzeigen-Scraper\offer_images\2856293963", "Link")</f>
        <v/>
      </c>
      <c r="M2309" t="inlineStr">
        <is>
          <t>Lasse</t>
        </is>
      </c>
      <c r="N2309" s="6">
        <f>HYPERLINK("https://www.kleinanzeigen.de/s-bestandsliste.html?userId=139391162", "Link")</f>
        <v/>
      </c>
      <c r="O2309" s="7" t="n">
        <v>45543.54828703704</v>
      </c>
      <c r="P2309" s="3" t="inlineStr">
        <is>
          <t>418.25</t>
        </is>
      </c>
      <c r="Q2309" t="inlineStr">
        <is>
          <t>Köln</t>
        </is>
      </c>
    </row>
    <row r="2310">
      <c r="A2310" t="inlineStr"/>
      <c r="B2310" t="inlineStr">
        <is>
          <t>Fanatic Viper 80</t>
        </is>
      </c>
      <c r="C2310" t="inlineStr">
        <is>
          <t>Freeride</t>
        </is>
      </c>
      <c r="D2310" s="3" t="n">
        <v>190</v>
      </c>
      <c r="E2310" t="inlineStr"/>
      <c r="F2310" s="4" t="n">
        <v>300</v>
      </c>
      <c r="G2310" t="inlineStr">
        <is>
          <t>VB</t>
        </is>
      </c>
      <c r="H2310" t="inlineStr">
        <is>
          <t>28876 Niedersachsen - Oyten</t>
        </is>
      </c>
      <c r="I2310" s="5" t="n">
        <v>45543</v>
      </c>
      <c r="J2310" t="inlineStr">
        <is>
          <t>Sold</t>
        </is>
      </c>
      <c r="K2310" s="6">
        <f>HYPERLINK("https://www.kleinanzeigen.de/s-anzeige/fanatic-viper-80-190-ltr-windsurfen-board-surfboard/2857191109-230-2740", "Link")</f>
        <v/>
      </c>
      <c r="L2310" s="6">
        <f>HYPERLINK("C:\Projects\Kleinanzeigen-Scraper\offer_images\2857191109", "Link")</f>
        <v/>
      </c>
      <c r="M2310" t="inlineStr">
        <is>
          <t>Privat</t>
        </is>
      </c>
      <c r="N2310" s="6">
        <f>HYPERLINK("https://www.kleinanzeigen.de/s-bestandsliste.html?userId=16964540", "Link")</f>
        <v/>
      </c>
      <c r="O2310" s="7" t="n">
        <v>45543.54828703704</v>
      </c>
      <c r="P2310" s="3" t="inlineStr">
        <is>
          <t>277.79</t>
        </is>
      </c>
      <c r="Q2310" t="inlineStr">
        <is>
          <t>Köln</t>
        </is>
      </c>
    </row>
    <row r="2311">
      <c r="A2311" t="inlineStr">
        <is>
          <t>238 cm x 72 cm</t>
        </is>
      </c>
      <c r="B2311" t="inlineStr">
        <is>
          <t>JP Super Ride LXT</t>
        </is>
      </c>
      <c r="C2311" t="inlineStr">
        <is>
          <t>Freeride</t>
        </is>
      </c>
      <c r="D2311" s="3" t="n">
        <v>124</v>
      </c>
      <c r="E2311" t="inlineStr">
        <is>
          <t>2022</t>
        </is>
      </c>
      <c r="F2311" s="4" t="n">
        <v>1.349</v>
      </c>
      <c r="G2311" t="inlineStr"/>
      <c r="H2311" t="inlineStr">
        <is>
          <t>82319 Bayern - Starnberg</t>
        </is>
      </c>
      <c r="I2311" s="5" t="n">
        <v>45543</v>
      </c>
      <c r="J2311" t="inlineStr">
        <is>
          <t>Sold</t>
        </is>
      </c>
      <c r="K2311" s="6">
        <f>HYPERLINK("https://www.kleinanzeigen.de/s-anzeige/jp-super-ride-lxt-124l-2022-windsurf-brett-neu/2704508495-230-5525", "Link")</f>
        <v/>
      </c>
      <c r="L2311" s="6">
        <f>HYPERLINK("C:\Projects\Kleinanzeigen-Scraper\offer_images\2704508495", "Link")</f>
        <v/>
      </c>
      <c r="M2311" t="inlineStr">
        <is>
          <t>No user name</t>
        </is>
      </c>
      <c r="N2311" s="6">
        <f>HYPERLINK("https://www.kleinanzeigen.deNo user link", "Link")</f>
        <v/>
      </c>
      <c r="O2311" s="7" t="n">
        <v>45543.54824074074</v>
      </c>
      <c r="P2311" s="3" t="inlineStr">
        <is>
          <t>23.17</t>
        </is>
      </c>
      <c r="Q2311" t="inlineStr">
        <is>
          <t>München</t>
        </is>
      </c>
    </row>
    <row r="2312">
      <c r="A2312" t="inlineStr"/>
      <c r="B2312" t="inlineStr">
        <is>
          <t>Mistral Synchro</t>
        </is>
      </c>
      <c r="C2312" t="inlineStr"/>
      <c r="D2312" s="3" t="n">
        <v>91</v>
      </c>
      <c r="E2312" t="inlineStr"/>
      <c r="F2312" s="4" t="n">
        <v>150</v>
      </c>
      <c r="G2312" t="inlineStr"/>
      <c r="H2312" t="inlineStr">
        <is>
          <t>17192 Waren (Müritz)</t>
        </is>
      </c>
      <c r="I2312" s="5" t="n">
        <v>45541</v>
      </c>
      <c r="J2312" t="inlineStr">
        <is>
          <t>Sold</t>
        </is>
      </c>
      <c r="K2312" s="6">
        <f>HYPERLINK("https://www.dailydose.de/kleinanzeigen/detail.htm?ai=422125&amp;cf=kk&amp;pg=5&amp;ci=11", "Link")</f>
        <v/>
      </c>
      <c r="L2312" s="6">
        <f>HYPERLINK("C:\Projects\Kleinanzeigen-Scraper\offer_images\422125", "Link")</f>
        <v/>
      </c>
      <c r="M2312" t="inlineStr">
        <is>
          <t>Katja_119</t>
        </is>
      </c>
      <c r="N2312" s="6">
        <f>HYPERLINK("https://www.dailydose.de/kleinanzeigen/user/13230", "Link")</f>
        <v/>
      </c>
      <c r="O2312" s="7" t="n">
        <v>45542.78480324074</v>
      </c>
      <c r="P2312" s="3" t="inlineStr">
        <is>
          <t>486.42</t>
        </is>
      </c>
      <c r="Q2312" t="inlineStr">
        <is>
          <t>Köln</t>
        </is>
      </c>
    </row>
    <row r="2313">
      <c r="A2313" t="inlineStr"/>
      <c r="B2313" t="inlineStr">
        <is>
          <t>Horue Airtime</t>
        </is>
      </c>
      <c r="C2313" t="inlineStr">
        <is>
          <t>Windfoil</t>
        </is>
      </c>
      <c r="D2313" s="3" t="inlineStr"/>
      <c r="E2313" t="inlineStr"/>
      <c r="F2313" s="4" t="n">
        <v>270</v>
      </c>
      <c r="G2313" t="inlineStr"/>
      <c r="H2313" t="inlineStr">
        <is>
          <t>24794 Bünsdorf</t>
        </is>
      </c>
      <c r="I2313" s="5" t="n">
        <v>45541</v>
      </c>
      <c r="J2313" t="inlineStr">
        <is>
          <t>Sold</t>
        </is>
      </c>
      <c r="K2313" s="6">
        <f>HYPERLINK("https://www.dailydose.de/kleinanzeigen/detail.htm?ai=422121&amp;cf=kk&amp;pg=4&amp;ci=11", "Link")</f>
        <v/>
      </c>
      <c r="L2313" s="6">
        <f>HYPERLINK("C:\Projects\Kleinanzeigen-Scraper\offer_images\422121", "Link")</f>
        <v/>
      </c>
      <c r="M2313" t="inlineStr">
        <is>
          <t>Karin Hennig</t>
        </is>
      </c>
      <c r="N2313" s="6">
        <f>HYPERLINK("https://www.dailydose.de/kleinanzeigen/user/13108", "Link")</f>
        <v/>
      </c>
      <c r="O2313" s="7" t="n">
        <v>45542.78400462963</v>
      </c>
      <c r="P2313" s="3" t="inlineStr">
        <is>
          <t>420.37</t>
        </is>
      </c>
      <c r="Q2313" t="inlineStr">
        <is>
          <t>Köln</t>
        </is>
      </c>
    </row>
    <row r="2314">
      <c r="A2314" t="inlineStr"/>
      <c r="B2314" t="inlineStr">
        <is>
          <t>Patrik QT Wave</t>
        </is>
      </c>
      <c r="C2314" t="inlineStr">
        <is>
          <t>Wave</t>
        </is>
      </c>
      <c r="D2314" s="3" t="n">
        <v>103</v>
      </c>
      <c r="E2314" t="inlineStr">
        <is>
          <t>2022</t>
        </is>
      </c>
      <c r="F2314" s="4" t="n">
        <v>1299</v>
      </c>
      <c r="G2314" t="inlineStr"/>
      <c r="H2314" t="inlineStr">
        <is>
          <t>67454 Hassloch</t>
        </is>
      </c>
      <c r="I2314" s="5" t="n">
        <v>45542</v>
      </c>
      <c r="J2314" t="inlineStr">
        <is>
          <t>Sold</t>
        </is>
      </c>
      <c r="K2314" s="6">
        <f>HYPERLINK("https://www.dailydose.de/kleinanzeigen/detail.htm?ai=422161&amp;cf=kk&amp;pg=5&amp;ci=11", "Link")</f>
        <v/>
      </c>
      <c r="L2314" s="6">
        <f>HYPERLINK("C:\Projects\Kleinanzeigen-Scraper\offer_images\422161", "Link")</f>
        <v/>
      </c>
      <c r="M2314" t="inlineStr">
        <is>
          <t>thorsten_134</t>
        </is>
      </c>
      <c r="N2314" s="6">
        <f>HYPERLINK("https://www.dailydose.de/kleinanzeigen/user/23439", "Link")</f>
        <v/>
      </c>
      <c r="O2314" s="7" t="n">
        <v>45542.78390046296</v>
      </c>
      <c r="P2314" s="3" t="inlineStr">
        <is>
          <t>38.68</t>
        </is>
      </c>
      <c r="Q2314" t="inlineStr">
        <is>
          <t>Karlsruhe</t>
        </is>
      </c>
    </row>
    <row r="2315">
      <c r="A2315" t="inlineStr"/>
      <c r="B2315" t="inlineStr">
        <is>
          <t>MB Boards Panthera</t>
        </is>
      </c>
      <c r="C2315" t="inlineStr">
        <is>
          <t>Wave</t>
        </is>
      </c>
      <c r="D2315" s="3" t="n">
        <v>82</v>
      </c>
      <c r="E2315" t="inlineStr"/>
      <c r="F2315" s="4" t="inlineStr"/>
      <c r="G2315" t="inlineStr">
        <is>
          <t>VB</t>
        </is>
      </c>
      <c r="H2315" t="inlineStr">
        <is>
          <t>48653  Coesfeld</t>
        </is>
      </c>
      <c r="I2315" s="5" t="n">
        <v>45542</v>
      </c>
      <c r="J2315" t="inlineStr">
        <is>
          <t>Sold</t>
        </is>
      </c>
      <c r="K2315" s="6">
        <f>HYPERLINK("https://www.dailydose.de/kleinanzeigen/detail.htm?ai=422176&amp;cf=kk&amp;pg=5&amp;ci=11", "Link")</f>
        <v/>
      </c>
      <c r="L2315" s="6">
        <f>HYPERLINK("C:\Projects\Kleinanzeigen-Scraper\offer_images\422176", "Link")</f>
        <v/>
      </c>
      <c r="M2315" t="inlineStr">
        <is>
          <t>Lisa Kloster</t>
        </is>
      </c>
      <c r="N2315" s="6">
        <f>HYPERLINK("https://www.dailydose.de/kleinanzeigen/user/14395", "Link")</f>
        <v/>
      </c>
      <c r="O2315" s="7" t="n">
        <v>45542.78372685185</v>
      </c>
      <c r="P2315" s="3" t="inlineStr">
        <is>
          <t>108.96</t>
        </is>
      </c>
      <c r="Q2315" t="inlineStr">
        <is>
          <t>Köln</t>
        </is>
      </c>
    </row>
    <row r="2316">
      <c r="A2316" t="inlineStr"/>
      <c r="B2316" t="inlineStr">
        <is>
          <t>RRD Firemove</t>
        </is>
      </c>
      <c r="C2316" t="inlineStr">
        <is>
          <t>Freemove</t>
        </is>
      </c>
      <c r="D2316" s="3" t="n">
        <v>110</v>
      </c>
      <c r="E2316" t="inlineStr"/>
      <c r="F2316" s="4" t="n">
        <v>475</v>
      </c>
      <c r="G2316" t="inlineStr"/>
      <c r="H2316" t="inlineStr">
        <is>
          <t>Kiel</t>
        </is>
      </c>
      <c r="I2316" s="5" t="n">
        <v>45542</v>
      </c>
      <c r="J2316" t="inlineStr">
        <is>
          <t>Sold</t>
        </is>
      </c>
      <c r="K2316" s="6">
        <f>HYPERLINK("https://www.dailydose.de/kleinanzeigen/detail.htm?ai=422146&amp;cf=kk&amp;pg=5&amp;ci=11", "Link")</f>
        <v/>
      </c>
      <c r="L2316" s="6">
        <f>HYPERLINK("C:\Projects\Kleinanzeigen-Scraper\offer_images\422146", "Link")</f>
        <v/>
      </c>
      <c r="M2316" t="inlineStr">
        <is>
          <t>Jens_141</t>
        </is>
      </c>
      <c r="N2316" s="6">
        <f>HYPERLINK("https://www.dailydose.de/kleinanzeigen/user/10028", "Link")</f>
        <v/>
      </c>
      <c r="O2316" s="7" t="n">
        <v>45542.78241898148</v>
      </c>
      <c r="P2316" s="3" t="inlineStr">
        <is>
          <t>433.14</t>
        </is>
      </c>
      <c r="Q2316" t="inlineStr">
        <is>
          <t>Köln</t>
        </is>
      </c>
    </row>
    <row r="2317">
      <c r="A2317" t="inlineStr"/>
      <c r="B2317" t="inlineStr">
        <is>
          <t>JP Australia Hydrfoil Pro</t>
        </is>
      </c>
      <c r="C2317" t="inlineStr">
        <is>
          <t>Foilboard</t>
        </is>
      </c>
      <c r="D2317" s="3" t="n">
        <v>150</v>
      </c>
      <c r="E2317" t="inlineStr">
        <is>
          <t>2020</t>
        </is>
      </c>
      <c r="F2317" s="4" t="n">
        <v>890</v>
      </c>
      <c r="G2317" t="inlineStr">
        <is>
          <t>VB</t>
        </is>
      </c>
      <c r="H2317" t="inlineStr">
        <is>
          <t>15537 Erkner</t>
        </is>
      </c>
      <c r="I2317" s="5" t="n">
        <v>45542</v>
      </c>
      <c r="J2317" t="inlineStr">
        <is>
          <t>Sold</t>
        </is>
      </c>
      <c r="K2317" s="6">
        <f>HYPERLINK("https://www.dailydose.de/kleinanzeigen/detail.htm?ai=422170&amp;cf=kk&amp;pg=5&amp;ci=11", "Link")</f>
        <v/>
      </c>
      <c r="L2317" s="6">
        <f>HYPERLINK("C:\Projects\Kleinanzeigen-Scraper\offer_images\422170", "Link")</f>
        <v/>
      </c>
      <c r="M2317" t="inlineStr">
        <is>
          <t>Freestyler0805</t>
        </is>
      </c>
      <c r="N2317" s="6">
        <f>HYPERLINK("https://www.dailydose.de/kleinanzeigen/user/26364", "Link")</f>
        <v/>
      </c>
      <c r="O2317" s="7" t="n">
        <v>45542.78199074074</v>
      </c>
      <c r="P2317" s="3" t="inlineStr">
        <is>
          <t>503.97</t>
        </is>
      </c>
      <c r="Q2317" t="inlineStr">
        <is>
          <t>München</t>
        </is>
      </c>
    </row>
    <row r="2318">
      <c r="A2318" t="inlineStr"/>
      <c r="B2318" t="inlineStr">
        <is>
          <t>Fanatic Eagle</t>
        </is>
      </c>
      <c r="C2318" t="inlineStr">
        <is>
          <t>Freeride</t>
        </is>
      </c>
      <c r="D2318" s="3" t="n">
        <v>101</v>
      </c>
      <c r="E2318" t="inlineStr"/>
      <c r="F2318" s="4" t="n">
        <v>275</v>
      </c>
      <c r="G2318" t="inlineStr"/>
      <c r="H2318" t="inlineStr">
        <is>
          <t>17192 Waren (Müritz)</t>
        </is>
      </c>
      <c r="I2318" s="5" t="n">
        <v>45541</v>
      </c>
      <c r="J2318" t="inlineStr">
        <is>
          <t>Sold</t>
        </is>
      </c>
      <c r="K2318" s="6">
        <f>HYPERLINK("https://www.dailydose.de/kleinanzeigen/detail.htm?ai=422129&amp;cf=kk&amp;pg=4&amp;ci=11", "Link")</f>
        <v/>
      </c>
      <c r="L2318" s="6">
        <f>HYPERLINK("C:\Projects\Kleinanzeigen-Scraper\offer_images\422129", "Link")</f>
        <v/>
      </c>
      <c r="M2318" t="inlineStr">
        <is>
          <t>Katja_119</t>
        </is>
      </c>
      <c r="N2318" s="6">
        <f>HYPERLINK("https://www.dailydose.de/kleinanzeigen/user/13230", "Link")</f>
        <v/>
      </c>
      <c r="O2318" s="7" t="n">
        <v>45542.78145833333</v>
      </c>
      <c r="P2318" s="3" t="inlineStr">
        <is>
          <t>486.42</t>
        </is>
      </c>
      <c r="Q2318" t="inlineStr">
        <is>
          <t>Köln</t>
        </is>
      </c>
    </row>
    <row r="2319">
      <c r="A2319" t="inlineStr"/>
      <c r="B2319" t="inlineStr">
        <is>
          <t>Patrik Slalom</t>
        </is>
      </c>
      <c r="C2319" t="inlineStr">
        <is>
          <t>Slalom</t>
        </is>
      </c>
      <c r="D2319" s="3" t="n">
        <v>140</v>
      </c>
      <c r="E2319" t="inlineStr"/>
      <c r="F2319" s="4" t="n">
        <v>799</v>
      </c>
      <c r="G2319" t="inlineStr"/>
      <c r="H2319" t="inlineStr">
        <is>
          <t>67454 Haßloch</t>
        </is>
      </c>
      <c r="I2319" s="5" t="n">
        <v>45542</v>
      </c>
      <c r="J2319" t="inlineStr">
        <is>
          <t>Sold</t>
        </is>
      </c>
      <c r="K2319" s="6">
        <f>HYPERLINK("https://www.dailydose.de/kleinanzeigen/detail.htm?ai=422151&amp;cf=kk&amp;pg=5&amp;ci=11", "Link")</f>
        <v/>
      </c>
      <c r="L2319" s="6">
        <f>HYPERLINK("C:\Projects\Kleinanzeigen-Scraper\offer_images\422151", "Link")</f>
        <v/>
      </c>
      <c r="M2319" t="inlineStr">
        <is>
          <t>thorsten_134</t>
        </is>
      </c>
      <c r="N2319" s="6">
        <f>HYPERLINK("https://www.dailydose.de/kleinanzeigen/user/23439", "Link")</f>
        <v/>
      </c>
      <c r="O2319" s="7" t="n">
        <v>45542.78142361111</v>
      </c>
      <c r="P2319" s="3" t="inlineStr">
        <is>
          <t>38.68</t>
        </is>
      </c>
      <c r="Q2319" t="inlineStr">
        <is>
          <t>Karlsruhe</t>
        </is>
      </c>
    </row>
    <row r="2320">
      <c r="A2320" t="inlineStr">
        <is>
          <t>230 cm x 75 cm</t>
        </is>
      </c>
      <c r="B2320" t="inlineStr">
        <is>
          <t>F2</t>
        </is>
      </c>
      <c r="C2320" t="inlineStr">
        <is>
          <t>Foilboard</t>
        </is>
      </c>
      <c r="D2320" s="3" t="n">
        <v>125</v>
      </c>
      <c r="E2320" t="inlineStr"/>
      <c r="F2320" s="4" t="n">
        <v>600</v>
      </c>
      <c r="G2320" t="inlineStr"/>
      <c r="H2320" t="inlineStr">
        <is>
          <t>48683 Münster, Ahaus, Workum</t>
        </is>
      </c>
      <c r="I2320" s="5" t="n">
        <v>45541</v>
      </c>
      <c r="J2320" t="inlineStr">
        <is>
          <t>Sold</t>
        </is>
      </c>
      <c r="K2320" s="6">
        <f>HYPERLINK("https://www.dailydose.de/kleinanzeigen/detail.htm?ai=422135&amp;cf=kk&amp;pg=5&amp;ci=11", "Link")</f>
        <v/>
      </c>
      <c r="L2320" s="6">
        <f>HYPERLINK("C:\Projects\Kleinanzeigen-Scraper\offer_images\422135", "Link")</f>
        <v/>
      </c>
      <c r="M2320" t="inlineStr">
        <is>
          <t>ms-surfi</t>
        </is>
      </c>
      <c r="N2320" s="6">
        <f>HYPERLINK("https://www.dailydose.de/kleinanzeigen/user/2812", "Link")</f>
        <v/>
      </c>
      <c r="O2320" s="7" t="n">
        <v>45542.78113425926</v>
      </c>
      <c r="P2320" s="3" t="inlineStr">
        <is>
          <t>126.88</t>
        </is>
      </c>
      <c r="Q2320" t="inlineStr">
        <is>
          <t>Köln</t>
        </is>
      </c>
    </row>
    <row r="2321">
      <c r="A2321" t="inlineStr">
        <is>
          <t>280 cm x 68 cm</t>
        </is>
      </c>
      <c r="B2321" t="inlineStr">
        <is>
          <t>Thommen Course Race XL</t>
        </is>
      </c>
      <c r="C2321" t="inlineStr">
        <is>
          <t>Race</t>
        </is>
      </c>
      <c r="D2321" s="3" t="n">
        <v>160</v>
      </c>
      <c r="E2321" t="inlineStr"/>
      <c r="F2321" s="4" t="n">
        <v>70</v>
      </c>
      <c r="G2321" t="inlineStr">
        <is>
          <t>VB</t>
        </is>
      </c>
      <c r="H2321" t="inlineStr">
        <is>
          <t>22335 Hamburg</t>
        </is>
      </c>
      <c r="I2321" s="5" t="n">
        <v>45542</v>
      </c>
      <c r="J2321" t="inlineStr">
        <is>
          <t>Sold</t>
        </is>
      </c>
      <c r="K2321" s="6">
        <f>HYPERLINK("https://www.dailydose.de/kleinanzeigen/detail.htm?ai=422173&amp;cf=kk&amp;pg=4&amp;ci=11", "Link")</f>
        <v/>
      </c>
      <c r="L2321" s="6">
        <f>HYPERLINK("C:\Projects\Kleinanzeigen-Scraper\offer_images\422173", "Link")</f>
        <v/>
      </c>
      <c r="M2321" t="inlineStr">
        <is>
          <t>Olli_137</t>
        </is>
      </c>
      <c r="N2321" s="6">
        <f>HYPERLINK("https://www.dailydose.de/kleinanzeigen/user/8962", "Link")</f>
        <v/>
      </c>
      <c r="O2321" s="7" t="n">
        <v>45542.7809375</v>
      </c>
      <c r="P2321" s="3" t="inlineStr">
        <is>
          <t>364.00</t>
        </is>
      </c>
      <c r="Q2321" t="inlineStr">
        <is>
          <t>Köln</t>
        </is>
      </c>
    </row>
    <row r="2322">
      <c r="A2322" t="inlineStr">
        <is>
          <t>109</t>
        </is>
      </c>
      <c r="B2322" t="inlineStr">
        <is>
          <t>JP Magic Ride LXT</t>
        </is>
      </c>
      <c r="C2322" t="inlineStr">
        <is>
          <t>Freeride</t>
        </is>
      </c>
      <c r="D2322" s="3" t="inlineStr"/>
      <c r="E2322" t="inlineStr">
        <is>
          <t>2023</t>
        </is>
      </c>
      <c r="F2322" s="4" t="n">
        <v>1.449</v>
      </c>
      <c r="G2322" t="inlineStr"/>
      <c r="H2322" t="inlineStr">
        <is>
          <t>82319 Bayern - Starnberg</t>
        </is>
      </c>
      <c r="I2322" s="5" t="n">
        <v>45542</v>
      </c>
      <c r="J2322" t="inlineStr">
        <is>
          <t>Sold</t>
        </is>
      </c>
      <c r="K2322" s="6">
        <f>HYPERLINK("https://www.kleinanzeigen.de/s-anzeige/jp-magic-ride-lxt-2023-windsurf-brett/2703677516-230-5525", "Link")</f>
        <v/>
      </c>
      <c r="L2322" s="6">
        <f>HYPERLINK("C:\Projects\Kleinanzeigen-Scraper\offer_images\2703677516", "Link")</f>
        <v/>
      </c>
      <c r="M2322" t="inlineStr">
        <is>
          <t>No user name</t>
        </is>
      </c>
      <c r="N2322" s="6">
        <f>HYPERLINK("https://www.kleinanzeigen.deNo user link", "Link")</f>
        <v/>
      </c>
      <c r="O2322" s="7" t="n">
        <v>45542.78074074074</v>
      </c>
      <c r="P2322" s="3" t="inlineStr">
        <is>
          <t>23.17</t>
        </is>
      </c>
      <c r="Q2322" t="inlineStr">
        <is>
          <t>München</t>
        </is>
      </c>
    </row>
    <row r="2323">
      <c r="A2323" t="inlineStr"/>
      <c r="B2323" t="inlineStr">
        <is>
          <t>JP Freestyle Wave PRO</t>
        </is>
      </c>
      <c r="C2323" t="inlineStr">
        <is>
          <t>Freestyle Wave</t>
        </is>
      </c>
      <c r="D2323" s="3" t="inlineStr"/>
      <c r="E2323" t="inlineStr">
        <is>
          <t>2023</t>
        </is>
      </c>
      <c r="F2323" s="4" t="n">
        <v>1.649</v>
      </c>
      <c r="G2323" t="inlineStr"/>
      <c r="H2323" t="inlineStr">
        <is>
          <t>82319 Bayern - Starnberg</t>
        </is>
      </c>
      <c r="I2323" s="5" t="n">
        <v>45542</v>
      </c>
      <c r="J2323" t="inlineStr">
        <is>
          <t>Sold</t>
        </is>
      </c>
      <c r="K2323" s="6">
        <f>HYPERLINK("https://www.kleinanzeigen.de/s-anzeige/jp-freestyle-wave-pro-2023-windsurf-brett/2703672588-230-5525", "Link")</f>
        <v/>
      </c>
      <c r="L2323" s="6">
        <f>HYPERLINK("C:\Projects\Kleinanzeigen-Scraper\offer_images\2703672588", "Link")</f>
        <v/>
      </c>
      <c r="M2323" t="inlineStr">
        <is>
          <t>No user name</t>
        </is>
      </c>
      <c r="N2323" s="6">
        <f>HYPERLINK("https://www.kleinanzeigen.deNo user link", "Link")</f>
        <v/>
      </c>
      <c r="O2323" s="7" t="n">
        <v>45542.78059027778</v>
      </c>
      <c r="P2323" s="3" t="inlineStr">
        <is>
          <t>23.17</t>
        </is>
      </c>
      <c r="Q2323" t="inlineStr">
        <is>
          <t>München</t>
        </is>
      </c>
    </row>
    <row r="2324">
      <c r="A2324" t="inlineStr">
        <is>
          <t>Dimensions not specified</t>
        </is>
      </c>
      <c r="B2324" t="inlineStr">
        <is>
          <t>RRD X-Fire</t>
        </is>
      </c>
      <c r="C2324" t="inlineStr">
        <is>
          <t>Slalom</t>
        </is>
      </c>
      <c r="D2324" s="3" t="n">
        <v>114</v>
      </c>
      <c r="E2324" t="inlineStr"/>
      <c r="F2324" s="4" t="n">
        <v>550</v>
      </c>
      <c r="G2324" t="inlineStr"/>
      <c r="H2324" t="inlineStr">
        <is>
          <t>81476 München - Thalk.Obersendl.-Forsten-Fürstenr.-Solln</t>
        </is>
      </c>
      <c r="I2324" s="5" t="n">
        <v>45541</v>
      </c>
      <c r="J2324" t="inlineStr">
        <is>
          <t>Sold</t>
        </is>
      </c>
      <c r="K2324" s="6">
        <f>HYPERLINK("https://www.kleinanzeigen.de/s-anzeige/rrd-x-fire-114-l-ltd-windsurf-board-brett/2855966439-230-6436", "Link")</f>
        <v/>
      </c>
      <c r="L2324" s="6">
        <f>HYPERLINK("C:\Projects\Kleinanzeigen-Scraper\offer_images\2855966439", "Link")</f>
        <v/>
      </c>
      <c r="M2324" t="inlineStr">
        <is>
          <t>Mike</t>
        </is>
      </c>
      <c r="N2324" s="6">
        <f>HYPERLINK("https://www.kleinanzeigen.de/s-bestandsliste.html?userId=27971111", "Link")</f>
        <v/>
      </c>
      <c r="O2324" s="7" t="n">
        <v>45542.78054398148</v>
      </c>
      <c r="P2324" s="3" t="inlineStr">
        <is>
          <t>8.19</t>
        </is>
      </c>
      <c r="Q2324" t="inlineStr">
        <is>
          <t>München</t>
        </is>
      </c>
    </row>
    <row r="2325">
      <c r="A2325" t="inlineStr">
        <is>
          <t>233 x 77</t>
        </is>
      </c>
      <c r="B2325" t="inlineStr">
        <is>
          <t>F2 Windsurf Raceboard</t>
        </is>
      </c>
      <c r="C2325" t="inlineStr">
        <is>
          <t>Race</t>
        </is>
      </c>
      <c r="D2325" s="3" t="n">
        <v>124</v>
      </c>
      <c r="E2325" t="inlineStr"/>
      <c r="F2325" s="4" t="n">
        <v>349</v>
      </c>
      <c r="G2325" t="inlineStr">
        <is>
          <t>VB</t>
        </is>
      </c>
      <c r="H2325" t="inlineStr">
        <is>
          <t>18211 Bad Doberan - Landkreis - Bargeshagen</t>
        </is>
      </c>
      <c r="I2325" s="5" t="n">
        <v>45541</v>
      </c>
      <c r="J2325" t="inlineStr">
        <is>
          <t>Sold</t>
        </is>
      </c>
      <c r="K2325" s="6">
        <f>HYPERLINK("https://www.kleinanzeigen.de/s-anzeige/f2-windsurf-raceboard-77/2855701047-230-16583", "Link")</f>
        <v/>
      </c>
      <c r="L2325" s="6">
        <f>HYPERLINK("C:\Projects\Kleinanzeigen-Scraper\offer_images\2855701047", "Link")</f>
        <v/>
      </c>
      <c r="M2325" t="inlineStr">
        <is>
          <t>Dirk</t>
        </is>
      </c>
      <c r="N2325" s="6">
        <f>HYPERLINK("https://www.kleinanzeigen.de/s-bestandsliste.html?userId=141661148", "Link")</f>
        <v/>
      </c>
      <c r="O2325" s="7" t="n">
        <v>45542.78024305555</v>
      </c>
      <c r="P2325" s="3" t="inlineStr">
        <is>
          <t>490.50</t>
        </is>
      </c>
      <c r="Q2325" t="inlineStr">
        <is>
          <t>Köln</t>
        </is>
      </c>
    </row>
    <row r="2326">
      <c r="A2326" t="inlineStr">
        <is>
          <t>170 x 74</t>
        </is>
      </c>
      <c r="B2326" t="inlineStr">
        <is>
          <t>Tabou Air Ride Ltd</t>
        </is>
      </c>
      <c r="C2326" t="inlineStr">
        <is>
          <t>Foil</t>
        </is>
      </c>
      <c r="D2326" s="3" t="n">
        <v>125</v>
      </c>
      <c r="E2326" t="inlineStr"/>
      <c r="F2326" s="4" t="n">
        <v>510</v>
      </c>
      <c r="G2326" t="inlineStr">
        <is>
          <t>VB</t>
        </is>
      </c>
      <c r="H2326" t="inlineStr">
        <is>
          <t>47239 Duisburg - Rumeln-Kaldenhausen</t>
        </is>
      </c>
      <c r="I2326" s="5" t="n">
        <v>45542</v>
      </c>
      <c r="J2326" t="inlineStr">
        <is>
          <t>Sold</t>
        </is>
      </c>
      <c r="K2326" s="6">
        <f>HYPERLINK("https://www.kleinanzeigen.de/s-anzeige/tabou-air-ride-ltd-74-125-windsurf-foil-board-carbon/2856499148-230-2137", "Link")</f>
        <v/>
      </c>
      <c r="L2326" s="6">
        <f>HYPERLINK("C:\Projects\Kleinanzeigen-Scraper\offer_images\2856499148", "Link")</f>
        <v/>
      </c>
      <c r="M2326" t="inlineStr">
        <is>
          <t>PX</t>
        </is>
      </c>
      <c r="N2326" s="6">
        <f>HYPERLINK("https://www.kleinanzeigen.de/s-bestandsliste.html?userId=1864376", "Link")</f>
        <v/>
      </c>
      <c r="O2326" s="7" t="n">
        <v>45542.77983796296</v>
      </c>
      <c r="P2326" s="3" t="inlineStr">
        <is>
          <t>54.92</t>
        </is>
      </c>
      <c r="Q2326" t="inlineStr">
        <is>
          <t>Köln</t>
        </is>
      </c>
    </row>
    <row r="2327">
      <c r="A2327" t="inlineStr">
        <is>
          <t>239cm x 63cm</t>
        </is>
      </c>
      <c r="B2327" t="inlineStr">
        <is>
          <t>Fanatic Skate</t>
        </is>
      </c>
      <c r="C2327" t="inlineStr">
        <is>
          <t>Allround</t>
        </is>
      </c>
      <c r="D2327" s="3" t="n">
        <v>101</v>
      </c>
      <c r="E2327" t="inlineStr"/>
      <c r="F2327" s="4" t="n">
        <v>80</v>
      </c>
      <c r="G2327" t="inlineStr"/>
      <c r="H2327" t="inlineStr">
        <is>
          <t>81375 München - Hadern</t>
        </is>
      </c>
      <c r="I2327" s="5" t="n">
        <v>45542</v>
      </c>
      <c r="J2327" t="inlineStr">
        <is>
          <t>Sold</t>
        </is>
      </c>
      <c r="K2327" s="6">
        <f>HYPERLINK("https://www.kleinanzeigen.de/s-anzeige/windsurfen-brett-fanatic-skate/2856542520-230-6414", "Link")</f>
        <v/>
      </c>
      <c r="L2327" s="6">
        <f>HYPERLINK("C:\Projects\Kleinanzeigen-Scraper\offer_images\2856542520", "Link")</f>
        <v/>
      </c>
      <c r="M2327" t="inlineStr">
        <is>
          <t>rob</t>
        </is>
      </c>
      <c r="N2327" s="6">
        <f>HYPERLINK("https://www.kleinanzeigen.de/s-bestandsliste.html?userId=29923017", "Link")</f>
        <v/>
      </c>
      <c r="O2327" s="7" t="n">
        <v>45542.77974537037</v>
      </c>
      <c r="P2327" s="3" t="inlineStr">
        <is>
          <t>6.23</t>
        </is>
      </c>
      <c r="Q2327" t="inlineStr">
        <is>
          <t>München</t>
        </is>
      </c>
    </row>
    <row r="2328">
      <c r="A2328" t="inlineStr">
        <is>
          <t>225cm x 55cm</t>
        </is>
      </c>
      <c r="B2328" t="inlineStr">
        <is>
          <t>Tabou Pocket</t>
        </is>
      </c>
      <c r="C2328" t="inlineStr">
        <is>
          <t>Bump and Jump</t>
        </is>
      </c>
      <c r="D2328" s="3" t="n">
        <v>75</v>
      </c>
      <c r="E2328" t="inlineStr">
        <is>
          <t>2009</t>
        </is>
      </c>
      <c r="F2328" s="4" t="n">
        <v>140</v>
      </c>
      <c r="G2328" t="inlineStr"/>
      <c r="H2328" t="inlineStr">
        <is>
          <t>23560 Schleswig-Holstein - Lübeck</t>
        </is>
      </c>
      <c r="I2328" s="5" t="n">
        <v>45542</v>
      </c>
      <c r="J2328" t="inlineStr">
        <is>
          <t>Sold</t>
        </is>
      </c>
      <c r="K2328" s="6">
        <f>HYPERLINK("https://www.kleinanzeigen.de/s-anzeige/windsurf-board-tabou-pocket-75l-stubby-like-severne-like/2856572455-230-422", "Link")</f>
        <v/>
      </c>
      <c r="L2328" s="6">
        <f>HYPERLINK("C:\Projects\Kleinanzeigen-Scraper\offer_images\2856572455", "Link")</f>
        <v/>
      </c>
      <c r="M2328" t="inlineStr">
        <is>
          <t>Mike</t>
        </is>
      </c>
      <c r="N2328" s="6">
        <f>HYPERLINK("https://www.kleinanzeigen.de/s-bestandsliste.html?userId=18222192", "Link")</f>
        <v/>
      </c>
      <c r="O2328" s="7" t="n">
        <v>45542.7797337963</v>
      </c>
      <c r="P2328" s="3" t="inlineStr">
        <is>
          <t>406.24</t>
        </is>
      </c>
      <c r="Q2328" t="inlineStr">
        <is>
          <t>Köln</t>
        </is>
      </c>
    </row>
    <row r="2329">
      <c r="A2329" t="inlineStr">
        <is>
          <t>87</t>
        </is>
      </c>
      <c r="B2329" t="inlineStr">
        <is>
          <t>Future Fly Yellow Fish</t>
        </is>
      </c>
      <c r="C2329" t="inlineStr">
        <is>
          <t>Wave</t>
        </is>
      </c>
      <c r="D2329" s="3" t="inlineStr"/>
      <c r="E2329" t="inlineStr"/>
      <c r="F2329" s="4" t="n">
        <v>975</v>
      </c>
      <c r="G2329" t="inlineStr"/>
      <c r="H2329" t="inlineStr">
        <is>
          <t>22880 Kreis Pinneberg - Wedel</t>
        </is>
      </c>
      <c r="I2329" s="5" t="n">
        <v>45539</v>
      </c>
      <c r="J2329" t="inlineStr">
        <is>
          <t>Sold</t>
        </is>
      </c>
      <c r="K2329" s="6">
        <f>HYPERLINK("https://www.kleinanzeigen.de/s-anzeige/future-fly-yellow-fish-87-windsurf-quad-thruster-wave-board/2854549759-230-756", "Link")</f>
        <v/>
      </c>
      <c r="L2329" s="6">
        <f>HYPERLINK("C:\Projects\Kleinanzeigen-Scraper\offer_images\2854549759", "Link")</f>
        <v/>
      </c>
      <c r="M2329" t="inlineStr">
        <is>
          <t>Jahn</t>
        </is>
      </c>
      <c r="N2329" s="6">
        <f>HYPERLINK("https://www.kleinanzeigen.de/s-bestandsliste.html?userId=16125684", "Link")</f>
        <v/>
      </c>
      <c r="O2329" s="7" t="n">
        <v>45542.77944444444</v>
      </c>
      <c r="P2329" s="3" t="inlineStr">
        <is>
          <t>349.30</t>
        </is>
      </c>
      <c r="Q2329" t="inlineStr">
        <is>
          <t>Köln</t>
        </is>
      </c>
    </row>
    <row r="2330">
      <c r="A2330" t="inlineStr"/>
      <c r="B2330" t="inlineStr">
        <is>
          <t>JP Super Ride LXT</t>
        </is>
      </c>
      <c r="C2330" t="inlineStr">
        <is>
          <t>Freeride</t>
        </is>
      </c>
      <c r="D2330" s="3" t="n">
        <v>124</v>
      </c>
      <c r="E2330" t="inlineStr">
        <is>
          <t>2023</t>
        </is>
      </c>
      <c r="F2330" s="4" t="n">
        <v>1.449</v>
      </c>
      <c r="G2330" t="inlineStr"/>
      <c r="H2330" t="inlineStr">
        <is>
          <t>82319 Bayern - Starnberg</t>
        </is>
      </c>
      <c r="I2330" s="5" t="n">
        <v>45542</v>
      </c>
      <c r="J2330" t="inlineStr">
        <is>
          <t>Sold</t>
        </is>
      </c>
      <c r="K2330" s="6">
        <f>HYPERLINK("https://www.kleinanzeigen.de/s-anzeige/jp-super-ride-lxt-124-liter-2023-windsurf-brett/2703688241-230-5525", "Link")</f>
        <v/>
      </c>
      <c r="L2330" s="6">
        <f>HYPERLINK("C:\Projects\Kleinanzeigen-Scraper\offer_images\2703688241", "Link")</f>
        <v/>
      </c>
      <c r="M2330" t="inlineStr">
        <is>
          <t>No user name</t>
        </is>
      </c>
      <c r="N2330" s="6">
        <f>HYPERLINK("https://www.kleinanzeigen.deNo user link", "Link")</f>
        <v/>
      </c>
      <c r="O2330" s="7" t="n">
        <v>45542.77936342593</v>
      </c>
      <c r="P2330" s="3" t="inlineStr">
        <is>
          <t>23.17</t>
        </is>
      </c>
      <c r="Q2330" t="inlineStr">
        <is>
          <t>München</t>
        </is>
      </c>
    </row>
    <row r="2331">
      <c r="A2331" t="inlineStr">
        <is>
          <t>Dimensions not specified</t>
        </is>
      </c>
      <c r="B2331" t="inlineStr">
        <is>
          <t>JP Australia Explorer</t>
        </is>
      </c>
      <c r="C2331" t="inlineStr">
        <is>
          <t>Freeride</t>
        </is>
      </c>
      <c r="D2331" s="3" t="n">
        <v>195</v>
      </c>
      <c r="E2331" t="inlineStr"/>
      <c r="F2331" s="4" t="n">
        <v>575</v>
      </c>
      <c r="G2331" t="inlineStr">
        <is>
          <t>VB</t>
        </is>
      </c>
      <c r="H2331" t="inlineStr">
        <is>
          <t>71522 Baden-Württemberg - Backnang</t>
        </is>
      </c>
      <c r="I2331" s="5" t="n">
        <v>45542</v>
      </c>
      <c r="J2331" t="inlineStr"/>
      <c r="K2331" s="6">
        <f>HYPERLINK("https://www.kleinanzeigen.de/s-anzeige/jp-australia-surfboard-surfbrett-windsurfen/2856722377-230-8355", "Link")</f>
        <v/>
      </c>
      <c r="L2331" s="6">
        <f>HYPERLINK("C:\Projects\Kleinanzeigen-Scraper\offer_images\2856722377", "Link")</f>
        <v/>
      </c>
      <c r="M2331" t="inlineStr">
        <is>
          <t>Constantin V.</t>
        </is>
      </c>
      <c r="N2331" s="6">
        <f>HYPERLINK("https://www.kleinanzeigen.de/s-bestandsliste.html?userId=50064354", "Link")</f>
        <v/>
      </c>
      <c r="O2331" s="7" t="n">
        <v>45542.77920138889</v>
      </c>
      <c r="P2331" s="3" t="inlineStr">
        <is>
          <t>45.09</t>
        </is>
      </c>
      <c r="Q2331" t="inlineStr">
        <is>
          <t>Böblingen</t>
        </is>
      </c>
    </row>
    <row r="2332">
      <c r="A2332" t="inlineStr">
        <is>
          <t>71</t>
        </is>
      </c>
      <c r="B2332" t="inlineStr">
        <is>
          <t>JP</t>
        </is>
      </c>
      <c r="C2332" t="inlineStr">
        <is>
          <t>Slalom</t>
        </is>
      </c>
      <c r="D2332" s="3" t="n">
        <v>111</v>
      </c>
      <c r="E2332" t="inlineStr"/>
      <c r="F2332" s="4" t="n">
        <v>880</v>
      </c>
      <c r="G2332" t="inlineStr"/>
      <c r="H2332" t="inlineStr">
        <is>
          <t>58540 Sauerland -NRW</t>
        </is>
      </c>
      <c r="I2332" s="5" t="n">
        <v>45541</v>
      </c>
      <c r="J2332" t="inlineStr">
        <is>
          <t>Sold</t>
        </is>
      </c>
      <c r="K2332" s="6">
        <f>HYPERLINK("https://www.dailydose.de/kleinanzeigen/detail.htm?ai=422110&amp;cf=kk&amp;pg=1&amp;ci=11", "Link")</f>
        <v/>
      </c>
      <c r="L2332" s="6">
        <f>HYPERLINK("C:\Projects\Kleinanzeigen-Scraper\offer_images\422110", "Link")</f>
        <v/>
      </c>
      <c r="M2332" t="inlineStr">
        <is>
          <t>tivitac</t>
        </is>
      </c>
      <c r="N2332" s="6">
        <f>HYPERLINK("https://www.dailydose.de/kleinanzeigen/user/1938", "Link")</f>
        <v/>
      </c>
      <c r="O2332" s="7" t="n">
        <v>45541.57114583333</v>
      </c>
      <c r="P2332" s="3" t="inlineStr">
        <is>
          <t>56.25</t>
        </is>
      </c>
      <c r="Q2332" t="inlineStr">
        <is>
          <t>Köln</t>
        </is>
      </c>
    </row>
    <row r="2333">
      <c r="A2333" t="inlineStr">
        <is>
          <t>88</t>
        </is>
      </c>
      <c r="B2333" t="inlineStr">
        <is>
          <t>Tabou Da Curve</t>
        </is>
      </c>
      <c r="C2333" t="inlineStr">
        <is>
          <t>Wave</t>
        </is>
      </c>
      <c r="D2333" s="3" t="inlineStr"/>
      <c r="E2333" t="inlineStr">
        <is>
          <t>2023</t>
        </is>
      </c>
      <c r="F2333" s="4" t="n">
        <v>999</v>
      </c>
      <c r="G2333" t="inlineStr"/>
      <c r="H2333" t="inlineStr">
        <is>
          <t>23972 Wismar Rostock</t>
        </is>
      </c>
      <c r="I2333" s="5" t="n">
        <v>45541</v>
      </c>
      <c r="J2333" t="inlineStr">
        <is>
          <t>Sold</t>
        </is>
      </c>
      <c r="K2333" s="6">
        <f>HYPERLINK("https://www.dailydose.de/kleinanzeigen/detail.htm?ai=422109&amp;cf=kk&amp;pg=4&amp;ci=11", "Link")</f>
        <v/>
      </c>
      <c r="L2333" s="6">
        <f>HYPERLINK("C:\Projects\Kleinanzeigen-Scraper\offer_images\422109", "Link")</f>
        <v/>
      </c>
      <c r="M2333" t="inlineStr">
        <is>
          <t>Larsen</t>
        </is>
      </c>
      <c r="N2333" s="6">
        <f>HYPERLINK("https://www.dailydose.de/kleinanzeigen/user/2297", "Link")</f>
        <v/>
      </c>
      <c r="O2333" s="7" t="n">
        <v>45541.57087962963</v>
      </c>
      <c r="P2333" s="3" t="inlineStr">
        <is>
          <t>444.47</t>
        </is>
      </c>
      <c r="Q2333" t="inlineStr">
        <is>
          <t>Köln</t>
        </is>
      </c>
    </row>
    <row r="2334">
      <c r="A2334" t="inlineStr">
        <is>
          <t>114</t>
        </is>
      </c>
      <c r="B2334" t="inlineStr">
        <is>
          <t>RRD X-Fire</t>
        </is>
      </c>
      <c r="C2334" t="inlineStr">
        <is>
          <t>Slalom</t>
        </is>
      </c>
      <c r="D2334" s="3" t="inlineStr"/>
      <c r="E2334" t="inlineStr">
        <is>
          <t>2023</t>
        </is>
      </c>
      <c r="F2334" s="4" t="n">
        <v>790</v>
      </c>
      <c r="G2334" t="inlineStr"/>
      <c r="H2334" t="inlineStr">
        <is>
          <t>585 Sauerland -NRW</t>
        </is>
      </c>
      <c r="I2334" s="5" t="n">
        <v>45540</v>
      </c>
      <c r="J2334" t="inlineStr">
        <is>
          <t>Sold</t>
        </is>
      </c>
      <c r="K2334" s="6">
        <f>HYPERLINK("https://www.dailydose.de/kleinanzeigen/detail.htm?ai=422091&amp;cf=kk&amp;pg=3&amp;ci=11", "Link")</f>
        <v/>
      </c>
      <c r="L2334" s="6">
        <f>HYPERLINK("C:\Projects\Kleinanzeigen-Scraper\offer_images\422091", "Link")</f>
        <v/>
      </c>
      <c r="M2334" t="inlineStr">
        <is>
          <t>tivitac</t>
        </is>
      </c>
      <c r="N2334" s="6">
        <f>HYPERLINK("https://www.dailydose.de/kleinanzeigen/user/1938", "Link")</f>
        <v/>
      </c>
      <c r="O2334" s="7" t="n">
        <v>45541.57030092592</v>
      </c>
      <c r="P2334" s="3" t="inlineStr">
        <is>
          <t>50.59</t>
        </is>
      </c>
      <c r="Q2334" t="inlineStr">
        <is>
          <t>Köln</t>
        </is>
      </c>
    </row>
    <row r="2335">
      <c r="A2335" t="inlineStr">
        <is>
          <t>105</t>
        </is>
      </c>
      <c r="B2335" t="inlineStr">
        <is>
          <t>Severne DYNO 3</t>
        </is>
      </c>
      <c r="C2335" t="inlineStr">
        <is>
          <t>Freewave</t>
        </is>
      </c>
      <c r="D2335" s="3" t="inlineStr"/>
      <c r="E2335" t="inlineStr">
        <is>
          <t>2023</t>
        </is>
      </c>
      <c r="F2335" s="4" t="n">
        <v>950</v>
      </c>
      <c r="G2335" t="inlineStr"/>
      <c r="H2335" t="inlineStr">
        <is>
          <t>58540 Sauerland -NRW</t>
        </is>
      </c>
      <c r="I2335" s="5" t="n">
        <v>45541</v>
      </c>
      <c r="J2335" t="inlineStr">
        <is>
          <t>Sold</t>
        </is>
      </c>
      <c r="K2335" s="6">
        <f>HYPERLINK("https://www.dailydose.de/kleinanzeigen/detail.htm?ai=422111&amp;cf=kk&amp;pg=1&amp;ci=11", "Link")</f>
        <v/>
      </c>
      <c r="L2335" s="6">
        <f>HYPERLINK("C:\Projects\Kleinanzeigen-Scraper\offer_images\422111", "Link")</f>
        <v/>
      </c>
      <c r="M2335" t="inlineStr">
        <is>
          <t>tivitac</t>
        </is>
      </c>
      <c r="N2335" s="6">
        <f>HYPERLINK("https://www.dailydose.de/kleinanzeigen/user/1938", "Link")</f>
        <v/>
      </c>
      <c r="O2335" s="7" t="n">
        <v>45541.57017361111</v>
      </c>
      <c r="P2335" s="3" t="inlineStr">
        <is>
          <t>56.25</t>
        </is>
      </c>
      <c r="Q2335" t="inlineStr">
        <is>
          <t>Köln</t>
        </is>
      </c>
    </row>
    <row r="2336">
      <c r="A2336" t="inlineStr"/>
      <c r="B2336" t="inlineStr">
        <is>
          <t>JP</t>
        </is>
      </c>
      <c r="C2336" t="inlineStr">
        <is>
          <t>Freeride</t>
        </is>
      </c>
      <c r="D2336" s="3" t="n">
        <v>120</v>
      </c>
      <c r="E2336" t="inlineStr"/>
      <c r="F2336" s="4" t="n">
        <v>350</v>
      </c>
      <c r="G2336" t="inlineStr">
        <is>
          <t>VB</t>
        </is>
      </c>
      <c r="H2336" t="inlineStr">
        <is>
          <t>81827 München</t>
        </is>
      </c>
      <c r="I2336" s="5" t="n">
        <v>45540</v>
      </c>
      <c r="J2336" t="inlineStr">
        <is>
          <t>Sold</t>
        </is>
      </c>
      <c r="K2336" s="6">
        <f>HYPERLINK("https://www.dailydose.de/kleinanzeigen/detail.htm?ai=422086&amp;cf=kk&amp;pg=4&amp;ci=11", "Link")</f>
        <v/>
      </c>
      <c r="L2336" s="6">
        <f>HYPERLINK("C:\Projects\Kleinanzeigen-Scraper\offer_images\422086", "Link")</f>
        <v/>
      </c>
      <c r="M2336" t="inlineStr">
        <is>
          <t>UMO</t>
        </is>
      </c>
      <c r="N2336" s="6">
        <f>HYPERLINK("https://www.dailydose.de/kleinanzeigen/user/26361", "Link")</f>
        <v/>
      </c>
      <c r="O2336" s="7" t="n">
        <v>45541.56947916667</v>
      </c>
      <c r="P2336" s="3" t="inlineStr">
        <is>
          <t>9.11</t>
        </is>
      </c>
      <c r="Q2336" t="inlineStr">
        <is>
          <t>München</t>
        </is>
      </c>
    </row>
    <row r="2337">
      <c r="A2337" t="inlineStr">
        <is>
          <t>82</t>
        </is>
      </c>
      <c r="B2337" t="inlineStr">
        <is>
          <t>RRD CULT</t>
        </is>
      </c>
      <c r="C2337" t="inlineStr">
        <is>
          <t>Wave</t>
        </is>
      </c>
      <c r="D2337" s="3" t="inlineStr"/>
      <c r="E2337" t="inlineStr">
        <is>
          <t>2024</t>
        </is>
      </c>
      <c r="F2337" s="4" t="n">
        <v>920</v>
      </c>
      <c r="G2337" t="inlineStr"/>
      <c r="H2337" t="inlineStr">
        <is>
          <t>58540 Meinerzhagen</t>
        </is>
      </c>
      <c r="I2337" s="5" t="n">
        <v>45540</v>
      </c>
      <c r="J2337" t="inlineStr">
        <is>
          <t>Sold</t>
        </is>
      </c>
      <c r="K2337" s="6">
        <f>HYPERLINK("https://www.dailydose.de/kleinanzeigen/detail.htm?ai=422093&amp;cf=kk&amp;pg=3&amp;ci=11", "Link")</f>
        <v/>
      </c>
      <c r="L2337" s="6">
        <f>HYPERLINK("C:\Projects\Kleinanzeigen-Scraper\offer_images\422093", "Link")</f>
        <v/>
      </c>
      <c r="M2337" t="inlineStr">
        <is>
          <t>tivitac</t>
        </is>
      </c>
      <c r="N2337" s="6">
        <f>HYPERLINK("https://www.dailydose.de/kleinanzeigen/user/1938", "Link")</f>
        <v/>
      </c>
      <c r="O2337" s="7" t="n">
        <v>45541.56947916667</v>
      </c>
      <c r="P2337" s="3" t="inlineStr">
        <is>
          <t>56.25</t>
        </is>
      </c>
      <c r="Q2337" t="inlineStr">
        <is>
          <t>Köln</t>
        </is>
      </c>
    </row>
    <row r="2338">
      <c r="A2338" t="inlineStr">
        <is>
          <t>120</t>
        </is>
      </c>
      <c r="B2338" t="inlineStr">
        <is>
          <t>Goya Airbolt PRO</t>
        </is>
      </c>
      <c r="C2338" t="inlineStr">
        <is>
          <t>Foilboard</t>
        </is>
      </c>
      <c r="D2338" s="3" t="inlineStr"/>
      <c r="E2338" t="inlineStr">
        <is>
          <t>2020/21</t>
        </is>
      </c>
      <c r="F2338" s="4" t="n">
        <v>600</v>
      </c>
      <c r="G2338" t="inlineStr"/>
      <c r="H2338" t="inlineStr">
        <is>
          <t>80805 München</t>
        </is>
      </c>
      <c r="I2338" s="5" t="n">
        <v>45541</v>
      </c>
      <c r="J2338" t="inlineStr">
        <is>
          <t>Sold</t>
        </is>
      </c>
      <c r="K2338" s="6">
        <f>HYPERLINK("https://www.dailydose.de/kleinanzeigen/detail.htm?ai=422115&amp;cf=kk&amp;pg=3&amp;ci=11", "Link")</f>
        <v/>
      </c>
      <c r="L2338" s="6">
        <f>HYPERLINK("C:\Projects\Kleinanzeigen-Scraper\offer_images\422115", "Link")</f>
        <v/>
      </c>
      <c r="M2338" t="inlineStr">
        <is>
          <t>Lukystar</t>
        </is>
      </c>
      <c r="N2338" s="6">
        <f>HYPERLINK("https://www.dailydose.de/kleinanzeigen/user/14568", "Link")</f>
        <v/>
      </c>
      <c r="O2338" s="7" t="n">
        <v>45541.56913194444</v>
      </c>
      <c r="P2338" s="3" t="inlineStr">
        <is>
          <t>5.28</t>
        </is>
      </c>
      <c r="Q2338" t="inlineStr">
        <is>
          <t>München</t>
        </is>
      </c>
    </row>
    <row r="2339">
      <c r="A2339" t="inlineStr">
        <is>
          <t>125</t>
        </is>
      </c>
      <c r="B2339" t="inlineStr">
        <is>
          <t>Starboard Freeride Foil Starlite</t>
        </is>
      </c>
      <c r="C2339" t="inlineStr">
        <is>
          <t>Freeride</t>
        </is>
      </c>
      <c r="D2339" s="3" t="inlineStr"/>
      <c r="E2339" t="inlineStr">
        <is>
          <t>2022</t>
        </is>
      </c>
      <c r="F2339" s="4" t="n">
        <v>849</v>
      </c>
      <c r="G2339" t="inlineStr"/>
      <c r="H2339" t="inlineStr">
        <is>
          <t>NL- 1627 LC Hoorn - Netherlands</t>
        </is>
      </c>
      <c r="I2339" s="5" t="n">
        <v>45540</v>
      </c>
      <c r="J2339" t="inlineStr">
        <is>
          <t>Sold</t>
        </is>
      </c>
      <c r="K2339" s="6">
        <f>HYPERLINK("https://www.dailydose.de/kleinanzeigen/detail.htm?ai=422082&amp;cf=kk&amp;pg=5&amp;ci=11", "Link")</f>
        <v/>
      </c>
      <c r="L2339" s="6">
        <f>HYPERLINK("C:\Projects\Kleinanzeigen-Scraper\offer_images\422082", "Link")</f>
        <v/>
      </c>
      <c r="M2339" t="inlineStr">
        <is>
          <t>Igor Peters</t>
        </is>
      </c>
      <c r="N2339" s="6">
        <f>HYPERLINK("https://www.dailydose.de/kleinanzeigen/user/10844", "Link")</f>
        <v/>
      </c>
      <c r="O2339" s="7" t="n">
        <v>45541.56806712963</v>
      </c>
      <c r="P2339" s="3" t="inlineStr">
        <is>
          <t>228.40</t>
        </is>
      </c>
      <c r="Q2339" t="inlineStr">
        <is>
          <t>Köln</t>
        </is>
      </c>
    </row>
    <row r="2340">
      <c r="A2340" t="inlineStr">
        <is>
          <t>119 cm x 72 cm</t>
        </is>
      </c>
      <c r="B2340" t="inlineStr">
        <is>
          <t>Novenove i99 Worldcup</t>
        </is>
      </c>
      <c r="C2340" t="inlineStr">
        <is>
          <t>Slalom</t>
        </is>
      </c>
      <c r="D2340" s="3" t="inlineStr"/>
      <c r="E2340" t="inlineStr"/>
      <c r="F2340" s="4" t="n">
        <v>550</v>
      </c>
      <c r="G2340" t="inlineStr"/>
      <c r="H2340" t="inlineStr">
        <is>
          <t>81476 München - Thalk.Obersendl.-Forsten-Fürstenr.-Solln</t>
        </is>
      </c>
      <c r="I2340" s="5" t="n">
        <v>45540</v>
      </c>
      <c r="J2340" t="inlineStr">
        <is>
          <t>Sold</t>
        </is>
      </c>
      <c r="K2340" s="6">
        <f>HYPERLINK("https://www.kleinanzeigen.de/s-anzeige/novenove-i99-worldcup-slalom-119-windsurf-board-brett-winheller/2855346573-230-6436", "Link")</f>
        <v/>
      </c>
      <c r="L2340" s="6">
        <f>HYPERLINK("C:\Projects\Kleinanzeigen-Scraper\offer_images\2855346573", "Link")</f>
        <v/>
      </c>
      <c r="M2340" t="inlineStr">
        <is>
          <t>Mike</t>
        </is>
      </c>
      <c r="N2340" s="6">
        <f>HYPERLINK("https://www.kleinanzeigen.de/s-bestandsliste.html?userId=27971111", "Link")</f>
        <v/>
      </c>
      <c r="O2340" s="7" t="n">
        <v>45541.56710648148</v>
      </c>
      <c r="P2340" s="3" t="inlineStr">
        <is>
          <t>8.19</t>
        </is>
      </c>
      <c r="Q2340" t="inlineStr">
        <is>
          <t>München</t>
        </is>
      </c>
    </row>
    <row r="2341">
      <c r="A2341" t="inlineStr">
        <is>
          <t>254 x 66.5</t>
        </is>
      </c>
      <c r="B2341" t="inlineStr">
        <is>
          <t>Lorch Breeze</t>
        </is>
      </c>
      <c r="C2341" t="inlineStr">
        <is>
          <t>Freeride</t>
        </is>
      </c>
      <c r="D2341" s="3" t="n">
        <v>129</v>
      </c>
      <c r="E2341" t="inlineStr"/>
      <c r="F2341" s="4" t="n">
        <v>490</v>
      </c>
      <c r="G2341" t="inlineStr"/>
      <c r="H2341" t="inlineStr">
        <is>
          <t>53844 Nordrhein-Westfalen - Troisdorf</t>
        </is>
      </c>
      <c r="I2341" s="5" t="n">
        <v>45540</v>
      </c>
      <c r="J2341" t="inlineStr">
        <is>
          <t>Sold</t>
        </is>
      </c>
      <c r="K2341" s="6">
        <f>HYPERLINK("https://www.kleinanzeigen.de/s-anzeige/windsurf-board-lorch-breeze-129-silverline/2854973495-230-1798", "Link")</f>
        <v/>
      </c>
      <c r="L2341" s="6">
        <f>HYPERLINK("C:\Projects\Kleinanzeigen-Scraper\offer_images\2854973495", "Link")</f>
        <v/>
      </c>
      <c r="M2341" t="inlineStr">
        <is>
          <t>JH</t>
        </is>
      </c>
      <c r="N2341" s="6">
        <f>HYPERLINK("https://www.kleinanzeigen.de/s-bestandsliste.html?userId=4508048", "Link")</f>
        <v/>
      </c>
      <c r="O2341" s="7" t="n">
        <v>45541.56706018518</v>
      </c>
      <c r="P2341" s="3" t="inlineStr">
        <is>
          <t>19.95</t>
        </is>
      </c>
      <c r="Q2341" t="inlineStr">
        <is>
          <t>Köln</t>
        </is>
      </c>
    </row>
    <row r="2342">
      <c r="A2342" t="inlineStr">
        <is>
          <t>100</t>
        </is>
      </c>
      <c r="B2342" t="inlineStr">
        <is>
          <t>Patrik Diethelm PD</t>
        </is>
      </c>
      <c r="C2342" t="inlineStr">
        <is>
          <t>Slalom Freerace</t>
        </is>
      </c>
      <c r="D2342" s="3" t="inlineStr"/>
      <c r="E2342" t="inlineStr"/>
      <c r="F2342" s="4" t="n">
        <v>830</v>
      </c>
      <c r="G2342" t="inlineStr"/>
      <c r="H2342" t="inlineStr">
        <is>
          <t>47608 Nordrhein-Westfalen - Geldern</t>
        </is>
      </c>
      <c r="I2342" s="5" t="n">
        <v>45541</v>
      </c>
      <c r="J2342" t="inlineStr">
        <is>
          <t>Sold</t>
        </is>
      </c>
      <c r="K2342" s="6">
        <f>HYPERLINK("https://www.kleinanzeigen.de/s-anzeige/patrik-diethelm-pd-slalom-100-windsurf-slalom-freerace-board/2855567493-230-1151", "Link")</f>
        <v/>
      </c>
      <c r="L2342" s="6">
        <f>HYPERLINK("C:\Projects\Kleinanzeigen-Scraper\offer_images\2855567493", "Link")</f>
        <v/>
      </c>
      <c r="M2342" t="inlineStr">
        <is>
          <t>Mike</t>
        </is>
      </c>
      <c r="N2342" s="6">
        <f>HYPERLINK("https://www.kleinanzeigen.de/s-bestandsliste.html?userId=23887043", "Link")</f>
        <v/>
      </c>
      <c r="O2342" s="7" t="n">
        <v>45541.56702546297</v>
      </c>
      <c r="P2342" s="3" t="inlineStr">
        <is>
          <t>79.36</t>
        </is>
      </c>
      <c r="Q2342" t="inlineStr">
        <is>
          <t>Köln</t>
        </is>
      </c>
    </row>
    <row r="2343">
      <c r="A2343" t="inlineStr">
        <is>
          <t>295 cm</t>
        </is>
      </c>
      <c r="B2343" t="inlineStr">
        <is>
          <t>F2</t>
        </is>
      </c>
      <c r="C2343" t="inlineStr"/>
      <c r="D2343" s="3" t="n">
        <v>133</v>
      </c>
      <c r="E2343" t="inlineStr"/>
      <c r="F2343" s="4" t="n">
        <v>160</v>
      </c>
      <c r="G2343" t="inlineStr">
        <is>
          <t>VB</t>
        </is>
      </c>
      <c r="H2343" t="inlineStr">
        <is>
          <t>79822 Baden-Württemberg - Titisee-Neustadt</t>
        </is>
      </c>
      <c r="I2343" s="5" t="n">
        <v>45541</v>
      </c>
      <c r="J2343" t="inlineStr">
        <is>
          <t>Sold</t>
        </is>
      </c>
      <c r="K2343" s="6">
        <f>HYPERLINK("https://www.kleinanzeigen.de/s-anzeige/windsurf-brett/2855630543-230-9372", "Link")</f>
        <v/>
      </c>
      <c r="L2343" s="6">
        <f>HYPERLINK("C:\Projects\Kleinanzeigen-Scraper\offer_images\2855630543", "Link")</f>
        <v/>
      </c>
      <c r="M2343" t="inlineStr">
        <is>
          <t>jamie</t>
        </is>
      </c>
      <c r="N2343" s="6">
        <f>HYPERLINK("https://www.kleinanzeigen.de/s-bestandsliste.html?userId=140615372", "Link")</f>
        <v/>
      </c>
      <c r="O2343" s="7" t="n">
        <v>45541.56697916667</v>
      </c>
      <c r="P2343" s="3" t="inlineStr">
        <is>
          <t>16.39</t>
        </is>
      </c>
      <c r="Q2343" t="inlineStr">
        <is>
          <t>Bonndorf</t>
        </is>
      </c>
    </row>
    <row r="2344">
      <c r="A2344" t="inlineStr">
        <is>
          <t>229 x 81</t>
        </is>
      </c>
      <c r="B2344" t="inlineStr">
        <is>
          <t>Patrik Diethelm PD</t>
        </is>
      </c>
      <c r="C2344" t="inlineStr">
        <is>
          <t>Slalom</t>
        </is>
      </c>
      <c r="D2344" s="3" t="n">
        <v>128</v>
      </c>
      <c r="E2344" t="inlineStr"/>
      <c r="F2344" s="4" t="n">
        <v>730</v>
      </c>
      <c r="G2344" t="inlineStr"/>
      <c r="H2344" t="inlineStr">
        <is>
          <t>47608 Nordrhein-Westfalen - Geldern</t>
        </is>
      </c>
      <c r="I2344" s="5" t="n">
        <v>45541</v>
      </c>
      <c r="J2344" t="inlineStr">
        <is>
          <t>Sold</t>
        </is>
      </c>
      <c r="K2344" s="6">
        <f>HYPERLINK("https://www.kleinanzeigen.de/s-anzeige/patrik-diethelm-pd-slalom-128-windsurf-brett-slalom-freerace/2855563543-230-1151", "Link")</f>
        <v/>
      </c>
      <c r="L2344" s="6">
        <f>HYPERLINK("C:\Projects\Kleinanzeigen-Scraper\offer_images\2855563543", "Link")</f>
        <v/>
      </c>
      <c r="M2344" t="inlineStr">
        <is>
          <t>Mike</t>
        </is>
      </c>
      <c r="N2344" s="6">
        <f>HYPERLINK("https://www.kleinanzeigen.de/s-bestandsliste.html?userId=23887043", "Link")</f>
        <v/>
      </c>
      <c r="O2344" s="7" t="n">
        <v>45541.56662037037</v>
      </c>
      <c r="P2344" s="3" t="inlineStr">
        <is>
          <t>79.36</t>
        </is>
      </c>
      <c r="Q2344" t="inlineStr">
        <is>
          <t>Köln</t>
        </is>
      </c>
    </row>
    <row r="2345">
      <c r="A2345" t="inlineStr">
        <is>
          <t>Dimensions not specified</t>
        </is>
      </c>
      <c r="B2345" t="inlineStr">
        <is>
          <t>Naish Starship</t>
        </is>
      </c>
      <c r="C2345" t="inlineStr"/>
      <c r="D2345" s="3" t="n">
        <v>100</v>
      </c>
      <c r="E2345" t="inlineStr">
        <is>
          <t>2017</t>
        </is>
      </c>
      <c r="F2345" s="4" t="inlineStr">
        <is>
          <t>500.00 EURO Vb.</t>
        </is>
      </c>
      <c r="G2345" t="inlineStr"/>
      <c r="H2345" t="inlineStr">
        <is>
          <t>34454 Bad arolsen</t>
        </is>
      </c>
      <c r="I2345" s="5" t="n">
        <v>45539</v>
      </c>
      <c r="J2345" t="inlineStr">
        <is>
          <t>Sold</t>
        </is>
      </c>
      <c r="K2345" s="6">
        <f>HYPERLINK("https://www.dailydose.de/kleinanzeigen/detail.htm?ai=422032&amp;cf=kk&amp;pg=5&amp;ci=11", "Link")</f>
        <v/>
      </c>
      <c r="L2345" s="6">
        <f>HYPERLINK("C:\Projects\Kleinanzeigen-Scraper\offer_images\422032", "Link")</f>
        <v/>
      </c>
      <c r="M2345" t="inlineStr">
        <is>
          <t>Andreas Machheit</t>
        </is>
      </c>
      <c r="N2345" s="6">
        <f>HYPERLINK("https://www.dailydose.de/kleinanzeigen/user/3721", "Link")</f>
        <v/>
      </c>
      <c r="O2345" s="7" t="n">
        <v>45540.56853009259</v>
      </c>
      <c r="P2345" s="3" t="inlineStr">
        <is>
          <t>151.35</t>
        </is>
      </c>
      <c r="Q2345" t="inlineStr">
        <is>
          <t>Köln</t>
        </is>
      </c>
    </row>
    <row r="2346">
      <c r="A2346" t="inlineStr">
        <is>
          <t>Dimensions not specified</t>
        </is>
      </c>
      <c r="B2346" t="inlineStr">
        <is>
          <t>Starboard Ultra</t>
        </is>
      </c>
      <c r="C2346" t="inlineStr"/>
      <c r="D2346" s="3" t="n">
        <v>93</v>
      </c>
      <c r="E2346" t="inlineStr">
        <is>
          <t>2024</t>
        </is>
      </c>
      <c r="F2346" s="4" t="inlineStr"/>
      <c r="G2346" t="inlineStr">
        <is>
          <t>VB</t>
        </is>
      </c>
      <c r="H2346" t="inlineStr">
        <is>
          <t>66125 saarbrücken</t>
        </is>
      </c>
      <c r="I2346" s="5" t="n">
        <v>45530</v>
      </c>
      <c r="J2346" t="inlineStr">
        <is>
          <t>Sold</t>
        </is>
      </c>
      <c r="K2346" s="6">
        <f>HYPERLINK("https://www.dailydose.de/kleinanzeigen/detail.htm?ai=421488&amp;cf=kk&amp;pg=5&amp;ci=11", "Link")</f>
        <v/>
      </c>
      <c r="L2346" s="6">
        <f>HYPERLINK("C:\Projects\Kleinanzeigen-Scraper\offer_images\421488", "Link")</f>
        <v/>
      </c>
      <c r="M2346" t="inlineStr">
        <is>
          <t>flow</t>
        </is>
      </c>
      <c r="N2346" s="6">
        <f>HYPERLINK("https://www.dailydose.de/kleinanzeigen/user/8414", "Link")</f>
        <v/>
      </c>
      <c r="O2346" s="7" t="n">
        <v>45540.56804398148</v>
      </c>
      <c r="P2346" s="3" t="inlineStr">
        <is>
          <t>104.07</t>
        </is>
      </c>
      <c r="Q2346" t="inlineStr">
        <is>
          <t>Karlsruhe</t>
        </is>
      </c>
    </row>
    <row r="2347">
      <c r="A2347" t="inlineStr"/>
      <c r="B2347" t="inlineStr">
        <is>
          <t>Future Fly Dark Horse</t>
        </is>
      </c>
      <c r="C2347" t="inlineStr">
        <is>
          <t>Freeride</t>
        </is>
      </c>
      <c r="D2347" s="3" t="n">
        <v>97</v>
      </c>
      <c r="E2347" t="inlineStr">
        <is>
          <t>2023</t>
        </is>
      </c>
      <c r="F2347" s="4" t="n">
        <v>1600</v>
      </c>
      <c r="G2347" t="inlineStr"/>
      <c r="H2347" t="inlineStr">
        <is>
          <t>04416  Markkleeberg</t>
        </is>
      </c>
      <c r="I2347" s="5" t="n">
        <v>45539</v>
      </c>
      <c r="J2347" t="inlineStr">
        <is>
          <t>Sold</t>
        </is>
      </c>
      <c r="K2347" s="6">
        <f>HYPERLINK("https://www.dailydose.de/kleinanzeigen/detail.htm?ai=422034&amp;cf=kk&amp;pg=5&amp;ci=11", "Link")</f>
        <v/>
      </c>
      <c r="L2347" s="6">
        <f>HYPERLINK("C:\Projects\Kleinanzeigen-Scraper\offer_images\422034", "Link")</f>
        <v/>
      </c>
      <c r="M2347" t="inlineStr">
        <is>
          <t>Mario K</t>
        </is>
      </c>
      <c r="N2347" s="6">
        <f>HYPERLINK("https://www.dailydose.de/kleinanzeigen/user/15582", "Link")</f>
        <v/>
      </c>
      <c r="O2347" s="7" t="n">
        <v>45540.56777777777</v>
      </c>
      <c r="P2347" s="3" t="inlineStr">
        <is>
          <t>353.27</t>
        </is>
      </c>
      <c r="Q2347" t="inlineStr">
        <is>
          <t>München</t>
        </is>
      </c>
    </row>
    <row r="2348">
      <c r="A2348" t="inlineStr"/>
      <c r="B2348" t="inlineStr">
        <is>
          <t>Future Fly Dark Horse</t>
        </is>
      </c>
      <c r="C2348" t="inlineStr"/>
      <c r="D2348" s="3" t="n">
        <v>97</v>
      </c>
      <c r="E2348" t="inlineStr">
        <is>
          <t>2023</t>
        </is>
      </c>
      <c r="F2348" s="4" t="n">
        <v>2100</v>
      </c>
      <c r="G2348" t="inlineStr"/>
      <c r="H2348" t="inlineStr">
        <is>
          <t>04416 Markkleeberg</t>
        </is>
      </c>
      <c r="I2348" s="5" t="n">
        <v>45539</v>
      </c>
      <c r="J2348" t="inlineStr">
        <is>
          <t>Sold</t>
        </is>
      </c>
      <c r="K2348" s="6">
        <f>HYPERLINK("https://www.dailydose.de/kleinanzeigen/detail.htm?ai=422036&amp;cf=kk&amp;pg=5&amp;ci=11", "Link")</f>
        <v/>
      </c>
      <c r="L2348" s="6">
        <f>HYPERLINK("C:\Projects\Kleinanzeigen-Scraper\offer_images\422036", "Link")</f>
        <v/>
      </c>
      <c r="M2348" t="inlineStr">
        <is>
          <t>Mario K</t>
        </is>
      </c>
      <c r="N2348" s="6">
        <f>HYPERLINK("https://www.dailydose.de/kleinanzeigen/user/15582", "Link")</f>
        <v/>
      </c>
      <c r="O2348" s="7" t="n">
        <v>45540.56765046297</v>
      </c>
      <c r="P2348" s="3" t="inlineStr">
        <is>
          <t>353.27</t>
        </is>
      </c>
      <c r="Q2348" t="inlineStr">
        <is>
          <t>München</t>
        </is>
      </c>
    </row>
    <row r="2349">
      <c r="A2349" t="inlineStr">
        <is>
          <t>212cm x 62cm</t>
        </is>
      </c>
      <c r="B2349" t="inlineStr">
        <is>
          <t>Flikka Freestyle</t>
        </is>
      </c>
      <c r="C2349" t="inlineStr">
        <is>
          <t>Freestyle</t>
        </is>
      </c>
      <c r="D2349" s="3" t="n">
        <v>92</v>
      </c>
      <c r="E2349" t="inlineStr"/>
      <c r="F2349" s="4" t="n">
        <v>1200</v>
      </c>
      <c r="G2349" t="inlineStr"/>
      <c r="H2349" t="inlineStr">
        <is>
          <t>1130 Wien</t>
        </is>
      </c>
      <c r="I2349" s="5" t="n">
        <v>45539</v>
      </c>
      <c r="J2349" t="inlineStr">
        <is>
          <t>Sold</t>
        </is>
      </c>
      <c r="K2349" s="6">
        <f>HYPERLINK("https://www.dailydose.de/kleinanzeigen/detail.htm?ai=422039&amp;cf=kk&amp;pg=5&amp;ci=11", "Link")</f>
        <v/>
      </c>
      <c r="L2349" s="6">
        <f>HYPERLINK("C:\Projects\Kleinanzeigen-Scraper\offer_images\422039", "Link")</f>
        <v/>
      </c>
      <c r="M2349" t="inlineStr">
        <is>
          <t>MichHola</t>
        </is>
      </c>
      <c r="N2349" s="6">
        <f>HYPERLINK("https://www.dailydose.de/kleinanzeigen/user/25162", "Link")</f>
        <v/>
      </c>
      <c r="O2349" s="7" t="n">
        <v>45540.56655092593</v>
      </c>
      <c r="P2349" s="3" t="inlineStr">
        <is>
          <t>355.95</t>
        </is>
      </c>
      <c r="Q2349" t="inlineStr">
        <is>
          <t>München</t>
        </is>
      </c>
    </row>
    <row r="2350">
      <c r="A2350" t="inlineStr">
        <is>
          <t>209 x 63.5</t>
        </is>
      </c>
      <c r="B2350" t="inlineStr">
        <is>
          <t>Tabou Twister</t>
        </is>
      </c>
      <c r="C2350" t="inlineStr">
        <is>
          <t>Freestyle</t>
        </is>
      </c>
      <c r="D2350" s="3" t="n">
        <v>103</v>
      </c>
      <c r="E2350" t="inlineStr">
        <is>
          <t>2022</t>
        </is>
      </c>
      <c r="F2350" s="4" t="n">
        <v>699</v>
      </c>
      <c r="G2350" t="inlineStr">
        <is>
          <t>VB</t>
        </is>
      </c>
      <c r="H2350" t="inlineStr">
        <is>
          <t>92318 Neumarkt</t>
        </is>
      </c>
      <c r="I2350" s="5" t="n">
        <v>45540</v>
      </c>
      <c r="J2350" t="inlineStr">
        <is>
          <t>Sold</t>
        </is>
      </c>
      <c r="K2350" s="6">
        <f>HYPERLINK("https://www.dailydose.de/kleinanzeigen/detail.htm?ai=422062&amp;cf=kk&amp;pg=5&amp;ci=11", "Link")</f>
        <v/>
      </c>
      <c r="L2350" s="6">
        <f>HYPERLINK("C:\Projects\Kleinanzeigen-Scraper\offer_images\422062", "Link")</f>
        <v/>
      </c>
      <c r="M2350" t="inlineStr">
        <is>
          <t>Thomas Blank</t>
        </is>
      </c>
      <c r="N2350" s="6">
        <f>HYPERLINK("https://www.dailydose.de/kleinanzeigen/user/23232", "Link")</f>
        <v/>
      </c>
      <c r="O2350" s="7" t="n">
        <v>45540.56638888889</v>
      </c>
      <c r="P2350" s="3" t="inlineStr">
        <is>
          <t>126.78</t>
        </is>
      </c>
      <c r="Q2350" t="inlineStr">
        <is>
          <t>München</t>
        </is>
      </c>
    </row>
    <row r="2351">
      <c r="A2351" t="inlineStr"/>
      <c r="B2351" t="inlineStr">
        <is>
          <t>AV Boards</t>
        </is>
      </c>
      <c r="C2351" t="inlineStr">
        <is>
          <t>Freestyle</t>
        </is>
      </c>
      <c r="D2351" s="3" t="n">
        <v>102</v>
      </c>
      <c r="E2351" t="inlineStr"/>
      <c r="F2351" s="4" t="inlineStr">
        <is>
          <t>1000 Festpreis</t>
        </is>
      </c>
      <c r="G2351" t="inlineStr"/>
      <c r="H2351" t="inlineStr">
        <is>
          <t>83355 Grabenstätt</t>
        </is>
      </c>
      <c r="I2351" s="5" t="n">
        <v>45539</v>
      </c>
      <c r="J2351" t="inlineStr">
        <is>
          <t>Sold</t>
        </is>
      </c>
      <c r="K2351" s="6">
        <f>HYPERLINK("https://www.dailydose.de/kleinanzeigen/detail.htm?ai=422041&amp;cf=kk&amp;pg=5&amp;ci=11", "Link")</f>
        <v/>
      </c>
      <c r="L2351" s="6">
        <f>HYPERLINK("C:\Projects\Kleinanzeigen-Scraper\offer_images\422041", "Link")</f>
        <v/>
      </c>
      <c r="M2351" t="inlineStr">
        <is>
          <t>strasser woife</t>
        </is>
      </c>
      <c r="N2351" s="6">
        <f>HYPERLINK("https://www.dailydose.de/kleinanzeigen/user/1215", "Link")</f>
        <v/>
      </c>
      <c r="O2351" s="7" t="n">
        <v>45540.5660300926</v>
      </c>
      <c r="P2351" s="3" t="inlineStr">
        <is>
          <t>79.57</t>
        </is>
      </c>
      <c r="Q2351" t="inlineStr">
        <is>
          <t>München</t>
        </is>
      </c>
    </row>
    <row r="2352">
      <c r="A2352" t="inlineStr">
        <is>
          <t>227 x 57.5</t>
        </is>
      </c>
      <c r="B2352" t="inlineStr">
        <is>
          <t>Tabou da curve</t>
        </is>
      </c>
      <c r="C2352" t="inlineStr">
        <is>
          <t>Freeride</t>
        </is>
      </c>
      <c r="D2352" s="3" t="n">
        <v>88</v>
      </c>
      <c r="E2352" t="inlineStr">
        <is>
          <t>2022</t>
        </is>
      </c>
      <c r="F2352" s="4" t="n">
        <v>699</v>
      </c>
      <c r="G2352" t="inlineStr">
        <is>
          <t>VB</t>
        </is>
      </c>
      <c r="H2352" t="inlineStr">
        <is>
          <t>92318 Neumarkt</t>
        </is>
      </c>
      <c r="I2352" s="5" t="n">
        <v>45540</v>
      </c>
      <c r="J2352" t="inlineStr">
        <is>
          <t>Sold</t>
        </is>
      </c>
      <c r="K2352" s="6">
        <f>HYPERLINK("https://www.dailydose.de/kleinanzeigen/detail.htm?ai=422064&amp;cf=kk&amp;pg=5&amp;ci=11", "Link")</f>
        <v/>
      </c>
      <c r="L2352" s="6">
        <f>HYPERLINK("C:\Projects\Kleinanzeigen-Scraper\offer_images\422064", "Link")</f>
        <v/>
      </c>
      <c r="M2352" t="inlineStr">
        <is>
          <t>Thomas Blank</t>
        </is>
      </c>
      <c r="N2352" s="6">
        <f>HYPERLINK("https://www.dailydose.de/kleinanzeigen/user/23232", "Link")</f>
        <v/>
      </c>
      <c r="O2352" s="7" t="n">
        <v>45540.56585648148</v>
      </c>
      <c r="P2352" s="3" t="inlineStr">
        <is>
          <t>126.78</t>
        </is>
      </c>
      <c r="Q2352" t="inlineStr">
        <is>
          <t>München</t>
        </is>
      </c>
    </row>
    <row r="2353">
      <c r="A2353" t="inlineStr"/>
      <c r="B2353" t="inlineStr">
        <is>
          <t>RRD Freewave</t>
        </is>
      </c>
      <c r="C2353" t="inlineStr">
        <is>
          <t>Freeride</t>
        </is>
      </c>
      <c r="D2353" s="3" t="n">
        <v>80</v>
      </c>
      <c r="E2353" t="inlineStr"/>
      <c r="F2353" s="4" t="n">
        <v>280</v>
      </c>
      <c r="G2353" t="inlineStr">
        <is>
          <t>VB</t>
        </is>
      </c>
      <c r="H2353" t="inlineStr">
        <is>
          <t>23568 Lübeck</t>
        </is>
      </c>
      <c r="I2353" s="5" t="n">
        <v>45539</v>
      </c>
      <c r="J2353" t="inlineStr">
        <is>
          <t>Sold</t>
        </is>
      </c>
      <c r="K2353" s="6">
        <f>HYPERLINK("https://www.dailydose.de/kleinanzeigen/detail.htm?ai=422044&amp;cf=kk&amp;pg=5&amp;ci=11", "Link")</f>
        <v/>
      </c>
      <c r="L2353" s="6">
        <f>HYPERLINK("C:\Projects\Kleinanzeigen-Scraper\offer_images\422044", "Link")</f>
        <v/>
      </c>
      <c r="M2353" t="inlineStr">
        <is>
          <t>Lasse_130</t>
        </is>
      </c>
      <c r="N2353" s="6">
        <f>HYPERLINK("https://www.dailydose.de/kleinanzeigen/user/14114", "Link")</f>
        <v/>
      </c>
      <c r="O2353" s="7" t="n">
        <v>45540.56533564815</v>
      </c>
      <c r="P2353" s="3" t="inlineStr">
        <is>
          <t>418.25</t>
        </is>
      </c>
      <c r="Q2353" t="inlineStr">
        <is>
          <t>Köln</t>
        </is>
      </c>
    </row>
    <row r="2354">
      <c r="A2354" t="inlineStr">
        <is>
          <t>245x64</t>
        </is>
      </c>
      <c r="B2354" t="inlineStr">
        <is>
          <t>Rocket</t>
        </is>
      </c>
      <c r="C2354" t="inlineStr">
        <is>
          <t>Freeride</t>
        </is>
      </c>
      <c r="D2354" s="3" t="n">
        <v>115</v>
      </c>
      <c r="E2354" t="inlineStr"/>
      <c r="F2354" s="4" t="n">
        <v>250</v>
      </c>
      <c r="G2354" t="inlineStr"/>
      <c r="H2354" t="inlineStr">
        <is>
          <t>12526 BERLIN</t>
        </is>
      </c>
      <c r="I2354" s="5" t="n">
        <v>45540</v>
      </c>
      <c r="J2354" t="inlineStr">
        <is>
          <t>Sold</t>
        </is>
      </c>
      <c r="K2354" s="6">
        <f>HYPERLINK("https://www.dailydose.de/kleinanzeigen/detail.htm?ai=422072&amp;cf=kk&amp;pg=3&amp;ci=11", "Link")</f>
        <v/>
      </c>
      <c r="L2354" s="6">
        <f>HYPERLINK("C:\Projects\Kleinanzeigen-Scraper\offer_images\422072", "Link")</f>
        <v/>
      </c>
      <c r="M2354" t="inlineStr">
        <is>
          <t>surfi_159</t>
        </is>
      </c>
      <c r="N2354" s="6">
        <f>HYPERLINK("https://www.dailydose.de/kleinanzeigen/user/17564", "Link")</f>
        <v/>
      </c>
      <c r="O2354" s="7" t="n">
        <v>45540.56524305556</v>
      </c>
      <c r="P2354" s="3" t="inlineStr">
        <is>
          <t>484.42</t>
        </is>
      </c>
      <c r="Q2354" t="inlineStr">
        <is>
          <t>Köln</t>
        </is>
      </c>
    </row>
    <row r="2355">
      <c r="A2355" t="inlineStr">
        <is>
          <t>239 x 86</t>
        </is>
      </c>
      <c r="B2355" t="inlineStr">
        <is>
          <t>Severne Fox V3</t>
        </is>
      </c>
      <c r="C2355" t="inlineStr">
        <is>
          <t>Freeride</t>
        </is>
      </c>
      <c r="D2355" s="3" t="n">
        <v>105</v>
      </c>
      <c r="E2355" t="inlineStr">
        <is>
          <t>2023</t>
        </is>
      </c>
      <c r="F2355" s="4" t="n">
        <v>1.75</v>
      </c>
      <c r="G2355" t="inlineStr"/>
      <c r="H2355" t="inlineStr">
        <is>
          <t>46242 Nordrhein-Westfalen - Bottrop</t>
        </is>
      </c>
      <c r="I2355" s="5" t="n">
        <v>45538</v>
      </c>
      <c r="J2355" t="inlineStr">
        <is>
          <t>Sold</t>
        </is>
      </c>
      <c r="K2355" s="6">
        <f>HYPERLINK("https://www.kleinanzeigen.de/s-anzeige/severne-fox-v3-105-windsurf-board-wie-neu-/2853567345-230-1954", "Link")</f>
        <v/>
      </c>
      <c r="L2355" s="6">
        <f>HYPERLINK("C:\Projects\Kleinanzeigen-Scraper\offer_images\2853567345", "Link")</f>
        <v/>
      </c>
      <c r="M2355" t="inlineStr">
        <is>
          <t>Robby Hein</t>
        </is>
      </c>
      <c r="N2355" s="6">
        <f>HYPERLINK("https://www.kleinanzeigen.de/s-bestandsliste.html?userId=15549119", "Link")</f>
        <v/>
      </c>
      <c r="O2355" s="7" t="n">
        <v>45540.56454861111</v>
      </c>
      <c r="P2355" s="3" t="inlineStr">
        <is>
          <t>65.36</t>
        </is>
      </c>
      <c r="Q2355" t="inlineStr">
        <is>
          <t>Köln</t>
        </is>
      </c>
    </row>
    <row r="2356">
      <c r="A2356" t="inlineStr">
        <is>
          <t>260 cm x 55 cm</t>
        </is>
      </c>
      <c r="B2356" t="inlineStr">
        <is>
          <t>Mistral Screamer</t>
        </is>
      </c>
      <c r="C2356" t="inlineStr">
        <is>
          <t>Freeride</t>
        </is>
      </c>
      <c r="D2356" s="3" t="n">
        <v>83</v>
      </c>
      <c r="E2356" t="inlineStr"/>
      <c r="F2356" s="4" t="n">
        <v>100</v>
      </c>
      <c r="G2356" t="inlineStr"/>
      <c r="H2356" t="inlineStr">
        <is>
          <t>12169 Berlin - Steglitz</t>
        </is>
      </c>
      <c r="I2356" s="5" t="n">
        <v>45538</v>
      </c>
      <c r="J2356" t="inlineStr">
        <is>
          <t>Sold</t>
        </is>
      </c>
      <c r="K2356" s="6">
        <f>HYPERLINK("https://www.kleinanzeigen.de/s-anzeige/mistral-screamer-260-surfboard-surfbrett-windsurfen/2853598305-230-3420", "Link")</f>
        <v/>
      </c>
      <c r="L2356" s="6">
        <f>HYPERLINK("C:\Projects\Kleinanzeigen-Scraper\offer_images\2853598305", "Link")</f>
        <v/>
      </c>
      <c r="M2356" t="inlineStr">
        <is>
          <t>Privat</t>
        </is>
      </c>
      <c r="N2356" s="6">
        <f>HYPERLINK("https://www.kleinanzeigen.de/s-bestandsliste.html?userId=58928440", "Link")</f>
        <v/>
      </c>
      <c r="O2356" s="7" t="n">
        <v>45540.56420138889</v>
      </c>
      <c r="P2356" s="3" t="inlineStr">
        <is>
          <t>471.13</t>
        </is>
      </c>
      <c r="Q2356" t="inlineStr">
        <is>
          <t>Köln</t>
        </is>
      </c>
    </row>
    <row r="2357">
      <c r="A2357" t="inlineStr">
        <is>
          <t>6'11</t>
        </is>
      </c>
      <c r="B2357" t="inlineStr">
        <is>
          <t>Fanatic Sky Sup</t>
        </is>
      </c>
      <c r="C2357" t="inlineStr">
        <is>
          <t>Wingfoil</t>
        </is>
      </c>
      <c r="D2357" s="3" t="inlineStr"/>
      <c r="E2357" t="inlineStr"/>
      <c r="F2357" s="4" t="n">
        <v>609</v>
      </c>
      <c r="G2357" t="inlineStr"/>
      <c r="H2357" t="inlineStr">
        <is>
          <t>24235 Schleswig-Holstein - Stein (Probstei)</t>
        </is>
      </c>
      <c r="I2357" s="5" t="n">
        <v>45540</v>
      </c>
      <c r="J2357" t="inlineStr">
        <is>
          <t>Sold</t>
        </is>
      </c>
      <c r="K2357" s="6">
        <f>HYPERLINK("https://www.kleinanzeigen.de/s-anzeige/-neu-fanatic-sky-sup-6-11-windsurf-wingfoil-board/2854895102-230-19456", "Link")</f>
        <v/>
      </c>
      <c r="L2357" s="6">
        <f>HYPERLINK("C:\Projects\Kleinanzeigen-Scraper\offer_images\2854895102", "Link")</f>
        <v/>
      </c>
      <c r="M2357" t="inlineStr">
        <is>
          <t>Tatort-Hawaii</t>
        </is>
      </c>
      <c r="N2357" s="6">
        <f>HYPERLINK("https://www.kleinanzeigen.de/s-bestandsliste.html?userId=65290662", "Link")</f>
        <v/>
      </c>
      <c r="O2357" s="7" t="n">
        <v>45540.56415509259</v>
      </c>
      <c r="P2357" s="3" t="inlineStr">
        <is>
          <t>443.73</t>
        </is>
      </c>
      <c r="Q2357" t="inlineStr">
        <is>
          <t>Köln</t>
        </is>
      </c>
    </row>
    <row r="2358">
      <c r="A2358" t="inlineStr">
        <is>
          <t>228 cm x 85 cm</t>
        </is>
      </c>
      <c r="B2358" t="inlineStr">
        <is>
          <t>Fanatic Stingray</t>
        </is>
      </c>
      <c r="C2358" t="inlineStr">
        <is>
          <t>Foil</t>
        </is>
      </c>
      <c r="D2358" s="3" t="n">
        <v>140</v>
      </c>
      <c r="E2358" t="inlineStr"/>
      <c r="F2358" s="4" t="n">
        <v>465</v>
      </c>
      <c r="G2358" t="inlineStr">
        <is>
          <t>VB</t>
        </is>
      </c>
      <c r="H2358" t="inlineStr">
        <is>
          <t>24975 Schleswig-Holstein - Maasbüll</t>
        </is>
      </c>
      <c r="I2358" s="5" t="n">
        <v>45540</v>
      </c>
      <c r="J2358" t="inlineStr">
        <is>
          <t>Sold</t>
        </is>
      </c>
      <c r="K2358" s="6">
        <f>HYPERLINK("https://www.kleinanzeigen.de/s-anzeige/fanatic-stingray-140-windfoil-windsurf-foil-board/2854886810-230-725", "Link")</f>
        <v/>
      </c>
      <c r="L2358" s="6">
        <f>HYPERLINK("C:\Projects\Kleinanzeigen-Scraper\offer_images\2854886810", "Link")</f>
        <v/>
      </c>
      <c r="M2358" t="inlineStr">
        <is>
          <t>Mo</t>
        </is>
      </c>
      <c r="N2358" s="6">
        <f>HYPERLINK("https://www.kleinanzeigen.de/s-bestandsliste.html?userId=9081421", "Link")</f>
        <v/>
      </c>
      <c r="O2358" s="7" t="n">
        <v>45540.56413194445</v>
      </c>
      <c r="P2358" s="3" t="inlineStr">
        <is>
          <t>458.46</t>
        </is>
      </c>
      <c r="Q2358" t="inlineStr">
        <is>
          <t>Köln</t>
        </is>
      </c>
    </row>
    <row r="2359">
      <c r="A2359" t="inlineStr">
        <is>
          <t>100</t>
        </is>
      </c>
      <c r="B2359" t="inlineStr">
        <is>
          <t>i99 squadra corse</t>
        </is>
      </c>
      <c r="C2359" t="inlineStr">
        <is>
          <t>Foilboard</t>
        </is>
      </c>
      <c r="D2359" s="3" t="inlineStr"/>
      <c r="E2359" t="inlineStr"/>
      <c r="F2359" s="4" t="n">
        <v>750</v>
      </c>
      <c r="G2359" t="inlineStr">
        <is>
          <t>VB</t>
        </is>
      </c>
      <c r="H2359" t="inlineStr">
        <is>
          <t>83727 Bayern - Schliersee</t>
        </is>
      </c>
      <c r="I2359" s="5" t="n">
        <v>45538</v>
      </c>
      <c r="J2359" t="inlineStr">
        <is>
          <t>Sold</t>
        </is>
      </c>
      <c r="K2359" s="6">
        <f>HYPERLINK("https://www.kleinanzeigen.de/s-anzeige/i99-squadra-corse-100-windsurf-foilboard-nove-nove-/2853615202-230-5897", "Link")</f>
        <v/>
      </c>
      <c r="L2359" s="6">
        <f>HYPERLINK("C:\Projects\Kleinanzeigen-Scraper\offer_images\2853615202", "Link")</f>
        <v/>
      </c>
      <c r="M2359" t="inlineStr">
        <is>
          <t>Schwab Maximilian</t>
        </is>
      </c>
      <c r="N2359" s="6">
        <f>HYPERLINK("https://www.kleinanzeigen.de/s-bestandsliste.html?userId=74211718", "Link")</f>
        <v/>
      </c>
      <c r="O2359" s="7" t="n">
        <v>45540.56405092592</v>
      </c>
      <c r="P2359" s="3" t="inlineStr">
        <is>
          <t>54.23</t>
        </is>
      </c>
      <c r="Q2359" t="inlineStr">
        <is>
          <t>München</t>
        </is>
      </c>
    </row>
    <row r="2360">
      <c r="A2360" t="inlineStr">
        <is>
          <t>2.77 m</t>
        </is>
      </c>
      <c r="B2360" t="inlineStr">
        <is>
          <t>Mistral</t>
        </is>
      </c>
      <c r="C2360" t="inlineStr"/>
      <c r="D2360" s="3" t="inlineStr"/>
      <c r="E2360" t="inlineStr"/>
      <c r="F2360" s="4" t="n">
        <v>350</v>
      </c>
      <c r="G2360" t="inlineStr">
        <is>
          <t>VB</t>
        </is>
      </c>
      <c r="H2360" t="inlineStr">
        <is>
          <t>14129 Berlin - Zehlendorf</t>
        </is>
      </c>
      <c r="I2360" s="5" t="n">
        <v>45539</v>
      </c>
      <c r="J2360" t="inlineStr">
        <is>
          <t>Sold</t>
        </is>
      </c>
      <c r="K2360" s="6">
        <f>HYPERLINK("https://www.kleinanzeigen.de/s-anzeige/mallorca-original-mistral-windsurfer-sehr-hoher-neupreis/2854334655-230-3530", "Link")</f>
        <v/>
      </c>
      <c r="L2360" s="6">
        <f>HYPERLINK("C:\Projects\Kleinanzeigen-Scraper\offer_images\2854334655", "Link")</f>
        <v/>
      </c>
      <c r="M2360" t="inlineStr">
        <is>
          <t>Proske</t>
        </is>
      </c>
      <c r="N2360" s="6">
        <f>HYPERLINK("https://www.kleinanzeigen.de/s-bestandsliste.html?userId=131908780", "Link")</f>
        <v/>
      </c>
      <c r="O2360" s="7" t="n">
        <v>45540.5640162037</v>
      </c>
      <c r="P2360" s="3" t="inlineStr">
        <is>
          <t>461.31</t>
        </is>
      </c>
      <c r="Q2360" t="inlineStr">
        <is>
          <t>Köln</t>
        </is>
      </c>
    </row>
    <row r="2361">
      <c r="A2361" t="inlineStr">
        <is>
          <t>280x85x15 cm</t>
        </is>
      </c>
      <c r="B2361" t="inlineStr">
        <is>
          <t>STX</t>
        </is>
      </c>
      <c r="C2361" t="inlineStr">
        <is>
          <t>Windsurf</t>
        </is>
      </c>
      <c r="D2361" s="3" t="inlineStr"/>
      <c r="E2361" t="inlineStr"/>
      <c r="F2361" s="4" t="n">
        <v>499</v>
      </c>
      <c r="G2361" t="inlineStr">
        <is>
          <t>VB</t>
        </is>
      </c>
      <c r="H2361" t="inlineStr">
        <is>
          <t>92637 Bayern - Weiden (Oberpfalz)</t>
        </is>
      </c>
      <c r="I2361" s="5" t="n">
        <v>45539</v>
      </c>
      <c r="J2361" t="inlineStr">
        <is>
          <t>Sold</t>
        </is>
      </c>
      <c r="K2361" s="6">
        <f>HYPERLINK("https://www.kleinanzeigen.de/s-anzeige/stx-windsurfen-standup-paddel-board-wingsurf-windsup-wing-sup/2854498948-230-7219", "Link")</f>
        <v/>
      </c>
      <c r="L2361" s="6">
        <f>HYPERLINK("C:\Projects\Kleinanzeigen-Scraper\offer_images\2854498948", "Link")</f>
        <v/>
      </c>
      <c r="M2361" t="inlineStr">
        <is>
          <t>Ge.Ro.</t>
        </is>
      </c>
      <c r="N2361" s="6">
        <f>HYPERLINK("https://www.kleinanzeigen.de/s-bestandsliste.html?userId=32298751", "Link")</f>
        <v/>
      </c>
      <c r="O2361" s="7" t="n">
        <v>45540.56390046296</v>
      </c>
      <c r="P2361" s="3" t="inlineStr">
        <is>
          <t>176.14</t>
        </is>
      </c>
      <c r="Q2361" t="inlineStr">
        <is>
          <t>München</t>
        </is>
      </c>
    </row>
    <row r="2362">
      <c r="A2362" t="inlineStr">
        <is>
          <t>228 / 85 cm</t>
        </is>
      </c>
      <c r="B2362" t="inlineStr">
        <is>
          <t>Starboard Isonic</t>
        </is>
      </c>
      <c r="C2362" t="inlineStr">
        <is>
          <t>Slalom</t>
        </is>
      </c>
      <c r="D2362" s="3" t="n">
        <v>131</v>
      </c>
      <c r="E2362" t="inlineStr"/>
      <c r="F2362" s="4" t="n">
        <v>380</v>
      </c>
      <c r="G2362" t="inlineStr"/>
      <c r="H2362" t="inlineStr">
        <is>
          <t>81929 München - Bogenhausen</t>
        </is>
      </c>
      <c r="I2362" s="5" t="n">
        <v>45538</v>
      </c>
      <c r="J2362" t="inlineStr">
        <is>
          <t>Sold</t>
        </is>
      </c>
      <c r="K2362" s="6">
        <f>HYPERLINK("https://www.kleinanzeigen.de/s-anzeige/starboard-isonic-131-l-228-85-cm-top-windsurf-slalom-board/2853629900-230-6526", "Link")</f>
        <v/>
      </c>
      <c r="L2362" s="6">
        <f>HYPERLINK("C:\Projects\Kleinanzeigen-Scraper\offer_images\2853629900", "Link")</f>
        <v/>
      </c>
      <c r="M2362" t="inlineStr">
        <is>
          <t>Thomas</t>
        </is>
      </c>
      <c r="N2362" s="6">
        <f>HYPERLINK("https://www.kleinanzeigen.de/s-bestandsliste.html?userId=7284801", "Link")</f>
        <v/>
      </c>
      <c r="O2362" s="7" t="n">
        <v>45540.56387731482</v>
      </c>
      <c r="P2362" s="3" t="inlineStr">
        <is>
          <t>6.89</t>
        </is>
      </c>
      <c r="Q2362" t="inlineStr">
        <is>
          <t>München</t>
        </is>
      </c>
    </row>
    <row r="2363">
      <c r="A2363" t="inlineStr">
        <is>
          <t>255/55</t>
        </is>
      </c>
      <c r="B2363" t="inlineStr">
        <is>
          <t>F2 Axxis</t>
        </is>
      </c>
      <c r="C2363" t="inlineStr">
        <is>
          <t>High Wind</t>
        </is>
      </c>
      <c r="D2363" s="3" t="n">
        <v>82</v>
      </c>
      <c r="E2363" t="inlineStr"/>
      <c r="F2363" s="4" t="n">
        <v>390</v>
      </c>
      <c r="G2363" t="inlineStr">
        <is>
          <t>VB</t>
        </is>
      </c>
      <c r="H2363" t="inlineStr">
        <is>
          <t>14129 Berlin - Zehlendorf</t>
        </is>
      </c>
      <c r="I2363" s="5" t="n">
        <v>45539</v>
      </c>
      <c r="J2363" t="inlineStr">
        <is>
          <t>Sold</t>
        </is>
      </c>
      <c r="K2363" s="6">
        <f>HYPERLINK("https://www.kleinanzeigen.de/s-anzeige/mallorca-original-f2-axxis-255-windsurfer-sehr-hoher-neupreis/2854343294-230-3530", "Link")</f>
        <v/>
      </c>
      <c r="L2363" s="6">
        <f>HYPERLINK("C:\Projects\Kleinanzeigen-Scraper\offer_images\2854343294", "Link")</f>
        <v/>
      </c>
      <c r="M2363" t="inlineStr">
        <is>
          <t>Proske</t>
        </is>
      </c>
      <c r="N2363" s="6">
        <f>HYPERLINK("https://www.kleinanzeigen.de/s-bestandsliste.html?userId=131908780", "Link")</f>
        <v/>
      </c>
      <c r="O2363" s="7" t="n">
        <v>45540.56380787037</v>
      </c>
      <c r="P2363" s="3" t="inlineStr">
        <is>
          <t>461.31</t>
        </is>
      </c>
      <c r="Q2363" t="inlineStr">
        <is>
          <t>Köln</t>
        </is>
      </c>
    </row>
    <row r="2364">
      <c r="A2364" t="inlineStr">
        <is>
          <t>238 x 90 cm</t>
        </is>
      </c>
      <c r="B2364" t="inlineStr">
        <is>
          <t>RRD Firemove LTD</t>
        </is>
      </c>
      <c r="C2364" t="inlineStr">
        <is>
          <t>Freeride/Freemove</t>
        </is>
      </c>
      <c r="D2364" s="3" t="n">
        <v>140</v>
      </c>
      <c r="E2364" t="inlineStr"/>
      <c r="F2364" s="4" t="n">
        <v>439</v>
      </c>
      <c r="G2364" t="inlineStr">
        <is>
          <t>VB</t>
        </is>
      </c>
      <c r="H2364" t="inlineStr">
        <is>
          <t>92729 Bayern - Weiherhammer</t>
        </is>
      </c>
      <c r="I2364" s="5" t="n">
        <v>45539</v>
      </c>
      <c r="J2364" t="inlineStr">
        <is>
          <t>Sold</t>
        </is>
      </c>
      <c r="K2364" s="6">
        <f>HYPERLINK("https://www.kleinanzeigen.de/s-anzeige/rrd-firemove-ltd-140l-238-x-90-cm-windsurf-board-freeride/2854208095-230-7381", "Link")</f>
        <v/>
      </c>
      <c r="L2364" s="6">
        <f>HYPERLINK("C:\Projects\Kleinanzeigen-Scraper\offer_images\2854208095", "Link")</f>
        <v/>
      </c>
      <c r="M2364" t="inlineStr">
        <is>
          <t>Markus</t>
        </is>
      </c>
      <c r="N2364" s="6">
        <f>HYPERLINK("https://www.kleinanzeigen.de/s-bestandsliste.html?userId=2625769", "Link")</f>
        <v/>
      </c>
      <c r="O2364" s="7" t="n">
        <v>45540.56375</v>
      </c>
      <c r="P2364" s="3" t="inlineStr">
        <is>
          <t>169.91</t>
        </is>
      </c>
      <c r="Q2364" t="inlineStr">
        <is>
          <t>München</t>
        </is>
      </c>
    </row>
    <row r="2365">
      <c r="A2365" t="inlineStr">
        <is>
          <t>365cm x 67cm</t>
        </is>
      </c>
      <c r="B2365" t="inlineStr"/>
      <c r="C2365" t="inlineStr">
        <is>
          <t>SUP</t>
        </is>
      </c>
      <c r="D2365" s="3" t="inlineStr"/>
      <c r="E2365" t="inlineStr"/>
      <c r="F2365" s="4" t="n">
        <v>105</v>
      </c>
      <c r="G2365" t="inlineStr">
        <is>
          <t>VB</t>
        </is>
      </c>
      <c r="H2365" t="inlineStr">
        <is>
          <t>12589 Berlin - Köpenick</t>
        </is>
      </c>
      <c r="I2365" s="5" t="n">
        <v>45530</v>
      </c>
      <c r="J2365" t="inlineStr">
        <is>
          <t>Sold</t>
        </is>
      </c>
      <c r="K2365" s="6">
        <f>HYPERLINK("https://www.kleinanzeigen.de/s-anzeige/windsurf-sup-standup-paddle-board/2846652010-230-3373", "Link")</f>
        <v/>
      </c>
      <c r="L2365" s="6">
        <f>HYPERLINK("C:\Projects\Kleinanzeigen-Scraper\offer_images\2846652010", "Link")</f>
        <v/>
      </c>
      <c r="M2365" t="inlineStr">
        <is>
          <t>Andreas</t>
        </is>
      </c>
      <c r="N2365" s="6">
        <f>HYPERLINK("https://www.kleinanzeigen.de/s-bestandsliste.html?userId=11252100", "Link")</f>
        <v/>
      </c>
      <c r="O2365" s="7" t="n">
        <v>45540.56372685185</v>
      </c>
      <c r="P2365" s="3" t="inlineStr">
        <is>
          <t>494.39</t>
        </is>
      </c>
      <c r="Q2365" t="inlineStr">
        <is>
          <t>Köln</t>
        </is>
      </c>
    </row>
    <row r="2366">
      <c r="A2366" t="inlineStr">
        <is>
          <t>247x70 cm</t>
        </is>
      </c>
      <c r="B2366" t="inlineStr">
        <is>
          <t>Fanatic Shark</t>
        </is>
      </c>
      <c r="C2366" t="inlineStr">
        <is>
          <t>FreeRide</t>
        </is>
      </c>
      <c r="D2366" s="3" t="n">
        <v>125</v>
      </c>
      <c r="E2366" t="inlineStr"/>
      <c r="F2366" s="4" t="n">
        <v>450</v>
      </c>
      <c r="G2366" t="inlineStr"/>
      <c r="H2366" t="inlineStr">
        <is>
          <t>12527 Berlin</t>
        </is>
      </c>
      <c r="I2366" s="5" t="n">
        <v>45539</v>
      </c>
      <c r="J2366" t="inlineStr">
        <is>
          <t>Sold</t>
        </is>
      </c>
      <c r="K2366" s="6">
        <f>HYPERLINK("https://www.dailydose.de/kleinanzeigen/detail.htm?ai=422014&amp;cf=kk&amp;pg=4&amp;ci=11", "Link")</f>
        <v/>
      </c>
      <c r="L2366" s="6">
        <f>HYPERLINK("C:\Projects\Kleinanzeigen-Scraper\offer_images\422014", "Link")</f>
        <v/>
      </c>
      <c r="M2366" t="inlineStr">
        <is>
          <t>newt3</t>
        </is>
      </c>
      <c r="N2366" s="6">
        <f>HYPERLINK("https://www.dailydose.de/kleinanzeigen/user/22148", "Link")</f>
        <v/>
      </c>
      <c r="O2366" s="7" t="n">
        <v>45539.58938657407</v>
      </c>
      <c r="P2366" s="3" t="inlineStr">
        <is>
          <t>487.71</t>
        </is>
      </c>
      <c r="Q2366" t="inlineStr">
        <is>
          <t>Köln</t>
        </is>
      </c>
    </row>
    <row r="2367">
      <c r="A2367" t="inlineStr"/>
      <c r="B2367" t="inlineStr">
        <is>
          <t>Quatro Sphere Pro</t>
        </is>
      </c>
      <c r="C2367" t="inlineStr">
        <is>
          <t>Wave / Freewave</t>
        </is>
      </c>
      <c r="D2367" s="3" t="n">
        <v>80</v>
      </c>
      <c r="E2367" t="inlineStr"/>
      <c r="F2367" s="4" t="n">
        <v>499</v>
      </c>
      <c r="G2367" t="inlineStr"/>
      <c r="H2367" t="inlineStr">
        <is>
          <t>45721 Haltern am See</t>
        </is>
      </c>
      <c r="I2367" s="5" t="n">
        <v>45538</v>
      </c>
      <c r="J2367" t="inlineStr">
        <is>
          <t>Sold</t>
        </is>
      </c>
      <c r="K2367" s="6">
        <f>HYPERLINK("https://www.dailydose.de/kleinanzeigen/detail.htm?ai=421994&amp;cf=kk&amp;pg=5&amp;ci=11", "Link")</f>
        <v/>
      </c>
      <c r="L2367" s="6">
        <f>HYPERLINK("C:\Projects\Kleinanzeigen-Scraper\offer_images\421994", "Link")</f>
        <v/>
      </c>
      <c r="M2367" t="inlineStr">
        <is>
          <t>evolare</t>
        </is>
      </c>
      <c r="N2367" s="6">
        <f>HYPERLINK("https://www.dailydose.de/kleinanzeigen/user/20497", "Link")</f>
        <v/>
      </c>
      <c r="O2367" s="7" t="n">
        <v>45539.58847222223</v>
      </c>
      <c r="P2367" s="3" t="inlineStr">
        <is>
          <t>95.03</t>
        </is>
      </c>
      <c r="Q2367" t="inlineStr">
        <is>
          <t>Köln</t>
        </is>
      </c>
    </row>
    <row r="2368">
      <c r="A2368" t="inlineStr">
        <is>
          <t>234cm x 60.5cm</t>
        </is>
      </c>
      <c r="B2368" t="inlineStr">
        <is>
          <t>JP Freestyle Wave</t>
        </is>
      </c>
      <c r="C2368" t="inlineStr">
        <is>
          <t>Freestyle Wave</t>
        </is>
      </c>
      <c r="D2368" s="3" t="n">
        <v>93</v>
      </c>
      <c r="E2368" t="inlineStr"/>
      <c r="F2368" s="4" t="n">
        <v>250</v>
      </c>
      <c r="G2368" t="inlineStr">
        <is>
          <t>VB</t>
        </is>
      </c>
      <c r="H2368" t="inlineStr">
        <is>
          <t>74379 Ingersheim</t>
        </is>
      </c>
      <c r="I2368" s="5" t="n">
        <v>45538</v>
      </c>
      <c r="J2368" t="inlineStr">
        <is>
          <t>Sold</t>
        </is>
      </c>
      <c r="K2368" s="6">
        <f>HYPERLINK("https://www.dailydose.de/kleinanzeigen/detail.htm?ai=422008&amp;cf=kk&amp;pg=2&amp;ci=11", "Link")</f>
        <v/>
      </c>
      <c r="L2368" s="6">
        <f>HYPERLINK("C:\Projects\Kleinanzeigen-Scraper\offer_images\422008", "Link")</f>
        <v/>
      </c>
      <c r="M2368" t="inlineStr">
        <is>
          <t>Klaus F.</t>
        </is>
      </c>
      <c r="N2368" s="6">
        <f>HYPERLINK("https://www.dailydose.de/kleinanzeigen/user/13170", "Link")</f>
        <v/>
      </c>
      <c r="O2368" s="7" t="n">
        <v>45539.58832175926</v>
      </c>
      <c r="P2368" s="3" t="inlineStr">
        <is>
          <t>35.02</t>
        </is>
      </c>
      <c r="Q2368" t="inlineStr">
        <is>
          <t>Böblingen</t>
        </is>
      </c>
    </row>
    <row r="2369">
      <c r="A2369" t="inlineStr"/>
      <c r="B2369" t="inlineStr">
        <is>
          <t>QUATRO PYRAMID</t>
        </is>
      </c>
      <c r="C2369" t="inlineStr"/>
      <c r="D2369" s="3" t="inlineStr"/>
      <c r="E2369" t="inlineStr"/>
      <c r="F2369" s="4" t="n">
        <v>950</v>
      </c>
      <c r="G2369" t="inlineStr"/>
      <c r="H2369" t="inlineStr">
        <is>
          <t>Aachen</t>
        </is>
      </c>
      <c r="I2369" s="5" t="n">
        <v>45539</v>
      </c>
      <c r="J2369" t="inlineStr">
        <is>
          <t>Sold</t>
        </is>
      </c>
      <c r="K2369" s="6">
        <f>HYPERLINK("https://www.dailydose.de/kleinanzeigen/detail.htm?ai=422023&amp;cf=kk&amp;pg=5&amp;ci=11", "Link")</f>
        <v/>
      </c>
      <c r="L2369" s="6">
        <f>HYPERLINK("C:\Projects\Kleinanzeigen-Scraper\offer_images\422023", "Link")</f>
        <v/>
      </c>
      <c r="M2369" t="inlineStr">
        <is>
          <t>TeresaVince</t>
        </is>
      </c>
      <c r="N2369" s="6">
        <f>HYPERLINK("https://www.dailydose.de/kleinanzeigen/user/25805", "Link")</f>
        <v/>
      </c>
      <c r="O2369" s="7" t="n">
        <v>45539.5880787037</v>
      </c>
      <c r="P2369" s="3" t="inlineStr">
        <is>
          <t>63.68</t>
        </is>
      </c>
      <c r="Q2369" t="inlineStr">
        <is>
          <t>Köln</t>
        </is>
      </c>
    </row>
    <row r="2370">
      <c r="A2370" t="inlineStr">
        <is>
          <t>7'8"</t>
        </is>
      </c>
      <c r="B2370" t="inlineStr">
        <is>
          <t>STX</t>
        </is>
      </c>
      <c r="C2370" t="inlineStr">
        <is>
          <t>Windsurf, Wingsurf, SUP</t>
        </is>
      </c>
      <c r="D2370" s="3" t="inlineStr"/>
      <c r="E2370" t="inlineStr">
        <is>
          <t>2</t>
        </is>
      </c>
      <c r="F2370" s="4" t="n">
        <v>399</v>
      </c>
      <c r="G2370" t="inlineStr">
        <is>
          <t>VB</t>
        </is>
      </c>
      <c r="H2370" t="inlineStr">
        <is>
          <t>72631 Aichtal</t>
        </is>
      </c>
      <c r="I2370" s="5" t="n">
        <v>45539</v>
      </c>
      <c r="J2370" t="inlineStr">
        <is>
          <t>Sold</t>
        </is>
      </c>
      <c r="K2370" s="6">
        <f>HYPERLINK("https://www.dailydose.de/kleinanzeigen/detail.htm?ai=422015&amp;cf=kk&amp;pg=2&amp;ci=11", "Link")</f>
        <v/>
      </c>
      <c r="L2370" s="6">
        <f>HYPERLINK("C:\Projects\Kleinanzeigen-Scraper\offer_images\422015", "Link")</f>
        <v/>
      </c>
      <c r="M2370" t="inlineStr">
        <is>
          <t>surf31415</t>
        </is>
      </c>
      <c r="N2370" s="6">
        <f>HYPERLINK("https://www.dailydose.de/kleinanzeigen/user/12442", "Link")</f>
        <v/>
      </c>
      <c r="O2370" s="7" t="n">
        <v>45539.58652777778</v>
      </c>
      <c r="P2370" s="3" t="inlineStr">
        <is>
          <t>20.26</t>
        </is>
      </c>
      <c r="Q2370" t="inlineStr">
        <is>
          <t>Böblingen</t>
        </is>
      </c>
    </row>
    <row r="2371">
      <c r="A2371" t="inlineStr">
        <is>
          <t>232 cm x 84 cm</t>
        </is>
      </c>
      <c r="B2371" t="inlineStr">
        <is>
          <t>JP Slalom</t>
        </is>
      </c>
      <c r="C2371" t="inlineStr">
        <is>
          <t>Slalom</t>
        </is>
      </c>
      <c r="D2371" s="3" t="n">
        <v>84</v>
      </c>
      <c r="E2371" t="inlineStr"/>
      <c r="F2371" s="4" t="n">
        <v>130</v>
      </c>
      <c r="G2371" t="inlineStr">
        <is>
          <t>VB</t>
        </is>
      </c>
      <c r="H2371" t="inlineStr">
        <is>
          <t>24159 Kiel</t>
        </is>
      </c>
      <c r="I2371" s="5" t="n">
        <v>45539</v>
      </c>
      <c r="J2371" t="inlineStr">
        <is>
          <t>Sold</t>
        </is>
      </c>
      <c r="K2371" s="6">
        <f>HYPERLINK("https://www.dailydose.de/kleinanzeigen/detail.htm?ai=422019&amp;cf=kk&amp;pg=5&amp;ci=11", "Link")</f>
        <v/>
      </c>
      <c r="L2371" s="6">
        <f>HYPERLINK("C:\Projects\Kleinanzeigen-Scraper\offer_images\422019", "Link")</f>
        <v/>
      </c>
      <c r="M2371" t="inlineStr">
        <is>
          <t>TK_173</t>
        </is>
      </c>
      <c r="N2371" s="6">
        <f>HYPERLINK("https://www.dailydose.de/kleinanzeigen/user/23166", "Link")</f>
        <v/>
      </c>
      <c r="O2371" s="7" t="n">
        <v>45539.5865162037</v>
      </c>
      <c r="P2371" s="3" t="inlineStr">
        <is>
          <t>440.84</t>
        </is>
      </c>
      <c r="Q2371" t="inlineStr">
        <is>
          <t>Köln</t>
        </is>
      </c>
    </row>
    <row r="2372">
      <c r="A2372" t="inlineStr">
        <is>
          <t>295 cm</t>
        </is>
      </c>
      <c r="B2372" t="inlineStr">
        <is>
          <t>Hifly</t>
        </is>
      </c>
      <c r="C2372" t="inlineStr"/>
      <c r="D2372" s="3" t="inlineStr"/>
      <c r="E2372" t="inlineStr"/>
      <c r="F2372" s="4" t="n">
        <v>55</v>
      </c>
      <c r="G2372" t="inlineStr">
        <is>
          <t>VB</t>
        </is>
      </c>
      <c r="H2372" t="inlineStr">
        <is>
          <t>45359 Essen - Essen-Borbeck</t>
        </is>
      </c>
      <c r="I2372" s="5" t="n">
        <v>45538</v>
      </c>
      <c r="J2372" t="inlineStr">
        <is>
          <t>Sold</t>
        </is>
      </c>
      <c r="K2372" s="6">
        <f>HYPERLINK("https://www.kleinanzeigen.de/s-anzeige/hifly-surfbrett-windsurfen-295-cm/2853439525-241-2034", "Link")</f>
        <v/>
      </c>
      <c r="L2372" s="6">
        <f>HYPERLINK("C:\Projects\Kleinanzeigen-Scraper\offer_images\2853439525", "Link")</f>
        <v/>
      </c>
      <c r="M2372" t="inlineStr">
        <is>
          <t>Klaus Wientgens</t>
        </is>
      </c>
      <c r="N2372" s="6">
        <f>HYPERLINK("https://www.kleinanzeigen.de/s-bestandsliste.html?userId=4524911", "Link")</f>
        <v/>
      </c>
      <c r="O2372" s="7" t="n">
        <v>45539.58592592592</v>
      </c>
      <c r="P2372" s="3" t="inlineStr">
        <is>
          <t>58.66</t>
        </is>
      </c>
      <c r="Q2372" t="inlineStr">
        <is>
          <t>Köln</t>
        </is>
      </c>
    </row>
    <row r="2373">
      <c r="A2373" t="inlineStr">
        <is>
          <t>240 x 78 cm</t>
        </is>
      </c>
      <c r="B2373" t="inlineStr">
        <is>
          <t>Tabou Rocket</t>
        </is>
      </c>
      <c r="C2373" t="inlineStr">
        <is>
          <t>Freeride</t>
        </is>
      </c>
      <c r="D2373" s="3" t="n">
        <v>118</v>
      </c>
      <c r="E2373" t="inlineStr"/>
      <c r="F2373" s="4" t="n">
        <v>250</v>
      </c>
      <c r="G2373" t="inlineStr">
        <is>
          <t>VB</t>
        </is>
      </c>
      <c r="H2373" t="inlineStr">
        <is>
          <t>79585 Baden-Württemberg - Steinen</t>
        </is>
      </c>
      <c r="I2373" s="5" t="n">
        <v>45537</v>
      </c>
      <c r="J2373" t="inlineStr">
        <is>
          <t>Sold</t>
        </is>
      </c>
      <c r="K2373" s="6">
        <f>HYPERLINK("https://www.kleinanzeigen.de/s-anzeige/tabou-rocket-wide-118l-windsurf-board/2852751390-230-8172", "Link")</f>
        <v/>
      </c>
      <c r="L2373" s="6">
        <f>HYPERLINK("C:\Projects\Kleinanzeigen-Scraper\offer_images\2852751390", "Link")</f>
        <v/>
      </c>
      <c r="M2373" t="inlineStr">
        <is>
          <t>Jürgen Herrmann</t>
        </is>
      </c>
      <c r="N2373" s="6">
        <f>HYPERLINK("https://www.kleinanzeigen.de/s-bestandsliste.html?userId=24862308", "Link")</f>
        <v/>
      </c>
      <c r="O2373" s="7" t="n">
        <v>45539.58591435185</v>
      </c>
      <c r="P2373" s="3" t="inlineStr">
        <is>
          <t>47.34</t>
        </is>
      </c>
      <c r="Q2373" t="inlineStr">
        <is>
          <t>Bonndorf</t>
        </is>
      </c>
    </row>
    <row r="2374">
      <c r="A2374" t="inlineStr">
        <is>
          <t>Dimensions not specified</t>
        </is>
      </c>
      <c r="B2374" t="inlineStr">
        <is>
          <t>Tabou Rocket</t>
        </is>
      </c>
      <c r="C2374" t="inlineStr">
        <is>
          <t>Freeride</t>
        </is>
      </c>
      <c r="D2374" s="3" t="n">
        <v>125</v>
      </c>
      <c r="E2374" t="inlineStr"/>
      <c r="F2374" s="4" t="n">
        <v>250</v>
      </c>
      <c r="G2374" t="inlineStr">
        <is>
          <t>VB</t>
        </is>
      </c>
      <c r="H2374" t="inlineStr">
        <is>
          <t>78464 Baden-Württemberg - Konstanz</t>
        </is>
      </c>
      <c r="I2374" s="5" t="n">
        <v>45537</v>
      </c>
      <c r="J2374" t="inlineStr">
        <is>
          <t>Sold</t>
        </is>
      </c>
      <c r="K2374" s="6">
        <f>HYPERLINK("https://www.kleinanzeigen.de/s-anzeige/tabou-rocket-69-125l-surfbrett-windsurfen/2852879795-230-9387", "Link")</f>
        <v/>
      </c>
      <c r="L2374" s="6">
        <f>HYPERLINK("C:\Projects\Kleinanzeigen-Scraper\offer_images\2852879795", "Link")</f>
        <v/>
      </c>
      <c r="M2374" t="inlineStr">
        <is>
          <t>Thilo Rieger</t>
        </is>
      </c>
      <c r="N2374" s="6">
        <f>HYPERLINK("https://www.kleinanzeigen.de/s-bestandsliste.html?userId=23974289", "Link")</f>
        <v/>
      </c>
      <c r="O2374" s="7" t="n">
        <v>45539.58583333333</v>
      </c>
      <c r="P2374" s="3" t="inlineStr">
        <is>
          <t>66.23</t>
        </is>
      </c>
      <c r="Q2374" t="inlineStr">
        <is>
          <t>Bonndorf</t>
        </is>
      </c>
    </row>
    <row r="2375">
      <c r="A2375" t="inlineStr"/>
      <c r="B2375" t="inlineStr">
        <is>
          <t>Sailboard</t>
        </is>
      </c>
      <c r="C2375" t="inlineStr"/>
      <c r="D2375" s="3" t="inlineStr"/>
      <c r="E2375" t="inlineStr"/>
      <c r="F2375" s="4" t="n">
        <v>20</v>
      </c>
      <c r="G2375" t="inlineStr"/>
      <c r="H2375" t="inlineStr">
        <is>
          <t>12167 Berlin - Steglitz</t>
        </is>
      </c>
      <c r="I2375" s="5" t="n">
        <v>45539</v>
      </c>
      <c r="J2375" t="inlineStr">
        <is>
          <t>Sold</t>
        </is>
      </c>
      <c r="K2375" s="6">
        <f>HYPERLINK("https://www.kleinanzeigen.de/s-anzeige/surfbrett-surfboard-von-sailboard-windsurfen/2854032624-230-3421", "Link")</f>
        <v/>
      </c>
      <c r="L2375" s="6">
        <f>HYPERLINK("C:\Projects\Kleinanzeigen-Scraper\offer_images\2854032624", "Link")</f>
        <v/>
      </c>
      <c r="M2375" t="inlineStr">
        <is>
          <t>Serg</t>
        </is>
      </c>
      <c r="N2375" s="6">
        <f>HYPERLINK("https://www.kleinanzeigen.de/s-bestandsliste.html?userId=26022921", "Link")</f>
        <v/>
      </c>
      <c r="O2375" s="7" t="n">
        <v>45539.58565972222</v>
      </c>
      <c r="P2375" s="3" t="inlineStr">
        <is>
          <t>470.21</t>
        </is>
      </c>
      <c r="Q2375" t="inlineStr">
        <is>
          <t>Köln</t>
        </is>
      </c>
    </row>
    <row r="2376">
      <c r="A2376" t="inlineStr">
        <is>
          <t>11'0 x 34 x 62</t>
        </is>
      </c>
      <c r="B2376" t="inlineStr">
        <is>
          <t>JP WINDSUPAIR LE</t>
        </is>
      </c>
      <c r="C2376" t="inlineStr">
        <is>
          <t>SUP</t>
        </is>
      </c>
      <c r="D2376" s="3" t="inlineStr"/>
      <c r="E2376" t="inlineStr"/>
      <c r="F2376" s="4" t="n">
        <v>449</v>
      </c>
      <c r="G2376" t="inlineStr">
        <is>
          <t>VB</t>
        </is>
      </c>
      <c r="H2376" t="inlineStr">
        <is>
          <t>86508 Bayern - Rehling</t>
        </is>
      </c>
      <c r="I2376" s="5" t="n">
        <v>45553</v>
      </c>
      <c r="J2376" t="inlineStr">
        <is>
          <t>Sold</t>
        </is>
      </c>
      <c r="K2376" s="6">
        <f>HYPERLINK("https://www.kleinanzeigen.de/s-anzeige/jp-windsupair-le-light-edition-sup-zum-wingsurfen-windsurfen/2853329247-187-7046", "Link")</f>
        <v/>
      </c>
      <c r="L2376" s="6">
        <f>HYPERLINK("C:\Projects\Kleinanzeigen-Scraper\offer_images\2853329247", "Link")</f>
        <v/>
      </c>
      <c r="M2376" t="inlineStr">
        <is>
          <t>T-Sale</t>
        </is>
      </c>
      <c r="N2376" s="6">
        <f>HYPERLINK("https://www.kleinanzeigen.de/s-bestandsliste.html?userId=43633957", "Link")</f>
        <v/>
      </c>
      <c r="O2376" s="7" t="n">
        <v>45539.58565972222</v>
      </c>
      <c r="P2376" s="3" t="inlineStr">
        <is>
          <t>62.17</t>
        </is>
      </c>
      <c r="Q2376" t="inlineStr">
        <is>
          <t>München</t>
        </is>
      </c>
    </row>
    <row r="2377">
      <c r="A2377" t="inlineStr">
        <is>
          <t>261 cm</t>
        </is>
      </c>
      <c r="B2377" t="inlineStr">
        <is>
          <t>F2 Axxis</t>
        </is>
      </c>
      <c r="C2377" t="inlineStr">
        <is>
          <t>Freeride</t>
        </is>
      </c>
      <c r="D2377" s="3" t="n">
        <v>85</v>
      </c>
      <c r="E2377" t="inlineStr"/>
      <c r="F2377" s="4" t="n">
        <v>100</v>
      </c>
      <c r="G2377" t="inlineStr">
        <is>
          <t>VB</t>
        </is>
      </c>
      <c r="H2377" t="inlineStr">
        <is>
          <t>14482 Brandenburg - Potsdam</t>
        </is>
      </c>
      <c r="I2377" s="5" t="n">
        <v>45538</v>
      </c>
      <c r="J2377" t="inlineStr">
        <is>
          <t>Sold</t>
        </is>
      </c>
      <c r="K2377" s="6">
        <f>HYPERLINK("https://www.kleinanzeigen.de/s-anzeige/f2-surfbrett-axxis-261-windsurfen/2853502148-230-7964", "Link")</f>
        <v/>
      </c>
      <c r="L2377" s="6">
        <f>HYPERLINK("C:\Projects\Kleinanzeigen-Scraper\offer_images\2853502148", "Link")</f>
        <v/>
      </c>
      <c r="M2377" t="inlineStr">
        <is>
          <t>Juliane Timm</t>
        </is>
      </c>
      <c r="N2377" s="6">
        <f>HYPERLINK("https://www.kleinanzeigen.de/s-bestandsliste.html?userId=10827258", "Link")</f>
        <v/>
      </c>
      <c r="O2377" s="7" t="n">
        <v>45539.58456018518</v>
      </c>
      <c r="P2377" s="3" t="inlineStr">
        <is>
          <t>453.50</t>
        </is>
      </c>
      <c r="Q2377" t="inlineStr">
        <is>
          <t>Köln</t>
        </is>
      </c>
    </row>
    <row r="2378">
      <c r="A2378" t="inlineStr">
        <is>
          <t>2.90 m</t>
        </is>
      </c>
      <c r="B2378" t="inlineStr">
        <is>
          <t>Fanatic Hot Rat</t>
        </is>
      </c>
      <c r="C2378" t="inlineStr"/>
      <c r="D2378" s="3" t="inlineStr"/>
      <c r="E2378" t="inlineStr"/>
      <c r="F2378" s="4" t="n">
        <v>38</v>
      </c>
      <c r="G2378" t="inlineStr">
        <is>
          <t>VB</t>
        </is>
      </c>
      <c r="H2378" t="inlineStr">
        <is>
          <t>80469 Ludwigsvorstadt-Isarvorstadt - Isarvorstadt</t>
        </is>
      </c>
      <c r="I2378" s="5" t="n">
        <v>45533</v>
      </c>
      <c r="J2378" t="inlineStr">
        <is>
          <t>Sold</t>
        </is>
      </c>
      <c r="K2378" s="6">
        <f>HYPERLINK("https://www.kleinanzeigen.de/s-anzeige/fanatic-surfboard-surfbrett-windsurfen-deko/2848900289-230-6434", "Link")</f>
        <v/>
      </c>
      <c r="L2378" s="6">
        <f>HYPERLINK("C:\Projects\Kleinanzeigen-Scraper\offer_images\2848900289", "Link")</f>
        <v/>
      </c>
      <c r="M2378" t="inlineStr">
        <is>
          <t>P. Tobias</t>
        </is>
      </c>
      <c r="N2378" s="6">
        <f>HYPERLINK("https://www.kleinanzeigen.de/s-bestandsliste.html?userId=9866983", "Link")</f>
        <v/>
      </c>
      <c r="O2378" s="7" t="n">
        <v>45539.58453703704</v>
      </c>
      <c r="P2378" s="3" t="inlineStr">
        <is>
          <t>0.84</t>
        </is>
      </c>
      <c r="Q2378" t="inlineStr">
        <is>
          <t>München</t>
        </is>
      </c>
    </row>
    <row r="2379">
      <c r="A2379" t="inlineStr"/>
      <c r="B2379" t="inlineStr"/>
      <c r="C2379" t="inlineStr">
        <is>
          <t>Beginner/Advanced</t>
        </is>
      </c>
      <c r="D2379" s="3" t="n">
        <v>152</v>
      </c>
      <c r="E2379" t="inlineStr"/>
      <c r="F2379" s="4" t="n">
        <v>120</v>
      </c>
      <c r="G2379" t="inlineStr"/>
      <c r="H2379" t="inlineStr">
        <is>
          <t>88212 Baden-Württemberg - Ravensburg</t>
        </is>
      </c>
      <c r="I2379" s="5" t="n">
        <v>45539</v>
      </c>
      <c r="J2379" t="inlineStr">
        <is>
          <t>Sold</t>
        </is>
      </c>
      <c r="K2379" s="6">
        <f>HYPERLINK("https://www.kleinanzeigen.de/s-anzeige/surfbrett-surfboard-windsurfen-152-liter-mit-viel-zubehoer/2853888067-230-9224", "Link")</f>
        <v/>
      </c>
      <c r="L2379" s="6">
        <f>HYPERLINK("C:\Projects\Kleinanzeigen-Scraper\offer_images\2853888067", "Link")</f>
        <v/>
      </c>
      <c r="M2379" t="inlineStr">
        <is>
          <t>Paul Plöchl</t>
        </is>
      </c>
      <c r="N2379" s="6">
        <f>HYPERLINK("https://www.kleinanzeigen.de/s-bestandsliste.html?userId=42550445", "Link")</f>
        <v/>
      </c>
      <c r="O2379" s="7" t="n">
        <v>45539.58449074074</v>
      </c>
      <c r="P2379" s="3" t="inlineStr">
        <is>
          <t>95.51</t>
        </is>
      </c>
      <c r="Q2379" t="inlineStr">
        <is>
          <t>Bonndorf</t>
        </is>
      </c>
    </row>
    <row r="2380">
      <c r="A2380" t="inlineStr"/>
      <c r="B2380" t="inlineStr">
        <is>
          <t>AHD Seal</t>
        </is>
      </c>
      <c r="C2380" t="inlineStr">
        <is>
          <t>Wave Freestyle</t>
        </is>
      </c>
      <c r="D2380" s="3" t="n">
        <v>74</v>
      </c>
      <c r="E2380" t="inlineStr"/>
      <c r="F2380" s="4" t="n">
        <v>150</v>
      </c>
      <c r="G2380" t="inlineStr">
        <is>
          <t>VB</t>
        </is>
      </c>
      <c r="H2380" t="inlineStr">
        <is>
          <t>93128 Bayern - Regenstauf</t>
        </is>
      </c>
      <c r="I2380" s="5" t="n">
        <v>45539</v>
      </c>
      <c r="J2380" t="inlineStr">
        <is>
          <t>Sold</t>
        </is>
      </c>
      <c r="K2380" s="6">
        <f>HYPERLINK("https://www.kleinanzeigen.de/s-anzeige/ahd-seal-74-liter-windsurf-newschool-shape-wave-freestyle-starkwi/2854104518-230-5781", "Link")</f>
        <v/>
      </c>
      <c r="L2380" s="6">
        <f>HYPERLINK("C:\Projects\Kleinanzeigen-Scraper\offer_images\2854104518", "Link")</f>
        <v/>
      </c>
      <c r="M2380" t="inlineStr">
        <is>
          <t>Dan</t>
        </is>
      </c>
      <c r="N2380" s="6">
        <f>HYPERLINK("https://www.kleinanzeigen.de/s-bestandsliste.html?userId=21958890", "Link")</f>
        <v/>
      </c>
      <c r="O2380" s="7" t="n">
        <v>45539.58444444444</v>
      </c>
      <c r="P2380" s="3" t="inlineStr">
        <is>
          <t>120.91</t>
        </is>
      </c>
      <c r="Q2380" t="inlineStr">
        <is>
          <t>München</t>
        </is>
      </c>
    </row>
    <row r="2381">
      <c r="A2381" t="inlineStr">
        <is>
          <t>250cm x 65cm</t>
        </is>
      </c>
      <c r="B2381" t="inlineStr">
        <is>
          <t>Peter Thommen</t>
        </is>
      </c>
      <c r="C2381" t="inlineStr">
        <is>
          <t>Freeride</t>
        </is>
      </c>
      <c r="D2381" s="3" t="n">
        <v>107</v>
      </c>
      <c r="E2381" t="inlineStr">
        <is>
          <t>2020</t>
        </is>
      </c>
      <c r="F2381" s="4" t="n">
        <v>1299</v>
      </c>
      <c r="G2381" t="inlineStr"/>
      <c r="H2381" t="inlineStr">
        <is>
          <t>33334 Gütersloh</t>
        </is>
      </c>
      <c r="I2381" s="5" t="n">
        <v>45537</v>
      </c>
      <c r="J2381" t="inlineStr">
        <is>
          <t>Sold</t>
        </is>
      </c>
      <c r="K2381" s="6">
        <f>HYPERLINK("https://www.dailydose.de/kleinanzeigen/detail.htm?ai=421939&amp;cf=kk&amp;pg=5&amp;ci=11", "Link")</f>
        <v/>
      </c>
      <c r="L2381" s="6">
        <f>HYPERLINK("C:\Projects\Kleinanzeigen-Scraper\offer_images\421939", "Link")</f>
        <v/>
      </c>
      <c r="M2381" t="inlineStr">
        <is>
          <t>Target112</t>
        </is>
      </c>
      <c r="N2381" s="6">
        <f>HYPERLINK("https://www.dailydose.de/kleinanzeigen/user/15401", "Link")</f>
        <v/>
      </c>
      <c r="O2381" s="7" t="n">
        <v>45538.57119212963</v>
      </c>
      <c r="P2381" s="3" t="inlineStr">
        <is>
          <t>150.25</t>
        </is>
      </c>
      <c r="Q2381" t="inlineStr">
        <is>
          <t>Köln</t>
        </is>
      </c>
    </row>
    <row r="2382">
      <c r="A2382" t="inlineStr"/>
      <c r="B2382" t="inlineStr">
        <is>
          <t>Naish Global</t>
        </is>
      </c>
      <c r="C2382" t="inlineStr">
        <is>
          <t>Freeride</t>
        </is>
      </c>
      <c r="D2382" s="3" t="n">
        <v>92</v>
      </c>
      <c r="E2382" t="inlineStr"/>
      <c r="F2382" s="4" t="n">
        <v>350</v>
      </c>
      <c r="G2382" t="inlineStr">
        <is>
          <t>VB</t>
        </is>
      </c>
      <c r="H2382" t="inlineStr">
        <is>
          <t>23730 Neustadt</t>
        </is>
      </c>
      <c r="I2382" s="5" t="n">
        <v>45538</v>
      </c>
      <c r="J2382" t="inlineStr">
        <is>
          <t>Sold</t>
        </is>
      </c>
      <c r="K2382" s="6">
        <f>HYPERLINK("https://www.dailydose.de/kleinanzeigen/detail.htm?ai=421970&amp;cf=kk&amp;pg=5&amp;ci=11", "Link")</f>
        <v/>
      </c>
      <c r="L2382" s="6">
        <f>HYPERLINK("C:\Projects\Kleinanzeigen-Scraper\offer_images\421970", "Link")</f>
        <v/>
      </c>
      <c r="M2382" t="inlineStr">
        <is>
          <t>MarkiMark</t>
        </is>
      </c>
      <c r="N2382" s="6">
        <f>HYPERLINK("https://www.dailydose.de/kleinanzeigen/user/13740", "Link")</f>
        <v/>
      </c>
      <c r="O2382" s="7" t="n">
        <v>45538.5709375</v>
      </c>
      <c r="P2382" s="3" t="inlineStr">
        <is>
          <t>441.08</t>
        </is>
      </c>
      <c r="Q2382" t="inlineStr">
        <is>
          <t>Köln</t>
        </is>
      </c>
    </row>
    <row r="2383">
      <c r="A2383" t="inlineStr"/>
      <c r="B2383" t="inlineStr">
        <is>
          <t>Tabou Twister</t>
        </is>
      </c>
      <c r="C2383" t="inlineStr">
        <is>
          <t>Freestyle</t>
        </is>
      </c>
      <c r="D2383" s="3" t="n">
        <v>90</v>
      </c>
      <c r="E2383" t="inlineStr">
        <is>
          <t>2019</t>
        </is>
      </c>
      <c r="F2383" s="4" t="n">
        <v>500</v>
      </c>
      <c r="G2383" t="inlineStr">
        <is>
          <t>VB</t>
        </is>
      </c>
      <c r="H2383" t="inlineStr">
        <is>
          <t>12203 Berlin</t>
        </is>
      </c>
      <c r="I2383" s="5" t="n">
        <v>45538</v>
      </c>
      <c r="J2383" t="inlineStr">
        <is>
          <t>Sold</t>
        </is>
      </c>
      <c r="K2383" s="6">
        <f>HYPERLINK("https://www.dailydose.de/kleinanzeigen/detail.htm?ai=421975&amp;cf=kk&amp;pg=5&amp;ci=11", "Link")</f>
        <v/>
      </c>
      <c r="L2383" s="6">
        <f>HYPERLINK("C:\Projects\Kleinanzeigen-Scraper\offer_images\421975", "Link")</f>
        <v/>
      </c>
      <c r="M2383" t="inlineStr">
        <is>
          <t>Superfreek</t>
        </is>
      </c>
      <c r="N2383" s="6">
        <f>HYPERLINK("https://www.dailydose.de/kleinanzeigen/user/14374", "Link")</f>
        <v/>
      </c>
      <c r="O2383" s="7" t="n">
        <v>45538.57087962963</v>
      </c>
      <c r="P2383" s="3" t="inlineStr">
        <is>
          <t>468.79</t>
        </is>
      </c>
      <c r="Q2383" t="inlineStr">
        <is>
          <t>Köln</t>
        </is>
      </c>
    </row>
    <row r="2384">
      <c r="A2384" t="inlineStr">
        <is>
          <t>2.44 x 0.70</t>
        </is>
      </c>
      <c r="B2384" t="inlineStr">
        <is>
          <t>Severne Fox V2</t>
        </is>
      </c>
      <c r="C2384" t="inlineStr">
        <is>
          <t>Freeride</t>
        </is>
      </c>
      <c r="D2384" s="3" t="n">
        <v>120</v>
      </c>
      <c r="E2384" t="inlineStr">
        <is>
          <t>2024</t>
        </is>
      </c>
      <c r="F2384" s="4" t="n">
        <v>1350</v>
      </c>
      <c r="G2384" t="inlineStr"/>
      <c r="H2384" t="inlineStr">
        <is>
          <t>41238 Mönchengladbach</t>
        </is>
      </c>
      <c r="I2384" s="5" t="n">
        <v>45537</v>
      </c>
      <c r="J2384" t="inlineStr">
        <is>
          <t>Sold</t>
        </is>
      </c>
      <c r="K2384" s="6">
        <f>HYPERLINK("https://www.dailydose.de/kleinanzeigen/detail.htm?ai=421943&amp;cf=kk&amp;pg=5&amp;ci=11", "Link")</f>
        <v/>
      </c>
      <c r="L2384" s="6">
        <f>HYPERLINK("C:\Projects\Kleinanzeigen-Scraper\offer_images\421943", "Link")</f>
        <v/>
      </c>
      <c r="M2384" t="inlineStr">
        <is>
          <t>Reynders</t>
        </is>
      </c>
      <c r="N2384" s="6">
        <f>HYPERLINK("https://www.dailydose.de/kleinanzeigen/user/9754", "Link")</f>
        <v/>
      </c>
      <c r="O2384" s="7" t="n">
        <v>45538.57021990741</v>
      </c>
      <c r="P2384" s="3" t="inlineStr">
        <is>
          <t>40.78</t>
        </is>
      </c>
      <c r="Q2384" t="inlineStr">
        <is>
          <t>Köln</t>
        </is>
      </c>
    </row>
    <row r="2385">
      <c r="A2385" t="inlineStr">
        <is>
          <t>95l</t>
        </is>
      </c>
      <c r="B2385" t="inlineStr">
        <is>
          <t>Duotone Grip3 SLS</t>
        </is>
      </c>
      <c r="C2385" t="inlineStr">
        <is>
          <t>Freestyle</t>
        </is>
      </c>
      <c r="D2385" s="3" t="n">
        <v>95</v>
      </c>
      <c r="E2385" t="inlineStr">
        <is>
          <t>2024</t>
        </is>
      </c>
      <c r="F2385" s="4" t="n">
        <v>1300</v>
      </c>
      <c r="G2385" t="inlineStr"/>
      <c r="H2385" t="inlineStr">
        <is>
          <t>8042 Graz</t>
        </is>
      </c>
      <c r="I2385" s="5" t="n">
        <v>45538</v>
      </c>
      <c r="J2385" t="inlineStr">
        <is>
          <t>Sold</t>
        </is>
      </c>
      <c r="K2385" s="6">
        <f>HYPERLINK("https://www.dailydose.de/kleinanzeigen/detail.htm?ai=421972&amp;cf=kk&amp;pg=5&amp;ci=11", "Link")</f>
        <v/>
      </c>
      <c r="L2385" s="6">
        <f>HYPERLINK("C:\Projects\Kleinanzeigen-Scraper\offer_images\421972", "Link")</f>
        <v/>
      </c>
      <c r="M2385" t="inlineStr">
        <is>
          <t>Milo</t>
        </is>
      </c>
      <c r="N2385" s="6">
        <f>HYPERLINK("https://www.dailydose.de/kleinanzeigen/user/17253", "Link")</f>
        <v/>
      </c>
      <c r="O2385" s="7" t="n">
        <v>45538.56995370371</v>
      </c>
      <c r="P2385" s="3" t="inlineStr">
        <is>
          <t>316.84</t>
        </is>
      </c>
      <c r="Q2385" t="inlineStr">
        <is>
          <t>München</t>
        </is>
      </c>
    </row>
    <row r="2386">
      <c r="A2386" t="inlineStr"/>
      <c r="B2386" t="inlineStr">
        <is>
          <t>JP Supersport</t>
        </is>
      </c>
      <c r="C2386" t="inlineStr">
        <is>
          <t>Freeride</t>
        </is>
      </c>
      <c r="D2386" s="3" t="n">
        <v>109</v>
      </c>
      <c r="E2386" t="inlineStr"/>
      <c r="F2386" s="4" t="n">
        <v>359</v>
      </c>
      <c r="G2386" t="inlineStr">
        <is>
          <t>VB</t>
        </is>
      </c>
      <c r="H2386" t="inlineStr">
        <is>
          <t>23730 Neustadt</t>
        </is>
      </c>
      <c r="I2386" s="5" t="n">
        <v>45538</v>
      </c>
      <c r="J2386" t="inlineStr">
        <is>
          <t>Sold</t>
        </is>
      </c>
      <c r="K2386" s="6">
        <f>HYPERLINK("https://www.dailydose.de/kleinanzeigen/detail.htm?ai=421971&amp;cf=kk&amp;pg=5&amp;ci=11", "Link")</f>
        <v/>
      </c>
      <c r="L2386" s="6">
        <f>HYPERLINK("C:\Projects\Kleinanzeigen-Scraper\offer_images\421971", "Link")</f>
        <v/>
      </c>
      <c r="M2386" t="inlineStr">
        <is>
          <t>MarkiMark</t>
        </is>
      </c>
      <c r="N2386" s="6">
        <f>HYPERLINK("https://www.dailydose.de/kleinanzeigen/user/13740", "Link")</f>
        <v/>
      </c>
      <c r="O2386" s="7" t="n">
        <v>45538.56982638889</v>
      </c>
      <c r="P2386" s="3" t="inlineStr">
        <is>
          <t>441.08</t>
        </is>
      </c>
      <c r="Q2386" t="inlineStr">
        <is>
          <t>Köln</t>
        </is>
      </c>
    </row>
    <row r="2387">
      <c r="A2387" t="inlineStr">
        <is>
          <t>100</t>
        </is>
      </c>
      <c r="B2387" t="inlineStr">
        <is>
          <t>JP</t>
        </is>
      </c>
      <c r="C2387" t="inlineStr">
        <is>
          <t>Freestyle</t>
        </is>
      </c>
      <c r="D2387" s="3" t="inlineStr"/>
      <c r="E2387" t="inlineStr">
        <is>
          <t>2024</t>
        </is>
      </c>
      <c r="F2387" s="4" t="n">
        <v>990</v>
      </c>
      <c r="G2387" t="inlineStr"/>
      <c r="H2387" t="inlineStr">
        <is>
          <t>63843 Niedernberg</t>
        </is>
      </c>
      <c r="I2387" s="5" t="n">
        <v>45537</v>
      </c>
      <c r="J2387" t="inlineStr">
        <is>
          <t>Sold</t>
        </is>
      </c>
      <c r="K2387" s="6">
        <f>HYPERLINK("https://www.dailydose.de/kleinanzeigen/detail.htm?ai=421969&amp;cf=kk&amp;pg=5&amp;ci=11", "Link")</f>
        <v/>
      </c>
      <c r="L2387" s="6">
        <f>HYPERLINK("C:\Projects\Kleinanzeigen-Scraper\offer_images\421969", "Link")</f>
        <v/>
      </c>
      <c r="M2387" t="inlineStr">
        <is>
          <t>Jan_61</t>
        </is>
      </c>
      <c r="N2387" s="6">
        <f>HYPERLINK("https://www.dailydose.de/kleinanzeigen/user/19223", "Link")</f>
        <v/>
      </c>
      <c r="O2387" s="7" t="n">
        <v>45538.56950231481</v>
      </c>
      <c r="P2387" s="3" t="inlineStr">
        <is>
          <t>112.64</t>
        </is>
      </c>
      <c r="Q2387" t="inlineStr">
        <is>
          <t>Karlsruhe</t>
        </is>
      </c>
    </row>
    <row r="2388">
      <c r="A2388" t="inlineStr"/>
      <c r="B2388" t="inlineStr">
        <is>
          <t>Starboard Ultra Kode</t>
        </is>
      </c>
      <c r="C2388" t="inlineStr">
        <is>
          <t>Wave</t>
        </is>
      </c>
      <c r="D2388" s="3" t="inlineStr"/>
      <c r="E2388" t="inlineStr">
        <is>
          <t>2020</t>
        </is>
      </c>
      <c r="F2388" s="4" t="n">
        <v>650</v>
      </c>
      <c r="G2388" t="inlineStr"/>
      <c r="H2388" t="inlineStr">
        <is>
          <t>Köln / Tübingen</t>
        </is>
      </c>
      <c r="I2388" s="5" t="n">
        <v>45537</v>
      </c>
      <c r="J2388" t="inlineStr">
        <is>
          <t>Sold</t>
        </is>
      </c>
      <c r="K2388" s="6">
        <f>HYPERLINK("https://www.dailydose.de/kleinanzeigen/detail.htm?ai=421967&amp;cf=kk&amp;pg=5&amp;ci=11", "Link")</f>
        <v/>
      </c>
      <c r="L2388" s="6">
        <f>HYPERLINK("C:\Projects\Kleinanzeigen-Scraper\offer_images\421967", "Link")</f>
        <v/>
      </c>
      <c r="M2388" t="inlineStr">
        <is>
          <t>H_michi09</t>
        </is>
      </c>
      <c r="N2388" s="6">
        <f>HYPERLINK("https://www.dailydose.de/kleinanzeigen/user/25756", "Link")</f>
        <v/>
      </c>
      <c r="O2388" s="7" t="n">
        <v>45538.56947916667</v>
      </c>
      <c r="P2388" s="3" t="inlineStr">
        <is>
          <t>3.63</t>
        </is>
      </c>
      <c r="Q2388" t="inlineStr">
        <is>
          <t>Köln</t>
        </is>
      </c>
    </row>
    <row r="2389">
      <c r="A2389" t="inlineStr">
        <is>
          <t>81l</t>
        </is>
      </c>
      <c r="B2389" t="inlineStr">
        <is>
          <t>Duotone Grip4 SLS</t>
        </is>
      </c>
      <c r="C2389" t="inlineStr"/>
      <c r="D2389" s="3" t="n">
        <v>81</v>
      </c>
      <c r="E2389" t="inlineStr">
        <is>
          <t>2024</t>
        </is>
      </c>
      <c r="F2389" s="4" t="n">
        <v>1200</v>
      </c>
      <c r="G2389" t="inlineStr"/>
      <c r="H2389" t="inlineStr">
        <is>
          <t>8042 Graz</t>
        </is>
      </c>
      <c r="I2389" s="5" t="n">
        <v>45538</v>
      </c>
      <c r="J2389" t="inlineStr">
        <is>
          <t>Sold</t>
        </is>
      </c>
      <c r="K2389" s="6">
        <f>HYPERLINK("https://www.dailydose.de/kleinanzeigen/detail.htm?ai=421973&amp;cf=kk&amp;pg=5&amp;ci=11", "Link")</f>
        <v/>
      </c>
      <c r="L2389" s="6">
        <f>HYPERLINK("C:\Projects\Kleinanzeigen-Scraper\offer_images\421973", "Link")</f>
        <v/>
      </c>
      <c r="M2389" t="inlineStr">
        <is>
          <t>Milo</t>
        </is>
      </c>
      <c r="N2389" s="6">
        <f>HYPERLINK("https://www.dailydose.de/kleinanzeigen/user/17253", "Link")</f>
        <v/>
      </c>
      <c r="O2389" s="7" t="n">
        <v>45538.56915509259</v>
      </c>
      <c r="P2389" s="3" t="inlineStr">
        <is>
          <t>316.84</t>
        </is>
      </c>
      <c r="Q2389" t="inlineStr">
        <is>
          <t>München</t>
        </is>
      </c>
    </row>
    <row r="2390">
      <c r="A2390" t="inlineStr">
        <is>
          <t>235x58</t>
        </is>
      </c>
      <c r="B2390" t="inlineStr">
        <is>
          <t>RRD Xifre</t>
        </is>
      </c>
      <c r="C2390" t="inlineStr">
        <is>
          <t>Slalom</t>
        </is>
      </c>
      <c r="D2390" s="3" t="n">
        <v>90</v>
      </c>
      <c r="E2390" t="inlineStr"/>
      <c r="F2390" s="4" t="n">
        <v>300</v>
      </c>
      <c r="G2390" t="inlineStr"/>
      <c r="H2390" t="inlineStr">
        <is>
          <t>47665 Sonsbeck</t>
        </is>
      </c>
      <c r="I2390" s="5" t="n">
        <v>45537</v>
      </c>
      <c r="J2390" t="inlineStr">
        <is>
          <t>Sold</t>
        </is>
      </c>
      <c r="K2390" s="6">
        <f>HYPERLINK("https://www.dailydose.de/kleinanzeigen/detail.htm?ai=421962&amp;cf=kk&amp;pg=5&amp;ci=11", "Link")</f>
        <v/>
      </c>
      <c r="L2390" s="6">
        <f>HYPERLINK("C:\Projects\Kleinanzeigen-Scraper\offer_images\421962", "Link")</f>
        <v/>
      </c>
      <c r="M2390" t="inlineStr">
        <is>
          <t>Surfer 21</t>
        </is>
      </c>
      <c r="N2390" s="6">
        <f>HYPERLINK("https://www.dailydose.de/kleinanzeigen/user/11823", "Link")</f>
        <v/>
      </c>
      <c r="O2390" s="7" t="n">
        <v>45538.56905092593</v>
      </c>
      <c r="P2390" s="3" t="inlineStr">
        <is>
          <t>86.26</t>
        </is>
      </c>
      <c r="Q2390" t="inlineStr">
        <is>
          <t>Köln</t>
        </is>
      </c>
    </row>
    <row r="2391">
      <c r="A2391" t="inlineStr">
        <is>
          <t>269 cm</t>
        </is>
      </c>
      <c r="B2391" t="inlineStr">
        <is>
          <t>Naish</t>
        </is>
      </c>
      <c r="C2391" t="inlineStr">
        <is>
          <t>Wave</t>
        </is>
      </c>
      <c r="D2391" s="3" t="n">
        <v>90</v>
      </c>
      <c r="E2391" t="inlineStr">
        <is>
          <t>2002</t>
        </is>
      </c>
      <c r="F2391" s="4" t="n">
        <v>1</v>
      </c>
      <c r="G2391" t="inlineStr"/>
      <c r="H2391" t="inlineStr">
        <is>
          <t>22459 Hamburg</t>
        </is>
      </c>
      <c r="I2391" s="5" t="n">
        <v>45538</v>
      </c>
      <c r="J2391" t="inlineStr">
        <is>
          <t>Sold</t>
        </is>
      </c>
      <c r="K2391" s="6">
        <f>HYPERLINK("https://www.dailydose.de/kleinanzeigen/detail.htm?ai=421979&amp;cf=kk&amp;pg=1&amp;ci=11", "Link")</f>
        <v/>
      </c>
      <c r="L2391" s="6">
        <f>HYPERLINK("C:\Projects\Kleinanzeigen-Scraper\offer_images\421979", "Link")</f>
        <v/>
      </c>
      <c r="M2391" t="inlineStr">
        <is>
          <t>Reder</t>
        </is>
      </c>
      <c r="N2391" s="6">
        <f>HYPERLINK("https://www.dailydose.de/kleinanzeigen/user/26354", "Link")</f>
        <v/>
      </c>
      <c r="O2391" s="7" t="n">
        <v>45538.56831018518</v>
      </c>
      <c r="P2391" s="3" t="inlineStr">
        <is>
          <t>361.89</t>
        </is>
      </c>
      <c r="Q2391" t="inlineStr">
        <is>
          <t>Köln</t>
        </is>
      </c>
    </row>
    <row r="2392">
      <c r="A2392" t="inlineStr"/>
      <c r="B2392" t="inlineStr">
        <is>
          <t>Goya</t>
        </is>
      </c>
      <c r="C2392" t="inlineStr">
        <is>
          <t>Wave</t>
        </is>
      </c>
      <c r="D2392" s="3" t="inlineStr"/>
      <c r="E2392" t="inlineStr">
        <is>
          <t>2023</t>
        </is>
      </c>
      <c r="F2392" s="4" t="n">
        <v>1200</v>
      </c>
      <c r="G2392" t="inlineStr"/>
      <c r="H2392" t="inlineStr">
        <is>
          <t>Köln/Tübingen</t>
        </is>
      </c>
      <c r="I2392" s="5" t="n">
        <v>45537</v>
      </c>
      <c r="J2392" t="inlineStr">
        <is>
          <t>Sold</t>
        </is>
      </c>
      <c r="K2392" s="6">
        <f>HYPERLINK("https://www.dailydose.de/kleinanzeigen/detail.htm?ai=421965&amp;cf=kk&amp;pg=5&amp;ci=11", "Link")</f>
        <v/>
      </c>
      <c r="L2392" s="6">
        <f>HYPERLINK("C:\Projects\Kleinanzeigen-Scraper\offer_images\421965", "Link")</f>
        <v/>
      </c>
      <c r="M2392" t="inlineStr">
        <is>
          <t>H_michi09</t>
        </is>
      </c>
      <c r="N2392" s="6">
        <f>HYPERLINK("https://www.dailydose.de/kleinanzeigen/user/25756", "Link")</f>
        <v/>
      </c>
      <c r="O2392" s="7" t="n">
        <v>45538.56818287037</v>
      </c>
      <c r="P2392" s="3" t="inlineStr">
        <is>
          <t>3.63</t>
        </is>
      </c>
      <c r="Q2392" t="inlineStr">
        <is>
          <t>Köln</t>
        </is>
      </c>
    </row>
    <row r="2393">
      <c r="A2393" t="inlineStr">
        <is>
          <t>260cm</t>
        </is>
      </c>
      <c r="B2393" t="inlineStr">
        <is>
          <t>F2 Xantos</t>
        </is>
      </c>
      <c r="C2393" t="inlineStr">
        <is>
          <t>FreeRide</t>
        </is>
      </c>
      <c r="D2393" s="3" t="n">
        <v>124</v>
      </c>
      <c r="E2393" t="inlineStr"/>
      <c r="F2393" s="4" t="n">
        <v>400</v>
      </c>
      <c r="G2393" t="inlineStr"/>
      <c r="H2393" t="inlineStr">
        <is>
          <t>12527 Berlin</t>
        </is>
      </c>
      <c r="I2393" s="5" t="n">
        <v>45538</v>
      </c>
      <c r="J2393" t="inlineStr">
        <is>
          <t>Sold</t>
        </is>
      </c>
      <c r="K2393" s="6">
        <f>HYPERLINK("https://www.dailydose.de/kleinanzeigen/detail.htm?ai=421976&amp;cf=kk&amp;pg=5&amp;ci=11", "Link")</f>
        <v/>
      </c>
      <c r="L2393" s="6">
        <f>HYPERLINK("C:\Projects\Kleinanzeigen-Scraper\offer_images\421976", "Link")</f>
        <v/>
      </c>
      <c r="M2393" t="inlineStr">
        <is>
          <t>stg</t>
        </is>
      </c>
      <c r="N2393" s="6">
        <f>HYPERLINK("https://www.dailydose.de/kleinanzeigen/user/22114", "Link")</f>
        <v/>
      </c>
      <c r="O2393" s="7" t="n">
        <v>45538.56795138889</v>
      </c>
      <c r="P2393" s="3" t="inlineStr">
        <is>
          <t>487.71</t>
        </is>
      </c>
      <c r="Q2393" t="inlineStr">
        <is>
          <t>Köln</t>
        </is>
      </c>
    </row>
    <row r="2394">
      <c r="A2394" t="inlineStr">
        <is>
          <t>133</t>
        </is>
      </c>
      <c r="B2394" t="inlineStr">
        <is>
          <t>Fanatic Gecko</t>
        </is>
      </c>
      <c r="C2394" t="inlineStr">
        <is>
          <t>Freeride</t>
        </is>
      </c>
      <c r="D2394" s="3" t="inlineStr"/>
      <c r="E2394" t="inlineStr">
        <is>
          <t>2015</t>
        </is>
      </c>
      <c r="F2394" s="4" t="n">
        <v>290</v>
      </c>
      <c r="G2394" t="inlineStr"/>
      <c r="H2394" t="inlineStr">
        <is>
          <t>04416 Leipzig</t>
        </is>
      </c>
      <c r="I2394" s="5" t="n">
        <v>45537</v>
      </c>
      <c r="J2394" t="inlineStr">
        <is>
          <t>Sold</t>
        </is>
      </c>
      <c r="K2394" s="6">
        <f>HYPERLINK("https://www.dailydose.de/kleinanzeigen/detail.htm?ai=421944&amp;cf=kk&amp;pg=2&amp;ci=11", "Link")</f>
        <v/>
      </c>
      <c r="L2394" s="6">
        <f>HYPERLINK("C:\Projects\Kleinanzeigen-Scraper\offer_images\421944", "Link")</f>
        <v/>
      </c>
      <c r="M2394" t="inlineStr">
        <is>
          <t>Mabu_116</t>
        </is>
      </c>
      <c r="N2394" s="6">
        <f>HYPERLINK("https://www.dailydose.de/kleinanzeigen/user/16486", "Link")</f>
        <v/>
      </c>
      <c r="O2394" s="7" t="n">
        <v>45538.5678587963</v>
      </c>
      <c r="P2394" s="3" t="inlineStr">
        <is>
          <t>353.27</t>
        </is>
      </c>
      <c r="Q2394" t="inlineStr">
        <is>
          <t>München</t>
        </is>
      </c>
    </row>
    <row r="2395">
      <c r="A2395" t="inlineStr"/>
      <c r="B2395" t="inlineStr">
        <is>
          <t>We One Freestyle</t>
        </is>
      </c>
      <c r="C2395" t="inlineStr">
        <is>
          <t>Freestyle</t>
        </is>
      </c>
      <c r="D2395" s="3" t="n">
        <v>85</v>
      </c>
      <c r="E2395" t="inlineStr"/>
      <c r="F2395" s="4" t="n">
        <v>750</v>
      </c>
      <c r="G2395" t="inlineStr">
        <is>
          <t>VB</t>
        </is>
      </c>
      <c r="H2395" t="inlineStr">
        <is>
          <t>47918 Tönisvorst</t>
        </is>
      </c>
      <c r="I2395" s="5" t="n">
        <v>45538</v>
      </c>
      <c r="J2395" t="inlineStr">
        <is>
          <t>Sold</t>
        </is>
      </c>
      <c r="K2395" s="6">
        <f>HYPERLINK("https://www.dailydose.de/kleinanzeigen/detail.htm?ai=421982&amp;cf=kk&amp;pg=5&amp;ci=11", "Link")</f>
        <v/>
      </c>
      <c r="L2395" s="6">
        <f>HYPERLINK("C:\Projects\Kleinanzeigen-Scraper\offer_images\421982", "Link")</f>
        <v/>
      </c>
      <c r="M2395" t="inlineStr">
        <is>
          <t>Felix Volkhardt</t>
        </is>
      </c>
      <c r="N2395" s="6">
        <f>HYPERLINK("https://www.dailydose.de/kleinanzeigen/user/8180", "Link")</f>
        <v/>
      </c>
      <c r="O2395" s="7" t="n">
        <v>45538.56769675926</v>
      </c>
      <c r="P2395" s="3" t="inlineStr">
        <is>
          <t>56.00</t>
        </is>
      </c>
      <c r="Q2395" t="inlineStr">
        <is>
          <t>Köln</t>
        </is>
      </c>
    </row>
    <row r="2396">
      <c r="A2396" t="inlineStr"/>
      <c r="B2396" t="inlineStr">
        <is>
          <t>We One</t>
        </is>
      </c>
      <c r="C2396" t="inlineStr">
        <is>
          <t>Wave</t>
        </is>
      </c>
      <c r="D2396" s="3" t="n">
        <v>83</v>
      </c>
      <c r="E2396" t="inlineStr"/>
      <c r="F2396" s="4" t="n">
        <v>1000</v>
      </c>
      <c r="G2396" t="inlineStr">
        <is>
          <t>VB</t>
        </is>
      </c>
      <c r="H2396" t="inlineStr">
        <is>
          <t>47918 Tönisvorst</t>
        </is>
      </c>
      <c r="I2396" s="5" t="n">
        <v>45538</v>
      </c>
      <c r="J2396" t="inlineStr">
        <is>
          <t>Sold</t>
        </is>
      </c>
      <c r="K2396" s="6">
        <f>HYPERLINK("https://www.dailydose.de/kleinanzeigen/detail.htm?ai=421980&amp;cf=kk&amp;pg=5&amp;ci=11", "Link")</f>
        <v/>
      </c>
      <c r="L2396" s="6">
        <f>HYPERLINK("C:\Projects\Kleinanzeigen-Scraper\offer_images\421980", "Link")</f>
        <v/>
      </c>
      <c r="M2396" t="inlineStr">
        <is>
          <t>Felix Volkhardt</t>
        </is>
      </c>
      <c r="N2396" s="6">
        <f>HYPERLINK("https://www.dailydose.de/kleinanzeigen/user/8180", "Link")</f>
        <v/>
      </c>
      <c r="O2396" s="7" t="n">
        <v>45538.56766203704</v>
      </c>
      <c r="P2396" s="3" t="inlineStr">
        <is>
          <t>56.00</t>
        </is>
      </c>
      <c r="Q2396" t="inlineStr">
        <is>
          <t>Köln</t>
        </is>
      </c>
    </row>
    <row r="2397">
      <c r="A2397" t="inlineStr">
        <is>
          <t>10'6</t>
        </is>
      </c>
      <c r="B2397" t="inlineStr">
        <is>
          <t>JP Australia AllroundAir SE</t>
        </is>
      </c>
      <c r="C2397" t="inlineStr">
        <is>
          <t>Allround</t>
        </is>
      </c>
      <c r="D2397" s="3" t="inlineStr"/>
      <c r="E2397" t="inlineStr"/>
      <c r="F2397" s="4" t="n">
        <v>450</v>
      </c>
      <c r="G2397" t="inlineStr"/>
      <c r="H2397" t="inlineStr">
        <is>
          <t>47623 Nordrhein-Westfalen - Kevelaer</t>
        </is>
      </c>
      <c r="I2397" s="5" t="n">
        <v>45537</v>
      </c>
      <c r="J2397" t="inlineStr"/>
      <c r="K2397" s="6">
        <f>HYPERLINK("https://www.kleinanzeigen.de/s-anzeige/jp-australia-allroundair-se-windsurf-sup-10-6/2852892178-230-1137", "Link")</f>
        <v/>
      </c>
      <c r="L2397" s="6">
        <f>HYPERLINK("C:\Projects\Kleinanzeigen-Scraper\offer_images\2852892178", "Link")</f>
        <v/>
      </c>
      <c r="M2397" t="inlineStr">
        <is>
          <t>LarsD</t>
        </is>
      </c>
      <c r="N2397" s="6">
        <f>HYPERLINK("https://www.kleinanzeigen.de/s-bestandsliste.html?userId=25154461", "Link")</f>
        <v/>
      </c>
      <c r="O2397" s="7" t="n">
        <v>45538.56729166667</v>
      </c>
      <c r="P2397" s="3" t="inlineStr">
        <is>
          <t>87.01</t>
        </is>
      </c>
      <c r="Q2397" t="inlineStr">
        <is>
          <t>Köln</t>
        </is>
      </c>
    </row>
    <row r="2398">
      <c r="A2398" t="inlineStr"/>
      <c r="B2398" t="inlineStr">
        <is>
          <t>MB Boards Pegasus</t>
        </is>
      </c>
      <c r="C2398" t="inlineStr">
        <is>
          <t>Freestyle</t>
        </is>
      </c>
      <c r="D2398" s="3" t="n">
        <v>89</v>
      </c>
      <c r="E2398" t="inlineStr"/>
      <c r="F2398" s="4" t="n">
        <v>480</v>
      </c>
      <c r="G2398" t="inlineStr">
        <is>
          <t>VB</t>
        </is>
      </c>
      <c r="H2398" t="inlineStr">
        <is>
          <t>14532 Brandenburg - Kleinmachnow</t>
        </is>
      </c>
      <c r="I2398" s="5" t="n">
        <v>45537</v>
      </c>
      <c r="J2398" t="inlineStr">
        <is>
          <t>Sold</t>
        </is>
      </c>
      <c r="K2398" s="6">
        <f>HYPERLINK("https://www.kleinanzeigen.de/s-anzeige/mb-boards-pegasus-89l-foilen-windsurf-freestyle/2852736062-230-7775", "Link")</f>
        <v/>
      </c>
      <c r="L2398" s="6">
        <f>HYPERLINK("C:\Projects\Kleinanzeigen-Scraper\offer_images\2852736062", "Link")</f>
        <v/>
      </c>
      <c r="M2398" t="inlineStr">
        <is>
          <t>Johannes</t>
        </is>
      </c>
      <c r="N2398" s="6">
        <f>HYPERLINK("https://www.kleinanzeigen.de/s-bestandsliste.html?userId=52270428", "Link")</f>
        <v/>
      </c>
      <c r="O2398" s="7" t="n">
        <v>45538.56708333334</v>
      </c>
      <c r="P2398" s="3" t="inlineStr">
        <is>
          <t>458.23</t>
        </is>
      </c>
      <c r="Q2398" t="inlineStr">
        <is>
          <t>Köln</t>
        </is>
      </c>
    </row>
    <row r="2399">
      <c r="A2399" t="inlineStr"/>
      <c r="B2399" t="inlineStr">
        <is>
          <t>Mistral Freestyle</t>
        </is>
      </c>
      <c r="C2399" t="inlineStr">
        <is>
          <t>Freestyle Wave</t>
        </is>
      </c>
      <c r="D2399" s="3" t="n">
        <v>84</v>
      </c>
      <c r="E2399" t="inlineStr"/>
      <c r="F2399" s="4" t="n">
        <v>50</v>
      </c>
      <c r="G2399" t="inlineStr"/>
      <c r="H2399" t="inlineStr">
        <is>
          <t>33184 Nordrhein-Westfalen - Altenbeken</t>
        </is>
      </c>
      <c r="I2399" s="5" t="n">
        <v>45538</v>
      </c>
      <c r="J2399" t="inlineStr">
        <is>
          <t>Sold</t>
        </is>
      </c>
      <c r="K2399" s="6">
        <f>HYPERLINK("https://www.kleinanzeigen.de/s-anzeige/mistral-freestyle-waveboard-84-l-windsurf-surfbrett-surfboard/2853038996-230-1247", "Link")</f>
        <v/>
      </c>
      <c r="L2399" s="6">
        <f>HYPERLINK("C:\Projects\Kleinanzeigen-Scraper\offer_images\2853038996", "Link")</f>
        <v/>
      </c>
      <c r="M2399" t="inlineStr">
        <is>
          <t>Jörg hanfland</t>
        </is>
      </c>
      <c r="N2399" s="6">
        <f>HYPERLINK("https://www.kleinanzeigen.de/s-bestandsliste.html?userId=3276446", "Link")</f>
        <v/>
      </c>
      <c r="O2399" s="7" t="n">
        <v>45538.56707175926</v>
      </c>
      <c r="P2399" s="3" t="inlineStr">
        <is>
          <t>164.52</t>
        </is>
      </c>
      <c r="Q2399" t="inlineStr">
        <is>
          <t>Köln</t>
        </is>
      </c>
    </row>
    <row r="2400">
      <c r="A2400" t="inlineStr">
        <is>
          <t>263cm x 75cm</t>
        </is>
      </c>
      <c r="B2400" t="inlineStr">
        <is>
          <t>Fanatic Shark</t>
        </is>
      </c>
      <c r="C2400" t="inlineStr">
        <is>
          <t>Freeride</t>
        </is>
      </c>
      <c r="D2400" s="3" t="n">
        <v>145</v>
      </c>
      <c r="E2400" t="inlineStr"/>
      <c r="F2400" s="4" t="n">
        <v>460</v>
      </c>
      <c r="G2400" t="inlineStr">
        <is>
          <t>VB</t>
        </is>
      </c>
      <c r="H2400" t="inlineStr">
        <is>
          <t>47239 Duisburg - Rumeln-Kaldenhausen</t>
        </is>
      </c>
      <c r="I2400" s="5" t="n">
        <v>45538</v>
      </c>
      <c r="J2400" t="inlineStr">
        <is>
          <t>Sold</t>
        </is>
      </c>
      <c r="K2400" s="6">
        <f>HYPERLINK("https://www.kleinanzeigen.de/s-anzeige/fanatic-shark-145-liter-ltd-windsurf-board-surfbrett/2853201455-230-2137", "Link")</f>
        <v/>
      </c>
      <c r="L2400" s="6">
        <f>HYPERLINK("C:\Projects\Kleinanzeigen-Scraper\offer_images\2853201455", "Link")</f>
        <v/>
      </c>
      <c r="M2400" t="inlineStr">
        <is>
          <t>PX</t>
        </is>
      </c>
      <c r="N2400" s="6">
        <f>HYPERLINK("https://www.kleinanzeigen.de/s-bestandsliste.html?userId=1864376", "Link")</f>
        <v/>
      </c>
      <c r="O2400" s="7" t="n">
        <v>45538.56697916667</v>
      </c>
      <c r="P2400" s="3" t="inlineStr">
        <is>
          <t>54.92</t>
        </is>
      </c>
      <c r="Q2400" t="inlineStr">
        <is>
          <t>Köln</t>
        </is>
      </c>
    </row>
    <row r="2401">
      <c r="A2401" t="inlineStr">
        <is>
          <t>226 cm x 59.5 cm</t>
        </is>
      </c>
      <c r="B2401" t="inlineStr">
        <is>
          <t>Fanatic Grip TE</t>
        </is>
      </c>
      <c r="C2401" t="inlineStr">
        <is>
          <t>Wave</t>
        </is>
      </c>
      <c r="D2401" s="3" t="n">
        <v>89</v>
      </c>
      <c r="E2401" t="inlineStr">
        <is>
          <t>2018</t>
        </is>
      </c>
      <c r="F2401" s="4" t="n">
        <v>450</v>
      </c>
      <c r="G2401" t="inlineStr"/>
      <c r="H2401" t="inlineStr">
        <is>
          <t>81476 München - Thalk.Obersendl.-Forsten-Fürstenr.-Solln</t>
        </is>
      </c>
      <c r="I2401" s="5" t="n">
        <v>45537</v>
      </c>
      <c r="J2401" t="inlineStr">
        <is>
          <t>Sold</t>
        </is>
      </c>
      <c r="K2401" s="6">
        <f>HYPERLINK("https://www.kleinanzeigen.de/s-anzeige/fanatic-grip-te-89-windsurf-waveboard/2852680278-230-6436", "Link")</f>
        <v/>
      </c>
      <c r="L2401" s="6">
        <f>HYPERLINK("C:\Projects\Kleinanzeigen-Scraper\offer_images\2852680278", "Link")</f>
        <v/>
      </c>
      <c r="M2401" t="inlineStr">
        <is>
          <t>Michael Klarl</t>
        </is>
      </c>
      <c r="N2401" s="6">
        <f>HYPERLINK("https://www.kleinanzeigen.de/s-bestandsliste.html?userId=42522008", "Link")</f>
        <v/>
      </c>
      <c r="O2401" s="7" t="n">
        <v>45538.56695601852</v>
      </c>
      <c r="P2401" s="3" t="inlineStr">
        <is>
          <t>8.19</t>
        </is>
      </c>
      <c r="Q2401" t="inlineStr">
        <is>
          <t>München</t>
        </is>
      </c>
    </row>
    <row r="2402">
      <c r="A2402" t="inlineStr">
        <is>
          <t>265 cm x 78 cm</t>
        </is>
      </c>
      <c r="B2402" t="inlineStr">
        <is>
          <t>Hifly Matrix</t>
        </is>
      </c>
      <c r="C2402" t="inlineStr">
        <is>
          <t>Freeride</t>
        </is>
      </c>
      <c r="D2402" s="3" t="n">
        <v>149</v>
      </c>
      <c r="E2402" t="inlineStr"/>
      <c r="F2402" s="4" t="n">
        <v>265</v>
      </c>
      <c r="G2402" t="inlineStr">
        <is>
          <t>VB</t>
        </is>
      </c>
      <c r="H2402" t="inlineStr">
        <is>
          <t>52399 Nordrhein-Westfalen - Merzenich</t>
        </is>
      </c>
      <c r="I2402" s="5" t="n">
        <v>45538</v>
      </c>
      <c r="J2402" t="inlineStr">
        <is>
          <t>Sold</t>
        </is>
      </c>
      <c r="K2402" s="6">
        <f>HYPERLINK("https://www.kleinanzeigen.de/s-anzeige/windsurf-board-hifly/2853188096-230-1766", "Link")</f>
        <v/>
      </c>
      <c r="L2402" s="6">
        <f>HYPERLINK("C:\Projects\Kleinanzeigen-Scraper\offer_images\2853188096", "Link")</f>
        <v/>
      </c>
      <c r="M2402" t="inlineStr">
        <is>
          <t>Mike</t>
        </is>
      </c>
      <c r="N2402" s="6">
        <f>HYPERLINK("https://www.kleinanzeigen.de/s-bestandsliste.html?userId=13676787", "Link")</f>
        <v/>
      </c>
      <c r="O2402" s="7" t="n">
        <v>45538.56690972222</v>
      </c>
      <c r="P2402" s="3" t="inlineStr">
        <is>
          <t>32.32</t>
        </is>
      </c>
      <c r="Q2402" t="inlineStr">
        <is>
          <t>Köln</t>
        </is>
      </c>
    </row>
    <row r="2403">
      <c r="A2403" t="inlineStr">
        <is>
          <t>211 x 85 x 158</t>
        </is>
      </c>
      <c r="B2403" t="inlineStr">
        <is>
          <t>FMX Hyperion</t>
        </is>
      </c>
      <c r="C2403" t="inlineStr">
        <is>
          <t>Slalom</t>
        </is>
      </c>
      <c r="D2403" s="3" t="inlineStr"/>
      <c r="E2403" t="inlineStr"/>
      <c r="F2403" s="4" t="n">
        <v>1.385</v>
      </c>
      <c r="G2403" t="inlineStr"/>
      <c r="H2403" t="inlineStr">
        <is>
          <t>22880 Kreis Pinneberg - Wedel</t>
        </is>
      </c>
      <c r="I2403" s="5" t="n">
        <v>45537</v>
      </c>
      <c r="J2403" t="inlineStr">
        <is>
          <t>Sold</t>
        </is>
      </c>
      <c r="K2403" s="6">
        <f>HYPERLINK("https://www.kleinanzeigen.de/s-anzeige/fmx-hyperion-158-windfoil-slalom-starboard-iq-windsurf-race/2852314452-230-756", "Link")</f>
        <v/>
      </c>
      <c r="L2403" s="6">
        <f>HYPERLINK("C:\Projects\Kleinanzeigen-Scraper\offer_images\2852314452", "Link")</f>
        <v/>
      </c>
      <c r="M2403" t="inlineStr">
        <is>
          <t>Jahn</t>
        </is>
      </c>
      <c r="N2403" s="6">
        <f>HYPERLINK("https://www.kleinanzeigen.de/s-bestandsliste.html?userId=16125684", "Link")</f>
        <v/>
      </c>
      <c r="O2403" s="7" t="n">
        <v>45538.56684027778</v>
      </c>
      <c r="P2403" s="3" t="inlineStr">
        <is>
          <t>349.30</t>
        </is>
      </c>
      <c r="Q2403" t="inlineStr">
        <is>
          <t>Köln</t>
        </is>
      </c>
    </row>
    <row r="2404">
      <c r="A2404" t="inlineStr">
        <is>
          <t>227 cm x 56.4 cm</t>
        </is>
      </c>
      <c r="B2404" t="inlineStr">
        <is>
          <t>Quatro Quad Cube</t>
        </is>
      </c>
      <c r="C2404" t="inlineStr">
        <is>
          <t>wave</t>
        </is>
      </c>
      <c r="D2404" s="3" t="n">
        <v>72</v>
      </c>
      <c r="E2404" t="inlineStr">
        <is>
          <t>2014</t>
        </is>
      </c>
      <c r="F2404" s="4" t="n">
        <v>300</v>
      </c>
      <c r="G2404" t="inlineStr"/>
      <c r="H2404" t="inlineStr">
        <is>
          <t>23769 Kreis Ostholstein - Fehmarn</t>
        </is>
      </c>
      <c r="I2404" s="5" t="n">
        <v>45530</v>
      </c>
      <c r="J2404" t="inlineStr">
        <is>
          <t>Sold</t>
        </is>
      </c>
      <c r="K2404" s="6">
        <f>HYPERLINK("https://www.kleinanzeigen.de/s-anzeige/windsurf-board/2846975324-230-19951", "Link")</f>
        <v/>
      </c>
      <c r="L2404" s="6">
        <f>HYPERLINK("C:\Projects\Kleinanzeigen-Scraper\offer_images\2846975324", "Link")</f>
        <v/>
      </c>
      <c r="M2404" t="inlineStr">
        <is>
          <t>Matan</t>
        </is>
      </c>
      <c r="N2404" s="6">
        <f>HYPERLINK("https://www.kleinanzeigen.de/s-bestandsliste.html?userId=50032921", "Link")</f>
        <v/>
      </c>
      <c r="O2404" s="7" t="n">
        <v>45538.5666087963</v>
      </c>
      <c r="P2404" s="3" t="inlineStr">
        <is>
          <t>483.01</t>
        </is>
      </c>
      <c r="Q2404" t="inlineStr">
        <is>
          <t>Köln</t>
        </is>
      </c>
    </row>
    <row r="2405">
      <c r="A2405" t="inlineStr"/>
      <c r="B2405" t="inlineStr">
        <is>
          <t>Fanatic Falcon</t>
        </is>
      </c>
      <c r="C2405" t="inlineStr">
        <is>
          <t>Slalom</t>
        </is>
      </c>
      <c r="D2405" s="3" t="n">
        <v>106</v>
      </c>
      <c r="E2405" t="inlineStr"/>
      <c r="F2405" s="4" t="n">
        <v>400</v>
      </c>
      <c r="G2405" t="inlineStr"/>
      <c r="H2405" t="inlineStr">
        <is>
          <t>23769 Kreis Ostholstein - Fehmarn</t>
        </is>
      </c>
      <c r="I2405" s="5" t="n">
        <v>45562</v>
      </c>
      <c r="J2405" t="inlineStr">
        <is>
          <t>Sold</t>
        </is>
      </c>
      <c r="K2405" s="6">
        <f>HYPERLINK("https://www.kleinanzeigen.de/s-anzeige/windsurf-slalom-board/2846981562-230-19951", "Link")</f>
        <v/>
      </c>
      <c r="L2405" s="6">
        <f>HYPERLINK("C:\Projects\Kleinanzeigen-Scraper\offer_images\2846981562", "Link")</f>
        <v/>
      </c>
      <c r="M2405" t="inlineStr">
        <is>
          <t>Matan</t>
        </is>
      </c>
      <c r="N2405" s="6">
        <f>HYPERLINK("https://www.kleinanzeigen.de/s-bestandsliste.html?userId=50032921", "Link")</f>
        <v/>
      </c>
      <c r="O2405" s="7" t="n">
        <v>45538.5666087963</v>
      </c>
      <c r="P2405" s="3" t="inlineStr">
        <is>
          <t>483.01</t>
        </is>
      </c>
      <c r="Q2405" t="inlineStr">
        <is>
          <t>Köln</t>
        </is>
      </c>
    </row>
    <row r="2406">
      <c r="A2406" t="inlineStr"/>
      <c r="B2406" t="inlineStr">
        <is>
          <t>Starboard</t>
        </is>
      </c>
      <c r="C2406" t="inlineStr">
        <is>
          <t>thruster fish</t>
        </is>
      </c>
      <c r="D2406" s="3" t="n">
        <v>86</v>
      </c>
      <c r="E2406" t="inlineStr"/>
      <c r="F2406" s="4" t="n">
        <v>89</v>
      </c>
      <c r="G2406" t="inlineStr"/>
      <c r="H2406" t="inlineStr">
        <is>
          <t>13086 Pankow - Weissensee</t>
        </is>
      </c>
      <c r="I2406" s="5" t="n">
        <v>45532</v>
      </c>
      <c r="J2406" t="inlineStr">
        <is>
          <t>Sold</t>
        </is>
      </c>
      <c r="K2406" s="6">
        <f>HYPERLINK("https://www.kleinanzeigen.de/s-anzeige/starboard-86l-thruster-fish-finnen-bag-windsurf-surfboard-jp/2848671923-230-3478", "Link")</f>
        <v/>
      </c>
      <c r="L2406" s="6">
        <f>HYPERLINK("C:\Projects\Kleinanzeigen-Scraper\offer_images\2848671923", "Link")</f>
        <v/>
      </c>
      <c r="M2406" t="inlineStr">
        <is>
          <t>Felix Koehler</t>
        </is>
      </c>
      <c r="N2406" s="6">
        <f>HYPERLINK("https://www.kleinanzeigen.de/s-bestandsliste.html?userId=129626247", "Link")</f>
        <v/>
      </c>
      <c r="O2406" s="7" t="n">
        <v>45538.56644675926</v>
      </c>
      <c r="P2406" s="3" t="inlineStr">
        <is>
          <t>481.54</t>
        </is>
      </c>
      <c r="Q2406" t="inlineStr">
        <is>
          <t>Köln</t>
        </is>
      </c>
    </row>
    <row r="2407">
      <c r="A2407" t="inlineStr">
        <is>
          <t>7'8"</t>
        </is>
      </c>
      <c r="B2407" t="inlineStr">
        <is>
          <t>STX iFoil</t>
        </is>
      </c>
      <c r="C2407" t="inlineStr">
        <is>
          <t>Windsurf, Wingsurf, Foil</t>
        </is>
      </c>
      <c r="D2407" s="3" t="inlineStr"/>
      <c r="E2407" t="inlineStr">
        <is>
          <t>2021</t>
        </is>
      </c>
      <c r="F2407" s="4" t="n">
        <v>399</v>
      </c>
      <c r="G2407" t="inlineStr">
        <is>
          <t>VB</t>
        </is>
      </c>
      <c r="H2407" t="inlineStr">
        <is>
          <t>72631 Baden-Württemberg - Aichtal</t>
        </is>
      </c>
      <c r="I2407" s="5" t="n">
        <v>45538</v>
      </c>
      <c r="J2407" t="inlineStr">
        <is>
          <t>Sold</t>
        </is>
      </c>
      <c r="K2407" s="6">
        <f>HYPERLINK("https://www.kleinanzeigen.de/s-anzeige/stx-ifoil-board-windsurf-wingsurf-foil/2853264289-230-8894", "Link")</f>
        <v/>
      </c>
      <c r="L2407" s="6">
        <f>HYPERLINK("C:\Projects\Kleinanzeigen-Scraper\offer_images\2853264289", "Link")</f>
        <v/>
      </c>
      <c r="M2407" t="inlineStr">
        <is>
          <t>Jonas</t>
        </is>
      </c>
      <c r="N2407" s="6">
        <f>HYPERLINK("https://www.kleinanzeigen.de/s-bestandsliste.html?userId=17768147", "Link")</f>
        <v/>
      </c>
      <c r="O2407" s="7" t="n">
        <v>45538.56644675926</v>
      </c>
      <c r="P2407" s="3" t="inlineStr">
        <is>
          <t>20.26</t>
        </is>
      </c>
      <c r="Q2407" t="inlineStr">
        <is>
          <t>Böblingen</t>
        </is>
      </c>
    </row>
    <row r="2408">
      <c r="A2408" t="inlineStr">
        <is>
          <t>260x81</t>
        </is>
      </c>
      <c r="B2408" t="inlineStr">
        <is>
          <t>F2 Freerider</t>
        </is>
      </c>
      <c r="C2408" t="inlineStr">
        <is>
          <t>Freeride</t>
        </is>
      </c>
      <c r="D2408" s="3" t="n">
        <v>154</v>
      </c>
      <c r="E2408" t="inlineStr"/>
      <c r="F2408" s="4" t="n">
        <v>450</v>
      </c>
      <c r="G2408" t="inlineStr"/>
      <c r="H2408" t="inlineStr">
        <is>
          <t>12526 BERLIN</t>
        </is>
      </c>
      <c r="I2408" s="5" t="n">
        <v>45537</v>
      </c>
      <c r="J2408" t="inlineStr">
        <is>
          <t>Sold</t>
        </is>
      </c>
      <c r="K2408" s="6">
        <f>HYPERLINK("https://www.dailydose.de/kleinanzeigen/detail.htm?ai=421937&amp;cf=kk&amp;pg=4&amp;ci=11", "Link")</f>
        <v/>
      </c>
      <c r="L2408" s="6">
        <f>HYPERLINK("C:\Projects\Kleinanzeigen-Scraper\offer_images\421937", "Link")</f>
        <v/>
      </c>
      <c r="M2408" t="inlineStr">
        <is>
          <t>surfi_159</t>
        </is>
      </c>
      <c r="N2408" s="6">
        <f>HYPERLINK("https://www.dailydose.de/kleinanzeigen/user/17564", "Link")</f>
        <v/>
      </c>
      <c r="O2408" s="7" t="n">
        <v>45537.58126157407</v>
      </c>
      <c r="P2408" s="3" t="inlineStr">
        <is>
          <t>484.42</t>
        </is>
      </c>
      <c r="Q2408" t="inlineStr">
        <is>
          <t>Köln</t>
        </is>
      </c>
    </row>
    <row r="2409">
      <c r="A2409" t="inlineStr">
        <is>
          <t xml:space="preserve">Dimensions </t>
        </is>
      </c>
      <c r="B2409" t="inlineStr">
        <is>
          <t>Flikka Freerace</t>
        </is>
      </c>
      <c r="C2409" t="inlineStr">
        <is>
          <t>Freeride</t>
        </is>
      </c>
      <c r="D2409" s="3" t="n">
        <v>130</v>
      </c>
      <c r="E2409" t="inlineStr">
        <is>
          <t>2024</t>
        </is>
      </c>
      <c r="F2409" s="4" t="n">
        <v>1005</v>
      </c>
      <c r="G2409" t="inlineStr"/>
      <c r="H2409" t="inlineStr">
        <is>
          <t>88079 Kressbronn</t>
        </is>
      </c>
      <c r="I2409" s="5" t="n">
        <v>45537</v>
      </c>
      <c r="J2409" t="inlineStr">
        <is>
          <t>Sold</t>
        </is>
      </c>
      <c r="K2409" s="6">
        <f>HYPERLINK("https://www.dailydose.de/kleinanzeigen/detail.htm?ai=421938&amp;cf=kk&amp;pg=5&amp;ci=11", "Link")</f>
        <v/>
      </c>
      <c r="L2409" s="6">
        <f>HYPERLINK("C:\Projects\Kleinanzeigen-Scraper\offer_images\421938", "Link")</f>
        <v/>
      </c>
      <c r="M2409" t="inlineStr">
        <is>
          <t>joe_12</t>
        </is>
      </c>
      <c r="N2409" s="6">
        <f>HYPERLINK("https://www.dailydose.de/kleinanzeigen/user/11425", "Link")</f>
        <v/>
      </c>
      <c r="O2409" s="7" t="n">
        <v>45537.57983796296</v>
      </c>
      <c r="P2409" s="3" t="inlineStr">
        <is>
          <t>97.15</t>
        </is>
      </c>
      <c r="Q2409" t="inlineStr">
        <is>
          <t>Bonndorf</t>
        </is>
      </c>
    </row>
    <row r="2410">
      <c r="A2410" t="inlineStr">
        <is>
          <t>277 cm x 88 cm</t>
        </is>
      </c>
      <c r="B2410" t="inlineStr">
        <is>
          <t>Lorch DOLPHIN</t>
        </is>
      </c>
      <c r="C2410" t="inlineStr">
        <is>
          <t>Freeride</t>
        </is>
      </c>
      <c r="D2410" s="3" t="n">
        <v>200</v>
      </c>
      <c r="E2410" t="inlineStr"/>
      <c r="F2410" s="4" t="n">
        <v>333</v>
      </c>
      <c r="G2410" t="inlineStr">
        <is>
          <t>VB</t>
        </is>
      </c>
      <c r="H2410" t="inlineStr">
        <is>
          <t>23909 Ratzeburg</t>
        </is>
      </c>
      <c r="I2410" s="5" t="n">
        <v>45537</v>
      </c>
      <c r="J2410" t="inlineStr">
        <is>
          <t>Sold</t>
        </is>
      </c>
      <c r="K2410" s="6">
        <f>HYPERLINK("https://www.dailydose.de/kleinanzeigen/detail.htm?ai=421933&amp;cf=kk&amp;pg=4&amp;ci=11", "Link")</f>
        <v/>
      </c>
      <c r="L2410" s="6">
        <f>HYPERLINK("C:\Projects\Kleinanzeigen-Scraper\offer_images\421933", "Link")</f>
        <v/>
      </c>
      <c r="M2410" t="inlineStr">
        <is>
          <t>Insider</t>
        </is>
      </c>
      <c r="N2410" s="6">
        <f>HYPERLINK("https://www.dailydose.de/kleinanzeigen/user/20603", "Link")</f>
        <v/>
      </c>
      <c r="O2410" s="7" t="n">
        <v>45537.57893518519</v>
      </c>
      <c r="P2410" s="3" t="inlineStr">
        <is>
          <t>401.75</t>
        </is>
      </c>
      <c r="Q2410" t="inlineStr">
        <is>
          <t>Köln</t>
        </is>
      </c>
    </row>
    <row r="2411">
      <c r="A2411" t="inlineStr">
        <is>
          <t>123</t>
        </is>
      </c>
      <c r="B2411" t="inlineStr">
        <is>
          <t>Tabou Rocket Plus LTD</t>
        </is>
      </c>
      <c r="C2411" t="inlineStr">
        <is>
          <t>Freeride</t>
        </is>
      </c>
      <c r="D2411" s="3" t="inlineStr"/>
      <c r="E2411" t="inlineStr">
        <is>
          <t>2020</t>
        </is>
      </c>
      <c r="F2411" s="4" t="n">
        <v>800</v>
      </c>
      <c r="G2411" t="inlineStr"/>
      <c r="H2411" t="inlineStr">
        <is>
          <t>16341 Brandenburg - Panketal</t>
        </is>
      </c>
      <c r="I2411" s="5" t="n">
        <v>45537</v>
      </c>
      <c r="J2411" t="inlineStr">
        <is>
          <t>Sold</t>
        </is>
      </c>
      <c r="K2411" s="6">
        <f>HYPERLINK("https://www.kleinanzeigen.de/s-anzeige/tabou-rocket-plus-123-ltd-board-windsurf-carbon-nose/2852427371-230-7919", "Link")</f>
        <v/>
      </c>
      <c r="L2411" s="6">
        <f>HYPERLINK("C:\Projects\Kleinanzeigen-Scraper\offer_images\2852427371", "Link")</f>
        <v/>
      </c>
      <c r="M2411" t="inlineStr">
        <is>
          <t>M.W.</t>
        </is>
      </c>
      <c r="N2411" s="6">
        <f>HYPERLINK("https://www.kleinanzeigen.de/s-bestandsliste.html?userId=559044", "Link")</f>
        <v/>
      </c>
      <c r="O2411" s="7" t="n">
        <v>45537.57868055555</v>
      </c>
      <c r="P2411" s="3" t="inlineStr">
        <is>
          <t>490.55</t>
        </is>
      </c>
      <c r="Q2411" t="inlineStr">
        <is>
          <t>Köln</t>
        </is>
      </c>
    </row>
    <row r="2412">
      <c r="A2412" t="inlineStr">
        <is>
          <t>12'0'' x 32'' x 6''</t>
        </is>
      </c>
      <c r="B2412" t="inlineStr">
        <is>
          <t>RRD Air Evo Tourer Convertible</t>
        </is>
      </c>
      <c r="C2412" t="inlineStr">
        <is>
          <t>Allround</t>
        </is>
      </c>
      <c r="D2412" s="3" t="inlineStr"/>
      <c r="E2412" t="inlineStr"/>
      <c r="F2412" s="4" t="n">
        <v>329</v>
      </c>
      <c r="G2412" t="inlineStr">
        <is>
          <t>VB</t>
        </is>
      </c>
      <c r="H2412" t="inlineStr">
        <is>
          <t>17389 Mecklenburg-Vorpommern - Anklam</t>
        </is>
      </c>
      <c r="I2412" s="5" t="n">
        <v>45561</v>
      </c>
      <c r="J2412" t="inlineStr"/>
      <c r="K2412" s="6">
        <f>HYPERLINK("https://www.kleinanzeigen.de/s-anzeige/rrd-air-evo-tourer-convertible-sup-windsurf-board-aufblasbar/2760809781-230-205", "Link")</f>
        <v/>
      </c>
      <c r="L2412" s="6">
        <f>HYPERLINK("C:\Projects\Kleinanzeigen-Scraper\offer_images\2760809781", "Link")</f>
        <v/>
      </c>
      <c r="M2412" t="inlineStr">
        <is>
          <t>Frank Koehler</t>
        </is>
      </c>
      <c r="N2412" s="6">
        <f>HYPERLINK("https://www.kleinanzeigen.de/s-bestandsliste.html?userId=36356918", "Link")</f>
        <v/>
      </c>
      <c r="O2412" s="7" t="n">
        <v>45537.57763888889</v>
      </c>
      <c r="P2412" s="3" t="inlineStr">
        <is>
          <t>558.14</t>
        </is>
      </c>
      <c r="Q2412" t="inlineStr">
        <is>
          <t>Köln</t>
        </is>
      </c>
    </row>
    <row r="2413">
      <c r="A2413" t="inlineStr">
        <is>
          <t>260 cm</t>
        </is>
      </c>
      <c r="B2413" t="inlineStr">
        <is>
          <t>Mistral Screamer</t>
        </is>
      </c>
      <c r="C2413" t="inlineStr">
        <is>
          <t>Freeride</t>
        </is>
      </c>
      <c r="D2413" s="3" t="n">
        <v>83</v>
      </c>
      <c r="E2413" t="inlineStr"/>
      <c r="F2413" s="4" t="n">
        <v>100</v>
      </c>
      <c r="G2413" t="inlineStr"/>
      <c r="H2413" t="inlineStr">
        <is>
          <t>12169 Berlin - Steglitz</t>
        </is>
      </c>
      <c r="I2413" s="5" t="n">
        <v>45529</v>
      </c>
      <c r="J2413" t="inlineStr">
        <is>
          <t>Sold</t>
        </is>
      </c>
      <c r="K2413" s="6">
        <f>HYPERLINK("https://www.kleinanzeigen.de/s-anzeige/mistral-screamer-260-surfboard-surfbrett-windsurfen/2845450665-230-3420", "Link")</f>
        <v/>
      </c>
      <c r="L2413" s="6">
        <f>HYPERLINK("C:\Projects\Kleinanzeigen-Scraper\offer_images\2845450665", "Link")</f>
        <v/>
      </c>
      <c r="M2413" t="inlineStr">
        <is>
          <t>Privat</t>
        </is>
      </c>
      <c r="N2413" s="6">
        <f>HYPERLINK("https://www.kleinanzeigen.de/s-bestandsliste.html?userId=58928440", "Link")</f>
        <v/>
      </c>
      <c r="O2413" s="7" t="n">
        <v>45536.97827546296</v>
      </c>
      <c r="P2413" s="3" t="inlineStr">
        <is>
          <t>471.13</t>
        </is>
      </c>
      <c r="Q2413" t="inlineStr">
        <is>
          <t>Köln</t>
        </is>
      </c>
    </row>
    <row r="2414">
      <c r="A2414" t="inlineStr">
        <is>
          <t>140</t>
        </is>
      </c>
      <c r="B2414" t="inlineStr">
        <is>
          <t>ON Move</t>
        </is>
      </c>
      <c r="C2414" t="inlineStr"/>
      <c r="D2414" s="3" t="inlineStr"/>
      <c r="E2414" t="inlineStr"/>
      <c r="F2414" s="4" t="n">
        <v>300</v>
      </c>
      <c r="G2414" t="inlineStr">
        <is>
          <t>VB</t>
        </is>
      </c>
      <c r="H2414" t="inlineStr">
        <is>
          <t>27419 Niedersachsen - Sittensen</t>
        </is>
      </c>
      <c r="I2414" s="5" t="n">
        <v>45530</v>
      </c>
      <c r="J2414" t="inlineStr">
        <is>
          <t>Sold</t>
        </is>
      </c>
      <c r="K2414" s="6">
        <f>HYPERLINK("https://www.kleinanzeigen.de/s-anzeige/surfbrett-komplett-on-move-140-windsurfen/2847116447-187-17302", "Link")</f>
        <v/>
      </c>
      <c r="L2414" s="6">
        <f>HYPERLINK("C:\Projects\Kleinanzeigen-Scraper\offer_images\2847116447", "Link")</f>
        <v/>
      </c>
      <c r="M2414" t="inlineStr">
        <is>
          <t>Andy</t>
        </is>
      </c>
      <c r="N2414" s="6">
        <f>HYPERLINK("https://www.kleinanzeigen.de/s-bestandsliste.html?userId=80690705", "Link")</f>
        <v/>
      </c>
      <c r="O2414" s="7" t="n">
        <v>45536.97817129629</v>
      </c>
      <c r="P2414" s="3" t="inlineStr">
        <is>
          <t>314.80</t>
        </is>
      </c>
      <c r="Q2414" t="inlineStr">
        <is>
          <t>Köln</t>
        </is>
      </c>
    </row>
    <row r="2415">
      <c r="A2415" t="inlineStr">
        <is>
          <t>295cm x 59cm</t>
        </is>
      </c>
      <c r="B2415" t="inlineStr">
        <is>
          <t>F2 Xantos X</t>
        </is>
      </c>
      <c r="C2415" t="inlineStr"/>
      <c r="D2415" s="3" t="n">
        <v>133</v>
      </c>
      <c r="E2415" t="inlineStr"/>
      <c r="F2415" s="4" t="n">
        <v>120</v>
      </c>
      <c r="G2415" t="inlineStr">
        <is>
          <t>VB</t>
        </is>
      </c>
      <c r="H2415" t="inlineStr">
        <is>
          <t>63500 Hessen - Seligenstadt</t>
        </is>
      </c>
      <c r="I2415" s="5" t="n">
        <v>45529</v>
      </c>
      <c r="J2415" t="inlineStr">
        <is>
          <t>Sold</t>
        </is>
      </c>
      <c r="K2415" s="6">
        <f>HYPERLINK("https://www.kleinanzeigen.de/s-anzeige/f2-xantos-x-windsurf-board-295cm-133l/2846486523-230-4823", "Link")</f>
        <v/>
      </c>
      <c r="L2415" s="6">
        <f>HYPERLINK("C:\Projects\Kleinanzeigen-Scraper\offer_images\2846486523", "Link")</f>
        <v/>
      </c>
      <c r="M2415" t="inlineStr">
        <is>
          <t>F. Heller</t>
        </is>
      </c>
      <c r="N2415" s="6">
        <f>HYPERLINK("https://www.kleinanzeigen.de/s-bestandsliste.html?userId=10658753", "Link")</f>
        <v/>
      </c>
      <c r="O2415" s="7" t="n">
        <v>45536.96851851852</v>
      </c>
      <c r="P2415" s="3" t="inlineStr">
        <is>
          <t>121.05</t>
        </is>
      </c>
      <c r="Q2415" t="inlineStr">
        <is>
          <t>Karlsruhe</t>
        </is>
      </c>
    </row>
    <row r="2416">
      <c r="A2416" t="inlineStr">
        <is>
          <t>240x77</t>
        </is>
      </c>
      <c r="B2416" t="inlineStr">
        <is>
          <t>RRD Firestorm W-Tech</t>
        </is>
      </c>
      <c r="C2416" t="inlineStr">
        <is>
          <t>Freeride</t>
        </is>
      </c>
      <c r="D2416" s="3" t="n">
        <v>138</v>
      </c>
      <c r="E2416" t="inlineStr">
        <is>
          <t>2012</t>
        </is>
      </c>
      <c r="F2416" s="4" t="n">
        <v>430</v>
      </c>
      <c r="G2416" t="inlineStr">
        <is>
          <t>VB</t>
        </is>
      </c>
      <c r="H2416" t="inlineStr">
        <is>
          <t>14513 Brandenburg - Teltow</t>
        </is>
      </c>
      <c r="I2416" s="5" t="n">
        <v>45532</v>
      </c>
      <c r="J2416" t="inlineStr">
        <is>
          <t>Sold</t>
        </is>
      </c>
      <c r="K2416" s="6">
        <f>HYPERLINK("https://www.kleinanzeigen.de/s-anzeige/rrd-firestorm-w-tech-138-liter-windsurf-board/2848293343-230-7939", "Link")</f>
        <v/>
      </c>
      <c r="L2416" s="6">
        <f>HYPERLINK("C:\Projects\Kleinanzeigen-Scraper\offer_images\2848293343", "Link")</f>
        <v/>
      </c>
      <c r="M2416" t="inlineStr">
        <is>
          <t>Thomas</t>
        </is>
      </c>
      <c r="N2416" s="6">
        <f>HYPERLINK("https://www.kleinanzeigen.de/s-bestandsliste.html?userId=25517038", "Link")</f>
        <v/>
      </c>
      <c r="O2416" s="7" t="n">
        <v>45536.9684375</v>
      </c>
      <c r="P2416" s="3" t="inlineStr">
        <is>
          <t>464.56</t>
        </is>
      </c>
      <c r="Q2416" t="inlineStr">
        <is>
          <t>Köln</t>
        </is>
      </c>
    </row>
    <row r="2417">
      <c r="A2417" t="inlineStr">
        <is>
          <t>255cm x 80cm</t>
        </is>
      </c>
      <c r="B2417" t="inlineStr">
        <is>
          <t>F2 Ride</t>
        </is>
      </c>
      <c r="C2417" t="inlineStr">
        <is>
          <t>Freeride</t>
        </is>
      </c>
      <c r="D2417" s="3" t="n">
        <v>160</v>
      </c>
      <c r="E2417" t="inlineStr"/>
      <c r="F2417" s="4" t="n">
        <v>350</v>
      </c>
      <c r="G2417" t="inlineStr">
        <is>
          <t>VB</t>
        </is>
      </c>
      <c r="H2417" t="inlineStr">
        <is>
          <t>90491 Bayern - Nürnberg (Mittelfr)</t>
        </is>
      </c>
      <c r="I2417" s="5" t="n">
        <v>45529</v>
      </c>
      <c r="J2417" t="inlineStr">
        <is>
          <t>Sold</t>
        </is>
      </c>
      <c r="K2417" s="6">
        <f>HYPERLINK("https://www.kleinanzeigen.de/s-anzeige/windsurfbrett-windsurfboard-windsurfen-160l-f2-ride/2845778134-230-18754", "Link")</f>
        <v/>
      </c>
      <c r="L2417" s="6">
        <f>HYPERLINK("C:\Projects\Kleinanzeigen-Scraper\offer_images\2845778134", "Link")</f>
        <v/>
      </c>
      <c r="M2417" t="inlineStr">
        <is>
          <t>Max</t>
        </is>
      </c>
      <c r="N2417" s="6">
        <f>HYPERLINK("https://www.kleinanzeigen.de/s-bestandsliste.html?userId=27082834", "Link")</f>
        <v/>
      </c>
      <c r="O2417" s="7" t="n">
        <v>45536.96840277778</v>
      </c>
      <c r="P2417" s="3" t="inlineStr">
        <is>
          <t>151.82</t>
        </is>
      </c>
      <c r="Q2417" t="inlineStr">
        <is>
          <t>München</t>
        </is>
      </c>
    </row>
    <row r="2418">
      <c r="A2418" t="inlineStr">
        <is>
          <t>230cm x 64cm</t>
        </is>
      </c>
      <c r="B2418" t="inlineStr">
        <is>
          <t>LORCH Thunderbird 64</t>
        </is>
      </c>
      <c r="C2418" t="inlineStr">
        <is>
          <t>Racing</t>
        </is>
      </c>
      <c r="D2418" s="3" t="n">
        <v>110</v>
      </c>
      <c r="E2418" t="inlineStr"/>
      <c r="F2418" s="4" t="n">
        <v>630</v>
      </c>
      <c r="G2418" t="inlineStr"/>
      <c r="H2418" t="inlineStr">
        <is>
          <t>60439 Frankfurt am Main - Niederursel</t>
        </is>
      </c>
      <c r="I2418" s="5" t="n">
        <v>45532</v>
      </c>
      <c r="J2418" t="inlineStr">
        <is>
          <t>Sold</t>
        </is>
      </c>
      <c r="K2418" s="6">
        <f>HYPERLINK("https://www.kleinanzeigen.de/s-anzeige/lorch-thunderbird-64-windsurf-board-brett-windsurfen-carbon-110l/2848249677-230-9589", "Link")</f>
        <v/>
      </c>
      <c r="L2418" s="6">
        <f>HYPERLINK("C:\Projects\Kleinanzeigen-Scraper\offer_images\2848249677", "Link")</f>
        <v/>
      </c>
      <c r="M2418" t="inlineStr">
        <is>
          <t>Thomas</t>
        </is>
      </c>
      <c r="N2418" s="6">
        <f>HYPERLINK("https://www.kleinanzeigen.de/s-bestandsliste.html?userId=33207554", "Link")</f>
        <v/>
      </c>
      <c r="O2418" s="7" t="n">
        <v>45536.96832175926</v>
      </c>
      <c r="P2418" s="3" t="inlineStr">
        <is>
          <t>129.01</t>
        </is>
      </c>
      <c r="Q2418" t="inlineStr">
        <is>
          <t>Karlsruhe</t>
        </is>
      </c>
    </row>
    <row r="2419">
      <c r="A2419" t="inlineStr"/>
      <c r="B2419" t="inlineStr"/>
      <c r="C2419" t="inlineStr"/>
      <c r="D2419" s="3" t="inlineStr"/>
      <c r="E2419" t="inlineStr"/>
      <c r="F2419" s="4" t="n">
        <v>250</v>
      </c>
      <c r="G2419" t="inlineStr">
        <is>
          <t>VB</t>
        </is>
      </c>
      <c r="H2419" t="inlineStr">
        <is>
          <t>06188 Sachsen-Anhalt - Landsberg (Saalekreis)</t>
        </is>
      </c>
      <c r="I2419" s="5" t="n">
        <v>45529</v>
      </c>
      <c r="J2419" t="inlineStr">
        <is>
          <t>Sold</t>
        </is>
      </c>
      <c r="K2419" s="6">
        <f>HYPERLINK("https://www.kleinanzeigen.de/s-anzeige/surfbretter-windsurfen/2846442711-230-17954", "Link")</f>
        <v/>
      </c>
      <c r="L2419" s="6">
        <f>HYPERLINK("C:\Projects\Kleinanzeigen-Scraper\offer_images\2846442711", "Link")</f>
        <v/>
      </c>
      <c r="M2419" t="inlineStr">
        <is>
          <t>Wesing</t>
        </is>
      </c>
      <c r="N2419" s="6">
        <f>HYPERLINK("https://www.kleinanzeigen.de/s-bestandsliste.html?userId=1952741", "Link")</f>
        <v/>
      </c>
      <c r="O2419" s="7" t="n">
        <v>45536.96809027778</v>
      </c>
      <c r="P2419" s="3" t="inlineStr">
        <is>
          <t>365.30</t>
        </is>
      </c>
      <c r="Q2419" t="inlineStr">
        <is>
          <t>Köln</t>
        </is>
      </c>
    </row>
    <row r="2420">
      <c r="A2420" t="inlineStr"/>
      <c r="B2420" t="inlineStr">
        <is>
          <t>JP Superlightwind Pro</t>
        </is>
      </c>
      <c r="C2420" t="inlineStr">
        <is>
          <t>Freeride</t>
        </is>
      </c>
      <c r="D2420" s="3" t="n">
        <v>165</v>
      </c>
      <c r="E2420" t="inlineStr">
        <is>
          <t>2020</t>
        </is>
      </c>
      <c r="F2420" s="4" t="n">
        <v>1.499</v>
      </c>
      <c r="G2420" t="inlineStr"/>
      <c r="H2420" t="inlineStr">
        <is>
          <t>82544 Bayern - Egling</t>
        </is>
      </c>
      <c r="I2420" s="5" t="n">
        <v>45529</v>
      </c>
      <c r="J2420" t="inlineStr">
        <is>
          <t>Sold</t>
        </is>
      </c>
      <c r="K2420" s="6">
        <f>HYPERLINK("https://www.kleinanzeigen.de/s-anzeige/windsurf-board-jp-superlightwind-pro-165-2020/2846500437-230-5541", "Link")</f>
        <v/>
      </c>
      <c r="L2420" s="6">
        <f>HYPERLINK("C:\Projects\Kleinanzeigen-Scraper\offer_images\2846500437", "Link")</f>
        <v/>
      </c>
      <c r="M2420" t="inlineStr">
        <is>
          <t>Müller</t>
        </is>
      </c>
      <c r="N2420" s="6">
        <f>HYPERLINK("https://www.kleinanzeigen.de/s-bestandsliste.html?userId=10685557", "Link")</f>
        <v/>
      </c>
      <c r="O2420" s="7" t="n">
        <v>45536.96803240741</v>
      </c>
      <c r="P2420" s="3" t="inlineStr">
        <is>
          <t>23.39</t>
        </is>
      </c>
      <c r="Q2420" t="inlineStr">
        <is>
          <t>München</t>
        </is>
      </c>
    </row>
    <row r="2421">
      <c r="A2421" t="inlineStr">
        <is>
          <t>242cm x 72cm x 15cm</t>
        </is>
      </c>
      <c r="B2421" t="inlineStr">
        <is>
          <t>STX Windsurf</t>
        </is>
      </c>
      <c r="C2421" t="inlineStr">
        <is>
          <t>Inflatable</t>
        </is>
      </c>
      <c r="D2421" s="3" t="n">
        <v>205</v>
      </c>
      <c r="E2421" t="inlineStr"/>
      <c r="F2421" s="4" t="n">
        <v>500</v>
      </c>
      <c r="G2421" t="inlineStr"/>
      <c r="H2421" t="inlineStr">
        <is>
          <t>38477 Niedersachsen - Jembke</t>
        </is>
      </c>
      <c r="I2421" s="5" t="n">
        <v>45529</v>
      </c>
      <c r="J2421" t="inlineStr">
        <is>
          <t>Sold</t>
        </is>
      </c>
      <c r="K2421" s="6">
        <f>HYPERLINK("https://www.kleinanzeigen.de/s-anzeige/stx-windsurf-242-inflatable-windsurf-board-/2845859340-230-3088", "Link")</f>
        <v/>
      </c>
      <c r="L2421" s="6">
        <f>HYPERLINK("C:\Projects\Kleinanzeigen-Scraper\offer_images\2845859340", "Link")</f>
        <v/>
      </c>
      <c r="M2421" t="inlineStr">
        <is>
          <t>Holger</t>
        </is>
      </c>
      <c r="N2421" s="6">
        <f>HYPERLINK("https://www.kleinanzeigen.de/s-bestandsliste.html?userId=57318661", "Link")</f>
        <v/>
      </c>
      <c r="O2421" s="7" t="n">
        <v>45536.96793981481</v>
      </c>
      <c r="P2421" s="3" t="inlineStr">
        <is>
          <t>314.62</t>
        </is>
      </c>
      <c r="Q2421" t="inlineStr">
        <is>
          <t>Köln</t>
        </is>
      </c>
    </row>
    <row r="2422">
      <c r="A2422" t="inlineStr">
        <is>
          <t>228x85 cm</t>
        </is>
      </c>
      <c r="B2422" t="inlineStr">
        <is>
          <t>Patrik Airinside Slalom II</t>
        </is>
      </c>
      <c r="C2422" t="inlineStr">
        <is>
          <t>Slalom</t>
        </is>
      </c>
      <c r="D2422" s="3" t="n">
        <v>140</v>
      </c>
      <c r="E2422" t="inlineStr"/>
      <c r="F2422" s="4" t="n">
        <v>1500</v>
      </c>
      <c r="G2422" t="inlineStr"/>
      <c r="H2422" t="inlineStr">
        <is>
          <t>86647 Buttenwiesen</t>
        </is>
      </c>
      <c r="I2422" s="5" t="n">
        <v>45533</v>
      </c>
      <c r="J2422" t="inlineStr">
        <is>
          <t>Sold</t>
        </is>
      </c>
      <c r="K2422" s="6">
        <f>HYPERLINK("https://www.dailydose.de/kleinanzeigen/detail.htm?ai=421701&amp;cf=kk&amp;pg=5&amp;ci=11", "Link")</f>
        <v/>
      </c>
      <c r="L2422" s="6">
        <f>HYPERLINK("C:\Projects\Kleinanzeigen-Scraper\offer_images\421701", "Link")</f>
        <v/>
      </c>
      <c r="M2422" t="inlineStr">
        <is>
          <t>Berni_157</t>
        </is>
      </c>
      <c r="N2422" s="6">
        <f>HYPERLINK("https://www.dailydose.de/kleinanzeigen/user/20813", "Link")</f>
        <v/>
      </c>
      <c r="O2422" s="7" t="n">
        <v>45536.91456018519</v>
      </c>
      <c r="P2422" s="3" t="inlineStr">
        <is>
          <t>81.65</t>
        </is>
      </c>
      <c r="Q2422" t="inlineStr">
        <is>
          <t>München</t>
        </is>
      </c>
    </row>
    <row r="2423">
      <c r="A2423" t="inlineStr">
        <is>
          <t>105 x 63 x 231</t>
        </is>
      </c>
      <c r="B2423" t="inlineStr">
        <is>
          <t>Duotone Freewave SLS</t>
        </is>
      </c>
      <c r="C2423" t="inlineStr">
        <is>
          <t>Freewave</t>
        </is>
      </c>
      <c r="D2423" s="3" t="n">
        <v>105</v>
      </c>
      <c r="E2423" t="inlineStr">
        <is>
          <t>2024</t>
        </is>
      </c>
      <c r="F2423" s="4" t="n">
        <v>1399</v>
      </c>
      <c r="G2423" t="inlineStr"/>
      <c r="H2423" t="inlineStr">
        <is>
          <t>63486 Bruchköbel</t>
        </is>
      </c>
      <c r="I2423" s="5" t="n">
        <v>45528</v>
      </c>
      <c r="J2423" t="inlineStr">
        <is>
          <t>Sold</t>
        </is>
      </c>
      <c r="K2423" s="6">
        <f>HYPERLINK("https://www.dailydose.de/kleinanzeigen/detail.htm?ai=421346&amp;cf=kk&amp;pg=5&amp;ci=11", "Link")</f>
        <v/>
      </c>
      <c r="L2423" s="6">
        <f>HYPERLINK("C:\Projects\Kleinanzeigen-Scraper\offer_images\421346", "Link")</f>
        <v/>
      </c>
      <c r="M2423" t="inlineStr">
        <is>
          <t>j_15</t>
        </is>
      </c>
      <c r="N2423" s="6">
        <f>HYPERLINK("https://www.dailydose.de/kleinanzeigen/user/13405", "Link")</f>
        <v/>
      </c>
      <c r="O2423" s="7" t="n">
        <v>45536.91449074074</v>
      </c>
      <c r="P2423" s="3" t="inlineStr">
        <is>
          <t>136.28</t>
        </is>
      </c>
      <c r="Q2423" t="inlineStr">
        <is>
          <t>Karlsruhe</t>
        </is>
      </c>
    </row>
    <row r="2424">
      <c r="A2424" t="inlineStr">
        <is>
          <t>220 cm</t>
        </is>
      </c>
      <c r="B2424" t="inlineStr">
        <is>
          <t>Tabou Dabomb</t>
        </is>
      </c>
      <c r="C2424" t="inlineStr"/>
      <c r="D2424" s="3" t="n">
        <v>84</v>
      </c>
      <c r="E2424" t="inlineStr">
        <is>
          <t>2024</t>
        </is>
      </c>
      <c r="F2424" s="4" t="n">
        <v>1200</v>
      </c>
      <c r="G2424" t="inlineStr">
        <is>
          <t>VB</t>
        </is>
      </c>
      <c r="H2424" t="inlineStr">
        <is>
          <t>24539 Neumünster</t>
        </is>
      </c>
      <c r="I2424" s="5" t="n">
        <v>45531</v>
      </c>
      <c r="J2424" t="inlineStr">
        <is>
          <t>Sold</t>
        </is>
      </c>
      <c r="K2424" s="6">
        <f>HYPERLINK("https://www.dailydose.de/kleinanzeigen/detail.htm?ai=421588&amp;cf=kk&amp;pg=5&amp;ci=11", "Link")</f>
        <v/>
      </c>
      <c r="L2424" s="6">
        <f>HYPERLINK("C:\Projects\Kleinanzeigen-Scraper\offer_images\421588", "Link")</f>
        <v/>
      </c>
      <c r="M2424" t="inlineStr">
        <is>
          <t>Lars Bubelach</t>
        </is>
      </c>
      <c r="N2424" s="6">
        <f>HYPERLINK("https://www.dailydose.de/kleinanzeigen/user/14076", "Link")</f>
        <v/>
      </c>
      <c r="O2424" s="7" t="n">
        <v>45536.91449074074</v>
      </c>
      <c r="P2424" s="3" t="inlineStr">
        <is>
          <t>402.09</t>
        </is>
      </c>
      <c r="Q2424" t="inlineStr">
        <is>
          <t>Köln</t>
        </is>
      </c>
    </row>
    <row r="2425">
      <c r="A2425" t="inlineStr"/>
      <c r="B2425" t="inlineStr">
        <is>
          <t>Duotone Free Wave SLS</t>
        </is>
      </c>
      <c r="C2425" t="inlineStr">
        <is>
          <t>Freewave</t>
        </is>
      </c>
      <c r="D2425" s="3" t="n">
        <v>105</v>
      </c>
      <c r="E2425" t="inlineStr">
        <is>
          <t>2024</t>
        </is>
      </c>
      <c r="F2425" s="4" t="n">
        <v>1549</v>
      </c>
      <c r="G2425" t="inlineStr"/>
      <c r="H2425" t="inlineStr">
        <is>
          <t>26548 Ney, HB, HH, H</t>
        </is>
      </c>
      <c r="I2425" s="5" t="n">
        <v>45533</v>
      </c>
      <c r="J2425" t="inlineStr">
        <is>
          <t>Sold</t>
        </is>
      </c>
      <c r="K2425" s="6">
        <f>HYPERLINK("https://www.dailydose.de/kleinanzeigen/detail.htm?ai=421708&amp;cf=kk&amp;pg=5&amp;ci=11", "Link")</f>
        <v/>
      </c>
      <c r="L2425" s="6">
        <f>HYPERLINK("C:\Projects\Kleinanzeigen-Scraper\offer_images\421708", "Link")</f>
        <v/>
      </c>
      <c r="M2425" t="inlineStr">
        <is>
          <t>Flessi_161</t>
        </is>
      </c>
      <c r="N2425" s="6">
        <f>HYPERLINK("https://www.dailydose.de/kleinanzeigen/user/10920", "Link")</f>
        <v/>
      </c>
      <c r="O2425" s="7" t="n">
        <v>45536.91445601852</v>
      </c>
      <c r="P2425" s="3" t="inlineStr">
        <is>
          <t>309.72</t>
        </is>
      </c>
      <c r="Q2425" t="inlineStr">
        <is>
          <t>Köln</t>
        </is>
      </c>
    </row>
    <row r="2426">
      <c r="A2426" t="inlineStr">
        <is>
          <t>135</t>
        </is>
      </c>
      <c r="B2426" t="inlineStr">
        <is>
          <t>F2 Sunset</t>
        </is>
      </c>
      <c r="C2426" t="inlineStr"/>
      <c r="D2426" s="3" t="inlineStr"/>
      <c r="E2426" t="inlineStr"/>
      <c r="F2426" s="4" t="n">
        <v>750</v>
      </c>
      <c r="G2426" t="inlineStr"/>
      <c r="H2426" t="inlineStr">
        <is>
          <t>58313 Herdecke</t>
        </is>
      </c>
      <c r="I2426" s="5" t="n">
        <v>45529</v>
      </c>
      <c r="J2426" t="inlineStr">
        <is>
          <t>Sold</t>
        </is>
      </c>
      <c r="K2426" s="6">
        <f>HYPERLINK("https://www.dailydose.de/kleinanzeigen/detail.htm?ai=421414&amp;cf=kk&amp;pg=5&amp;ci=11", "Link")</f>
        <v/>
      </c>
      <c r="L2426" s="6">
        <f>HYPERLINK("C:\Projects\Kleinanzeigen-Scraper\offer_images\421414", "Link")</f>
        <v/>
      </c>
      <c r="M2426" t="inlineStr">
        <is>
          <t>MaJa24</t>
        </is>
      </c>
      <c r="N2426" s="6">
        <f>HYPERLINK("https://www.dailydose.de/kleinanzeigen/user/26319", "Link")</f>
        <v/>
      </c>
      <c r="O2426" s="7" t="n">
        <v>45536.91445601852</v>
      </c>
      <c r="P2426" s="3" t="inlineStr">
        <is>
          <t>62.57</t>
        </is>
      </c>
      <c r="Q2426" t="inlineStr">
        <is>
          <t>Köln</t>
        </is>
      </c>
    </row>
    <row r="2427">
      <c r="A2427" t="inlineStr">
        <is>
          <t>260 x 68</t>
        </is>
      </c>
      <c r="B2427" t="inlineStr">
        <is>
          <t>F2 Xantos</t>
        </is>
      </c>
      <c r="C2427" t="inlineStr">
        <is>
          <t>Freeride</t>
        </is>
      </c>
      <c r="D2427" s="3" t="n">
        <v>124</v>
      </c>
      <c r="E2427" t="inlineStr">
        <is>
          <t>2008</t>
        </is>
      </c>
      <c r="F2427" s="4" t="n">
        <v>300</v>
      </c>
      <c r="G2427" t="inlineStr">
        <is>
          <t>VB</t>
        </is>
      </c>
      <c r="H2427" t="inlineStr">
        <is>
          <t>47259 Duisburg</t>
        </is>
      </c>
      <c r="I2427" s="5" t="n">
        <v>45529</v>
      </c>
      <c r="J2427" t="inlineStr">
        <is>
          <t>Sold</t>
        </is>
      </c>
      <c r="K2427" s="6">
        <f>HYPERLINK("https://www.dailydose.de/kleinanzeigen/detail.htm?ai=421395&amp;cf=kk&amp;pg=5&amp;ci=11", "Link")</f>
        <v/>
      </c>
      <c r="L2427" s="6">
        <f>HYPERLINK("C:\Projects\Kleinanzeigen-Scraper\offer_images\421395", "Link")</f>
        <v/>
      </c>
      <c r="M2427" t="inlineStr">
        <is>
          <t>Christoph Laux</t>
        </is>
      </c>
      <c r="N2427" s="6">
        <f>HYPERLINK("https://www.dailydose.de/kleinanzeigen/user/6012", "Link")</f>
        <v/>
      </c>
      <c r="O2427" s="7" t="n">
        <v>45536.9143287037</v>
      </c>
      <c r="P2427" s="3" t="inlineStr">
        <is>
          <t>49.13</t>
        </is>
      </c>
      <c r="Q2427" t="inlineStr">
        <is>
          <t>Köln</t>
        </is>
      </c>
    </row>
    <row r="2428">
      <c r="A2428" t="inlineStr">
        <is>
          <t>76</t>
        </is>
      </c>
      <c r="B2428" t="inlineStr">
        <is>
          <t>Tabou Da Curve</t>
        </is>
      </c>
      <c r="C2428" t="inlineStr"/>
      <c r="D2428" s="3" t="inlineStr"/>
      <c r="E2428" t="inlineStr">
        <is>
          <t>2024</t>
        </is>
      </c>
      <c r="F2428" s="4" t="inlineStr">
        <is>
          <t>1290 EUR</t>
        </is>
      </c>
      <c r="G2428" t="inlineStr">
        <is>
          <t>VB</t>
        </is>
      </c>
      <c r="H2428" t="inlineStr">
        <is>
          <t>47877 Düsseldorf, Willich</t>
        </is>
      </c>
      <c r="I2428" s="5" t="n">
        <v>45523</v>
      </c>
      <c r="J2428" t="inlineStr">
        <is>
          <t>Sold</t>
        </is>
      </c>
      <c r="K2428" s="6">
        <f>HYPERLINK("https://www.dailydose.de/kleinanzeigen/detail.htm?ai=421164&amp;cf=kk&amp;pg=5&amp;ci=11", "Link")</f>
        <v/>
      </c>
      <c r="L2428" s="6">
        <f>HYPERLINK("C:\Projects\Kleinanzeigen-Scraper\offer_images\421164", "Link")</f>
        <v/>
      </c>
      <c r="M2428" t="inlineStr">
        <is>
          <t>Guido</t>
        </is>
      </c>
      <c r="N2428" s="6">
        <f>HYPERLINK("https://www.dailydose.de/kleinanzeigen/user/778", "Link")</f>
        <v/>
      </c>
      <c r="O2428" s="7" t="n">
        <v>45536.91429398148</v>
      </c>
      <c r="P2428" s="3" t="inlineStr">
        <is>
          <t>47.48</t>
        </is>
      </c>
      <c r="Q2428" t="inlineStr">
        <is>
          <t>Köln</t>
        </is>
      </c>
    </row>
    <row r="2429">
      <c r="A2429" t="inlineStr">
        <is>
          <t>247x70 cm</t>
        </is>
      </c>
      <c r="B2429" t="inlineStr">
        <is>
          <t>Mistral Explosion RD</t>
        </is>
      </c>
      <c r="C2429" t="inlineStr">
        <is>
          <t>FreeRide</t>
        </is>
      </c>
      <c r="D2429" s="3" t="n">
        <v>130</v>
      </c>
      <c r="E2429" t="inlineStr"/>
      <c r="F2429" s="4" t="n">
        <v>400</v>
      </c>
      <c r="G2429" t="inlineStr"/>
      <c r="H2429" t="inlineStr">
        <is>
          <t>12527 Müritz Berlin</t>
        </is>
      </c>
      <c r="I2429" s="5" t="n">
        <v>45524</v>
      </c>
      <c r="J2429" t="inlineStr">
        <is>
          <t>Sold</t>
        </is>
      </c>
      <c r="K2429" s="6">
        <f>HYPERLINK("https://www.dailydose.de/kleinanzeigen/detail.htm?ai=421206&amp;cf=kk&amp;pg=5&amp;ci=11", "Link")</f>
        <v/>
      </c>
      <c r="L2429" s="6">
        <f>HYPERLINK("C:\Projects\Kleinanzeigen-Scraper\offer_images\421206", "Link")</f>
        <v/>
      </c>
      <c r="M2429" t="inlineStr">
        <is>
          <t>newt3</t>
        </is>
      </c>
      <c r="N2429" s="6">
        <f>HYPERLINK("https://www.dailydose.de/kleinanzeigen/user/22148", "Link")</f>
        <v/>
      </c>
      <c r="O2429" s="7" t="n">
        <v>45536.91428240741</v>
      </c>
      <c r="P2429" s="3" t="inlineStr">
        <is>
          <t>487.71</t>
        </is>
      </c>
      <c r="Q2429" t="inlineStr">
        <is>
          <t>Köln</t>
        </is>
      </c>
    </row>
    <row r="2430">
      <c r="A2430" t="inlineStr"/>
      <c r="B2430" t="inlineStr">
        <is>
          <t>Tabou da curve</t>
        </is>
      </c>
      <c r="C2430" t="inlineStr"/>
      <c r="D2430" s="3" t="n">
        <v>73</v>
      </c>
      <c r="E2430" t="inlineStr"/>
      <c r="F2430" s="4" t="n">
        <v>150</v>
      </c>
      <c r="G2430" t="inlineStr">
        <is>
          <t>VB</t>
        </is>
      </c>
      <c r="H2430" t="inlineStr">
        <is>
          <t>21502 Geesthacht</t>
        </is>
      </c>
      <c r="I2430" s="5" t="n">
        <v>45532</v>
      </c>
      <c r="J2430" t="inlineStr">
        <is>
          <t>Sold</t>
        </is>
      </c>
      <c r="K2430" s="6">
        <f>HYPERLINK("https://www.dailydose.de/kleinanzeigen/detail.htm?ai=421647&amp;cf=kk&amp;pg=5&amp;ci=11", "Link")</f>
        <v/>
      </c>
      <c r="L2430" s="6">
        <f>HYPERLINK("C:\Projects\Kleinanzeigen-Scraper\offer_images\421647", "Link")</f>
        <v/>
      </c>
      <c r="M2430" t="inlineStr">
        <is>
          <t>oavp</t>
        </is>
      </c>
      <c r="N2430" s="6">
        <f>HYPERLINK("https://www.dailydose.de/kleinanzeigen/user/26332", "Link")</f>
        <v/>
      </c>
      <c r="O2430" s="7" t="n">
        <v>45536.91425925926</v>
      </c>
      <c r="P2430" s="3" t="inlineStr">
        <is>
          <t>364.52</t>
        </is>
      </c>
      <c r="Q2430" t="inlineStr">
        <is>
          <t>Köln</t>
        </is>
      </c>
    </row>
    <row r="2431">
      <c r="A2431" t="inlineStr">
        <is>
          <t>237cm x 81cm</t>
        </is>
      </c>
      <c r="B2431" t="inlineStr">
        <is>
          <t>Tabu Rocket+ LTD</t>
        </is>
      </c>
      <c r="C2431" t="inlineStr">
        <is>
          <t>Freeride</t>
        </is>
      </c>
      <c r="D2431" s="3" t="n">
        <v>133</v>
      </c>
      <c r="E2431" t="inlineStr">
        <is>
          <t>2023</t>
        </is>
      </c>
      <c r="F2431" s="4" t="n">
        <v>800</v>
      </c>
      <c r="G2431" t="inlineStr"/>
      <c r="H2431" t="inlineStr">
        <is>
          <t>83404 Ainring</t>
        </is>
      </c>
      <c r="I2431" s="5" t="n">
        <v>45530</v>
      </c>
      <c r="J2431" t="inlineStr">
        <is>
          <t>Sold</t>
        </is>
      </c>
      <c r="K2431" s="6">
        <f>HYPERLINK("https://www.dailydose.de/kleinanzeigen/detail.htm?ai=421466&amp;cf=kk&amp;pg=5&amp;ci=11", "Link")</f>
        <v/>
      </c>
      <c r="L2431" s="6">
        <f>HYPERLINK("C:\Projects\Kleinanzeigen-Scraper\offer_images\421466", "Link")</f>
        <v/>
      </c>
      <c r="M2431" t="inlineStr">
        <is>
          <t>Klaus_37</t>
        </is>
      </c>
      <c r="N2431" s="6">
        <f>HYPERLINK("https://www.dailydose.de/kleinanzeigen/user/4023", "Link")</f>
        <v/>
      </c>
      <c r="O2431" s="7" t="n">
        <v>45536.91422453704</v>
      </c>
      <c r="P2431" s="3" t="inlineStr">
        <is>
          <t>107.52</t>
        </is>
      </c>
      <c r="Q2431" t="inlineStr">
        <is>
          <t>München</t>
        </is>
      </c>
    </row>
    <row r="2432">
      <c r="A2432" t="inlineStr"/>
      <c r="B2432" t="inlineStr">
        <is>
          <t>Surfline Munich</t>
        </is>
      </c>
      <c r="C2432" t="inlineStr"/>
      <c r="D2432" s="3" t="n">
        <v>105</v>
      </c>
      <c r="E2432" t="inlineStr"/>
      <c r="F2432" s="4" t="inlineStr">
        <is>
          <t>400 CHF</t>
        </is>
      </c>
      <c r="G2432" t="inlineStr"/>
      <c r="H2432" t="inlineStr">
        <is>
          <t>6110 Wolhusen</t>
        </is>
      </c>
      <c r="I2432" s="5" t="n">
        <v>45522</v>
      </c>
      <c r="J2432" t="inlineStr">
        <is>
          <t>Sold</t>
        </is>
      </c>
      <c r="K2432" s="6">
        <f>HYPERLINK("https://www.dailydose.de/kleinanzeigen/detail.htm?ai=421089&amp;cf=kk&amp;pg=5&amp;ci=11", "Link")</f>
        <v/>
      </c>
      <c r="L2432" s="6">
        <f>HYPERLINK("C:\Projects\Kleinanzeigen-Scraper\offer_images\421089", "Link")</f>
        <v/>
      </c>
      <c r="M2432" t="inlineStr">
        <is>
          <t>Lian004</t>
        </is>
      </c>
      <c r="N2432" s="6">
        <f>HYPERLINK("https://www.dailydose.de/kleinanzeigen/user/26296", "Link")</f>
        <v/>
      </c>
      <c r="O2432" s="7" t="n">
        <v>45536.91416666667</v>
      </c>
      <c r="P2432" s="3" t="inlineStr">
        <is>
          <t>86.65</t>
        </is>
      </c>
      <c r="Q2432" t="inlineStr">
        <is>
          <t>Bonndorf</t>
        </is>
      </c>
    </row>
    <row r="2433">
      <c r="A2433" t="inlineStr">
        <is>
          <t>95</t>
        </is>
      </c>
      <c r="B2433" t="inlineStr">
        <is>
          <t>Duotone Grip 3 SLS</t>
        </is>
      </c>
      <c r="C2433" t="inlineStr"/>
      <c r="D2433" s="3" t="inlineStr"/>
      <c r="E2433" t="inlineStr">
        <is>
          <t>2024</t>
        </is>
      </c>
      <c r="F2433" s="4" t="n">
        <v>1549</v>
      </c>
      <c r="G2433" t="inlineStr"/>
      <c r="H2433" t="inlineStr">
        <is>
          <t>26548 Ney, HB, HH, H</t>
        </is>
      </c>
      <c r="I2433" s="5" t="n">
        <v>45533</v>
      </c>
      <c r="J2433" t="inlineStr">
        <is>
          <t>Sold</t>
        </is>
      </c>
      <c r="K2433" s="6">
        <f>HYPERLINK("https://www.dailydose.de/kleinanzeigen/detail.htm?ai=421709&amp;cf=kk&amp;pg=5&amp;ci=11", "Link")</f>
        <v/>
      </c>
      <c r="L2433" s="6">
        <f>HYPERLINK("C:\Projects\Kleinanzeigen-Scraper\offer_images\421709", "Link")</f>
        <v/>
      </c>
      <c r="M2433" t="inlineStr">
        <is>
          <t>Flessi_161</t>
        </is>
      </c>
      <c r="N2433" s="6">
        <f>HYPERLINK("https://www.dailydose.de/kleinanzeigen/user/10920", "Link")</f>
        <v/>
      </c>
      <c r="O2433" s="7" t="n">
        <v>45536.91415509259</v>
      </c>
      <c r="P2433" s="3" t="inlineStr">
        <is>
          <t>309.72</t>
        </is>
      </c>
      <c r="Q2433" t="inlineStr">
        <is>
          <t>Köln</t>
        </is>
      </c>
    </row>
    <row r="2434">
      <c r="A2434" t="inlineStr">
        <is>
          <t>74</t>
        </is>
      </c>
      <c r="B2434" t="inlineStr">
        <is>
          <t>JP Polakow Twinser</t>
        </is>
      </c>
      <c r="C2434" t="inlineStr">
        <is>
          <t>Wave</t>
        </is>
      </c>
      <c r="D2434" s="3" t="inlineStr"/>
      <c r="E2434" t="inlineStr"/>
      <c r="F2434" s="4" t="n">
        <v>225</v>
      </c>
      <c r="G2434" t="inlineStr"/>
      <c r="H2434" t="inlineStr">
        <is>
          <t>23769 Fehmarn</t>
        </is>
      </c>
      <c r="I2434" s="5" t="n">
        <v>45534</v>
      </c>
      <c r="J2434" t="inlineStr">
        <is>
          <t>Sold</t>
        </is>
      </c>
      <c r="K2434" s="6">
        <f>HYPERLINK("https://www.dailydose.de/kleinanzeigen/detail.htm?ai=421794&amp;cf=kk&amp;pg=5&amp;ci=11", "Link")</f>
        <v/>
      </c>
      <c r="L2434" s="6">
        <f>HYPERLINK("C:\Projects\Kleinanzeigen-Scraper\offer_images\421794", "Link")</f>
        <v/>
      </c>
      <c r="M2434" t="inlineStr">
        <is>
          <t>Gold</t>
        </is>
      </c>
      <c r="N2434" s="6">
        <f>HYPERLINK("https://www.dailydose.de/kleinanzeigen/user/10200", "Link")</f>
        <v/>
      </c>
      <c r="O2434" s="7" t="n">
        <v>45536.91413194445</v>
      </c>
      <c r="P2434" s="3" t="inlineStr">
        <is>
          <t>483.01</t>
        </is>
      </c>
      <c r="Q2434" t="inlineStr">
        <is>
          <t>Köln</t>
        </is>
      </c>
    </row>
    <row r="2435">
      <c r="A2435" t="inlineStr">
        <is>
          <t>229*57.75</t>
        </is>
      </c>
      <c r="B2435" t="inlineStr">
        <is>
          <t>Quatro Thruster Pyramid</t>
        </is>
      </c>
      <c r="C2435" t="inlineStr">
        <is>
          <t>Freestyle</t>
        </is>
      </c>
      <c r="D2435" s="3" t="n">
        <v>84</v>
      </c>
      <c r="E2435" t="inlineStr"/>
      <c r="F2435" s="4" t="n">
        <v>290</v>
      </c>
      <c r="G2435" t="inlineStr"/>
      <c r="H2435" t="inlineStr">
        <is>
          <t>18055 Rostock</t>
        </is>
      </c>
      <c r="I2435" s="5" t="n">
        <v>45527</v>
      </c>
      <c r="J2435" t="inlineStr">
        <is>
          <t>Sold</t>
        </is>
      </c>
      <c r="K2435" s="6">
        <f>HYPERLINK("https://www.dailydose.de/kleinanzeigen/detail.htm?ai=421288&amp;cf=kk&amp;pg=5&amp;ci=11", "Link")</f>
        <v/>
      </c>
      <c r="L2435" s="6">
        <f>HYPERLINK("C:\Projects\Kleinanzeigen-Scraper\offer_images\421288", "Link")</f>
        <v/>
      </c>
      <c r="M2435" t="inlineStr">
        <is>
          <t>Hieronymus</t>
        </is>
      </c>
      <c r="N2435" s="6">
        <f>HYPERLINK("https://www.dailydose.de/kleinanzeigen/user/10475", "Link")</f>
        <v/>
      </c>
      <c r="O2435" s="7" t="n">
        <v>45536.91413194445</v>
      </c>
      <c r="P2435" s="3" t="inlineStr">
        <is>
          <t>496.50</t>
        </is>
      </c>
      <c r="Q2435" t="inlineStr">
        <is>
          <t>Köln</t>
        </is>
      </c>
    </row>
    <row r="2436">
      <c r="A2436" t="inlineStr">
        <is>
          <t>260 x 85</t>
        </is>
      </c>
      <c r="B2436" t="inlineStr">
        <is>
          <t>F2 Vibe</t>
        </is>
      </c>
      <c r="C2436" t="inlineStr">
        <is>
          <t>Freemove</t>
        </is>
      </c>
      <c r="D2436" s="3" t="n">
        <v>84</v>
      </c>
      <c r="E2436" t="inlineStr"/>
      <c r="F2436" s="4" t="n">
        <v>190</v>
      </c>
      <c r="G2436" t="inlineStr">
        <is>
          <t>VB</t>
        </is>
      </c>
      <c r="H2436" t="inlineStr">
        <is>
          <t>24107 Quarnbek</t>
        </is>
      </c>
      <c r="I2436" s="5" t="n">
        <v>45533</v>
      </c>
      <c r="J2436" t="inlineStr">
        <is>
          <t>Sold</t>
        </is>
      </c>
      <c r="K2436" s="6">
        <f>HYPERLINK("https://www.dailydose.de/kleinanzeigen/detail.htm?ai=421681&amp;cf=kk&amp;pg=5&amp;ci=11", "Link")</f>
        <v/>
      </c>
      <c r="L2436" s="6">
        <f>HYPERLINK("C:\Projects\Kleinanzeigen-Scraper\offer_images\421681", "Link")</f>
        <v/>
      </c>
      <c r="M2436" t="inlineStr">
        <is>
          <t>Stefan Menzel</t>
        </is>
      </c>
      <c r="N2436" s="6">
        <f>HYPERLINK("https://www.dailydose.de/kleinanzeigen/user/21896", "Link")</f>
        <v/>
      </c>
      <c r="O2436" s="7" t="n">
        <v>45536.91409722222</v>
      </c>
      <c r="P2436" s="3" t="inlineStr">
        <is>
          <t>432.01</t>
        </is>
      </c>
      <c r="Q2436" t="inlineStr">
        <is>
          <t>Köln</t>
        </is>
      </c>
    </row>
    <row r="2437">
      <c r="A2437" t="inlineStr">
        <is>
          <t>127</t>
        </is>
      </c>
      <c r="B2437" t="inlineStr">
        <is>
          <t>Goya Bolt</t>
        </is>
      </c>
      <c r="C2437" t="inlineStr">
        <is>
          <t>Freerace</t>
        </is>
      </c>
      <c r="D2437" s="3" t="inlineStr"/>
      <c r="E2437" t="inlineStr">
        <is>
          <t>2021</t>
        </is>
      </c>
      <c r="F2437" s="4" t="inlineStr">
        <is>
          <t>990 EUR</t>
        </is>
      </c>
      <c r="G2437" t="inlineStr"/>
      <c r="H2437" t="inlineStr">
        <is>
          <t>47137 Duisburg</t>
        </is>
      </c>
      <c r="I2437" s="5" t="n">
        <v>45531</v>
      </c>
      <c r="J2437" t="inlineStr">
        <is>
          <t>Sold</t>
        </is>
      </c>
      <c r="K2437" s="6">
        <f>HYPERLINK("https://www.dailydose.de/kleinanzeigen/detail.htm?ai=421524&amp;cf=kk&amp;pg=5&amp;ci=11", "Link")</f>
        <v/>
      </c>
      <c r="L2437" s="6">
        <f>HYPERLINK("C:\Projects\Kleinanzeigen-Scraper\offer_images\421524", "Link")</f>
        <v/>
      </c>
      <c r="M2437" t="inlineStr">
        <is>
          <t>PeFe</t>
        </is>
      </c>
      <c r="N2437" s="6">
        <f>HYPERLINK("https://www.dailydose.de/kleinanzeigen/user/18970", "Link")</f>
        <v/>
      </c>
      <c r="O2437" s="7" t="n">
        <v>45536.91409722222</v>
      </c>
      <c r="P2437" s="3" t="inlineStr">
        <is>
          <t>60.51</t>
        </is>
      </c>
      <c r="Q2437" t="inlineStr">
        <is>
          <t>Köln</t>
        </is>
      </c>
    </row>
    <row r="2438">
      <c r="A2438" t="inlineStr"/>
      <c r="B2438" t="inlineStr">
        <is>
          <t>Severne</t>
        </is>
      </c>
      <c r="C2438" t="inlineStr">
        <is>
          <t>Freestyle</t>
        </is>
      </c>
      <c r="D2438" s="3" t="n">
        <v>87</v>
      </c>
      <c r="E2438" t="inlineStr"/>
      <c r="F2438" s="4" t="n">
        <v>750</v>
      </c>
      <c r="G2438" t="inlineStr"/>
      <c r="H2438" t="inlineStr">
        <is>
          <t>91619 b. Nürnberg</t>
        </is>
      </c>
      <c r="I2438" s="5" t="n">
        <v>45530</v>
      </c>
      <c r="J2438" t="inlineStr">
        <is>
          <t>Sold</t>
        </is>
      </c>
      <c r="K2438" s="6">
        <f>HYPERLINK("https://www.dailydose.de/kleinanzeigen/detail.htm?ai=421506&amp;cf=kk&amp;pg=5&amp;ci=11", "Link")</f>
        <v/>
      </c>
      <c r="L2438" s="6">
        <f>HYPERLINK("C:\Projects\Kleinanzeigen-Scraper\offer_images\421506", "Link")</f>
        <v/>
      </c>
      <c r="M2438" t="inlineStr">
        <is>
          <t>Ralf_31</t>
        </is>
      </c>
      <c r="N2438" s="6">
        <f>HYPERLINK("https://www.dailydose.de/kleinanzeigen/user/13888", "Link")</f>
        <v/>
      </c>
      <c r="O2438" s="7" t="n">
        <v>45536.91400462963</v>
      </c>
      <c r="P2438" s="3" t="inlineStr">
        <is>
          <t>138.44</t>
        </is>
      </c>
      <c r="Q2438" t="inlineStr">
        <is>
          <t>Böblingen</t>
        </is>
      </c>
    </row>
    <row r="2439">
      <c r="A2439" t="inlineStr"/>
      <c r="B2439" t="inlineStr">
        <is>
          <t>RRD X-FIRE V8</t>
        </is>
      </c>
      <c r="C2439" t="inlineStr">
        <is>
          <t>Freeride</t>
        </is>
      </c>
      <c r="D2439" s="3" t="n">
        <v>114</v>
      </c>
      <c r="E2439" t="inlineStr"/>
      <c r="F2439" s="4" t="n">
        <v>420</v>
      </c>
      <c r="G2439" t="inlineStr">
        <is>
          <t>VB</t>
        </is>
      </c>
      <c r="H2439" t="inlineStr">
        <is>
          <t>86807 Buchloe</t>
        </is>
      </c>
      <c r="I2439" s="5" t="n">
        <v>45531</v>
      </c>
      <c r="J2439" t="inlineStr">
        <is>
          <t>Sold</t>
        </is>
      </c>
      <c r="K2439" s="6">
        <f>HYPERLINK("https://www.dailydose.de/kleinanzeigen/detail.htm?ai=421597&amp;cf=kk&amp;pg=5&amp;ci=11", "Link")</f>
        <v/>
      </c>
      <c r="L2439" s="6">
        <f>HYPERLINK("C:\Projects\Kleinanzeigen-Scraper\offer_images\421597", "Link")</f>
        <v/>
      </c>
      <c r="M2439" t="inlineStr">
        <is>
          <t>surficus_84</t>
        </is>
      </c>
      <c r="N2439" s="6">
        <f>HYPERLINK("https://www.dailydose.de/kleinanzeigen/user/22532", "Link")</f>
        <v/>
      </c>
      <c r="O2439" s="7" t="n">
        <v>45536.91396990741</v>
      </c>
      <c r="P2439" s="3" t="inlineStr">
        <is>
          <t>63.47</t>
        </is>
      </c>
      <c r="Q2439" t="inlineStr">
        <is>
          <t>München</t>
        </is>
      </c>
    </row>
    <row r="2440">
      <c r="A2440" t="inlineStr">
        <is>
          <t>98</t>
        </is>
      </c>
      <c r="B2440" t="inlineStr">
        <is>
          <t>quatro cube</t>
        </is>
      </c>
      <c r="C2440" t="inlineStr"/>
      <c r="D2440" s="3" t="inlineStr"/>
      <c r="E2440" t="inlineStr">
        <is>
          <t>2023</t>
        </is>
      </c>
      <c r="F2440" s="4" t="n">
        <v>999</v>
      </c>
      <c r="G2440" t="inlineStr"/>
      <c r="H2440" t="inlineStr">
        <is>
          <t>24944 Flensburg</t>
        </is>
      </c>
      <c r="I2440" s="5" t="n">
        <v>45532</v>
      </c>
      <c r="J2440" t="inlineStr">
        <is>
          <t>Sold</t>
        </is>
      </c>
      <c r="K2440" s="6">
        <f>HYPERLINK("https://www.dailydose.de/kleinanzeigen/detail.htm?ai=421624&amp;cf=kk&amp;pg=5&amp;ci=11", "Link")</f>
        <v/>
      </c>
      <c r="L2440" s="6">
        <f>HYPERLINK("C:\Projects\Kleinanzeigen-Scraper\offer_images\421624", "Link")</f>
        <v/>
      </c>
      <c r="M2440" t="inlineStr">
        <is>
          <t>marc_133</t>
        </is>
      </c>
      <c r="N2440" s="6">
        <f>HYPERLINK("https://www.dailydose.de/kleinanzeigen/user/15302", "Link")</f>
        <v/>
      </c>
      <c r="O2440" s="7" t="n">
        <v>45536.91393518518</v>
      </c>
      <c r="P2440" s="3" t="inlineStr">
        <is>
          <t>462.42</t>
        </is>
      </c>
      <c r="Q2440" t="inlineStr">
        <is>
          <t>Köln</t>
        </is>
      </c>
    </row>
    <row r="2441">
      <c r="A2441" t="inlineStr">
        <is>
          <t>256 cm x 78 cm</t>
        </is>
      </c>
      <c r="B2441" t="inlineStr">
        <is>
          <t>JP Australia x-cite Ride</t>
        </is>
      </c>
      <c r="C2441" t="inlineStr">
        <is>
          <t>Freeride</t>
        </is>
      </c>
      <c r="D2441" s="3" t="n">
        <v>120</v>
      </c>
      <c r="E2441" t="inlineStr"/>
      <c r="F2441" s="4" t="n">
        <v>350</v>
      </c>
      <c r="G2441" t="inlineStr">
        <is>
          <t>VB</t>
        </is>
      </c>
      <c r="H2441" t="inlineStr">
        <is>
          <t>57439 Attendorn / Makkum Niederlande</t>
        </is>
      </c>
      <c r="I2441" s="5" t="n">
        <v>45527</v>
      </c>
      <c r="J2441" t="inlineStr">
        <is>
          <t>Sold</t>
        </is>
      </c>
      <c r="K2441" s="6">
        <f>HYPERLINK("https://www.dailydose.de/kleinanzeigen/detail.htm?ai=421305&amp;cf=kk&amp;pg=5&amp;ci=11", "Link")</f>
        <v/>
      </c>
      <c r="L2441" s="6">
        <f>HYPERLINK("C:\Projects\Kleinanzeigen-Scraper\offer_images\421305", "Link")</f>
        <v/>
      </c>
      <c r="M2441" t="inlineStr">
        <is>
          <t>Andre Stutenz</t>
        </is>
      </c>
      <c r="N2441" s="6">
        <f>HYPERLINK("https://www.dailydose.de/kleinanzeigen/user/2903", "Link")</f>
        <v/>
      </c>
      <c r="O2441" s="7" t="n">
        <v>45536.91392361111</v>
      </c>
      <c r="P2441" s="3" t="inlineStr">
        <is>
          <t>66.42</t>
        </is>
      </c>
      <c r="Q2441" t="inlineStr">
        <is>
          <t>Köln</t>
        </is>
      </c>
    </row>
    <row r="2442">
      <c r="A2442" t="inlineStr">
        <is>
          <t>248 × 59</t>
        </is>
      </c>
      <c r="B2442" t="inlineStr">
        <is>
          <t>Naish Wave</t>
        </is>
      </c>
      <c r="C2442" t="inlineStr">
        <is>
          <t>Wave</t>
        </is>
      </c>
      <c r="D2442" s="3" t="n">
        <v>95</v>
      </c>
      <c r="E2442" t="inlineStr"/>
      <c r="F2442" s="4" t="n">
        <v>90</v>
      </c>
      <c r="G2442" t="inlineStr">
        <is>
          <t>VB</t>
        </is>
      </c>
      <c r="H2442" t="inlineStr">
        <is>
          <t>21502 Geesthacht</t>
        </is>
      </c>
      <c r="I2442" s="5" t="n">
        <v>45532</v>
      </c>
      <c r="J2442" t="inlineStr">
        <is>
          <t>Sold</t>
        </is>
      </c>
      <c r="K2442" s="6">
        <f>HYPERLINK("https://www.dailydose.de/kleinanzeigen/detail.htm?ai=421645&amp;cf=kk&amp;pg=5&amp;ci=11", "Link")</f>
        <v/>
      </c>
      <c r="L2442" s="6">
        <f>HYPERLINK("C:\Projects\Kleinanzeigen-Scraper\offer_images\421645", "Link")</f>
        <v/>
      </c>
      <c r="M2442" t="inlineStr">
        <is>
          <t>oavp</t>
        </is>
      </c>
      <c r="N2442" s="6">
        <f>HYPERLINK("https://www.dailydose.de/kleinanzeigen/user/26332", "Link")</f>
        <v/>
      </c>
      <c r="O2442" s="7" t="n">
        <v>45536.91386574074</v>
      </c>
      <c r="P2442" s="3" t="inlineStr">
        <is>
          <t>364.52</t>
        </is>
      </c>
      <c r="Q2442" t="inlineStr">
        <is>
          <t>Köln</t>
        </is>
      </c>
    </row>
    <row r="2443">
      <c r="A2443" t="inlineStr">
        <is>
          <t>93 x 65 x 180</t>
        </is>
      </c>
      <c r="B2443" t="inlineStr">
        <is>
          <t>Windflüchter</t>
        </is>
      </c>
      <c r="C2443" t="inlineStr">
        <is>
          <t>Freestyle</t>
        </is>
      </c>
      <c r="D2443" s="3" t="n">
        <v>100</v>
      </c>
      <c r="E2443" t="inlineStr">
        <is>
          <t>2022</t>
        </is>
      </c>
      <c r="F2443" s="4" t="n">
        <v>1000</v>
      </c>
      <c r="G2443" t="inlineStr"/>
      <c r="H2443" t="inlineStr">
        <is>
          <t>24960 Glücksburg</t>
        </is>
      </c>
      <c r="I2443" s="5" t="n">
        <v>45529</v>
      </c>
      <c r="J2443" t="inlineStr">
        <is>
          <t>Sold</t>
        </is>
      </c>
      <c r="K2443" s="6">
        <f>HYPERLINK("https://www.dailydose.de/kleinanzeigen/detail.htm?ai=421397&amp;cf=kk&amp;pg=5&amp;ci=11", "Link")</f>
        <v/>
      </c>
      <c r="L2443" s="6">
        <f>HYPERLINK("C:\Projects\Kleinanzeigen-Scraper\offer_images\421397", "Link")</f>
        <v/>
      </c>
      <c r="M2443" t="inlineStr">
        <is>
          <t>Jan_71</t>
        </is>
      </c>
      <c r="N2443" s="6">
        <f>HYPERLINK("https://www.dailydose.de/kleinanzeigen/user/4325", "Link")</f>
        <v/>
      </c>
      <c r="O2443" s="7" t="n">
        <v>45536.91386574074</v>
      </c>
      <c r="P2443" s="3" t="inlineStr">
        <is>
          <t>467.53</t>
        </is>
      </c>
      <c r="Q2443" t="inlineStr">
        <is>
          <t>Köln</t>
        </is>
      </c>
    </row>
    <row r="2444">
      <c r="A2444" t="inlineStr"/>
      <c r="B2444" t="inlineStr">
        <is>
          <t>Severne Dyno V3</t>
        </is>
      </c>
      <c r="C2444" t="inlineStr">
        <is>
          <t>Freeride</t>
        </is>
      </c>
      <c r="D2444" s="3" t="n">
        <v>105</v>
      </c>
      <c r="E2444" t="inlineStr">
        <is>
          <t>2022</t>
        </is>
      </c>
      <c r="F2444" s="4" t="n">
        <v>999</v>
      </c>
      <c r="G2444" t="inlineStr"/>
      <c r="H2444" t="inlineStr">
        <is>
          <t>82234 Weßling</t>
        </is>
      </c>
      <c r="I2444" s="5" t="n">
        <v>45524</v>
      </c>
      <c r="J2444" t="inlineStr">
        <is>
          <t>Sold</t>
        </is>
      </c>
      <c r="K2444" s="6">
        <f>HYPERLINK("https://www.dailydose.de/kleinanzeigen/detail.htm?ai=421193&amp;cf=kk&amp;pg=5&amp;ci=11", "Link")</f>
        <v/>
      </c>
      <c r="L2444" s="6">
        <f>HYPERLINK("C:\Projects\Kleinanzeigen-Scraper\offer_images\421193", "Link")</f>
        <v/>
      </c>
      <c r="M2444" t="inlineStr">
        <is>
          <t>Benna259</t>
        </is>
      </c>
      <c r="N2444" s="6">
        <f>HYPERLINK("https://www.dailydose.de/kleinanzeigen/user/4601", "Link")</f>
        <v/>
      </c>
      <c r="O2444" s="7" t="n">
        <v>45536.91383101852</v>
      </c>
      <c r="P2444" s="3" t="inlineStr">
        <is>
          <t>23.25</t>
        </is>
      </c>
      <c r="Q2444" t="inlineStr">
        <is>
          <t>München</t>
        </is>
      </c>
    </row>
    <row r="2445">
      <c r="A2445" t="inlineStr">
        <is>
          <t>238 x 61.5 cm</t>
        </is>
      </c>
      <c r="B2445" t="inlineStr">
        <is>
          <t>Starboard Futura</t>
        </is>
      </c>
      <c r="C2445" t="inlineStr">
        <is>
          <t>Freeride</t>
        </is>
      </c>
      <c r="D2445" s="3" t="n">
        <v>93</v>
      </c>
      <c r="E2445" t="inlineStr"/>
      <c r="F2445" s="4" t="n">
        <v>200</v>
      </c>
      <c r="G2445" t="inlineStr"/>
      <c r="H2445" t="inlineStr">
        <is>
          <t>87616 Marktoberdorf</t>
        </is>
      </c>
      <c r="I2445" s="5" t="n">
        <v>45531</v>
      </c>
      <c r="J2445" t="inlineStr">
        <is>
          <t>Sold</t>
        </is>
      </c>
      <c r="K2445" s="6">
        <f>HYPERLINK("https://www.dailydose.de/kleinanzeigen/detail.htm?ai=421561&amp;cf=kk&amp;pg=5&amp;ci=11", "Link")</f>
        <v/>
      </c>
      <c r="L2445" s="6">
        <f>HYPERLINK("C:\Projects\Kleinanzeigen-Scraper\offer_images\421561", "Link")</f>
        <v/>
      </c>
      <c r="M2445" t="inlineStr">
        <is>
          <t>Achim_189</t>
        </is>
      </c>
      <c r="N2445" s="6">
        <f>HYPERLINK("https://www.dailydose.de/kleinanzeigen/user/19262", "Link")</f>
        <v/>
      </c>
      <c r="O2445" s="7" t="n">
        <v>45536.9137962963</v>
      </c>
      <c r="P2445" s="3" t="inlineStr">
        <is>
          <t>83.30</t>
        </is>
      </c>
      <c r="Q2445" t="inlineStr">
        <is>
          <t>München</t>
        </is>
      </c>
    </row>
    <row r="2446">
      <c r="A2446" t="inlineStr">
        <is>
          <t>263 cm x 72 cm</t>
        </is>
      </c>
      <c r="B2446" t="inlineStr">
        <is>
          <t>Dropinn Hejfly</t>
        </is>
      </c>
      <c r="C2446" t="inlineStr">
        <is>
          <t>Freeride</t>
        </is>
      </c>
      <c r="D2446" s="3" t="n">
        <v>146</v>
      </c>
      <c r="E2446" t="inlineStr"/>
      <c r="F2446" s="4" t="n">
        <v>850</v>
      </c>
      <c r="G2446" t="inlineStr">
        <is>
          <t>VB</t>
        </is>
      </c>
      <c r="H2446" t="inlineStr">
        <is>
          <t>57439 Attendorn / Makkum Niederlande</t>
        </is>
      </c>
      <c r="I2446" s="5" t="n">
        <v>45527</v>
      </c>
      <c r="J2446" t="inlineStr">
        <is>
          <t>Sold</t>
        </is>
      </c>
      <c r="K2446" s="6">
        <f>HYPERLINK("https://www.dailydose.de/kleinanzeigen/detail.htm?ai=421304&amp;cf=kk&amp;pg=4&amp;ci=11", "Link")</f>
        <v/>
      </c>
      <c r="L2446" s="6">
        <f>HYPERLINK("C:\Projects\Kleinanzeigen-Scraper\offer_images\421304", "Link")</f>
        <v/>
      </c>
      <c r="M2446" t="inlineStr">
        <is>
          <t>Andre Stutenz</t>
        </is>
      </c>
      <c r="N2446" s="6">
        <f>HYPERLINK("https://www.dailydose.de/kleinanzeigen/user/2903", "Link")</f>
        <v/>
      </c>
      <c r="O2446" s="7" t="n">
        <v>45536.9137962963</v>
      </c>
      <c r="P2446" s="3" t="inlineStr">
        <is>
          <t>66.42</t>
        </is>
      </c>
      <c r="Q2446" t="inlineStr">
        <is>
          <t>Köln</t>
        </is>
      </c>
    </row>
    <row r="2447">
      <c r="A2447" t="inlineStr">
        <is>
          <t>228cm x 56cm</t>
        </is>
      </c>
      <c r="B2447" t="inlineStr">
        <is>
          <t>Fanatic FREEWAVE TE</t>
        </is>
      </c>
      <c r="C2447" t="inlineStr">
        <is>
          <t>Freeride</t>
        </is>
      </c>
      <c r="D2447" s="3" t="n">
        <v>75</v>
      </c>
      <c r="E2447" t="inlineStr">
        <is>
          <t>2023</t>
        </is>
      </c>
      <c r="F2447" s="4" t="n">
        <v>1299</v>
      </c>
      <c r="G2447" t="inlineStr"/>
      <c r="H2447" t="inlineStr">
        <is>
          <t>93051 Regensburg</t>
        </is>
      </c>
      <c r="I2447" s="5" t="n">
        <v>45527</v>
      </c>
      <c r="J2447" t="inlineStr">
        <is>
          <t>Sold</t>
        </is>
      </c>
      <c r="K2447" s="6">
        <f>HYPERLINK("https://www.dailydose.de/kleinanzeigen/detail.htm?ai=421309&amp;cf=kk&amp;pg=5&amp;ci=11", "Link")</f>
        <v/>
      </c>
      <c r="L2447" s="6">
        <f>HYPERLINK("C:\Projects\Kleinanzeigen-Scraper\offer_images\421309", "Link")</f>
        <v/>
      </c>
      <c r="M2447" t="inlineStr">
        <is>
          <t>wolfgang_54</t>
        </is>
      </c>
      <c r="N2447" s="6">
        <f>HYPERLINK("https://www.dailydose.de/kleinanzeigen/user/25302", "Link")</f>
        <v/>
      </c>
      <c r="O2447" s="7" t="n">
        <v>45536.9137962963</v>
      </c>
      <c r="P2447" s="3" t="inlineStr">
        <is>
          <t>103.13</t>
        </is>
      </c>
      <c r="Q2447" t="inlineStr">
        <is>
          <t>München</t>
        </is>
      </c>
    </row>
    <row r="2448">
      <c r="A2448" t="inlineStr">
        <is>
          <t>Dimensions not specified</t>
        </is>
      </c>
      <c r="B2448" t="inlineStr">
        <is>
          <t>Fanatic Skate</t>
        </is>
      </c>
      <c r="C2448" t="inlineStr">
        <is>
          <t>Freestyle</t>
        </is>
      </c>
      <c r="D2448" s="3" t="n">
        <v>100</v>
      </c>
      <c r="E2448" t="inlineStr"/>
      <c r="F2448" s="4" t="n">
        <v>190</v>
      </c>
      <c r="G2448" t="inlineStr"/>
      <c r="H2448" t="inlineStr">
        <is>
          <t>18057 Rostock</t>
        </is>
      </c>
      <c r="I2448" s="5" t="n">
        <v>45530</v>
      </c>
      <c r="J2448" t="inlineStr">
        <is>
          <t>Sold</t>
        </is>
      </c>
      <c r="K2448" s="6">
        <f>HYPERLINK("https://www.dailydose.de/kleinanzeigen/detail.htm?ai=421463&amp;cf=kk&amp;pg=5&amp;ci=11", "Link")</f>
        <v/>
      </c>
      <c r="L2448" s="6">
        <f>HYPERLINK("C:\Projects\Kleinanzeigen-Scraper\offer_images\421463", "Link")</f>
        <v/>
      </c>
      <c r="M2448" t="inlineStr">
        <is>
          <t>Marko333</t>
        </is>
      </c>
      <c r="N2448" s="6">
        <f>HYPERLINK("https://www.dailydose.de/kleinanzeigen/user/26327", "Link")</f>
        <v/>
      </c>
      <c r="O2448" s="7" t="n">
        <v>45536.91370370371</v>
      </c>
      <c r="P2448" s="3" t="inlineStr">
        <is>
          <t>494.07</t>
        </is>
      </c>
      <c r="Q2448" t="inlineStr">
        <is>
          <t>Köln</t>
        </is>
      </c>
    </row>
    <row r="2449">
      <c r="A2449" t="inlineStr">
        <is>
          <t>109 l</t>
        </is>
      </c>
      <c r="B2449" t="inlineStr">
        <is>
          <t>Starboard Carve Wood</t>
        </is>
      </c>
      <c r="C2449" t="inlineStr">
        <is>
          <t>Freeride</t>
        </is>
      </c>
      <c r="D2449" s="3" t="n">
        <v>109</v>
      </c>
      <c r="E2449" t="inlineStr">
        <is>
          <t>2023</t>
        </is>
      </c>
      <c r="F2449" s="4" t="n">
        <v>1.3</v>
      </c>
      <c r="G2449" t="inlineStr">
        <is>
          <t>VB</t>
        </is>
      </c>
      <c r="H2449" t="inlineStr">
        <is>
          <t>17139 Malchin</t>
        </is>
      </c>
      <c r="I2449" s="5" t="n">
        <v>45533</v>
      </c>
      <c r="J2449" t="inlineStr">
        <is>
          <t>Sold</t>
        </is>
      </c>
      <c r="K2449" s="6">
        <f>HYPERLINK("https://www.dailydose.de/kleinanzeigen/detail.htm?ai=421677&amp;cf=kk&amp;pg=5&amp;ci=11", "Link")</f>
        <v/>
      </c>
      <c r="L2449" s="6">
        <f>HYPERLINK("C:\Projects\Kleinanzeigen-Scraper\offer_images\421677", "Link")</f>
        <v/>
      </c>
      <c r="M2449" t="inlineStr">
        <is>
          <t>Michael_88</t>
        </is>
      </c>
      <c r="N2449" s="6">
        <f>HYPERLINK("https://www.dailydose.de/kleinanzeigen/user/17030", "Link")</f>
        <v/>
      </c>
      <c r="O2449" s="7" t="n">
        <v>45536.91370370371</v>
      </c>
      <c r="P2449" s="3" t="inlineStr">
        <is>
          <t>502.61</t>
        </is>
      </c>
      <c r="Q2449" t="inlineStr">
        <is>
          <t>Köln</t>
        </is>
      </c>
    </row>
    <row r="2450">
      <c r="A2450" t="inlineStr">
        <is>
          <t>62.5</t>
        </is>
      </c>
      <c r="B2450" t="inlineStr">
        <is>
          <t>JP Slalom Pro</t>
        </is>
      </c>
      <c r="C2450" t="inlineStr">
        <is>
          <t>Slalom</t>
        </is>
      </c>
      <c r="D2450" s="3" t="inlineStr"/>
      <c r="E2450" t="inlineStr">
        <is>
          <t>2024</t>
        </is>
      </c>
      <c r="F2450" s="4" t="n">
        <v>1350</v>
      </c>
      <c r="G2450" t="inlineStr"/>
      <c r="H2450" t="inlineStr">
        <is>
          <t>88250 Weingarten</t>
        </is>
      </c>
      <c r="I2450" s="5" t="n">
        <v>45533</v>
      </c>
      <c r="J2450" t="inlineStr">
        <is>
          <t>Sold</t>
        </is>
      </c>
      <c r="K2450" s="6">
        <f>HYPERLINK("https://www.dailydose.de/kleinanzeigen/detail.htm?ai=421747&amp;cf=kk&amp;pg=5&amp;ci=11", "Link")</f>
        <v/>
      </c>
      <c r="L2450" s="6">
        <f>HYPERLINK("C:\Projects\Kleinanzeigen-Scraper\offer_images\421747", "Link")</f>
        <v/>
      </c>
      <c r="M2450" t="inlineStr">
        <is>
          <t>Markus_111</t>
        </is>
      </c>
      <c r="N2450" s="6">
        <f>HYPERLINK("https://www.dailydose.de/kleinanzeigen/user/25219", "Link")</f>
        <v/>
      </c>
      <c r="O2450" s="7" t="n">
        <v>45536.91366898148</v>
      </c>
      <c r="P2450" s="3" t="inlineStr">
        <is>
          <t>97.39</t>
        </is>
      </c>
      <c r="Q2450" t="inlineStr">
        <is>
          <t>Bonndorf</t>
        </is>
      </c>
    </row>
    <row r="2451">
      <c r="A2451" t="inlineStr">
        <is>
          <t>76</t>
        </is>
      </c>
      <c r="B2451" t="inlineStr">
        <is>
          <t>Fanatic Grip TE</t>
        </is>
      </c>
      <c r="C2451" t="inlineStr">
        <is>
          <t>Freestyle</t>
        </is>
      </c>
      <c r="D2451" s="3" t="inlineStr"/>
      <c r="E2451" t="inlineStr">
        <is>
          <t>2019</t>
        </is>
      </c>
      <c r="F2451" s="4" t="n">
        <v>650</v>
      </c>
      <c r="G2451" t="inlineStr"/>
      <c r="H2451" t="inlineStr">
        <is>
          <t>52134 Herzogenrath</t>
        </is>
      </c>
      <c r="I2451" s="5" t="n">
        <v>45532</v>
      </c>
      <c r="J2451" t="inlineStr">
        <is>
          <t>Sold</t>
        </is>
      </c>
      <c r="K2451" s="6">
        <f>HYPERLINK("https://www.dailydose.de/kleinanzeigen/detail.htm?ai=421660&amp;cf=kk&amp;pg=5&amp;ci=11", "Link")</f>
        <v/>
      </c>
      <c r="L2451" s="6">
        <f>HYPERLINK("C:\Projects\Kleinanzeigen-Scraper\offer_images\421660", "Link")</f>
        <v/>
      </c>
      <c r="M2451" t="inlineStr">
        <is>
          <t>Absproge</t>
        </is>
      </c>
      <c r="N2451" s="6">
        <f>HYPERLINK("https://www.dailydose.de/kleinanzeigen/user/26019", "Link")</f>
        <v/>
      </c>
      <c r="O2451" s="7" t="n">
        <v>45536.91363425926</v>
      </c>
      <c r="P2451" s="3" t="inlineStr">
        <is>
          <t>59.57</t>
        </is>
      </c>
      <c r="Q2451" t="inlineStr">
        <is>
          <t>Köln</t>
        </is>
      </c>
    </row>
    <row r="2452">
      <c r="A2452" t="inlineStr">
        <is>
          <t>Dimensions not specified</t>
        </is>
      </c>
      <c r="B2452" t="inlineStr">
        <is>
          <t>Tabou 3S+</t>
        </is>
      </c>
      <c r="C2452" t="inlineStr">
        <is>
          <t>Freeride</t>
        </is>
      </c>
      <c r="D2452" s="3" t="n">
        <v>116</v>
      </c>
      <c r="E2452" t="inlineStr"/>
      <c r="F2452" s="4" t="n">
        <v>890</v>
      </c>
      <c r="G2452" t="inlineStr"/>
      <c r="H2452" t="inlineStr">
        <is>
          <t>26389 Wilhelmshaven</t>
        </is>
      </c>
      <c r="I2452" s="5" t="n">
        <v>45536</v>
      </c>
      <c r="J2452" t="inlineStr">
        <is>
          <t>Sold</t>
        </is>
      </c>
      <c r="K2452" s="6">
        <f>HYPERLINK("https://www.dailydose.de/kleinanzeigen/detail.htm?ai=421893&amp;cf=kk&amp;pg=5&amp;ci=11", "Link")</f>
        <v/>
      </c>
      <c r="L2452" s="6">
        <f>HYPERLINK("C:\Projects\Kleinanzeigen-Scraper\offer_images\421893", "Link")</f>
        <v/>
      </c>
      <c r="M2452" t="inlineStr">
        <is>
          <t>GER-22</t>
        </is>
      </c>
      <c r="N2452" s="6">
        <f>HYPERLINK("https://www.dailydose.de/kleinanzeigen/user/13544", "Link")</f>
        <v/>
      </c>
      <c r="O2452" s="7" t="n">
        <v>45536.91361111111</v>
      </c>
      <c r="P2452" s="3" t="inlineStr">
        <is>
          <t>296.86</t>
        </is>
      </c>
      <c r="Q2452" t="inlineStr">
        <is>
          <t>Köln</t>
        </is>
      </c>
    </row>
    <row r="2453">
      <c r="A2453" t="inlineStr"/>
      <c r="B2453" t="inlineStr">
        <is>
          <t>Lorch</t>
        </is>
      </c>
      <c r="C2453" t="inlineStr">
        <is>
          <t>Bump &amp; Jump</t>
        </is>
      </c>
      <c r="D2453" s="3" t="n">
        <v>114</v>
      </c>
      <c r="E2453" t="inlineStr"/>
      <c r="F2453" s="4" t="n">
        <v>600</v>
      </c>
      <c r="G2453" t="inlineStr">
        <is>
          <t>VB</t>
        </is>
      </c>
      <c r="H2453" t="inlineStr">
        <is>
          <t>45481 Mülheim an der Ruhr</t>
        </is>
      </c>
      <c r="I2453" s="5" t="n">
        <v>45535</v>
      </c>
      <c r="J2453" t="inlineStr">
        <is>
          <t>Sold</t>
        </is>
      </c>
      <c r="K2453" s="6">
        <f>HYPERLINK("https://www.dailydose.de/kleinanzeigen/detail.htm?ai=421836&amp;cf=kk&amp;pg=5&amp;ci=11", "Link")</f>
        <v/>
      </c>
      <c r="L2453" s="6">
        <f>HYPERLINK("C:\Projects\Kleinanzeigen-Scraper\offer_images\421836", "Link")</f>
        <v/>
      </c>
      <c r="M2453" t="inlineStr">
        <is>
          <t>Surfing Bird</t>
        </is>
      </c>
      <c r="N2453" s="6">
        <f>HYPERLINK("https://www.dailydose.de/kleinanzeigen/user/4029", "Link")</f>
        <v/>
      </c>
      <c r="O2453" s="7" t="n">
        <v>45536.91357638889</v>
      </c>
      <c r="P2453" s="3" t="inlineStr">
        <is>
          <t>50.45</t>
        </is>
      </c>
      <c r="Q2453" t="inlineStr">
        <is>
          <t>Köln</t>
        </is>
      </c>
    </row>
    <row r="2454">
      <c r="A2454" t="inlineStr">
        <is>
          <t>228x61</t>
        </is>
      </c>
      <c r="B2454" t="inlineStr">
        <is>
          <t>Fanatic Grip</t>
        </is>
      </c>
      <c r="C2454" t="inlineStr">
        <is>
          <t>Freeride</t>
        </is>
      </c>
      <c r="D2454" s="3" t="inlineStr"/>
      <c r="E2454" t="inlineStr">
        <is>
          <t>2022</t>
        </is>
      </c>
      <c r="F2454" s="4" t="n">
        <v>1000</v>
      </c>
      <c r="G2454" t="inlineStr">
        <is>
          <t>VB</t>
        </is>
      </c>
      <c r="H2454" t="inlineStr">
        <is>
          <t>40549 Düsseldorf</t>
        </is>
      </c>
      <c r="I2454" s="5" t="n">
        <v>45523</v>
      </c>
      <c r="J2454" t="inlineStr">
        <is>
          <t>Sold</t>
        </is>
      </c>
      <c r="K2454" s="6">
        <f>HYPERLINK("https://www.dailydose.de/kleinanzeigen/detail.htm?ai=421173&amp;cf=kk&amp;pg=5&amp;ci=11", "Link")</f>
        <v/>
      </c>
      <c r="L2454" s="6">
        <f>HYPERLINK("C:\Projects\Kleinanzeigen-Scraper\offer_images\421173", "Link")</f>
        <v/>
      </c>
      <c r="M2454" t="inlineStr">
        <is>
          <t>Marcus_33</t>
        </is>
      </c>
      <c r="N2454" s="6">
        <f>HYPERLINK("https://www.dailydose.de/kleinanzeigen/user/15470", "Link")</f>
        <v/>
      </c>
      <c r="O2454" s="7" t="n">
        <v>45536.91357638889</v>
      </c>
      <c r="P2454" s="3" t="inlineStr">
        <is>
          <t>36.62</t>
        </is>
      </c>
      <c r="Q2454" t="inlineStr">
        <is>
          <t>Köln</t>
        </is>
      </c>
    </row>
    <row r="2455">
      <c r="A2455" t="inlineStr">
        <is>
          <t>85 cm</t>
        </is>
      </c>
      <c r="B2455" t="inlineStr">
        <is>
          <t>JP</t>
        </is>
      </c>
      <c r="C2455" t="inlineStr">
        <is>
          <t>Slalom</t>
        </is>
      </c>
      <c r="D2455" s="3" t="n">
        <v>136</v>
      </c>
      <c r="E2455" t="inlineStr"/>
      <c r="F2455" s="4" t="n">
        <v>529</v>
      </c>
      <c r="G2455" t="inlineStr">
        <is>
          <t>VB</t>
        </is>
      </c>
      <c r="H2455" t="inlineStr">
        <is>
          <t>26160 Bad Zwischenahn</t>
        </is>
      </c>
      <c r="I2455" s="5" t="n">
        <v>45530</v>
      </c>
      <c r="J2455" t="inlineStr">
        <is>
          <t>Sold</t>
        </is>
      </c>
      <c r="K2455" s="6">
        <f>HYPERLINK("https://www.dailydose.de/kleinanzeigen/detail.htm?ai=421492&amp;cf=kk&amp;pg=5&amp;ci=11", "Link")</f>
        <v/>
      </c>
      <c r="L2455" s="6">
        <f>HYPERLINK("C:\Projects\Kleinanzeigen-Scraper\offer_images\421492", "Link")</f>
        <v/>
      </c>
      <c r="M2455" t="inlineStr">
        <is>
          <t>65healohero</t>
        </is>
      </c>
      <c r="N2455" s="6">
        <f>HYPERLINK("https://www.dailydose.de/kleinanzeigen/user/7272", "Link")</f>
        <v/>
      </c>
      <c r="O2455" s="7" t="n">
        <v>45536.91354166667</v>
      </c>
      <c r="P2455" s="3" t="inlineStr">
        <is>
          <t>260.27</t>
        </is>
      </c>
      <c r="Q2455" t="inlineStr">
        <is>
          <t>Köln</t>
        </is>
      </c>
    </row>
    <row r="2456">
      <c r="A2456" t="inlineStr">
        <is>
          <t>239 x 58.5</t>
        </is>
      </c>
      <c r="B2456" t="inlineStr">
        <is>
          <t>JP FSW</t>
        </is>
      </c>
      <c r="C2456" t="inlineStr">
        <is>
          <t>Freestyle Wave</t>
        </is>
      </c>
      <c r="D2456" s="3" t="n">
        <v>84</v>
      </c>
      <c r="E2456" t="inlineStr">
        <is>
          <t>2008</t>
        </is>
      </c>
      <c r="F2456" s="4" t="n">
        <v>180</v>
      </c>
      <c r="G2456" t="inlineStr">
        <is>
          <t>VB</t>
        </is>
      </c>
      <c r="H2456" t="inlineStr">
        <is>
          <t>80804 München</t>
        </is>
      </c>
      <c r="I2456" s="5" t="n">
        <v>45526</v>
      </c>
      <c r="J2456" t="inlineStr">
        <is>
          <t>Sold</t>
        </is>
      </c>
      <c r="K2456" s="6">
        <f>HYPERLINK("https://www.dailydose.de/kleinanzeigen/detail.htm?ai=421255&amp;cf=kk&amp;pg=5&amp;ci=11", "Link")</f>
        <v/>
      </c>
      <c r="L2456" s="6">
        <f>HYPERLINK("C:\Projects\Kleinanzeigen-Scraper\offer_images\421255", "Link")</f>
        <v/>
      </c>
      <c r="M2456" t="inlineStr">
        <is>
          <t>Walter Eberhart</t>
        </is>
      </c>
      <c r="N2456" s="6">
        <f>HYPERLINK("https://www.dailydose.de/kleinanzeigen/user/22550", "Link")</f>
        <v/>
      </c>
      <c r="O2456" s="7" t="n">
        <v>45536.91350694445</v>
      </c>
      <c r="P2456" s="3" t="inlineStr">
        <is>
          <t>3.78</t>
        </is>
      </c>
      <c r="Q2456" t="inlineStr">
        <is>
          <t>München</t>
        </is>
      </c>
    </row>
    <row r="2457">
      <c r="A2457" t="inlineStr">
        <is>
          <t>102 L</t>
        </is>
      </c>
      <c r="B2457" t="inlineStr">
        <is>
          <t>JP Freestyle Wave</t>
        </is>
      </c>
      <c r="C2457" t="inlineStr">
        <is>
          <t>Freestyle Wave</t>
        </is>
      </c>
      <c r="D2457" s="3" t="n">
        <v>102</v>
      </c>
      <c r="E2457" t="inlineStr"/>
      <c r="F2457" s="4" t="n">
        <v>50</v>
      </c>
      <c r="G2457" t="inlineStr"/>
      <c r="H2457" t="inlineStr">
        <is>
          <t>33617 Bielefeld</t>
        </is>
      </c>
      <c r="I2457" s="5" t="n">
        <v>45524</v>
      </c>
      <c r="J2457" t="inlineStr">
        <is>
          <t>Sold</t>
        </is>
      </c>
      <c r="K2457" s="6">
        <f>HYPERLINK("https://www.dailydose.de/kleinanzeigen/detail.htm?ai=421208&amp;cf=kk&amp;pg=5&amp;ci=11", "Link")</f>
        <v/>
      </c>
      <c r="L2457" s="6">
        <f>HYPERLINK("C:\Projects\Kleinanzeigen-Scraper\offer_images\421208", "Link")</f>
        <v/>
      </c>
      <c r="M2457" t="inlineStr">
        <is>
          <t>Krzysztof</t>
        </is>
      </c>
      <c r="N2457" s="6">
        <f>HYPERLINK("https://www.dailydose.de/kleinanzeigen/user/13851", "Link")</f>
        <v/>
      </c>
      <c r="O2457" s="7" t="n">
        <v>45536.91350694445</v>
      </c>
      <c r="P2457" s="3" t="inlineStr">
        <is>
          <t>160.92</t>
        </is>
      </c>
      <c r="Q2457" t="inlineStr">
        <is>
          <t>Köln</t>
        </is>
      </c>
    </row>
    <row r="2458">
      <c r="A2458" t="inlineStr">
        <is>
          <t>Dimensions not provided</t>
        </is>
      </c>
      <c r="B2458" t="inlineStr">
        <is>
          <t>Goya Custom 4</t>
        </is>
      </c>
      <c r="C2458" t="inlineStr"/>
      <c r="D2458" s="3" t="n">
        <v>84</v>
      </c>
      <c r="E2458" t="inlineStr"/>
      <c r="F2458" s="4" t="n">
        <v>1050</v>
      </c>
      <c r="G2458" t="inlineStr"/>
      <c r="H2458" t="inlineStr">
        <is>
          <t>22559 Hamburg</t>
        </is>
      </c>
      <c r="I2458" s="5" t="n">
        <v>45533</v>
      </c>
      <c r="J2458" t="inlineStr">
        <is>
          <t>Sold</t>
        </is>
      </c>
      <c r="K2458" s="6">
        <f>HYPERLINK("https://www.dailydose.de/kleinanzeigen/detail.htm?ai=421731&amp;cf=kk&amp;pg=5&amp;ci=11", "Link")</f>
        <v/>
      </c>
      <c r="L2458" s="6">
        <f>HYPERLINK("C:\Projects\Kleinanzeigen-Scraper\offer_images\421731", "Link")</f>
        <v/>
      </c>
      <c r="M2458" t="inlineStr">
        <is>
          <t>Frank_73</t>
        </is>
      </c>
      <c r="N2458" s="6">
        <f>HYPERLINK("https://www.dailydose.de/kleinanzeigen/user/8633", "Link")</f>
        <v/>
      </c>
      <c r="O2458" s="7" t="n">
        <v>45536.9134837963</v>
      </c>
      <c r="P2458" s="3" t="inlineStr">
        <is>
          <t>350.33</t>
        </is>
      </c>
      <c r="Q2458" t="inlineStr">
        <is>
          <t>Köln</t>
        </is>
      </c>
    </row>
    <row r="2459">
      <c r="A2459" t="inlineStr"/>
      <c r="B2459" t="inlineStr">
        <is>
          <t>Goya Custom</t>
        </is>
      </c>
      <c r="C2459" t="inlineStr">
        <is>
          <t>Thruster</t>
        </is>
      </c>
      <c r="D2459" s="3" t="n">
        <v>92</v>
      </c>
      <c r="E2459" t="inlineStr"/>
      <c r="F2459" s="4" t="n">
        <v>790</v>
      </c>
      <c r="G2459" t="inlineStr">
        <is>
          <t>VB</t>
        </is>
      </c>
      <c r="H2459" t="inlineStr">
        <is>
          <t>20359 Hamburg</t>
        </is>
      </c>
      <c r="I2459" s="5" t="n">
        <v>45528</v>
      </c>
      <c r="J2459" t="inlineStr">
        <is>
          <t>Sold</t>
        </is>
      </c>
      <c r="K2459" s="6">
        <f>HYPERLINK("https://www.dailydose.de/kleinanzeigen/detail.htm?ai=421340&amp;cf=kk&amp;pg=5&amp;ci=11", "Link")</f>
        <v/>
      </c>
      <c r="L2459" s="6">
        <f>HYPERLINK("C:\Projects\Kleinanzeigen-Scraper\offer_images\421340", "Link")</f>
        <v/>
      </c>
      <c r="M2459" t="inlineStr">
        <is>
          <t>FLueders</t>
        </is>
      </c>
      <c r="N2459" s="6">
        <f>HYPERLINK("https://www.dailydose.de/kleinanzeigen/user/8897", "Link")</f>
        <v/>
      </c>
      <c r="O2459" s="7" t="n">
        <v>45536.91344907408</v>
      </c>
      <c r="P2459" s="3" t="inlineStr">
        <is>
          <t>355.45</t>
        </is>
      </c>
      <c r="Q2459" t="inlineStr">
        <is>
          <t>Köln</t>
        </is>
      </c>
    </row>
    <row r="2460">
      <c r="A2460" t="inlineStr">
        <is>
          <t>225 x 59.5</t>
        </is>
      </c>
      <c r="B2460" t="inlineStr">
        <is>
          <t>Starboard Ultra</t>
        </is>
      </c>
      <c r="C2460" t="inlineStr"/>
      <c r="D2460" s="3" t="n">
        <v>93</v>
      </c>
      <c r="E2460" t="inlineStr">
        <is>
          <t>2023</t>
        </is>
      </c>
      <c r="F2460" s="4" t="n">
        <v>940</v>
      </c>
      <c r="G2460" t="inlineStr"/>
      <c r="H2460" t="inlineStr">
        <is>
          <t>19053 Schwerin</t>
        </is>
      </c>
      <c r="I2460" s="5" t="n">
        <v>45529</v>
      </c>
      <c r="J2460" t="inlineStr">
        <is>
          <t>Sold</t>
        </is>
      </c>
      <c r="K2460" s="6">
        <f>HYPERLINK("https://www.dailydose.de/kleinanzeigen/detail.htm?ai=421406&amp;cf=kk&amp;pg=5&amp;ci=11", "Link")</f>
        <v/>
      </c>
      <c r="L2460" s="6">
        <f>HYPERLINK("C:\Projects\Kleinanzeigen-Scraper\offer_images\421406", "Link")</f>
        <v/>
      </c>
      <c r="M2460" t="inlineStr">
        <is>
          <t>Tom_218</t>
        </is>
      </c>
      <c r="N2460" s="6">
        <f>HYPERLINK("https://www.dailydose.de/kleinanzeigen/user/23263", "Link")</f>
        <v/>
      </c>
      <c r="O2460" s="7" t="n">
        <v>45536.91344907408</v>
      </c>
      <c r="P2460" s="3" t="inlineStr">
        <is>
          <t>425.13</t>
        </is>
      </c>
      <c r="Q2460" t="inlineStr">
        <is>
          <t>Köln</t>
        </is>
      </c>
    </row>
    <row r="2461">
      <c r="A2461" t="inlineStr"/>
      <c r="B2461" t="inlineStr">
        <is>
          <t>Severne Dino</t>
        </is>
      </c>
      <c r="C2461" t="inlineStr"/>
      <c r="D2461" s="3" t="n">
        <v>105</v>
      </c>
      <c r="E2461" t="inlineStr">
        <is>
          <t>2020</t>
        </is>
      </c>
      <c r="F2461" s="4" t="n">
        <v>750</v>
      </c>
      <c r="G2461" t="inlineStr"/>
      <c r="H2461" t="inlineStr">
        <is>
          <t>26389 Wilhelmshaven</t>
        </is>
      </c>
      <c r="I2461" s="5" t="n">
        <v>45523</v>
      </c>
      <c r="J2461" t="inlineStr">
        <is>
          <t>Sold</t>
        </is>
      </c>
      <c r="K2461" s="6">
        <f>HYPERLINK("https://www.dailydose.de/kleinanzeigen/detail.htm?ai=421153&amp;cf=kk&amp;pg=5&amp;ci=11", "Link")</f>
        <v/>
      </c>
      <c r="L2461" s="6">
        <f>HYPERLINK("C:\Projects\Kleinanzeigen-Scraper\offer_images\421153", "Link")</f>
        <v/>
      </c>
      <c r="M2461" t="inlineStr">
        <is>
          <t>GER-22</t>
        </is>
      </c>
      <c r="N2461" s="6">
        <f>HYPERLINK("https://www.dailydose.de/kleinanzeigen/user/13544", "Link")</f>
        <v/>
      </c>
      <c r="O2461" s="7" t="n">
        <v>45536.9134375</v>
      </c>
      <c r="P2461" s="3" t="inlineStr">
        <is>
          <t>296.86</t>
        </is>
      </c>
      <c r="Q2461" t="inlineStr">
        <is>
          <t>Köln</t>
        </is>
      </c>
    </row>
    <row r="2462">
      <c r="A2462" t="inlineStr">
        <is>
          <t>85</t>
        </is>
      </c>
      <c r="B2462" t="inlineStr">
        <is>
          <t>JP Slalom Pro</t>
        </is>
      </c>
      <c r="C2462" t="inlineStr">
        <is>
          <t>Slalom</t>
        </is>
      </c>
      <c r="D2462" s="3" t="inlineStr"/>
      <c r="E2462" t="inlineStr">
        <is>
          <t>2024</t>
        </is>
      </c>
      <c r="F2462" s="4" t="n">
        <v>1350</v>
      </c>
      <c r="G2462" t="inlineStr"/>
      <c r="H2462" t="inlineStr">
        <is>
          <t>88250 Weingarten</t>
        </is>
      </c>
      <c r="I2462" s="5" t="n">
        <v>45533</v>
      </c>
      <c r="J2462" t="inlineStr">
        <is>
          <t>Sold</t>
        </is>
      </c>
      <c r="K2462" s="6">
        <f>HYPERLINK("https://www.dailydose.de/kleinanzeigen/detail.htm?ai=421745&amp;cf=kk&amp;pg=5&amp;ci=11", "Link")</f>
        <v/>
      </c>
      <c r="L2462" s="6">
        <f>HYPERLINK("C:\Projects\Kleinanzeigen-Scraper\offer_images\421745", "Link")</f>
        <v/>
      </c>
      <c r="M2462" t="inlineStr">
        <is>
          <t>Markus_111</t>
        </is>
      </c>
      <c r="N2462" s="6">
        <f>HYPERLINK("https://www.dailydose.de/kleinanzeigen/user/25219", "Link")</f>
        <v/>
      </c>
      <c r="O2462" s="7" t="n">
        <v>45536.91341435185</v>
      </c>
      <c r="P2462" s="3" t="inlineStr">
        <is>
          <t>97.39</t>
        </is>
      </c>
      <c r="Q2462" t="inlineStr">
        <is>
          <t>Bonndorf</t>
        </is>
      </c>
    </row>
    <row r="2463">
      <c r="A2463" t="inlineStr"/>
      <c r="B2463" t="inlineStr">
        <is>
          <t>JP Freestyle Wave</t>
        </is>
      </c>
      <c r="C2463" t="inlineStr">
        <is>
          <t>Freestyle Wave</t>
        </is>
      </c>
      <c r="D2463" s="3" t="n">
        <v>84</v>
      </c>
      <c r="E2463" t="inlineStr">
        <is>
          <t>2009</t>
        </is>
      </c>
      <c r="F2463" s="4" t="n">
        <v>80</v>
      </c>
      <c r="G2463" t="inlineStr"/>
      <c r="H2463" t="inlineStr">
        <is>
          <t>24105 Kiel</t>
        </is>
      </c>
      <c r="I2463" s="5" t="n">
        <v>45525</v>
      </c>
      <c r="J2463" t="inlineStr">
        <is>
          <t>Sold</t>
        </is>
      </c>
      <c r="K2463" s="6">
        <f>HYPERLINK("https://www.dailydose.de/kleinanzeigen/detail.htm?ai=421219&amp;cf=kk&amp;pg=5&amp;ci=11", "Link")</f>
        <v/>
      </c>
      <c r="L2463" s="6">
        <f>HYPERLINK("C:\Projects\Kleinanzeigen-Scraper\offer_images\421219", "Link")</f>
        <v/>
      </c>
      <c r="M2463" t="inlineStr">
        <is>
          <t>Felix2907</t>
        </is>
      </c>
      <c r="N2463" s="6">
        <f>HYPERLINK("https://www.dailydose.de/kleinanzeigen/user/8115", "Link")</f>
        <v/>
      </c>
      <c r="O2463" s="7" t="n">
        <v>45536.91341435185</v>
      </c>
      <c r="P2463" s="3" t="inlineStr">
        <is>
          <t>435.05</t>
        </is>
      </c>
      <c r="Q2463" t="inlineStr">
        <is>
          <t>Köln</t>
        </is>
      </c>
    </row>
    <row r="2464">
      <c r="A2464" t="inlineStr">
        <is>
          <t>150</t>
        </is>
      </c>
      <c r="B2464" t="inlineStr">
        <is>
          <t>PATRIK F Race</t>
        </is>
      </c>
      <c r="C2464" t="inlineStr">
        <is>
          <t>Race</t>
        </is>
      </c>
      <c r="D2464" s="3" t="inlineStr"/>
      <c r="E2464" t="inlineStr">
        <is>
          <t>2024</t>
        </is>
      </c>
      <c r="F2464" s="4" t="n">
        <v>1495</v>
      </c>
      <c r="G2464" t="inlineStr"/>
      <c r="H2464" t="inlineStr">
        <is>
          <t>63303 Dreieich</t>
        </is>
      </c>
      <c r="I2464" s="5" t="n">
        <v>45532</v>
      </c>
      <c r="J2464" t="inlineStr">
        <is>
          <t>Sold</t>
        </is>
      </c>
      <c r="K2464" s="6">
        <f>HYPERLINK("https://www.dailydose.de/kleinanzeigen/detail.htm?ai=421675&amp;cf=kk&amp;pg=5&amp;ci=11", "Link")</f>
        <v/>
      </c>
      <c r="L2464" s="6">
        <f>HYPERLINK("C:\Projects\Kleinanzeigen-Scraper\offer_images\421675", "Link")</f>
        <v/>
      </c>
      <c r="M2464" t="inlineStr">
        <is>
          <t>Thomas Goltz</t>
        </is>
      </c>
      <c r="N2464" s="6">
        <f>HYPERLINK("https://www.dailydose.de/kleinanzeigen/user/23107", "Link")</f>
        <v/>
      </c>
      <c r="O2464" s="7" t="n">
        <v>45536.91337962963</v>
      </c>
      <c r="P2464" s="3" t="inlineStr">
        <is>
          <t>115.78</t>
        </is>
      </c>
      <c r="Q2464" t="inlineStr">
        <is>
          <t>Karlsruhe</t>
        </is>
      </c>
    </row>
    <row r="2465">
      <c r="A2465" t="inlineStr"/>
      <c r="B2465" t="inlineStr">
        <is>
          <t>Fanatic Freewave TE</t>
        </is>
      </c>
      <c r="C2465" t="inlineStr">
        <is>
          <t>Freeride</t>
        </is>
      </c>
      <c r="D2465" s="3" t="n">
        <v>115</v>
      </c>
      <c r="E2465" t="inlineStr">
        <is>
          <t>2023</t>
        </is>
      </c>
      <c r="F2465" s="4" t="n">
        <v>1500</v>
      </c>
      <c r="G2465" t="inlineStr">
        <is>
          <t>VB</t>
        </is>
      </c>
      <c r="H2465" t="inlineStr">
        <is>
          <t>24146 Kiel</t>
        </is>
      </c>
      <c r="I2465" s="5" t="n">
        <v>45536</v>
      </c>
      <c r="J2465" t="inlineStr">
        <is>
          <t>Sold</t>
        </is>
      </c>
      <c r="K2465" s="6">
        <f>HYPERLINK("https://www.dailydose.de/kleinanzeigen/detail.htm?ai=421870&amp;cf=kk&amp;pg=5&amp;ci=11", "Link")</f>
        <v/>
      </c>
      <c r="L2465" s="6">
        <f>HYPERLINK("C:\Projects\Kleinanzeigen-Scraper\offer_images\421870", "Link")</f>
        <v/>
      </c>
      <c r="M2465" t="inlineStr">
        <is>
          <t>Stefan_296</t>
        </is>
      </c>
      <c r="N2465" s="6">
        <f>HYPERLINK("https://www.dailydose.de/kleinanzeigen/user/22839", "Link")</f>
        <v/>
      </c>
      <c r="O2465" s="7" t="n">
        <v>45536.91337962963</v>
      </c>
      <c r="P2465" s="3" t="inlineStr">
        <is>
          <t>431.93</t>
        </is>
      </c>
      <c r="Q2465" t="inlineStr">
        <is>
          <t>Köln</t>
        </is>
      </c>
    </row>
    <row r="2466">
      <c r="A2466" t="inlineStr"/>
      <c r="B2466" t="inlineStr">
        <is>
          <t>Patrik 43 Speed</t>
        </is>
      </c>
      <c r="C2466" t="inlineStr">
        <is>
          <t>Speed</t>
        </is>
      </c>
      <c r="D2466" s="3" t="inlineStr"/>
      <c r="E2466" t="inlineStr"/>
      <c r="F2466" s="4" t="n">
        <v>800</v>
      </c>
      <c r="G2466" t="inlineStr"/>
      <c r="H2466" t="inlineStr">
        <is>
          <t>86697 Oberhausen</t>
        </is>
      </c>
      <c r="I2466" s="5" t="n">
        <v>45536</v>
      </c>
      <c r="J2466" t="inlineStr">
        <is>
          <t>Sold</t>
        </is>
      </c>
      <c r="K2466" s="6">
        <f>HYPERLINK("https://www.dailydose.de/kleinanzeigen/detail.htm?ai=421888&amp;cf=kk&amp;pg=5&amp;ci=11", "Link")</f>
        <v/>
      </c>
      <c r="L2466" s="6">
        <f>HYPERLINK("C:\Projects\Kleinanzeigen-Scraper\offer_images\421888", "Link")</f>
        <v/>
      </c>
      <c r="M2466" t="inlineStr">
        <is>
          <t>blaubaer3</t>
        </is>
      </c>
      <c r="N2466" s="6">
        <f>HYPERLINK("https://www.dailydose.de/kleinanzeigen/user/23677", "Link")</f>
        <v/>
      </c>
      <c r="O2466" s="7" t="n">
        <v>45536.91337962963</v>
      </c>
      <c r="P2466" s="3" t="inlineStr">
        <is>
          <t>73.15</t>
        </is>
      </c>
      <c r="Q2466" t="inlineStr">
        <is>
          <t>München</t>
        </is>
      </c>
    </row>
    <row r="2467">
      <c r="A2467" t="inlineStr">
        <is>
          <t>275 cm x 90 cm</t>
        </is>
      </c>
      <c r="B2467" t="inlineStr">
        <is>
          <t>Hifly Mambo</t>
        </is>
      </c>
      <c r="C2467" t="inlineStr"/>
      <c r="D2467" s="3" t="n">
        <v>175</v>
      </c>
      <c r="E2467" t="inlineStr"/>
      <c r="F2467" s="4" t="n">
        <v>180</v>
      </c>
      <c r="G2467" t="inlineStr"/>
      <c r="H2467" t="inlineStr">
        <is>
          <t>22765 Hamburg</t>
        </is>
      </c>
      <c r="I2467" s="5" t="n">
        <v>45532</v>
      </c>
      <c r="J2467" t="inlineStr">
        <is>
          <t>Sold</t>
        </is>
      </c>
      <c r="K2467" s="6">
        <f>HYPERLINK("https://www.dailydose.de/kleinanzeigen/detail.htm?ai=421664&amp;cf=kk&amp;pg=5&amp;ci=11", "Link")</f>
        <v/>
      </c>
      <c r="L2467" s="6">
        <f>HYPERLINK("C:\Projects\Kleinanzeigen-Scraper\offer_images\421664", "Link")</f>
        <v/>
      </c>
      <c r="M2467" t="inlineStr">
        <is>
          <t>rclasen</t>
        </is>
      </c>
      <c r="N2467" s="6">
        <f>HYPERLINK("https://www.dailydose.de/kleinanzeigen/user/7259", "Link")</f>
        <v/>
      </c>
      <c r="O2467" s="7" t="n">
        <v>45536.91334490741</v>
      </c>
      <c r="P2467" s="3" t="inlineStr">
        <is>
          <t>354.49</t>
        </is>
      </c>
      <c r="Q2467" t="inlineStr">
        <is>
          <t>Köln</t>
        </is>
      </c>
    </row>
    <row r="2468">
      <c r="A2468" t="inlineStr">
        <is>
          <t>224 cm x 64 cm</t>
        </is>
      </c>
      <c r="B2468" t="inlineStr">
        <is>
          <t>Wark Freestyle</t>
        </is>
      </c>
      <c r="C2468" t="inlineStr">
        <is>
          <t>Freestyle</t>
        </is>
      </c>
      <c r="D2468" s="3" t="n">
        <v>100</v>
      </c>
      <c r="E2468" t="inlineStr"/>
      <c r="F2468" s="4" t="n">
        <v>1100</v>
      </c>
      <c r="G2468" t="inlineStr"/>
      <c r="H2468" t="inlineStr">
        <is>
          <t>85737 Ismaning</t>
        </is>
      </c>
      <c r="I2468" s="5" t="n">
        <v>45525</v>
      </c>
      <c r="J2468" t="inlineStr">
        <is>
          <t>Sold</t>
        </is>
      </c>
      <c r="K2468" s="6">
        <f>HYPERLINK("https://www.dailydose.de/kleinanzeigen/detail.htm?ai=421227&amp;cf=kk&amp;pg=5&amp;ci=11", "Link")</f>
        <v/>
      </c>
      <c r="L2468" s="6">
        <f>HYPERLINK("C:\Projects\Kleinanzeigen-Scraper\offer_images\421227", "Link")</f>
        <v/>
      </c>
      <c r="M2468" t="inlineStr">
        <is>
          <t>Marco Schneider</t>
        </is>
      </c>
      <c r="N2468" s="6">
        <f>HYPERLINK("https://www.dailydose.de/kleinanzeigen/user/20935", "Link")</f>
        <v/>
      </c>
      <c r="O2468" s="7" t="n">
        <v>45536.91328703704</v>
      </c>
      <c r="P2468" s="3" t="inlineStr">
        <is>
          <t>14.56</t>
        </is>
      </c>
      <c r="Q2468" t="inlineStr">
        <is>
          <t>München</t>
        </is>
      </c>
    </row>
    <row r="2469">
      <c r="A2469" t="inlineStr">
        <is>
          <t>280 cm x 90 cm</t>
        </is>
      </c>
      <c r="B2469" t="inlineStr">
        <is>
          <t>Starboard FREE FORMULA</t>
        </is>
      </c>
      <c r="C2469" t="inlineStr">
        <is>
          <t>Freeride</t>
        </is>
      </c>
      <c r="D2469" s="3" t="n">
        <v>198</v>
      </c>
      <c r="E2469" t="inlineStr"/>
      <c r="F2469" s="4" t="n">
        <v>350</v>
      </c>
      <c r="G2469" t="inlineStr">
        <is>
          <t>VB</t>
        </is>
      </c>
      <c r="H2469" t="inlineStr">
        <is>
          <t>23909 Ratzeburg</t>
        </is>
      </c>
      <c r="I2469" s="5" t="n">
        <v>45534</v>
      </c>
      <c r="J2469" t="inlineStr">
        <is>
          <t>Sold</t>
        </is>
      </c>
      <c r="K2469" s="6">
        <f>HYPERLINK("https://www.dailydose.de/kleinanzeigen/detail.htm?ai=421768&amp;cf=kk&amp;pg=4&amp;ci=11", "Link")</f>
        <v/>
      </c>
      <c r="L2469" s="6">
        <f>HYPERLINK("C:\Projects\Kleinanzeigen-Scraper\offer_images\421768", "Link")</f>
        <v/>
      </c>
      <c r="M2469" t="inlineStr">
        <is>
          <t>Insider</t>
        </is>
      </c>
      <c r="N2469" s="6">
        <f>HYPERLINK("https://www.dailydose.de/kleinanzeigen/user/20603", "Link")</f>
        <v/>
      </c>
      <c r="O2469" s="7" t="n">
        <v>45536.91325231481</v>
      </c>
      <c r="P2469" s="3" t="inlineStr">
        <is>
          <t>401.75</t>
        </is>
      </c>
      <c r="Q2469" t="inlineStr">
        <is>
          <t>Köln</t>
        </is>
      </c>
    </row>
    <row r="2470">
      <c r="A2470" t="inlineStr">
        <is>
          <t>225cm x 60cm</t>
        </is>
      </c>
      <c r="B2470" t="inlineStr">
        <is>
          <t>Fanatic SKATE TE</t>
        </is>
      </c>
      <c r="C2470" t="inlineStr">
        <is>
          <t>Freestyle</t>
        </is>
      </c>
      <c r="D2470" s="3" t="n">
        <v>85</v>
      </c>
      <c r="E2470" t="inlineStr">
        <is>
          <t>2023</t>
        </is>
      </c>
      <c r="F2470" s="4" t="n">
        <v>1299</v>
      </c>
      <c r="G2470" t="inlineStr"/>
      <c r="H2470" t="inlineStr">
        <is>
          <t>93051 Regensburg</t>
        </is>
      </c>
      <c r="I2470" s="5" t="n">
        <v>45527</v>
      </c>
      <c r="J2470" t="inlineStr">
        <is>
          <t>Sold</t>
        </is>
      </c>
      <c r="K2470" s="6">
        <f>HYPERLINK("https://www.dailydose.de/kleinanzeigen/detail.htm?ai=421308&amp;cf=kk&amp;pg=5&amp;ci=11", "Link")</f>
        <v/>
      </c>
      <c r="L2470" s="6">
        <f>HYPERLINK("C:\Projects\Kleinanzeigen-Scraper\offer_images\421308", "Link")</f>
        <v/>
      </c>
      <c r="M2470" t="inlineStr">
        <is>
          <t>wolfgang_54</t>
        </is>
      </c>
      <c r="N2470" s="6">
        <f>HYPERLINK("https://www.dailydose.de/kleinanzeigen/user/25302", "Link")</f>
        <v/>
      </c>
      <c r="O2470" s="7" t="n">
        <v>45536.91325231481</v>
      </c>
      <c r="P2470" s="3" t="inlineStr">
        <is>
          <t>103.13</t>
        </is>
      </c>
      <c r="Q2470" t="inlineStr">
        <is>
          <t>München</t>
        </is>
      </c>
    </row>
    <row r="2471">
      <c r="A2471" t="inlineStr">
        <is>
          <t>350cm x 67cm</t>
        </is>
      </c>
      <c r="B2471" t="inlineStr">
        <is>
          <t>F2 Strato</t>
        </is>
      </c>
      <c r="C2471" t="inlineStr">
        <is>
          <t>Freeride</t>
        </is>
      </c>
      <c r="D2471" s="3" t="n">
        <v>185</v>
      </c>
      <c r="E2471" t="inlineStr">
        <is>
          <t>1983</t>
        </is>
      </c>
      <c r="F2471" s="4" t="n">
        <v>100</v>
      </c>
      <c r="G2471" t="inlineStr"/>
      <c r="H2471" t="inlineStr">
        <is>
          <t>12527 Berlin</t>
        </is>
      </c>
      <c r="I2471" s="5" t="n">
        <v>45533</v>
      </c>
      <c r="J2471" t="inlineStr">
        <is>
          <t>Sold</t>
        </is>
      </c>
      <c r="K2471" s="6">
        <f>HYPERLINK("https://www.dailydose.de/kleinanzeigen/detail.htm?ai=421684&amp;cf=kk&amp;pg=4&amp;ci=11", "Link")</f>
        <v/>
      </c>
      <c r="L2471" s="6">
        <f>HYPERLINK("C:\Projects\Kleinanzeigen-Scraper\offer_images\421684", "Link")</f>
        <v/>
      </c>
      <c r="M2471" t="inlineStr">
        <is>
          <t>stg</t>
        </is>
      </c>
      <c r="N2471" s="6">
        <f>HYPERLINK("https://www.dailydose.de/kleinanzeigen/user/22114", "Link")</f>
        <v/>
      </c>
      <c r="O2471" s="7" t="n">
        <v>45536.91325231481</v>
      </c>
      <c r="P2471" s="3" t="inlineStr">
        <is>
          <t>487.71</t>
        </is>
      </c>
      <c r="Q2471" t="inlineStr">
        <is>
          <t>Köln</t>
        </is>
      </c>
    </row>
    <row r="2472">
      <c r="A2472" t="inlineStr">
        <is>
          <t>285 x 94</t>
        </is>
      </c>
      <c r="B2472" t="inlineStr">
        <is>
          <t>F2 Sputnik</t>
        </is>
      </c>
      <c r="C2472" t="inlineStr">
        <is>
          <t>Freeride</t>
        </is>
      </c>
      <c r="D2472" s="3" t="n">
        <v>110</v>
      </c>
      <c r="E2472" t="inlineStr"/>
      <c r="F2472" s="4" t="n">
        <v>50</v>
      </c>
      <c r="G2472" t="inlineStr"/>
      <c r="H2472" t="inlineStr">
        <is>
          <t>12527 Berlin</t>
        </is>
      </c>
      <c r="I2472" s="5" t="n">
        <v>45534</v>
      </c>
      <c r="J2472" t="inlineStr">
        <is>
          <t>Sold</t>
        </is>
      </c>
      <c r="K2472" s="6">
        <f>HYPERLINK("https://www.dailydose.de/kleinanzeigen/detail.htm?ai=421791&amp;cf=kk&amp;pg=5&amp;ci=11", "Link")</f>
        <v/>
      </c>
      <c r="L2472" s="6">
        <f>HYPERLINK("C:\Projects\Kleinanzeigen-Scraper\offer_images\421791", "Link")</f>
        <v/>
      </c>
      <c r="M2472" t="inlineStr">
        <is>
          <t>stg</t>
        </is>
      </c>
      <c r="N2472" s="6">
        <f>HYPERLINK("https://www.dailydose.de/kleinanzeigen/user/22114", "Link")</f>
        <v/>
      </c>
      <c r="O2472" s="7" t="n">
        <v>45536.91322916667</v>
      </c>
      <c r="P2472" s="3" t="inlineStr">
        <is>
          <t>487.71</t>
        </is>
      </c>
      <c r="Q2472" t="inlineStr">
        <is>
          <t>Köln</t>
        </is>
      </c>
    </row>
    <row r="2473">
      <c r="A2473" t="inlineStr">
        <is>
          <t>236cm x 61cm</t>
        </is>
      </c>
      <c r="B2473" t="inlineStr">
        <is>
          <t>Exocet I Style</t>
        </is>
      </c>
      <c r="C2473" t="inlineStr">
        <is>
          <t>Freeride</t>
        </is>
      </c>
      <c r="D2473" s="3" t="n">
        <v>94</v>
      </c>
      <c r="E2473" t="inlineStr"/>
      <c r="F2473" s="4" t="n">
        <v>50</v>
      </c>
      <c r="G2473" t="inlineStr"/>
      <c r="H2473" t="inlineStr">
        <is>
          <t>DK 6960 Hvide Sande</t>
        </is>
      </c>
      <c r="I2473" s="5" t="n">
        <v>45536</v>
      </c>
      <c r="J2473" t="inlineStr">
        <is>
          <t>Sold</t>
        </is>
      </c>
      <c r="K2473" s="6">
        <f>HYPERLINK("https://www.dailydose.de/kleinanzeigen/detail.htm?ai=421876&amp;cf=kk&amp;pg=5&amp;ci=11", "Link")</f>
        <v/>
      </c>
      <c r="L2473" s="6">
        <f>HYPERLINK("C:\Projects\Kleinanzeigen-Scraper\offer_images\421876", "Link")</f>
        <v/>
      </c>
      <c r="M2473" t="inlineStr">
        <is>
          <t>Thomas Grzybowski</t>
        </is>
      </c>
      <c r="N2473" s="6">
        <f>HYPERLINK("https://www.dailydose.de/kleinanzeigen/user/22435", "Link")</f>
        <v/>
      </c>
      <c r="O2473" s="7" t="n">
        <v>45536.91322916667</v>
      </c>
      <c r="P2473" s="3" t="inlineStr">
        <is>
          <t>568.76</t>
        </is>
      </c>
      <c r="Q2473" t="inlineStr">
        <is>
          <t>Köln</t>
        </is>
      </c>
    </row>
    <row r="2474">
      <c r="A2474" t="inlineStr"/>
      <c r="B2474" t="inlineStr">
        <is>
          <t>Tabou Rocket</t>
        </is>
      </c>
      <c r="C2474" t="inlineStr">
        <is>
          <t>Freeride</t>
        </is>
      </c>
      <c r="D2474" s="3" t="n">
        <v>135</v>
      </c>
      <c r="E2474" t="inlineStr"/>
      <c r="F2474" s="4" t="n">
        <v>550</v>
      </c>
      <c r="G2474" t="inlineStr"/>
      <c r="H2474" t="inlineStr">
        <is>
          <t>59469 Ense</t>
        </is>
      </c>
      <c r="I2474" s="5" t="n">
        <v>45531</v>
      </c>
      <c r="J2474" t="inlineStr">
        <is>
          <t>Sold</t>
        </is>
      </c>
      <c r="K2474" s="6">
        <f>HYPERLINK("https://www.dailydose.de/kleinanzeigen/detail.htm?ai=421563&amp;cf=kk&amp;pg=5&amp;ci=11", "Link")</f>
        <v/>
      </c>
      <c r="L2474" s="6">
        <f>HYPERLINK("C:\Projects\Kleinanzeigen-Scraper\offer_images\421563", "Link")</f>
        <v/>
      </c>
      <c r="M2474" t="inlineStr">
        <is>
          <t>Leonie_Ldwr</t>
        </is>
      </c>
      <c r="N2474" s="6">
        <f>HYPERLINK("https://www.dailydose.de/kleinanzeigen/user/26331", "Link")</f>
        <v/>
      </c>
      <c r="O2474" s="7" t="n">
        <v>45536.91322916667</v>
      </c>
      <c r="P2474" s="3" t="inlineStr">
        <is>
          <t>94.85</t>
        </is>
      </c>
      <c r="Q2474" t="inlineStr">
        <is>
          <t>Köln</t>
        </is>
      </c>
    </row>
    <row r="2475">
      <c r="A2475" t="inlineStr">
        <is>
          <t>242 cm x 66 cm</t>
        </is>
      </c>
      <c r="B2475" t="inlineStr">
        <is>
          <t>Tabou Rocket</t>
        </is>
      </c>
      <c r="C2475" t="inlineStr">
        <is>
          <t>Freeride</t>
        </is>
      </c>
      <c r="D2475" s="3" t="n">
        <v>115</v>
      </c>
      <c r="E2475" t="inlineStr"/>
      <c r="F2475" s="4" t="n">
        <v>490</v>
      </c>
      <c r="G2475" t="inlineStr">
        <is>
          <t>VB</t>
        </is>
      </c>
      <c r="H2475" t="inlineStr">
        <is>
          <t>81929 München</t>
        </is>
      </c>
      <c r="I2475" s="5" t="n">
        <v>45535</v>
      </c>
      <c r="J2475" t="inlineStr">
        <is>
          <t>Sold</t>
        </is>
      </c>
      <c r="K2475" s="6">
        <f>HYPERLINK("https://www.dailydose.de/kleinanzeigen/detail.htm?ai=421831&amp;cf=kk&amp;pg=5&amp;ci=11", "Link")</f>
        <v/>
      </c>
      <c r="L2475" s="6">
        <f>HYPERLINK("C:\Projects\Kleinanzeigen-Scraper\offer_images\421831", "Link")</f>
        <v/>
      </c>
      <c r="M2475" t="inlineStr">
        <is>
          <t>Kristian_11</t>
        </is>
      </c>
      <c r="N2475" s="6">
        <f>HYPERLINK("https://www.dailydose.de/kleinanzeigen/user/13808", "Link")</f>
        <v/>
      </c>
      <c r="O2475" s="7" t="n">
        <v>45536.91315972222</v>
      </c>
      <c r="P2475" s="3" t="inlineStr">
        <is>
          <t>6.89</t>
        </is>
      </c>
      <c r="Q2475" t="inlineStr">
        <is>
          <t>München</t>
        </is>
      </c>
    </row>
    <row r="2476">
      <c r="A2476" t="inlineStr">
        <is>
          <t>92</t>
        </is>
      </c>
      <c r="B2476" t="inlineStr">
        <is>
          <t>JP Freestyle</t>
        </is>
      </c>
      <c r="C2476" t="inlineStr">
        <is>
          <t>Freestyle</t>
        </is>
      </c>
      <c r="D2476" s="3" t="inlineStr"/>
      <c r="E2476" t="inlineStr"/>
      <c r="F2476" s="4" t="n">
        <v>599</v>
      </c>
      <c r="G2476" t="inlineStr"/>
      <c r="H2476" t="inlineStr">
        <is>
          <t>23769 Fehmarn</t>
        </is>
      </c>
      <c r="I2476" s="5" t="n">
        <v>45534</v>
      </c>
      <c r="J2476" t="inlineStr">
        <is>
          <t>Sold</t>
        </is>
      </c>
      <c r="K2476" s="6">
        <f>HYPERLINK("https://www.dailydose.de/kleinanzeigen/detail.htm?ai=421795&amp;cf=kk&amp;pg=5&amp;ci=11", "Link")</f>
        <v/>
      </c>
      <c r="L2476" s="6">
        <f>HYPERLINK("C:\Projects\Kleinanzeigen-Scraper\offer_images\421795", "Link")</f>
        <v/>
      </c>
      <c r="M2476" t="inlineStr">
        <is>
          <t>Gold</t>
        </is>
      </c>
      <c r="N2476" s="6">
        <f>HYPERLINK("https://www.dailydose.de/kleinanzeigen/user/10200", "Link")</f>
        <v/>
      </c>
      <c r="O2476" s="7" t="n">
        <v>45536.91291666667</v>
      </c>
      <c r="P2476" s="3" t="inlineStr">
        <is>
          <t>483.01</t>
        </is>
      </c>
      <c r="Q2476" t="inlineStr">
        <is>
          <t>Köln</t>
        </is>
      </c>
    </row>
    <row r="2477">
      <c r="A2477" t="inlineStr"/>
      <c r="B2477" t="inlineStr">
        <is>
          <t>Surfline Munich</t>
        </is>
      </c>
      <c r="C2477" t="inlineStr"/>
      <c r="D2477" s="3" t="n">
        <v>75</v>
      </c>
      <c r="E2477" t="inlineStr"/>
      <c r="F2477" s="4" t="inlineStr">
        <is>
          <t>600 CHF</t>
        </is>
      </c>
      <c r="G2477" t="inlineStr"/>
      <c r="H2477" t="inlineStr">
        <is>
          <t>6110 Wolhusen</t>
        </is>
      </c>
      <c r="I2477" s="5" t="n">
        <v>45522</v>
      </c>
      <c r="J2477" t="inlineStr">
        <is>
          <t>Sold</t>
        </is>
      </c>
      <c r="K2477" s="6">
        <f>HYPERLINK("https://www.dailydose.de/kleinanzeigen/detail.htm?ai=421090&amp;cf=kk&amp;pg=5&amp;ci=11", "Link")</f>
        <v/>
      </c>
      <c r="L2477" s="6">
        <f>HYPERLINK("C:\Projects\Kleinanzeigen-Scraper\offer_images\421090", "Link")</f>
        <v/>
      </c>
      <c r="M2477" t="inlineStr">
        <is>
          <t>Lian004</t>
        </is>
      </c>
      <c r="N2477" s="6">
        <f>HYPERLINK("https://www.dailydose.de/kleinanzeigen/user/26296", "Link")</f>
        <v/>
      </c>
      <c r="O2477" s="7" t="n">
        <v>45536.9128587963</v>
      </c>
      <c r="P2477" s="3" t="inlineStr">
        <is>
          <t>86.65</t>
        </is>
      </c>
      <c r="Q2477" t="inlineStr">
        <is>
          <t>Bonndorf</t>
        </is>
      </c>
    </row>
    <row r="2478">
      <c r="A2478" t="inlineStr">
        <is>
          <t>226 x 55.5</t>
        </is>
      </c>
      <c r="B2478" t="inlineStr">
        <is>
          <t>Fanatic Quad TE</t>
        </is>
      </c>
      <c r="C2478" t="inlineStr">
        <is>
          <t>Freestyle</t>
        </is>
      </c>
      <c r="D2478" s="3" t="n">
        <v>76</v>
      </c>
      <c r="E2478" t="inlineStr"/>
      <c r="F2478" s="4" t="n">
        <v>350</v>
      </c>
      <c r="G2478" t="inlineStr">
        <is>
          <t>VB</t>
        </is>
      </c>
      <c r="H2478" t="inlineStr">
        <is>
          <t>82467 GAP</t>
        </is>
      </c>
      <c r="I2478" s="5" t="n">
        <v>45526</v>
      </c>
      <c r="J2478" t="inlineStr">
        <is>
          <t>Sold</t>
        </is>
      </c>
      <c r="K2478" s="6">
        <f>HYPERLINK("https://www.dailydose.de/kleinanzeigen/detail.htm?ai=421284&amp;cf=kk&amp;pg=5&amp;ci=11", "Link")</f>
        <v/>
      </c>
      <c r="L2478" s="6">
        <f>HYPERLINK("C:\Projects\Kleinanzeigen-Scraper\offer_images\421284", "Link")</f>
        <v/>
      </c>
      <c r="M2478" t="inlineStr">
        <is>
          <t>der dude</t>
        </is>
      </c>
      <c r="N2478" s="6">
        <f>HYPERLINK("https://www.dailydose.de/kleinanzeigen/user/9073", "Link")</f>
        <v/>
      </c>
      <c r="O2478" s="7" t="n">
        <v>45536.91283564815</v>
      </c>
      <c r="P2478" s="3" t="inlineStr">
        <is>
          <t>80.76</t>
        </is>
      </c>
      <c r="Q2478" t="inlineStr">
        <is>
          <t>München</t>
        </is>
      </c>
    </row>
    <row r="2479">
      <c r="A2479" t="inlineStr">
        <is>
          <t>235 x 70 cm</t>
        </is>
      </c>
      <c r="B2479" t="inlineStr">
        <is>
          <t>NoveNove i-99</t>
        </is>
      </c>
      <c r="C2479" t="inlineStr">
        <is>
          <t>Slalom</t>
        </is>
      </c>
      <c r="D2479" s="3" t="n">
        <v>109</v>
      </c>
      <c r="E2479" t="inlineStr"/>
      <c r="F2479" s="4" t="n">
        <v>440</v>
      </c>
      <c r="G2479" t="inlineStr"/>
      <c r="H2479" t="inlineStr">
        <is>
          <t>87616 Marktoberdorf</t>
        </is>
      </c>
      <c r="I2479" s="5" t="n">
        <v>45531</v>
      </c>
      <c r="J2479" t="inlineStr">
        <is>
          <t>Sold</t>
        </is>
      </c>
      <c r="K2479" s="6">
        <f>HYPERLINK("https://www.dailydose.de/kleinanzeigen/detail.htm?ai=421562&amp;cf=kk&amp;pg=5&amp;ci=11", "Link")</f>
        <v/>
      </c>
      <c r="L2479" s="6">
        <f>HYPERLINK("C:\Projects\Kleinanzeigen-Scraper\offer_images\421562", "Link")</f>
        <v/>
      </c>
      <c r="M2479" t="inlineStr">
        <is>
          <t>Achim_189</t>
        </is>
      </c>
      <c r="N2479" s="6">
        <f>HYPERLINK("https://www.dailydose.de/kleinanzeigen/user/19262", "Link")</f>
        <v/>
      </c>
      <c r="O2479" s="7" t="n">
        <v>45536.91278935185</v>
      </c>
      <c r="P2479" s="3" t="inlineStr">
        <is>
          <t>83.30</t>
        </is>
      </c>
      <c r="Q2479" t="inlineStr">
        <is>
          <t>München</t>
        </is>
      </c>
    </row>
    <row r="2480">
      <c r="A2480" t="inlineStr">
        <is>
          <t>113</t>
        </is>
      </c>
      <c r="B2480" t="inlineStr">
        <is>
          <t>JP Freestyle Wave LXT</t>
        </is>
      </c>
      <c r="C2480" t="inlineStr">
        <is>
          <t>Freestyle Wave</t>
        </is>
      </c>
      <c r="D2480" s="3" t="inlineStr"/>
      <c r="E2480" t="inlineStr">
        <is>
          <t>2021</t>
        </is>
      </c>
      <c r="F2480" s="4" t="n">
        <v>850</v>
      </c>
      <c r="G2480" t="inlineStr"/>
      <c r="H2480" t="inlineStr">
        <is>
          <t>23775 Großenbrode</t>
        </is>
      </c>
      <c r="I2480" s="5" t="n">
        <v>45535</v>
      </c>
      <c r="J2480" t="inlineStr">
        <is>
          <t>Sold</t>
        </is>
      </c>
      <c r="K2480" s="6">
        <f>HYPERLINK("https://www.dailydose.de/kleinanzeigen/detail.htm?ai=421839&amp;cf=kk&amp;pg=2&amp;ci=11", "Link")</f>
        <v/>
      </c>
      <c r="L2480" s="6">
        <f>HYPERLINK("C:\Projects\Kleinanzeigen-Scraper\offer_images\421839", "Link")</f>
        <v/>
      </c>
      <c r="M2480" t="inlineStr">
        <is>
          <t>Holger_156</t>
        </is>
      </c>
      <c r="N2480" s="6">
        <f>HYPERLINK("https://www.dailydose.de/kleinanzeigen/user/10571", "Link")</f>
        <v/>
      </c>
      <c r="O2480" s="7" t="n">
        <v>45536.91276620371</v>
      </c>
      <c r="P2480" s="3" t="inlineStr">
        <is>
          <t>471.97</t>
        </is>
      </c>
      <c r="Q2480" t="inlineStr">
        <is>
          <t>Köln</t>
        </is>
      </c>
    </row>
    <row r="2481">
      <c r="A2481" t="inlineStr">
        <is>
          <t>217 x 85 cm</t>
        </is>
      </c>
      <c r="B2481" t="inlineStr">
        <is>
          <t>FMX Hyperion</t>
        </is>
      </c>
      <c r="C2481" t="inlineStr">
        <is>
          <t>Slalom-Foil</t>
        </is>
      </c>
      <c r="D2481" s="3" t="n">
        <v>158</v>
      </c>
      <c r="E2481" t="inlineStr"/>
      <c r="F2481" s="4" t="n">
        <v>1550</v>
      </c>
      <c r="G2481" t="inlineStr"/>
      <c r="H2481" t="inlineStr">
        <is>
          <t>38108 Braunschweig</t>
        </is>
      </c>
      <c r="I2481" s="5" t="n">
        <v>45522</v>
      </c>
      <c r="J2481" t="inlineStr">
        <is>
          <t>Sold</t>
        </is>
      </c>
      <c r="K2481" s="6">
        <f>HYPERLINK("https://www.dailydose.de/kleinanzeigen/detail.htm?ai=421145&amp;cf=kk&amp;pg=5&amp;ci=11", "Link")</f>
        <v/>
      </c>
      <c r="L2481" s="6">
        <f>HYPERLINK("C:\Projects\Kleinanzeigen-Scraper\offer_images\421145", "Link")</f>
        <v/>
      </c>
      <c r="M2481" t="inlineStr">
        <is>
          <t>silver----surfer</t>
        </is>
      </c>
      <c r="N2481" s="6">
        <f>HYPERLINK("https://www.dailydose.de/kleinanzeigen/user/9708", "Link")</f>
        <v/>
      </c>
      <c r="O2481" s="7" t="n">
        <v>45536.91276620371</v>
      </c>
      <c r="P2481" s="3" t="inlineStr">
        <is>
          <t>292.95</t>
        </is>
      </c>
      <c r="Q2481" t="inlineStr">
        <is>
          <t>Köln</t>
        </is>
      </c>
    </row>
    <row r="2482">
      <c r="A2482" t="inlineStr"/>
      <c r="B2482" t="inlineStr">
        <is>
          <t>Tabou</t>
        </is>
      </c>
      <c r="C2482" t="inlineStr"/>
      <c r="D2482" s="3" t="n">
        <v>76</v>
      </c>
      <c r="E2482" t="inlineStr">
        <is>
          <t>2024</t>
        </is>
      </c>
      <c r="F2482" s="4" t="n">
        <v>1000</v>
      </c>
      <c r="G2482" t="inlineStr"/>
      <c r="H2482" t="inlineStr">
        <is>
          <t>24539 Neumünster</t>
        </is>
      </c>
      <c r="I2482" s="5" t="n">
        <v>45531</v>
      </c>
      <c r="J2482" t="inlineStr">
        <is>
          <t>Sold</t>
        </is>
      </c>
      <c r="K2482" s="6">
        <f>HYPERLINK("https://www.dailydose.de/kleinanzeigen/detail.htm?ai=421586&amp;cf=kk&amp;pg=5&amp;ci=11", "Link")</f>
        <v/>
      </c>
      <c r="L2482" s="6">
        <f>HYPERLINK("C:\Projects\Kleinanzeigen-Scraper\offer_images\421586", "Link")</f>
        <v/>
      </c>
      <c r="M2482" t="inlineStr">
        <is>
          <t>Lars Bubelach</t>
        </is>
      </c>
      <c r="N2482" s="6">
        <f>HYPERLINK("https://www.dailydose.de/kleinanzeigen/user/14076", "Link")</f>
        <v/>
      </c>
      <c r="O2482" s="7" t="n">
        <v>45536.91273148148</v>
      </c>
      <c r="P2482" s="3" t="inlineStr">
        <is>
          <t>402.09</t>
        </is>
      </c>
      <c r="Q2482" t="inlineStr">
        <is>
          <t>Köln</t>
        </is>
      </c>
    </row>
    <row r="2483">
      <c r="A2483" t="inlineStr">
        <is>
          <t>209cm x 76cm</t>
        </is>
      </c>
      <c r="B2483" t="inlineStr">
        <is>
          <t>Starboard</t>
        </is>
      </c>
      <c r="C2483" t="inlineStr">
        <is>
          <t>Freeride</t>
        </is>
      </c>
      <c r="D2483" s="3" t="n">
        <v>125</v>
      </c>
      <c r="E2483" t="inlineStr"/>
      <c r="F2483" s="4" t="n">
        <v>700</v>
      </c>
      <c r="G2483" t="inlineStr">
        <is>
          <t>VB</t>
        </is>
      </c>
      <c r="H2483" t="inlineStr">
        <is>
          <t>12203 Berlin</t>
        </is>
      </c>
      <c r="I2483" s="5" t="n">
        <v>45536</v>
      </c>
      <c r="J2483" t="inlineStr">
        <is>
          <t>Sold</t>
        </is>
      </c>
      <c r="K2483" s="6">
        <f>HYPERLINK("https://www.dailydose.de/kleinanzeigen/detail.htm?ai=421884&amp;cf=kk&amp;pg=5&amp;ci=11", "Link")</f>
        <v/>
      </c>
      <c r="L2483" s="6">
        <f>HYPERLINK("C:\Projects\Kleinanzeigen-Scraper\offer_images\421884", "Link")</f>
        <v/>
      </c>
      <c r="M2483" t="inlineStr">
        <is>
          <t>Viktor Brandt</t>
        </is>
      </c>
      <c r="N2483" s="6">
        <f>HYPERLINK("https://www.dailydose.de/kleinanzeigen/user/24578", "Link")</f>
        <v/>
      </c>
      <c r="O2483" s="7" t="n">
        <v>45536.91262731481</v>
      </c>
      <c r="P2483" s="3" t="inlineStr">
        <is>
          <t>468.79</t>
        </is>
      </c>
      <c r="Q2483" t="inlineStr">
        <is>
          <t>Köln</t>
        </is>
      </c>
    </row>
    <row r="2484">
      <c r="A2484" t="inlineStr">
        <is>
          <t>232 x 92</t>
        </is>
      </c>
      <c r="B2484" t="inlineStr">
        <is>
          <t>MOJO Thunder</t>
        </is>
      </c>
      <c r="C2484" t="inlineStr">
        <is>
          <t>Freerace</t>
        </is>
      </c>
      <c r="D2484" s="3" t="n">
        <v>159</v>
      </c>
      <c r="E2484" t="inlineStr">
        <is>
          <t>2022</t>
        </is>
      </c>
      <c r="F2484" s="4" t="n">
        <v>1100</v>
      </c>
      <c r="G2484" t="inlineStr"/>
      <c r="H2484" t="inlineStr">
        <is>
          <t>50933 Köln</t>
        </is>
      </c>
      <c r="I2484" s="5" t="n">
        <v>45522</v>
      </c>
      <c r="J2484" t="inlineStr">
        <is>
          <t>Sold</t>
        </is>
      </c>
      <c r="K2484" s="6">
        <f>HYPERLINK("https://www.dailydose.de/kleinanzeigen/detail.htm?ai=421143&amp;cf=kk&amp;pg=5&amp;ci=11", "Link")</f>
        <v/>
      </c>
      <c r="L2484" s="6">
        <f>HYPERLINK("C:\Projects\Kleinanzeigen-Scraper\offer_images\421143", "Link")</f>
        <v/>
      </c>
      <c r="M2484" t="inlineStr">
        <is>
          <t>Marc_165</t>
        </is>
      </c>
      <c r="N2484" s="6">
        <f>HYPERLINK("https://www.dailydose.de/kleinanzeigen/user/17036", "Link")</f>
        <v/>
      </c>
      <c r="O2484" s="7" t="n">
        <v>45536.91260416667</v>
      </c>
      <c r="P2484" s="3" t="inlineStr">
        <is>
          <t>4.82</t>
        </is>
      </c>
      <c r="Q2484" t="inlineStr">
        <is>
          <t>Köln</t>
        </is>
      </c>
    </row>
    <row r="2485">
      <c r="A2485" t="inlineStr"/>
      <c r="B2485" t="inlineStr">
        <is>
          <t>Fanatic New Wave</t>
        </is>
      </c>
      <c r="C2485" t="inlineStr">
        <is>
          <t>Wave</t>
        </is>
      </c>
      <c r="D2485" s="3" t="n">
        <v>83</v>
      </c>
      <c r="E2485" t="inlineStr"/>
      <c r="F2485" s="4" t="n">
        <v>70</v>
      </c>
      <c r="G2485" t="inlineStr">
        <is>
          <t>VB</t>
        </is>
      </c>
      <c r="H2485" t="inlineStr">
        <is>
          <t>23769 Fehmarn</t>
        </is>
      </c>
      <c r="I2485" s="5" t="n">
        <v>45533</v>
      </c>
      <c r="J2485" t="inlineStr">
        <is>
          <t>Sold</t>
        </is>
      </c>
      <c r="K2485" s="6">
        <f>HYPERLINK("https://www.dailydose.de/kleinanzeigen/detail.htm?ai=421749&amp;cf=kk&amp;pg=5&amp;ci=11", "Link")</f>
        <v/>
      </c>
      <c r="L2485" s="6">
        <f>HYPERLINK("C:\Projects\Kleinanzeigen-Scraper\offer_images\421749", "Link")</f>
        <v/>
      </c>
      <c r="M2485" t="inlineStr">
        <is>
          <t>robertsurf</t>
        </is>
      </c>
      <c r="N2485" s="6">
        <f>HYPERLINK("https://www.dailydose.de/kleinanzeigen/user/1820", "Link")</f>
        <v/>
      </c>
      <c r="O2485" s="7" t="n">
        <v>45536.91256944444</v>
      </c>
      <c r="P2485" s="3" t="inlineStr">
        <is>
          <t>483.01</t>
        </is>
      </c>
      <c r="Q2485" t="inlineStr">
        <is>
          <t>Köln</t>
        </is>
      </c>
    </row>
    <row r="2486">
      <c r="A2486" t="inlineStr">
        <is>
          <t xml:space="preserve">Dimensions </t>
        </is>
      </c>
      <c r="B2486" t="inlineStr">
        <is>
          <t>Tabou TWISTER</t>
        </is>
      </c>
      <c r="C2486" t="inlineStr">
        <is>
          <t>Freeride</t>
        </is>
      </c>
      <c r="D2486" s="3" t="n">
        <v>103</v>
      </c>
      <c r="E2486" t="inlineStr">
        <is>
          <t>2024</t>
        </is>
      </c>
      <c r="F2486" s="4" t="n">
        <v>799</v>
      </c>
      <c r="G2486" t="inlineStr"/>
      <c r="H2486" t="inlineStr">
        <is>
          <t>22045 Hamburg</t>
        </is>
      </c>
      <c r="I2486" s="5" t="n">
        <v>45529</v>
      </c>
      <c r="J2486" t="inlineStr">
        <is>
          <t>Sold</t>
        </is>
      </c>
      <c r="K2486" s="6">
        <f>HYPERLINK("https://www.dailydose.de/kleinanzeigen/detail.htm?ai=421417&amp;cf=kk&amp;pg=5&amp;ci=11", "Link")</f>
        <v/>
      </c>
      <c r="L2486" s="6">
        <f>HYPERLINK("C:\Projects\Kleinanzeigen-Scraper\offer_images\421417", "Link")</f>
        <v/>
      </c>
      <c r="M2486" t="inlineStr">
        <is>
          <t>tf</t>
        </is>
      </c>
      <c r="N2486" s="6">
        <f>HYPERLINK("https://www.dailydose.de/kleinanzeigen/user/6179", "Link")</f>
        <v/>
      </c>
      <c r="O2486" s="7" t="n">
        <v>45536.9125462963</v>
      </c>
      <c r="P2486" s="3" t="inlineStr">
        <is>
          <t>364.91</t>
        </is>
      </c>
      <c r="Q2486" t="inlineStr">
        <is>
          <t>Köln</t>
        </is>
      </c>
    </row>
    <row r="2487">
      <c r="A2487" t="inlineStr">
        <is>
          <t>133</t>
        </is>
      </c>
      <c r="B2487" t="inlineStr">
        <is>
          <t>Tabou Rocket Plus</t>
        </is>
      </c>
      <c r="C2487" t="inlineStr">
        <is>
          <t>Freeride</t>
        </is>
      </c>
      <c r="D2487" s="3" t="n">
        <v>133</v>
      </c>
      <c r="E2487" t="inlineStr">
        <is>
          <t>2024</t>
        </is>
      </c>
      <c r="F2487" s="4" t="n">
        <v>1300</v>
      </c>
      <c r="G2487" t="inlineStr">
        <is>
          <t>VB</t>
        </is>
      </c>
      <c r="H2487" t="inlineStr">
        <is>
          <t>51069 Köln</t>
        </is>
      </c>
      <c r="I2487" s="5" t="n">
        <v>45525</v>
      </c>
      <c r="J2487" t="inlineStr">
        <is>
          <t>Sold</t>
        </is>
      </c>
      <c r="K2487" s="6">
        <f>HYPERLINK("https://www.dailydose.de/kleinanzeigen/detail.htm?ai=421232&amp;cf=kk&amp;pg=5&amp;ci=11", "Link")</f>
        <v/>
      </c>
      <c r="L2487" s="6">
        <f>HYPERLINK("C:\Projects\Kleinanzeigen-Scraper\offer_images\421232", "Link")</f>
        <v/>
      </c>
      <c r="M2487" t="inlineStr">
        <is>
          <t>Bj_37</t>
        </is>
      </c>
      <c r="N2487" s="6">
        <f>HYPERLINK("https://www.dailydose.de/kleinanzeigen/user/4920", "Link")</f>
        <v/>
      </c>
      <c r="O2487" s="7" t="n">
        <v>45536.91247685185</v>
      </c>
      <c r="P2487" s="3" t="inlineStr">
        <is>
          <t>9.37</t>
        </is>
      </c>
      <c r="Q2487" t="inlineStr">
        <is>
          <t>Köln</t>
        </is>
      </c>
    </row>
    <row r="2488">
      <c r="A2488" t="inlineStr"/>
      <c r="B2488" t="inlineStr">
        <is>
          <t>Tabou Da Bomb</t>
        </is>
      </c>
      <c r="C2488" t="inlineStr"/>
      <c r="D2488" s="3" t="inlineStr"/>
      <c r="E2488" t="inlineStr">
        <is>
          <t>2023</t>
        </is>
      </c>
      <c r="F2488" s="4" t="n">
        <v>1100</v>
      </c>
      <c r="G2488" t="inlineStr"/>
      <c r="H2488" t="inlineStr">
        <is>
          <t>51069  Köln</t>
        </is>
      </c>
      <c r="I2488" s="5" t="n">
        <v>45525</v>
      </c>
      <c r="J2488" t="inlineStr">
        <is>
          <t>Sold</t>
        </is>
      </c>
      <c r="K2488" s="6">
        <f>HYPERLINK("https://www.dailydose.de/kleinanzeigen/detail.htm?ai=421233&amp;cf=kk&amp;pg=5&amp;ci=11", "Link")</f>
        <v/>
      </c>
      <c r="L2488" s="6">
        <f>HYPERLINK("C:\Projects\Kleinanzeigen-Scraper\offer_images\421233", "Link")</f>
        <v/>
      </c>
      <c r="M2488" t="inlineStr">
        <is>
          <t>Bj_37</t>
        </is>
      </c>
      <c r="N2488" s="6">
        <f>HYPERLINK("https://www.dailydose.de/kleinanzeigen/user/4920", "Link")</f>
        <v/>
      </c>
      <c r="O2488" s="7" t="n">
        <v>45536.91247685185</v>
      </c>
      <c r="P2488" s="3" t="inlineStr">
        <is>
          <t>9.37</t>
        </is>
      </c>
      <c r="Q2488" t="inlineStr">
        <is>
          <t>Köln</t>
        </is>
      </c>
    </row>
    <row r="2489">
      <c r="A2489" t="inlineStr">
        <is>
          <t>239×57</t>
        </is>
      </c>
      <c r="B2489" t="inlineStr">
        <is>
          <t>STARBOARD Starfish</t>
        </is>
      </c>
      <c r="C2489" t="inlineStr">
        <is>
          <t>thruster fish</t>
        </is>
      </c>
      <c r="D2489" s="3" t="n">
        <v>86</v>
      </c>
      <c r="E2489" t="inlineStr"/>
      <c r="F2489" s="4" t="n">
        <v>125</v>
      </c>
      <c r="G2489" t="inlineStr">
        <is>
          <t>VB</t>
        </is>
      </c>
      <c r="H2489" t="inlineStr">
        <is>
          <t>13086 Berlin</t>
        </is>
      </c>
      <c r="I2489" s="5" t="n">
        <v>45532</v>
      </c>
      <c r="J2489" t="inlineStr">
        <is>
          <t>Sold</t>
        </is>
      </c>
      <c r="K2489" s="6">
        <f>HYPERLINK("https://www.dailydose.de/kleinanzeigen/detail.htm?ai=421663&amp;cf=kk&amp;pg=5&amp;ci=11", "Link")</f>
        <v/>
      </c>
      <c r="L2489" s="6">
        <f>HYPERLINK("C:\Projects\Kleinanzeigen-Scraper\offer_images\421663", "Link")</f>
        <v/>
      </c>
      <c r="M2489" t="inlineStr">
        <is>
          <t>Hanginglooser</t>
        </is>
      </c>
      <c r="N2489" s="6">
        <f>HYPERLINK("https://www.dailydose.de/kleinanzeigen/user/26333", "Link")</f>
        <v/>
      </c>
      <c r="O2489" s="7" t="n">
        <v>45536.91247685185</v>
      </c>
      <c r="P2489" s="3" t="inlineStr">
        <is>
          <t>481.54</t>
        </is>
      </c>
      <c r="Q2489" t="inlineStr">
        <is>
          <t>Köln</t>
        </is>
      </c>
    </row>
    <row r="2490">
      <c r="A2490" t="inlineStr">
        <is>
          <t>226 cm x 67 cm</t>
        </is>
      </c>
      <c r="B2490" t="inlineStr">
        <is>
          <t>Wark Freestyle</t>
        </is>
      </c>
      <c r="C2490" t="inlineStr">
        <is>
          <t>Freestyle</t>
        </is>
      </c>
      <c r="D2490" s="3" t="n">
        <v>110</v>
      </c>
      <c r="E2490" t="inlineStr"/>
      <c r="F2490" s="4" t="n">
        <v>950</v>
      </c>
      <c r="G2490" t="inlineStr"/>
      <c r="H2490" t="inlineStr">
        <is>
          <t>85737 Ismaning</t>
        </is>
      </c>
      <c r="I2490" s="5" t="n">
        <v>45525</v>
      </c>
      <c r="J2490" t="inlineStr">
        <is>
          <t>Sold</t>
        </is>
      </c>
      <c r="K2490" s="6">
        <f>HYPERLINK("https://www.dailydose.de/kleinanzeigen/detail.htm?ai=421226&amp;cf=kk&amp;pg=5&amp;ci=11", "Link")</f>
        <v/>
      </c>
      <c r="L2490" s="6">
        <f>HYPERLINK("C:\Projects\Kleinanzeigen-Scraper\offer_images\421226", "Link")</f>
        <v/>
      </c>
      <c r="M2490" t="inlineStr">
        <is>
          <t>Marco Schneider</t>
        </is>
      </c>
      <c r="N2490" s="6">
        <f>HYPERLINK("https://www.dailydose.de/kleinanzeigen/user/20935", "Link")</f>
        <v/>
      </c>
      <c r="O2490" s="7" t="n">
        <v>45536.91244212963</v>
      </c>
      <c r="P2490" s="3" t="inlineStr">
        <is>
          <t>14.56</t>
        </is>
      </c>
      <c r="Q2490" t="inlineStr">
        <is>
          <t>München</t>
        </is>
      </c>
    </row>
    <row r="2491">
      <c r="A2491" t="inlineStr"/>
      <c r="B2491" t="inlineStr">
        <is>
          <t>Severne Fox</t>
        </is>
      </c>
      <c r="C2491" t="inlineStr">
        <is>
          <t>Freeride</t>
        </is>
      </c>
      <c r="D2491" s="3" t="n">
        <v>105</v>
      </c>
      <c r="E2491" t="inlineStr">
        <is>
          <t>2021</t>
        </is>
      </c>
      <c r="F2491" s="4" t="n">
        <v>800</v>
      </c>
      <c r="G2491" t="inlineStr"/>
      <c r="H2491" t="inlineStr">
        <is>
          <t>41516 Grevenbroich</t>
        </is>
      </c>
      <c r="I2491" s="5" t="n">
        <v>45522</v>
      </c>
      <c r="J2491" t="inlineStr">
        <is>
          <t>Sold</t>
        </is>
      </c>
      <c r="K2491" s="6">
        <f>HYPERLINK("https://www.dailydose.de/kleinanzeigen/detail.htm?ai=421123&amp;cf=kk&amp;pg=5&amp;ci=11", "Link")</f>
        <v/>
      </c>
      <c r="L2491" s="6">
        <f>HYPERLINK("C:\Projects\Kleinanzeigen-Scraper\offer_images\421123", "Link")</f>
        <v/>
      </c>
      <c r="M2491" t="inlineStr">
        <is>
          <t>hightube</t>
        </is>
      </c>
      <c r="N2491" s="6">
        <f>HYPERLINK("https://www.dailydose.de/kleinanzeigen/user/2137", "Link")</f>
        <v/>
      </c>
      <c r="O2491" s="7" t="n">
        <v>45536.91241898148</v>
      </c>
      <c r="P2491" s="3" t="inlineStr">
        <is>
          <t>29.41</t>
        </is>
      </c>
      <c r="Q2491" t="inlineStr">
        <is>
          <t>Köln</t>
        </is>
      </c>
    </row>
    <row r="2492">
      <c r="A2492" t="inlineStr"/>
      <c r="B2492" t="inlineStr">
        <is>
          <t>Quatro Pyramid</t>
        </is>
      </c>
      <c r="C2492" t="inlineStr"/>
      <c r="D2492" s="3" t="n">
        <v>87</v>
      </c>
      <c r="E2492" t="inlineStr">
        <is>
          <t>2024</t>
        </is>
      </c>
      <c r="F2492" s="4" t="n">
        <v>1089</v>
      </c>
      <c r="G2492" t="inlineStr"/>
      <c r="H2492" t="inlineStr">
        <is>
          <t>20149 Hamburg</t>
        </is>
      </c>
      <c r="I2492" s="5" t="n">
        <v>45522</v>
      </c>
      <c r="J2492" t="inlineStr">
        <is>
          <t>Sold</t>
        </is>
      </c>
      <c r="K2492" s="6">
        <f>HYPERLINK("https://www.dailydose.de/kleinanzeigen/detail.htm?ai=421148&amp;cf=kk&amp;pg=5&amp;ci=11", "Link")</f>
        <v/>
      </c>
      <c r="L2492" s="6">
        <f>HYPERLINK("C:\Projects\Kleinanzeigen-Scraper\offer_images\421148", "Link")</f>
        <v/>
      </c>
      <c r="M2492" t="inlineStr">
        <is>
          <t>Basti_136</t>
        </is>
      </c>
      <c r="N2492" s="6">
        <f>HYPERLINK("https://www.dailydose.de/kleinanzeigen/user/10180", "Link")</f>
        <v/>
      </c>
      <c r="O2492" s="7" t="n">
        <v>45536.91240740741</v>
      </c>
      <c r="P2492" s="3" t="inlineStr">
        <is>
          <t>358.87</t>
        </is>
      </c>
      <c r="Q2492" t="inlineStr">
        <is>
          <t>Köln</t>
        </is>
      </c>
    </row>
    <row r="2493">
      <c r="A2493" t="inlineStr"/>
      <c r="B2493" t="inlineStr">
        <is>
          <t>JP</t>
        </is>
      </c>
      <c r="C2493" t="inlineStr">
        <is>
          <t>Freestyle Wave</t>
        </is>
      </c>
      <c r="D2493" s="3" t="n">
        <v>84</v>
      </c>
      <c r="E2493" t="inlineStr">
        <is>
          <t>2008</t>
        </is>
      </c>
      <c r="F2493" s="4" t="inlineStr">
        <is>
          <t>: 180</t>
        </is>
      </c>
      <c r="G2493" t="inlineStr">
        <is>
          <t>VB</t>
        </is>
      </c>
      <c r="H2493" t="inlineStr">
        <is>
          <t>80804 München</t>
        </is>
      </c>
      <c r="I2493" s="5" t="n">
        <v>45530</v>
      </c>
      <c r="J2493" t="inlineStr">
        <is>
          <t>Sold</t>
        </is>
      </c>
      <c r="K2493" s="6">
        <f>HYPERLINK("https://www.dailydose.de/kleinanzeigen/detail.htm?ai=421503&amp;cf=kk&amp;pg=5&amp;ci=11", "Link")</f>
        <v/>
      </c>
      <c r="L2493" s="6">
        <f>HYPERLINK("C:\Projects\Kleinanzeigen-Scraper\offer_images\421503", "Link")</f>
        <v/>
      </c>
      <c r="M2493" t="inlineStr">
        <is>
          <t>Walter Eberhart</t>
        </is>
      </c>
      <c r="N2493" s="6">
        <f>HYPERLINK("https://www.dailydose.de/kleinanzeigen/user/22550", "Link")</f>
        <v/>
      </c>
      <c r="O2493" s="7" t="n">
        <v>45536.91238425926</v>
      </c>
      <c r="P2493" s="3" t="inlineStr">
        <is>
          <t>3.78</t>
        </is>
      </c>
      <c r="Q2493" t="inlineStr">
        <is>
          <t>München</t>
        </is>
      </c>
    </row>
    <row r="2494">
      <c r="A2494" t="inlineStr">
        <is>
          <t>77</t>
        </is>
      </c>
      <c r="B2494" t="inlineStr">
        <is>
          <t>JP Freestyle Wave</t>
        </is>
      </c>
      <c r="C2494" t="inlineStr">
        <is>
          <t>Freestyle Wave</t>
        </is>
      </c>
      <c r="D2494" s="3" t="inlineStr"/>
      <c r="E2494" t="inlineStr"/>
      <c r="F2494" s="4" t="n">
        <v>590</v>
      </c>
      <c r="G2494" t="inlineStr"/>
      <c r="H2494" t="inlineStr">
        <is>
          <t>22xxx PI / HH / OH / KI</t>
        </is>
      </c>
      <c r="I2494" s="5" t="n">
        <v>45534</v>
      </c>
      <c r="J2494" t="inlineStr">
        <is>
          <t>Sold</t>
        </is>
      </c>
      <c r="K2494" s="6">
        <f>HYPERLINK("https://www.dailydose.de/kleinanzeigen/detail.htm?ai=421783&amp;cf=kk&amp;pg=5&amp;ci=11", "Link")</f>
        <v/>
      </c>
      <c r="L2494" s="6">
        <f>HYPERLINK("C:\Projects\Kleinanzeigen-Scraper\offer_images\421783", "Link")</f>
        <v/>
      </c>
      <c r="M2494" t="inlineStr">
        <is>
          <t>sportlehrer_hh</t>
        </is>
      </c>
      <c r="N2494" s="6">
        <f>HYPERLINK("https://www.dailydose.de/kleinanzeigen/user/8122", "Link")</f>
        <v/>
      </c>
      <c r="O2494" s="7" t="n">
        <v>45536.91238425926</v>
      </c>
      <c r="P2494" s="3" t="inlineStr">
        <is>
          <t>228.32</t>
        </is>
      </c>
      <c r="Q2494" t="inlineStr">
        <is>
          <t>München</t>
        </is>
      </c>
    </row>
    <row r="2495">
      <c r="A2495" t="inlineStr"/>
      <c r="B2495" t="inlineStr">
        <is>
          <t>Fanatic Freewave</t>
        </is>
      </c>
      <c r="C2495" t="inlineStr">
        <is>
          <t>Freewave</t>
        </is>
      </c>
      <c r="D2495" s="3" t="n">
        <v>75</v>
      </c>
      <c r="E2495" t="inlineStr">
        <is>
          <t>2010</t>
        </is>
      </c>
      <c r="F2495" s="4" t="n">
        <v>250</v>
      </c>
      <c r="G2495" t="inlineStr"/>
      <c r="H2495" t="inlineStr">
        <is>
          <t>28205 Bremen</t>
        </is>
      </c>
      <c r="I2495" s="5" t="n">
        <v>45532</v>
      </c>
      <c r="J2495" t="inlineStr">
        <is>
          <t>Sold</t>
        </is>
      </c>
      <c r="K2495" s="6">
        <f>HYPERLINK("https://www.dailydose.de/kleinanzeigen/detail.htm?ai=421631&amp;cf=kk&amp;pg=5&amp;ci=11", "Link")</f>
        <v/>
      </c>
      <c r="L2495" s="6">
        <f>HYPERLINK("C:\Projects\Kleinanzeigen-Scraper\offer_images\421631", "Link")</f>
        <v/>
      </c>
      <c r="M2495" t="inlineStr">
        <is>
          <t>tim-bremen</t>
        </is>
      </c>
      <c r="N2495" s="6">
        <f>HYPERLINK("https://www.dailydose.de/kleinanzeigen/user/23540", "Link")</f>
        <v/>
      </c>
      <c r="O2495" s="7" t="n">
        <v>45536.91234953704</v>
      </c>
      <c r="P2495" s="3" t="inlineStr">
        <is>
          <t>269.99</t>
        </is>
      </c>
      <c r="Q2495" t="inlineStr">
        <is>
          <t>Köln</t>
        </is>
      </c>
    </row>
    <row r="2496">
      <c r="A2496" t="inlineStr">
        <is>
          <t>128 L</t>
        </is>
      </c>
      <c r="B2496" t="inlineStr">
        <is>
          <t>patrik Diethelm</t>
        </is>
      </c>
      <c r="C2496" t="inlineStr">
        <is>
          <t>Slalom</t>
        </is>
      </c>
      <c r="D2496" s="3" t="n">
        <v>128</v>
      </c>
      <c r="E2496" t="inlineStr"/>
      <c r="F2496" s="4" t="n">
        <v>679</v>
      </c>
      <c r="G2496" t="inlineStr"/>
      <c r="H2496" t="inlineStr">
        <is>
          <t>Köln 50858</t>
        </is>
      </c>
      <c r="I2496" s="5" t="n">
        <v>45532</v>
      </c>
      <c r="J2496" t="inlineStr">
        <is>
          <t>Sold</t>
        </is>
      </c>
      <c r="K2496" s="6">
        <f>HYPERLINK("https://www.dailydose.de/kleinanzeigen/detail.htm?ai=421623&amp;cf=kk&amp;pg=5&amp;ci=11", "Link")</f>
        <v/>
      </c>
      <c r="L2496" s="6">
        <f>HYPERLINK("C:\Projects\Kleinanzeigen-Scraper\offer_images\421623", "Link")</f>
        <v/>
      </c>
      <c r="M2496" t="inlineStr">
        <is>
          <t>Ing</t>
        </is>
      </c>
      <c r="N2496" s="6">
        <f>HYPERLINK("https://www.dailydose.de/kleinanzeigen/user/15021", "Link")</f>
        <v/>
      </c>
      <c r="O2496" s="7" t="n">
        <v>45536.91234953704</v>
      </c>
      <c r="P2496" s="3" t="inlineStr">
        <is>
          <t>7.26</t>
        </is>
      </c>
      <c r="Q2496" t="inlineStr">
        <is>
          <t>Köln</t>
        </is>
      </c>
    </row>
    <row r="2497">
      <c r="A2497" t="inlineStr"/>
      <c r="B2497" t="inlineStr">
        <is>
          <t>Duotone Grip 3 SLS</t>
        </is>
      </c>
      <c r="C2497" t="inlineStr"/>
      <c r="D2497" s="3" t="n">
        <v>108</v>
      </c>
      <c r="E2497" t="inlineStr">
        <is>
          <t>2024</t>
        </is>
      </c>
      <c r="F2497" s="4" t="n">
        <v>1549</v>
      </c>
      <c r="G2497" t="inlineStr"/>
      <c r="H2497" t="inlineStr">
        <is>
          <t>26548 Ney, HB, HH, H</t>
        </is>
      </c>
      <c r="I2497" s="5" t="n">
        <v>45533</v>
      </c>
      <c r="J2497" t="inlineStr">
        <is>
          <t>Sold</t>
        </is>
      </c>
      <c r="K2497" s="6">
        <f>HYPERLINK("https://www.dailydose.de/kleinanzeigen/detail.htm?ai=421707&amp;cf=kk&amp;pg=5&amp;ci=11", "Link")</f>
        <v/>
      </c>
      <c r="L2497" s="6">
        <f>HYPERLINK("C:\Projects\Kleinanzeigen-Scraper\offer_images\421707", "Link")</f>
        <v/>
      </c>
      <c r="M2497" t="inlineStr">
        <is>
          <t>Flessi_161</t>
        </is>
      </c>
      <c r="N2497" s="6">
        <f>HYPERLINK("https://www.dailydose.de/kleinanzeigen/user/10920", "Link")</f>
        <v/>
      </c>
      <c r="O2497" s="7" t="n">
        <v>45536.91228009259</v>
      </c>
      <c r="P2497" s="3" t="inlineStr">
        <is>
          <t>309.72</t>
        </is>
      </c>
      <c r="Q2497" t="inlineStr">
        <is>
          <t>Köln</t>
        </is>
      </c>
    </row>
    <row r="2498">
      <c r="A2498" t="inlineStr"/>
      <c r="B2498" t="inlineStr">
        <is>
          <t>RRD TwinTip LTD</t>
        </is>
      </c>
      <c r="C2498" t="inlineStr">
        <is>
          <t>TwinTip</t>
        </is>
      </c>
      <c r="D2498" s="3" t="n">
        <v>110</v>
      </c>
      <c r="E2498" t="inlineStr"/>
      <c r="F2498" s="4" t="n">
        <v>380</v>
      </c>
      <c r="G2498" t="inlineStr"/>
      <c r="H2498" t="inlineStr">
        <is>
          <t>93309 Kelheim</t>
        </is>
      </c>
      <c r="I2498" s="5" t="n">
        <v>45536</v>
      </c>
      <c r="J2498" t="inlineStr">
        <is>
          <t>Sold</t>
        </is>
      </c>
      <c r="K2498" s="6">
        <f>HYPERLINK("https://www.dailydose.de/kleinanzeigen/detail.htm?ai=421925&amp;cf=kk&amp;pg=5&amp;ci=11", "Link")</f>
        <v/>
      </c>
      <c r="L2498" s="6">
        <f>HYPERLINK("C:\Projects\Kleinanzeigen-Scraper\offer_images\421925", "Link")</f>
        <v/>
      </c>
      <c r="M2498" t="inlineStr">
        <is>
          <t>Rosl81</t>
        </is>
      </c>
      <c r="N2498" s="6">
        <f>HYPERLINK("https://www.dailydose.de/kleinanzeigen/user/16719", "Link")</f>
        <v/>
      </c>
      <c r="O2498" s="7" t="n">
        <v>45536.91224537037</v>
      </c>
      <c r="P2498" s="3" t="inlineStr">
        <is>
          <t>88.18</t>
        </is>
      </c>
      <c r="Q2498" t="inlineStr">
        <is>
          <t>München</t>
        </is>
      </c>
    </row>
    <row r="2499">
      <c r="A2499" t="inlineStr">
        <is>
          <t>72</t>
        </is>
      </c>
      <c r="B2499" t="inlineStr">
        <is>
          <t>JP Slalom Pro</t>
        </is>
      </c>
      <c r="C2499" t="inlineStr">
        <is>
          <t>Slalom</t>
        </is>
      </c>
      <c r="D2499" s="3" t="inlineStr"/>
      <c r="E2499" t="inlineStr">
        <is>
          <t>2024</t>
        </is>
      </c>
      <c r="F2499" s="4" t="n">
        <v>1350</v>
      </c>
      <c r="G2499" t="inlineStr"/>
      <c r="H2499" t="inlineStr">
        <is>
          <t>88250 Weingarten</t>
        </is>
      </c>
      <c r="I2499" s="5" t="n">
        <v>45533</v>
      </c>
      <c r="J2499" t="inlineStr">
        <is>
          <t>Sold</t>
        </is>
      </c>
      <c r="K2499" s="6">
        <f>HYPERLINK("https://www.dailydose.de/kleinanzeigen/detail.htm?ai=421746&amp;cf=kk&amp;pg=5&amp;ci=11", "Link")</f>
        <v/>
      </c>
      <c r="L2499" s="6">
        <f>HYPERLINK("C:\Projects\Kleinanzeigen-Scraper\offer_images\421746", "Link")</f>
        <v/>
      </c>
      <c r="M2499" t="inlineStr">
        <is>
          <t>Markus_111</t>
        </is>
      </c>
      <c r="N2499" s="6">
        <f>HYPERLINK("https://www.dailydose.de/kleinanzeigen/user/25219", "Link")</f>
        <v/>
      </c>
      <c r="O2499" s="7" t="n">
        <v>45536.9121875</v>
      </c>
      <c r="P2499" s="3" t="inlineStr">
        <is>
          <t>97.39</t>
        </is>
      </c>
      <c r="Q2499" t="inlineStr">
        <is>
          <t>Bonndorf</t>
        </is>
      </c>
    </row>
    <row r="2500">
      <c r="A2500" t="inlineStr"/>
      <c r="B2500" t="inlineStr">
        <is>
          <t>JP Supersport</t>
        </is>
      </c>
      <c r="C2500" t="inlineStr">
        <is>
          <t>Freeride</t>
        </is>
      </c>
      <c r="D2500" s="3" t="n">
        <v>109</v>
      </c>
      <c r="E2500" t="inlineStr"/>
      <c r="F2500" s="4" t="n">
        <v>430</v>
      </c>
      <c r="G2500" t="inlineStr">
        <is>
          <t>VB</t>
        </is>
      </c>
      <c r="H2500" t="inlineStr">
        <is>
          <t>23730 Neustadt in Holstein</t>
        </is>
      </c>
      <c r="I2500" s="5" t="n">
        <v>45529</v>
      </c>
      <c r="J2500" t="inlineStr">
        <is>
          <t>Sold</t>
        </is>
      </c>
      <c r="K2500" s="6">
        <f>HYPERLINK("https://www.dailydose.de/kleinanzeigen/detail.htm?ai=421385&amp;cf=kk&amp;pg=5&amp;ci=11", "Link")</f>
        <v/>
      </c>
      <c r="L2500" s="6">
        <f>HYPERLINK("C:\Projects\Kleinanzeigen-Scraper\offer_images\421385", "Link")</f>
        <v/>
      </c>
      <c r="M2500" t="inlineStr">
        <is>
          <t>MarkiMark</t>
        </is>
      </c>
      <c r="N2500" s="6">
        <f>HYPERLINK("https://www.dailydose.de/kleinanzeigen/user/13740", "Link")</f>
        <v/>
      </c>
      <c r="O2500" s="7" t="n">
        <v>45536.9121875</v>
      </c>
      <c r="P2500" s="3" t="inlineStr">
        <is>
          <t>441.08</t>
        </is>
      </c>
      <c r="Q2500" t="inlineStr">
        <is>
          <t>Köln</t>
        </is>
      </c>
    </row>
    <row r="2501">
      <c r="A2501" t="inlineStr"/>
      <c r="B2501" t="inlineStr">
        <is>
          <t>F2 RX</t>
        </is>
      </c>
      <c r="C2501" t="inlineStr">
        <is>
          <t>Freeride</t>
        </is>
      </c>
      <c r="D2501" s="3" t="n">
        <v>144</v>
      </c>
      <c r="E2501" t="inlineStr"/>
      <c r="F2501" s="4" t="inlineStr">
        <is>
          <t>500 Festpreis</t>
        </is>
      </c>
      <c r="G2501" t="inlineStr"/>
      <c r="H2501" t="inlineStr">
        <is>
          <t>52457 Aldenhoven</t>
        </is>
      </c>
      <c r="I2501" s="5" t="n">
        <v>45531</v>
      </c>
      <c r="J2501" t="inlineStr">
        <is>
          <t>Sold</t>
        </is>
      </c>
      <c r="K2501" s="6">
        <f>HYPERLINK("https://www.dailydose.de/kleinanzeigen/detail.htm?ai=421545&amp;cf=kk&amp;pg=5&amp;ci=11", "Link")</f>
        <v/>
      </c>
      <c r="L2501" s="6">
        <f>HYPERLINK("C:\Projects\Kleinanzeigen-Scraper\offer_images\421545", "Link")</f>
        <v/>
      </c>
      <c r="M2501" t="inlineStr">
        <is>
          <t>Klaus_74</t>
        </is>
      </c>
      <c r="N2501" s="6">
        <f>HYPERLINK("https://www.dailydose.de/kleinanzeigen/user/20069", "Link")</f>
        <v/>
      </c>
      <c r="O2501" s="7" t="n">
        <v>45536.91211805555</v>
      </c>
      <c r="P2501" s="3" t="inlineStr">
        <is>
          <t>48.38</t>
        </is>
      </c>
      <c r="Q2501" t="inlineStr">
        <is>
          <t>Köln</t>
        </is>
      </c>
    </row>
    <row r="2502">
      <c r="A2502" t="inlineStr"/>
      <c r="B2502" t="inlineStr">
        <is>
          <t>Fanatic Grip TE</t>
        </is>
      </c>
      <c r="C2502" t="inlineStr"/>
      <c r="D2502" s="3" t="n">
        <v>86</v>
      </c>
      <c r="E2502" t="inlineStr">
        <is>
          <t>2022</t>
        </is>
      </c>
      <c r="F2502" s="4" t="n">
        <v>850</v>
      </c>
      <c r="G2502" t="inlineStr">
        <is>
          <t>VB</t>
        </is>
      </c>
      <c r="H2502" t="inlineStr">
        <is>
          <t>23617 Lübeck</t>
        </is>
      </c>
      <c r="I2502" s="5" t="n">
        <v>45531</v>
      </c>
      <c r="J2502" t="inlineStr">
        <is>
          <t>Sold</t>
        </is>
      </c>
      <c r="K2502" s="6">
        <f>HYPERLINK("https://www.dailydose.de/kleinanzeigen/detail.htm?ai=421582&amp;cf=kk&amp;pg=5&amp;ci=11", "Link")</f>
        <v/>
      </c>
      <c r="L2502" s="6">
        <f>HYPERLINK("C:\Projects\Kleinanzeigen-Scraper\offer_images\421582", "Link")</f>
        <v/>
      </c>
      <c r="M2502" t="inlineStr">
        <is>
          <t>Maria Behrens</t>
        </is>
      </c>
      <c r="N2502" s="6">
        <f>HYPERLINK("https://www.dailydose.de/kleinanzeigen/user/2506", "Link")</f>
        <v/>
      </c>
      <c r="O2502" s="7" t="n">
        <v>45536.91211805555</v>
      </c>
      <c r="P2502" s="3" t="inlineStr">
        <is>
          <t>415.17</t>
        </is>
      </c>
      <c r="Q2502" t="inlineStr">
        <is>
          <t>Köln</t>
        </is>
      </c>
    </row>
    <row r="2503">
      <c r="A2503" t="inlineStr">
        <is>
          <t>226*57.5</t>
        </is>
      </c>
      <c r="B2503" t="inlineStr">
        <is>
          <t>Witchcraft Custom Thruster</t>
        </is>
      </c>
      <c r="C2503" t="inlineStr">
        <is>
          <t>Freestyle</t>
        </is>
      </c>
      <c r="D2503" s="3" t="n">
        <v>82</v>
      </c>
      <c r="E2503" t="inlineStr"/>
      <c r="F2503" s="4" t="n">
        <v>650</v>
      </c>
      <c r="G2503" t="inlineStr">
        <is>
          <t>VB</t>
        </is>
      </c>
      <c r="H2503" t="inlineStr">
        <is>
          <t>21629 Nähe HH oder am Spot</t>
        </is>
      </c>
      <c r="I2503" s="5" t="n">
        <v>45534</v>
      </c>
      <c r="J2503" t="inlineStr">
        <is>
          <t>Sold</t>
        </is>
      </c>
      <c r="K2503" s="6">
        <f>HYPERLINK("https://www.dailydose.de/kleinanzeigen/detail.htm?ai=421823&amp;cf=kk&amp;pg=5&amp;ci=11", "Link")</f>
        <v/>
      </c>
      <c r="L2503" s="6">
        <f>HYPERLINK("C:\Projects\Kleinanzeigen-Scraper\offer_images\421823", "Link")</f>
        <v/>
      </c>
      <c r="M2503" t="inlineStr">
        <is>
          <t>Jens_114</t>
        </is>
      </c>
      <c r="N2503" s="6">
        <f>HYPERLINK("https://www.dailydose.de/kleinanzeigen/user/25126", "Link")</f>
        <v/>
      </c>
      <c r="O2503" s="7" t="n">
        <v>45536.91204861111</v>
      </c>
      <c r="P2503" s="3" t="inlineStr">
        <is>
          <t>339.04</t>
        </is>
      </c>
      <c r="Q2503" t="inlineStr">
        <is>
          <t>Köln</t>
        </is>
      </c>
    </row>
    <row r="2504">
      <c r="A2504" t="inlineStr">
        <is>
          <t>61cm x 224cm</t>
        </is>
      </c>
      <c r="B2504" t="inlineStr">
        <is>
          <t>Severne Waveboard Pyro Custom</t>
        </is>
      </c>
      <c r="C2504" t="inlineStr">
        <is>
          <t>Wave</t>
        </is>
      </c>
      <c r="D2504" s="3" t="n">
        <v>105</v>
      </c>
      <c r="E2504" t="inlineStr">
        <is>
          <t>2024</t>
        </is>
      </c>
      <c r="F2504" s="4" t="n">
        <v>1250</v>
      </c>
      <c r="G2504" t="inlineStr"/>
      <c r="H2504" t="inlineStr">
        <is>
          <t>58540 Sauerland -NRW</t>
        </is>
      </c>
      <c r="I2504" s="5" t="n">
        <v>45523</v>
      </c>
      <c r="J2504" t="inlineStr">
        <is>
          <t>Sold</t>
        </is>
      </c>
      <c r="K2504" s="6">
        <f>HYPERLINK("https://www.dailydose.de/kleinanzeigen/detail.htm?ai=421170&amp;cf=kk&amp;pg=5&amp;ci=11", "Link")</f>
        <v/>
      </c>
      <c r="L2504" s="6">
        <f>HYPERLINK("C:\Projects\Kleinanzeigen-Scraper\offer_images\421170", "Link")</f>
        <v/>
      </c>
      <c r="M2504" t="inlineStr">
        <is>
          <t>tivitac</t>
        </is>
      </c>
      <c r="N2504" s="6">
        <f>HYPERLINK("https://www.dailydose.de/kleinanzeigen/user/1938", "Link")</f>
        <v/>
      </c>
      <c r="O2504" s="7" t="n">
        <v>45536.91194444444</v>
      </c>
      <c r="P2504" s="3" t="inlineStr">
        <is>
          <t>56.25</t>
        </is>
      </c>
      <c r="Q2504" t="inlineStr">
        <is>
          <t>Köln</t>
        </is>
      </c>
    </row>
    <row r="2505">
      <c r="A2505" t="inlineStr">
        <is>
          <t>235x92</t>
        </is>
      </c>
      <c r="B2505" t="inlineStr">
        <is>
          <t>JP</t>
        </is>
      </c>
      <c r="C2505" t="inlineStr">
        <is>
          <t>Super Lightwind</t>
        </is>
      </c>
      <c r="D2505" s="3" t="n">
        <v>156</v>
      </c>
      <c r="E2505" t="inlineStr">
        <is>
          <t>2023</t>
        </is>
      </c>
      <c r="F2505" s="4" t="n">
        <v>1370</v>
      </c>
      <c r="G2505" t="inlineStr"/>
      <c r="H2505" t="inlineStr">
        <is>
          <t>8402 Graz</t>
        </is>
      </c>
      <c r="I2505" s="5" t="n">
        <v>45528</v>
      </c>
      <c r="J2505" t="inlineStr">
        <is>
          <t>Sold</t>
        </is>
      </c>
      <c r="K2505" s="6">
        <f>HYPERLINK("https://www.dailydose.de/kleinanzeigen/detail.htm?ai=421345&amp;cf=kk&amp;pg=5&amp;ci=11", "Link")</f>
        <v/>
      </c>
      <c r="L2505" s="6">
        <f>HYPERLINK("C:\Projects\Kleinanzeigen-Scraper\offer_images\421345", "Link")</f>
        <v/>
      </c>
      <c r="M2505" t="inlineStr">
        <is>
          <t>Mario_117</t>
        </is>
      </c>
      <c r="N2505" s="6">
        <f>HYPERLINK("https://www.dailydose.de/kleinanzeigen/user/16485", "Link")</f>
        <v/>
      </c>
      <c r="O2505" s="7" t="n">
        <v>45536.9119212963</v>
      </c>
      <c r="P2505" s="3" t="inlineStr">
        <is>
          <t>313.03</t>
        </is>
      </c>
      <c r="Q2505" t="inlineStr">
        <is>
          <t>München</t>
        </is>
      </c>
    </row>
    <row r="2506">
      <c r="A2506" t="inlineStr">
        <is>
          <t>228 cm x 85 cm</t>
        </is>
      </c>
      <c r="B2506" t="inlineStr">
        <is>
          <t>JP Australia</t>
        </is>
      </c>
      <c r="C2506" t="inlineStr">
        <is>
          <t>Slalom/Race</t>
        </is>
      </c>
      <c r="D2506" s="3" t="n">
        <v>131</v>
      </c>
      <c r="E2506" t="inlineStr">
        <is>
          <t>2017</t>
        </is>
      </c>
      <c r="F2506" s="4" t="n">
        <v>500</v>
      </c>
      <c r="G2506" t="inlineStr">
        <is>
          <t>VB</t>
        </is>
      </c>
      <c r="H2506" t="inlineStr">
        <is>
          <t>27568 Bremerhaven</t>
        </is>
      </c>
      <c r="I2506" s="5" t="n">
        <v>45530</v>
      </c>
      <c r="J2506" t="inlineStr">
        <is>
          <t>Sold</t>
        </is>
      </c>
      <c r="K2506" s="6">
        <f>HYPERLINK("https://www.dailydose.de/kleinanzeigen/detail.htm?ai=421457&amp;cf=kk&amp;pg=5&amp;ci=11", "Link")</f>
        <v/>
      </c>
      <c r="L2506" s="6">
        <f>HYPERLINK("C:\Projects\Kleinanzeigen-Scraper\offer_images\421457", "Link")</f>
        <v/>
      </c>
      <c r="M2506" t="inlineStr">
        <is>
          <t>stone</t>
        </is>
      </c>
      <c r="N2506" s="6">
        <f>HYPERLINK("https://www.dailydose.de/kleinanzeigen/user/6979", "Link")</f>
        <v/>
      </c>
      <c r="O2506" s="7" t="n">
        <v>45536.9119212963</v>
      </c>
      <c r="P2506" s="3" t="inlineStr">
        <is>
          <t>312.07</t>
        </is>
      </c>
      <c r="Q2506" t="inlineStr">
        <is>
          <t>Köln</t>
        </is>
      </c>
    </row>
    <row r="2507">
      <c r="A2507" t="inlineStr">
        <is>
          <t>226*63</t>
        </is>
      </c>
      <c r="B2507" t="inlineStr">
        <is>
          <t>Wark Wave Custom</t>
        </is>
      </c>
      <c r="C2507" t="inlineStr">
        <is>
          <t>Wave</t>
        </is>
      </c>
      <c r="D2507" s="3" t="n">
        <v>103</v>
      </c>
      <c r="E2507" t="inlineStr"/>
      <c r="F2507" s="4" t="inlineStr">
        <is>
          <t>450. oder Gebot</t>
        </is>
      </c>
      <c r="G2507" t="inlineStr"/>
      <c r="H2507" t="inlineStr">
        <is>
          <t>21629 Nähe HH oder am Spot</t>
        </is>
      </c>
      <c r="I2507" s="5" t="n">
        <v>45531</v>
      </c>
      <c r="J2507" t="inlineStr">
        <is>
          <t>Sold</t>
        </is>
      </c>
      <c r="K2507" s="6">
        <f>HYPERLINK("https://www.dailydose.de/kleinanzeigen/detail.htm?ai=421612&amp;cf=kk&amp;pg=5&amp;ci=11", "Link")</f>
        <v/>
      </c>
      <c r="L2507" s="6">
        <f>HYPERLINK("C:\Projects\Kleinanzeigen-Scraper\offer_images\421612", "Link")</f>
        <v/>
      </c>
      <c r="M2507" t="inlineStr">
        <is>
          <t>Jens_114</t>
        </is>
      </c>
      <c r="N2507" s="6">
        <f>HYPERLINK("https://www.dailydose.de/kleinanzeigen/user/25126", "Link")</f>
        <v/>
      </c>
      <c r="O2507" s="7" t="n">
        <v>45536.91190972222</v>
      </c>
      <c r="P2507" s="3" t="inlineStr">
        <is>
          <t>339.04</t>
        </is>
      </c>
      <c r="Q2507" t="inlineStr">
        <is>
          <t>Köln</t>
        </is>
      </c>
    </row>
    <row r="2508">
      <c r="A2508" t="inlineStr">
        <is>
          <t>93</t>
        </is>
      </c>
      <c r="B2508" t="inlineStr">
        <is>
          <t>JP Freestyle Wave</t>
        </is>
      </c>
      <c r="C2508" t="inlineStr">
        <is>
          <t>Freestyle Wave</t>
        </is>
      </c>
      <c r="D2508" s="3" t="inlineStr"/>
      <c r="E2508" t="inlineStr"/>
      <c r="F2508" s="4" t="n">
        <v>750</v>
      </c>
      <c r="G2508" t="inlineStr">
        <is>
          <t>VB</t>
        </is>
      </c>
      <c r="H2508" t="inlineStr">
        <is>
          <t>53773 Hennef</t>
        </is>
      </c>
      <c r="I2508" s="5" t="n">
        <v>45531</v>
      </c>
      <c r="J2508" t="inlineStr">
        <is>
          <t>Sold</t>
        </is>
      </c>
      <c r="K2508" s="6">
        <f>HYPERLINK("https://www.dailydose.de/kleinanzeigen/detail.htm?ai=421566&amp;cf=kk&amp;pg=5&amp;ci=11", "Link")</f>
        <v/>
      </c>
      <c r="L2508" s="6">
        <f>HYPERLINK("C:\Projects\Kleinanzeigen-Scraper\offer_images\421566", "Link")</f>
        <v/>
      </c>
      <c r="M2508" t="inlineStr">
        <is>
          <t>Werner_211</t>
        </is>
      </c>
      <c r="N2508" s="6">
        <f>HYPERLINK("https://www.dailydose.de/kleinanzeigen/user/24745", "Link")</f>
        <v/>
      </c>
      <c r="O2508" s="7" t="n">
        <v>45536.91190972222</v>
      </c>
      <c r="P2508" s="3" t="inlineStr">
        <is>
          <t>30.84</t>
        </is>
      </c>
      <c r="Q2508" t="inlineStr">
        <is>
          <t>Köln</t>
        </is>
      </c>
    </row>
    <row r="2509">
      <c r="A2509" t="inlineStr">
        <is>
          <t>149</t>
        </is>
      </c>
      <c r="B2509" t="inlineStr">
        <is>
          <t>Lorch Bird</t>
        </is>
      </c>
      <c r="C2509" t="inlineStr">
        <is>
          <t>Freeride</t>
        </is>
      </c>
      <c r="D2509" s="3" t="inlineStr"/>
      <c r="E2509" t="inlineStr"/>
      <c r="F2509" s="4" t="n">
        <v>900</v>
      </c>
      <c r="G2509" t="inlineStr">
        <is>
          <t>VB</t>
        </is>
      </c>
      <c r="H2509" t="inlineStr">
        <is>
          <t>45481 Mülheim an der Ruhr</t>
        </is>
      </c>
      <c r="I2509" s="5" t="n">
        <v>45535</v>
      </c>
      <c r="J2509" t="inlineStr">
        <is>
          <t>Sold</t>
        </is>
      </c>
      <c r="K2509" s="6">
        <f>HYPERLINK("https://www.dailydose.de/kleinanzeigen/detail.htm?ai=421834&amp;cf=kk&amp;pg=5&amp;ci=11", "Link")</f>
        <v/>
      </c>
      <c r="L2509" s="6">
        <f>HYPERLINK("C:\Projects\Kleinanzeigen-Scraper\offer_images\421834", "Link")</f>
        <v/>
      </c>
      <c r="M2509" t="inlineStr">
        <is>
          <t>Surfing Bird</t>
        </is>
      </c>
      <c r="N2509" s="6">
        <f>HYPERLINK("https://www.dailydose.de/kleinanzeigen/user/4029", "Link")</f>
        <v/>
      </c>
      <c r="O2509" s="7" t="n">
        <v>45536.91179398148</v>
      </c>
      <c r="P2509" s="3" t="inlineStr">
        <is>
          <t>50.45</t>
        </is>
      </c>
      <c r="Q2509" t="inlineStr">
        <is>
          <t>Köln</t>
        </is>
      </c>
    </row>
    <row r="2510">
      <c r="A2510" t="inlineStr">
        <is>
          <t>233x63</t>
        </is>
      </c>
      <c r="B2510" t="inlineStr">
        <is>
          <t>Sailboards Tarifa</t>
        </is>
      </c>
      <c r="C2510" t="inlineStr">
        <is>
          <t>Freewave</t>
        </is>
      </c>
      <c r="D2510" s="3" t="n">
        <v>110</v>
      </c>
      <c r="E2510" t="inlineStr"/>
      <c r="F2510" s="4" t="n">
        <v>299</v>
      </c>
      <c r="G2510" t="inlineStr"/>
      <c r="H2510" t="inlineStr">
        <is>
          <t>28205 Bremen</t>
        </is>
      </c>
      <c r="I2510" s="5" t="n">
        <v>45532</v>
      </c>
      <c r="J2510" t="inlineStr">
        <is>
          <t>Sold</t>
        </is>
      </c>
      <c r="K2510" s="6">
        <f>HYPERLINK("https://www.dailydose.de/kleinanzeigen/detail.htm?ai=421630&amp;cf=kk&amp;pg=4&amp;ci=11", "Link")</f>
        <v/>
      </c>
      <c r="L2510" s="6">
        <f>HYPERLINK("C:\Projects\Kleinanzeigen-Scraper\offer_images\421630", "Link")</f>
        <v/>
      </c>
      <c r="M2510" t="inlineStr">
        <is>
          <t>tim-bremen</t>
        </is>
      </c>
      <c r="N2510" s="6">
        <f>HYPERLINK("https://www.dailydose.de/kleinanzeigen/user/23540", "Link")</f>
        <v/>
      </c>
      <c r="O2510" s="7" t="n">
        <v>45536.91178240741</v>
      </c>
      <c r="P2510" s="3" t="inlineStr">
        <is>
          <t>269.99</t>
        </is>
      </c>
      <c r="Q2510" t="inlineStr">
        <is>
          <t>Köln</t>
        </is>
      </c>
    </row>
    <row r="2511">
      <c r="A2511" t="inlineStr">
        <is>
          <t>245 cm x 69 cm</t>
        </is>
      </c>
      <c r="B2511" t="inlineStr">
        <is>
          <t>Tabou ROCKET 69</t>
        </is>
      </c>
      <c r="C2511" t="inlineStr">
        <is>
          <t>Freeride</t>
        </is>
      </c>
      <c r="D2511" s="3" t="n">
        <v>125</v>
      </c>
      <c r="E2511" t="inlineStr"/>
      <c r="F2511" s="4" t="n">
        <v>333</v>
      </c>
      <c r="G2511" t="inlineStr">
        <is>
          <t>VB</t>
        </is>
      </c>
      <c r="H2511" t="inlineStr">
        <is>
          <t>23769 Fehmarn</t>
        </is>
      </c>
      <c r="I2511" s="5" t="n">
        <v>45528</v>
      </c>
      <c r="J2511" t="inlineStr">
        <is>
          <t>Sold</t>
        </is>
      </c>
      <c r="K2511" s="6">
        <f>HYPERLINK("https://www.dailydose.de/kleinanzeigen/detail.htm?ai=421336&amp;cf=kk&amp;pg=4&amp;ci=11", "Link")</f>
        <v/>
      </c>
      <c r="L2511" s="6">
        <f>HYPERLINK("C:\Projects\Kleinanzeigen-Scraper\offer_images\421336", "Link")</f>
        <v/>
      </c>
      <c r="M2511" t="inlineStr">
        <is>
          <t>Insider</t>
        </is>
      </c>
      <c r="N2511" s="6">
        <f>HYPERLINK("https://www.dailydose.de/kleinanzeigen/user/20603", "Link")</f>
        <v/>
      </c>
      <c r="O2511" s="7" t="n">
        <v>45536.91178240741</v>
      </c>
      <c r="P2511" s="3" t="inlineStr">
        <is>
          <t>483.01</t>
        </is>
      </c>
      <c r="Q2511" t="inlineStr">
        <is>
          <t>Köln</t>
        </is>
      </c>
    </row>
    <row r="2512">
      <c r="A2512" t="inlineStr">
        <is>
          <t>230 cm x 75 cm</t>
        </is>
      </c>
      <c r="B2512" t="inlineStr">
        <is>
          <t>Fanatic Falcon</t>
        </is>
      </c>
      <c r="C2512" t="inlineStr">
        <is>
          <t>Slalom Race</t>
        </is>
      </c>
      <c r="D2512" s="3" t="n">
        <v>121</v>
      </c>
      <c r="E2512" t="inlineStr">
        <is>
          <t>2021</t>
        </is>
      </c>
      <c r="F2512" s="4" t="n">
        <v>750</v>
      </c>
      <c r="G2512" t="inlineStr"/>
      <c r="H2512" t="inlineStr">
        <is>
          <t>53340 Meckenheim</t>
        </is>
      </c>
      <c r="I2512" s="5" t="n">
        <v>45534</v>
      </c>
      <c r="J2512" t="inlineStr">
        <is>
          <t>Sold</t>
        </is>
      </c>
      <c r="K2512" s="6">
        <f>HYPERLINK("https://www.dailydose.de/kleinanzeigen/detail.htm?ai=421773&amp;cf=kk&amp;pg=5&amp;ci=11", "Link")</f>
        <v/>
      </c>
      <c r="L2512" s="6">
        <f>HYPERLINK("C:\Projects\Kleinanzeigen-Scraper\offer_images\421773", "Link")</f>
        <v/>
      </c>
      <c r="M2512" t="inlineStr">
        <is>
          <t>lukasleoplasil</t>
        </is>
      </c>
      <c r="N2512" s="6">
        <f>HYPERLINK("https://www.dailydose.de/kleinanzeigen/user/26336", "Link")</f>
        <v/>
      </c>
      <c r="O2512" s="7" t="n">
        <v>45536.91175925926</v>
      </c>
      <c r="P2512" s="3" t="inlineStr">
        <is>
          <t>35.79</t>
        </is>
      </c>
      <c r="Q2512" t="inlineStr">
        <is>
          <t>Köln</t>
        </is>
      </c>
    </row>
    <row r="2513">
      <c r="A2513" t="inlineStr"/>
      <c r="B2513" t="inlineStr">
        <is>
          <t>Patrik Freerace</t>
        </is>
      </c>
      <c r="C2513" t="inlineStr">
        <is>
          <t>Freeride</t>
        </is>
      </c>
      <c r="D2513" s="3" t="n">
        <v>110</v>
      </c>
      <c r="E2513" t="inlineStr"/>
      <c r="F2513" s="4" t="inlineStr">
        <is>
          <t>500 EUR</t>
        </is>
      </c>
      <c r="G2513" t="inlineStr"/>
      <c r="H2513" t="inlineStr">
        <is>
          <t>64291 Darmstadt</t>
        </is>
      </c>
      <c r="I2513" s="5" t="n">
        <v>45536</v>
      </c>
      <c r="J2513" t="inlineStr">
        <is>
          <t>Sold</t>
        </is>
      </c>
      <c r="K2513" s="6">
        <f>HYPERLINK("https://www.dailydose.de/kleinanzeigen/detail.htm?ai=421883&amp;cf=kk&amp;pg=5&amp;ci=11", "Link")</f>
        <v/>
      </c>
      <c r="L2513" s="6">
        <f>HYPERLINK("C:\Projects\Kleinanzeigen-Scraper\offer_images\421883", "Link")</f>
        <v/>
      </c>
      <c r="M2513" t="inlineStr">
        <is>
          <t>JB_70</t>
        </is>
      </c>
      <c r="N2513" s="6">
        <f>HYPERLINK("https://www.dailydose.de/kleinanzeigen/user/11409", "Link")</f>
        <v/>
      </c>
      <c r="O2513" s="7" t="n">
        <v>45536.91175925926</v>
      </c>
      <c r="P2513" s="3" t="inlineStr">
        <is>
          <t>104.77</t>
        </is>
      </c>
      <c r="Q2513" t="inlineStr">
        <is>
          <t>Karlsruhe</t>
        </is>
      </c>
    </row>
    <row r="2514">
      <c r="A2514" t="inlineStr">
        <is>
          <t>221 x 55</t>
        </is>
      </c>
      <c r="B2514" t="inlineStr">
        <is>
          <t>Quatro Pyramid</t>
        </is>
      </c>
      <c r="C2514" t="inlineStr">
        <is>
          <t>Wave</t>
        </is>
      </c>
      <c r="D2514" s="3" t="n">
        <v>77</v>
      </c>
      <c r="E2514" t="inlineStr"/>
      <c r="F2514" s="4" t="n">
        <v>390</v>
      </c>
      <c r="G2514" t="inlineStr"/>
      <c r="H2514" t="inlineStr">
        <is>
          <t>Düsseldorf</t>
        </is>
      </c>
      <c r="I2514" s="5" t="n">
        <v>45526</v>
      </c>
      <c r="J2514" t="inlineStr">
        <is>
          <t>Sold</t>
        </is>
      </c>
      <c r="K2514" s="6">
        <f>HYPERLINK("https://www.dailydose.de/kleinanzeigen/detail.htm?ai=421260&amp;cf=kk&amp;pg=5&amp;ci=11", "Link")</f>
        <v/>
      </c>
      <c r="L2514" s="6">
        <f>HYPERLINK("C:\Projects\Kleinanzeigen-Scraper\offer_images\421260", "Link")</f>
        <v/>
      </c>
      <c r="M2514" t="inlineStr">
        <is>
          <t>Fransenjerome</t>
        </is>
      </c>
      <c r="N2514" s="6">
        <f>HYPERLINK("https://www.dailydose.de/kleinanzeigen/user/8714", "Link")</f>
        <v/>
      </c>
      <c r="O2514" s="7" t="n">
        <v>45536.91162037037</v>
      </c>
      <c r="P2514" s="3" t="inlineStr">
        <is>
          <t>34.21</t>
        </is>
      </c>
      <c r="Q2514" t="inlineStr">
        <is>
          <t>Köln</t>
        </is>
      </c>
    </row>
    <row r="2515">
      <c r="A2515" t="inlineStr"/>
      <c r="B2515" t="inlineStr">
        <is>
          <t>Naish Global</t>
        </is>
      </c>
      <c r="C2515" t="inlineStr">
        <is>
          <t>Freeride</t>
        </is>
      </c>
      <c r="D2515" s="3" t="n">
        <v>92</v>
      </c>
      <c r="E2515" t="inlineStr"/>
      <c r="F2515" s="4" t="n">
        <v>500</v>
      </c>
      <c r="G2515" t="inlineStr">
        <is>
          <t>VB</t>
        </is>
      </c>
      <c r="H2515" t="inlineStr">
        <is>
          <t>23730 Neustadt in Holstein</t>
        </is>
      </c>
      <c r="I2515" s="5" t="n">
        <v>45529</v>
      </c>
      <c r="J2515" t="inlineStr">
        <is>
          <t>Sold</t>
        </is>
      </c>
      <c r="K2515" s="6">
        <f>HYPERLINK("https://www.dailydose.de/kleinanzeigen/detail.htm?ai=421384&amp;cf=kk&amp;pg=5&amp;ci=11", "Link")</f>
        <v/>
      </c>
      <c r="L2515" s="6">
        <f>HYPERLINK("C:\Projects\Kleinanzeigen-Scraper\offer_images\421384", "Link")</f>
        <v/>
      </c>
      <c r="M2515" t="inlineStr">
        <is>
          <t>MarkiMark</t>
        </is>
      </c>
      <c r="N2515" s="6">
        <f>HYPERLINK("https://www.dailydose.de/kleinanzeigen/user/13740", "Link")</f>
        <v/>
      </c>
      <c r="O2515" s="7" t="n">
        <v>45536.9116087963</v>
      </c>
      <c r="P2515" s="3" t="inlineStr">
        <is>
          <t>441.08</t>
        </is>
      </c>
      <c r="Q2515" t="inlineStr">
        <is>
          <t>Köln</t>
        </is>
      </c>
    </row>
    <row r="2516">
      <c r="A2516" t="inlineStr">
        <is>
          <t>242 cm x 66 cm</t>
        </is>
      </c>
      <c r="B2516" t="inlineStr">
        <is>
          <t>Tabou Rocket</t>
        </is>
      </c>
      <c r="C2516" t="inlineStr">
        <is>
          <t>Freeride</t>
        </is>
      </c>
      <c r="D2516" s="3" t="n">
        <v>115</v>
      </c>
      <c r="E2516" t="inlineStr"/>
      <c r="F2516" s="4" t="n">
        <v>675</v>
      </c>
      <c r="G2516" t="inlineStr">
        <is>
          <t>VB</t>
        </is>
      </c>
      <c r="H2516" t="inlineStr">
        <is>
          <t>81929 München</t>
        </is>
      </c>
      <c r="I2516" s="5" t="n">
        <v>45535</v>
      </c>
      <c r="J2516" t="inlineStr">
        <is>
          <t>Sold</t>
        </is>
      </c>
      <c r="K2516" s="6">
        <f>HYPERLINK("https://www.dailydose.de/kleinanzeigen/detail.htm?ai=421829&amp;cf=kk&amp;pg=5&amp;ci=11", "Link")</f>
        <v/>
      </c>
      <c r="L2516" s="6">
        <f>HYPERLINK("C:\Projects\Kleinanzeigen-Scraper\offer_images\421829", "Link")</f>
        <v/>
      </c>
      <c r="M2516" t="inlineStr">
        <is>
          <t>Kristian_11</t>
        </is>
      </c>
      <c r="N2516" s="6">
        <f>HYPERLINK("https://www.dailydose.de/kleinanzeigen/user/13808", "Link")</f>
        <v/>
      </c>
      <c r="O2516" s="7" t="n">
        <v>45536.91155092593</v>
      </c>
      <c r="P2516" s="3" t="inlineStr">
        <is>
          <t>6.89</t>
        </is>
      </c>
      <c r="Q2516" t="inlineStr">
        <is>
          <t>München</t>
        </is>
      </c>
    </row>
    <row r="2517">
      <c r="A2517" t="inlineStr"/>
      <c r="B2517" t="inlineStr">
        <is>
          <t>Tabou Da Bomb</t>
        </is>
      </c>
      <c r="C2517" t="inlineStr"/>
      <c r="D2517" s="3" t="n">
        <v>104</v>
      </c>
      <c r="E2517" t="inlineStr">
        <is>
          <t>2024</t>
        </is>
      </c>
      <c r="F2517" s="4" t="n">
        <v>1400</v>
      </c>
      <c r="G2517" t="inlineStr">
        <is>
          <t>VB</t>
        </is>
      </c>
      <c r="H2517" t="inlineStr">
        <is>
          <t>51069 Köln</t>
        </is>
      </c>
      <c r="I2517" s="5" t="n">
        <v>45525</v>
      </c>
      <c r="J2517" t="inlineStr">
        <is>
          <t>Sold</t>
        </is>
      </c>
      <c r="K2517" s="6">
        <f>HYPERLINK("https://www.dailydose.de/kleinanzeigen/detail.htm?ai=421234&amp;cf=kk&amp;pg=5&amp;ci=11", "Link")</f>
        <v/>
      </c>
      <c r="L2517" s="6">
        <f>HYPERLINK("C:\Projects\Kleinanzeigen-Scraper\offer_images\421234", "Link")</f>
        <v/>
      </c>
      <c r="M2517" t="inlineStr">
        <is>
          <t>Bj_37</t>
        </is>
      </c>
      <c r="N2517" s="6">
        <f>HYPERLINK("https://www.dailydose.de/kleinanzeigen/user/4920", "Link")</f>
        <v/>
      </c>
      <c r="O2517" s="7" t="n">
        <v>45536.91151620371</v>
      </c>
      <c r="P2517" s="3" t="inlineStr">
        <is>
          <t>9.37</t>
        </is>
      </c>
      <c r="Q2517" t="inlineStr">
        <is>
          <t>Köln</t>
        </is>
      </c>
    </row>
    <row r="2518">
      <c r="A2518" t="inlineStr"/>
      <c r="B2518" t="inlineStr">
        <is>
          <t>Tabou 3S</t>
        </is>
      </c>
      <c r="C2518" t="inlineStr"/>
      <c r="D2518" s="3" t="n">
        <v>97</v>
      </c>
      <c r="E2518" t="inlineStr"/>
      <c r="F2518" s="4" t="n">
        <v>899</v>
      </c>
      <c r="G2518" t="inlineStr"/>
      <c r="H2518" t="inlineStr">
        <is>
          <t>24257 Köhn</t>
        </is>
      </c>
      <c r="I2518" s="5" t="n">
        <v>45534</v>
      </c>
      <c r="J2518" t="inlineStr">
        <is>
          <t>Sold</t>
        </is>
      </c>
      <c r="K2518" s="6">
        <f>HYPERLINK("https://www.dailydose.de/kleinanzeigen/detail.htm?ai=421752&amp;cf=kk&amp;pg=5&amp;ci=11", "Link")</f>
        <v/>
      </c>
      <c r="L2518" s="6">
        <f>HYPERLINK("C:\Projects\Kleinanzeigen-Scraper\offer_images\421752", "Link")</f>
        <v/>
      </c>
      <c r="M2518" t="inlineStr">
        <is>
          <t>Martin_23</t>
        </is>
      </c>
      <c r="N2518" s="6">
        <f>HYPERLINK("https://www.dailydose.de/kleinanzeigen/user/7241", "Link")</f>
        <v/>
      </c>
      <c r="O2518" s="7" t="n">
        <v>45536.91151620371</v>
      </c>
      <c r="P2518" s="3" t="inlineStr">
        <is>
          <t>448.33</t>
        </is>
      </c>
      <c r="Q2518" t="inlineStr">
        <is>
          <t>Köln</t>
        </is>
      </c>
    </row>
    <row r="2519">
      <c r="A2519" t="inlineStr">
        <is>
          <t>84</t>
        </is>
      </c>
      <c r="B2519" t="inlineStr">
        <is>
          <t>Goya Custom Quad</t>
        </is>
      </c>
      <c r="C2519" t="inlineStr">
        <is>
          <t>Freestyle</t>
        </is>
      </c>
      <c r="D2519" s="3" t="inlineStr"/>
      <c r="E2519" t="inlineStr">
        <is>
          <t>2018</t>
        </is>
      </c>
      <c r="F2519" s="4" t="inlineStr">
        <is>
          <t>VHS</t>
        </is>
      </c>
      <c r="G2519" t="inlineStr"/>
      <c r="H2519" t="inlineStr">
        <is>
          <t>82223 Eichenau/z. Zt. Dk</t>
        </is>
      </c>
      <c r="I2519" s="5" t="n">
        <v>45533</v>
      </c>
      <c r="J2519" t="inlineStr">
        <is>
          <t>Sold</t>
        </is>
      </c>
      <c r="K2519" s="6">
        <f>HYPERLINK("https://www.dailydose.de/kleinanzeigen/detail.htm?ai=421691&amp;cf=kk&amp;pg=5&amp;ci=11", "Link")</f>
        <v/>
      </c>
      <c r="L2519" s="6">
        <f>HYPERLINK("C:\Projects\Kleinanzeigen-Scraper\offer_images\421691", "Link")</f>
        <v/>
      </c>
      <c r="M2519" t="inlineStr">
        <is>
          <t>Stefan_205</t>
        </is>
      </c>
      <c r="N2519" s="6">
        <f>HYPERLINK("https://www.dailydose.de/kleinanzeigen/user/25605", "Link")</f>
        <v/>
      </c>
      <c r="O2519" s="7" t="n">
        <v>45536.91148148148</v>
      </c>
      <c r="P2519" s="3" t="inlineStr">
        <is>
          <t>19.02</t>
        </is>
      </c>
      <c r="Q2519" t="inlineStr">
        <is>
          <t>München</t>
        </is>
      </c>
    </row>
    <row r="2520">
      <c r="A2520" t="inlineStr"/>
      <c r="B2520" t="inlineStr">
        <is>
          <t>JP Young Gun</t>
        </is>
      </c>
      <c r="C2520" t="inlineStr">
        <is>
          <t>Freestyle</t>
        </is>
      </c>
      <c r="D2520" s="3" t="n">
        <v>85</v>
      </c>
      <c r="E2520" t="inlineStr"/>
      <c r="F2520" s="4" t="n">
        <v>200</v>
      </c>
      <c r="G2520" t="inlineStr"/>
      <c r="H2520" t="inlineStr">
        <is>
          <t>33617 Bielefeld</t>
        </is>
      </c>
      <c r="I2520" s="5" t="n">
        <v>45524</v>
      </c>
      <c r="J2520" t="inlineStr">
        <is>
          <t>Sold</t>
        </is>
      </c>
      <c r="K2520" s="6">
        <f>HYPERLINK("https://www.dailydose.de/kleinanzeigen/detail.htm?ai=421210&amp;cf=kk&amp;pg=5&amp;ci=11", "Link")</f>
        <v/>
      </c>
      <c r="L2520" s="6">
        <f>HYPERLINK("C:\Projects\Kleinanzeigen-Scraper\offer_images\421210", "Link")</f>
        <v/>
      </c>
      <c r="M2520" t="inlineStr">
        <is>
          <t>Krzysztof</t>
        </is>
      </c>
      <c r="N2520" s="6">
        <f>HYPERLINK("https://www.dailydose.de/kleinanzeigen/user/13851", "Link")</f>
        <v/>
      </c>
      <c r="O2520" s="7" t="n">
        <v>45536.91148148148</v>
      </c>
      <c r="P2520" s="3" t="inlineStr">
        <is>
          <t>160.92</t>
        </is>
      </c>
      <c r="Q2520" t="inlineStr">
        <is>
          <t>Köln</t>
        </is>
      </c>
    </row>
    <row r="2521">
      <c r="A2521" t="inlineStr">
        <is>
          <t>228cm x 56.5cm</t>
        </is>
      </c>
      <c r="B2521" t="inlineStr">
        <is>
          <t>Tabou Da Curve</t>
        </is>
      </c>
      <c r="C2521" t="inlineStr">
        <is>
          <t>Freestyle</t>
        </is>
      </c>
      <c r="D2521" s="3" t="n">
        <v>80</v>
      </c>
      <c r="E2521" t="inlineStr"/>
      <c r="F2521" s="4" t="inlineStr">
        <is>
          <t>390 ()</t>
        </is>
      </c>
      <c r="G2521" t="inlineStr">
        <is>
          <t>VB</t>
        </is>
      </c>
      <c r="H2521" t="inlineStr">
        <is>
          <t>53844 Troisdorf</t>
        </is>
      </c>
      <c r="I2521" s="5" t="n">
        <v>45528</v>
      </c>
      <c r="J2521" t="inlineStr">
        <is>
          <t>Sold</t>
        </is>
      </c>
      <c r="K2521" s="6">
        <f>HYPERLINK("https://www.dailydose.de/kleinanzeigen/detail.htm?ai=421342&amp;cf=kk&amp;pg=5&amp;ci=11", "Link")</f>
        <v/>
      </c>
      <c r="L2521" s="6">
        <f>HYPERLINK("C:\Projects\Kleinanzeigen-Scraper\offer_images\421342", "Link")</f>
        <v/>
      </c>
      <c r="M2521" t="inlineStr">
        <is>
          <t>GK</t>
        </is>
      </c>
      <c r="N2521" s="6">
        <f>HYPERLINK("https://www.dailydose.de/kleinanzeigen/user/13476", "Link")</f>
        <v/>
      </c>
      <c r="O2521" s="7" t="n">
        <v>45536.91145833334</v>
      </c>
      <c r="P2521" s="3" t="inlineStr">
        <is>
          <t>19.95</t>
        </is>
      </c>
      <c r="Q2521" t="inlineStr">
        <is>
          <t>Köln</t>
        </is>
      </c>
    </row>
    <row r="2522">
      <c r="A2522" t="inlineStr">
        <is>
          <t>325 cm</t>
        </is>
      </c>
      <c r="B2522" t="inlineStr">
        <is>
          <t>Fanatic Lite Bat</t>
        </is>
      </c>
      <c r="C2522" t="inlineStr"/>
      <c r="D2522" s="3" t="n">
        <v>160</v>
      </c>
      <c r="E2522" t="inlineStr"/>
      <c r="F2522" s="4" t="n">
        <v>70</v>
      </c>
      <c r="G2522" t="inlineStr">
        <is>
          <t>VB</t>
        </is>
      </c>
      <c r="H2522" t="inlineStr">
        <is>
          <t>24107 Quarnbek</t>
        </is>
      </c>
      <c r="I2522" s="5" t="n">
        <v>45533</v>
      </c>
      <c r="J2522" t="inlineStr">
        <is>
          <t>Sold</t>
        </is>
      </c>
      <c r="K2522" s="6">
        <f>HYPERLINK("https://www.dailydose.de/kleinanzeigen/detail.htm?ai=421682&amp;cf=kk&amp;pg=5&amp;ci=11", "Link")</f>
        <v/>
      </c>
      <c r="L2522" s="6">
        <f>HYPERLINK("C:\Projects\Kleinanzeigen-Scraper\offer_images\421682", "Link")</f>
        <v/>
      </c>
      <c r="M2522" t="inlineStr">
        <is>
          <t>Stefan Menzel</t>
        </is>
      </c>
      <c r="N2522" s="6">
        <f>HYPERLINK("https://www.dailydose.de/kleinanzeigen/user/21896", "Link")</f>
        <v/>
      </c>
      <c r="O2522" s="7" t="n">
        <v>45536.91142361111</v>
      </c>
      <c r="P2522" s="3" t="inlineStr">
        <is>
          <t>432.01</t>
        </is>
      </c>
      <c r="Q2522" t="inlineStr">
        <is>
          <t>Köln</t>
        </is>
      </c>
    </row>
    <row r="2523">
      <c r="A2523" t="inlineStr">
        <is>
          <t>76</t>
        </is>
      </c>
      <c r="B2523" t="inlineStr">
        <is>
          <t>Tabou Da Curve</t>
        </is>
      </c>
      <c r="C2523" t="inlineStr"/>
      <c r="D2523" s="3" t="inlineStr"/>
      <c r="E2523" t="inlineStr">
        <is>
          <t>2024</t>
        </is>
      </c>
      <c r="F2523" s="4" t="n">
        <v>1199</v>
      </c>
      <c r="G2523" t="inlineStr">
        <is>
          <t>VB</t>
        </is>
      </c>
      <c r="H2523" t="inlineStr">
        <is>
          <t>47877 Willich, Düsseldorf</t>
        </is>
      </c>
      <c r="I2523" s="5" t="n">
        <v>45531</v>
      </c>
      <c r="J2523" t="inlineStr">
        <is>
          <t>Sold</t>
        </is>
      </c>
      <c r="K2523" s="6">
        <f>HYPERLINK("https://www.dailydose.de/kleinanzeigen/detail.htm?ai=421583&amp;cf=kk&amp;pg=5&amp;ci=11", "Link")</f>
        <v/>
      </c>
      <c r="L2523" s="6">
        <f>HYPERLINK("C:\Projects\Kleinanzeigen-Scraper\offer_images\421583", "Link")</f>
        <v/>
      </c>
      <c r="M2523" t="inlineStr">
        <is>
          <t>Guido</t>
        </is>
      </c>
      <c r="N2523" s="6">
        <f>HYPERLINK("https://www.dailydose.de/kleinanzeigen/user/778", "Link")</f>
        <v/>
      </c>
      <c r="O2523" s="7" t="n">
        <v>45536.9112962963</v>
      </c>
      <c r="P2523" s="3" t="inlineStr">
        <is>
          <t>47.48</t>
        </is>
      </c>
      <c r="Q2523" t="inlineStr">
        <is>
          <t>Köln</t>
        </is>
      </c>
    </row>
    <row r="2524">
      <c r="A2524" t="inlineStr">
        <is>
          <t>245 cm x 63 cm</t>
        </is>
      </c>
      <c r="B2524" t="inlineStr">
        <is>
          <t>Fanatic SHARK</t>
        </is>
      </c>
      <c r="C2524" t="inlineStr">
        <is>
          <t>Freeride</t>
        </is>
      </c>
      <c r="D2524" s="3" t="n">
        <v>100</v>
      </c>
      <c r="E2524" t="inlineStr"/>
      <c r="F2524" s="4" t="n">
        <v>275</v>
      </c>
      <c r="G2524" t="inlineStr">
        <is>
          <t>VB</t>
        </is>
      </c>
      <c r="H2524" t="inlineStr">
        <is>
          <t>23909 Ratzeburg</t>
        </is>
      </c>
      <c r="I2524" s="5" t="n">
        <v>45534</v>
      </c>
      <c r="J2524" t="inlineStr">
        <is>
          <t>Sold</t>
        </is>
      </c>
      <c r="K2524" s="6">
        <f>HYPERLINK("https://www.dailydose.de/kleinanzeigen/detail.htm?ai=421772&amp;cf=kk&amp;pg=5&amp;ci=11", "Link")</f>
        <v/>
      </c>
      <c r="L2524" s="6">
        <f>HYPERLINK("C:\Projects\Kleinanzeigen-Scraper\offer_images\421772", "Link")</f>
        <v/>
      </c>
      <c r="M2524" t="inlineStr">
        <is>
          <t>Insider</t>
        </is>
      </c>
      <c r="N2524" s="6">
        <f>HYPERLINK("https://www.dailydose.de/kleinanzeigen/user/20603", "Link")</f>
        <v/>
      </c>
      <c r="O2524" s="7" t="n">
        <v>45536.91122685185</v>
      </c>
      <c r="P2524" s="3" t="inlineStr">
        <is>
          <t>401.75</t>
        </is>
      </c>
      <c r="Q2524" t="inlineStr">
        <is>
          <t>Köln</t>
        </is>
      </c>
    </row>
    <row r="2525">
      <c r="A2525" t="inlineStr"/>
      <c r="B2525" t="inlineStr">
        <is>
          <t>JP</t>
        </is>
      </c>
      <c r="C2525" t="inlineStr">
        <is>
          <t>Freestyle</t>
        </is>
      </c>
      <c r="D2525" s="3" t="n">
        <v>84</v>
      </c>
      <c r="E2525" t="inlineStr">
        <is>
          <t>2022</t>
        </is>
      </c>
      <c r="F2525" s="4" t="n">
        <v>1000</v>
      </c>
      <c r="G2525" t="inlineStr"/>
      <c r="H2525" t="inlineStr">
        <is>
          <t>23552 Lübeck</t>
        </is>
      </c>
      <c r="I2525" s="5" t="n">
        <v>45529</v>
      </c>
      <c r="J2525" t="inlineStr">
        <is>
          <t>Sold</t>
        </is>
      </c>
      <c r="K2525" s="6">
        <f>HYPERLINK("https://www.dailydose.de/kleinanzeigen/detail.htm?ai=421412&amp;cf=kk&amp;pg=5&amp;ci=11", "Link")</f>
        <v/>
      </c>
      <c r="L2525" s="6">
        <f>HYPERLINK("C:\Projects\Kleinanzeigen-Scraper\offer_images\421412", "Link")</f>
        <v/>
      </c>
      <c r="M2525" t="inlineStr">
        <is>
          <t>surfmacher</t>
        </is>
      </c>
      <c r="N2525" s="6">
        <f>HYPERLINK("https://www.dailydose.de/kleinanzeigen/user/26291", "Link")</f>
        <v/>
      </c>
      <c r="O2525" s="7" t="n">
        <v>45536.91122685185</v>
      </c>
      <c r="P2525" s="3" t="inlineStr">
        <is>
          <t>412.54</t>
        </is>
      </c>
      <c r="Q2525" t="inlineStr">
        <is>
          <t>Köln</t>
        </is>
      </c>
    </row>
    <row r="2526">
      <c r="A2526" t="inlineStr">
        <is>
          <t>Length:  x Width: 57cm</t>
        </is>
      </c>
      <c r="B2526" t="inlineStr">
        <is>
          <t>Carbon Art Rere</t>
        </is>
      </c>
      <c r="C2526" t="inlineStr">
        <is>
          <t>Wave</t>
        </is>
      </c>
      <c r="D2526" s="3" t="n">
        <v>80</v>
      </c>
      <c r="E2526" t="inlineStr">
        <is>
          <t>2023</t>
        </is>
      </c>
      <c r="F2526" s="4" t="n">
        <v>1475</v>
      </c>
      <c r="G2526" t="inlineStr"/>
      <c r="H2526" t="inlineStr">
        <is>
          <t>28205 Bremen</t>
        </is>
      </c>
      <c r="I2526" s="5" t="n">
        <v>45532</v>
      </c>
      <c r="J2526" t="inlineStr">
        <is>
          <t>Sold</t>
        </is>
      </c>
      <c r="K2526" s="6">
        <f>HYPERLINK("https://www.dailydose.de/kleinanzeigen/detail.htm?ai=421629&amp;cf=kk&amp;pg=5&amp;ci=11", "Link")</f>
        <v/>
      </c>
      <c r="L2526" s="6">
        <f>HYPERLINK("C:\Projects\Kleinanzeigen-Scraper\offer_images\421629", "Link")</f>
        <v/>
      </c>
      <c r="M2526" t="inlineStr">
        <is>
          <t>tim-bremen</t>
        </is>
      </c>
      <c r="N2526" s="6">
        <f>HYPERLINK("https://www.dailydose.de/kleinanzeigen/user/23540", "Link")</f>
        <v/>
      </c>
      <c r="O2526" s="7" t="n">
        <v>45536.9112037037</v>
      </c>
      <c r="P2526" s="3" t="inlineStr">
        <is>
          <t>269.99</t>
        </is>
      </c>
      <c r="Q2526" t="inlineStr">
        <is>
          <t>Köln</t>
        </is>
      </c>
    </row>
    <row r="2527">
      <c r="A2527" t="inlineStr"/>
      <c r="B2527" t="inlineStr">
        <is>
          <t>Severne Pyro</t>
        </is>
      </c>
      <c r="C2527" t="inlineStr"/>
      <c r="D2527" s="3" t="n">
        <v>93</v>
      </c>
      <c r="E2527" t="inlineStr"/>
      <c r="F2527" s="4" t="n">
        <v>600</v>
      </c>
      <c r="G2527" t="inlineStr"/>
      <c r="H2527" t="inlineStr">
        <is>
          <t>Makkum</t>
        </is>
      </c>
      <c r="I2527" s="5" t="n">
        <v>45532</v>
      </c>
      <c r="J2527" t="inlineStr">
        <is>
          <t>Sold</t>
        </is>
      </c>
      <c r="K2527" s="6">
        <f>HYPERLINK("https://www.dailydose.de/kleinanzeigen/detail.htm?ai=421649&amp;cf=kk&amp;pg=5&amp;ci=11", "Link")</f>
        <v/>
      </c>
      <c r="L2527" s="6">
        <f>HYPERLINK("C:\Projects\Kleinanzeigen-Scraper\offer_images\421649", "Link")</f>
        <v/>
      </c>
      <c r="M2527" t="inlineStr">
        <is>
          <t>Robert_21</t>
        </is>
      </c>
      <c r="N2527" s="6">
        <f>HYPERLINK("https://www.dailydose.de/kleinanzeigen/user/9424", "Link")</f>
        <v/>
      </c>
      <c r="O2527" s="7" t="n">
        <v>45536.91119212963</v>
      </c>
      <c r="P2527" s="3" t="inlineStr">
        <is>
          <t>258.34</t>
        </is>
      </c>
      <c r="Q2527" t="inlineStr">
        <is>
          <t>Köln</t>
        </is>
      </c>
    </row>
    <row r="2528">
      <c r="A2528" t="inlineStr">
        <is>
          <t>248 x 68 cm</t>
        </is>
      </c>
      <c r="B2528" t="inlineStr">
        <is>
          <t>Exocet SCross PRO</t>
        </is>
      </c>
      <c r="C2528" t="inlineStr">
        <is>
          <t>FreeRace/FreeRide</t>
        </is>
      </c>
      <c r="D2528" s="3" t="n">
        <v>115</v>
      </c>
      <c r="E2528" t="inlineStr"/>
      <c r="F2528" s="4" t="n">
        <v>400</v>
      </c>
      <c r="G2528" t="inlineStr"/>
      <c r="H2528" t="inlineStr">
        <is>
          <t>12527 Berlin</t>
        </is>
      </c>
      <c r="I2528" s="5" t="n">
        <v>45522</v>
      </c>
      <c r="J2528" t="inlineStr">
        <is>
          <t>Sold</t>
        </is>
      </c>
      <c r="K2528" s="6">
        <f>HYPERLINK("https://www.dailydose.de/kleinanzeigen/detail.htm?ai=421062&amp;cf=kk&amp;pg=2&amp;ci=13", "Link")</f>
        <v/>
      </c>
      <c r="L2528" s="6">
        <f>HYPERLINK("C:\Projects\Kleinanzeigen-Scraper\offer_images\421062", "Link")</f>
        <v/>
      </c>
      <c r="M2528" t="inlineStr">
        <is>
          <t>newt3</t>
        </is>
      </c>
      <c r="N2528" s="6">
        <f>HYPERLINK("https://www.dailydose.de/kleinanzeigen/user/22148", "Link")</f>
        <v/>
      </c>
      <c r="O2528" s="7" t="n">
        <v>45536.91116898148</v>
      </c>
      <c r="P2528" s="3" t="inlineStr">
        <is>
          <t>487.71</t>
        </is>
      </c>
      <c r="Q2528" t="inlineStr">
        <is>
          <t>Köln</t>
        </is>
      </c>
    </row>
    <row r="2529">
      <c r="A2529" t="inlineStr">
        <is>
          <t>139</t>
        </is>
      </c>
      <c r="B2529" t="inlineStr">
        <is>
          <t>JP Australia Magic Ride</t>
        </is>
      </c>
      <c r="C2529" t="inlineStr">
        <is>
          <t>Freeride</t>
        </is>
      </c>
      <c r="D2529" s="3" t="inlineStr"/>
      <c r="E2529" t="inlineStr">
        <is>
          <t>2024</t>
        </is>
      </c>
      <c r="F2529" s="4" t="n">
        <v>890</v>
      </c>
      <c r="G2529" t="inlineStr"/>
      <c r="H2529" t="inlineStr">
        <is>
          <t>82211 Herrsching a. Ammersee</t>
        </is>
      </c>
      <c r="I2529" s="5" t="n">
        <v>45531</v>
      </c>
      <c r="J2529" t="inlineStr">
        <is>
          <t>Sold</t>
        </is>
      </c>
      <c r="K2529" s="6">
        <f>HYPERLINK("https://www.dailydose.de/kleinanzeigen/detail.htm?ai=421541&amp;cf=kk&amp;pg=5&amp;ci=11", "Link")</f>
        <v/>
      </c>
      <c r="L2529" s="6">
        <f>HYPERLINK("C:\Projects\Kleinanzeigen-Scraper\offer_images\421541", "Link")</f>
        <v/>
      </c>
      <c r="M2529" t="inlineStr">
        <is>
          <t>Andy Laufer_62</t>
        </is>
      </c>
      <c r="N2529" s="6">
        <f>HYPERLINK("https://www.dailydose.de/kleinanzeigen/user/3717", "Link")</f>
        <v/>
      </c>
      <c r="O2529" s="7" t="n">
        <v>45536.91113425926</v>
      </c>
      <c r="P2529" s="3" t="inlineStr">
        <is>
          <t>32.73</t>
        </is>
      </c>
      <c r="Q2529" t="inlineStr">
        <is>
          <t>München</t>
        </is>
      </c>
    </row>
    <row r="2530">
      <c r="A2530" t="inlineStr">
        <is>
          <t>238 cm x 68.8 cm</t>
        </is>
      </c>
      <c r="B2530" t="inlineStr">
        <is>
          <t>Patrik Diethelm Slalom</t>
        </is>
      </c>
      <c r="C2530" t="inlineStr">
        <is>
          <t>Slalom</t>
        </is>
      </c>
      <c r="D2530" s="3" t="n">
        <v>110</v>
      </c>
      <c r="E2530" t="inlineStr"/>
      <c r="F2530" s="4" t="n">
        <v>300</v>
      </c>
      <c r="G2530" t="inlineStr"/>
      <c r="H2530" t="inlineStr">
        <is>
          <t>34295 Edermünde</t>
        </is>
      </c>
      <c r="I2530" s="5" t="n">
        <v>45531</v>
      </c>
      <c r="J2530" t="inlineStr">
        <is>
          <t>Sold</t>
        </is>
      </c>
      <c r="K2530" s="6">
        <f>HYPERLINK("https://www.dailydose.de/kleinanzeigen/detail.htm?ai=421556&amp;cf=kk&amp;pg=5&amp;ci=11", "Link")</f>
        <v/>
      </c>
      <c r="L2530" s="6">
        <f>HYPERLINK("C:\Projects\Kleinanzeigen-Scraper\offer_images\421556", "Link")</f>
        <v/>
      </c>
      <c r="M2530" t="inlineStr">
        <is>
          <t>Wolfgang Schierer</t>
        </is>
      </c>
      <c r="N2530" s="6">
        <f>HYPERLINK("https://www.dailydose.de/kleinanzeigen/user/25346", "Link")</f>
        <v/>
      </c>
      <c r="O2530" s="7" t="n">
        <v>45536.91113425926</v>
      </c>
      <c r="P2530" s="3" t="inlineStr">
        <is>
          <t>172.77</t>
        </is>
      </c>
      <c r="Q2530" t="inlineStr">
        <is>
          <t>Köln</t>
        </is>
      </c>
    </row>
    <row r="2531">
      <c r="A2531" t="inlineStr">
        <is>
          <t>250cm x 76cm</t>
        </is>
      </c>
      <c r="B2531" t="inlineStr">
        <is>
          <t>Tabou Rocket LTD</t>
        </is>
      </c>
      <c r="C2531" t="inlineStr">
        <is>
          <t>Freeride</t>
        </is>
      </c>
      <c r="D2531" s="3" t="n">
        <v>135</v>
      </c>
      <c r="E2531" t="inlineStr">
        <is>
          <t>2017</t>
        </is>
      </c>
      <c r="F2531" s="4" t="n">
        <v>550</v>
      </c>
      <c r="G2531" t="inlineStr"/>
      <c r="H2531" t="inlineStr">
        <is>
          <t>84524 Neuötting-München</t>
        </is>
      </c>
      <c r="I2531" s="5" t="n">
        <v>45536</v>
      </c>
      <c r="J2531" t="inlineStr">
        <is>
          <t>Sold</t>
        </is>
      </c>
      <c r="K2531" s="6">
        <f>HYPERLINK("https://www.dailydose.de/kleinanzeigen/detail.htm?ai=421901&amp;cf=kk&amp;pg=5&amp;ci=11", "Link")</f>
        <v/>
      </c>
      <c r="L2531" s="6">
        <f>HYPERLINK("C:\Projects\Kleinanzeigen-Scraper\offer_images\421901", "Link")</f>
        <v/>
      </c>
      <c r="M2531" t="inlineStr">
        <is>
          <t>Julian_139</t>
        </is>
      </c>
      <c r="N2531" s="6">
        <f>HYPERLINK("https://www.dailydose.de/kleinanzeigen/user/12781", "Link")</f>
        <v/>
      </c>
      <c r="O2531" s="7" t="n">
        <v>45536.91113425926</v>
      </c>
      <c r="P2531" s="3" t="inlineStr">
        <is>
          <t>87.16</t>
        </is>
      </c>
      <c r="Q2531" t="inlineStr">
        <is>
          <t>München</t>
        </is>
      </c>
    </row>
    <row r="2532">
      <c r="A2532" t="inlineStr"/>
      <c r="B2532" t="inlineStr">
        <is>
          <t>FMX Racing</t>
        </is>
      </c>
      <c r="C2532" t="inlineStr">
        <is>
          <t>Slalom</t>
        </is>
      </c>
      <c r="D2532" s="3" t="n">
        <v>118</v>
      </c>
      <c r="E2532" t="inlineStr">
        <is>
          <t>2022</t>
        </is>
      </c>
      <c r="F2532" s="4" t="n">
        <v>1690</v>
      </c>
      <c r="G2532" t="inlineStr"/>
      <c r="H2532" t="inlineStr">
        <is>
          <t>13467 Berlin</t>
        </is>
      </c>
      <c r="I2532" s="5" t="n">
        <v>45530</v>
      </c>
      <c r="J2532" t="inlineStr">
        <is>
          <t>Sold</t>
        </is>
      </c>
      <c r="K2532" s="6">
        <f>HYPERLINK("https://www.dailydose.de/kleinanzeigen/detail.htm?ai=421465&amp;cf=kk&amp;pg=5&amp;ci=11", "Link")</f>
        <v/>
      </c>
      <c r="L2532" s="6">
        <f>HYPERLINK("C:\Projects\Kleinanzeigen-Scraper\offer_images\421465", "Link")</f>
        <v/>
      </c>
      <c r="M2532" t="inlineStr">
        <is>
          <t>Dirk S.</t>
        </is>
      </c>
      <c r="N2532" s="6">
        <f>HYPERLINK("https://www.dailydose.de/kleinanzeigen/user/7036", "Link")</f>
        <v/>
      </c>
      <c r="O2532" s="7" t="n">
        <v>45536.91109953704</v>
      </c>
      <c r="P2532" s="3" t="inlineStr">
        <is>
          <t>474.84</t>
        </is>
      </c>
      <c r="Q2532" t="inlineStr">
        <is>
          <t>Köln</t>
        </is>
      </c>
    </row>
    <row r="2533">
      <c r="A2533" t="inlineStr">
        <is>
          <t>233 cm x 58 cm</t>
        </is>
      </c>
      <c r="B2533" t="inlineStr">
        <is>
          <t>JP Australia FSW</t>
        </is>
      </c>
      <c r="C2533" t="inlineStr">
        <is>
          <t>Freestyle Wave</t>
        </is>
      </c>
      <c r="D2533" s="3" t="n">
        <v>85</v>
      </c>
      <c r="E2533" t="inlineStr"/>
      <c r="F2533" s="4" t="n">
        <v>290</v>
      </c>
      <c r="G2533" t="inlineStr"/>
      <c r="H2533" t="inlineStr">
        <is>
          <t>24119 Kiel Kronshagen</t>
        </is>
      </c>
      <c r="I2533" s="5" t="n">
        <v>45528</v>
      </c>
      <c r="J2533" t="inlineStr">
        <is>
          <t>Sold</t>
        </is>
      </c>
      <c r="K2533" s="6">
        <f>HYPERLINK("https://www.dailydose.de/kleinanzeigen/detail.htm?ai=421368&amp;cf=kk&amp;pg=5&amp;ci=11", "Link")</f>
        <v/>
      </c>
      <c r="L2533" s="6">
        <f>HYPERLINK("C:\Projects\Kleinanzeigen-Scraper\offer_images\421368", "Link")</f>
        <v/>
      </c>
      <c r="M2533" t="inlineStr">
        <is>
          <t>Jan Heinrich</t>
        </is>
      </c>
      <c r="N2533" s="6">
        <f>HYPERLINK("https://www.dailydose.de/kleinanzeigen/user/12576", "Link")</f>
        <v/>
      </c>
      <c r="O2533" s="7" t="n">
        <v>45536.91109953704</v>
      </c>
      <c r="P2533" s="3" t="inlineStr">
        <is>
          <t>432.46</t>
        </is>
      </c>
      <c r="Q2533" t="inlineStr">
        <is>
          <t>Köln</t>
        </is>
      </c>
    </row>
    <row r="2534">
      <c r="A2534" t="inlineStr">
        <is>
          <t>226*57.5</t>
        </is>
      </c>
      <c r="B2534" t="inlineStr">
        <is>
          <t>Witchcraft Custom Wave/Haka</t>
        </is>
      </c>
      <c r="C2534" t="inlineStr">
        <is>
          <t>Wave</t>
        </is>
      </c>
      <c r="D2534" s="3" t="n">
        <v>82</v>
      </c>
      <c r="E2534" t="inlineStr"/>
      <c r="F2534" s="4" t="inlineStr">
        <is>
          <t>700  oder Gebot</t>
        </is>
      </c>
      <c r="G2534" t="inlineStr"/>
      <c r="H2534" t="inlineStr">
        <is>
          <t>21629 Nähe HH oder am Spot</t>
        </is>
      </c>
      <c r="I2534" s="5" t="n">
        <v>45531</v>
      </c>
      <c r="J2534" t="inlineStr">
        <is>
          <t>Sold</t>
        </is>
      </c>
      <c r="K2534" s="6">
        <f>HYPERLINK("https://www.dailydose.de/kleinanzeigen/detail.htm?ai=421611&amp;cf=kk&amp;pg=5&amp;ci=11", "Link")</f>
        <v/>
      </c>
      <c r="L2534" s="6">
        <f>HYPERLINK("C:\Projects\Kleinanzeigen-Scraper\offer_images\421611", "Link")</f>
        <v/>
      </c>
      <c r="M2534" t="inlineStr">
        <is>
          <t>Jens_114</t>
        </is>
      </c>
      <c r="N2534" s="6">
        <f>HYPERLINK("https://www.dailydose.de/kleinanzeigen/user/25126", "Link")</f>
        <v/>
      </c>
      <c r="O2534" s="7" t="n">
        <v>45536.91106481481</v>
      </c>
      <c r="P2534" s="3" t="inlineStr">
        <is>
          <t>339.04</t>
        </is>
      </c>
      <c r="Q2534" t="inlineStr">
        <is>
          <t>Köln</t>
        </is>
      </c>
    </row>
    <row r="2535">
      <c r="A2535" t="inlineStr">
        <is>
          <t>Dimensions not specified</t>
        </is>
      </c>
      <c r="B2535" t="inlineStr">
        <is>
          <t>Goya Bolt</t>
        </is>
      </c>
      <c r="C2535" t="inlineStr">
        <is>
          <t>Freeride</t>
        </is>
      </c>
      <c r="D2535" s="3" t="n">
        <v>137</v>
      </c>
      <c r="E2535" t="inlineStr">
        <is>
          <t>2023</t>
        </is>
      </c>
      <c r="F2535" s="4" t="n">
        <v>1150</v>
      </c>
      <c r="G2535" t="inlineStr"/>
      <c r="H2535" t="inlineStr">
        <is>
          <t>26389 Wilhelmshaven</t>
        </is>
      </c>
      <c r="I2535" s="5" t="n">
        <v>45536</v>
      </c>
      <c r="J2535" t="inlineStr">
        <is>
          <t>Sold</t>
        </is>
      </c>
      <c r="K2535" s="6">
        <f>HYPERLINK("https://www.dailydose.de/kleinanzeigen/detail.htm?ai=421927&amp;cf=kk&amp;pg=5&amp;ci=11", "Link")</f>
        <v/>
      </c>
      <c r="L2535" s="6">
        <f>HYPERLINK("C:\Projects\Kleinanzeigen-Scraper\offer_images\421927", "Link")</f>
        <v/>
      </c>
      <c r="M2535" t="inlineStr">
        <is>
          <t>GER-22</t>
        </is>
      </c>
      <c r="N2535" s="6">
        <f>HYPERLINK("https://www.dailydose.de/kleinanzeigen/user/13544", "Link")</f>
        <v/>
      </c>
      <c r="O2535" s="7" t="n">
        <v>45536.91104166667</v>
      </c>
      <c r="P2535" s="3" t="inlineStr">
        <is>
          <t>296.86</t>
        </is>
      </c>
      <c r="Q2535" t="inlineStr">
        <is>
          <t>Köln</t>
        </is>
      </c>
    </row>
    <row r="2536">
      <c r="A2536" t="inlineStr">
        <is>
          <t>88</t>
        </is>
      </c>
      <c r="B2536" t="inlineStr">
        <is>
          <t>FANATIC TriWave Team Edition</t>
        </is>
      </c>
      <c r="C2536" t="inlineStr">
        <is>
          <t>Wave</t>
        </is>
      </c>
      <c r="D2536" s="3" t="n">
        <v>88</v>
      </c>
      <c r="E2536" t="inlineStr"/>
      <c r="F2536" s="4" t="n">
        <v>449</v>
      </c>
      <c r="G2536" t="inlineStr"/>
      <c r="H2536" t="inlineStr">
        <is>
          <t>10119 Berlin</t>
        </is>
      </c>
      <c r="I2536" s="5" t="n">
        <v>45536</v>
      </c>
      <c r="J2536" t="inlineStr">
        <is>
          <t>Sold</t>
        </is>
      </c>
      <c r="K2536" s="6">
        <f>HYPERLINK("https://www.dailydose.de/kleinanzeigen/detail.htm?ai=421929&amp;cf=kk&amp;pg=5&amp;ci=11", "Link")</f>
        <v/>
      </c>
      <c r="L2536" s="6">
        <f>HYPERLINK("C:\Projects\Kleinanzeigen-Scraper\offer_images\421929", "Link")</f>
        <v/>
      </c>
      <c r="M2536" t="inlineStr">
        <is>
          <t>Andreas_36</t>
        </is>
      </c>
      <c r="N2536" s="6">
        <f>HYPERLINK("https://www.dailydose.de/kleinanzeigen/user/3917", "Link")</f>
        <v/>
      </c>
      <c r="O2536" s="7" t="n">
        <v>45536.91104166667</v>
      </c>
      <c r="P2536" s="3" t="inlineStr">
        <is>
          <t>478.06</t>
        </is>
      </c>
      <c r="Q2536" t="inlineStr">
        <is>
          <t>Köln</t>
        </is>
      </c>
    </row>
    <row r="2537">
      <c r="A2537" t="inlineStr"/>
      <c r="B2537" t="inlineStr">
        <is>
          <t>Starboard Ultra Kode</t>
        </is>
      </c>
      <c r="C2537" t="inlineStr"/>
      <c r="D2537" s="3" t="n">
        <v>86</v>
      </c>
      <c r="E2537" t="inlineStr"/>
      <c r="F2537" s="4" t="n">
        <v>845</v>
      </c>
      <c r="G2537" t="inlineStr">
        <is>
          <t>VB</t>
        </is>
      </c>
      <c r="H2537" t="inlineStr">
        <is>
          <t>91619 B. Nürnberg</t>
        </is>
      </c>
      <c r="I2537" s="5" t="n">
        <v>45530</v>
      </c>
      <c r="J2537" t="inlineStr">
        <is>
          <t>Sold</t>
        </is>
      </c>
      <c r="K2537" s="6">
        <f>HYPERLINK("https://www.dailydose.de/kleinanzeigen/detail.htm?ai=421505&amp;cf=kk&amp;pg=5&amp;ci=11", "Link")</f>
        <v/>
      </c>
      <c r="L2537" s="6">
        <f>HYPERLINK("C:\Projects\Kleinanzeigen-Scraper\offer_images\421505", "Link")</f>
        <v/>
      </c>
      <c r="M2537" t="inlineStr">
        <is>
          <t>Ralf_31</t>
        </is>
      </c>
      <c r="N2537" s="6">
        <f>HYPERLINK("https://www.dailydose.de/kleinanzeigen/user/13888", "Link")</f>
        <v/>
      </c>
      <c r="O2537" s="7" t="n">
        <v>45536.91100694444</v>
      </c>
      <c r="P2537" s="3" t="inlineStr">
        <is>
          <t>138.44</t>
        </is>
      </c>
      <c r="Q2537" t="inlineStr">
        <is>
          <t>Böblingen</t>
        </is>
      </c>
    </row>
    <row r="2538">
      <c r="A2538" t="inlineStr"/>
      <c r="B2538" t="inlineStr">
        <is>
          <t>Patrik Air-style</t>
        </is>
      </c>
      <c r="C2538" t="inlineStr"/>
      <c r="D2538" s="3" t="n">
        <v>93</v>
      </c>
      <c r="E2538" t="inlineStr"/>
      <c r="F2538" s="4" t="n">
        <v>45</v>
      </c>
      <c r="G2538" t="inlineStr">
        <is>
          <t>VB</t>
        </is>
      </c>
      <c r="H2538" t="inlineStr">
        <is>
          <t>24114 Kiel</t>
        </is>
      </c>
      <c r="I2538" s="5" t="n">
        <v>45528</v>
      </c>
      <c r="J2538" t="inlineStr">
        <is>
          <t>Sold</t>
        </is>
      </c>
      <c r="K2538" s="6">
        <f>HYPERLINK("https://www.dailydose.de/kleinanzeigen/detail.htm?ai=421365&amp;cf=kk&amp;pg=5&amp;ci=11", "Link")</f>
        <v/>
      </c>
      <c r="L2538" s="6">
        <f>HYPERLINK("C:\Projects\Kleinanzeigen-Scraper\offer_images\421365", "Link")</f>
        <v/>
      </c>
      <c r="M2538" t="inlineStr">
        <is>
          <t>Julian_43</t>
        </is>
      </c>
      <c r="N2538" s="6">
        <f>HYPERLINK("https://www.dailydose.de/kleinanzeigen/user/12793", "Link")</f>
        <v/>
      </c>
      <c r="O2538" s="7" t="n">
        <v>45536.91097222222</v>
      </c>
      <c r="P2538" s="3" t="inlineStr">
        <is>
          <t>431.59</t>
        </is>
      </c>
      <c r="Q2538" t="inlineStr">
        <is>
          <t>Köln</t>
        </is>
      </c>
    </row>
    <row r="2539">
      <c r="A2539" t="inlineStr">
        <is>
          <t>Dimensions not specified</t>
        </is>
      </c>
      <c r="B2539" t="inlineStr">
        <is>
          <t>Tabou da curve</t>
        </is>
      </c>
      <c r="C2539" t="inlineStr"/>
      <c r="D2539" s="3" t="n">
        <v>82</v>
      </c>
      <c r="E2539" t="inlineStr">
        <is>
          <t>2020</t>
        </is>
      </c>
      <c r="F2539" s="4" t="n">
        <v>690</v>
      </c>
      <c r="G2539" t="inlineStr">
        <is>
          <t>VB</t>
        </is>
      </c>
      <c r="H2539" t="inlineStr">
        <is>
          <t>24937 Flensburg</t>
        </is>
      </c>
      <c r="I2539" s="5" t="n">
        <v>45523</v>
      </c>
      <c r="J2539" t="inlineStr">
        <is>
          <t>Sold</t>
        </is>
      </c>
      <c r="K2539" s="6">
        <f>HYPERLINK("https://www.dailydose.de/kleinanzeigen/detail.htm?ai=421171&amp;cf=kk&amp;pg=5&amp;ci=11", "Link")</f>
        <v/>
      </c>
      <c r="L2539" s="6">
        <f>HYPERLINK("C:\Projects\Kleinanzeigen-Scraper\offer_images\421171", "Link")</f>
        <v/>
      </c>
      <c r="M2539" t="inlineStr">
        <is>
          <t>Alex_16</t>
        </is>
      </c>
      <c r="N2539" s="6">
        <f>HYPERLINK("https://www.dailydose.de/kleinanzeigen/user/2750", "Link")</f>
        <v/>
      </c>
      <c r="O2539" s="7" t="n">
        <v>45536.91097222222</v>
      </c>
      <c r="P2539" s="3" t="inlineStr">
        <is>
          <t>458.80</t>
        </is>
      </c>
      <c r="Q2539" t="inlineStr">
        <is>
          <t>Köln</t>
        </is>
      </c>
    </row>
    <row r="2540">
      <c r="A2540" t="inlineStr">
        <is>
          <t>125</t>
        </is>
      </c>
      <c r="B2540" t="inlineStr">
        <is>
          <t>Starboard Freefoil</t>
        </is>
      </c>
      <c r="C2540" t="inlineStr">
        <is>
          <t>Foil</t>
        </is>
      </c>
      <c r="D2540" s="3" t="inlineStr"/>
      <c r="E2540" t="inlineStr">
        <is>
          <t>2023</t>
        </is>
      </c>
      <c r="F2540" s="4" t="inlineStr"/>
      <c r="G2540" t="inlineStr">
        <is>
          <t>VB</t>
        </is>
      </c>
      <c r="H2540" t="inlineStr">
        <is>
          <t>52146  Würselen</t>
        </is>
      </c>
      <c r="I2540" s="5" t="n">
        <v>45531</v>
      </c>
      <c r="J2540" t="inlineStr">
        <is>
          <t>Sold</t>
        </is>
      </c>
      <c r="K2540" s="6">
        <f>HYPERLINK("https://www.dailydose.de/kleinanzeigen/detail.htm?ai=421550&amp;cf=kk&amp;pg=3&amp;ci=11", "Link")</f>
        <v/>
      </c>
      <c r="L2540" s="6">
        <f>HYPERLINK("C:\Projects\Kleinanzeigen-Scraper\offer_images\421550", "Link")</f>
        <v/>
      </c>
      <c r="M2540" t="inlineStr">
        <is>
          <t>Ralf_14</t>
        </is>
      </c>
      <c r="N2540" s="6">
        <f>HYPERLINK("https://www.dailydose.de/kleinanzeigen/user/10502", "Link")</f>
        <v/>
      </c>
      <c r="O2540" s="7" t="n">
        <v>45536.9109375</v>
      </c>
      <c r="P2540" s="3" t="inlineStr">
        <is>
          <t>58.20</t>
        </is>
      </c>
      <c r="Q2540" t="inlineStr">
        <is>
          <t>Köln</t>
        </is>
      </c>
    </row>
    <row r="2541">
      <c r="A2541" t="inlineStr"/>
      <c r="B2541" t="inlineStr">
        <is>
          <t>Goya Quad</t>
        </is>
      </c>
      <c r="C2541" t="inlineStr">
        <is>
          <t>Freestyle</t>
        </is>
      </c>
      <c r="D2541" s="3" t="n">
        <v>84</v>
      </c>
      <c r="E2541" t="inlineStr">
        <is>
          <t>2023</t>
        </is>
      </c>
      <c r="F2541" s="4" t="n">
        <v>1220</v>
      </c>
      <c r="G2541" t="inlineStr"/>
      <c r="H2541" t="inlineStr">
        <is>
          <t>37154 Northeim</t>
        </is>
      </c>
      <c r="I2541" s="5" t="n">
        <v>45534</v>
      </c>
      <c r="J2541" t="inlineStr">
        <is>
          <t>Sold</t>
        </is>
      </c>
      <c r="K2541" s="6">
        <f>HYPERLINK("https://www.dailydose.de/kleinanzeigen/detail.htm?ai=421785&amp;cf=kk&amp;pg=5&amp;ci=11", "Link")</f>
        <v/>
      </c>
      <c r="L2541" s="6">
        <f>HYPERLINK("C:\Projects\Kleinanzeigen-Scraper\offer_images\421785", "Link")</f>
        <v/>
      </c>
      <c r="M2541" t="inlineStr">
        <is>
          <t>Timo_45</t>
        </is>
      </c>
      <c r="N2541" s="6">
        <f>HYPERLINK("https://www.dailydose.de/kleinanzeigen/user/23662", "Link")</f>
        <v/>
      </c>
      <c r="O2541" s="7" t="n">
        <v>45536.9109375</v>
      </c>
      <c r="P2541" s="3" t="inlineStr">
        <is>
          <t>227.92</t>
        </is>
      </c>
      <c r="Q2541" t="inlineStr">
        <is>
          <t>Köln</t>
        </is>
      </c>
    </row>
    <row r="2542">
      <c r="A2542" t="inlineStr">
        <is>
          <t>245cm x 53.5cm</t>
        </is>
      </c>
      <c r="B2542" t="inlineStr">
        <is>
          <t>Gun Sails Copello</t>
        </is>
      </c>
      <c r="C2542" t="inlineStr">
        <is>
          <t>Wave</t>
        </is>
      </c>
      <c r="D2542" s="3" t="n">
        <v>75</v>
      </c>
      <c r="E2542" t="inlineStr"/>
      <c r="F2542" s="4" t="n">
        <v>30</v>
      </c>
      <c r="G2542" t="inlineStr">
        <is>
          <t>VB</t>
        </is>
      </c>
      <c r="H2542" t="inlineStr">
        <is>
          <t>24109 Kiel</t>
        </is>
      </c>
      <c r="I2542" s="5" t="n">
        <v>45535</v>
      </c>
      <c r="J2542" t="inlineStr">
        <is>
          <t>Sold</t>
        </is>
      </c>
      <c r="K2542" s="6">
        <f>HYPERLINK("https://www.dailydose.de/kleinanzeigen/detail.htm?ai=421848&amp;cf=kk&amp;pg=5&amp;ci=11", "Link")</f>
        <v/>
      </c>
      <c r="L2542" s="6">
        <f>HYPERLINK("C:\Projects\Kleinanzeigen-Scraper\offer_images\421848", "Link")</f>
        <v/>
      </c>
      <c r="M2542" t="inlineStr">
        <is>
          <t>Simon_84</t>
        </is>
      </c>
      <c r="N2542" s="6">
        <f>HYPERLINK("https://www.dailydose.de/kleinanzeigen/user/21444", "Link")</f>
        <v/>
      </c>
      <c r="O2542" s="7" t="n">
        <v>45536.91091435185</v>
      </c>
      <c r="P2542" s="3" t="inlineStr">
        <is>
          <t>429.71</t>
        </is>
      </c>
      <c r="Q2542" t="inlineStr">
        <is>
          <t>Köln</t>
        </is>
      </c>
    </row>
    <row r="2543">
      <c r="A2543" t="inlineStr">
        <is>
          <t>258 cm x 80 cm</t>
        </is>
      </c>
      <c r="B2543" t="inlineStr">
        <is>
          <t>Starboard FREE FORMULA</t>
        </is>
      </c>
      <c r="C2543" t="inlineStr">
        <is>
          <t>Freeride</t>
        </is>
      </c>
      <c r="D2543" s="3" t="n">
        <v>137</v>
      </c>
      <c r="E2543" t="inlineStr"/>
      <c r="F2543" s="4" t="n">
        <v>350</v>
      </c>
      <c r="G2543" t="inlineStr">
        <is>
          <t>VB</t>
        </is>
      </c>
      <c r="H2543" t="inlineStr">
        <is>
          <t>23909 Ratzeburg</t>
        </is>
      </c>
      <c r="I2543" s="5" t="n">
        <v>45534</v>
      </c>
      <c r="J2543" t="inlineStr">
        <is>
          <t>Sold</t>
        </is>
      </c>
      <c r="K2543" s="6">
        <f>HYPERLINK("https://www.dailydose.de/kleinanzeigen/detail.htm?ai=421765&amp;cf=kk&amp;pg=4&amp;ci=11", "Link")</f>
        <v/>
      </c>
      <c r="L2543" s="6">
        <f>HYPERLINK("C:\Projects\Kleinanzeigen-Scraper\offer_images\421765", "Link")</f>
        <v/>
      </c>
      <c r="M2543" t="inlineStr">
        <is>
          <t>Insider</t>
        </is>
      </c>
      <c r="N2543" s="6">
        <f>HYPERLINK("https://www.dailydose.de/kleinanzeigen/user/20603", "Link")</f>
        <v/>
      </c>
      <c r="O2543" s="7" t="n">
        <v>45536.91087962963</v>
      </c>
      <c r="P2543" s="3" t="inlineStr">
        <is>
          <t>401.75</t>
        </is>
      </c>
      <c r="Q2543" t="inlineStr">
        <is>
          <t>Köln</t>
        </is>
      </c>
    </row>
    <row r="2544">
      <c r="A2544" t="inlineStr">
        <is>
          <t>128 Ltr.</t>
        </is>
      </c>
      <c r="B2544" t="inlineStr">
        <is>
          <t>FMX Racing</t>
        </is>
      </c>
      <c r="C2544" t="inlineStr">
        <is>
          <t>Slalom</t>
        </is>
      </c>
      <c r="D2544" s="3" t="n">
        <v>128</v>
      </c>
      <c r="E2544" t="inlineStr">
        <is>
          <t>2022</t>
        </is>
      </c>
      <c r="F2544" s="4" t="n">
        <v>1650</v>
      </c>
      <c r="G2544" t="inlineStr"/>
      <c r="H2544" t="inlineStr">
        <is>
          <t>13467 Berlin</t>
        </is>
      </c>
      <c r="I2544" s="5" t="n">
        <v>45530</v>
      </c>
      <c r="J2544" t="inlineStr">
        <is>
          <t>Sold</t>
        </is>
      </c>
      <c r="K2544" s="6">
        <f>HYPERLINK("https://www.dailydose.de/kleinanzeigen/detail.htm?ai=421467&amp;cf=kk&amp;pg=5&amp;ci=11", "Link")</f>
        <v/>
      </c>
      <c r="L2544" s="6">
        <f>HYPERLINK("C:\Projects\Kleinanzeigen-Scraper\offer_images\421467", "Link")</f>
        <v/>
      </c>
      <c r="M2544" t="inlineStr">
        <is>
          <t>Dirk S.</t>
        </is>
      </c>
      <c r="N2544" s="6">
        <f>HYPERLINK("https://www.dailydose.de/kleinanzeigen/user/7036", "Link")</f>
        <v/>
      </c>
      <c r="O2544" s="7" t="n">
        <v>45536.91081018518</v>
      </c>
      <c r="P2544" s="3" t="inlineStr">
        <is>
          <t>474.84</t>
        </is>
      </c>
      <c r="Q2544" t="inlineStr">
        <is>
          <t>Köln</t>
        </is>
      </c>
    </row>
    <row r="2545">
      <c r="A2545" t="inlineStr"/>
      <c r="B2545" t="inlineStr">
        <is>
          <t>Patrik F-Race</t>
        </is>
      </c>
      <c r="C2545" t="inlineStr">
        <is>
          <t>Freerace</t>
        </is>
      </c>
      <c r="D2545" s="3" t="n">
        <v>120</v>
      </c>
      <c r="E2545" t="inlineStr"/>
      <c r="F2545" s="4" t="n">
        <v>690</v>
      </c>
      <c r="G2545" t="inlineStr"/>
      <c r="H2545" t="inlineStr">
        <is>
          <t>04109 Leipzig (sowie ggf. im Sep. auf Fehmarn)</t>
        </is>
      </c>
      <c r="I2545" s="5" t="n">
        <v>45532</v>
      </c>
      <c r="J2545" t="inlineStr">
        <is>
          <t>Sold</t>
        </is>
      </c>
      <c r="K2545" s="6">
        <f>HYPERLINK("https://www.dailydose.de/kleinanzeigen/detail.htm?ai=421637&amp;cf=kk&amp;pg=5&amp;ci=11", "Link")</f>
        <v/>
      </c>
      <c r="L2545" s="6">
        <f>HYPERLINK("C:\Projects\Kleinanzeigen-Scraper\offer_images\421637", "Link")</f>
        <v/>
      </c>
      <c r="M2545" t="inlineStr">
        <is>
          <t>Seewasser</t>
        </is>
      </c>
      <c r="N2545" s="6">
        <f>HYPERLINK("https://www.dailydose.de/kleinanzeigen/user/2170", "Link")</f>
        <v/>
      </c>
      <c r="O2545" s="7" t="n">
        <v>45536.91075231481</v>
      </c>
      <c r="P2545" s="3" t="inlineStr">
        <is>
          <t>360.56</t>
        </is>
      </c>
      <c r="Q2545" t="inlineStr">
        <is>
          <t>München</t>
        </is>
      </c>
    </row>
    <row r="2546">
      <c r="A2546" t="inlineStr">
        <is>
          <t>120</t>
        </is>
      </c>
      <c r="B2546" t="inlineStr">
        <is>
          <t>Goya Airbold Pro</t>
        </is>
      </c>
      <c r="C2546" t="inlineStr">
        <is>
          <t>Foilboard</t>
        </is>
      </c>
      <c r="D2546" s="3" t="inlineStr"/>
      <c r="E2546" t="inlineStr">
        <is>
          <t>2020/21</t>
        </is>
      </c>
      <c r="F2546" s="4" t="n">
        <v>600</v>
      </c>
      <c r="G2546" t="inlineStr"/>
      <c r="H2546" t="inlineStr">
        <is>
          <t>80805 München</t>
        </is>
      </c>
      <c r="I2546" s="5" t="n">
        <v>45536</v>
      </c>
      <c r="J2546" t="inlineStr">
        <is>
          <t>Sold</t>
        </is>
      </c>
      <c r="K2546" s="6">
        <f>HYPERLINK("https://www.dailydose.de/kleinanzeigen/detail.htm?ai=421879&amp;cf=kk&amp;pg=5&amp;ci=11", "Link")</f>
        <v/>
      </c>
      <c r="L2546" s="6">
        <f>HYPERLINK("C:\Projects\Kleinanzeigen-Scraper\offer_images\421879", "Link")</f>
        <v/>
      </c>
      <c r="M2546" t="inlineStr">
        <is>
          <t>Lukystar</t>
        </is>
      </c>
      <c r="N2546" s="6">
        <f>HYPERLINK("https://www.dailydose.de/kleinanzeigen/user/14568", "Link")</f>
        <v/>
      </c>
      <c r="O2546" s="7" t="n">
        <v>45536.91071759259</v>
      </c>
      <c r="P2546" s="3" t="inlineStr">
        <is>
          <t>5.28</t>
        </is>
      </c>
      <c r="Q2546" t="inlineStr">
        <is>
          <t>München</t>
        </is>
      </c>
    </row>
    <row r="2547">
      <c r="A2547" t="inlineStr">
        <is>
          <t>235 x 61 cm</t>
        </is>
      </c>
      <c r="B2547" t="inlineStr">
        <is>
          <t>NoveNove i-99</t>
        </is>
      </c>
      <c r="C2547" t="inlineStr">
        <is>
          <t>Slalom</t>
        </is>
      </c>
      <c r="D2547" s="3" t="n">
        <v>89</v>
      </c>
      <c r="E2547" t="inlineStr"/>
      <c r="F2547" s="4" t="n">
        <v>420</v>
      </c>
      <c r="G2547" t="inlineStr"/>
      <c r="H2547" t="inlineStr">
        <is>
          <t>87616 Marktoberdorf</t>
        </is>
      </c>
      <c r="I2547" s="5" t="n">
        <v>45531</v>
      </c>
      <c r="J2547" t="inlineStr">
        <is>
          <t>Sold</t>
        </is>
      </c>
      <c r="K2547" s="6">
        <f>HYPERLINK("https://www.dailydose.de/kleinanzeigen/detail.htm?ai=421560&amp;cf=kk&amp;pg=5&amp;ci=11", "Link")</f>
        <v/>
      </c>
      <c r="L2547" s="6">
        <f>HYPERLINK("C:\Projects\Kleinanzeigen-Scraper\offer_images\421560", "Link")</f>
        <v/>
      </c>
      <c r="M2547" t="inlineStr">
        <is>
          <t>Achim_189</t>
        </is>
      </c>
      <c r="N2547" s="6">
        <f>HYPERLINK("https://www.dailydose.de/kleinanzeigen/user/19262", "Link")</f>
        <v/>
      </c>
      <c r="O2547" s="7" t="n">
        <v>45536.91071759259</v>
      </c>
      <c r="P2547" s="3" t="inlineStr">
        <is>
          <t>83.30</t>
        </is>
      </c>
      <c r="Q2547" t="inlineStr">
        <is>
          <t>München</t>
        </is>
      </c>
    </row>
    <row r="2548">
      <c r="A2548" t="inlineStr">
        <is>
          <t>246 cm x 79 cm</t>
        </is>
      </c>
      <c r="B2548" t="inlineStr">
        <is>
          <t>Fanatic Gecko</t>
        </is>
      </c>
      <c r="C2548" t="inlineStr">
        <is>
          <t>Foil</t>
        </is>
      </c>
      <c r="D2548" s="3" t="n">
        <v>135</v>
      </c>
      <c r="E2548" t="inlineStr">
        <is>
          <t>2020</t>
        </is>
      </c>
      <c r="F2548" s="4" t="n">
        <v>795</v>
      </c>
      <c r="G2548" t="inlineStr"/>
      <c r="H2548" t="inlineStr">
        <is>
          <t>20357 Hamburg</t>
        </is>
      </c>
      <c r="I2548" s="5" t="n">
        <v>45531</v>
      </c>
      <c r="J2548" t="inlineStr">
        <is>
          <t>Sold</t>
        </is>
      </c>
      <c r="K2548" s="6">
        <f>HYPERLINK("https://www.dailydose.de/kleinanzeigen/detail.htm?ai=421521&amp;cf=kk&amp;pg=5&amp;ci=11", "Link")</f>
        <v/>
      </c>
      <c r="L2548" s="6">
        <f>HYPERLINK("C:\Projects\Kleinanzeigen-Scraper\offer_images\421521", "Link")</f>
        <v/>
      </c>
      <c r="M2548" t="inlineStr">
        <is>
          <t>Sternberg</t>
        </is>
      </c>
      <c r="N2548" s="6">
        <f>HYPERLINK("https://www.dailydose.de/kleinanzeigen/user/19637", "Link")</f>
        <v/>
      </c>
      <c r="O2548" s="7" t="n">
        <v>45536.91068287037</v>
      </c>
      <c r="P2548" s="3" t="inlineStr">
        <is>
          <t>356.83</t>
        </is>
      </c>
      <c r="Q2548" t="inlineStr">
        <is>
          <t>Köln</t>
        </is>
      </c>
    </row>
    <row r="2549">
      <c r="A2549" t="inlineStr"/>
      <c r="B2549" t="inlineStr">
        <is>
          <t>Exocet Cross</t>
        </is>
      </c>
      <c r="C2549" t="inlineStr">
        <is>
          <t>Freestyle Wave</t>
        </is>
      </c>
      <c r="D2549" s="3" t="n">
        <v>104</v>
      </c>
      <c r="E2549" t="inlineStr"/>
      <c r="F2549" s="4" t="n">
        <v>240</v>
      </c>
      <c r="G2549" t="inlineStr"/>
      <c r="H2549" t="inlineStr">
        <is>
          <t>14109</t>
        </is>
      </c>
      <c r="I2549" s="5" t="n">
        <v>45523</v>
      </c>
      <c r="J2549" t="inlineStr">
        <is>
          <t>Sold</t>
        </is>
      </c>
      <c r="K2549" s="6">
        <f>HYPERLINK("https://www.dailydose.de/kleinanzeigen/detail.htm?ai=421154&amp;cf=kk&amp;pg=5&amp;ci=11", "Link")</f>
        <v/>
      </c>
      <c r="L2549" s="6">
        <f>HYPERLINK("C:\Projects\Kleinanzeigen-Scraper\offer_images\421154", "Link")</f>
        <v/>
      </c>
      <c r="M2549" t="inlineStr">
        <is>
          <t>Thorsten_8</t>
        </is>
      </c>
      <c r="N2549" s="6">
        <f>HYPERLINK("https://www.dailydose.de/kleinanzeigen/user/3369", "Link")</f>
        <v/>
      </c>
      <c r="O2549" s="7" t="n">
        <v>45536.910625</v>
      </c>
      <c r="P2549" s="3" t="inlineStr">
        <is>
          <t>457.31</t>
        </is>
      </c>
      <c r="Q2549" t="inlineStr">
        <is>
          <t>Köln</t>
        </is>
      </c>
    </row>
    <row r="2550">
      <c r="A2550" t="inlineStr">
        <is>
          <t>77L</t>
        </is>
      </c>
      <c r="B2550" t="inlineStr">
        <is>
          <t>Fanatic Freewave</t>
        </is>
      </c>
      <c r="C2550" t="inlineStr">
        <is>
          <t>Freewave</t>
        </is>
      </c>
      <c r="D2550" s="3" t="n">
        <v>77</v>
      </c>
      <c r="E2550" t="inlineStr">
        <is>
          <t>2008</t>
        </is>
      </c>
      <c r="F2550" s="4" t="n">
        <v>150</v>
      </c>
      <c r="G2550" t="inlineStr">
        <is>
          <t>VB</t>
        </is>
      </c>
      <c r="H2550" t="inlineStr">
        <is>
          <t>20535 Hamburg</t>
        </is>
      </c>
      <c r="I2550" s="5" t="n">
        <v>45532</v>
      </c>
      <c r="J2550" t="inlineStr">
        <is>
          <t>Sold</t>
        </is>
      </c>
      <c r="K2550" s="6">
        <f>HYPERLINK("https://www.dailydose.de/kleinanzeigen/detail.htm?ai=421667&amp;cf=kk&amp;pg=5&amp;ci=11", "Link")</f>
        <v/>
      </c>
      <c r="L2550" s="6">
        <f>HYPERLINK("C:\Projects\Kleinanzeigen-Scraper\offer_images\421667", "Link")</f>
        <v/>
      </c>
      <c r="M2550" t="inlineStr">
        <is>
          <t>Mario1982</t>
        </is>
      </c>
      <c r="N2550" s="6">
        <f>HYPERLINK("https://www.dailydose.de/kleinanzeigen/user/26170", "Link")</f>
        <v/>
      </c>
      <c r="O2550" s="7" t="n">
        <v>45536.91059027778</v>
      </c>
      <c r="P2550" s="3" t="inlineStr">
        <is>
          <t>359.68</t>
        </is>
      </c>
      <c r="Q2550" t="inlineStr">
        <is>
          <t>Köln</t>
        </is>
      </c>
    </row>
    <row r="2551">
      <c r="A2551" t="inlineStr"/>
      <c r="B2551" t="inlineStr">
        <is>
          <t>Severne Nano Waveboard v3</t>
        </is>
      </c>
      <c r="C2551" t="inlineStr">
        <is>
          <t>Wave</t>
        </is>
      </c>
      <c r="D2551" s="3" t="n">
        <v>92</v>
      </c>
      <c r="E2551" t="inlineStr">
        <is>
          <t>2023</t>
        </is>
      </c>
      <c r="F2551" s="4" t="n">
        <v>750</v>
      </c>
      <c r="G2551" t="inlineStr"/>
      <c r="H2551" t="inlineStr">
        <is>
          <t>22085  Hamburg</t>
        </is>
      </c>
      <c r="I2551" s="5" t="n">
        <v>45526</v>
      </c>
      <c r="J2551" t="inlineStr">
        <is>
          <t>Sold</t>
        </is>
      </c>
      <c r="K2551" s="6">
        <f>HYPERLINK("https://www.dailydose.de/kleinanzeigen/detail.htm?ai=421269&amp;cf=kk&amp;pg=5&amp;ci=11", "Link")</f>
        <v/>
      </c>
      <c r="L2551" s="6">
        <f>HYPERLINK("C:\Projects\Kleinanzeigen-Scraper\offer_images\421269", "Link")</f>
        <v/>
      </c>
      <c r="M2551" t="inlineStr">
        <is>
          <t>Alex_26</t>
        </is>
      </c>
      <c r="N2551" s="6">
        <f>HYPERLINK("https://www.dailydose.de/kleinanzeigen/user/3265", "Link")</f>
        <v/>
      </c>
      <c r="O2551" s="7" t="n">
        <v>45536.91059027778</v>
      </c>
      <c r="P2551" s="3" t="inlineStr">
        <is>
          <t>359.41</t>
        </is>
      </c>
      <c r="Q2551" t="inlineStr">
        <is>
          <t>Köln</t>
        </is>
      </c>
    </row>
    <row r="2552">
      <c r="A2552" t="inlineStr">
        <is>
          <t>187</t>
        </is>
      </c>
      <c r="B2552" t="inlineStr">
        <is>
          <t>Future Fly Flying Camel</t>
        </is>
      </c>
      <c r="C2552" t="inlineStr">
        <is>
          <t>foil</t>
        </is>
      </c>
      <c r="D2552" s="3" t="inlineStr"/>
      <c r="E2552" t="inlineStr"/>
      <c r="F2552" s="4" t="n">
        <v>1.4</v>
      </c>
      <c r="G2552" t="inlineStr"/>
      <c r="H2552" t="inlineStr">
        <is>
          <t>18435 Mecklenburg-Vorpommern - Stralsund</t>
        </is>
      </c>
      <c r="I2552" s="5" t="n">
        <v>45535</v>
      </c>
      <c r="J2552" t="inlineStr">
        <is>
          <t>Sold</t>
        </is>
      </c>
      <c r="K2552" s="6">
        <f>HYPERLINK("https://www.kleinanzeigen.de/s-anzeige/future-fly-flying-camel-187-windsurf-foil-board/2851022732-230-134", "Link")</f>
        <v/>
      </c>
      <c r="L2552" s="6">
        <f>HYPERLINK("C:\Projects\Kleinanzeigen-Scraper\offer_images\2851022732", "Link")</f>
        <v/>
      </c>
      <c r="M2552" t="inlineStr">
        <is>
          <t>Tom</t>
        </is>
      </c>
      <c r="N2552" s="6">
        <f>HYPERLINK("https://www.kleinanzeigen.de/s-bestandsliste.html?userId=121691354", "Link")</f>
        <v/>
      </c>
      <c r="O2552" s="7" t="n">
        <v>45536.9105324074</v>
      </c>
      <c r="P2552" s="3" t="inlineStr">
        <is>
          <t>558.68</t>
        </is>
      </c>
      <c r="Q2552" t="inlineStr">
        <is>
          <t>Köln</t>
        </is>
      </c>
    </row>
    <row r="2553">
      <c r="A2553" t="inlineStr">
        <is>
          <t>270 x 100 cm</t>
        </is>
      </c>
      <c r="B2553" t="inlineStr">
        <is>
          <t>Easy Ride</t>
        </is>
      </c>
      <c r="C2553" t="inlineStr">
        <is>
          <t>Freeride</t>
        </is>
      </c>
      <c r="D2553" s="3" t="n">
        <v>220</v>
      </c>
      <c r="E2553" t="inlineStr"/>
      <c r="F2553" s="4" t="n">
        <v>500</v>
      </c>
      <c r="G2553" t="inlineStr"/>
      <c r="H2553" t="inlineStr">
        <is>
          <t>79804 Baden-Württemberg - Dogern</t>
        </is>
      </c>
      <c r="I2553" s="5" t="n">
        <v>45536</v>
      </c>
      <c r="J2553" t="inlineStr">
        <is>
          <t>Sold</t>
        </is>
      </c>
      <c r="K2553" s="6">
        <f>HYPERLINK("https://www.kleinanzeigen.de/s-anzeige/surfbrett-windsurfbrett-windsurfen/2851831211-230-8300", "Link")</f>
        <v/>
      </c>
      <c r="L2553" s="6">
        <f>HYPERLINK("C:\Projects\Kleinanzeigen-Scraper\offer_images\2851831211", "Link")</f>
        <v/>
      </c>
      <c r="M2553" t="inlineStr">
        <is>
          <t>Thomas Gethke</t>
        </is>
      </c>
      <c r="N2553" s="6">
        <f>HYPERLINK("https://www.kleinanzeigen.de/s-bestandsliste.html?userId=6226478", "Link")</f>
        <v/>
      </c>
      <c r="O2553" s="7" t="n">
        <v>45536.91052083333</v>
      </c>
      <c r="P2553" s="3" t="inlineStr">
        <is>
          <t>26.60</t>
        </is>
      </c>
      <c r="Q2553" t="inlineStr">
        <is>
          <t>Bonndorf</t>
        </is>
      </c>
    </row>
    <row r="2554">
      <c r="A2554" t="inlineStr"/>
      <c r="B2554" t="inlineStr">
        <is>
          <t>F2</t>
        </is>
      </c>
      <c r="C2554" t="inlineStr">
        <is>
          <t>Oldie</t>
        </is>
      </c>
      <c r="D2554" s="3" t="inlineStr"/>
      <c r="E2554" t="inlineStr"/>
      <c r="F2554" s="4" t="n">
        <v>99</v>
      </c>
      <c r="G2554" t="inlineStr">
        <is>
          <t>VB</t>
        </is>
      </c>
      <c r="H2554" t="inlineStr">
        <is>
          <t>14558 Brandenburg - Bergholz Rehbrücke</t>
        </is>
      </c>
      <c r="I2554" s="5" t="n">
        <v>45526</v>
      </c>
      <c r="J2554" t="inlineStr">
        <is>
          <t>Sold</t>
        </is>
      </c>
      <c r="K2554" s="6">
        <f>HYPERLINK("https://www.kleinanzeigen.de/s-anzeige/schoenes-surfboard-windsurf-surfbrett/2843700177-246-7791", "Link")</f>
        <v/>
      </c>
      <c r="L2554" s="6">
        <f>HYPERLINK("C:\Projects\Kleinanzeigen-Scraper\offer_images\2843700177", "Link")</f>
        <v/>
      </c>
      <c r="M2554" t="inlineStr">
        <is>
          <t>Sebastian</t>
        </is>
      </c>
      <c r="N2554" s="6">
        <f>HYPERLINK("https://www.kleinanzeigen.de/s-bestandsliste.html?userId=12606146", "Link")</f>
        <v/>
      </c>
      <c r="O2554" s="7" t="n">
        <v>45536.91050925926</v>
      </c>
      <c r="P2554" s="3" t="inlineStr">
        <is>
          <t>453.79</t>
        </is>
      </c>
      <c r="Q2554" t="inlineStr">
        <is>
          <t>Köln</t>
        </is>
      </c>
    </row>
    <row r="2555">
      <c r="A2555" t="inlineStr">
        <is>
          <t>275 cm x 80 cm</t>
        </is>
      </c>
      <c r="B2555" t="inlineStr">
        <is>
          <t>Hifly Mambo</t>
        </is>
      </c>
      <c r="C2555" t="inlineStr">
        <is>
          <t>Freeride</t>
        </is>
      </c>
      <c r="D2555" s="3" t="n">
        <v>175</v>
      </c>
      <c r="E2555" t="inlineStr"/>
      <c r="F2555" s="4" t="n">
        <v>320</v>
      </c>
      <c r="G2555" t="inlineStr"/>
      <c r="H2555" t="inlineStr">
        <is>
          <t>23970 Mecklenburg-Vorpommern - Wismar</t>
        </is>
      </c>
      <c r="I2555" s="5" t="n">
        <v>45528</v>
      </c>
      <c r="J2555" t="inlineStr">
        <is>
          <t>Sold</t>
        </is>
      </c>
      <c r="K2555" s="6">
        <f>HYPERLINK("https://www.kleinanzeigen.de/s-anzeige/surfboard-surfbrett-hifly-mambo-windsurfen-iseal-fuer-anfaenger/2844999096-230-224", "Link")</f>
        <v/>
      </c>
      <c r="L2555" s="6">
        <f>HYPERLINK("C:\Projects\Kleinanzeigen-Scraper\offer_images\2844999096", "Link")</f>
        <v/>
      </c>
      <c r="M2555" t="inlineStr">
        <is>
          <t>Doris M.</t>
        </is>
      </c>
      <c r="N2555" s="6">
        <f>HYPERLINK("https://www.kleinanzeigen.de/s-bestandsliste.html?userId=14002520", "Link")</f>
        <v/>
      </c>
      <c r="O2555" s="7" t="n">
        <v>45536.91050925926</v>
      </c>
      <c r="P2555" s="3" t="inlineStr">
        <is>
          <t>450.33</t>
        </is>
      </c>
      <c r="Q2555" t="inlineStr">
        <is>
          <t>Köln</t>
        </is>
      </c>
    </row>
    <row r="2556">
      <c r="A2556" t="inlineStr">
        <is>
          <t>330/67 cm</t>
        </is>
      </c>
      <c r="B2556" t="inlineStr">
        <is>
          <t>F2 Epoxy Lite Carbon</t>
        </is>
      </c>
      <c r="C2556" t="inlineStr"/>
      <c r="D2556" s="3" t="n">
        <v>107</v>
      </c>
      <c r="E2556" t="inlineStr"/>
      <c r="F2556" s="4" t="n">
        <v>30</v>
      </c>
      <c r="G2556" t="inlineStr"/>
      <c r="H2556" t="inlineStr">
        <is>
          <t>01809 Sachsen - Heidenau</t>
        </is>
      </c>
      <c r="I2556" s="5" t="n">
        <v>45534</v>
      </c>
      <c r="J2556" t="inlineStr">
        <is>
          <t>Sold</t>
        </is>
      </c>
      <c r="K2556" s="6">
        <f>HYPERLINK("https://www.kleinanzeigen.de/s-anzeige/surfbrett-f2-epoxy-lite-carbon-surfboard-windsurfen/2850302205-230-4103", "Link")</f>
        <v/>
      </c>
      <c r="L2556" s="6">
        <f>HYPERLINK("C:\Projects\Kleinanzeigen-Scraper\offer_images\2850302205", "Link")</f>
        <v/>
      </c>
      <c r="M2556" t="inlineStr">
        <is>
          <t>Katharina</t>
        </is>
      </c>
      <c r="N2556" s="6">
        <f>HYPERLINK("https://www.kleinanzeigen.de/s-bestandsliste.html?userId=32026029", "Link")</f>
        <v/>
      </c>
      <c r="O2556" s="7" t="n">
        <v>45536.91050925926</v>
      </c>
      <c r="P2556" s="3" t="inlineStr">
        <is>
          <t>353.84</t>
        </is>
      </c>
      <c r="Q2556" t="inlineStr">
        <is>
          <t>München</t>
        </is>
      </c>
    </row>
    <row r="2557">
      <c r="A2557" t="inlineStr">
        <is>
          <t>227 x 64 cm</t>
        </is>
      </c>
      <c r="B2557" t="inlineStr">
        <is>
          <t>Simmer Whip pro</t>
        </is>
      </c>
      <c r="C2557" t="inlineStr">
        <is>
          <t>Freestyle</t>
        </is>
      </c>
      <c r="D2557" s="3" t="n">
        <v>102</v>
      </c>
      <c r="E2557" t="inlineStr">
        <is>
          <t>2018</t>
        </is>
      </c>
      <c r="F2557" s="4" t="n">
        <v>380</v>
      </c>
      <c r="G2557" t="inlineStr"/>
      <c r="H2557" t="inlineStr">
        <is>
          <t>24118 Kiel - Ravensberg-Brunswik-Düsternbrook</t>
        </is>
      </c>
      <c r="I2557" s="5" t="n">
        <v>45529</v>
      </c>
      <c r="J2557" t="inlineStr">
        <is>
          <t>Sold</t>
        </is>
      </c>
      <c r="K2557" s="6">
        <f>HYPERLINK("https://www.kleinanzeigen.de/s-anzeige/windsurf-freestyle-board-simmer-whip-pro-102-l/2845854913-230-704", "Link")</f>
        <v/>
      </c>
      <c r="L2557" s="6">
        <f>HYPERLINK("C:\Projects\Kleinanzeigen-Scraper\offer_images\2845854913", "Link")</f>
        <v/>
      </c>
      <c r="M2557" t="inlineStr">
        <is>
          <t>Leon</t>
        </is>
      </c>
      <c r="N2557" s="6">
        <f>HYPERLINK("https://www.kleinanzeigen.de/s-bestandsliste.html?userId=79237818", "Link")</f>
        <v/>
      </c>
      <c r="O2557" s="7" t="n">
        <v>45536.91050925926</v>
      </c>
      <c r="P2557" s="3" t="inlineStr">
        <is>
          <t>434.29</t>
        </is>
      </c>
      <c r="Q2557" t="inlineStr">
        <is>
          <t>Köln</t>
        </is>
      </c>
    </row>
    <row r="2558">
      <c r="A2558" t="inlineStr"/>
      <c r="B2558" t="inlineStr">
        <is>
          <t>Severne Dyno V3</t>
        </is>
      </c>
      <c r="C2558" t="inlineStr">
        <is>
          <t>Freestyle Wave</t>
        </is>
      </c>
      <c r="D2558" s="3" t="n">
        <v>105</v>
      </c>
      <c r="E2558" t="inlineStr">
        <is>
          <t>2022</t>
        </is>
      </c>
      <c r="F2558" s="4" t="n">
        <v>1</v>
      </c>
      <c r="G2558" t="inlineStr">
        <is>
          <t>VB</t>
        </is>
      </c>
      <c r="H2558" t="inlineStr">
        <is>
          <t>82234 Bayern - Weßling</t>
        </is>
      </c>
      <c r="I2558" s="5" t="n">
        <v>45526</v>
      </c>
      <c r="J2558" t="inlineStr">
        <is>
          <t>Sold</t>
        </is>
      </c>
      <c r="K2558" s="6">
        <f>HYPERLINK("https://www.kleinanzeigen.de/s-anzeige/severne-dyno-v3-105l-windsurf-board-freestyle-wave/2843759940-230-6356", "Link")</f>
        <v/>
      </c>
      <c r="L2558" s="6">
        <f>HYPERLINK("C:\Projects\Kleinanzeigen-Scraper\offer_images\2843759940", "Link")</f>
        <v/>
      </c>
      <c r="M2558" t="inlineStr">
        <is>
          <t>Benjamin Turck</t>
        </is>
      </c>
      <c r="N2558" s="6">
        <f>HYPERLINK("https://www.kleinanzeigen.de/s-bestandsliste.html?userId=14649014", "Link")</f>
        <v/>
      </c>
      <c r="O2558" s="7" t="n">
        <v>45536.91048611111</v>
      </c>
      <c r="P2558" s="3" t="inlineStr">
        <is>
          <t>23.25</t>
        </is>
      </c>
      <c r="Q2558" t="inlineStr">
        <is>
          <t>München</t>
        </is>
      </c>
    </row>
    <row r="2559">
      <c r="A2559" t="inlineStr">
        <is>
          <t>Dimensions not provided</t>
        </is>
      </c>
      <c r="B2559" t="inlineStr">
        <is>
          <t>RRD Wave Thruster</t>
        </is>
      </c>
      <c r="C2559" t="inlineStr">
        <is>
          <t>Wave</t>
        </is>
      </c>
      <c r="D2559" s="3" t="inlineStr"/>
      <c r="E2559" t="inlineStr"/>
      <c r="F2559" s="4" t="n">
        <v>100</v>
      </c>
      <c r="G2559" t="inlineStr"/>
      <c r="H2559" t="inlineStr">
        <is>
          <t>24977 Schleswig-Holstein - Langballig</t>
        </is>
      </c>
      <c r="I2559" s="5" t="n">
        <v>45534</v>
      </c>
      <c r="J2559" t="inlineStr"/>
      <c r="K2559" s="6">
        <f>HYPERLINK("https://www.kleinanzeigen.de/s-anzeige/windsurf-board-rrd-wave-thruster-78/2802683223-230-23509", "Link")</f>
        <v/>
      </c>
      <c r="L2559" s="6">
        <f>HYPERLINK("C:\Projects\Kleinanzeigen-Scraper\offer_images\2802683223", "Link")</f>
        <v/>
      </c>
      <c r="M2559" t="inlineStr">
        <is>
          <t>Frithjof</t>
        </is>
      </c>
      <c r="N2559" s="6">
        <f>HYPERLINK("https://www.kleinanzeigen.de/s-bestandsliste.html?userId=20706979", "Link")</f>
        <v/>
      </c>
      <c r="O2559" s="7" t="n">
        <v>45536.91048611111</v>
      </c>
      <c r="P2559" s="3" t="inlineStr">
        <is>
          <t>465.22</t>
        </is>
      </c>
      <c r="Q2559" t="inlineStr">
        <is>
          <t>Köln</t>
        </is>
      </c>
    </row>
    <row r="2560">
      <c r="A2560" t="inlineStr"/>
      <c r="B2560" t="inlineStr">
        <is>
          <t>F2 Barracuda</t>
        </is>
      </c>
      <c r="C2560" t="inlineStr">
        <is>
          <t>Wave</t>
        </is>
      </c>
      <c r="D2560" s="3" t="n">
        <v>92</v>
      </c>
      <c r="E2560" t="inlineStr">
        <is>
          <t>2015</t>
        </is>
      </c>
      <c r="F2560" s="4" t="n">
        <v>190</v>
      </c>
      <c r="G2560" t="inlineStr"/>
      <c r="H2560" t="inlineStr">
        <is>
          <t>40233 Düsseldorf - Flingern Nord</t>
        </is>
      </c>
      <c r="I2560" s="5" t="n">
        <v>45533</v>
      </c>
      <c r="J2560" t="inlineStr">
        <is>
          <t>Sold</t>
        </is>
      </c>
      <c r="K2560" s="6">
        <f>HYPERLINK("https://www.kleinanzeigen.de/s-anzeige/el-medano-f2-barracuda-92l-waveboard-windsurf-aus-2015/2849215756-230-16726", "Link")</f>
        <v/>
      </c>
      <c r="L2560" s="6">
        <f>HYPERLINK("C:\Projects\Kleinanzeigen-Scraper\offer_images\2849215756", "Link")</f>
        <v/>
      </c>
      <c r="M2560" t="inlineStr">
        <is>
          <t>Tuchtenhagen</t>
        </is>
      </c>
      <c r="N2560" s="6">
        <f>HYPERLINK("https://www.kleinanzeigen.de/s-bestandsliste.html?userId=19266830", "Link")</f>
        <v/>
      </c>
      <c r="O2560" s="7" t="n">
        <v>45536.91046296297</v>
      </c>
      <c r="P2560" s="3" t="inlineStr">
        <is>
          <t>32.80</t>
        </is>
      </c>
      <c r="Q2560" t="inlineStr">
        <is>
          <t>Köln</t>
        </is>
      </c>
    </row>
    <row r="2561">
      <c r="A2561" t="inlineStr"/>
      <c r="B2561" t="inlineStr">
        <is>
          <t>F2 Rebel</t>
        </is>
      </c>
      <c r="C2561" t="inlineStr"/>
      <c r="D2561" s="3" t="n">
        <v>68</v>
      </c>
      <c r="E2561" t="inlineStr"/>
      <c r="F2561" s="4" t="n">
        <v>75</v>
      </c>
      <c r="G2561" t="inlineStr">
        <is>
          <t>VB</t>
        </is>
      </c>
      <c r="H2561" t="inlineStr">
        <is>
          <t>87616 Bayern - Marktoberdorf</t>
        </is>
      </c>
      <c r="I2561" s="5" t="n">
        <v>45532</v>
      </c>
      <c r="J2561" t="inlineStr">
        <is>
          <t>Sold</t>
        </is>
      </c>
      <c r="K2561" s="6">
        <f>HYPERLINK("https://www.kleinanzeigen.de/s-anzeige/f2-rebel-68l-windsurf-board/2848851190-230-6561", "Link")</f>
        <v/>
      </c>
      <c r="L2561" s="6">
        <f>HYPERLINK("C:\Projects\Kleinanzeigen-Scraper\offer_images\2848851190", "Link")</f>
        <v/>
      </c>
      <c r="M2561" t="inlineStr">
        <is>
          <t>Felix Körner</t>
        </is>
      </c>
      <c r="N2561" s="6">
        <f>HYPERLINK("https://www.kleinanzeigen.de/s-bestandsliste.html?userId=59126806", "Link")</f>
        <v/>
      </c>
      <c r="O2561" s="7" t="n">
        <v>45536.9103587963</v>
      </c>
      <c r="P2561" s="3" t="inlineStr">
        <is>
          <t>83.30</t>
        </is>
      </c>
      <c r="Q2561" t="inlineStr">
        <is>
          <t>München</t>
        </is>
      </c>
    </row>
    <row r="2562">
      <c r="A2562" t="inlineStr">
        <is>
          <t>240 x 63 cm</t>
        </is>
      </c>
      <c r="B2562" t="inlineStr">
        <is>
          <t>JP Australia All Ride</t>
        </is>
      </c>
      <c r="C2562" t="inlineStr">
        <is>
          <t>Freeride</t>
        </is>
      </c>
      <c r="D2562" s="3" t="n">
        <v>106</v>
      </c>
      <c r="E2562" t="inlineStr"/>
      <c r="F2562" s="4" t="n">
        <v>250</v>
      </c>
      <c r="G2562" t="inlineStr">
        <is>
          <t>VB</t>
        </is>
      </c>
      <c r="H2562" t="inlineStr">
        <is>
          <t>58313 Nordrhein-Westfalen - Herdecke</t>
        </is>
      </c>
      <c r="I2562" s="5" t="n">
        <v>45527</v>
      </c>
      <c r="J2562" t="inlineStr">
        <is>
          <t>Sold</t>
        </is>
      </c>
      <c r="K2562" s="6">
        <f>HYPERLINK("https://www.kleinanzeigen.de/s-anzeige/jp-australia-all-ride-106l-windsurfen/2843974376-230-1423", "Link")</f>
        <v/>
      </c>
      <c r="L2562" s="6">
        <f>HYPERLINK("C:\Projects\Kleinanzeigen-Scraper\offer_images\2843974376", "Link")</f>
        <v/>
      </c>
      <c r="M2562" t="inlineStr">
        <is>
          <t>Michael</t>
        </is>
      </c>
      <c r="N2562" s="6">
        <f>HYPERLINK("https://www.kleinanzeigen.de/s-bestandsliste.html?userId=10084291", "Link")</f>
        <v/>
      </c>
      <c r="O2562" s="7" t="n">
        <v>45536.9103587963</v>
      </c>
      <c r="P2562" s="3" t="inlineStr">
        <is>
          <t>62.57</t>
        </is>
      </c>
      <c r="Q2562" t="inlineStr">
        <is>
          <t>Köln</t>
        </is>
      </c>
    </row>
    <row r="2563">
      <c r="A2563" t="inlineStr">
        <is>
          <t>215 cm x 57.5 cm</t>
        </is>
      </c>
      <c r="B2563" t="inlineStr">
        <is>
          <t>Fanatic Stubby</t>
        </is>
      </c>
      <c r="C2563" t="inlineStr"/>
      <c r="D2563" s="3" t="n">
        <v>89</v>
      </c>
      <c r="E2563" t="inlineStr">
        <is>
          <t>2020</t>
        </is>
      </c>
      <c r="F2563" s="4" t="n">
        <v>600</v>
      </c>
      <c r="G2563" t="inlineStr"/>
      <c r="H2563" t="inlineStr">
        <is>
          <t>31515 Niedersachsen - Wunstorf</t>
        </is>
      </c>
      <c r="I2563" s="5" t="n">
        <v>45535</v>
      </c>
      <c r="J2563" t="inlineStr">
        <is>
          <t>Sold</t>
        </is>
      </c>
      <c r="K2563" s="6">
        <f>HYPERLINK("https://www.kleinanzeigen.de/s-anzeige/fanatic-stubby-89-liter-surfbrett-surfboard-windsurfen/2851058869-230-2930", "Link")</f>
        <v/>
      </c>
      <c r="L2563" s="6">
        <f>HYPERLINK("C:\Projects\Kleinanzeigen-Scraper\offer_images\2851058869", "Link")</f>
        <v/>
      </c>
      <c r="M2563" t="inlineStr">
        <is>
          <t>Björn</t>
        </is>
      </c>
      <c r="N2563" s="6">
        <f>HYPERLINK("https://www.kleinanzeigen.de/s-bestandsliste.html?userId=47648804", "Link")</f>
        <v/>
      </c>
      <c r="O2563" s="7" t="n">
        <v>45536.9103587963</v>
      </c>
      <c r="P2563" s="3" t="inlineStr">
        <is>
          <t>236.47</t>
        </is>
      </c>
      <c r="Q2563" t="inlineStr">
        <is>
          <t>Köln</t>
        </is>
      </c>
    </row>
    <row r="2564">
      <c r="A2564" t="inlineStr">
        <is>
          <t>255 cm</t>
        </is>
      </c>
      <c r="B2564" t="inlineStr">
        <is>
          <t>HiFly</t>
        </is>
      </c>
      <c r="C2564" t="inlineStr">
        <is>
          <t>Wave</t>
        </is>
      </c>
      <c r="D2564" s="3" t="n">
        <v>84</v>
      </c>
      <c r="E2564" t="inlineStr"/>
      <c r="F2564" s="4" t="n">
        <v>220</v>
      </c>
      <c r="G2564" t="inlineStr">
        <is>
          <t>VB</t>
        </is>
      </c>
      <c r="H2564" t="inlineStr">
        <is>
          <t>14558 Brandenburg - Bergholz Rehbrücke</t>
        </is>
      </c>
      <c r="I2564" s="5" t="n">
        <v>45526</v>
      </c>
      <c r="J2564" t="inlineStr">
        <is>
          <t>Sold</t>
        </is>
      </c>
      <c r="K2564" s="6">
        <f>HYPERLINK("https://www.kleinanzeigen.de/s-anzeige/windsurf-board-84l-wave-255-hifly-surfbrett-bord/2843660123-230-7791", "Link")</f>
        <v/>
      </c>
      <c r="L2564" s="6">
        <f>HYPERLINK("C:\Projects\Kleinanzeigen-Scraper\offer_images\2843660123", "Link")</f>
        <v/>
      </c>
      <c r="M2564" t="inlineStr">
        <is>
          <t>Sebastian</t>
        </is>
      </c>
      <c r="N2564" s="6">
        <f>HYPERLINK("https://www.kleinanzeigen.de/s-bestandsliste.html?userId=12606146", "Link")</f>
        <v/>
      </c>
      <c r="O2564" s="7" t="n">
        <v>45536.91034722222</v>
      </c>
      <c r="P2564" s="3" t="inlineStr">
        <is>
          <t>453.79</t>
        </is>
      </c>
      <c r="Q2564" t="inlineStr">
        <is>
          <t>Köln</t>
        </is>
      </c>
    </row>
    <row r="2565">
      <c r="A2565" t="inlineStr"/>
      <c r="B2565" t="inlineStr">
        <is>
          <t>Fanatic</t>
        </is>
      </c>
      <c r="C2565" t="inlineStr">
        <is>
          <t>Freeride</t>
        </is>
      </c>
      <c r="D2565" s="3" t="n">
        <v>77</v>
      </c>
      <c r="E2565" t="inlineStr"/>
      <c r="F2565" s="4" t="n">
        <v>20</v>
      </c>
      <c r="G2565" t="inlineStr">
        <is>
          <t>VB</t>
        </is>
      </c>
      <c r="H2565" t="inlineStr">
        <is>
          <t>21079 Harburg - Hamburg Wilstorf</t>
        </is>
      </c>
      <c r="I2565" s="5" t="n">
        <v>45528</v>
      </c>
      <c r="J2565" t="inlineStr">
        <is>
          <t>Sold</t>
        </is>
      </c>
      <c r="K2565" s="6">
        <f>HYPERLINK("https://www.kleinanzeigen.de/s-anzeige/fanatic-freewave-77-liter-5-7-kg-surfboard-windsurfer-starboard/2845255773-230-21120", "Link")</f>
        <v/>
      </c>
      <c r="L2565" s="6">
        <f>HYPERLINK("C:\Projects\Kleinanzeigen-Scraper\offer_images\2845255773", "Link")</f>
        <v/>
      </c>
      <c r="M2565" t="inlineStr">
        <is>
          <t>Rüdiger Mahnke</t>
        </is>
      </c>
      <c r="N2565" s="6">
        <f>HYPERLINK("https://www.kleinanzeigen.de/s-bestandsliste.html?userId=9927701", "Link")</f>
        <v/>
      </c>
      <c r="O2565" s="7" t="n">
        <v>45536.91033564815</v>
      </c>
      <c r="P2565" s="3" t="inlineStr">
        <is>
          <t>349.40</t>
        </is>
      </c>
      <c r="Q2565" t="inlineStr">
        <is>
          <t>Köln</t>
        </is>
      </c>
    </row>
    <row r="2566">
      <c r="A2566" t="inlineStr"/>
      <c r="B2566" t="inlineStr">
        <is>
          <t>JP</t>
        </is>
      </c>
      <c r="C2566" t="inlineStr">
        <is>
          <t>Freestyle</t>
        </is>
      </c>
      <c r="D2566" s="3" t="n">
        <v>99</v>
      </c>
      <c r="E2566" t="inlineStr">
        <is>
          <t>2009</t>
        </is>
      </c>
      <c r="F2566" s="4" t="n">
        <v>75</v>
      </c>
      <c r="G2566" t="inlineStr">
        <is>
          <t>VB</t>
        </is>
      </c>
      <c r="H2566" t="inlineStr">
        <is>
          <t>87616 Bayern - Marktoberdorf</t>
        </is>
      </c>
      <c r="I2566" s="5" t="n">
        <v>45532</v>
      </c>
      <c r="J2566" t="inlineStr">
        <is>
          <t>Sold</t>
        </is>
      </c>
      <c r="K2566" s="6">
        <f>HYPERLINK("https://www.kleinanzeigen.de/s-anzeige/jp-freestyle-99l-2009-windsurf-board/2848848691-230-6561", "Link")</f>
        <v/>
      </c>
      <c r="L2566" s="6">
        <f>HYPERLINK("C:\Projects\Kleinanzeigen-Scraper\offer_images\2848848691", "Link")</f>
        <v/>
      </c>
      <c r="M2566" t="inlineStr">
        <is>
          <t>Felix Körner</t>
        </is>
      </c>
      <c r="N2566" s="6">
        <f>HYPERLINK("https://www.kleinanzeigen.de/s-bestandsliste.html?userId=59126806", "Link")</f>
        <v/>
      </c>
      <c r="O2566" s="7" t="n">
        <v>45536.9103125</v>
      </c>
      <c r="P2566" s="3" t="inlineStr">
        <is>
          <t>83.30</t>
        </is>
      </c>
      <c r="Q2566" t="inlineStr">
        <is>
          <t>München</t>
        </is>
      </c>
    </row>
    <row r="2567">
      <c r="A2567" t="inlineStr">
        <is>
          <t>240cm x 61cm</t>
        </is>
      </c>
      <c r="B2567" t="inlineStr">
        <is>
          <t>Fanatic Freewave</t>
        </is>
      </c>
      <c r="C2567" t="inlineStr">
        <is>
          <t>Freeride</t>
        </is>
      </c>
      <c r="D2567" s="3" t="n">
        <v>95</v>
      </c>
      <c r="E2567" t="inlineStr"/>
      <c r="F2567" s="4" t="n">
        <v>350</v>
      </c>
      <c r="G2567" t="inlineStr">
        <is>
          <t>VB</t>
        </is>
      </c>
      <c r="H2567" t="inlineStr">
        <is>
          <t>40476 Düsseldorf - Derendorf</t>
        </is>
      </c>
      <c r="I2567" s="5" t="n">
        <v>45533</v>
      </c>
      <c r="J2567" t="inlineStr"/>
      <c r="K2567" s="6">
        <f>HYPERLINK("https://www.kleinanzeigen.de/s-anzeige/windsurfen-fanatic-freewave-95-protector-no-jp-goya-tabou/2849244118-230-29943", "Link")</f>
        <v/>
      </c>
      <c r="L2567" s="6">
        <f>HYPERLINK("C:\Projects\Kleinanzeigen-Scraper\offer_images\2849244118", "Link")</f>
        <v/>
      </c>
      <c r="M2567" t="inlineStr">
        <is>
          <t>Christoph Michel</t>
        </is>
      </c>
      <c r="N2567" s="6">
        <f>HYPERLINK("https://www.kleinanzeigen.de/s-bestandsliste.html?userId=11572880", "Link")</f>
        <v/>
      </c>
      <c r="O2567" s="7" t="n">
        <v>45536.91028935185</v>
      </c>
      <c r="P2567" s="3" t="inlineStr">
        <is>
          <t>36.50</t>
        </is>
      </c>
      <c r="Q2567" t="inlineStr">
        <is>
          <t>Köln</t>
        </is>
      </c>
    </row>
    <row r="2568">
      <c r="A2568" t="inlineStr"/>
      <c r="B2568" t="inlineStr">
        <is>
          <t>Hifly Motion</t>
        </is>
      </c>
      <c r="C2568" t="inlineStr">
        <is>
          <t>Beginner</t>
        </is>
      </c>
      <c r="D2568" s="3" t="n">
        <v>219</v>
      </c>
      <c r="E2568" t="inlineStr"/>
      <c r="F2568" s="4" t="n">
        <v>490</v>
      </c>
      <c r="G2568" t="inlineStr"/>
      <c r="H2568" t="inlineStr">
        <is>
          <t>18356 Nordvorpommern - Landkreis - Barth</t>
        </is>
      </c>
      <c r="I2568" s="5" t="n">
        <v>45529</v>
      </c>
      <c r="J2568" t="inlineStr">
        <is>
          <t>Sold</t>
        </is>
      </c>
      <c r="K2568" s="6">
        <f>HYPERLINK("https://www.kleinanzeigen.de/s-anzeige/hifly-motion-219l-volumen-windsurf-anfaenger-surfboard-mit-segel/2846135682-230-13562", "Link")</f>
        <v/>
      </c>
      <c r="L2568" s="6">
        <f>HYPERLINK("C:\Projects\Kleinanzeigen-Scraper\offer_images\2846135682", "Link")</f>
        <v/>
      </c>
      <c r="M2568" t="inlineStr">
        <is>
          <t>joe leiserowitz</t>
        </is>
      </c>
      <c r="N2568" s="6">
        <f>HYPERLINK("https://www.kleinanzeigen.de/s-bestandsliste.html?userId=33437918", "Link")</f>
        <v/>
      </c>
      <c r="O2568" s="7" t="n">
        <v>45536.9102662037</v>
      </c>
      <c r="P2568" s="3" t="inlineStr">
        <is>
          <t>539.13</t>
        </is>
      </c>
      <c r="Q2568" t="inlineStr">
        <is>
          <t>Köln</t>
        </is>
      </c>
    </row>
    <row r="2569">
      <c r="A2569" t="inlineStr">
        <is>
          <t>250x55</t>
        </is>
      </c>
      <c r="B2569" t="inlineStr">
        <is>
          <t>Naish Hawaii Mistral</t>
        </is>
      </c>
      <c r="C2569" t="inlineStr"/>
      <c r="D2569" s="3" t="n">
        <v>100</v>
      </c>
      <c r="E2569" t="inlineStr">
        <is>
          <t>1988</t>
        </is>
      </c>
      <c r="F2569" s="4" t="n">
        <v>399</v>
      </c>
      <c r="G2569" t="inlineStr">
        <is>
          <t>VB</t>
        </is>
      </c>
      <c r="H2569" t="inlineStr">
        <is>
          <t>24159 Kiel - Pries-Friedrichsort</t>
        </is>
      </c>
      <c r="I2569" s="5" t="n">
        <v>45529</v>
      </c>
      <c r="J2569" t="inlineStr"/>
      <c r="K2569" s="6">
        <f>HYPERLINK("https://www.kleinanzeigen.de/s-anzeige/surfbrett-surfboard-windsurfen-naish-hawaii-mistral-anschauen/2802502354-230-695", "Link")</f>
        <v/>
      </c>
      <c r="L2569" s="6">
        <f>HYPERLINK("C:\Projects\Kleinanzeigen-Scraper\offer_images\2802502354", "Link")</f>
        <v/>
      </c>
      <c r="M2569" t="inlineStr">
        <is>
          <t>Andreas Stöckigt</t>
        </is>
      </c>
      <c r="N2569" s="6">
        <f>HYPERLINK("https://www.kleinanzeigen.de/s-bestandsliste.html?userId=49866259", "Link")</f>
        <v/>
      </c>
      <c r="O2569" s="7" t="n">
        <v>45536.9102662037</v>
      </c>
      <c r="P2569" s="3" t="inlineStr">
        <is>
          <t>440.84</t>
        </is>
      </c>
      <c r="Q2569" t="inlineStr">
        <is>
          <t>Köln</t>
        </is>
      </c>
    </row>
    <row r="2570">
      <c r="A2570" t="inlineStr"/>
      <c r="B2570" t="inlineStr">
        <is>
          <t>RRD Firestorm V4</t>
        </is>
      </c>
      <c r="C2570" t="inlineStr">
        <is>
          <t>Freeride</t>
        </is>
      </c>
      <c r="D2570" s="3" t="n">
        <v>112</v>
      </c>
      <c r="E2570" t="inlineStr">
        <is>
          <t>2021</t>
        </is>
      </c>
      <c r="F2570" s="4" t="n">
        <v>599</v>
      </c>
      <c r="G2570" t="inlineStr"/>
      <c r="H2570" t="inlineStr">
        <is>
          <t>85521 Kr. München - Ottobrunn</t>
        </is>
      </c>
      <c r="I2570" s="5" t="n">
        <v>45536</v>
      </c>
      <c r="J2570" t="inlineStr"/>
      <c r="K2570" s="6">
        <f>HYPERLINK("https://www.kleinanzeigen.de/s-anzeige/rrd-freeride-112-liter-wood-v4-windsurf-board-hybridboard-foil-/2851733875-230-15597", "Link")</f>
        <v/>
      </c>
      <c r="L2570" s="6">
        <f>HYPERLINK("C:\Projects\Kleinanzeigen-Scraper\offer_images\2851733875", "Link")</f>
        <v/>
      </c>
      <c r="M2570" t="inlineStr">
        <is>
          <t>Peter J.</t>
        </is>
      </c>
      <c r="N2570" s="6">
        <f>HYPERLINK("https://www.kleinanzeigen.de/s-bestandsliste.html?userId=17296412", "Link")</f>
        <v/>
      </c>
      <c r="O2570" s="7" t="n">
        <v>45536.91023148148</v>
      </c>
      <c r="P2570" s="3" t="inlineStr">
        <is>
          <t>11.05</t>
        </is>
      </c>
      <c r="Q2570" t="inlineStr">
        <is>
          <t>München</t>
        </is>
      </c>
    </row>
    <row r="2571">
      <c r="A2571" t="inlineStr">
        <is>
          <t>230 x 100.5</t>
        </is>
      </c>
      <c r="B2571" t="inlineStr">
        <is>
          <t>F2</t>
        </is>
      </c>
      <c r="C2571" t="inlineStr">
        <is>
          <t>Formula</t>
        </is>
      </c>
      <c r="D2571" s="3" t="n">
        <v>155</v>
      </c>
      <c r="E2571" t="inlineStr"/>
      <c r="F2571" s="4" t="n">
        <v>150</v>
      </c>
      <c r="G2571" t="inlineStr">
        <is>
          <t>VB</t>
        </is>
      </c>
      <c r="H2571" t="inlineStr">
        <is>
          <t>24837 Schleswig-Holstein - Schleswig</t>
        </is>
      </c>
      <c r="I2571" s="5" t="n">
        <v>45526</v>
      </c>
      <c r="J2571" t="inlineStr">
        <is>
          <t>Sold</t>
        </is>
      </c>
      <c r="K2571" s="6">
        <f>HYPERLINK("https://www.kleinanzeigen.de/s-anzeige/f2-formula-windsurf-foil-board/2843191744-230-558", "Link")</f>
        <v/>
      </c>
      <c r="L2571" s="6">
        <f>HYPERLINK("C:\Projects\Kleinanzeigen-Scraper\offer_images\2843191744", "Link")</f>
        <v/>
      </c>
      <c r="M2571" t="inlineStr">
        <is>
          <t>Johann</t>
        </is>
      </c>
      <c r="N2571" s="6">
        <f>HYPERLINK("https://www.kleinanzeigen.de/s-bestandsliste.html?userId=74490247", "Link")</f>
        <v/>
      </c>
      <c r="O2571" s="7" t="n">
        <v>45536.9102199074</v>
      </c>
      <c r="P2571" s="3" t="inlineStr">
        <is>
          <t>435.51</t>
        </is>
      </c>
      <c r="Q2571" t="inlineStr">
        <is>
          <t>Köln</t>
        </is>
      </c>
    </row>
    <row r="2572">
      <c r="A2572" t="inlineStr">
        <is>
          <t>229*57.75</t>
        </is>
      </c>
      <c r="B2572" t="inlineStr">
        <is>
          <t>Quatro Thruster Pyramid</t>
        </is>
      </c>
      <c r="C2572" t="inlineStr">
        <is>
          <t>Wave</t>
        </is>
      </c>
      <c r="D2572" s="3" t="n">
        <v>84</v>
      </c>
      <c r="E2572" t="inlineStr"/>
      <c r="F2572" s="4" t="n">
        <v>290</v>
      </c>
      <c r="G2572" t="inlineStr"/>
      <c r="H2572" t="inlineStr">
        <is>
          <t>18055 Rostock - Stadtmitte</t>
        </is>
      </c>
      <c r="I2572" s="5" t="n">
        <v>45527</v>
      </c>
      <c r="J2572" t="inlineStr">
        <is>
          <t>Sold</t>
        </is>
      </c>
      <c r="K2572" s="6">
        <f>HYPERLINK("https://www.kleinanzeigen.de/s-anzeige/quatro-thruster-pyramid-84l-waveboard-windsurfen/2843911673-230-157", "Link")</f>
        <v/>
      </c>
      <c r="L2572" s="6">
        <f>HYPERLINK("C:\Projects\Kleinanzeigen-Scraper\offer_images\2843911673", "Link")</f>
        <v/>
      </c>
      <c r="M2572" t="inlineStr">
        <is>
          <t>Hiero</t>
        </is>
      </c>
      <c r="N2572" s="6">
        <f>HYPERLINK("https://www.kleinanzeigen.de/s-bestandsliste.html?userId=11372509", "Link")</f>
        <v/>
      </c>
      <c r="O2572" s="7" t="n">
        <v>45536.9102199074</v>
      </c>
      <c r="P2572" s="3" t="inlineStr">
        <is>
          <t>496.50</t>
        </is>
      </c>
      <c r="Q2572" t="inlineStr">
        <is>
          <t>Köln</t>
        </is>
      </c>
    </row>
    <row r="2573">
      <c r="A2573" t="inlineStr"/>
      <c r="B2573" t="inlineStr">
        <is>
          <t>Fanatic Freewave</t>
        </is>
      </c>
      <c r="C2573" t="inlineStr">
        <is>
          <t>Freeride</t>
        </is>
      </c>
      <c r="D2573" s="3" t="n">
        <v>96</v>
      </c>
      <c r="E2573" t="inlineStr">
        <is>
          <t>2014</t>
        </is>
      </c>
      <c r="F2573" s="4" t="n">
        <v>600</v>
      </c>
      <c r="G2573" t="inlineStr"/>
      <c r="H2573" t="inlineStr">
        <is>
          <t>31515 Niedersachsen - Wunstorf</t>
        </is>
      </c>
      <c r="I2573" s="5" t="n">
        <v>45533</v>
      </c>
      <c r="J2573" t="inlineStr">
        <is>
          <t>Sold</t>
        </is>
      </c>
      <c r="K2573" s="6">
        <f>HYPERLINK("https://www.kleinanzeigen.de/s-anzeige/fanatic-freewave-96-liter-surfbrett-surfboard-windsurfen/2849568853-230-2930", "Link")</f>
        <v/>
      </c>
      <c r="L2573" s="6">
        <f>HYPERLINK("C:\Projects\Kleinanzeigen-Scraper\offer_images\2849568853", "Link")</f>
        <v/>
      </c>
      <c r="M2573" t="inlineStr">
        <is>
          <t>Björn</t>
        </is>
      </c>
      <c r="N2573" s="6">
        <f>HYPERLINK("https://www.kleinanzeigen.de/s-bestandsliste.html?userId=47648804", "Link")</f>
        <v/>
      </c>
      <c r="O2573" s="7" t="n">
        <v>45536.9102199074</v>
      </c>
      <c r="P2573" s="3" t="inlineStr">
        <is>
          <t>236.47</t>
        </is>
      </c>
      <c r="Q2573" t="inlineStr">
        <is>
          <t>Köln</t>
        </is>
      </c>
    </row>
    <row r="2574">
      <c r="A2574" t="inlineStr"/>
      <c r="B2574" t="inlineStr">
        <is>
          <t>Mistral Surfer</t>
        </is>
      </c>
      <c r="C2574" t="inlineStr">
        <is>
          <t>Freeride</t>
        </is>
      </c>
      <c r="D2574" s="3" t="inlineStr"/>
      <c r="E2574" t="inlineStr"/>
      <c r="F2574" s="4" t="inlineStr"/>
      <c r="G2574" t="inlineStr">
        <is>
          <t>VB</t>
        </is>
      </c>
      <c r="H2574" t="inlineStr">
        <is>
          <t>97618 Bayern - Niederlauer</t>
        </is>
      </c>
      <c r="I2574" s="5" t="n">
        <v>45536</v>
      </c>
      <c r="J2574" t="inlineStr">
        <is>
          <t>Sold</t>
        </is>
      </c>
      <c r="K2574" s="6">
        <f>HYPERLINK("https://www.kleinanzeigen.de/s-anzeige/surfbrett-windsurfen-standup/2851927248-230-21256", "Link")</f>
        <v/>
      </c>
      <c r="L2574" s="6">
        <f>HYPERLINK("C:\Projects\Kleinanzeigen-Scraper\offer_images\2851927248", "Link")</f>
        <v/>
      </c>
      <c r="M2574" t="inlineStr">
        <is>
          <t>Bischof</t>
        </is>
      </c>
      <c r="N2574" s="6">
        <f>HYPERLINK("https://www.kleinanzeigen.de/s-bestandsliste.html?userId=16450405", "Link")</f>
        <v/>
      </c>
      <c r="O2574" s="7" t="n">
        <v>45536.91018518519</v>
      </c>
      <c r="P2574" s="3" t="inlineStr">
        <is>
          <t>201.07</t>
        </is>
      </c>
      <c r="Q2574" t="inlineStr">
        <is>
          <t>Karlsruhe</t>
        </is>
      </c>
    </row>
    <row r="2575">
      <c r="A2575" t="inlineStr">
        <is>
          <t>240x78 cm</t>
        </is>
      </c>
      <c r="B2575" t="inlineStr">
        <is>
          <t>RRD HI-Flight AST</t>
        </is>
      </c>
      <c r="C2575" t="inlineStr">
        <is>
          <t>Windsurf/SUP</t>
        </is>
      </c>
      <c r="D2575" s="3" t="n">
        <v>150</v>
      </c>
      <c r="E2575" t="inlineStr">
        <is>
          <t>2019</t>
        </is>
      </c>
      <c r="F2575" s="4" t="n">
        <v>990</v>
      </c>
      <c r="G2575" t="inlineStr"/>
      <c r="H2575" t="inlineStr">
        <is>
          <t>82319 Bayern - Starnberg</t>
        </is>
      </c>
      <c r="I2575" s="5" t="n">
        <v>45556</v>
      </c>
      <c r="J2575" t="inlineStr"/>
      <c r="K2575" s="6">
        <f>HYPERLINK("https://www.kleinanzeigen.de/s-anzeige/rrd-hi-flight-ast-windsurf-sup-board-150-liter-neu/2097499885-230-5525", "Link")</f>
        <v/>
      </c>
      <c r="L2575" s="6">
        <f>HYPERLINK("C:\Projects\Kleinanzeigen-Scraper\offer_images\2097499885", "Link")</f>
        <v/>
      </c>
      <c r="M2575" t="inlineStr">
        <is>
          <t>No user name</t>
        </is>
      </c>
      <c r="N2575" s="6">
        <f>HYPERLINK("https://www.kleinanzeigen.deNo user link", "Link")</f>
        <v/>
      </c>
      <c r="O2575" s="7" t="n">
        <v>45536.91018518519</v>
      </c>
      <c r="P2575" s="3" t="inlineStr">
        <is>
          <t>23.17</t>
        </is>
      </c>
      <c r="Q2575" t="inlineStr">
        <is>
          <t>München</t>
        </is>
      </c>
    </row>
    <row r="2576">
      <c r="A2576" t="inlineStr">
        <is>
          <t>Dimensions not specified</t>
        </is>
      </c>
      <c r="B2576" t="inlineStr">
        <is>
          <t>Tabou Air Ride Ltd</t>
        </is>
      </c>
      <c r="C2576" t="inlineStr">
        <is>
          <t>Foil</t>
        </is>
      </c>
      <c r="D2576" s="3" t="n">
        <v>125</v>
      </c>
      <c r="E2576" t="inlineStr"/>
      <c r="F2576" s="4" t="n">
        <v>510</v>
      </c>
      <c r="G2576" t="inlineStr">
        <is>
          <t>VB</t>
        </is>
      </c>
      <c r="H2576" t="inlineStr">
        <is>
          <t>47239 Duisburg - Rumeln-Kaldenhausen</t>
        </is>
      </c>
      <c r="I2576" s="5" t="n">
        <v>45534</v>
      </c>
      <c r="J2576" t="inlineStr">
        <is>
          <t>Sold</t>
        </is>
      </c>
      <c r="K2576" s="6">
        <f>HYPERLINK("https://www.kleinanzeigen.de/s-anzeige/tabou-air-ride-ltd-74-125-windsurf-foil-board/2850270415-230-2137", "Link")</f>
        <v/>
      </c>
      <c r="L2576" s="6">
        <f>HYPERLINK("C:\Projects\Kleinanzeigen-Scraper\offer_images\2850270415", "Link")</f>
        <v/>
      </c>
      <c r="M2576" t="inlineStr">
        <is>
          <t>PX</t>
        </is>
      </c>
      <c r="N2576" s="6">
        <f>HYPERLINK("https://www.kleinanzeigen.de/s-bestandsliste.html?userId=1864376", "Link")</f>
        <v/>
      </c>
      <c r="O2576" s="7" t="n">
        <v>45536.91018518519</v>
      </c>
      <c r="P2576" s="3" t="inlineStr">
        <is>
          <t>54.92</t>
        </is>
      </c>
      <c r="Q2576" t="inlineStr">
        <is>
          <t>Köln</t>
        </is>
      </c>
    </row>
    <row r="2577">
      <c r="A2577" t="inlineStr">
        <is>
          <t>340 cm</t>
        </is>
      </c>
      <c r="B2577" t="inlineStr">
        <is>
          <t>Fanatic Funrace</t>
        </is>
      </c>
      <c r="C2577" t="inlineStr"/>
      <c r="D2577" s="3" t="inlineStr"/>
      <c r="E2577" t="inlineStr"/>
      <c r="F2577" s="4" t="n">
        <v>75</v>
      </c>
      <c r="G2577" t="inlineStr">
        <is>
          <t>VB</t>
        </is>
      </c>
      <c r="H2577" t="inlineStr">
        <is>
          <t>45699 Nordrhein-Westfalen - Herten</t>
        </is>
      </c>
      <c r="I2577" s="5" t="n">
        <v>45529</v>
      </c>
      <c r="J2577" t="inlineStr">
        <is>
          <t>Sold</t>
        </is>
      </c>
      <c r="K2577" s="6">
        <f>HYPERLINK("https://www.kleinanzeigen.de/s-anzeige/fanatic-funrace-340-windsurf/2845713010-230-1832", "Link")</f>
        <v/>
      </c>
      <c r="L2577" s="6">
        <f>HYPERLINK("C:\Projects\Kleinanzeigen-Scraper\offer_images\2845713010", "Link")</f>
        <v/>
      </c>
      <c r="M2577" t="inlineStr">
        <is>
          <t>V.P.</t>
        </is>
      </c>
      <c r="N2577" s="6">
        <f>HYPERLINK("https://www.kleinanzeigen.de/s-bestandsliste.html?userId=10829434", "Link")</f>
        <v/>
      </c>
      <c r="O2577" s="7" t="n">
        <v>45536.91017361111</v>
      </c>
      <c r="P2577" s="3" t="inlineStr">
        <is>
          <t>73.42</t>
        </is>
      </c>
      <c r="Q2577" t="inlineStr">
        <is>
          <t>Köln</t>
        </is>
      </c>
    </row>
    <row r="2578">
      <c r="A2578" t="inlineStr">
        <is>
          <t>329 cm x 82 cm x 15 cm</t>
        </is>
      </c>
      <c r="B2578" t="inlineStr">
        <is>
          <t>F2 GLIDE</t>
        </is>
      </c>
      <c r="C2578" t="inlineStr">
        <is>
          <t>SUP with Windsurf Option</t>
        </is>
      </c>
      <c r="D2578" s="3" t="inlineStr"/>
      <c r="E2578" t="inlineStr"/>
      <c r="F2578" s="4" t="n">
        <v>299</v>
      </c>
      <c r="G2578" t="inlineStr">
        <is>
          <t>VB</t>
        </is>
      </c>
      <c r="H2578" t="inlineStr">
        <is>
          <t>95028 Bayern - Hof (Saale)</t>
        </is>
      </c>
      <c r="I2578" s="5" t="n">
        <v>45563</v>
      </c>
      <c r="J2578" t="inlineStr"/>
      <c r="K2578" s="6">
        <f>HYPERLINK("https://www.kleinanzeigen.de/s-anzeige/f2-glide-windsurf-sup-grey-10-8-stand-up-paddle-board-testboard/2824757126-230-7244", "Link")</f>
        <v/>
      </c>
      <c r="L2578" s="6">
        <f>HYPERLINK("C:\Projects\Kleinanzeigen-Scraper\offer_images\2824757126", "Link")</f>
        <v/>
      </c>
      <c r="M2578" t="inlineStr">
        <is>
          <t>No user name</t>
        </is>
      </c>
      <c r="N2578" s="6">
        <f>HYPERLINK("https://www.kleinanzeigen.deNo user link", "Link")</f>
        <v/>
      </c>
      <c r="O2578" s="7" t="n">
        <v>45536.91016203703</v>
      </c>
      <c r="P2578" s="3" t="inlineStr">
        <is>
          <t>244.83</t>
        </is>
      </c>
      <c r="Q2578" t="inlineStr">
        <is>
          <t>München</t>
        </is>
      </c>
    </row>
    <row r="2579">
      <c r="A2579" t="inlineStr">
        <is>
          <t>320 x 83 x 15 cm</t>
        </is>
      </c>
      <c r="B2579" t="inlineStr">
        <is>
          <t>F2</t>
        </is>
      </c>
      <c r="C2579" t="inlineStr">
        <is>
          <t>SUP</t>
        </is>
      </c>
      <c r="D2579" s="3" t="inlineStr"/>
      <c r="E2579" t="inlineStr"/>
      <c r="F2579" s="4" t="n">
        <v>350</v>
      </c>
      <c r="G2579" t="inlineStr">
        <is>
          <t>VB</t>
        </is>
      </c>
      <c r="H2579" t="inlineStr">
        <is>
          <t>20537 Hamburg-Mitte - Hamburg Borgfelde</t>
        </is>
      </c>
      <c r="I2579" s="5" t="n">
        <v>45527</v>
      </c>
      <c r="J2579" t="inlineStr">
        <is>
          <t>Sold</t>
        </is>
      </c>
      <c r="K2579" s="6">
        <f>HYPERLINK("https://www.kleinanzeigen.de/s-anzeige/neu-f2-windsurf-sup-star-dc-ws-sup-board-mit-zubehoer/2844376060-230-16465", "Link")</f>
        <v/>
      </c>
      <c r="L2579" s="6">
        <f>HYPERLINK("C:\Projects\Kleinanzeigen-Scraper\offer_images\2844376060", "Link")</f>
        <v/>
      </c>
      <c r="M2579" t="inlineStr">
        <is>
          <t>Herr B</t>
        </is>
      </c>
      <c r="N2579" s="6">
        <f>HYPERLINK("https://www.kleinanzeigen.de/s-bestandsliste.html?userId=141323810", "Link")</f>
        <v/>
      </c>
      <c r="O2579" s="7" t="n">
        <v>45536.91013888889</v>
      </c>
      <c r="P2579" s="3" t="inlineStr">
        <is>
          <t>358.78</t>
        </is>
      </c>
      <c r="Q2579" t="inlineStr">
        <is>
          <t>Köln</t>
        </is>
      </c>
    </row>
    <row r="2580">
      <c r="A2580" t="inlineStr"/>
      <c r="B2580" t="inlineStr">
        <is>
          <t>Fanatic Ray</t>
        </is>
      </c>
      <c r="C2580" t="inlineStr">
        <is>
          <t>Freeride</t>
        </is>
      </c>
      <c r="D2580" s="3" t="n">
        <v>95</v>
      </c>
      <c r="E2580" t="inlineStr"/>
      <c r="F2580" s="4" t="n">
        <v>150</v>
      </c>
      <c r="G2580" t="inlineStr">
        <is>
          <t>VB</t>
        </is>
      </c>
      <c r="H2580" t="inlineStr">
        <is>
          <t>10317 Berlin - Rummelsburg</t>
        </is>
      </c>
      <c r="I2580" s="5" t="n">
        <v>45536</v>
      </c>
      <c r="J2580" t="inlineStr">
        <is>
          <t>Sold</t>
        </is>
      </c>
      <c r="K2580" s="6">
        <f>HYPERLINK("https://www.kleinanzeigen.de/s-anzeige/windsurf-board-fanatic-ray-95-l-320er-finne/2851961105-230-25915", "Link")</f>
        <v/>
      </c>
      <c r="L2580" s="6">
        <f>HYPERLINK("C:\Projects\Kleinanzeigen-Scraper\offer_images\2851961105", "Link")</f>
        <v/>
      </c>
      <c r="M2580" t="inlineStr">
        <is>
          <t>Robert</t>
        </is>
      </c>
      <c r="N2580" s="6">
        <f>HYPERLINK("https://www.kleinanzeigen.de/s-bestandsliste.html?userId=12585906", "Link")</f>
        <v/>
      </c>
      <c r="O2580" s="7" t="n">
        <v>45536.91011574074</v>
      </c>
      <c r="P2580" s="3" t="inlineStr">
        <is>
          <t>481.96</t>
        </is>
      </c>
      <c r="Q2580" t="inlineStr">
        <is>
          <t>Köln</t>
        </is>
      </c>
    </row>
    <row r="2581">
      <c r="A2581" t="inlineStr"/>
      <c r="B2581" t="inlineStr">
        <is>
          <t>Goya Custom</t>
        </is>
      </c>
      <c r="C2581" t="inlineStr">
        <is>
          <t>Thruster</t>
        </is>
      </c>
      <c r="D2581" s="3" t="n">
        <v>92</v>
      </c>
      <c r="E2581" t="inlineStr"/>
      <c r="F2581" s="4" t="n">
        <v>750</v>
      </c>
      <c r="G2581" t="inlineStr">
        <is>
          <t>VB</t>
        </is>
      </c>
      <c r="H2581" t="inlineStr">
        <is>
          <t>20359 Altona - Hamburg Altona-Altstadt</t>
        </is>
      </c>
      <c r="I2581" s="5" t="n">
        <v>45528</v>
      </c>
      <c r="J2581" t="inlineStr">
        <is>
          <t>Sold</t>
        </is>
      </c>
      <c r="K2581" s="6">
        <f>HYPERLINK("https://www.kleinanzeigen.de/s-anzeige/goya-custom-top-windsurf-board-neuwertiger-zustand/2844728734-230-26472", "Link")</f>
        <v/>
      </c>
      <c r="L2581" s="6">
        <f>HYPERLINK("C:\Projects\Kleinanzeigen-Scraper\offer_images\2844728734", "Link")</f>
        <v/>
      </c>
      <c r="M2581" t="inlineStr">
        <is>
          <t>Fri tz</t>
        </is>
      </c>
      <c r="N2581" s="6">
        <f>HYPERLINK("https://www.kleinanzeigen.de/s-bestandsliste.html?userId=88577916", "Link")</f>
        <v/>
      </c>
      <c r="O2581" s="7" t="n">
        <v>45536.91011574074</v>
      </c>
      <c r="P2581" s="3" t="inlineStr">
        <is>
          <t>355.45</t>
        </is>
      </c>
      <c r="Q2581" t="inlineStr">
        <is>
          <t>Köln</t>
        </is>
      </c>
    </row>
    <row r="2582">
      <c r="A2582" t="inlineStr"/>
      <c r="B2582" t="inlineStr">
        <is>
          <t>Starboard Carve IQ</t>
        </is>
      </c>
      <c r="C2582" t="inlineStr">
        <is>
          <t>Freeride</t>
        </is>
      </c>
      <c r="D2582" s="3" t="n">
        <v>123</v>
      </c>
      <c r="E2582" t="inlineStr"/>
      <c r="F2582" s="4" t="n">
        <v>100</v>
      </c>
      <c r="G2582" t="inlineStr">
        <is>
          <t>VB</t>
        </is>
      </c>
      <c r="H2582" t="inlineStr">
        <is>
          <t>10317 Berlin - Rummelsburg</t>
        </is>
      </c>
      <c r="I2582" s="5" t="n">
        <v>45536</v>
      </c>
      <c r="J2582" t="inlineStr"/>
      <c r="K2582" s="6">
        <f>HYPERLINK("https://www.kleinanzeigen.de/s-anzeige/surfbrett-surfboard-windsurfen-starboard-carve-iq-123-l/2851729123-230-25915", "Link")</f>
        <v/>
      </c>
      <c r="L2582" s="6">
        <f>HYPERLINK("C:\Projects\Kleinanzeigen-Scraper\offer_images\2851729123", "Link")</f>
        <v/>
      </c>
      <c r="M2582" t="inlineStr">
        <is>
          <t>Robert</t>
        </is>
      </c>
      <c r="N2582" s="6">
        <f>HYPERLINK("https://www.kleinanzeigen.de/s-bestandsliste.html?userId=12585906", "Link")</f>
        <v/>
      </c>
      <c r="O2582" s="7" t="n">
        <v>45536.9100925926</v>
      </c>
      <c r="P2582" s="3" t="inlineStr">
        <is>
          <t>481.96</t>
        </is>
      </c>
      <c r="Q2582" t="inlineStr">
        <is>
          <t>Köln</t>
        </is>
      </c>
    </row>
    <row r="2583">
      <c r="A2583" t="inlineStr">
        <is>
          <t>297cm</t>
        </is>
      </c>
      <c r="B2583" t="inlineStr">
        <is>
          <t>AHD</t>
        </is>
      </c>
      <c r="C2583" t="inlineStr">
        <is>
          <t>Freeride</t>
        </is>
      </c>
      <c r="D2583" s="3" t="n">
        <v>130</v>
      </c>
      <c r="E2583" t="inlineStr"/>
      <c r="F2583" s="4" t="n">
        <v>50</v>
      </c>
      <c r="G2583" t="inlineStr"/>
      <c r="H2583" t="inlineStr">
        <is>
          <t>78315 Baden-Württemberg - Radolfzell am Bodensee</t>
        </is>
      </c>
      <c r="I2583" s="5" t="n">
        <v>45531</v>
      </c>
      <c r="J2583" t="inlineStr">
        <is>
          <t>Sold</t>
        </is>
      </c>
      <c r="K2583" s="6">
        <f>HYPERLINK("https://www.kleinanzeigen.de/s-anzeige/ahd-surfbrett-windsurfen-freeride-board-297cm-ca-130l/2847692462-230-8190", "Link")</f>
        <v/>
      </c>
      <c r="L2583" s="6">
        <f>HYPERLINK("C:\Projects\Kleinanzeigen-Scraper\offer_images\2847692462", "Link")</f>
        <v/>
      </c>
      <c r="M2583" t="inlineStr">
        <is>
          <t>T. Schmitt</t>
        </is>
      </c>
      <c r="N2583" s="6">
        <f>HYPERLINK("https://www.kleinanzeigen.de/s-bestandsliste.html?userId=5246788", "Link")</f>
        <v/>
      </c>
      <c r="O2583" s="7" t="n">
        <v>45536.9100925926</v>
      </c>
      <c r="P2583" s="3" t="inlineStr">
        <is>
          <t>48.46</t>
        </is>
      </c>
      <c r="Q2583" t="inlineStr">
        <is>
          <t>Bonndorf</t>
        </is>
      </c>
    </row>
    <row r="2584">
      <c r="A2584" t="inlineStr">
        <is>
          <t>228 x 58</t>
        </is>
      </c>
      <c r="B2584" t="inlineStr">
        <is>
          <t>Fanatic Quad</t>
        </is>
      </c>
      <c r="C2584" t="inlineStr">
        <is>
          <t>Freestyle</t>
        </is>
      </c>
      <c r="D2584" s="3" t="n">
        <v>89</v>
      </c>
      <c r="E2584" t="inlineStr">
        <is>
          <t>2014</t>
        </is>
      </c>
      <c r="F2584" s="4" t="n">
        <v>500</v>
      </c>
      <c r="G2584" t="inlineStr"/>
      <c r="H2584" t="inlineStr">
        <is>
          <t>31515 Niedersachsen - Wunstorf</t>
        </is>
      </c>
      <c r="I2584" s="5" t="n">
        <v>45533</v>
      </c>
      <c r="J2584" t="inlineStr">
        <is>
          <t>Sold</t>
        </is>
      </c>
      <c r="K2584" s="6">
        <f>HYPERLINK("https://www.kleinanzeigen.de/s-anzeige/fanatic-quad-89-liter-grip-surfbrett-surfboard-windsurfen/2849563774-230-2930", "Link")</f>
        <v/>
      </c>
      <c r="L2584" s="6">
        <f>HYPERLINK("C:\Projects\Kleinanzeigen-Scraper\offer_images\2849563774", "Link")</f>
        <v/>
      </c>
      <c r="M2584" t="inlineStr">
        <is>
          <t>Björn</t>
        </is>
      </c>
      <c r="N2584" s="6">
        <f>HYPERLINK("https://www.kleinanzeigen.de/s-bestandsliste.html?userId=47648804", "Link")</f>
        <v/>
      </c>
      <c r="O2584" s="7" t="n">
        <v>45536.9100925926</v>
      </c>
      <c r="P2584" s="3" t="inlineStr">
        <is>
          <t>236.47</t>
        </is>
      </c>
      <c r="Q2584" t="inlineStr">
        <is>
          <t>Köln</t>
        </is>
      </c>
    </row>
    <row r="2585">
      <c r="A2585" t="inlineStr"/>
      <c r="B2585" t="inlineStr">
        <is>
          <t>HiFly MADD</t>
        </is>
      </c>
      <c r="C2585" t="inlineStr"/>
      <c r="D2585" s="3" t="n">
        <v>90</v>
      </c>
      <c r="E2585" t="inlineStr"/>
      <c r="F2585" s="4" t="n">
        <v>80</v>
      </c>
      <c r="G2585" t="inlineStr">
        <is>
          <t>VB</t>
        </is>
      </c>
      <c r="H2585" t="inlineStr">
        <is>
          <t>14471 Brandenburg - Potsdam</t>
        </is>
      </c>
      <c r="I2585" s="5" t="n">
        <v>45536</v>
      </c>
      <c r="J2585" t="inlineStr">
        <is>
          <t>Sold</t>
        </is>
      </c>
      <c r="K2585" s="6">
        <f>HYPERLINK("https://www.kleinanzeigen.de/s-anzeige/surfbrett-surfboard-windsurfen-oder-paddeln-hifly-madd-90/2852085872-230-7968", "Link")</f>
        <v/>
      </c>
      <c r="L2585" s="6">
        <f>HYPERLINK("C:\Projects\Kleinanzeigen-Scraper\offer_images\2852085872", "Link")</f>
        <v/>
      </c>
      <c r="M2585" t="inlineStr">
        <is>
          <t>Axel Dierich</t>
        </is>
      </c>
      <c r="N2585" s="6">
        <f>HYPERLINK("https://www.kleinanzeigen.de/s-bestandsliste.html?userId=14698911", "Link")</f>
        <v/>
      </c>
      <c r="O2585" s="7" t="n">
        <v>45536.91008101852</v>
      </c>
      <c r="P2585" s="3" t="inlineStr">
        <is>
          <t>446.87</t>
        </is>
      </c>
      <c r="Q2585" t="inlineStr">
        <is>
          <t>Köln</t>
        </is>
      </c>
    </row>
    <row r="2586">
      <c r="A2586" t="inlineStr"/>
      <c r="B2586" t="inlineStr">
        <is>
          <t>Rrd</t>
        </is>
      </c>
      <c r="C2586" t="inlineStr">
        <is>
          <t>Freewave</t>
        </is>
      </c>
      <c r="D2586" s="3" t="n">
        <v>100</v>
      </c>
      <c r="E2586" t="inlineStr"/>
      <c r="F2586" s="4" t="n">
        <v>35</v>
      </c>
      <c r="G2586" t="inlineStr"/>
      <c r="H2586" t="inlineStr">
        <is>
          <t>20259 Eimsbüttel - Hamburg Eimsbüttel (Stadtteil)</t>
        </is>
      </c>
      <c r="I2586" s="5" t="n">
        <v>45527</v>
      </c>
      <c r="J2586" t="inlineStr"/>
      <c r="K2586" s="6">
        <f>HYPERLINK("https://www.kleinanzeigen.de/s-anzeige/rrd-windsurf-board-freewave-style-design-roberto-ricci-top/2844337263-230-9427", "Link")</f>
        <v/>
      </c>
      <c r="L2586" s="6">
        <f>HYPERLINK("C:\Projects\Kleinanzeigen-Scraper\offer_images\2844337263", "Link")</f>
        <v/>
      </c>
      <c r="M2586" t="inlineStr">
        <is>
          <t>AnnaSas</t>
        </is>
      </c>
      <c r="N2586" s="6">
        <f>HYPERLINK("https://www.kleinanzeigen.de/s-bestandsliste.html?userId=140552053", "Link")</f>
        <v/>
      </c>
      <c r="O2586" s="7" t="n">
        <v>45536.91008101852</v>
      </c>
      <c r="P2586" s="3" t="inlineStr">
        <is>
          <t>356.92</t>
        </is>
      </c>
      <c r="Q2586" t="inlineStr">
        <is>
          <t>Köln</t>
        </is>
      </c>
    </row>
    <row r="2587">
      <c r="A2587" t="inlineStr"/>
      <c r="B2587" t="inlineStr">
        <is>
          <t>Fanatic Jack 135 Limited Edition</t>
        </is>
      </c>
      <c r="C2587" t="inlineStr">
        <is>
          <t>Freeride, Freerace, Windfoil</t>
        </is>
      </c>
      <c r="D2587" s="3" t="n">
        <v>135</v>
      </c>
      <c r="E2587" t="inlineStr">
        <is>
          <t>2020</t>
        </is>
      </c>
      <c r="F2587" s="4" t="n">
        <v>550</v>
      </c>
      <c r="G2587" t="inlineStr">
        <is>
          <t>VB</t>
        </is>
      </c>
      <c r="H2587" t="inlineStr">
        <is>
          <t>33106 Nordrhein-Westfalen - Paderborn</t>
        </is>
      </c>
      <c r="I2587" s="5" t="n">
        <v>45531</v>
      </c>
      <c r="J2587" t="inlineStr">
        <is>
          <t>Sold</t>
        </is>
      </c>
      <c r="K2587" s="6">
        <f>HYPERLINK("https://www.kleinanzeigen.de/s-anzeige/fanatic-jag-135-surfbrett-windsurf-windfoil/2847728846-230-2161", "Link")</f>
        <v/>
      </c>
      <c r="L2587" s="6">
        <f>HYPERLINK("C:\Projects\Kleinanzeigen-Scraper\offer_images\2847728846", "Link")</f>
        <v/>
      </c>
      <c r="M2587" t="inlineStr">
        <is>
          <t>ANDREAS</t>
        </is>
      </c>
      <c r="N2587" s="6">
        <f>HYPERLINK("https://www.kleinanzeigen.de/s-bestandsliste.html?userId=18380988", "Link")</f>
        <v/>
      </c>
      <c r="O2587" s="7" t="n">
        <v>45536.91006944444</v>
      </c>
      <c r="P2587" s="3" t="inlineStr">
        <is>
          <t>148.14</t>
        </is>
      </c>
      <c r="Q2587" t="inlineStr">
        <is>
          <t>Köln</t>
        </is>
      </c>
    </row>
    <row r="2588">
      <c r="A2588" t="inlineStr">
        <is>
          <t>116</t>
        </is>
      </c>
      <c r="B2588" t="inlineStr">
        <is>
          <t>F2 Stoke</t>
        </is>
      </c>
      <c r="C2588" t="inlineStr">
        <is>
          <t>Freeride</t>
        </is>
      </c>
      <c r="D2588" s="3" t="inlineStr"/>
      <c r="E2588" t="inlineStr"/>
      <c r="F2588" s="4" t="n">
        <v>200</v>
      </c>
      <c r="G2588" t="inlineStr"/>
      <c r="H2588" t="inlineStr">
        <is>
          <t>96149 Bayern - Breitengüßbach</t>
        </is>
      </c>
      <c r="I2588" s="5" t="n">
        <v>45536</v>
      </c>
      <c r="J2588" t="inlineStr">
        <is>
          <t>Sold</t>
        </is>
      </c>
      <c r="K2588" s="6">
        <f>HYPERLINK("https://www.kleinanzeigen.de/s-anzeige/f2-stoke-116-windsurf-surf-surfbrett-surfboard/2851951341-230-6906", "Link")</f>
        <v/>
      </c>
      <c r="L2588" s="6">
        <f>HYPERLINK("C:\Projects\Kleinanzeigen-Scraper\offer_images\2851951341", "Link")</f>
        <v/>
      </c>
      <c r="M2588" t="inlineStr">
        <is>
          <t>stefan</t>
        </is>
      </c>
      <c r="N2588" s="6">
        <f>HYPERLINK("https://www.kleinanzeigen.de/s-bestandsliste.html?userId=28091401", "Link")</f>
        <v/>
      </c>
      <c r="O2588" s="7" t="n">
        <v>45536.91005787037</v>
      </c>
      <c r="P2588" s="3" t="inlineStr">
        <is>
          <t>200.94</t>
        </is>
      </c>
      <c r="Q2588" t="inlineStr">
        <is>
          <t>Böblingen</t>
        </is>
      </c>
    </row>
    <row r="2589">
      <c r="A2589" t="inlineStr">
        <is>
          <t>251 cm</t>
        </is>
      </c>
      <c r="B2589" t="inlineStr">
        <is>
          <t>F2</t>
        </is>
      </c>
      <c r="C2589" t="inlineStr">
        <is>
          <t>Wave</t>
        </is>
      </c>
      <c r="D2589" s="3" t="n">
        <v>72</v>
      </c>
      <c r="E2589" t="inlineStr"/>
      <c r="F2589" s="4" t="n">
        <v>40</v>
      </c>
      <c r="G2589" t="inlineStr"/>
      <c r="H2589" t="inlineStr">
        <is>
          <t>24576 Schleswig-Holstein - Bad Bramstedt</t>
        </is>
      </c>
      <c r="I2589" s="5" t="n">
        <v>45536</v>
      </c>
      <c r="J2589" t="inlineStr">
        <is>
          <t>Sold</t>
        </is>
      </c>
      <c r="K2589" s="6">
        <f>HYPERLINK("https://www.kleinanzeigen.de/s-anzeige/f2-wave-251-peter-thommen-jetzt-jp-australia-waveboard-windsurfen/2844974678-230-910", "Link")</f>
        <v/>
      </c>
      <c r="L2589" s="6">
        <f>HYPERLINK("C:\Projects\Kleinanzeigen-Scraper\offer_images\2844974678", "Link")</f>
        <v/>
      </c>
      <c r="M2589" t="inlineStr">
        <is>
          <t>Ole Rüsbüldt</t>
        </is>
      </c>
      <c r="N2589" s="6">
        <f>HYPERLINK("https://www.kleinanzeigen.de/s-bestandsliste.html?userId=11007357", "Link")</f>
        <v/>
      </c>
      <c r="O2589" s="7" t="n">
        <v>45536.9100462963</v>
      </c>
      <c r="P2589" s="3" t="inlineStr">
        <is>
          <t>384.10</t>
        </is>
      </c>
      <c r="Q2589" t="inlineStr">
        <is>
          <t>Köln</t>
        </is>
      </c>
    </row>
    <row r="2590">
      <c r="A2590" t="inlineStr">
        <is>
          <t>260 x 61</t>
        </is>
      </c>
      <c r="B2590" t="inlineStr">
        <is>
          <t>F2 Air</t>
        </is>
      </c>
      <c r="C2590" t="inlineStr"/>
      <c r="D2590" s="3" t="n">
        <v>96</v>
      </c>
      <c r="E2590" t="inlineStr"/>
      <c r="F2590" s="4" t="n">
        <v>95</v>
      </c>
      <c r="G2590" t="inlineStr"/>
      <c r="H2590" t="inlineStr">
        <is>
          <t>15745 Königs Wusterhausen - Wildau</t>
        </is>
      </c>
      <c r="I2590" s="5" t="n">
        <v>45529</v>
      </c>
      <c r="J2590" t="inlineStr">
        <is>
          <t>Sold</t>
        </is>
      </c>
      <c r="K2590" s="6">
        <f>HYPERLINK("https://www.kleinanzeigen.de/s-anzeige/f2-windsurf-bord-air-260/2846285228-230-7912", "Link")</f>
        <v/>
      </c>
      <c r="L2590" s="6">
        <f>HYPERLINK("C:\Projects\Kleinanzeigen-Scraper\offer_images\2846285228", "Link")</f>
        <v/>
      </c>
      <c r="M2590" t="inlineStr">
        <is>
          <t>Svitlana Balitska</t>
        </is>
      </c>
      <c r="N2590" s="6">
        <f>HYPERLINK("https://www.kleinanzeigen.de/s-bestandsliste.html?userId=63008551", "Link")</f>
        <v/>
      </c>
      <c r="O2590" s="7" t="n">
        <v>45536.9100462963</v>
      </c>
      <c r="P2590" s="3" t="inlineStr">
        <is>
          <t>484.94</t>
        </is>
      </c>
      <c r="Q2590" t="inlineStr">
        <is>
          <t>Köln</t>
        </is>
      </c>
    </row>
    <row r="2591">
      <c r="A2591" t="inlineStr">
        <is>
          <t>256 cm x 84 cm</t>
        </is>
      </c>
      <c r="B2591" t="inlineStr">
        <is>
          <t>JP Australia X-Cite Ride</t>
        </is>
      </c>
      <c r="C2591" t="inlineStr">
        <is>
          <t>Freeride</t>
        </is>
      </c>
      <c r="D2591" s="3" t="n">
        <v>105</v>
      </c>
      <c r="E2591" t="inlineStr"/>
      <c r="F2591" s="4" t="n">
        <v>150</v>
      </c>
      <c r="G2591" t="inlineStr">
        <is>
          <t>VB</t>
        </is>
      </c>
      <c r="H2591" t="inlineStr">
        <is>
          <t>58313 Nordrhein-Westfalen - Herdecke</t>
        </is>
      </c>
      <c r="I2591" s="5" t="n">
        <v>45527</v>
      </c>
      <c r="J2591" t="inlineStr">
        <is>
          <t>Sold</t>
        </is>
      </c>
      <c r="K2591" s="6">
        <f>HYPERLINK("https://www.kleinanzeigen.de/s-anzeige/jp-australia-x-cite-ride-105l-windsurfen/2843970782-230-1423", "Link")</f>
        <v/>
      </c>
      <c r="L2591" s="6">
        <f>HYPERLINK("C:\Projects\Kleinanzeigen-Scraper\offer_images\2843970782", "Link")</f>
        <v/>
      </c>
      <c r="M2591" t="inlineStr">
        <is>
          <t>Michael</t>
        </is>
      </c>
      <c r="N2591" s="6">
        <f>HYPERLINK("https://www.kleinanzeigen.de/s-bestandsliste.html?userId=10084291", "Link")</f>
        <v/>
      </c>
      <c r="O2591" s="7" t="n">
        <v>45536.90998842593</v>
      </c>
      <c r="P2591" s="3" t="inlineStr">
        <is>
          <t>62.57</t>
        </is>
      </c>
      <c r="Q2591" t="inlineStr">
        <is>
          <t>Köln</t>
        </is>
      </c>
    </row>
    <row r="2592">
      <c r="A2592" t="inlineStr">
        <is>
          <t>247 cm</t>
        </is>
      </c>
      <c r="B2592" t="inlineStr">
        <is>
          <t>F2 Vegas</t>
        </is>
      </c>
      <c r="C2592" t="inlineStr">
        <is>
          <t>Freeride</t>
        </is>
      </c>
      <c r="D2592" s="3" t="n">
        <v>126</v>
      </c>
      <c r="E2592" t="inlineStr"/>
      <c r="F2592" s="4" t="n">
        <v>650</v>
      </c>
      <c r="G2592" t="inlineStr">
        <is>
          <t>VB</t>
        </is>
      </c>
      <c r="H2592" t="inlineStr">
        <is>
          <t>08485 Sachsen - Lengenfeld Vogtland</t>
        </is>
      </c>
      <c r="I2592" s="5" t="n">
        <v>45528</v>
      </c>
      <c r="J2592" t="inlineStr">
        <is>
          <t>Sold</t>
        </is>
      </c>
      <c r="K2592" s="6">
        <f>HYPERLINK("https://www.kleinanzeigen.de/s-anzeige/f2-vegas-windsurf-board-126-247/2845297594-230-20835", "Link")</f>
        <v/>
      </c>
      <c r="L2592" s="6">
        <f>HYPERLINK("C:\Projects\Kleinanzeigen-Scraper\offer_images\2845297594", "Link")</f>
        <v/>
      </c>
      <c r="M2592" t="inlineStr">
        <is>
          <t>Heiko</t>
        </is>
      </c>
      <c r="N2592" s="6">
        <f>HYPERLINK("https://www.kleinanzeigen.de/s-bestandsliste.html?userId=18543775", "Link")</f>
        <v/>
      </c>
      <c r="O2592" s="7" t="n">
        <v>45536.90998842593</v>
      </c>
      <c r="P2592" s="3" t="inlineStr">
        <is>
          <t>276.58</t>
        </is>
      </c>
      <c r="Q2592" t="inlineStr">
        <is>
          <t>München</t>
        </is>
      </c>
    </row>
    <row r="2593">
      <c r="A2593" t="inlineStr"/>
      <c r="B2593" t="inlineStr">
        <is>
          <t>Tabou Manta</t>
        </is>
      </c>
      <c r="C2593" t="inlineStr">
        <is>
          <t>Freeride</t>
        </is>
      </c>
      <c r="D2593" s="3" t="n">
        <v>115</v>
      </c>
      <c r="E2593" t="inlineStr"/>
      <c r="F2593" s="4" t="n">
        <v>399</v>
      </c>
      <c r="G2593" t="inlineStr">
        <is>
          <t>VB</t>
        </is>
      </c>
      <c r="H2593" t="inlineStr">
        <is>
          <t>88662 Baden-Württemberg - Überlingen</t>
        </is>
      </c>
      <c r="I2593" s="5" t="n">
        <v>45528</v>
      </c>
      <c r="J2593" t="inlineStr"/>
      <c r="K2593" s="6">
        <f>HYPERLINK("https://www.kleinanzeigen.de/s-anzeige/tabou-manta-windsurfboard-115l-windsurfen/2844875028-230-9207", "Link")</f>
        <v/>
      </c>
      <c r="L2593" s="6">
        <f>HYPERLINK("C:\Projects\Kleinanzeigen-Scraper\offer_images\2844875028", "Link")</f>
        <v/>
      </c>
      <c r="M2593" t="inlineStr">
        <is>
          <t>Lernout</t>
        </is>
      </c>
      <c r="N2593" s="6">
        <f>HYPERLINK("https://www.kleinanzeigen.de/s-bestandsliste.html?userId=27501624", "Link")</f>
        <v/>
      </c>
      <c r="O2593" s="7" t="n">
        <v>45536.90998842593</v>
      </c>
      <c r="P2593" s="3" t="inlineStr">
        <is>
          <t>60.60</t>
        </is>
      </c>
      <c r="Q2593" t="inlineStr">
        <is>
          <t>Bonndorf</t>
        </is>
      </c>
    </row>
    <row r="2594">
      <c r="A2594" t="inlineStr">
        <is>
          <t>230 cm x 90.6 cm</t>
        </is>
      </c>
      <c r="B2594" t="inlineStr">
        <is>
          <t>Patrik Diethelm</t>
        </is>
      </c>
      <c r="C2594" t="inlineStr">
        <is>
          <t>Slalom</t>
        </is>
      </c>
      <c r="D2594" s="3" t="n">
        <v>150</v>
      </c>
      <c r="E2594" t="inlineStr"/>
      <c r="F2594" s="4" t="n">
        <v>950</v>
      </c>
      <c r="G2594" t="inlineStr"/>
      <c r="H2594" t="inlineStr">
        <is>
          <t>48155 Münster (Westfalen) - Mauritz</t>
        </is>
      </c>
      <c r="I2594" s="5" t="n">
        <v>45533</v>
      </c>
      <c r="J2594" t="inlineStr">
        <is>
          <t>Sold</t>
        </is>
      </c>
      <c r="K2594" s="6">
        <f>HYPERLINK("https://www.kleinanzeigen.de/s-anzeige/patrik-diethelm-slalom-150-liter-windsurfen-foilbox-neuwertig/2838019923-230-16786", "Link")</f>
        <v/>
      </c>
      <c r="L2594" s="6">
        <f>HYPERLINK("C:\Projects\Kleinanzeigen-Scraper\offer_images\2838019923", "Link")</f>
        <v/>
      </c>
      <c r="M2594" t="inlineStr">
        <is>
          <t>Familie Schulte</t>
        </is>
      </c>
      <c r="N2594" s="6">
        <f>HYPERLINK("https://www.kleinanzeigen.de/s-bestandsliste.html?userId=3344914", "Link")</f>
        <v/>
      </c>
      <c r="O2594" s="7" t="n">
        <v>45536.90996527778</v>
      </c>
      <c r="P2594" s="3" t="inlineStr">
        <is>
          <t>122.40</t>
        </is>
      </c>
      <c r="Q2594" t="inlineStr">
        <is>
          <t>Köln</t>
        </is>
      </c>
    </row>
    <row r="2595">
      <c r="A2595" t="inlineStr">
        <is>
          <t>11'6" x 32"</t>
        </is>
      </c>
      <c r="B2595" t="inlineStr">
        <is>
          <t>STX Tourer</t>
        </is>
      </c>
      <c r="C2595" t="inlineStr">
        <is>
          <t>Freeride</t>
        </is>
      </c>
      <c r="D2595" s="3" t="n">
        <v>280</v>
      </c>
      <c r="E2595" t="inlineStr">
        <is>
          <t>2022</t>
        </is>
      </c>
      <c r="F2595" s="4" t="n">
        <v>669</v>
      </c>
      <c r="G2595" t="inlineStr">
        <is>
          <t>VB</t>
        </is>
      </c>
      <c r="H2595" t="inlineStr">
        <is>
          <t>18586 Mecklenburg-Vorpommern - Mönchgut, Ostseebad</t>
        </is>
      </c>
      <c r="I2595" s="5" t="n">
        <v>45565</v>
      </c>
      <c r="J2595" t="inlineStr"/>
      <c r="K2595" s="6">
        <f>HYPERLINK("https://www.kleinanzeigen.de/s-anzeige/stx-tourer-hybrid-11-6-x-32-2022-windsurf-sup-tourer-neu-15-/1608396030-230-120", "Link")</f>
        <v/>
      </c>
      <c r="L2595" s="6">
        <f>HYPERLINK("C:\Projects\Kleinanzeigen-Scraper\offer_images\1608396030", "Link")</f>
        <v/>
      </c>
      <c r="M2595" t="inlineStr">
        <is>
          <t>No user name</t>
        </is>
      </c>
      <c r="N2595" s="6">
        <f>HYPERLINK("https://www.kleinanzeigen.deNo user link", "Link")</f>
        <v/>
      </c>
      <c r="O2595" s="7" t="n">
        <v>45536.90989583333</v>
      </c>
      <c r="P2595" s="3" t="inlineStr">
        <is>
          <t>591.22</t>
        </is>
      </c>
      <c r="Q2595" t="inlineStr">
        <is>
          <t>Köln</t>
        </is>
      </c>
    </row>
    <row r="2596">
      <c r="A2596" t="inlineStr">
        <is>
          <t>Dimensions not specified</t>
        </is>
      </c>
      <c r="B2596" t="inlineStr">
        <is>
          <t>Fanatic Grip</t>
        </is>
      </c>
      <c r="C2596" t="inlineStr">
        <is>
          <t>Freeride</t>
        </is>
      </c>
      <c r="D2596" s="3" t="n">
        <v>82</v>
      </c>
      <c r="E2596" t="inlineStr">
        <is>
          <t>2020</t>
        </is>
      </c>
      <c r="F2596" s="4" t="n">
        <v>900</v>
      </c>
      <c r="G2596" t="inlineStr"/>
      <c r="H2596" t="inlineStr">
        <is>
          <t>31515 Niedersachsen - Wunstorf</t>
        </is>
      </c>
      <c r="I2596" s="5" t="n">
        <v>45533</v>
      </c>
      <c r="J2596" t="inlineStr">
        <is>
          <t>Sold</t>
        </is>
      </c>
      <c r="K2596" s="6">
        <f>HYPERLINK("https://www.kleinanzeigen.de/s-anzeige/fanatic-grip-82-liter-surfbrett-surfboard-windsurfen/2849565668-230-2930", "Link")</f>
        <v/>
      </c>
      <c r="L2596" s="6">
        <f>HYPERLINK("C:\Projects\Kleinanzeigen-Scraper\offer_images\2849565668", "Link")</f>
        <v/>
      </c>
      <c r="M2596" t="inlineStr">
        <is>
          <t>Björn</t>
        </is>
      </c>
      <c r="N2596" s="6">
        <f>HYPERLINK("https://www.kleinanzeigen.de/s-bestandsliste.html?userId=47648804", "Link")</f>
        <v/>
      </c>
      <c r="O2596" s="7" t="n">
        <v>45536.90989583333</v>
      </c>
      <c r="P2596" s="3" t="inlineStr">
        <is>
          <t>236.47</t>
        </is>
      </c>
      <c r="Q2596" t="inlineStr">
        <is>
          <t>Köln</t>
        </is>
      </c>
    </row>
    <row r="2597">
      <c r="A2597" t="inlineStr">
        <is>
          <t>365cm x 67cm</t>
        </is>
      </c>
      <c r="B2597" t="inlineStr"/>
      <c r="C2597" t="inlineStr">
        <is>
          <t>SUP</t>
        </is>
      </c>
      <c r="D2597" s="3" t="inlineStr"/>
      <c r="E2597" t="inlineStr"/>
      <c r="F2597" s="4" t="n">
        <v>115</v>
      </c>
      <c r="G2597" t="inlineStr">
        <is>
          <t>VB</t>
        </is>
      </c>
      <c r="H2597" t="inlineStr">
        <is>
          <t>12589 Berlin - Köpenick</t>
        </is>
      </c>
      <c r="I2597" s="5" t="n">
        <v>45525</v>
      </c>
      <c r="J2597" t="inlineStr">
        <is>
          <t>Sold</t>
        </is>
      </c>
      <c r="K2597" s="6">
        <f>HYPERLINK("https://www.kleinanzeigen.de/s-anzeige/windsurf-board-sup/2842979155-230-3373", "Link")</f>
        <v/>
      </c>
      <c r="L2597" s="6">
        <f>HYPERLINK("C:\Projects\Kleinanzeigen-Scraper\offer_images\2842979155", "Link")</f>
        <v/>
      </c>
      <c r="M2597" t="inlineStr">
        <is>
          <t>Karina</t>
        </is>
      </c>
      <c r="N2597" s="6">
        <f>HYPERLINK("https://www.kleinanzeigen.de/s-bestandsliste.html?userId=18626330", "Link")</f>
        <v/>
      </c>
      <c r="O2597" s="7" t="n">
        <v>45536.90989583333</v>
      </c>
      <c r="P2597" s="3" t="inlineStr">
        <is>
          <t>494.39</t>
        </is>
      </c>
      <c r="Q2597" t="inlineStr">
        <is>
          <t>Köln</t>
        </is>
      </c>
    </row>
    <row r="2598">
      <c r="A2598" t="inlineStr"/>
      <c r="B2598" t="inlineStr">
        <is>
          <t>Severne Nano</t>
        </is>
      </c>
      <c r="C2598" t="inlineStr"/>
      <c r="D2598" s="3" t="n">
        <v>92</v>
      </c>
      <c r="E2598" t="inlineStr">
        <is>
          <t>2021</t>
        </is>
      </c>
      <c r="F2598" s="4" t="n">
        <v>965</v>
      </c>
      <c r="G2598" t="inlineStr"/>
      <c r="H2598" t="inlineStr">
        <is>
          <t>82319 Bayern - Starnberg</t>
        </is>
      </c>
      <c r="I2598" s="5" t="n">
        <v>45563</v>
      </c>
      <c r="J2598" t="inlineStr"/>
      <c r="K2598" s="6">
        <f>HYPERLINK("https://www.kleinanzeigen.de/s-anzeige/severne-nano-92-liter-windsurf-board-2021/2776289288-230-5525", "Link")</f>
        <v/>
      </c>
      <c r="L2598" s="6">
        <f>HYPERLINK("C:\Projects\Kleinanzeigen-Scraper\offer_images\2776289288", "Link")</f>
        <v/>
      </c>
      <c r="M2598" t="inlineStr">
        <is>
          <t>No user name</t>
        </is>
      </c>
      <c r="N2598" s="6">
        <f>HYPERLINK("https://www.kleinanzeigen.deNo user link", "Link")</f>
        <v/>
      </c>
      <c r="O2598" s="7" t="n">
        <v>45536.90986111111</v>
      </c>
      <c r="P2598" s="3" t="inlineStr">
        <is>
          <t>23.17</t>
        </is>
      </c>
      <c r="Q2598" t="inlineStr">
        <is>
          <t>München</t>
        </is>
      </c>
    </row>
    <row r="2599">
      <c r="A2599" t="inlineStr">
        <is>
          <t>370 x 65</t>
        </is>
      </c>
      <c r="B2599" t="inlineStr">
        <is>
          <t>F2 Lightning</t>
        </is>
      </c>
      <c r="C2599" t="inlineStr">
        <is>
          <t>Freeride</t>
        </is>
      </c>
      <c r="D2599" s="3" t="n">
        <v>230</v>
      </c>
      <c r="E2599" t="inlineStr">
        <is>
          <t>1983</t>
        </is>
      </c>
      <c r="F2599" s="4" t="n">
        <v>85</v>
      </c>
      <c r="G2599" t="inlineStr">
        <is>
          <t>VB</t>
        </is>
      </c>
      <c r="H2599" t="inlineStr">
        <is>
          <t>22559 Altona - Hamburg Rissen</t>
        </is>
      </c>
      <c r="I2599" s="5" t="n">
        <v>45535</v>
      </c>
      <c r="J2599" t="inlineStr">
        <is>
          <t>Sold</t>
        </is>
      </c>
      <c r="K2599" s="6">
        <f>HYPERLINK("https://www.kleinanzeigen.de/s-anzeige/f2-windsurfer-lightning-leicht-zu-segeln-guter-zustand/2850354767-211-9507", "Link")</f>
        <v/>
      </c>
      <c r="L2599" s="6">
        <f>HYPERLINK("C:\Projects\Kleinanzeigen-Scraper\offer_images\2850354767", "Link")</f>
        <v/>
      </c>
      <c r="M2599" t="inlineStr">
        <is>
          <t>R. S.</t>
        </is>
      </c>
      <c r="N2599" s="6">
        <f>HYPERLINK("https://www.kleinanzeigen.de/s-bestandsliste.html?userId=89438507", "Link")</f>
        <v/>
      </c>
      <c r="O2599" s="7" t="n">
        <v>45536.90984953703</v>
      </c>
      <c r="P2599" s="3" t="inlineStr">
        <is>
          <t>350.33</t>
        </is>
      </c>
      <c r="Q2599" t="inlineStr">
        <is>
          <t>Köln</t>
        </is>
      </c>
    </row>
    <row r="2600">
      <c r="A2600" t="inlineStr">
        <is>
          <t>311 cm x 79 cm x 15 cm</t>
        </is>
      </c>
      <c r="B2600" t="inlineStr">
        <is>
          <t>F2 GLIDE</t>
        </is>
      </c>
      <c r="C2600" t="inlineStr">
        <is>
          <t>Windsurf SUP</t>
        </is>
      </c>
      <c r="D2600" s="3" t="inlineStr"/>
      <c r="E2600" t="inlineStr"/>
      <c r="F2600" s="4" t="n">
        <v>299</v>
      </c>
      <c r="G2600" t="inlineStr">
        <is>
          <t>VB</t>
        </is>
      </c>
      <c r="H2600" t="inlineStr">
        <is>
          <t>95028 Bayern - Hof (Saale)</t>
        </is>
      </c>
      <c r="I2600" s="5" t="n">
        <v>45563</v>
      </c>
      <c r="J2600" t="inlineStr"/>
      <c r="K2600" s="6">
        <f>HYPERLINK("https://www.kleinanzeigen.de/s-anzeige/f2-glide-windsurf-sup-10-2-grey-stand-up-paddle-board-testboard/2824799549-230-7244", "Link")</f>
        <v/>
      </c>
      <c r="L2600" s="6">
        <f>HYPERLINK("C:\Projects\Kleinanzeigen-Scraper\offer_images\2824799549", "Link")</f>
        <v/>
      </c>
      <c r="M2600" t="inlineStr">
        <is>
          <t>No user name</t>
        </is>
      </c>
      <c r="N2600" s="6">
        <f>HYPERLINK("https://www.kleinanzeigen.deNo user link", "Link")</f>
        <v/>
      </c>
      <c r="O2600" s="7" t="n">
        <v>45536.90982638889</v>
      </c>
      <c r="P2600" s="3" t="inlineStr">
        <is>
          <t>244.83</t>
        </is>
      </c>
      <c r="Q2600" t="inlineStr">
        <is>
          <t>München</t>
        </is>
      </c>
    </row>
    <row r="2601">
      <c r="A2601" t="inlineStr">
        <is>
          <t>235/72</t>
        </is>
      </c>
      <c r="B2601" t="inlineStr">
        <is>
          <t>NoveNove World Cup Slalom</t>
        </is>
      </c>
      <c r="C2601" t="inlineStr">
        <is>
          <t>Slalom</t>
        </is>
      </c>
      <c r="D2601" s="3" t="n">
        <v>119</v>
      </c>
      <c r="E2601" t="inlineStr">
        <is>
          <t>2019</t>
        </is>
      </c>
      <c r="F2601" s="4" t="n">
        <v>590</v>
      </c>
      <c r="G2601" t="inlineStr"/>
      <c r="H2601" t="inlineStr">
        <is>
          <t>81927 München - Bogenhausen</t>
        </is>
      </c>
      <c r="I2601" s="5" t="n">
        <v>45527</v>
      </c>
      <c r="J2601" t="inlineStr">
        <is>
          <t>Sold</t>
        </is>
      </c>
      <c r="K2601" s="6">
        <f>HYPERLINK("https://www.kleinanzeigen.de/s-anzeige/windsurf-brett-world-cup-slalom-novenove/2844154902-230-6527", "Link")</f>
        <v/>
      </c>
      <c r="L2601" s="6">
        <f>HYPERLINK("C:\Projects\Kleinanzeigen-Scraper\offer_images\2844154902", "Link")</f>
        <v/>
      </c>
      <c r="M2601" t="inlineStr">
        <is>
          <t>Gianni</t>
        </is>
      </c>
      <c r="N2601" s="6">
        <f>HYPERLINK("https://www.kleinanzeigen.de/s-bestandsliste.html?userId=87188792", "Link")</f>
        <v/>
      </c>
      <c r="O2601" s="7" t="n">
        <v>45536.90982638889</v>
      </c>
      <c r="P2601" s="3" t="inlineStr">
        <is>
          <t>5.60</t>
        </is>
      </c>
      <c r="Q2601" t="inlineStr">
        <is>
          <t>München</t>
        </is>
      </c>
    </row>
    <row r="2602">
      <c r="A2602" t="inlineStr"/>
      <c r="B2602" t="inlineStr">
        <is>
          <t>F2 Guerilla</t>
        </is>
      </c>
      <c r="C2602" t="inlineStr"/>
      <c r="D2602" s="3" t="n">
        <v>76</v>
      </c>
      <c r="E2602" t="inlineStr"/>
      <c r="F2602" s="4" t="n">
        <v>150</v>
      </c>
      <c r="G2602" t="inlineStr"/>
      <c r="H2602" t="inlineStr">
        <is>
          <t>25474 Kreis Pinneberg - Bönningstedt</t>
        </is>
      </c>
      <c r="I2602" s="5" t="n">
        <v>45536</v>
      </c>
      <c r="J2602" t="inlineStr">
        <is>
          <t>Sold</t>
        </is>
      </c>
      <c r="K2602" s="6">
        <f>HYPERLINK("https://www.kleinanzeigen.de/s-anzeige/f2-guerilla-76-liter-surfbrett-surfboard-windsurfer/2851683052-230-10632", "Link")</f>
        <v/>
      </c>
      <c r="L2602" s="6">
        <f>HYPERLINK("C:\Projects\Kleinanzeigen-Scraper\offer_images\2851683052", "Link")</f>
        <v/>
      </c>
      <c r="M2602" t="inlineStr">
        <is>
          <t>JT</t>
        </is>
      </c>
      <c r="N2602" s="6">
        <f>HYPERLINK("https://www.kleinanzeigen.de/s-bestandsliste.html?userId=46269491", "Link")</f>
        <v/>
      </c>
      <c r="O2602" s="7" t="n">
        <v>45536.90981481481</v>
      </c>
      <c r="P2602" s="3" t="inlineStr">
        <is>
          <t>365.65</t>
        </is>
      </c>
      <c r="Q2602" t="inlineStr">
        <is>
          <t>Köln</t>
        </is>
      </c>
    </row>
    <row r="2603">
      <c r="A2603" t="inlineStr">
        <is>
          <t>195 x 78 cm</t>
        </is>
      </c>
      <c r="B2603" t="inlineStr">
        <is>
          <t>Tabou Magic Carpet MTE</t>
        </is>
      </c>
      <c r="C2603" t="inlineStr">
        <is>
          <t>Windsurf-Foil</t>
        </is>
      </c>
      <c r="D2603" s="3" t="n">
        <v>120</v>
      </c>
      <c r="E2603" t="inlineStr"/>
      <c r="F2603" s="4" t="n">
        <v>890</v>
      </c>
      <c r="G2603" t="inlineStr"/>
      <c r="H2603" t="inlineStr">
        <is>
          <t>38477 Niedersachsen - Jembke</t>
        </is>
      </c>
      <c r="I2603" s="5" t="n">
        <v>45529</v>
      </c>
      <c r="J2603" t="inlineStr">
        <is>
          <t>Sold</t>
        </is>
      </c>
      <c r="K2603" s="6">
        <f>HYPERLINK("https://www.kleinanzeigen.de/s-anzeige/tabou-magic-carpet-mte-wing-sup-windsurf-foilboard/2846259821-230-3088", "Link")</f>
        <v/>
      </c>
      <c r="L2603" s="6">
        <f>HYPERLINK("C:\Projects\Kleinanzeigen-Scraper\offer_images\2846259821", "Link")</f>
        <v/>
      </c>
      <c r="M2603" t="inlineStr">
        <is>
          <t>Holger</t>
        </is>
      </c>
      <c r="N2603" s="6">
        <f>HYPERLINK("https://www.kleinanzeigen.de/s-bestandsliste.html?userId=57318661", "Link")</f>
        <v/>
      </c>
      <c r="O2603" s="7" t="n">
        <v>45536.90981481481</v>
      </c>
      <c r="P2603" s="3" t="inlineStr">
        <is>
          <t>314.62</t>
        </is>
      </c>
      <c r="Q2603" t="inlineStr">
        <is>
          <t>Köln</t>
        </is>
      </c>
    </row>
    <row r="2604">
      <c r="A2604" t="inlineStr"/>
      <c r="B2604" t="inlineStr">
        <is>
          <t>JP Australia</t>
        </is>
      </c>
      <c r="C2604" t="inlineStr">
        <is>
          <t>Freeride</t>
        </is>
      </c>
      <c r="D2604" s="3" t="n">
        <v>120</v>
      </c>
      <c r="E2604" t="inlineStr"/>
      <c r="F2604" s="4" t="n">
        <v>69</v>
      </c>
      <c r="G2604" t="inlineStr">
        <is>
          <t>VB</t>
        </is>
      </c>
      <c r="H2604" t="inlineStr">
        <is>
          <t>24837 Schleswig-Holstein - Schleswig</t>
        </is>
      </c>
      <c r="I2604" s="5" t="n">
        <v>45526</v>
      </c>
      <c r="J2604" t="inlineStr">
        <is>
          <t>Sold</t>
        </is>
      </c>
      <c r="K2604" s="6">
        <f>HYPERLINK("https://www.kleinanzeigen.de/s-anzeige/jp-x-cite-ride-120l-windsurf-freeride-board/2843188070-230-558", "Link")</f>
        <v/>
      </c>
      <c r="L2604" s="6">
        <f>HYPERLINK("C:\Projects\Kleinanzeigen-Scraper\offer_images\2843188070", "Link")</f>
        <v/>
      </c>
      <c r="M2604" t="inlineStr">
        <is>
          <t>Johann</t>
        </is>
      </c>
      <c r="N2604" s="6">
        <f>HYPERLINK("https://www.kleinanzeigen.de/s-bestandsliste.html?userId=74490247", "Link")</f>
        <v/>
      </c>
      <c r="O2604" s="7" t="n">
        <v>45536.90981481481</v>
      </c>
      <c r="P2604" s="3" t="inlineStr">
        <is>
          <t>435.51</t>
        </is>
      </c>
      <c r="Q2604" t="inlineStr">
        <is>
          <t>Köln</t>
        </is>
      </c>
    </row>
    <row r="2605">
      <c r="A2605" t="inlineStr">
        <is>
          <t>Dimensions not specified</t>
        </is>
      </c>
      <c r="B2605" t="inlineStr">
        <is>
          <t>Fanatic Freewave</t>
        </is>
      </c>
      <c r="C2605" t="inlineStr">
        <is>
          <t>Freeride</t>
        </is>
      </c>
      <c r="D2605" s="3" t="inlineStr"/>
      <c r="E2605" t="inlineStr"/>
      <c r="F2605" s="4" t="inlineStr">
        <is>
          <t>Zu verschenken</t>
        </is>
      </c>
      <c r="G2605" t="inlineStr"/>
      <c r="H2605" t="inlineStr">
        <is>
          <t>21079 Harburg - Hamburg Wilstorf</t>
        </is>
      </c>
      <c r="I2605" s="5" t="n">
        <v>45535</v>
      </c>
      <c r="J2605" t="inlineStr">
        <is>
          <t>Sold</t>
        </is>
      </c>
      <c r="K2605" s="6">
        <f>HYPERLINK("https://www.kleinanzeigen.de/s-anzeige/fanatic-freewave-77-surfboard-5-7-kg-windsurfer-jp-starboard/2850335422-230-21120", "Link")</f>
        <v/>
      </c>
      <c r="L2605" s="6">
        <f>HYPERLINK("C:\Projects\Kleinanzeigen-Scraper\offer_images\2850335422", "Link")</f>
        <v/>
      </c>
      <c r="M2605" t="inlineStr">
        <is>
          <t>Rüdiger Mahnke</t>
        </is>
      </c>
      <c r="N2605" s="6">
        <f>HYPERLINK("https://www.kleinanzeigen.de/s-bestandsliste.html?userId=9927701", "Link")</f>
        <v/>
      </c>
      <c r="O2605" s="7" t="n">
        <v>45536.90980324074</v>
      </c>
      <c r="P2605" s="3" t="inlineStr">
        <is>
          <t>349.40</t>
        </is>
      </c>
      <c r="Q2605" t="inlineStr">
        <is>
          <t>Köln</t>
        </is>
      </c>
    </row>
    <row r="2606">
      <c r="A2606" t="inlineStr">
        <is>
          <t>329 x 81 x 15 cm</t>
        </is>
      </c>
      <c r="B2606" t="inlineStr">
        <is>
          <t>F2</t>
        </is>
      </c>
      <c r="C2606" t="inlineStr">
        <is>
          <t>SUP</t>
        </is>
      </c>
      <c r="D2606" s="3" t="inlineStr"/>
      <c r="E2606" t="inlineStr"/>
      <c r="F2606" s="4" t="n">
        <v>167</v>
      </c>
      <c r="G2606" t="inlineStr">
        <is>
          <t>VB</t>
        </is>
      </c>
      <c r="H2606" t="inlineStr">
        <is>
          <t>20354 Eimsbüttel - Hamburg Rotherbaum</t>
        </is>
      </c>
      <c r="I2606" s="5" t="n">
        <v>45534</v>
      </c>
      <c r="J2606" t="inlineStr">
        <is>
          <t>Sold</t>
        </is>
      </c>
      <c r="K2606" s="6">
        <f>HYPERLINK("https://www.kleinanzeigen.de/s-anzeige/f2-sup-board-sport-windsurf-10-8-set-einkammer-system/2849720418-230-16456", "Link")</f>
        <v/>
      </c>
      <c r="L2606" s="6">
        <f>HYPERLINK("C:\Projects\Kleinanzeigen-Scraper\offer_images\2849720418", "Link")</f>
        <v/>
      </c>
      <c r="M2606" t="inlineStr">
        <is>
          <t>Martens</t>
        </is>
      </c>
      <c r="N2606" s="6">
        <f>HYPERLINK("https://www.kleinanzeigen.de/s-bestandsliste.html?userId=18912755", "Link")</f>
        <v/>
      </c>
      <c r="O2606" s="7" t="n">
        <v>45536.90976851852</v>
      </c>
      <c r="P2606" s="3" t="inlineStr">
        <is>
          <t>357.37</t>
        </is>
      </c>
      <c r="Q2606" t="inlineStr">
        <is>
          <t>Köln</t>
        </is>
      </c>
    </row>
    <row r="2607">
      <c r="A2607" t="inlineStr">
        <is>
          <t>Dimensions not specified</t>
        </is>
      </c>
      <c r="B2607" t="inlineStr">
        <is>
          <t>Tabou Rocket Carbon</t>
        </is>
      </c>
      <c r="C2607" t="inlineStr">
        <is>
          <t>Freeride</t>
        </is>
      </c>
      <c r="D2607" s="3" t="n">
        <v>140</v>
      </c>
      <c r="E2607" t="inlineStr"/>
      <c r="F2607" s="4" t="n">
        <v>950</v>
      </c>
      <c r="G2607" t="inlineStr">
        <is>
          <t>VB</t>
        </is>
      </c>
      <c r="H2607" t="inlineStr">
        <is>
          <t>50733 Köln - Nippes</t>
        </is>
      </c>
      <c r="I2607" s="5" t="n">
        <v>45502</v>
      </c>
      <c r="J2607" t="inlineStr">
        <is>
          <t>Sold</t>
        </is>
      </c>
      <c r="K2607" s="6">
        <f>HYPERLINK("https://www.kleinanzeigen.de/s-anzeige/tabou-rocket-carbon-140-l-freeride-windsurf-board/2824490644-230-993", "Link")</f>
        <v/>
      </c>
      <c r="L2607" s="6">
        <f>HYPERLINK("C:\Projects\Kleinanzeigen-Scraper\offer_images\2824490644", "Link")</f>
        <v/>
      </c>
      <c r="M2607" t="inlineStr">
        <is>
          <t>Promick</t>
        </is>
      </c>
      <c r="N2607" s="6">
        <f>HYPERLINK("https://www.kleinanzeigen.de/s-bestandsliste.html?userId=140890799", "Link")</f>
        <v/>
      </c>
      <c r="O2607" s="7" t="n">
        <v>45536.90976851852</v>
      </c>
      <c r="P2607" s="3" t="inlineStr">
        <is>
          <t>2.91</t>
        </is>
      </c>
      <c r="Q2607" t="inlineStr">
        <is>
          <t>Köln</t>
        </is>
      </c>
    </row>
    <row r="2608">
      <c r="A2608" t="inlineStr">
        <is>
          <t>357 cm x 82 cm x 15 cm</t>
        </is>
      </c>
      <c r="B2608" t="inlineStr">
        <is>
          <t>F2 GLIDE</t>
        </is>
      </c>
      <c r="C2608" t="inlineStr">
        <is>
          <t>Windsurf SUP</t>
        </is>
      </c>
      <c r="D2608" s="3" t="inlineStr"/>
      <c r="E2608" t="inlineStr"/>
      <c r="F2608" s="4" t="n">
        <v>299</v>
      </c>
      <c r="G2608" t="inlineStr"/>
      <c r="H2608" t="inlineStr">
        <is>
          <t>95028 Bayern - Hof (Saale)</t>
        </is>
      </c>
      <c r="I2608" s="5" t="n">
        <v>45564</v>
      </c>
      <c r="J2608" t="inlineStr"/>
      <c r="K2608" s="6">
        <f>HYPERLINK("https://www.kleinanzeigen.de/s-anzeige/f2-glide-windsurf-sup-11-7-grey-stand-up-paddle-board-testboard/2825406256-230-7244", "Link")</f>
        <v/>
      </c>
      <c r="L2608" s="6">
        <f>HYPERLINK("C:\Projects\Kleinanzeigen-Scraper\offer_images\2825406256", "Link")</f>
        <v/>
      </c>
      <c r="M2608" t="inlineStr">
        <is>
          <t>No user name</t>
        </is>
      </c>
      <c r="N2608" s="6">
        <f>HYPERLINK("https://www.kleinanzeigen.deNo user link", "Link")</f>
        <v/>
      </c>
      <c r="O2608" s="7" t="n">
        <v>45536.90974537037</v>
      </c>
      <c r="P2608" s="3" t="inlineStr">
        <is>
          <t>244.83</t>
        </is>
      </c>
      <c r="Q2608" t="inlineStr">
        <is>
          <t>München</t>
        </is>
      </c>
    </row>
    <row r="2609">
      <c r="A2609" t="inlineStr">
        <is>
          <t>125</t>
        </is>
      </c>
      <c r="B2609" t="inlineStr"/>
      <c r="C2609" t="inlineStr"/>
      <c r="D2609" s="3" t="inlineStr"/>
      <c r="E2609" t="inlineStr"/>
      <c r="F2609" s="4" t="n">
        <v>75</v>
      </c>
      <c r="G2609" t="inlineStr">
        <is>
          <t>VB</t>
        </is>
      </c>
      <c r="H2609" t="inlineStr">
        <is>
          <t>24106 Schleswig-Holstein - Kiel</t>
        </is>
      </c>
      <c r="I2609" s="5" t="n">
        <v>45534</v>
      </c>
      <c r="J2609" t="inlineStr">
        <is>
          <t>Sold</t>
        </is>
      </c>
      <c r="K2609" s="6">
        <f>HYPERLINK("https://www.kleinanzeigen.de/s-anzeige/surfboard-windsurfen-125-/2850034378-230-707", "Link")</f>
        <v/>
      </c>
      <c r="L2609" s="6">
        <f>HYPERLINK("C:\Projects\Kleinanzeigen-Scraper\offer_images\2850034378", "Link")</f>
        <v/>
      </c>
      <c r="M2609" t="inlineStr">
        <is>
          <t>René Thomsen</t>
        </is>
      </c>
      <c r="N2609" s="6">
        <f>HYPERLINK("https://www.kleinanzeigen.de/s-bestandsliste.html?userId=67354821", "Link")</f>
        <v/>
      </c>
      <c r="O2609" s="7" t="n">
        <v>45536.90972222222</v>
      </c>
      <c r="P2609" s="3" t="inlineStr">
        <is>
          <t>436.03</t>
        </is>
      </c>
      <c r="Q2609" t="inlineStr">
        <is>
          <t>Köln</t>
        </is>
      </c>
    </row>
    <row r="2610">
      <c r="A2610" t="inlineStr">
        <is>
          <t>272 cm x 81.1 cm</t>
        </is>
      </c>
      <c r="B2610" t="inlineStr">
        <is>
          <t>Mistral Radar</t>
        </is>
      </c>
      <c r="C2610" t="inlineStr">
        <is>
          <t>Freeride</t>
        </is>
      </c>
      <c r="D2610" s="3" t="n">
        <v>140</v>
      </c>
      <c r="E2610" t="inlineStr"/>
      <c r="F2610" s="4" t="n">
        <v>325</v>
      </c>
      <c r="G2610" t="inlineStr">
        <is>
          <t>VB</t>
        </is>
      </c>
      <c r="H2610" t="inlineStr">
        <is>
          <t>10315 Berlin - Friedrichsfelde</t>
        </is>
      </c>
      <c r="I2610" s="5" t="n">
        <v>45536</v>
      </c>
      <c r="J2610" t="inlineStr">
        <is>
          <t>Sold</t>
        </is>
      </c>
      <c r="K2610" s="6">
        <f>HYPERLINK("https://www.kleinanzeigen.de/s-anzeige/mistral-140l-surfbrett-surfboard-radar-freeride-windsurf/2851545903-230-25913", "Link")</f>
        <v/>
      </c>
      <c r="L2610" s="6">
        <f>HYPERLINK("C:\Projects\Kleinanzeigen-Scraper\offer_images\2851545903", "Link")</f>
        <v/>
      </c>
      <c r="M2610" t="inlineStr">
        <is>
          <t>Dustin</t>
        </is>
      </c>
      <c r="N2610" s="6">
        <f>HYPERLINK("https://www.kleinanzeigen.de/s-bestandsliste.html?userId=10295704", "Link")</f>
        <v/>
      </c>
      <c r="O2610" s="7" t="n">
        <v>45536.90972222222</v>
      </c>
      <c r="P2610" s="3" t="inlineStr">
        <is>
          <t>484.47</t>
        </is>
      </c>
      <c r="Q2610" t="inlineStr">
        <is>
          <t>Köln</t>
        </is>
      </c>
    </row>
    <row r="2611">
      <c r="A2611" t="inlineStr"/>
      <c r="B2611" t="inlineStr">
        <is>
          <t>F2 Sunset Sport</t>
        </is>
      </c>
      <c r="C2611" t="inlineStr"/>
      <c r="D2611" s="3" t="n">
        <v>136</v>
      </c>
      <c r="E2611" t="inlineStr">
        <is>
          <t>2024</t>
        </is>
      </c>
      <c r="F2611" s="4" t="n">
        <v>1.009</v>
      </c>
      <c r="G2611" t="inlineStr">
        <is>
          <t>VB</t>
        </is>
      </c>
      <c r="H2611" t="inlineStr">
        <is>
          <t>26125 Niedersachsen - Oldenburg</t>
        </is>
      </c>
      <c r="I2611" s="5" t="n">
        <v>45534</v>
      </c>
      <c r="J2611" t="inlineStr">
        <is>
          <t>Sold</t>
        </is>
      </c>
      <c r="K2611" s="6">
        <f>HYPERLINK("https://www.kleinanzeigen.de/s-anzeige/f2-windsurf-board-sunset-sport-inkl-bag-2024-136-l/2849957085-230-3111", "Link")</f>
        <v/>
      </c>
      <c r="L2611" s="6">
        <f>HYPERLINK("C:\Projects\Kleinanzeigen-Scraper\offer_images\2849957085", "Link")</f>
        <v/>
      </c>
      <c r="M2611" t="inlineStr">
        <is>
          <t>No user name</t>
        </is>
      </c>
      <c r="N2611" s="6">
        <f>HYPERLINK("https://www.kleinanzeigen.deNo user link", "Link")</f>
        <v/>
      </c>
      <c r="O2611" s="7" t="n">
        <v>45536.90972222222</v>
      </c>
      <c r="P2611" s="3" t="inlineStr">
        <is>
          <t>264.10</t>
        </is>
      </c>
      <c r="Q2611" t="inlineStr">
        <is>
          <t>Köln</t>
        </is>
      </c>
    </row>
    <row r="2612">
      <c r="A2612" t="inlineStr">
        <is>
          <t>10'8" × 33" × 6"</t>
        </is>
      </c>
      <c r="B2612" t="inlineStr">
        <is>
          <t>Starboard iGO</t>
        </is>
      </c>
      <c r="C2612" t="inlineStr"/>
      <c r="D2612" s="3" t="inlineStr"/>
      <c r="E2612" t="inlineStr"/>
      <c r="F2612" s="4" t="n">
        <v>850</v>
      </c>
      <c r="G2612" t="inlineStr"/>
      <c r="H2612" t="inlineStr">
        <is>
          <t>44135 Dortmund - Innenstadt-Ost</t>
        </is>
      </c>
      <c r="I2612" s="5" t="n">
        <v>45536</v>
      </c>
      <c r="J2612" t="inlineStr"/>
      <c r="K2612" s="6">
        <f>HYPERLINK("https://www.kleinanzeigen.de/s-anzeige/starboard-windsurf-igo-10-8-33-6-/2851262236-230-1111", "Link")</f>
        <v/>
      </c>
      <c r="L2612" s="6">
        <f>HYPERLINK("C:\Projects\Kleinanzeigen-Scraper\offer_images\2851262236", "Link")</f>
        <v/>
      </c>
      <c r="M2612" t="inlineStr">
        <is>
          <t>Eugeniusz</t>
        </is>
      </c>
      <c r="N2612" s="6">
        <f>HYPERLINK("https://www.kleinanzeigen.de/s-bestandsliste.html?userId=137855951", "Link")</f>
        <v/>
      </c>
      <c r="O2612" s="7" t="n">
        <v>45536.90971064815</v>
      </c>
      <c r="P2612" s="3" t="inlineStr">
        <is>
          <t>73.42</t>
        </is>
      </c>
      <c r="Q2612" t="inlineStr">
        <is>
          <t>Köln</t>
        </is>
      </c>
    </row>
    <row r="2613">
      <c r="A2613" t="inlineStr">
        <is>
          <t>3.80 m x 0.7 m</t>
        </is>
      </c>
      <c r="B2613" t="inlineStr"/>
      <c r="C2613" t="inlineStr"/>
      <c r="D2613" s="3" t="inlineStr"/>
      <c r="E2613" t="inlineStr"/>
      <c r="F2613" s="4" t="n">
        <v>45</v>
      </c>
      <c r="G2613" t="inlineStr">
        <is>
          <t>VB</t>
        </is>
      </c>
      <c r="H2613" t="inlineStr">
        <is>
          <t>21709 Niedersachsen - Himmelpforten</t>
        </is>
      </c>
      <c r="I2613" s="5" t="n">
        <v>45533</v>
      </c>
      <c r="J2613" t="inlineStr">
        <is>
          <t>Sold</t>
        </is>
      </c>
      <c r="K2613" s="6">
        <f>HYPERLINK("https://www.kleinanzeigen.de/s-anzeige/sup-stand-up-windsurfen/2848986797-230-2819", "Link")</f>
        <v/>
      </c>
      <c r="L2613" s="6">
        <f>HYPERLINK("C:\Projects\Kleinanzeigen-Scraper\offer_images\2848986797", "Link")</f>
        <v/>
      </c>
      <c r="M2613" t="inlineStr">
        <is>
          <t>v. H.</t>
        </is>
      </c>
      <c r="N2613" s="6">
        <f>HYPERLINK("https://www.kleinanzeigen.de/s-bestandsliste.html?userId=13739551", "Link")</f>
        <v/>
      </c>
      <c r="O2613" s="7" t="n">
        <v>45536.90969907407</v>
      </c>
      <c r="P2613" s="3" t="inlineStr">
        <is>
          <t>338.13</t>
        </is>
      </c>
      <c r="Q2613" t="inlineStr">
        <is>
          <t>Köln</t>
        </is>
      </c>
    </row>
    <row r="2614">
      <c r="A2614" t="inlineStr">
        <is>
          <t>228x58 cm</t>
        </is>
      </c>
      <c r="B2614" t="inlineStr">
        <is>
          <t>Novenove</t>
        </is>
      </c>
      <c r="C2614" t="inlineStr">
        <is>
          <t>Wave</t>
        </is>
      </c>
      <c r="D2614" s="3" t="n">
        <v>87</v>
      </c>
      <c r="E2614" t="inlineStr"/>
      <c r="F2614" s="4" t="n">
        <v>1.234</v>
      </c>
      <c r="G2614" t="inlineStr">
        <is>
          <t>VB</t>
        </is>
      </c>
      <c r="H2614" t="inlineStr">
        <is>
          <t>36326 Hessen - Antrifttal</t>
        </is>
      </c>
      <c r="I2614" s="5" t="n">
        <v>45527</v>
      </c>
      <c r="J2614" t="inlineStr">
        <is>
          <t>Sold</t>
        </is>
      </c>
      <c r="K2614" s="6">
        <f>HYPERLINK("https://www.kleinanzeigen.de/s-anzeige/wave-board-windsurf-novenove-99-quad-88/2843912214-230-19928", "Link")</f>
        <v/>
      </c>
      <c r="L2614" s="6">
        <f>HYPERLINK("C:\Projects\Kleinanzeigen-Scraper\offer_images\2843912214", "Link")</f>
        <v/>
      </c>
      <c r="M2614" t="inlineStr">
        <is>
          <t>Luigi Coppola</t>
        </is>
      </c>
      <c r="N2614" s="6">
        <f>HYPERLINK("https://www.kleinanzeigen.de/s-bestandsliste.html?userId=46070077", "Link")</f>
        <v/>
      </c>
      <c r="O2614" s="7" t="n">
        <v>45536.90969907407</v>
      </c>
      <c r="P2614" s="3" t="inlineStr">
        <is>
          <t>157.33</t>
        </is>
      </c>
      <c r="Q2614" t="inlineStr">
        <is>
          <t>Köln</t>
        </is>
      </c>
    </row>
    <row r="2615">
      <c r="A2615" t="inlineStr">
        <is>
          <t>7.8</t>
        </is>
      </c>
      <c r="B2615" t="inlineStr">
        <is>
          <t>Fanatic Stubby Foil Edition</t>
        </is>
      </c>
      <c r="C2615" t="inlineStr">
        <is>
          <t>Wavesup, Foilsup, Wingfoil, Windsurffoil</t>
        </is>
      </c>
      <c r="D2615" s="3" t="n">
        <v>120</v>
      </c>
      <c r="E2615" t="inlineStr">
        <is>
          <t>2019</t>
        </is>
      </c>
      <c r="F2615" s="4" t="n">
        <v>580</v>
      </c>
      <c r="G2615" t="inlineStr">
        <is>
          <t>VB</t>
        </is>
      </c>
      <c r="H2615" t="inlineStr">
        <is>
          <t>16515 Brandenburg - Oranienburg</t>
        </is>
      </c>
      <c r="I2615" s="5" t="n">
        <v>45534</v>
      </c>
      <c r="J2615" t="inlineStr">
        <is>
          <t>Sold</t>
        </is>
      </c>
      <c r="K2615" s="6">
        <f>HYPERLINK("https://www.kleinanzeigen.de/s-anzeige/sup-fanatic-stubby-foil-edition-wave-sup-windsurf-sup-wingfoil/2850162621-230-7814", "Link")</f>
        <v/>
      </c>
      <c r="L2615" s="6">
        <f>HYPERLINK("C:\Projects\Kleinanzeigen-Scraper\offer_images\2850162621", "Link")</f>
        <v/>
      </c>
      <c r="M2615" t="inlineStr">
        <is>
          <t>DW</t>
        </is>
      </c>
      <c r="N2615" s="6">
        <f>HYPERLINK("https://www.kleinanzeigen.de/s-bestandsliste.html?userId=7064273", "Link")</f>
        <v/>
      </c>
      <c r="O2615" s="7" t="n">
        <v>45536.9096875</v>
      </c>
      <c r="P2615" s="3" t="inlineStr">
        <is>
          <t>483.59</t>
        </is>
      </c>
      <c r="Q2615" t="inlineStr">
        <is>
          <t>Köln</t>
        </is>
      </c>
    </row>
    <row r="2616">
      <c r="A2616" t="inlineStr">
        <is>
          <t>249 x 63.5 cm</t>
        </is>
      </c>
      <c r="B2616" t="inlineStr">
        <is>
          <t>BIC Tabou</t>
        </is>
      </c>
      <c r="C2616" t="inlineStr">
        <is>
          <t>Freestyle</t>
        </is>
      </c>
      <c r="D2616" s="3" t="n">
        <v>108</v>
      </c>
      <c r="E2616" t="inlineStr"/>
      <c r="F2616" s="4" t="n">
        <v>390</v>
      </c>
      <c r="G2616" t="inlineStr"/>
      <c r="H2616" t="inlineStr">
        <is>
          <t>88316 Baden-Württemberg - Isny im Allgäu</t>
        </is>
      </c>
      <c r="I2616" s="5" t="n">
        <v>45528</v>
      </c>
      <c r="J2616" t="inlineStr">
        <is>
          <t>Sold</t>
        </is>
      </c>
      <c r="K2616" s="6">
        <f>HYPERLINK("https://www.kleinanzeigen.de/s-anzeige/bic-tabou-3s-108-l-freestyle-windsurf-board/2844694340-230-8085", "Link")</f>
        <v/>
      </c>
      <c r="L2616" s="6">
        <f>HYPERLINK("C:\Projects\Kleinanzeigen-Scraper\offer_images\2844694340", "Link")</f>
        <v/>
      </c>
      <c r="M2616" t="inlineStr">
        <is>
          <t>Roger</t>
        </is>
      </c>
      <c r="N2616" s="6">
        <f>HYPERLINK("https://www.kleinanzeigen.de/s-bestandsliste.html?userId=5466740", "Link")</f>
        <v/>
      </c>
      <c r="O2616" s="7" t="n">
        <v>45536.90967592593</v>
      </c>
      <c r="P2616" s="3" t="inlineStr">
        <is>
          <t>122.71</t>
        </is>
      </c>
      <c r="Q2616" t="inlineStr">
        <is>
          <t>München</t>
        </is>
      </c>
    </row>
    <row r="2617">
      <c r="A2617" t="inlineStr">
        <is>
          <t>282 cm</t>
        </is>
      </c>
      <c r="B2617" t="inlineStr">
        <is>
          <t>Fanatic Mega Ray</t>
        </is>
      </c>
      <c r="C2617" t="inlineStr">
        <is>
          <t>Freeride</t>
        </is>
      </c>
      <c r="D2617" s="3" t="n">
        <v>111</v>
      </c>
      <c r="E2617" t="inlineStr"/>
      <c r="F2617" s="4" t="n">
        <v>50</v>
      </c>
      <c r="G2617" t="inlineStr"/>
      <c r="H2617" t="inlineStr">
        <is>
          <t>78315 Baden-Württemberg - Radolfzell am Bodensee</t>
        </is>
      </c>
      <c r="I2617" s="5" t="n">
        <v>45531</v>
      </c>
      <c r="J2617" t="inlineStr">
        <is>
          <t>Sold</t>
        </is>
      </c>
      <c r="K2617" s="6">
        <f>HYPERLINK("https://www.kleinanzeigen.de/s-anzeige/fanatic-mega-ray-surfboard-surfbrett-windsurfen/2847700391-230-8190", "Link")</f>
        <v/>
      </c>
      <c r="L2617" s="6">
        <f>HYPERLINK("C:\Projects\Kleinanzeigen-Scraper\offer_images\2847700391", "Link")</f>
        <v/>
      </c>
      <c r="M2617" t="inlineStr">
        <is>
          <t>T. Schmitt</t>
        </is>
      </c>
      <c r="N2617" s="6">
        <f>HYPERLINK("https://www.kleinanzeigen.de/s-bestandsliste.html?userId=5246788", "Link")</f>
        <v/>
      </c>
      <c r="O2617" s="7" t="n">
        <v>45536.90966435185</v>
      </c>
      <c r="P2617" s="3" t="inlineStr">
        <is>
          <t>48.46</t>
        </is>
      </c>
      <c r="Q2617" t="inlineStr">
        <is>
          <t>Bonndorf</t>
        </is>
      </c>
    </row>
    <row r="2618">
      <c r="A2618" t="inlineStr">
        <is>
          <t>250 x 72</t>
        </is>
      </c>
      <c r="B2618" t="inlineStr">
        <is>
          <t>F2 Vegas</t>
        </is>
      </c>
      <c r="C2618" t="inlineStr">
        <is>
          <t>Freeride</t>
        </is>
      </c>
      <c r="D2618" s="3" t="n">
        <v>136</v>
      </c>
      <c r="E2618" t="inlineStr"/>
      <c r="F2618" s="4" t="n">
        <v>300</v>
      </c>
      <c r="G2618" t="inlineStr"/>
      <c r="H2618" t="inlineStr">
        <is>
          <t>84489 Kr. Altötting - Burghausen</t>
        </is>
      </c>
      <c r="I2618" s="5" t="n">
        <v>45527</v>
      </c>
      <c r="J2618" t="inlineStr">
        <is>
          <t>Sold</t>
        </is>
      </c>
      <c r="K2618" s="6">
        <f>HYPERLINK("https://www.kleinanzeigen.de/s-anzeige/freeride-f2-vegas-136-l-windsurf-board/2844366445-230-5905", "Link")</f>
        <v/>
      </c>
      <c r="L2618" s="6">
        <f>HYPERLINK("C:\Projects\Kleinanzeigen-Scraper\offer_images\2844366445", "Link")</f>
        <v/>
      </c>
      <c r="M2618" t="inlineStr">
        <is>
          <t>Daniel</t>
        </is>
      </c>
      <c r="N2618" s="6">
        <f>HYPERLINK("https://www.kleinanzeigen.de/s-bestandsliste.html?userId=29032714", "Link")</f>
        <v/>
      </c>
      <c r="O2618" s="7" t="n">
        <v>45536.90966435185</v>
      </c>
      <c r="P2618" s="3" t="inlineStr">
        <is>
          <t>92.71</t>
        </is>
      </c>
      <c r="Q2618" t="inlineStr">
        <is>
          <t>München</t>
        </is>
      </c>
    </row>
    <row r="2619">
      <c r="A2619" t="inlineStr">
        <is>
          <t>250 x 78 cm</t>
        </is>
      </c>
      <c r="B2619" t="inlineStr">
        <is>
          <t>Exocet Nano</t>
        </is>
      </c>
      <c r="C2619" t="inlineStr">
        <is>
          <t>Freeride</t>
        </is>
      </c>
      <c r="D2619" s="3" t="n">
        <v>135</v>
      </c>
      <c r="E2619" t="inlineStr"/>
      <c r="F2619" s="4" t="n">
        <v>600</v>
      </c>
      <c r="G2619" t="inlineStr">
        <is>
          <t>VB</t>
        </is>
      </c>
      <c r="H2619" t="inlineStr">
        <is>
          <t>81929 München - Bogenhausen</t>
        </is>
      </c>
      <c r="I2619" s="5" t="n">
        <v>45527</v>
      </c>
      <c r="J2619" t="inlineStr">
        <is>
          <t>Sold</t>
        </is>
      </c>
      <c r="K2619" s="6">
        <f>HYPERLINK("https://www.kleinanzeigen.de/s-anzeige/exocet-nano-135l-windsurf-board-incl-neil-pryde-bag/2844022705-230-6526", "Link")</f>
        <v/>
      </c>
      <c r="L2619" s="6">
        <f>HYPERLINK("C:\Projects\Kleinanzeigen-Scraper\offer_images\2844022705", "Link")</f>
        <v/>
      </c>
      <c r="M2619" t="inlineStr">
        <is>
          <t>Michael Rathgeber</t>
        </is>
      </c>
      <c r="N2619" s="6">
        <f>HYPERLINK("https://www.kleinanzeigen.de/s-bestandsliste.html?userId=18266806", "Link")</f>
        <v/>
      </c>
      <c r="O2619" s="7" t="n">
        <v>45536.9096412037</v>
      </c>
      <c r="P2619" s="3" t="inlineStr">
        <is>
          <t>6.89</t>
        </is>
      </c>
      <c r="Q2619" t="inlineStr">
        <is>
          <t>München</t>
        </is>
      </c>
    </row>
    <row r="2620">
      <c r="A2620" t="inlineStr">
        <is>
          <t>299 cm x 70 cm</t>
        </is>
      </c>
      <c r="B2620" t="inlineStr">
        <is>
          <t>AHD Free Race</t>
        </is>
      </c>
      <c r="C2620" t="inlineStr">
        <is>
          <t>Freeride</t>
        </is>
      </c>
      <c r="D2620" s="3" t="n">
        <v>174</v>
      </c>
      <c r="E2620" t="inlineStr"/>
      <c r="F2620" s="4" t="n">
        <v>70</v>
      </c>
      <c r="G2620" t="inlineStr">
        <is>
          <t>VB</t>
        </is>
      </c>
      <c r="H2620" t="inlineStr">
        <is>
          <t>44309 Dortmund - Brackel</t>
        </is>
      </c>
      <c r="I2620" s="5" t="n">
        <v>45535</v>
      </c>
      <c r="J2620" t="inlineStr">
        <is>
          <t>Sold</t>
        </is>
      </c>
      <c r="K2620" s="6">
        <f>HYPERLINK("https://www.kleinanzeigen.de/s-anzeige/ahd-free-race-299-windsurfbrett-surfbrett-surfboard-windsurfen/2850492973-230-1100", "Link")</f>
        <v/>
      </c>
      <c r="L2620" s="6">
        <f>HYPERLINK("C:\Projects\Kleinanzeigen-Scraper\offer_images\2850492973", "Link")</f>
        <v/>
      </c>
      <c r="M2620" t="inlineStr">
        <is>
          <t>Ulrich Gräf</t>
        </is>
      </c>
      <c r="N2620" s="6">
        <f>HYPERLINK("https://www.kleinanzeigen.de/s-bestandsliste.html?userId=64477337", "Link")</f>
        <v/>
      </c>
      <c r="O2620" s="7" t="n">
        <v>45536.90961805556</v>
      </c>
      <c r="P2620" s="3" t="inlineStr">
        <is>
          <t>77.66</t>
        </is>
      </c>
      <c r="Q2620" t="inlineStr">
        <is>
          <t>Köln</t>
        </is>
      </c>
    </row>
    <row r="2621">
      <c r="A2621" t="inlineStr"/>
      <c r="B2621" t="inlineStr"/>
      <c r="C2621" t="inlineStr"/>
      <c r="D2621" s="3" t="inlineStr"/>
      <c r="E2621" t="inlineStr"/>
      <c r="F2621" s="4" t="inlineStr">
        <is>
          <t>Zu verschenken</t>
        </is>
      </c>
      <c r="G2621" t="inlineStr"/>
      <c r="H2621" t="inlineStr">
        <is>
          <t>82541 Bayern - Münsing</t>
        </is>
      </c>
      <c r="I2621" s="5" t="n">
        <v>45533</v>
      </c>
      <c r="J2621" t="inlineStr">
        <is>
          <t>Sold</t>
        </is>
      </c>
      <c r="K2621" s="6">
        <f>HYPERLINK("https://www.kleinanzeigen.de/s-anzeige/surfboard-windsurfen-wassersport/2848909387-230-5542", "Link")</f>
        <v/>
      </c>
      <c r="L2621" s="6">
        <f>HYPERLINK("C:\Projects\Kleinanzeigen-Scraper\offer_images\2848909387", "Link")</f>
        <v/>
      </c>
      <c r="M2621" t="inlineStr">
        <is>
          <t>Florian</t>
        </is>
      </c>
      <c r="N2621" s="6">
        <f>HYPERLINK("https://www.kleinanzeigen.de/s-bestandsliste.html?userId=50307471", "Link")</f>
        <v/>
      </c>
      <c r="O2621" s="7" t="n">
        <v>45536.90960648148</v>
      </c>
      <c r="P2621" s="3" t="inlineStr">
        <is>
          <t>32.22</t>
        </is>
      </c>
      <c r="Q2621" t="inlineStr">
        <is>
          <t>München</t>
        </is>
      </c>
    </row>
    <row r="2622">
      <c r="A2622" t="inlineStr">
        <is>
          <t>244x67 cm</t>
        </is>
      </c>
      <c r="B2622" t="inlineStr">
        <is>
          <t>F2 SX110</t>
        </is>
      </c>
      <c r="C2622" t="inlineStr">
        <is>
          <t>Slalom</t>
        </is>
      </c>
      <c r="D2622" s="3" t="n">
        <v>108</v>
      </c>
      <c r="E2622" t="inlineStr"/>
      <c r="F2622" s="4" t="n">
        <v>1.234</v>
      </c>
      <c r="G2622" t="inlineStr">
        <is>
          <t>VB</t>
        </is>
      </c>
      <c r="H2622" t="inlineStr">
        <is>
          <t>36326 Hessen - Antrifttal</t>
        </is>
      </c>
      <c r="I2622" s="5" t="n">
        <v>45527</v>
      </c>
      <c r="J2622" t="inlineStr">
        <is>
          <t>Sold</t>
        </is>
      </c>
      <c r="K2622" s="6">
        <f>HYPERLINK("https://www.kleinanzeigen.de/s-anzeige/slalom-board-windsurf-f2-sx110-zustand-sehr-gut-sehr-schnell/2843911264-230-19928", "Link")</f>
        <v/>
      </c>
      <c r="L2622" s="6">
        <f>HYPERLINK("C:\Projects\Kleinanzeigen-Scraper\offer_images\2843911264", "Link")</f>
        <v/>
      </c>
      <c r="M2622" t="inlineStr">
        <is>
          <t>Luigi Coppola</t>
        </is>
      </c>
      <c r="N2622" s="6">
        <f>HYPERLINK("https://www.kleinanzeigen.de/s-bestandsliste.html?userId=46070077", "Link")</f>
        <v/>
      </c>
      <c r="O2622" s="7" t="n">
        <v>45536.90959490741</v>
      </c>
      <c r="P2622" s="3" t="inlineStr">
        <is>
          <t>157.33</t>
        </is>
      </c>
      <c r="Q2622" t="inlineStr">
        <is>
          <t>Köln</t>
        </is>
      </c>
    </row>
    <row r="2623">
      <c r="A2623" t="inlineStr">
        <is>
          <t>102 L</t>
        </is>
      </c>
      <c r="B2623" t="inlineStr">
        <is>
          <t>JP Super Ride</t>
        </is>
      </c>
      <c r="C2623" t="inlineStr">
        <is>
          <t>Freeride</t>
        </is>
      </c>
      <c r="D2623" s="3" t="inlineStr"/>
      <c r="E2623" t="inlineStr">
        <is>
          <t>2021</t>
        </is>
      </c>
      <c r="F2623" s="4" t="n">
        <v>929</v>
      </c>
      <c r="G2623" t="inlineStr">
        <is>
          <t>VB</t>
        </is>
      </c>
      <c r="H2623" t="inlineStr">
        <is>
          <t>10315 Berlin - Lichtenberg</t>
        </is>
      </c>
      <c r="I2623" s="5" t="n">
        <v>45533</v>
      </c>
      <c r="J2623" t="inlineStr">
        <is>
          <t>Sold</t>
        </is>
      </c>
      <c r="K2623" s="6">
        <f>HYPERLINK("https://www.kleinanzeigen.de/s-anzeige/jp-super-ride-102-lxt-freeride-windsurf-board/2849408186-230-3544", "Link")</f>
        <v/>
      </c>
      <c r="L2623" s="6">
        <f>HYPERLINK("C:\Projects\Kleinanzeigen-Scraper\offer_images\2849408186", "Link")</f>
        <v/>
      </c>
      <c r="M2623" t="inlineStr">
        <is>
          <t>Patrick</t>
        </is>
      </c>
      <c r="N2623" s="6">
        <f>HYPERLINK("https://www.kleinanzeigen.de/s-bestandsliste.html?userId=28021232", "Link")</f>
        <v/>
      </c>
      <c r="O2623" s="7" t="n">
        <v>45536.90959490741</v>
      </c>
      <c r="P2623" s="3" t="inlineStr">
        <is>
          <t>484.47</t>
        </is>
      </c>
      <c r="Q2623" t="inlineStr">
        <is>
          <t>Köln</t>
        </is>
      </c>
    </row>
    <row r="2624">
      <c r="A2624" t="inlineStr"/>
      <c r="B2624" t="inlineStr">
        <is>
          <t>F2 Rebel Pro</t>
        </is>
      </c>
      <c r="C2624" t="inlineStr"/>
      <c r="D2624" s="3" t="n">
        <v>125</v>
      </c>
      <c r="E2624" t="inlineStr">
        <is>
          <t>2024</t>
        </is>
      </c>
      <c r="F2624" s="4" t="n">
        <v>1.329</v>
      </c>
      <c r="G2624" t="inlineStr">
        <is>
          <t>VB</t>
        </is>
      </c>
      <c r="H2624" t="inlineStr">
        <is>
          <t>26125 Niedersachsen - Oldenburg</t>
        </is>
      </c>
      <c r="I2624" s="5" t="n">
        <v>45534</v>
      </c>
      <c r="J2624" t="inlineStr">
        <is>
          <t>Sold</t>
        </is>
      </c>
      <c r="K2624" s="6">
        <f>HYPERLINK("https://www.kleinanzeigen.de/s-anzeige/f2-windsurf-board-rebel-pro-inkl-bag-2024-125-l/2849956944-230-3111", "Link")</f>
        <v/>
      </c>
      <c r="L2624" s="6">
        <f>HYPERLINK("C:\Projects\Kleinanzeigen-Scraper\offer_images\2849956944", "Link")</f>
        <v/>
      </c>
      <c r="M2624" t="inlineStr">
        <is>
          <t>No user name</t>
        </is>
      </c>
      <c r="N2624" s="6">
        <f>HYPERLINK("https://www.kleinanzeigen.deNo user link", "Link")</f>
        <v/>
      </c>
      <c r="O2624" s="7" t="n">
        <v>45536.90958333333</v>
      </c>
      <c r="P2624" s="3" t="inlineStr">
        <is>
          <t>264.10</t>
        </is>
      </c>
      <c r="Q2624" t="inlineStr">
        <is>
          <t>Köln</t>
        </is>
      </c>
    </row>
    <row r="2625">
      <c r="A2625" t="inlineStr"/>
      <c r="B2625" t="inlineStr">
        <is>
          <t>JP Freestyle Wave</t>
        </is>
      </c>
      <c r="C2625" t="inlineStr">
        <is>
          <t>Freestyle Wave</t>
        </is>
      </c>
      <c r="D2625" s="3" t="n">
        <v>84</v>
      </c>
      <c r="E2625" t="inlineStr">
        <is>
          <t>2009</t>
        </is>
      </c>
      <c r="F2625" s="4" t="n">
        <v>80</v>
      </c>
      <c r="G2625" t="inlineStr">
        <is>
          <t>VB</t>
        </is>
      </c>
      <c r="H2625" t="inlineStr">
        <is>
          <t>24105 Schleswig-Holstein - Kiel</t>
        </is>
      </c>
      <c r="I2625" s="5" t="n">
        <v>45535</v>
      </c>
      <c r="J2625" t="inlineStr">
        <is>
          <t>Sold</t>
        </is>
      </c>
      <c r="K2625" s="6">
        <f>HYPERLINK("https://www.kleinanzeigen.de/s-anzeige/windsurfboard-jp-freestyle-wave-84l-2009-windsurf-waveboard/2850413502-230-708", "Link")</f>
        <v/>
      </c>
      <c r="L2625" s="6">
        <f>HYPERLINK("C:\Projects\Kleinanzeigen-Scraper\offer_images\2850413502", "Link")</f>
        <v/>
      </c>
      <c r="M2625" t="inlineStr">
        <is>
          <t>Felix</t>
        </is>
      </c>
      <c r="N2625" s="6">
        <f>HYPERLINK("https://www.kleinanzeigen.de/s-bestandsliste.html?userId=19526557", "Link")</f>
        <v/>
      </c>
      <c r="O2625" s="7" t="n">
        <v>45536.90957175926</v>
      </c>
      <c r="P2625" s="3" t="inlineStr">
        <is>
          <t>435.05</t>
        </is>
      </c>
      <c r="Q2625" t="inlineStr">
        <is>
          <t>Köln</t>
        </is>
      </c>
    </row>
    <row r="2626">
      <c r="A2626" t="inlineStr">
        <is>
          <t>10'0" x 35.0" x 6.0"</t>
        </is>
      </c>
      <c r="B2626" t="inlineStr">
        <is>
          <t>Starboard WindSUP</t>
        </is>
      </c>
      <c r="C2626" t="inlineStr">
        <is>
          <t>Windsurf SUP</t>
        </is>
      </c>
      <c r="D2626" s="3" t="n">
        <v>300</v>
      </c>
      <c r="E2626" t="inlineStr">
        <is>
          <t>2018</t>
        </is>
      </c>
      <c r="F2626" s="4" t="n">
        <v>555</v>
      </c>
      <c r="G2626" t="inlineStr">
        <is>
          <t>VB</t>
        </is>
      </c>
      <c r="H2626" t="inlineStr">
        <is>
          <t>81245 Aubing-Lochhausen-Langwied - Aubing</t>
        </is>
      </c>
      <c r="I2626" s="5" t="n">
        <v>45533</v>
      </c>
      <c r="J2626" t="inlineStr"/>
      <c r="K2626" s="6">
        <f>HYPERLINK("https://www.kleinanzeigen.de/s-anzeige/starboard-windsup-windsurf-sup-deluxe/2849077620-230-6475", "Link")</f>
        <v/>
      </c>
      <c r="L2626" s="6">
        <f>HYPERLINK("C:\Projects\Kleinanzeigen-Scraper\offer_images\2849077620", "Link")</f>
        <v/>
      </c>
      <c r="M2626" t="inlineStr">
        <is>
          <t>Buzz</t>
        </is>
      </c>
      <c r="N2626" s="6">
        <f>HYPERLINK("https://www.kleinanzeigen.de/s-bestandsliste.html?userId=17877943", "Link")</f>
        <v/>
      </c>
      <c r="O2626" s="7" t="n">
        <v>45536.90956018519</v>
      </c>
      <c r="P2626" s="3" t="inlineStr">
        <is>
          <t>10.72</t>
        </is>
      </c>
      <c r="Q2626" t="inlineStr">
        <is>
          <t>München</t>
        </is>
      </c>
    </row>
    <row r="2627">
      <c r="A2627" t="inlineStr">
        <is>
          <t>227 x 66.5</t>
        </is>
      </c>
      <c r="B2627" t="inlineStr">
        <is>
          <t>Fanatic Skate</t>
        </is>
      </c>
      <c r="C2627" t="inlineStr">
        <is>
          <t>Freestyle</t>
        </is>
      </c>
      <c r="D2627" s="3" t="n">
        <v>109</v>
      </c>
      <c r="E2627" t="inlineStr">
        <is>
          <t>2013</t>
        </is>
      </c>
      <c r="F2627" s="4" t="n">
        <v>600</v>
      </c>
      <c r="G2627" t="inlineStr"/>
      <c r="H2627" t="inlineStr">
        <is>
          <t>31515 Niedersachsen - Wunstorf</t>
        </is>
      </c>
      <c r="I2627" s="5" t="n">
        <v>45535</v>
      </c>
      <c r="J2627" t="inlineStr">
        <is>
          <t>Sold</t>
        </is>
      </c>
      <c r="K2627" s="6">
        <f>HYPERLINK("https://www.kleinanzeigen.de/s-anzeige/fanatic-skate-109-liter-surfbrett-surfboard-windsurfen/2851067573-230-2930", "Link")</f>
        <v/>
      </c>
      <c r="L2627" s="6">
        <f>HYPERLINK("C:\Projects\Kleinanzeigen-Scraper\offer_images\2851067573", "Link")</f>
        <v/>
      </c>
      <c r="M2627" t="inlineStr">
        <is>
          <t>Björn</t>
        </is>
      </c>
      <c r="N2627" s="6">
        <f>HYPERLINK("https://www.kleinanzeigen.de/s-bestandsliste.html?userId=47648804", "Link")</f>
        <v/>
      </c>
      <c r="O2627" s="7" t="n">
        <v>45536.90954861111</v>
      </c>
      <c r="P2627" s="3" t="inlineStr">
        <is>
          <t>236.47</t>
        </is>
      </c>
      <c r="Q2627" t="inlineStr">
        <is>
          <t>Köln</t>
        </is>
      </c>
    </row>
    <row r="2628">
      <c r="A2628" t="inlineStr">
        <is>
          <t>242/67</t>
        </is>
      </c>
      <c r="B2628" t="inlineStr">
        <is>
          <t>RRD</t>
        </is>
      </c>
      <c r="C2628" t="inlineStr">
        <is>
          <t>Freeride</t>
        </is>
      </c>
      <c r="D2628" s="3" t="n">
        <v>115</v>
      </c>
      <c r="E2628" t="inlineStr"/>
      <c r="F2628" s="4" t="n">
        <v>490</v>
      </c>
      <c r="G2628" t="inlineStr"/>
      <c r="H2628" t="inlineStr">
        <is>
          <t>81927 München - Bogenhausen</t>
        </is>
      </c>
      <c r="I2628" s="5" t="n">
        <v>45526</v>
      </c>
      <c r="J2628" t="inlineStr">
        <is>
          <t>Sold</t>
        </is>
      </c>
      <c r="K2628" s="6">
        <f>HYPERLINK("https://www.kleinanzeigen.de/s-anzeige/windsurf-brett-rrd-free-ride/2843337939-230-6527", "Link")</f>
        <v/>
      </c>
      <c r="L2628" s="6">
        <f>HYPERLINK("C:\Projects\Kleinanzeigen-Scraper\offer_images\2843337939", "Link")</f>
        <v/>
      </c>
      <c r="M2628" t="inlineStr">
        <is>
          <t>Gianni</t>
        </is>
      </c>
      <c r="N2628" s="6">
        <f>HYPERLINK("https://www.kleinanzeigen.de/s-bestandsliste.html?userId=87188792", "Link")</f>
        <v/>
      </c>
      <c r="O2628" s="7" t="n">
        <v>45536.90954861111</v>
      </c>
      <c r="P2628" s="3" t="inlineStr">
        <is>
          <t>5.60</t>
        </is>
      </c>
      <c r="Q2628" t="inlineStr">
        <is>
          <t>München</t>
        </is>
      </c>
    </row>
    <row r="2629">
      <c r="A2629" t="inlineStr"/>
      <c r="B2629" t="inlineStr">
        <is>
          <t>F2 LTD Silberfeil</t>
        </is>
      </c>
      <c r="C2629" t="inlineStr">
        <is>
          <t>Racing</t>
        </is>
      </c>
      <c r="D2629" s="3" t="n">
        <v>102</v>
      </c>
      <c r="E2629" t="inlineStr"/>
      <c r="F2629" s="4" t="n">
        <v>600</v>
      </c>
      <c r="G2629" t="inlineStr"/>
      <c r="H2629" t="inlineStr">
        <is>
          <t>32369 Nordrhein-Westfalen - Rahden</t>
        </is>
      </c>
      <c r="I2629" s="5" t="n">
        <v>45528</v>
      </c>
      <c r="J2629" t="inlineStr">
        <is>
          <t>Sold</t>
        </is>
      </c>
      <c r="K2629" s="6">
        <f>HYPERLINK("https://www.kleinanzeigen.de/s-anzeige/windsurf-board-f2-ltd-silberfeil-racing/2844742975-230-12917", "Link")</f>
        <v/>
      </c>
      <c r="L2629" s="6">
        <f>HYPERLINK("C:\Projects\Kleinanzeigen-Scraper\offer_images\2844742975", "Link")</f>
        <v/>
      </c>
      <c r="M2629" t="inlineStr">
        <is>
          <t>N. Schmidt</t>
        </is>
      </c>
      <c r="N2629" s="6">
        <f>HYPERLINK("https://www.kleinanzeigen.de/s-bestandsliste.html?userId=39689136", "Link")</f>
        <v/>
      </c>
      <c r="O2629" s="7" t="n">
        <v>45536.90952546296</v>
      </c>
      <c r="P2629" s="3" t="inlineStr">
        <is>
          <t>203.19</t>
        </is>
      </c>
      <c r="Q2629" t="inlineStr">
        <is>
          <t>Köln</t>
        </is>
      </c>
    </row>
    <row r="2630">
      <c r="A2630" t="inlineStr"/>
      <c r="B2630" t="inlineStr">
        <is>
          <t>F2</t>
        </is>
      </c>
      <c r="C2630" t="inlineStr">
        <is>
          <t>Twin Sport</t>
        </is>
      </c>
      <c r="D2630" s="3" t="n">
        <v>136</v>
      </c>
      <c r="E2630" t="inlineStr">
        <is>
          <t>2024</t>
        </is>
      </c>
      <c r="F2630" s="4" t="n">
        <v>1.009</v>
      </c>
      <c r="G2630" t="inlineStr">
        <is>
          <t>VB</t>
        </is>
      </c>
      <c r="H2630" t="inlineStr">
        <is>
          <t>26125 Niedersachsen - Oldenburg</t>
        </is>
      </c>
      <c r="I2630" s="5" t="n">
        <v>45534</v>
      </c>
      <c r="J2630" t="inlineStr">
        <is>
          <t>Sold</t>
        </is>
      </c>
      <c r="K2630" s="6">
        <f>HYPERLINK("https://www.kleinanzeigen.de/s-anzeige/f2-windsurf-board-vegas-twin-sport-inkl-bag-2024-136-l/2849957372-230-3111", "Link")</f>
        <v/>
      </c>
      <c r="L2630" s="6">
        <f>HYPERLINK("C:\Projects\Kleinanzeigen-Scraper\offer_images\2849957372", "Link")</f>
        <v/>
      </c>
      <c r="M2630" t="inlineStr">
        <is>
          <t>No user name</t>
        </is>
      </c>
      <c r="N2630" s="6">
        <f>HYPERLINK("https://www.kleinanzeigen.deNo user link", "Link")</f>
        <v/>
      </c>
      <c r="O2630" s="7" t="n">
        <v>45536.90951388889</v>
      </c>
      <c r="P2630" s="3" t="inlineStr">
        <is>
          <t>264.10</t>
        </is>
      </c>
      <c r="Q2630" t="inlineStr">
        <is>
          <t>Köln</t>
        </is>
      </c>
    </row>
    <row r="2631">
      <c r="A2631" t="inlineStr">
        <is>
          <t>225cm x 57.5cm</t>
        </is>
      </c>
      <c r="B2631" t="inlineStr">
        <is>
          <t>Fanatic Freewave 85 Team Edition</t>
        </is>
      </c>
      <c r="C2631" t="inlineStr">
        <is>
          <t>Freeride</t>
        </is>
      </c>
      <c r="D2631" s="3" t="n">
        <v>85</v>
      </c>
      <c r="E2631" t="inlineStr"/>
      <c r="F2631" s="4" t="n">
        <v>500</v>
      </c>
      <c r="G2631" t="inlineStr">
        <is>
          <t>VB</t>
        </is>
      </c>
      <c r="H2631" t="inlineStr">
        <is>
          <t>40476 Düsseldorf - Derendorf</t>
        </is>
      </c>
      <c r="I2631" s="5" t="n">
        <v>45533</v>
      </c>
      <c r="J2631" t="inlineStr"/>
      <c r="K2631" s="6">
        <f>HYPERLINK("https://www.kleinanzeigen.de/s-anzeige/windsurfen-fanatic-freewave-85-stubby-protector-jp-goya-patrick/2849241699-230-29943", "Link")</f>
        <v/>
      </c>
      <c r="L2631" s="6">
        <f>HYPERLINK("C:\Projects\Kleinanzeigen-Scraper\offer_images\2849241699", "Link")</f>
        <v/>
      </c>
      <c r="M2631" t="inlineStr">
        <is>
          <t>Christoph Michel</t>
        </is>
      </c>
      <c r="N2631" s="6">
        <f>HYPERLINK("https://www.kleinanzeigen.de/s-bestandsliste.html?userId=11572880", "Link")</f>
        <v/>
      </c>
      <c r="O2631" s="7" t="n">
        <v>45536.90951388889</v>
      </c>
      <c r="P2631" s="3" t="inlineStr">
        <is>
          <t>36.50</t>
        </is>
      </c>
      <c r="Q2631" t="inlineStr">
        <is>
          <t>Köln</t>
        </is>
      </c>
    </row>
    <row r="2632">
      <c r="A2632" t="inlineStr">
        <is>
          <t>330</t>
        </is>
      </c>
      <c r="B2632" t="inlineStr">
        <is>
          <t>Aquata</t>
        </is>
      </c>
      <c r="C2632" t="inlineStr"/>
      <c r="D2632" s="3" t="inlineStr"/>
      <c r="E2632" t="inlineStr"/>
      <c r="F2632" s="4" t="n">
        <v>25</v>
      </c>
      <c r="G2632" t="inlineStr">
        <is>
          <t>VB</t>
        </is>
      </c>
      <c r="H2632" t="inlineStr">
        <is>
          <t>44225 Dortmund - Mitte</t>
        </is>
      </c>
      <c r="I2632" s="5" t="n">
        <v>45534</v>
      </c>
      <c r="J2632" t="inlineStr">
        <is>
          <t>Sold</t>
        </is>
      </c>
      <c r="K2632" s="6">
        <f>HYPERLINK("https://www.kleinanzeigen.de/s-anzeige/surfbrett-windsurfen-aquata/2850259208-230-1090", "Link")</f>
        <v/>
      </c>
      <c r="L2632" s="6">
        <f>HYPERLINK("C:\Projects\Kleinanzeigen-Scraper\offer_images\2850259208", "Link")</f>
        <v/>
      </c>
      <c r="M2632" t="inlineStr">
        <is>
          <t>Pauline H.</t>
        </is>
      </c>
      <c r="N2632" s="6">
        <f>HYPERLINK("https://www.kleinanzeigen.de/s-bestandsliste.html?userId=35335775", "Link")</f>
        <v/>
      </c>
      <c r="O2632" s="7" t="n">
        <v>45536.90950231482</v>
      </c>
      <c r="P2632" s="3" t="inlineStr">
        <is>
          <t>68.92</t>
        </is>
      </c>
      <c r="Q2632" t="inlineStr">
        <is>
          <t>Köln</t>
        </is>
      </c>
    </row>
    <row r="2633">
      <c r="A2633" t="inlineStr"/>
      <c r="B2633" t="inlineStr">
        <is>
          <t>Naish Global</t>
        </is>
      </c>
      <c r="C2633" t="inlineStr">
        <is>
          <t>Freeride</t>
        </is>
      </c>
      <c r="D2633" s="3" t="n">
        <v>85</v>
      </c>
      <c r="E2633" t="inlineStr"/>
      <c r="F2633" s="4" t="n">
        <v>150</v>
      </c>
      <c r="G2633" t="inlineStr">
        <is>
          <t>VB</t>
        </is>
      </c>
      <c r="H2633" t="inlineStr">
        <is>
          <t>44534 Nordrhein-Westfalen - Lünen</t>
        </is>
      </c>
      <c r="I2633" s="5" t="n">
        <v>45535</v>
      </c>
      <c r="J2633" t="inlineStr"/>
      <c r="K2633" s="6">
        <f>HYPERLINK("https://www.kleinanzeigen.de/s-anzeige/naish-windsurf-board/2850797260-230-1754", "Link")</f>
        <v/>
      </c>
      <c r="L2633" s="6">
        <f>HYPERLINK("C:\Projects\Kleinanzeigen-Scraper\offer_images\2850797260", "Link")</f>
        <v/>
      </c>
      <c r="M2633" t="inlineStr">
        <is>
          <t>T.Z</t>
        </is>
      </c>
      <c r="N2633" s="6">
        <f>HYPERLINK("https://www.kleinanzeigen.de/s-bestandsliste.html?userId=4015512", "Link")</f>
        <v/>
      </c>
      <c r="O2633" s="7" t="n">
        <v>45536.90950231482</v>
      </c>
      <c r="P2633" s="3" t="inlineStr">
        <is>
          <t>85.74</t>
        </is>
      </c>
      <c r="Q2633" t="inlineStr">
        <is>
          <t>Köln</t>
        </is>
      </c>
    </row>
    <row r="2634">
      <c r="A2634" t="inlineStr"/>
      <c r="B2634" t="inlineStr">
        <is>
          <t>Slingshot Wizard</t>
        </is>
      </c>
      <c r="C2634" t="inlineStr">
        <is>
          <t>Foil</t>
        </is>
      </c>
      <c r="D2634" s="3" t="n">
        <v>105</v>
      </c>
      <c r="E2634" t="inlineStr"/>
      <c r="F2634" s="4" t="n">
        <v>550</v>
      </c>
      <c r="G2634" t="inlineStr">
        <is>
          <t>VB</t>
        </is>
      </c>
      <c r="H2634" t="inlineStr">
        <is>
          <t>22609 Altona - Hamburg Othmarschen</t>
        </is>
      </c>
      <c r="I2634" s="5" t="n">
        <v>45536</v>
      </c>
      <c r="J2634" t="inlineStr">
        <is>
          <t>Sold</t>
        </is>
      </c>
      <c r="K2634" s="6">
        <f>HYPERLINK("https://www.kleinanzeigen.de/s-anzeige/windsurf-foil-board-slingshot-wizard/2851705146-230-9501", "Link")</f>
        <v/>
      </c>
      <c r="L2634" s="6">
        <f>HYPERLINK("C:\Projects\Kleinanzeigen-Scraper\offer_images\2851705146", "Link")</f>
        <v/>
      </c>
      <c r="M2634" t="inlineStr">
        <is>
          <t>Paul Beck</t>
        </is>
      </c>
      <c r="N2634" s="6">
        <f>HYPERLINK("https://www.kleinanzeigen.de/s-bestandsliste.html?userId=66245563", "Link")</f>
        <v/>
      </c>
      <c r="O2634" s="7" t="n">
        <v>45536.90949074074</v>
      </c>
      <c r="P2634" s="3" t="inlineStr">
        <is>
          <t>351.06</t>
        </is>
      </c>
      <c r="Q2634" t="inlineStr">
        <is>
          <t>Köln</t>
        </is>
      </c>
    </row>
    <row r="2635">
      <c r="A2635" t="inlineStr">
        <is>
          <t>144 L</t>
        </is>
      </c>
      <c r="B2635" t="inlineStr">
        <is>
          <t>F2 Sunset Sport</t>
        </is>
      </c>
      <c r="C2635" t="inlineStr"/>
      <c r="D2635" s="3" t="n">
        <v>144</v>
      </c>
      <c r="E2635" t="inlineStr">
        <is>
          <t>2024</t>
        </is>
      </c>
      <c r="F2635" s="4" t="n">
        <v>1.009</v>
      </c>
      <c r="G2635" t="inlineStr">
        <is>
          <t>VB</t>
        </is>
      </c>
      <c r="H2635" t="inlineStr">
        <is>
          <t>26125 Niedersachsen - Oldenburg</t>
        </is>
      </c>
      <c r="I2635" s="5" t="n">
        <v>45534</v>
      </c>
      <c r="J2635" t="inlineStr">
        <is>
          <t>Sold</t>
        </is>
      </c>
      <c r="K2635" s="6">
        <f>HYPERLINK("https://www.kleinanzeigen.de/s-anzeige/f2-windsurf-board-sunset-sport-inkl-bag-2024-144-l/2849957244-230-3111", "Link")</f>
        <v/>
      </c>
      <c r="L2635" s="6">
        <f>HYPERLINK("C:\Projects\Kleinanzeigen-Scraper\offer_images\2849957244", "Link")</f>
        <v/>
      </c>
      <c r="M2635" t="inlineStr">
        <is>
          <t>No user name</t>
        </is>
      </c>
      <c r="N2635" s="6">
        <f>HYPERLINK("https://www.kleinanzeigen.deNo user link", "Link")</f>
        <v/>
      </c>
      <c r="O2635" s="7" t="n">
        <v>45536.90949074074</v>
      </c>
      <c r="P2635" s="3" t="inlineStr">
        <is>
          <t>264.10</t>
        </is>
      </c>
      <c r="Q2635" t="inlineStr">
        <is>
          <t>Köln</t>
        </is>
      </c>
    </row>
    <row r="2636">
      <c r="A2636" t="inlineStr">
        <is>
          <t>230x90 cm</t>
        </is>
      </c>
      <c r="B2636" t="inlineStr">
        <is>
          <t>Fanatic Falcon</t>
        </is>
      </c>
      <c r="C2636" t="inlineStr">
        <is>
          <t>Lightwind Foilboard</t>
        </is>
      </c>
      <c r="D2636" s="3" t="n">
        <v>159</v>
      </c>
      <c r="E2636" t="inlineStr">
        <is>
          <t>2018</t>
        </is>
      </c>
      <c r="F2636" s="4" t="n">
        <v>975</v>
      </c>
      <c r="G2636" t="inlineStr">
        <is>
          <t>VB</t>
        </is>
      </c>
      <c r="H2636" t="inlineStr">
        <is>
          <t>20251 Hamburg-Nord - Hamburg Eppendorf</t>
        </is>
      </c>
      <c r="I2636" s="5" t="n">
        <v>45533</v>
      </c>
      <c r="J2636" t="inlineStr">
        <is>
          <t>Sold</t>
        </is>
      </c>
      <c r="K2636" s="6">
        <f>HYPERLINK("https://www.kleinanzeigen.de/s-anzeige/windsurf-fanatic-falcon-2018-lightwind-edition-159l/2849076178-230-9475", "Link")</f>
        <v/>
      </c>
      <c r="L2636" s="6">
        <f>HYPERLINK("C:\Projects\Kleinanzeigen-Scraper\offer_images\2849076178", "Link")</f>
        <v/>
      </c>
      <c r="M2636" t="inlineStr">
        <is>
          <t>Y. Forster</t>
        </is>
      </c>
      <c r="N2636" s="6">
        <f>HYPERLINK("https://www.kleinanzeigen.de/s-bestandsliste.html?userId=45470613", "Link")</f>
        <v/>
      </c>
      <c r="O2636" s="7" t="n">
        <v>45536.90947916666</v>
      </c>
      <c r="P2636" s="3" t="inlineStr">
        <is>
          <t>360.06</t>
        </is>
      </c>
      <c r="Q2636" t="inlineStr">
        <is>
          <t>Köln</t>
        </is>
      </c>
    </row>
    <row r="2637">
      <c r="A2637" t="inlineStr">
        <is>
          <t>139</t>
        </is>
      </c>
      <c r="B2637" t="inlineStr">
        <is>
          <t>NoveNove World Cup Slalom</t>
        </is>
      </c>
      <c r="C2637" t="inlineStr">
        <is>
          <t>Slalom</t>
        </is>
      </c>
      <c r="D2637" s="3" t="inlineStr"/>
      <c r="E2637" t="inlineStr">
        <is>
          <t>2021</t>
        </is>
      </c>
      <c r="F2637" s="4" t="n">
        <v>550</v>
      </c>
      <c r="G2637" t="inlineStr"/>
      <c r="H2637" t="inlineStr">
        <is>
          <t>75387 Neubulach</t>
        </is>
      </c>
      <c r="I2637" s="5" t="n">
        <v>45534</v>
      </c>
      <c r="J2637" t="inlineStr">
        <is>
          <t>Sold</t>
        </is>
      </c>
      <c r="K2637" s="6">
        <f>HYPERLINK("https://www.dailydose.de/kleinanzeigen/detail.htm?ai=421802&amp;cf=kk&amp;pg=5&amp;ci=11", "Link")</f>
        <v/>
      </c>
      <c r="L2637" s="6">
        <f>HYPERLINK("C:\Projects\Kleinanzeigen-Scraper\offer_images\421802", "Link")</f>
        <v/>
      </c>
      <c r="M2637" t="inlineStr">
        <is>
          <t>MP75</t>
        </is>
      </c>
      <c r="N2637" s="6">
        <f>HYPERLINK("https://www.dailydose.de/kleinanzeigen/user/26337", "Link")</f>
        <v/>
      </c>
      <c r="O2637" s="7" t="n">
        <v>45535.594375</v>
      </c>
      <c r="P2637" s="3" t="inlineStr">
        <is>
          <t>21.97</t>
        </is>
      </c>
      <c r="Q2637" t="inlineStr">
        <is>
          <t>Böblingen</t>
        </is>
      </c>
    </row>
    <row r="2638">
      <c r="A2638" t="inlineStr"/>
      <c r="B2638" t="inlineStr">
        <is>
          <t>Starboard CarveIQ</t>
        </is>
      </c>
      <c r="C2638" t="inlineStr">
        <is>
          <t>Foil ready</t>
        </is>
      </c>
      <c r="D2638" s="3" t="n">
        <v>124</v>
      </c>
      <c r="E2638" t="inlineStr"/>
      <c r="F2638" s="4" t="n">
        <v>420</v>
      </c>
      <c r="G2638" t="inlineStr">
        <is>
          <t>VB</t>
        </is>
      </c>
      <c r="H2638" t="inlineStr">
        <is>
          <t>71088 Baden-Württemberg - Holzgerlingen</t>
        </is>
      </c>
      <c r="I2638" s="5" t="n">
        <v>45534</v>
      </c>
      <c r="J2638" t="inlineStr"/>
      <c r="K2638" s="6">
        <f>HYPERLINK("https://www.kleinanzeigen.de/s-anzeige/starboard-carveiq-124-foil-ready-windsurf/2849879821-230-8786", "Link")</f>
        <v/>
      </c>
      <c r="L2638" s="6">
        <f>HYPERLINK("C:\Projects\Kleinanzeigen-Scraper\offer_images\2849879821", "Link")</f>
        <v/>
      </c>
      <c r="M2638" t="inlineStr">
        <is>
          <t>Wolff</t>
        </is>
      </c>
      <c r="N2638" s="6">
        <f>HYPERLINK("https://www.kleinanzeigen.de/s-bestandsliste.html?userId=37784847", "Link")</f>
        <v/>
      </c>
      <c r="O2638" s="7" t="n">
        <v>45535.59277777778</v>
      </c>
      <c r="P2638" s="3" t="inlineStr">
        <is>
          <t>4.76</t>
        </is>
      </c>
      <c r="Q2638" t="inlineStr">
        <is>
          <t>Böblingen</t>
        </is>
      </c>
    </row>
    <row r="2639">
      <c r="A2639" t="inlineStr"/>
      <c r="B2639" t="inlineStr">
        <is>
          <t>RRD Firemove</t>
        </is>
      </c>
      <c r="C2639" t="inlineStr">
        <is>
          <t>Freemove</t>
        </is>
      </c>
      <c r="D2639" s="3" t="inlineStr"/>
      <c r="E2639" t="inlineStr"/>
      <c r="F2639" s="4" t="n">
        <v>700</v>
      </c>
      <c r="G2639" t="inlineStr">
        <is>
          <t>VB</t>
        </is>
      </c>
      <c r="H2639" t="inlineStr">
        <is>
          <t>79350 Baden-Württemberg - Sexau</t>
        </is>
      </c>
      <c r="I2639" s="5" t="n">
        <v>45535</v>
      </c>
      <c r="J2639" t="inlineStr"/>
      <c r="K2639" s="6">
        <f>HYPERLINK("https://www.kleinanzeigen.de/s-anzeige/rrd-firemove-windsurf-board/2850672931-230-8288", "Link")</f>
        <v/>
      </c>
      <c r="L2639" s="6">
        <f>HYPERLINK("C:\Projects\Kleinanzeigen-Scraper\offer_images\2850672931", "Link")</f>
        <v/>
      </c>
      <c r="M2639" t="inlineStr">
        <is>
          <t>Martin</t>
        </is>
      </c>
      <c r="N2639" s="6">
        <f>HYPERLINK("https://www.kleinanzeigen.de/s-bestandsliste.html?userId=81591579", "Link")</f>
        <v/>
      </c>
      <c r="O2639" s="7" t="n">
        <v>45535.59247685185</v>
      </c>
      <c r="P2639" s="3" t="inlineStr">
        <is>
          <t>45.20</t>
        </is>
      </c>
      <c r="Q2639" t="inlineStr">
        <is>
          <t>Bonndorf</t>
        </is>
      </c>
    </row>
    <row r="2640">
      <c r="A2640" t="inlineStr">
        <is>
          <t>265 cm x 63.5 cm</t>
        </is>
      </c>
      <c r="B2640" t="inlineStr">
        <is>
          <t>JP</t>
        </is>
      </c>
      <c r="C2640" t="inlineStr">
        <is>
          <t>Freestyle</t>
        </is>
      </c>
      <c r="D2640" s="3" t="n">
        <v>115</v>
      </c>
      <c r="E2640" t="inlineStr"/>
      <c r="F2640" s="4" t="n">
        <v>100</v>
      </c>
      <c r="G2640" t="inlineStr"/>
      <c r="H2640" t="inlineStr">
        <is>
          <t>79350 Baden-Württemberg - Sexau</t>
        </is>
      </c>
      <c r="I2640" s="5" t="n">
        <v>45535</v>
      </c>
      <c r="J2640" t="inlineStr">
        <is>
          <t>Sold</t>
        </is>
      </c>
      <c r="K2640" s="6">
        <f>HYPERLINK("https://www.kleinanzeigen.de/s-anzeige/jp-windsurf-board/2850666353-230-8288", "Link")</f>
        <v/>
      </c>
      <c r="L2640" s="6">
        <f>HYPERLINK("C:\Projects\Kleinanzeigen-Scraper\offer_images\2850666353", "Link")</f>
        <v/>
      </c>
      <c r="M2640" t="inlineStr">
        <is>
          <t>Martin</t>
        </is>
      </c>
      <c r="N2640" s="6">
        <f>HYPERLINK("https://www.kleinanzeigen.de/s-bestandsliste.html?userId=81591579", "Link")</f>
        <v/>
      </c>
      <c r="O2640" s="7" t="n">
        <v>45535.59229166667</v>
      </c>
      <c r="P2640" s="3" t="inlineStr">
        <is>
          <t>45.20</t>
        </is>
      </c>
      <c r="Q2640" t="inlineStr">
        <is>
          <t>Bonndorf</t>
        </is>
      </c>
    </row>
    <row r="2641">
      <c r="A2641" t="inlineStr"/>
      <c r="B2641" t="inlineStr">
        <is>
          <t>Naish</t>
        </is>
      </c>
      <c r="C2641" t="inlineStr">
        <is>
          <t>Freestyle Wave</t>
        </is>
      </c>
      <c r="D2641" s="3" t="n">
        <v>90</v>
      </c>
      <c r="E2641" t="inlineStr"/>
      <c r="F2641" s="4" t="n">
        <v>389</v>
      </c>
      <c r="G2641" t="inlineStr"/>
      <c r="H2641" t="inlineStr">
        <is>
          <t>70794 Baden-Württemberg - Filderstadt</t>
        </is>
      </c>
      <c r="I2641" s="5" t="n">
        <v>45533</v>
      </c>
      <c r="J2641" t="inlineStr"/>
      <c r="K2641" s="6">
        <f>HYPERLINK("https://www.kleinanzeigen.de/s-anzeige/naish-surfboard-surfbrett-freestyle-wave-90-l-neuwertig-windsurf/2849192199-230-8892", "Link")</f>
        <v/>
      </c>
      <c r="L2641" s="6">
        <f>HYPERLINK("C:\Projects\Kleinanzeigen-Scraper\offer_images\2849192199", "Link")</f>
        <v/>
      </c>
      <c r="M2641" t="inlineStr">
        <is>
          <t>Nicolas Pfeifle</t>
        </is>
      </c>
      <c r="N2641" s="6">
        <f>HYPERLINK("https://www.kleinanzeigen.de/s-bestandsliste.html?userId=26051920", "Link")</f>
        <v/>
      </c>
      <c r="O2641" s="7" t="n">
        <v>45534.54505787037</v>
      </c>
      <c r="P2641" s="3" t="inlineStr">
        <is>
          <t>17.11</t>
        </is>
      </c>
      <c r="Q2641" t="inlineStr">
        <is>
          <t>Böblingen</t>
        </is>
      </c>
    </row>
    <row r="2642">
      <c r="A2642" t="inlineStr">
        <is>
          <t xml:space="preserve">Dimensions </t>
        </is>
      </c>
      <c r="B2642" t="inlineStr">
        <is>
          <t>Tabou Bullit</t>
        </is>
      </c>
      <c r="C2642" t="inlineStr">
        <is>
          <t>Freeride</t>
        </is>
      </c>
      <c r="D2642" s="3" t="n">
        <v>145</v>
      </c>
      <c r="E2642" t="inlineStr">
        <is>
          <t>2022</t>
        </is>
      </c>
      <c r="F2642" s="4" t="n">
        <v>800</v>
      </c>
      <c r="G2642" t="inlineStr">
        <is>
          <t>VB</t>
        </is>
      </c>
      <c r="H2642" t="inlineStr">
        <is>
          <t>67240 Bobenheim-Roxheim</t>
        </is>
      </c>
      <c r="I2642" s="5" t="n">
        <v>45532</v>
      </c>
      <c r="J2642" t="inlineStr">
        <is>
          <t>Sold</t>
        </is>
      </c>
      <c r="K2642" s="6">
        <f>HYPERLINK("https://www.dailydose.de/kleinanzeigen/detail.htm?ai=421665&amp;cf=kk&amp;pg=5&amp;ci=11", "Link")</f>
        <v/>
      </c>
      <c r="L2642" s="6">
        <f>HYPERLINK("C:\Projects\Kleinanzeigen-Scraper\offer_images\421665", "Link")</f>
        <v/>
      </c>
      <c r="M2642" t="inlineStr">
        <is>
          <t>Frank Ipsen</t>
        </is>
      </c>
      <c r="N2642" s="6">
        <f>HYPERLINK("https://www.dailydose.de/kleinanzeigen/user/8675", "Link")</f>
        <v/>
      </c>
      <c r="O2642" s="7" t="n">
        <v>45533.56046296296</v>
      </c>
      <c r="P2642" s="3" t="inlineStr">
        <is>
          <t>63.50</t>
        </is>
      </c>
      <c r="Q2642" t="inlineStr">
        <is>
          <t>Karlsruhe</t>
        </is>
      </c>
    </row>
    <row r="2643">
      <c r="A2643" t="inlineStr">
        <is>
          <t>Dimensions not specified</t>
        </is>
      </c>
      <c r="B2643" t="inlineStr">
        <is>
          <t>RRD Wavecult 114 LTD</t>
        </is>
      </c>
      <c r="C2643" t="inlineStr">
        <is>
          <t>Freestyle Wave</t>
        </is>
      </c>
      <c r="D2643" s="3" t="n">
        <v>114</v>
      </c>
      <c r="E2643" t="inlineStr">
        <is>
          <t>2019</t>
        </is>
      </c>
      <c r="F2643" s="4" t="n">
        <v>470</v>
      </c>
      <c r="G2643" t="inlineStr"/>
      <c r="H2643" t="inlineStr">
        <is>
          <t>Stuttgart</t>
        </is>
      </c>
      <c r="I2643" s="5" t="n">
        <v>45532</v>
      </c>
      <c r="J2643" t="inlineStr">
        <is>
          <t>Sold</t>
        </is>
      </c>
      <c r="K2643" s="6">
        <f>HYPERLINK("https://www.dailydose.de/kleinanzeigen/detail.htm?ai=421646&amp;cf=kk&amp;pg=1&amp;ci=11", "Link")</f>
        <v/>
      </c>
      <c r="L2643" s="6">
        <f>HYPERLINK("C:\Projects\Kleinanzeigen-Scraper\offer_images\421646", "Link")</f>
        <v/>
      </c>
      <c r="M2643" t="inlineStr">
        <is>
          <t>Roman_96</t>
        </is>
      </c>
      <c r="N2643" s="6">
        <f>HYPERLINK("https://www.dailydose.de/kleinanzeigen/user/20905", "Link")</f>
        <v/>
      </c>
      <c r="O2643" s="7" t="n">
        <v>45533.56045138889</v>
      </c>
      <c r="P2643" s="3" t="inlineStr">
        <is>
          <t>18.71</t>
        </is>
      </c>
      <c r="Q2643" t="inlineStr">
        <is>
          <t>Böblingen</t>
        </is>
      </c>
    </row>
    <row r="2644">
      <c r="A2644" t="inlineStr">
        <is>
          <t>237 cm x 81 cm</t>
        </is>
      </c>
      <c r="B2644" t="inlineStr">
        <is>
          <t>Tabou Rocket Plus Team</t>
        </is>
      </c>
      <c r="C2644" t="inlineStr">
        <is>
          <t>Freeride</t>
        </is>
      </c>
      <c r="D2644" s="3" t="n">
        <v>133</v>
      </c>
      <c r="E2644" t="inlineStr"/>
      <c r="F2644" s="4" t="n">
        <v>1400</v>
      </c>
      <c r="G2644" t="inlineStr">
        <is>
          <t>VB</t>
        </is>
      </c>
      <c r="H2644" t="inlineStr">
        <is>
          <t>67071 Ludwigshafen</t>
        </is>
      </c>
      <c r="I2644" s="5" t="n">
        <v>45531</v>
      </c>
      <c r="J2644" t="inlineStr">
        <is>
          <t>Sold</t>
        </is>
      </c>
      <c r="K2644" s="6">
        <f>HYPERLINK("https://www.dailydose.de/kleinanzeigen/detail.htm?ai=421532&amp;cf=kk&amp;pg=5&amp;ci=11", "Link")</f>
        <v/>
      </c>
      <c r="L2644" s="6">
        <f>HYPERLINK("C:\Projects\Kleinanzeigen-Scraper\offer_images\421532", "Link")</f>
        <v/>
      </c>
      <c r="M2644" t="inlineStr">
        <is>
          <t>windsun</t>
        </is>
      </c>
      <c r="N2644" s="6">
        <f>HYPERLINK("https://www.dailydose.de/kleinanzeigen/user/25093", "Link")</f>
        <v/>
      </c>
      <c r="O2644" s="7" t="n">
        <v>45531.42288194445</v>
      </c>
      <c r="P2644" s="3" t="inlineStr">
        <is>
          <t>52.34</t>
        </is>
      </c>
      <c r="Q2644" t="inlineStr">
        <is>
          <t>Karlsruhe</t>
        </is>
      </c>
    </row>
    <row r="2645">
      <c r="A2645" t="inlineStr">
        <is>
          <t>242 cm x 66 cm</t>
        </is>
      </c>
      <c r="B2645" t="inlineStr">
        <is>
          <t>Tabou 3S LTD</t>
        </is>
      </c>
      <c r="C2645" t="inlineStr">
        <is>
          <t>Freeride</t>
        </is>
      </c>
      <c r="D2645" s="3" t="n">
        <v>116</v>
      </c>
      <c r="E2645" t="inlineStr"/>
      <c r="F2645" s="4" t="n">
        <v>600</v>
      </c>
      <c r="G2645" t="inlineStr">
        <is>
          <t>VB</t>
        </is>
      </c>
      <c r="H2645" t="inlineStr">
        <is>
          <t>67071 Ludwigshafen</t>
        </is>
      </c>
      <c r="I2645" s="5" t="n">
        <v>45531</v>
      </c>
      <c r="J2645" t="inlineStr">
        <is>
          <t>Sold</t>
        </is>
      </c>
      <c r="K2645" s="6">
        <f>HYPERLINK("https://www.dailydose.de/kleinanzeigen/detail.htm?ai=421530&amp;cf=kk&amp;pg=5&amp;ci=11", "Link")</f>
        <v/>
      </c>
      <c r="L2645" s="6">
        <f>HYPERLINK("C:\Projects\Kleinanzeigen-Scraper\offer_images\421530", "Link")</f>
        <v/>
      </c>
      <c r="M2645" t="inlineStr">
        <is>
          <t>windsun</t>
        </is>
      </c>
      <c r="N2645" s="6">
        <f>HYPERLINK("https://www.dailydose.de/kleinanzeigen/user/25093", "Link")</f>
        <v/>
      </c>
      <c r="O2645" s="7" t="n">
        <v>45531.42269675926</v>
      </c>
      <c r="P2645" s="3" t="inlineStr">
        <is>
          <t>52.34</t>
        </is>
      </c>
      <c r="Q2645" t="inlineStr">
        <is>
          <t>Karlsruhe</t>
        </is>
      </c>
    </row>
    <row r="2646">
      <c r="A2646" t="inlineStr">
        <is>
          <t>234 cm x 64 cm</t>
        </is>
      </c>
      <c r="B2646" t="inlineStr">
        <is>
          <t>JP Freestyle Wave</t>
        </is>
      </c>
      <c r="C2646" t="inlineStr">
        <is>
          <t>Freestyle Wave</t>
        </is>
      </c>
      <c r="D2646" s="3" t="n">
        <v>111</v>
      </c>
      <c r="E2646" t="inlineStr"/>
      <c r="F2646" s="4" t="n">
        <v>500</v>
      </c>
      <c r="G2646" t="inlineStr">
        <is>
          <t>VB</t>
        </is>
      </c>
      <c r="H2646" t="inlineStr">
        <is>
          <t>67071 Ludwigshafen</t>
        </is>
      </c>
      <c r="I2646" s="5" t="n">
        <v>45531</v>
      </c>
      <c r="J2646" t="inlineStr">
        <is>
          <t>Sold</t>
        </is>
      </c>
      <c r="K2646" s="6">
        <f>HYPERLINK("https://www.dailydose.de/kleinanzeigen/detail.htm?ai=421534&amp;cf=kk&amp;pg=5&amp;ci=11", "Link")</f>
        <v/>
      </c>
      <c r="L2646" s="6">
        <f>HYPERLINK("C:\Projects\Kleinanzeigen-Scraper\offer_images\421534", "Link")</f>
        <v/>
      </c>
      <c r="M2646" t="inlineStr">
        <is>
          <t>windsun</t>
        </is>
      </c>
      <c r="N2646" s="6">
        <f>HYPERLINK("https://www.dailydose.de/kleinanzeigen/user/25093", "Link")</f>
        <v/>
      </c>
      <c r="O2646" s="7" t="n">
        <v>45531.42228009259</v>
      </c>
      <c r="P2646" s="3" t="inlineStr">
        <is>
          <t>52.34</t>
        </is>
      </c>
      <c r="Q2646" t="inlineStr">
        <is>
          <t>Karlsruhe</t>
        </is>
      </c>
    </row>
    <row r="2647">
      <c r="A2647" t="inlineStr">
        <is>
          <t xml:space="preserve">Dimensions </t>
        </is>
      </c>
      <c r="B2647" t="inlineStr">
        <is>
          <t>Fanatic Blast LTD</t>
        </is>
      </c>
      <c r="C2647" t="inlineStr">
        <is>
          <t>Freeride</t>
        </is>
      </c>
      <c r="D2647" s="3" t="n">
        <v>130</v>
      </c>
      <c r="E2647" t="inlineStr"/>
      <c r="F2647" s="4" t="n">
        <v>550</v>
      </c>
      <c r="G2647" t="inlineStr"/>
      <c r="H2647" t="inlineStr">
        <is>
          <t>Stuttgart</t>
        </is>
      </c>
      <c r="I2647" s="5" t="n">
        <v>45527</v>
      </c>
      <c r="J2647" t="inlineStr">
        <is>
          <t>Sold</t>
        </is>
      </c>
      <c r="K2647" s="6">
        <f>HYPERLINK("https://www.dailydose.de/kleinanzeigen/detail.htm?ai=421328&amp;cf=kk&amp;pg=5&amp;ci=11", "Link")</f>
        <v/>
      </c>
      <c r="L2647" s="6">
        <f>HYPERLINK("C:\Projects\Kleinanzeigen-Scraper\offer_images\421328", "Link")</f>
        <v/>
      </c>
      <c r="M2647" t="inlineStr">
        <is>
          <t>Roman_96</t>
        </is>
      </c>
      <c r="N2647" s="6">
        <f>HYPERLINK("https://www.dailydose.de/kleinanzeigen/user/20905", "Link")</f>
        <v/>
      </c>
      <c r="O2647" s="7" t="n">
        <v>45531.38034722222</v>
      </c>
      <c r="P2647" s="3" t="inlineStr">
        <is>
          <t>18.71</t>
        </is>
      </c>
      <c r="Q2647" t="inlineStr">
        <is>
          <t>Böblingen</t>
        </is>
      </c>
    </row>
    <row r="2648">
      <c r="A2648" t="inlineStr">
        <is>
          <t>235 x 72 cm</t>
        </is>
      </c>
      <c r="B2648" t="inlineStr">
        <is>
          <t>FMX Invictus</t>
        </is>
      </c>
      <c r="C2648" t="inlineStr"/>
      <c r="D2648" s="3" t="n">
        <v>118</v>
      </c>
      <c r="E2648" t="inlineStr">
        <is>
          <t>2023</t>
        </is>
      </c>
      <c r="F2648" s="4" t="n">
        <v>1400</v>
      </c>
      <c r="G2648" t="inlineStr"/>
      <c r="H2648" t="inlineStr">
        <is>
          <t>71636 Ludwigsburg</t>
        </is>
      </c>
      <c r="I2648" s="5" t="n">
        <v>45524</v>
      </c>
      <c r="J2648" t="inlineStr">
        <is>
          <t>Sold</t>
        </is>
      </c>
      <c r="K2648" s="6">
        <f>HYPERLINK("https://www.dailydose.de/kleinanzeigen/detail.htm?ai=421195&amp;cf=kk&amp;pg=5&amp;ci=11", "Link")</f>
        <v/>
      </c>
      <c r="L2648" s="6">
        <f>HYPERLINK("C:\Projects\Kleinanzeigen-Scraper\offer_images\421195", "Link")</f>
        <v/>
      </c>
      <c r="M2648" t="inlineStr">
        <is>
          <t>CHWindsurf</t>
        </is>
      </c>
      <c r="N2648" s="6">
        <f>HYPERLINK("https://www.dailydose.de/kleinanzeigen/user/5359", "Link")</f>
        <v/>
      </c>
      <c r="O2648" s="7" t="n">
        <v>45531.38011574074</v>
      </c>
      <c r="P2648" s="3" t="inlineStr">
        <is>
          <t>26.76</t>
        </is>
      </c>
      <c r="Q2648" t="inlineStr">
        <is>
          <t>Böblingen</t>
        </is>
      </c>
    </row>
    <row r="2649">
      <c r="A2649" t="inlineStr">
        <is>
          <t>215 x 86 cm</t>
        </is>
      </c>
      <c r="B2649" t="inlineStr">
        <is>
          <t>Puls Custom</t>
        </is>
      </c>
      <c r="C2649" t="inlineStr">
        <is>
          <t>Foilboard</t>
        </is>
      </c>
      <c r="D2649" s="3" t="n">
        <v>154</v>
      </c>
      <c r="E2649" t="inlineStr"/>
      <c r="F2649" s="4" t="n">
        <v>790</v>
      </c>
      <c r="G2649" t="inlineStr"/>
      <c r="H2649" t="inlineStr">
        <is>
          <t>72186 Empfingen oder Sindelfingen oder Radolfzell</t>
        </is>
      </c>
      <c r="I2649" s="5" t="n">
        <v>45530</v>
      </c>
      <c r="J2649" t="inlineStr">
        <is>
          <t>Sold</t>
        </is>
      </c>
      <c r="K2649" s="6">
        <f>HYPERLINK("https://www.dailydose.de/kleinanzeigen/detail.htm?ai=421513&amp;cf=kk&amp;pg=5&amp;ci=11", "Link")</f>
        <v/>
      </c>
      <c r="L2649" s="6">
        <f>HYPERLINK("C:\Projects\Kleinanzeigen-Scraper\offer_images\421513", "Link")</f>
        <v/>
      </c>
      <c r="M2649" t="inlineStr">
        <is>
          <t>Ottmar_9</t>
        </is>
      </c>
      <c r="N2649" s="6">
        <f>HYPERLINK("https://www.dailydose.de/kleinanzeigen/user/24248", "Link")</f>
        <v/>
      </c>
      <c r="O2649" s="7" t="n">
        <v>45531.38010416667</v>
      </c>
      <c r="P2649" s="3" t="inlineStr">
        <is>
          <t>36.24</t>
        </is>
      </c>
      <c r="Q2649" t="inlineStr">
        <is>
          <t>Böblingen</t>
        </is>
      </c>
    </row>
    <row r="2650">
      <c r="A2650" t="inlineStr">
        <is>
          <t>224 x 58.2 cm</t>
        </is>
      </c>
      <c r="B2650" t="inlineStr">
        <is>
          <t>Goya Custom 3</t>
        </is>
      </c>
      <c r="C2650" t="inlineStr">
        <is>
          <t>Freeride</t>
        </is>
      </c>
      <c r="D2650" s="3" t="n">
        <v>86</v>
      </c>
      <c r="E2650" t="inlineStr"/>
      <c r="F2650" s="4" t="n">
        <v>700</v>
      </c>
      <c r="G2650" t="inlineStr"/>
      <c r="H2650" t="inlineStr">
        <is>
          <t>82xxxx Süddeutschland</t>
        </is>
      </c>
      <c r="I2650" s="5" t="n">
        <v>45527</v>
      </c>
      <c r="J2650" t="inlineStr">
        <is>
          <t>Sold</t>
        </is>
      </c>
      <c r="K2650" s="6">
        <f>HYPERLINK("https://www.dailydose.de/kleinanzeigen/detail.htm?ai=421306&amp;cf=kk&amp;pg=4&amp;ci=11", "Link")</f>
        <v/>
      </c>
      <c r="L2650" s="6">
        <f>HYPERLINK("C:\Projects\Kleinanzeigen-Scraper\offer_images\421306", "Link")</f>
        <v/>
      </c>
      <c r="M2650" t="inlineStr">
        <is>
          <t>der dude</t>
        </is>
      </c>
      <c r="N2650" s="6">
        <f>HYPERLINK("https://www.dailydose.de/kleinanzeigen/user/9073", "Link")</f>
        <v/>
      </c>
      <c r="O2650" s="7" t="n">
        <v>45531.37983796297</v>
      </c>
      <c r="P2650" s="3" t="inlineStr">
        <is>
          <t>11.74</t>
        </is>
      </c>
      <c r="Q2650" t="inlineStr">
        <is>
          <t>Böblingen</t>
        </is>
      </c>
    </row>
    <row r="2651">
      <c r="A2651" t="inlineStr">
        <is>
          <t>329 cm x 81 cm x 15 cm</t>
        </is>
      </c>
      <c r="B2651" t="inlineStr">
        <is>
          <t>F2</t>
        </is>
      </c>
      <c r="C2651" t="inlineStr">
        <is>
          <t>Windsurf SUP</t>
        </is>
      </c>
      <c r="D2651" s="3" t="inlineStr"/>
      <c r="E2651" t="inlineStr"/>
      <c r="F2651" s="4" t="n">
        <v>439</v>
      </c>
      <c r="G2651" t="inlineStr">
        <is>
          <t>VB</t>
        </is>
      </c>
      <c r="H2651" t="inlineStr">
        <is>
          <t>66440 Saarland - Blieskastel</t>
        </is>
      </c>
      <c r="I2651" s="5" t="n">
        <v>45523</v>
      </c>
      <c r="J2651" t="inlineStr">
        <is>
          <t>Sold</t>
        </is>
      </c>
      <c r="K2651" s="6">
        <f>HYPERLINK("https://www.kleinanzeigen.de/s-anzeige/f2-windsurf-sup-board-surfen-windsurfen-spare-150-top/2841449606-230-289", "Link")</f>
        <v/>
      </c>
      <c r="L2651" s="6">
        <f>HYPERLINK("C:\Projects\Kleinanzeigen-Scraper\offer_images\2841449606", "Link")</f>
        <v/>
      </c>
      <c r="M2651" t="inlineStr">
        <is>
          <t>Privat</t>
        </is>
      </c>
      <c r="N2651" s="6">
        <f>HYPERLINK("https://www.kleinanzeigen.de/s-bestandsliste.html?userId=16228653", "Link")</f>
        <v/>
      </c>
      <c r="O2651" s="7" t="n">
        <v>45531.37920138889</v>
      </c>
      <c r="P2651" s="3" t="inlineStr">
        <is>
          <t>86.49</t>
        </is>
      </c>
      <c r="Q2651" t="inlineStr">
        <is>
          <t>Karlsruhe</t>
        </is>
      </c>
    </row>
    <row r="2652">
      <c r="A2652" t="inlineStr"/>
      <c r="B2652" t="inlineStr">
        <is>
          <t>Fanatic Honeycomb</t>
        </is>
      </c>
      <c r="C2652" t="inlineStr"/>
      <c r="D2652" s="3" t="inlineStr"/>
      <c r="E2652" t="inlineStr"/>
      <c r="F2652" s="4" t="inlineStr"/>
      <c r="G2652" t="inlineStr">
        <is>
          <t>VB</t>
        </is>
      </c>
      <c r="H2652" t="inlineStr">
        <is>
          <t>77781 Baden-Württemberg - Biberach</t>
        </is>
      </c>
      <c r="I2652" s="5" t="n">
        <v>45524</v>
      </c>
      <c r="J2652" t="inlineStr">
        <is>
          <t>Sold</t>
        </is>
      </c>
      <c r="K2652" s="6">
        <f>HYPERLINK("https://www.kleinanzeigen.de/s-anzeige/windsurf-board-fanatic-honeycomb/2842058475-241-8049", "Link")</f>
        <v/>
      </c>
      <c r="L2652" s="6">
        <f>HYPERLINK("C:\Projects\Kleinanzeigen-Scraper\offer_images\2842058475", "Link")</f>
        <v/>
      </c>
      <c r="M2652" t="inlineStr">
        <is>
          <t>Burger Karl-Heinz</t>
        </is>
      </c>
      <c r="N2652" s="6">
        <f>HYPERLINK("https://www.kleinanzeigen.de/s-bestandsliste.html?userId=50691651", "Link")</f>
        <v/>
      </c>
      <c r="O2652" s="7" t="n">
        <v>45531.37905092593</v>
      </c>
      <c r="P2652" s="3" t="inlineStr">
        <is>
          <t>62.39</t>
        </is>
      </c>
      <c r="Q2652" t="inlineStr">
        <is>
          <t>Bonndorf</t>
        </is>
      </c>
    </row>
    <row r="2653">
      <c r="A2653" t="inlineStr">
        <is>
          <t>288 cm</t>
        </is>
      </c>
      <c r="B2653" t="inlineStr">
        <is>
          <t>Mistral Explosion CHS</t>
        </is>
      </c>
      <c r="C2653" t="inlineStr">
        <is>
          <t>Slalom</t>
        </is>
      </c>
      <c r="D2653" s="3" t="n">
        <v>130</v>
      </c>
      <c r="E2653" t="inlineStr"/>
      <c r="F2653" s="4" t="n">
        <v>150</v>
      </c>
      <c r="G2653" t="inlineStr"/>
      <c r="H2653" t="inlineStr">
        <is>
          <t>67067 Rheinland-Pfalz - Ludwigshafen</t>
        </is>
      </c>
      <c r="I2653" s="5" t="n">
        <v>45529</v>
      </c>
      <c r="J2653" t="inlineStr">
        <is>
          <t>Sold</t>
        </is>
      </c>
      <c r="K2653" s="6">
        <f>HYPERLINK("https://www.kleinanzeigen.de/s-anzeige/mistral-explosion-chs-windsurf-board/2846516656-230-5384", "Link")</f>
        <v/>
      </c>
      <c r="L2653" s="6">
        <f>HYPERLINK("C:\Projects\Kleinanzeigen-Scraper\offer_images\2846516656", "Link")</f>
        <v/>
      </c>
      <c r="M2653" t="inlineStr">
        <is>
          <t>GPfeiffer</t>
        </is>
      </c>
      <c r="N2653" s="6">
        <f>HYPERLINK("https://www.kleinanzeigen.de/s-bestandsliste.html?userId=38525979", "Link")</f>
        <v/>
      </c>
      <c r="O2653" s="7" t="n">
        <v>45531.37881944444</v>
      </c>
      <c r="P2653" s="3" t="inlineStr">
        <is>
          <t>50.44</t>
        </is>
      </c>
      <c r="Q2653" t="inlineStr">
        <is>
          <t>Karlsruhe</t>
        </is>
      </c>
    </row>
    <row r="2654">
      <c r="A2654" t="inlineStr">
        <is>
          <t>258x76</t>
        </is>
      </c>
      <c r="B2654" t="inlineStr">
        <is>
          <t>Tabou Guru</t>
        </is>
      </c>
      <c r="C2654" t="inlineStr">
        <is>
          <t>Freeride</t>
        </is>
      </c>
      <c r="D2654" s="3" t="n">
        <v>145</v>
      </c>
      <c r="E2654" t="inlineStr">
        <is>
          <t>2014</t>
        </is>
      </c>
      <c r="F2654" s="4" t="n">
        <v>500</v>
      </c>
      <c r="G2654" t="inlineStr">
        <is>
          <t>VB</t>
        </is>
      </c>
      <c r="H2654" t="inlineStr">
        <is>
          <t>73207 Baden-Württemberg - Plochingen</t>
        </is>
      </c>
      <c r="I2654" s="5" t="n">
        <v>45529</v>
      </c>
      <c r="J2654" t="inlineStr"/>
      <c r="K2654" s="6">
        <f>HYPERLINK("https://www.kleinanzeigen.de/s-anzeige/windsurf-board-tabou-guru-145-l-top-fuer-aufsteiger-windsurfen/2846246963-230-8389", "Link")</f>
        <v/>
      </c>
      <c r="L2654" s="6">
        <f>HYPERLINK("C:\Projects\Kleinanzeigen-Scraper\offer_images\2846246963", "Link")</f>
        <v/>
      </c>
      <c r="M2654" t="inlineStr">
        <is>
          <t>Daniel Geiger</t>
        </is>
      </c>
      <c r="N2654" s="6">
        <f>HYPERLINK("https://www.kleinanzeigen.de/s-bestandsliste.html?userId=24841683", "Link")</f>
        <v/>
      </c>
      <c r="O2654" s="7" t="n">
        <v>45531.37881944444</v>
      </c>
      <c r="P2654" s="3" t="inlineStr">
        <is>
          <t>33.44</t>
        </is>
      </c>
      <c r="Q2654" t="inlineStr">
        <is>
          <t>Böblingen</t>
        </is>
      </c>
    </row>
    <row r="2655">
      <c r="A2655" t="inlineStr">
        <is>
          <t>11'2</t>
        </is>
      </c>
      <c r="B2655" t="inlineStr">
        <is>
          <t>PATRIK S-FUN</t>
        </is>
      </c>
      <c r="C2655" t="inlineStr">
        <is>
          <t>Tandem SUP</t>
        </is>
      </c>
      <c r="D2655" s="3" t="inlineStr"/>
      <c r="E2655" t="inlineStr"/>
      <c r="F2655" s="4" t="n">
        <v>489</v>
      </c>
      <c r="G2655" t="inlineStr">
        <is>
          <t>VB</t>
        </is>
      </c>
      <c r="H2655" t="inlineStr">
        <is>
          <t>72766 Baden-Württemberg - Reutlingen</t>
        </is>
      </c>
      <c r="I2655" s="5" t="n">
        <v>45528</v>
      </c>
      <c r="J2655" t="inlineStr">
        <is>
          <t>Sold</t>
        </is>
      </c>
      <c r="K2655" s="6">
        <f>HYPERLINK("https://www.kleinanzeigen.de/s-anzeige/patrik-s-fun-11-2-sup-windsurf-tandem-/2845202570-230-9350", "Link")</f>
        <v/>
      </c>
      <c r="L2655" s="6">
        <f>HYPERLINK("C:\Projects\Kleinanzeigen-Scraper\offer_images\2845202570", "Link")</f>
        <v/>
      </c>
      <c r="M2655" t="inlineStr">
        <is>
          <t>Jörg Schneider</t>
        </is>
      </c>
      <c r="N2655" s="6">
        <f>HYPERLINK("https://www.kleinanzeigen.de/s-bestandsliste.html?userId=18102950", "Link")</f>
        <v/>
      </c>
      <c r="O2655" s="7" t="n">
        <v>45531.37871527778</v>
      </c>
      <c r="P2655" s="3" t="inlineStr">
        <is>
          <t>25.34</t>
        </is>
      </c>
      <c r="Q2655" t="inlineStr">
        <is>
          <t>Böblingen</t>
        </is>
      </c>
    </row>
    <row r="2656">
      <c r="A2656" t="inlineStr">
        <is>
          <t>257 cm</t>
        </is>
      </c>
      <c r="B2656" t="inlineStr">
        <is>
          <t>TIGA</t>
        </is>
      </c>
      <c r="C2656" t="inlineStr">
        <is>
          <t>Wave</t>
        </is>
      </c>
      <c r="D2656" s="3" t="n">
        <v>85</v>
      </c>
      <c r="E2656" t="inlineStr"/>
      <c r="F2656" s="4" t="n">
        <v>49</v>
      </c>
      <c r="G2656" t="inlineStr"/>
      <c r="H2656" t="inlineStr">
        <is>
          <t>64354 Hessen - Reinheim</t>
        </is>
      </c>
      <c r="I2656" s="5" t="n">
        <v>45525</v>
      </c>
      <c r="J2656" t="inlineStr">
        <is>
          <t>Sold</t>
        </is>
      </c>
      <c r="K2656" s="6">
        <f>HYPERLINK("https://www.kleinanzeigen.de/s-anzeige/windsurf-brett-tiga-wave-257/2842404010-230-4455", "Link")</f>
        <v/>
      </c>
      <c r="L2656" s="6">
        <f>HYPERLINK("C:\Projects\Kleinanzeigen-Scraper\offer_images\2842404010", "Link")</f>
        <v/>
      </c>
      <c r="M2656" t="inlineStr">
        <is>
          <t>Stefan Regler,</t>
        </is>
      </c>
      <c r="N2656" s="6">
        <f>HYPERLINK("https://www.kleinanzeigen.de/s-bestandsliste.html?userId=16331901", "Link")</f>
        <v/>
      </c>
      <c r="O2656" s="7" t="n">
        <v>45531.37849537037</v>
      </c>
      <c r="P2656" s="3" t="inlineStr">
        <is>
          <t>97.56</t>
        </is>
      </c>
      <c r="Q2656" t="inlineStr">
        <is>
          <t>Karlsruhe</t>
        </is>
      </c>
    </row>
    <row r="2657">
      <c r="A2657" t="inlineStr">
        <is>
          <t>310cm x 62.5cm</t>
        </is>
      </c>
      <c r="B2657" t="inlineStr">
        <is>
          <t>F2 Xantos</t>
        </is>
      </c>
      <c r="C2657" t="inlineStr">
        <is>
          <t>Freeride</t>
        </is>
      </c>
      <c r="D2657" s="3" t="n">
        <v>147</v>
      </c>
      <c r="E2657" t="inlineStr">
        <is>
          <t>2000</t>
        </is>
      </c>
      <c r="F2657" s="4" t="n">
        <v>40</v>
      </c>
      <c r="G2657" t="inlineStr"/>
      <c r="H2657" t="inlineStr">
        <is>
          <t>70499 Stuttgart</t>
        </is>
      </c>
      <c r="I2657" s="5" t="n">
        <v>45519</v>
      </c>
      <c r="J2657" t="inlineStr">
        <is>
          <t>Sold</t>
        </is>
      </c>
      <c r="K2657" s="6">
        <f>HYPERLINK("https://www.dailydose.de/kleinanzeigen/detail.htm?ai=420948&amp;cf=kk&amp;pg=4&amp;ci=11", "Link")</f>
        <v/>
      </c>
      <c r="L2657" s="6">
        <f>HYPERLINK("C:\Projects\Kleinanzeigen-Scraper\offer_images\420948", "Link")</f>
        <v/>
      </c>
      <c r="M2657" t="inlineStr">
        <is>
          <t>RKohler</t>
        </is>
      </c>
      <c r="N2657" s="6">
        <f>HYPERLINK("https://www.dailydose.de/kleinanzeigen/user/26286", "Link")</f>
        <v/>
      </c>
      <c r="O2657" s="7" t="n">
        <v>45522.64047453704</v>
      </c>
      <c r="P2657" s="3" t="inlineStr">
        <is>
          <t>17.84</t>
        </is>
      </c>
      <c r="Q2657" t="inlineStr">
        <is>
          <t>Böblingen</t>
        </is>
      </c>
    </row>
    <row r="2658">
      <c r="A2658" t="inlineStr">
        <is>
          <t>267cm x 80cm</t>
        </is>
      </c>
      <c r="B2658" t="inlineStr">
        <is>
          <t>Lorch Breeze L</t>
        </is>
      </c>
      <c r="C2658" t="inlineStr">
        <is>
          <t>Freeride</t>
        </is>
      </c>
      <c r="D2658" s="3" t="n">
        <v>165</v>
      </c>
      <c r="E2658" t="inlineStr"/>
      <c r="F2658" s="4" t="n">
        <v>599</v>
      </c>
      <c r="G2658" t="inlineStr"/>
      <c r="H2658" t="inlineStr">
        <is>
          <t>66497 Contwig</t>
        </is>
      </c>
      <c r="I2658" s="5" t="n">
        <v>45522</v>
      </c>
      <c r="J2658" t="inlineStr">
        <is>
          <t>Sold</t>
        </is>
      </c>
      <c r="K2658" s="6">
        <f>HYPERLINK("https://www.dailydose.de/kleinanzeigen/detail.htm?ai=421083&amp;cf=kk&amp;pg=4&amp;ci=11", "Link")</f>
        <v/>
      </c>
      <c r="L2658" s="6">
        <f>HYPERLINK("C:\Projects\Kleinanzeigen-Scraper\offer_images\421083", "Link")</f>
        <v/>
      </c>
      <c r="M2658" t="inlineStr">
        <is>
          <t>torti-tm</t>
        </is>
      </c>
      <c r="N2658" s="6">
        <f>HYPERLINK("https://www.dailydose.de/kleinanzeigen/user/24047", "Link")</f>
        <v/>
      </c>
      <c r="O2658" s="7" t="n">
        <v>45522.63976851852</v>
      </c>
      <c r="P2658" s="3" t="inlineStr">
        <is>
          <t>74.00</t>
        </is>
      </c>
      <c r="Q2658" t="inlineStr">
        <is>
          <t>Karlsruhe</t>
        </is>
      </c>
    </row>
    <row r="2659">
      <c r="A2659" t="inlineStr">
        <is>
          <t>323 / 354 cm</t>
        </is>
      </c>
      <c r="B2659" t="inlineStr">
        <is>
          <t>F2 Cruise</t>
        </is>
      </c>
      <c r="C2659" t="inlineStr">
        <is>
          <t>Allround</t>
        </is>
      </c>
      <c r="D2659" s="3" t="inlineStr"/>
      <c r="E2659" t="inlineStr"/>
      <c r="F2659" s="4" t="n">
        <v>399</v>
      </c>
      <c r="G2659" t="inlineStr">
        <is>
          <t>VB</t>
        </is>
      </c>
      <c r="H2659" t="inlineStr">
        <is>
          <t>79235 Baden-Württemberg - Vogtsburg</t>
        </is>
      </c>
      <c r="I2659" s="5" t="n">
        <v>45161</v>
      </c>
      <c r="J2659" t="inlineStr">
        <is>
          <t>Sold</t>
        </is>
      </c>
      <c r="K2659" s="6">
        <f>HYPERLINK("https://www.kleinanzeigen.de/s-anzeige/f2-cruise-ws-10-6-11-6-stand-up-paddle-board-windsurf-sup-neu/2527308425-230-8902", "Link")</f>
        <v/>
      </c>
      <c r="L2659" s="6">
        <f>HYPERLINK("C:\Projects\Kleinanzeigen-Scraper\offer_images\2527308425", "Link")</f>
        <v/>
      </c>
      <c r="M2659" t="inlineStr">
        <is>
          <t>BACKSIDE180</t>
        </is>
      </c>
      <c r="N2659" s="6">
        <f>HYPERLINK("https://www.kleinanzeigen.de/s-bestandsliste.html?userId=83228138", "Link")</f>
        <v/>
      </c>
      <c r="O2659" s="7" t="n">
        <v>45522.63958333333</v>
      </c>
      <c r="P2659" s="3" t="inlineStr">
        <is>
          <t>60.53</t>
        </is>
      </c>
      <c r="Q2659" t="inlineStr">
        <is>
          <t>Bonndorf</t>
        </is>
      </c>
    </row>
    <row r="2660">
      <c r="A2660" t="inlineStr">
        <is>
          <t>8.2</t>
        </is>
      </c>
      <c r="B2660" t="inlineStr">
        <is>
          <t>Naish</t>
        </is>
      </c>
      <c r="C2660" t="inlineStr">
        <is>
          <t>Wave</t>
        </is>
      </c>
      <c r="D2660" s="3" t="inlineStr"/>
      <c r="E2660" t="inlineStr"/>
      <c r="F2660" s="4" t="n">
        <v>75</v>
      </c>
      <c r="G2660" t="inlineStr"/>
      <c r="H2660" t="inlineStr">
        <is>
          <t>66978 Rheinland-Pfalz - Clausen Kreis Pirmasens</t>
        </is>
      </c>
      <c r="I2660" s="5" t="n">
        <v>45522</v>
      </c>
      <c r="J2660" t="inlineStr">
        <is>
          <t>Sold</t>
        </is>
      </c>
      <c r="K2660" s="6">
        <f>HYPERLINK("https://www.kleinanzeigen.de/s-anzeige/surfbrett-nasih-8-2-windsurf-board/2839938191-230-21055", "Link")</f>
        <v/>
      </c>
      <c r="L2660" s="6">
        <f>HYPERLINK("C:\Projects\Kleinanzeigen-Scraper\offer_images\2839938191", "Link")</f>
        <v/>
      </c>
      <c r="M2660" t="inlineStr">
        <is>
          <t>St</t>
        </is>
      </c>
      <c r="N2660" s="6">
        <f>HYPERLINK("https://www.kleinanzeigen.de/s-bestandsliste.html?userId=30486484", "Link")</f>
        <v/>
      </c>
      <c r="O2660" s="7" t="n">
        <v>45522.63944444444</v>
      </c>
      <c r="P2660" s="3" t="inlineStr">
        <is>
          <t>59.44</t>
        </is>
      </c>
      <c r="Q2660" t="inlineStr">
        <is>
          <t>Karlsruhe</t>
        </is>
      </c>
    </row>
    <row r="2661">
      <c r="A2661" t="inlineStr">
        <is>
          <t>240 cm</t>
        </is>
      </c>
      <c r="B2661" t="inlineStr">
        <is>
          <t>F2 Powerglide</t>
        </is>
      </c>
      <c r="C2661" t="inlineStr">
        <is>
          <t>Freeride</t>
        </is>
      </c>
      <c r="D2661" s="3" t="n">
        <v>165</v>
      </c>
      <c r="E2661" t="inlineStr"/>
      <c r="F2661" s="4" t="n">
        <v>290</v>
      </c>
      <c r="G2661" t="inlineStr">
        <is>
          <t>VB</t>
        </is>
      </c>
      <c r="H2661" t="inlineStr">
        <is>
          <t>72141 Baden-Württemberg - Walddorfhäslach</t>
        </is>
      </c>
      <c r="I2661" s="5" t="n">
        <v>45521</v>
      </c>
      <c r="J2661" t="inlineStr">
        <is>
          <t>Sold</t>
        </is>
      </c>
      <c r="K2661" s="6">
        <f>HYPERLINK("https://www.kleinanzeigen.de/s-anzeige/f2-powerglide-165-ltr-anfaenger-und-aufsteiger-windsurf-board/2839333863-230-8891", "Link")</f>
        <v/>
      </c>
      <c r="L2661" s="6">
        <f>HYPERLINK("C:\Projects\Kleinanzeigen-Scraper\offer_images\2839333863", "Link")</f>
        <v/>
      </c>
      <c r="M2661" t="inlineStr">
        <is>
          <t>Katharina &amp; Jan</t>
        </is>
      </c>
      <c r="N2661" s="6">
        <f>HYPERLINK("https://www.kleinanzeigen.de/s-bestandsliste.html?userId=5363487", "Link")</f>
        <v/>
      </c>
      <c r="O2661" s="7" t="n">
        <v>45522.63903935185</v>
      </c>
      <c r="P2661" s="3" t="inlineStr">
        <is>
          <t>16.87</t>
        </is>
      </c>
      <c r="Q2661" t="inlineStr">
        <is>
          <t>Böblingen</t>
        </is>
      </c>
    </row>
    <row r="2662">
      <c r="A2662" t="inlineStr">
        <is>
          <t>250cm x 70cm</t>
        </is>
      </c>
      <c r="B2662" t="inlineStr">
        <is>
          <t>BIC TECHNO</t>
        </is>
      </c>
      <c r="C2662" t="inlineStr"/>
      <c r="D2662" s="3" t="n">
        <v>133</v>
      </c>
      <c r="E2662" t="inlineStr"/>
      <c r="F2662" s="4" t="n">
        <v>450</v>
      </c>
      <c r="G2662" t="inlineStr">
        <is>
          <t>VB</t>
        </is>
      </c>
      <c r="H2662" t="inlineStr">
        <is>
          <t>71229 Baden-Württemberg - Leonberg</t>
        </is>
      </c>
      <c r="I2662" s="5" t="n">
        <v>45521</v>
      </c>
      <c r="J2662" t="inlineStr">
        <is>
          <t>Sold</t>
        </is>
      </c>
      <c r="K2662" s="6">
        <f>HYPERLINK("https://www.kleinanzeigen.de/s-anzeige/bic-techno-133-windsurf-surfbrett/2839163316-230-8441", "Link")</f>
        <v/>
      </c>
      <c r="L2662" s="6">
        <f>HYPERLINK("C:\Projects\Kleinanzeigen-Scraper\offer_images\2839163316", "Link")</f>
        <v/>
      </c>
      <c r="M2662" t="inlineStr">
        <is>
          <t>Andrej</t>
        </is>
      </c>
      <c r="N2662" s="6">
        <f>HYPERLINK("https://www.kleinanzeigen.de/s-bestandsliste.html?userId=2910810", "Link")</f>
        <v/>
      </c>
      <c r="O2662" s="7" t="n">
        <v>45522.63859953704</v>
      </c>
      <c r="P2662" s="3" t="inlineStr">
        <is>
          <t>13.97</t>
        </is>
      </c>
      <c r="Q2662" t="inlineStr">
        <is>
          <t>Böblingen</t>
        </is>
      </c>
    </row>
    <row r="2663">
      <c r="A2663" t="inlineStr">
        <is>
          <t>267cm x 80cm</t>
        </is>
      </c>
      <c r="B2663" t="inlineStr">
        <is>
          <t>Lorch Breeze</t>
        </is>
      </c>
      <c r="C2663" t="inlineStr">
        <is>
          <t>Freeride</t>
        </is>
      </c>
      <c r="D2663" s="3" t="n">
        <v>165</v>
      </c>
      <c r="E2663" t="inlineStr"/>
      <c r="F2663" s="4" t="n">
        <v>599</v>
      </c>
      <c r="G2663" t="inlineStr">
        <is>
          <t>VB</t>
        </is>
      </c>
      <c r="H2663" t="inlineStr">
        <is>
          <t>66497 Rheinland-Pfalz - Contwig</t>
        </is>
      </c>
      <c r="I2663" s="5" t="n">
        <v>45522</v>
      </c>
      <c r="J2663" t="inlineStr">
        <is>
          <t>Sold</t>
        </is>
      </c>
      <c r="K2663" s="6">
        <f>HYPERLINK("https://www.kleinanzeigen.de/s-anzeige/lorch-breeze-l-165l-freeride-windsurf-board/2839876934-230-5242", "Link")</f>
        <v/>
      </c>
      <c r="L2663" s="6">
        <f>HYPERLINK("C:\Projects\Kleinanzeigen-Scraper\offer_images\2839876934", "Link")</f>
        <v/>
      </c>
      <c r="M2663" t="inlineStr">
        <is>
          <t>Torti</t>
        </is>
      </c>
      <c r="N2663" s="6">
        <f>HYPERLINK("https://www.kleinanzeigen.de/s-bestandsliste.html?userId=23904829", "Link")</f>
        <v/>
      </c>
      <c r="O2663" s="7" t="n">
        <v>45522.63858796296</v>
      </c>
      <c r="P2663" s="3" t="inlineStr">
        <is>
          <t>74.00</t>
        </is>
      </c>
      <c r="Q2663" t="inlineStr">
        <is>
          <t>Karlsruhe</t>
        </is>
      </c>
    </row>
    <row r="2664">
      <c r="A2664" t="inlineStr">
        <is>
          <t>96</t>
        </is>
      </c>
      <c r="B2664" t="inlineStr">
        <is>
          <t>F2 Rodeo</t>
        </is>
      </c>
      <c r="C2664" t="inlineStr">
        <is>
          <t>Freestyle</t>
        </is>
      </c>
      <c r="D2664" s="3" t="inlineStr"/>
      <c r="E2664" t="inlineStr">
        <is>
          <t>2013</t>
        </is>
      </c>
      <c r="F2664" s="4" t="n">
        <v>300</v>
      </c>
      <c r="G2664" t="inlineStr">
        <is>
          <t>VB</t>
        </is>
      </c>
      <c r="H2664" t="inlineStr">
        <is>
          <t>70563 Stuttgart</t>
        </is>
      </c>
      <c r="I2664" s="5" t="n">
        <v>45518</v>
      </c>
      <c r="J2664" t="inlineStr">
        <is>
          <t>Sold</t>
        </is>
      </c>
      <c r="K2664" s="6">
        <f>HYPERLINK("https://www.dailydose.de/kleinanzeigen/detail.htm?ai=420862&amp;cf=kk&amp;pg=3&amp;ci=11", "Link")</f>
        <v/>
      </c>
      <c r="L2664" s="6">
        <f>HYPERLINK("C:\Projects\Kleinanzeigen-Scraper\offer_images\420862", "Link")</f>
        <v/>
      </c>
      <c r="M2664" t="inlineStr">
        <is>
          <t>jf_schramm</t>
        </is>
      </c>
      <c r="N2664" s="6">
        <f>HYPERLINK("https://www.dailydose.de/kleinanzeigen/user/103", "Link")</f>
        <v/>
      </c>
      <c r="O2664" s="7" t="n">
        <v>45518.57910879629</v>
      </c>
      <c r="P2664" s="3" t="inlineStr">
        <is>
          <t>10.79</t>
        </is>
      </c>
      <c r="Q2664" t="inlineStr">
        <is>
          <t>Böblingen</t>
        </is>
      </c>
    </row>
    <row r="2665">
      <c r="A2665" t="inlineStr">
        <is>
          <t>78</t>
        </is>
      </c>
      <c r="B2665" t="inlineStr">
        <is>
          <t>Patrik Trailer Wave</t>
        </is>
      </c>
      <c r="C2665" t="inlineStr">
        <is>
          <t>Wave</t>
        </is>
      </c>
      <c r="D2665" s="3" t="inlineStr"/>
      <c r="E2665" t="inlineStr">
        <is>
          <t>2015</t>
        </is>
      </c>
      <c r="F2665" s="4" t="n">
        <v>350</v>
      </c>
      <c r="G2665" t="inlineStr">
        <is>
          <t>VB</t>
        </is>
      </c>
      <c r="H2665" t="inlineStr">
        <is>
          <t>70563 Stuttgart</t>
        </is>
      </c>
      <c r="I2665" s="5" t="n">
        <v>45518</v>
      </c>
      <c r="J2665" t="inlineStr">
        <is>
          <t>Sold</t>
        </is>
      </c>
      <c r="K2665" s="6">
        <f>HYPERLINK("https://www.dailydose.de/kleinanzeigen/detail.htm?ai=420858&amp;cf=kk&amp;pg=3&amp;ci=11", "Link")</f>
        <v/>
      </c>
      <c r="L2665" s="6">
        <f>HYPERLINK("C:\Projects\Kleinanzeigen-Scraper\offer_images\420858", "Link")</f>
        <v/>
      </c>
      <c r="M2665" t="inlineStr">
        <is>
          <t>jf_schramm</t>
        </is>
      </c>
      <c r="N2665" s="6">
        <f>HYPERLINK("https://www.dailydose.de/kleinanzeigen/user/103", "Link")</f>
        <v/>
      </c>
      <c r="O2665" s="7" t="n">
        <v>45518.57858796296</v>
      </c>
      <c r="P2665" s="3" t="inlineStr">
        <is>
          <t>10.79</t>
        </is>
      </c>
      <c r="Q2665" t="inlineStr">
        <is>
          <t>Böblingen</t>
        </is>
      </c>
    </row>
    <row r="2666">
      <c r="A2666" t="inlineStr">
        <is>
          <t>94</t>
        </is>
      </c>
      <c r="B2666" t="inlineStr">
        <is>
          <t>GOYA</t>
        </is>
      </c>
      <c r="C2666" t="inlineStr">
        <is>
          <t>Quad</t>
        </is>
      </c>
      <c r="D2666" s="3" t="inlineStr"/>
      <c r="E2666" t="inlineStr">
        <is>
          <t>2023</t>
        </is>
      </c>
      <c r="F2666" s="4" t="n">
        <v>1.49</v>
      </c>
      <c r="G2666" t="inlineStr"/>
      <c r="H2666" t="inlineStr">
        <is>
          <t>68519 Hessen - Viernheim</t>
        </is>
      </c>
      <c r="I2666" s="5" t="n">
        <v>45517</v>
      </c>
      <c r="J2666" t="inlineStr">
        <is>
          <t>Sold</t>
        </is>
      </c>
      <c r="K2666" s="6">
        <f>HYPERLINK("https://www.kleinanzeigen.de/s-anzeige/goya-windsurf-brett-custom-quad-94-top-zustand-2023/2836088429-230-4763", "Link")</f>
        <v/>
      </c>
      <c r="L2666" s="6">
        <f>HYPERLINK("C:\Projects\Kleinanzeigen-Scraper\offer_images\2836088429", "Link")</f>
        <v/>
      </c>
      <c r="M2666" t="inlineStr">
        <is>
          <t>MB</t>
        </is>
      </c>
      <c r="N2666" s="6">
        <f>HYPERLINK("https://www.kleinanzeigen.de/s-bestandsliste.html?userId=12000926", "Link")</f>
        <v/>
      </c>
      <c r="O2666" s="7" t="n">
        <v>45518.5783912037</v>
      </c>
      <c r="P2666" s="3" t="inlineStr">
        <is>
          <t>62.64</t>
        </is>
      </c>
      <c r="Q2666" t="inlineStr">
        <is>
          <t>Karlsruhe</t>
        </is>
      </c>
    </row>
    <row r="2667">
      <c r="A2667" t="inlineStr">
        <is>
          <t>96</t>
        </is>
      </c>
      <c r="B2667" t="inlineStr">
        <is>
          <t>F2 Rodeo</t>
        </is>
      </c>
      <c r="C2667" t="inlineStr">
        <is>
          <t>Freestyle</t>
        </is>
      </c>
      <c r="D2667" s="3" t="inlineStr"/>
      <c r="E2667" t="inlineStr">
        <is>
          <t>2013</t>
        </is>
      </c>
      <c r="F2667" s="4" t="n">
        <v>180</v>
      </c>
      <c r="G2667" t="inlineStr">
        <is>
          <t>VB</t>
        </is>
      </c>
      <c r="H2667" t="inlineStr">
        <is>
          <t>70563 Stuttgart - Vaihingen</t>
        </is>
      </c>
      <c r="I2667" s="5" t="n">
        <v>45518</v>
      </c>
      <c r="J2667" t="inlineStr">
        <is>
          <t>Sold</t>
        </is>
      </c>
      <c r="K2667" s="6">
        <f>HYPERLINK("https://www.kleinanzeigen.de/s-anzeige/f2-rodeo-96-freestyleboard-windsurf-2013-/2836553991-230-9301", "Link")</f>
        <v/>
      </c>
      <c r="L2667" s="6">
        <f>HYPERLINK("C:\Projects\Kleinanzeigen-Scraper\offer_images\2836553991", "Link")</f>
        <v/>
      </c>
      <c r="M2667" t="inlineStr">
        <is>
          <t>Jan</t>
        </is>
      </c>
      <c r="N2667" s="6">
        <f>HYPERLINK("https://www.kleinanzeigen.de/s-bestandsliste.html?userId=17864065", "Link")</f>
        <v/>
      </c>
      <c r="O2667" s="7" t="n">
        <v>45518.57788194445</v>
      </c>
      <c r="P2667" s="3" t="inlineStr">
        <is>
          <t>10.79</t>
        </is>
      </c>
      <c r="Q2667" t="inlineStr">
        <is>
          <t>Böblingen</t>
        </is>
      </c>
    </row>
    <row r="2668">
      <c r="A2668" t="inlineStr"/>
      <c r="B2668" t="inlineStr">
        <is>
          <t>RRD Wavecult</t>
        </is>
      </c>
      <c r="C2668" t="inlineStr">
        <is>
          <t>Wave</t>
        </is>
      </c>
      <c r="D2668" s="3" t="n">
        <v>114</v>
      </c>
      <c r="E2668" t="inlineStr">
        <is>
          <t>2018</t>
        </is>
      </c>
      <c r="F2668" s="4" t="n">
        <v>520</v>
      </c>
      <c r="G2668" t="inlineStr"/>
      <c r="H2668" t="inlineStr">
        <is>
          <t>Stuttgart</t>
        </is>
      </c>
      <c r="I2668" s="5" t="n">
        <v>45516</v>
      </c>
      <c r="J2668" t="inlineStr">
        <is>
          <t>Sold</t>
        </is>
      </c>
      <c r="K2668" s="6">
        <f>HYPERLINK("https://www.dailydose.de/kleinanzeigen/detail.htm?ai=420780&amp;cf=kk&amp;pg=3&amp;ci=11", "Link")</f>
        <v/>
      </c>
      <c r="L2668" s="6">
        <f>HYPERLINK("C:\Projects\Kleinanzeigen-Scraper\offer_images\420780", "Link")</f>
        <v/>
      </c>
      <c r="M2668" t="inlineStr">
        <is>
          <t>Roman_96</t>
        </is>
      </c>
      <c r="N2668" s="6">
        <f>HYPERLINK("https://www.dailydose.de/kleinanzeigen/user/20905", "Link")</f>
        <v/>
      </c>
      <c r="O2668" s="7" t="n">
        <v>45516.56016203704</v>
      </c>
      <c r="P2668" s="3" t="inlineStr">
        <is>
          <t>18.71</t>
        </is>
      </c>
      <c r="Q2668" t="inlineStr">
        <is>
          <t>Böblingen</t>
        </is>
      </c>
    </row>
    <row r="2669">
      <c r="A2669" t="inlineStr">
        <is>
          <t>209 cm x 85 cm</t>
        </is>
      </c>
      <c r="B2669" t="inlineStr">
        <is>
          <t>Patrik Foil Comp V2</t>
        </is>
      </c>
      <c r="C2669" t="inlineStr">
        <is>
          <t>Foil Race</t>
        </is>
      </c>
      <c r="D2669" s="3" t="n">
        <v>165</v>
      </c>
      <c r="E2669" t="inlineStr">
        <is>
          <t>2023</t>
        </is>
      </c>
      <c r="F2669" s="4" t="n">
        <v>880</v>
      </c>
      <c r="G2669" t="inlineStr">
        <is>
          <t>VB</t>
        </is>
      </c>
      <c r="H2669" t="inlineStr">
        <is>
          <t>73734 Baden-Württemberg - Esslingen</t>
        </is>
      </c>
      <c r="I2669" s="5" t="n">
        <v>45516</v>
      </c>
      <c r="J2669" t="inlineStr">
        <is>
          <t>Sold</t>
        </is>
      </c>
      <c r="K2669" s="6">
        <f>HYPERLINK("https://www.kleinanzeigen.de/s-anzeige/patrik-foil-comp-v2-85-windsurf-foil-race/2835114558-230-9070", "Link")</f>
        <v/>
      </c>
      <c r="L2669" s="6">
        <f>HYPERLINK("C:\Projects\Kleinanzeigen-Scraper\offer_images\2835114558", "Link")</f>
        <v/>
      </c>
      <c r="M2669" t="inlineStr">
        <is>
          <t>Bernd</t>
        </is>
      </c>
      <c r="N2669" s="6">
        <f>HYPERLINK("https://www.kleinanzeigen.de/s-bestandsliste.html?userId=14836193", "Link")</f>
        <v/>
      </c>
      <c r="O2669" s="7" t="n">
        <v>45516.55893518519</v>
      </c>
      <c r="P2669" s="3" t="inlineStr">
        <is>
          <t>24.93</t>
        </is>
      </c>
      <c r="Q2669" t="inlineStr">
        <is>
          <t>Böblingen</t>
        </is>
      </c>
    </row>
    <row r="2670">
      <c r="A2670" t="inlineStr">
        <is>
          <t>178 cm x 66 cm</t>
        </is>
      </c>
      <c r="B2670" t="inlineStr">
        <is>
          <t>Slingshot Wizard V3</t>
        </is>
      </c>
      <c r="C2670" t="inlineStr">
        <is>
          <t>Foil</t>
        </is>
      </c>
      <c r="D2670" s="3" t="n">
        <v>114</v>
      </c>
      <c r="E2670" t="inlineStr">
        <is>
          <t>2022</t>
        </is>
      </c>
      <c r="F2670" s="4" t="n">
        <v>740</v>
      </c>
      <c r="G2670" t="inlineStr"/>
      <c r="H2670" t="inlineStr">
        <is>
          <t>73734 Baden-Württemberg - Esslingen</t>
        </is>
      </c>
      <c r="I2670" s="5" t="n">
        <v>45516</v>
      </c>
      <c r="J2670" t="inlineStr">
        <is>
          <t>Sold</t>
        </is>
      </c>
      <c r="K2670" s="6">
        <f>HYPERLINK("https://www.kleinanzeigen.de/s-anzeige/slingshot-wizard-v3-114l-windfoil-board-windsurf-foil/2834956574-230-9070", "Link")</f>
        <v/>
      </c>
      <c r="L2670" s="6">
        <f>HYPERLINK("C:\Projects\Kleinanzeigen-Scraper\offer_images\2834956574", "Link")</f>
        <v/>
      </c>
      <c r="M2670" t="inlineStr">
        <is>
          <t>Bernd</t>
        </is>
      </c>
      <c r="N2670" s="6">
        <f>HYPERLINK("https://www.kleinanzeigen.de/s-bestandsliste.html?userId=14836193", "Link")</f>
        <v/>
      </c>
      <c r="O2670" s="7" t="n">
        <v>45516.48439814815</v>
      </c>
      <c r="P2670" s="3" t="inlineStr">
        <is>
          <t>24.93</t>
        </is>
      </c>
      <c r="Q2670" t="inlineStr">
        <is>
          <t>Böblingen</t>
        </is>
      </c>
    </row>
    <row r="2671">
      <c r="A2671" t="inlineStr">
        <is>
          <t>7'8" / 233.7 cm x 31.5" / 80 cm x 4 1/4" / 10.8 cm</t>
        </is>
      </c>
      <c r="B2671" t="inlineStr">
        <is>
          <t>Indiana All in One</t>
        </is>
      </c>
      <c r="C2671" t="inlineStr">
        <is>
          <t>Foil, Wing, SUP</t>
        </is>
      </c>
      <c r="D2671" s="3" t="n">
        <v>135</v>
      </c>
      <c r="E2671" t="inlineStr"/>
      <c r="F2671" s="4" t="n">
        <v>900</v>
      </c>
      <c r="G2671" t="inlineStr">
        <is>
          <t>VB</t>
        </is>
      </c>
      <c r="H2671" t="inlineStr">
        <is>
          <t>76307 Baden-Württemberg - Karlsbad</t>
        </is>
      </c>
      <c r="I2671" s="5" t="n">
        <v>45515</v>
      </c>
      <c r="J2671" t="inlineStr">
        <is>
          <t>Sold</t>
        </is>
      </c>
      <c r="K2671" s="6">
        <f>HYPERLINK("https://www.kleinanzeigen.de/s-anzeige/indiana-all-in-one-135l-foil-wing-sup-windsurf-board/2834692543-230-8119", "Link")</f>
        <v/>
      </c>
      <c r="L2671" s="6">
        <f>HYPERLINK("C:\Projects\Kleinanzeigen-Scraper\offer_images\2834692543", "Link")</f>
        <v/>
      </c>
      <c r="M2671" t="inlineStr">
        <is>
          <t>Frederik Blomann</t>
        </is>
      </c>
      <c r="N2671" s="6">
        <f>HYPERLINK("https://www.kleinanzeigen.de/s-bestandsliste.html?userId=21330826", "Link")</f>
        <v/>
      </c>
      <c r="O2671" s="7" t="n">
        <v>45516.48402777778</v>
      </c>
      <c r="P2671" s="3" t="inlineStr">
        <is>
          <t>13.72</t>
        </is>
      </c>
      <c r="Q2671" t="inlineStr">
        <is>
          <t>Karlsruhe</t>
        </is>
      </c>
    </row>
    <row r="2672">
      <c r="A2672" t="inlineStr">
        <is>
          <t>188 x 70 cm</t>
        </is>
      </c>
      <c r="B2672" t="inlineStr">
        <is>
          <t>FLIKKA Custom</t>
        </is>
      </c>
      <c r="C2672" t="inlineStr">
        <is>
          <t>Foil</t>
        </is>
      </c>
      <c r="D2672" s="3" t="n">
        <v>125</v>
      </c>
      <c r="E2672" t="inlineStr"/>
      <c r="F2672" s="4" t="n">
        <v>500</v>
      </c>
      <c r="G2672" t="inlineStr"/>
      <c r="H2672" t="inlineStr">
        <is>
          <t>79100 Freiburg im Breisgau - Wiehre</t>
        </is>
      </c>
      <c r="I2672" s="5" t="n">
        <v>45515</v>
      </c>
      <c r="J2672" t="inlineStr">
        <is>
          <t>Sold</t>
        </is>
      </c>
      <c r="K2672" s="6">
        <f>HYPERLINK("https://www.kleinanzeigen.de/s-anzeige/flikka-custom-windsurf-foilbrett-188-x-70cm-vol-125l/2834571166-230-9368", "Link")</f>
        <v/>
      </c>
      <c r="L2672" s="6">
        <f>HYPERLINK("C:\Projects\Kleinanzeigen-Scraper\offer_images\2834571166", "Link")</f>
        <v/>
      </c>
      <c r="M2672" t="inlineStr">
        <is>
          <t>MLF</t>
        </is>
      </c>
      <c r="N2672" s="6">
        <f>HYPERLINK("https://www.kleinanzeigen.de/s-bestandsliste.html?userId=53184695", "Link")</f>
        <v/>
      </c>
      <c r="O2672" s="7" t="n">
        <v>45516.48400462963</v>
      </c>
      <c r="P2672" s="3" t="inlineStr">
        <is>
          <t>39.95</t>
        </is>
      </c>
      <c r="Q2672" t="inlineStr">
        <is>
          <t>Bonndorf</t>
        </is>
      </c>
    </row>
    <row r="2673">
      <c r="A2673" t="inlineStr">
        <is>
          <t>242 cm x 66 cm</t>
        </is>
      </c>
      <c r="B2673" t="inlineStr">
        <is>
          <t>Tabou 3S LTD</t>
        </is>
      </c>
      <c r="C2673" t="inlineStr">
        <is>
          <t>Freeride</t>
        </is>
      </c>
      <c r="D2673" s="3" t="n">
        <v>116</v>
      </c>
      <c r="E2673" t="inlineStr"/>
      <c r="F2673" s="4" t="n">
        <v>620</v>
      </c>
      <c r="G2673" t="inlineStr">
        <is>
          <t>VB</t>
        </is>
      </c>
      <c r="H2673" t="inlineStr">
        <is>
          <t>67071 Ludwigshafen</t>
        </is>
      </c>
      <c r="I2673" s="5" t="n">
        <v>45514</v>
      </c>
      <c r="J2673" t="inlineStr">
        <is>
          <t>Sold</t>
        </is>
      </c>
      <c r="K2673" s="6">
        <f>HYPERLINK("https://www.dailydose.de/kleinanzeigen/detail.htm?ai=420698&amp;cf=kk&amp;pg=4&amp;ci=11", "Link")</f>
        <v/>
      </c>
      <c r="L2673" s="6">
        <f>HYPERLINK("C:\Projects\Kleinanzeigen-Scraper\offer_images\420698", "Link")</f>
        <v/>
      </c>
      <c r="M2673" t="inlineStr">
        <is>
          <t>windsun</t>
        </is>
      </c>
      <c r="N2673" s="6">
        <f>HYPERLINK("https://www.dailydose.de/kleinanzeigen/user/25093", "Link")</f>
        <v/>
      </c>
      <c r="O2673" s="7" t="n">
        <v>45515.66128472222</v>
      </c>
      <c r="P2673" s="3" t="inlineStr">
        <is>
          <t>52.34</t>
        </is>
      </c>
      <c r="Q2673" t="inlineStr">
        <is>
          <t>Karlsruhe</t>
        </is>
      </c>
    </row>
    <row r="2674">
      <c r="A2674" t="inlineStr">
        <is>
          <t>280 cm x 75 cm</t>
        </is>
      </c>
      <c r="B2674" t="inlineStr">
        <is>
          <t>F2 X-Speed</t>
        </is>
      </c>
      <c r="C2674" t="inlineStr">
        <is>
          <t>Freeride</t>
        </is>
      </c>
      <c r="D2674" s="3" t="n">
        <v>145</v>
      </c>
      <c r="E2674" t="inlineStr"/>
      <c r="F2674" s="4" t="n">
        <v>250</v>
      </c>
      <c r="G2674" t="inlineStr"/>
      <c r="H2674" t="inlineStr">
        <is>
          <t>71336 Waiblingen bei Stuttgart</t>
        </is>
      </c>
      <c r="I2674" s="5" t="n">
        <v>45515</v>
      </c>
      <c r="J2674" t="inlineStr">
        <is>
          <t>Sold</t>
        </is>
      </c>
      <c r="K2674" s="6">
        <f>HYPERLINK("https://www.dailydose.de/kleinanzeigen/detail.htm?ai=420737&amp;cf=kk&amp;pg=4&amp;ci=11", "Link")</f>
        <v/>
      </c>
      <c r="L2674" s="6">
        <f>HYPERLINK("C:\Projects\Kleinanzeigen-Scraper\offer_images\420737", "Link")</f>
        <v/>
      </c>
      <c r="M2674" t="inlineStr">
        <is>
          <t>Tanja_27</t>
        </is>
      </c>
      <c r="N2674" s="6">
        <f>HYPERLINK("https://www.dailydose.de/kleinanzeigen/user/23000", "Link")</f>
        <v/>
      </c>
      <c r="O2674" s="7" t="n">
        <v>45515.6609375</v>
      </c>
      <c r="P2674" s="3" t="inlineStr">
        <is>
          <t>33.67</t>
        </is>
      </c>
      <c r="Q2674" t="inlineStr">
        <is>
          <t>Böblingen</t>
        </is>
      </c>
    </row>
    <row r="2675">
      <c r="A2675" t="inlineStr">
        <is>
          <t>125</t>
        </is>
      </c>
      <c r="B2675" t="inlineStr">
        <is>
          <t>JP Australia</t>
        </is>
      </c>
      <c r="C2675" t="inlineStr">
        <is>
          <t>Freeride</t>
        </is>
      </c>
      <c r="D2675" s="3" t="n">
        <v>125</v>
      </c>
      <c r="E2675" t="inlineStr"/>
      <c r="F2675" s="4" t="n">
        <v>580</v>
      </c>
      <c r="G2675" t="inlineStr"/>
      <c r="H2675" t="inlineStr">
        <is>
          <t>Stuttgart</t>
        </is>
      </c>
      <c r="I2675" s="5" t="n">
        <v>45514</v>
      </c>
      <c r="J2675" t="inlineStr">
        <is>
          <t>Sold</t>
        </is>
      </c>
      <c r="K2675" s="6">
        <f>HYPERLINK("https://www.dailydose.de/kleinanzeigen/detail.htm?ai=420674&amp;cf=kk&amp;pg=1&amp;ci=11", "Link")</f>
        <v/>
      </c>
      <c r="L2675" s="6">
        <f>HYPERLINK("C:\Projects\Kleinanzeigen-Scraper\offer_images\420674", "Link")</f>
        <v/>
      </c>
      <c r="M2675" t="inlineStr">
        <is>
          <t>Roman_96</t>
        </is>
      </c>
      <c r="N2675" s="6">
        <f>HYPERLINK("https://www.dailydose.de/kleinanzeigen/user/20905", "Link")</f>
        <v/>
      </c>
      <c r="O2675" s="7" t="n">
        <v>45514.64961805556</v>
      </c>
      <c r="P2675" s="3" t="inlineStr">
        <is>
          <t>18.71</t>
        </is>
      </c>
      <c r="Q2675" t="inlineStr">
        <is>
          <t>Böblingen</t>
        </is>
      </c>
    </row>
    <row r="2676">
      <c r="A2676" t="inlineStr">
        <is>
          <t>Approx. 4m</t>
        </is>
      </c>
      <c r="B2676" t="inlineStr"/>
      <c r="C2676" t="inlineStr"/>
      <c r="D2676" s="3" t="inlineStr"/>
      <c r="E2676" t="inlineStr"/>
      <c r="F2676" s="4" t="n">
        <v>80</v>
      </c>
      <c r="G2676" t="inlineStr">
        <is>
          <t>VB</t>
        </is>
      </c>
      <c r="H2676" t="inlineStr">
        <is>
          <t>66917 Rheinland-Pfalz - Knopp-Labach</t>
        </is>
      </c>
      <c r="I2676" s="5" t="n">
        <v>45514</v>
      </c>
      <c r="J2676" t="inlineStr">
        <is>
          <t>Sold</t>
        </is>
      </c>
      <c r="K2676" s="6">
        <f>HYPERLINK("https://www.kleinanzeigen.de/s-anzeige/surfbrett-windsurfen/2833662540-230-27807", "Link")</f>
        <v/>
      </c>
      <c r="L2676" s="6">
        <f>HYPERLINK("C:\Projects\Kleinanzeigen-Scraper\offer_images\2833662540", "Link")</f>
        <v/>
      </c>
      <c r="M2676" t="inlineStr">
        <is>
          <t>Mathias Wolf</t>
        </is>
      </c>
      <c r="N2676" s="6">
        <f>HYPERLINK("https://www.kleinanzeigen.de/s-bestandsliste.html?userId=87060900", "Link")</f>
        <v/>
      </c>
      <c r="O2676" s="7" t="n">
        <v>45514.64770833333</v>
      </c>
      <c r="P2676" s="3" t="inlineStr">
        <is>
          <t>72.24</t>
        </is>
      </c>
      <c r="Q2676" t="inlineStr">
        <is>
          <t>Karlsruhe</t>
        </is>
      </c>
    </row>
    <row r="2677">
      <c r="A2677" t="inlineStr">
        <is>
          <t xml:space="preserve">Dimensions </t>
        </is>
      </c>
      <c r="B2677" t="inlineStr">
        <is>
          <t>Tabou 3S</t>
        </is>
      </c>
      <c r="C2677" t="inlineStr"/>
      <c r="D2677" s="3" t="n">
        <v>86</v>
      </c>
      <c r="E2677" t="inlineStr"/>
      <c r="F2677" s="4" t="n">
        <v>110</v>
      </c>
      <c r="G2677" t="inlineStr"/>
      <c r="H2677" t="inlineStr">
        <is>
          <t>Stuttgart</t>
        </is>
      </c>
      <c r="I2677" s="5" t="n">
        <v>45513</v>
      </c>
      <c r="J2677" t="inlineStr">
        <is>
          <t>Sold</t>
        </is>
      </c>
      <c r="K2677" s="6">
        <f>HYPERLINK("https://www.dailydose.de/kleinanzeigen/detail.htm?ai=420628&amp;cf=kk&amp;pg=1&amp;ci=11", "Link")</f>
        <v/>
      </c>
      <c r="L2677" s="6">
        <f>HYPERLINK("C:\Projects\Kleinanzeigen-Scraper\offer_images\420628", "Link")</f>
        <v/>
      </c>
      <c r="M2677" t="inlineStr">
        <is>
          <t>Roman_96</t>
        </is>
      </c>
      <c r="N2677" s="6">
        <f>HYPERLINK("https://www.dailydose.de/kleinanzeigen/user/20905", "Link")</f>
        <v/>
      </c>
      <c r="O2677" s="7" t="n">
        <v>45514.36422453704</v>
      </c>
      <c r="P2677" s="3" t="inlineStr">
        <is>
          <t>18.71</t>
        </is>
      </c>
      <c r="Q2677" t="inlineStr">
        <is>
          <t>Böblingen</t>
        </is>
      </c>
    </row>
    <row r="2678">
      <c r="A2678" t="inlineStr">
        <is>
          <t>101</t>
        </is>
      </c>
      <c r="B2678" t="inlineStr">
        <is>
          <t>JP Australia</t>
        </is>
      </c>
      <c r="C2678" t="inlineStr">
        <is>
          <t>Freestylewave</t>
        </is>
      </c>
      <c r="D2678" s="3" t="inlineStr"/>
      <c r="E2678" t="inlineStr"/>
      <c r="F2678" s="4" t="n">
        <v>350</v>
      </c>
      <c r="G2678" t="inlineStr"/>
      <c r="H2678" t="inlineStr">
        <is>
          <t>Stuttgart</t>
        </is>
      </c>
      <c r="I2678" s="5" t="n">
        <v>45513</v>
      </c>
      <c r="J2678" t="inlineStr">
        <is>
          <t>Sold</t>
        </is>
      </c>
      <c r="K2678" s="6">
        <f>HYPERLINK("https://www.dailydose.de/kleinanzeigen/detail.htm?ai=420626&amp;cf=kk&amp;pg=1&amp;ci=11", "Link")</f>
        <v/>
      </c>
      <c r="L2678" s="6">
        <f>HYPERLINK("C:\Projects\Kleinanzeigen-Scraper\offer_images\420626", "Link")</f>
        <v/>
      </c>
      <c r="M2678" t="inlineStr">
        <is>
          <t>Roman_96</t>
        </is>
      </c>
      <c r="N2678" s="6">
        <f>HYPERLINK("https://www.dailydose.de/kleinanzeigen/user/20905", "Link")</f>
        <v/>
      </c>
      <c r="O2678" s="7" t="n">
        <v>45514.36386574074</v>
      </c>
      <c r="P2678" s="3" t="inlineStr">
        <is>
          <t>18.71</t>
        </is>
      </c>
      <c r="Q2678" t="inlineStr">
        <is>
          <t>Böblingen</t>
        </is>
      </c>
    </row>
    <row r="2679">
      <c r="A2679" t="inlineStr">
        <is>
          <t>277cm x 56cm</t>
        </is>
      </c>
      <c r="B2679" t="inlineStr">
        <is>
          <t>Mistral Race</t>
        </is>
      </c>
      <c r="C2679" t="inlineStr">
        <is>
          <t>Race</t>
        </is>
      </c>
      <c r="D2679" s="3" t="n">
        <v>103</v>
      </c>
      <c r="E2679" t="inlineStr"/>
      <c r="F2679" s="4" t="n">
        <v>50</v>
      </c>
      <c r="G2679" t="inlineStr"/>
      <c r="H2679" t="inlineStr">
        <is>
          <t>71287 Baden-Württemberg - Weissach</t>
        </is>
      </c>
      <c r="I2679" s="5" t="n">
        <v>45512</v>
      </c>
      <c r="J2679" t="inlineStr">
        <is>
          <t>Sold</t>
        </is>
      </c>
      <c r="K2679" s="6">
        <f>HYPERLINK("https://www.kleinanzeigen.de/s-anzeige/verkaufe-sup-windsurf-brett-mistral-race-carbon-103l-9-8kg-277c/2832234723-241-21520", "Link")</f>
        <v/>
      </c>
      <c r="L2679" s="6">
        <f>HYPERLINK("C:\Projects\Kleinanzeigen-Scraper\offer_images\2832234723", "Link")</f>
        <v/>
      </c>
      <c r="M2679" t="inlineStr">
        <is>
          <t>Marko Szcesny</t>
        </is>
      </c>
      <c r="N2679" s="6">
        <f>HYPERLINK("https://www.kleinanzeigen.de/s-bestandsliste.html?userId=21561346", "Link")</f>
        <v/>
      </c>
      <c r="O2679" s="7" t="n">
        <v>45514.36222222223</v>
      </c>
      <c r="P2679" s="3" t="inlineStr">
        <is>
          <t>19.19</t>
        </is>
      </c>
      <c r="Q2679" t="inlineStr">
        <is>
          <t>Böblingen</t>
        </is>
      </c>
    </row>
    <row r="2680">
      <c r="A2680" t="inlineStr">
        <is>
          <t>350cm x 84cm x 15cm</t>
        </is>
      </c>
      <c r="B2680" t="inlineStr">
        <is>
          <t>F2 TEAM</t>
        </is>
      </c>
      <c r="C2680" t="inlineStr">
        <is>
          <t>Allround, 2-in-1</t>
        </is>
      </c>
      <c r="D2680" s="3" t="inlineStr"/>
      <c r="E2680" t="inlineStr">
        <is>
          <t>2024</t>
        </is>
      </c>
      <c r="F2680" s="4" t="n">
        <v>349</v>
      </c>
      <c r="G2680" t="inlineStr"/>
      <c r="H2680" t="inlineStr">
        <is>
          <t>79235 Baden-Württemberg - Vogtsburg</t>
        </is>
      </c>
      <c r="I2680" s="5" t="n">
        <v>45504</v>
      </c>
      <c r="J2680" t="inlineStr">
        <is>
          <t>Sold</t>
        </is>
      </c>
      <c r="K2680" s="6">
        <f>HYPERLINK("https://www.kleinanzeigen.de/s-anzeige/f2-team-ws-11-5-stand-up-paddle-board-windsurf-2in1-sup-2024-neu/2825941559-230-8902", "Link")</f>
        <v/>
      </c>
      <c r="L2680" s="6">
        <f>HYPERLINK("C:\Projects\Kleinanzeigen-Scraper\offer_images\2825941559", "Link")</f>
        <v/>
      </c>
      <c r="M2680" t="inlineStr">
        <is>
          <t>BACKSIDE180</t>
        </is>
      </c>
      <c r="N2680" s="6">
        <f>HYPERLINK("https://www.kleinanzeigen.de/s-bestandsliste.html?userId=83228138", "Link")</f>
        <v/>
      </c>
      <c r="O2680" s="7" t="n">
        <v>45512.64667824074</v>
      </c>
      <c r="P2680" s="3" t="inlineStr">
        <is>
          <t>60.53</t>
        </is>
      </c>
      <c r="Q2680" t="inlineStr">
        <is>
          <t>Bonndorf</t>
        </is>
      </c>
    </row>
    <row r="2681">
      <c r="A2681" t="inlineStr">
        <is>
          <t>188 x 70 cm</t>
        </is>
      </c>
      <c r="B2681" t="inlineStr">
        <is>
          <t>FLIKKA Custom</t>
        </is>
      </c>
      <c r="C2681" t="inlineStr">
        <is>
          <t>Foil</t>
        </is>
      </c>
      <c r="D2681" s="3" t="n">
        <v>125</v>
      </c>
      <c r="E2681" t="inlineStr"/>
      <c r="F2681" s="4" t="n">
        <v>500</v>
      </c>
      <c r="G2681" t="inlineStr"/>
      <c r="H2681" t="inlineStr">
        <is>
          <t>79100 Freiburg im Breisgau - Wiehre</t>
        </is>
      </c>
      <c r="I2681" s="5" t="n">
        <v>45511</v>
      </c>
      <c r="J2681" t="inlineStr">
        <is>
          <t>Sold</t>
        </is>
      </c>
      <c r="K2681" s="6">
        <f>HYPERLINK("https://www.kleinanzeigen.de/s-anzeige/flikka-custom-windsurf-foilbrett-188-x-70cm-vol-125l/2831704826-230-9368", "Link")</f>
        <v/>
      </c>
      <c r="L2681" s="6">
        <f>HYPERLINK("C:\Projects\Kleinanzeigen-Scraper\offer_images\2831704826", "Link")</f>
        <v/>
      </c>
      <c r="M2681" t="inlineStr">
        <is>
          <t>MLF</t>
        </is>
      </c>
      <c r="N2681" s="6">
        <f>HYPERLINK("https://www.kleinanzeigen.de/s-bestandsliste.html?userId=53184695", "Link")</f>
        <v/>
      </c>
      <c r="O2681" s="7" t="n">
        <v>45512.64631944444</v>
      </c>
      <c r="P2681" s="3" t="inlineStr">
        <is>
          <t>39.95</t>
        </is>
      </c>
      <c r="Q2681" t="inlineStr">
        <is>
          <t>Bonndorf</t>
        </is>
      </c>
    </row>
    <row r="2682">
      <c r="A2682" t="inlineStr">
        <is>
          <t>98</t>
        </is>
      </c>
      <c r="B2682" t="inlineStr">
        <is>
          <t>Goya C3 Custom Thruster</t>
        </is>
      </c>
      <c r="C2682" t="inlineStr">
        <is>
          <t>Freestyle</t>
        </is>
      </c>
      <c r="D2682" s="3" t="inlineStr"/>
      <c r="E2682" t="inlineStr">
        <is>
          <t>2021</t>
        </is>
      </c>
      <c r="F2682" s="4" t="n">
        <v>790</v>
      </c>
      <c r="G2682" t="inlineStr"/>
      <c r="H2682" t="inlineStr">
        <is>
          <t>71691 Freiberg am Neckar</t>
        </is>
      </c>
      <c r="I2682" s="5" t="n">
        <v>45510</v>
      </c>
      <c r="J2682" t="inlineStr">
        <is>
          <t>Sold</t>
        </is>
      </c>
      <c r="K2682" s="6">
        <f>HYPERLINK("https://www.dailydose.de/kleinanzeigen/detail.htm?ai=420529&amp;cf=kk&amp;pg=3&amp;ci=11", "Link")</f>
        <v/>
      </c>
      <c r="L2682" s="6">
        <f>HYPERLINK("C:\Projects\Kleinanzeigen-Scraper\offer_images\420529", "Link")</f>
        <v/>
      </c>
      <c r="M2682" t="inlineStr">
        <is>
          <t>AlexF_69</t>
        </is>
      </c>
      <c r="N2682" s="6">
        <f>HYPERLINK("https://www.dailydose.de/kleinanzeigen/user/3271", "Link")</f>
        <v/>
      </c>
      <c r="O2682" s="7" t="n">
        <v>45511.56039351852</v>
      </c>
      <c r="P2682" s="3" t="inlineStr">
        <is>
          <t>32.49</t>
        </is>
      </c>
      <c r="Q2682" t="inlineStr">
        <is>
          <t>Böblingen</t>
        </is>
      </c>
    </row>
    <row r="2683">
      <c r="A2683" t="inlineStr">
        <is>
          <t>80</t>
        </is>
      </c>
      <c r="B2683" t="inlineStr">
        <is>
          <t>Starboard Evo</t>
        </is>
      </c>
      <c r="C2683" t="inlineStr">
        <is>
          <t>Wave</t>
        </is>
      </c>
      <c r="D2683" s="3" t="inlineStr"/>
      <c r="E2683" t="inlineStr"/>
      <c r="F2683" s="4" t="n">
        <v>90</v>
      </c>
      <c r="G2683" t="inlineStr"/>
      <c r="H2683" t="inlineStr">
        <is>
          <t>Stuttgart</t>
        </is>
      </c>
      <c r="I2683" s="5" t="n">
        <v>45509</v>
      </c>
      <c r="J2683" t="inlineStr">
        <is>
          <t>Sold</t>
        </is>
      </c>
      <c r="K2683" s="6">
        <f>HYPERLINK("https://www.dailydose.de/kleinanzeigen/detail.htm?ai=420482&amp;cf=kk&amp;pg=4&amp;ci=11", "Link")</f>
        <v/>
      </c>
      <c r="L2683" s="6">
        <f>HYPERLINK("C:\Projects\Kleinanzeigen-Scraper\offer_images\420482", "Link")</f>
        <v/>
      </c>
      <c r="M2683" t="inlineStr">
        <is>
          <t>Roman_96</t>
        </is>
      </c>
      <c r="N2683" s="6">
        <f>HYPERLINK("https://www.dailydose.de/kleinanzeigen/user/20905", "Link")</f>
        <v/>
      </c>
      <c r="O2683" s="7" t="n">
        <v>45510.63105324074</v>
      </c>
      <c r="P2683" s="3" t="inlineStr">
        <is>
          <t>18.71</t>
        </is>
      </c>
      <c r="Q2683" t="inlineStr">
        <is>
          <t>Böblingen</t>
        </is>
      </c>
    </row>
    <row r="2684">
      <c r="A2684" t="inlineStr"/>
      <c r="B2684" t="inlineStr">
        <is>
          <t>Hifly Madd</t>
        </is>
      </c>
      <c r="C2684" t="inlineStr">
        <is>
          <t>Crossover</t>
        </is>
      </c>
      <c r="D2684" s="3" t="inlineStr"/>
      <c r="E2684" t="inlineStr"/>
      <c r="F2684" s="4" t="n">
        <v>150</v>
      </c>
      <c r="G2684" t="inlineStr"/>
      <c r="H2684" t="inlineStr">
        <is>
          <t>71088 Holzgerlingen</t>
        </is>
      </c>
      <c r="I2684" s="5" t="n">
        <v>45508</v>
      </c>
      <c r="J2684" t="inlineStr">
        <is>
          <t>Sold</t>
        </is>
      </c>
      <c r="K2684" s="6">
        <f>HYPERLINK("https://www.dailydose.de/kleinanzeigen/detail.htm?ai=420414&amp;cf=kk&amp;pg=4&amp;ci=11", "Link")</f>
        <v/>
      </c>
      <c r="L2684" s="6">
        <f>HYPERLINK("C:\Projects\Kleinanzeigen-Scraper\offer_images\420414", "Link")</f>
        <v/>
      </c>
      <c r="M2684" t="inlineStr">
        <is>
          <t>Markus Mornhinweg</t>
        </is>
      </c>
      <c r="N2684" s="6">
        <f>HYPERLINK("https://www.dailydose.de/kleinanzeigen/user/953", "Link")</f>
        <v/>
      </c>
      <c r="O2684" s="7" t="n">
        <v>45509.55481481482</v>
      </c>
      <c r="P2684" s="3" t="inlineStr">
        <is>
          <t>4.76</t>
        </is>
      </c>
      <c r="Q2684" t="inlineStr">
        <is>
          <t>Böblingen</t>
        </is>
      </c>
    </row>
    <row r="2685">
      <c r="A2685" t="inlineStr">
        <is>
          <t>145</t>
        </is>
      </c>
      <c r="B2685" t="inlineStr">
        <is>
          <t>Tabou Bullit</t>
        </is>
      </c>
      <c r="C2685" t="inlineStr">
        <is>
          <t>Freeride</t>
        </is>
      </c>
      <c r="D2685" s="3" t="inlineStr"/>
      <c r="E2685" t="inlineStr"/>
      <c r="F2685" s="4" t="n">
        <v>500</v>
      </c>
      <c r="G2685" t="inlineStr"/>
      <c r="H2685" t="inlineStr">
        <is>
          <t>79804 Dogern</t>
        </is>
      </c>
      <c r="I2685" s="5" t="n">
        <v>45508</v>
      </c>
      <c r="J2685" t="inlineStr">
        <is>
          <t>Sold</t>
        </is>
      </c>
      <c r="K2685" s="6">
        <f>HYPERLINK("https://www.dailydose.de/kleinanzeigen/detail.htm?ai=420388&amp;cf=kk&amp;pg=4&amp;ci=11", "Link")</f>
        <v/>
      </c>
      <c r="L2685" s="6">
        <f>HYPERLINK("C:\Projects\Kleinanzeigen-Scraper\offer_images\420388", "Link")</f>
        <v/>
      </c>
      <c r="M2685" t="inlineStr">
        <is>
          <t>Tommes_69</t>
        </is>
      </c>
      <c r="N2685" s="6">
        <f>HYPERLINK("https://www.dailydose.de/kleinanzeigen/user/22876", "Link")</f>
        <v/>
      </c>
      <c r="O2685" s="7" t="n">
        <v>45508.57180555556</v>
      </c>
      <c r="P2685" s="3" t="inlineStr">
        <is>
          <t>26.60</t>
        </is>
      </c>
      <c r="Q2685" t="inlineStr">
        <is>
          <t>Bonndorf</t>
        </is>
      </c>
    </row>
    <row r="2686">
      <c r="A2686" t="inlineStr">
        <is>
          <t>188 x 70 cm</t>
        </is>
      </c>
      <c r="B2686" t="inlineStr">
        <is>
          <t>FLIKKA Custom</t>
        </is>
      </c>
      <c r="C2686" t="inlineStr">
        <is>
          <t>Foil</t>
        </is>
      </c>
      <c r="D2686" s="3" t="n">
        <v>125</v>
      </c>
      <c r="E2686" t="inlineStr"/>
      <c r="F2686" s="4" t="n">
        <v>500</v>
      </c>
      <c r="G2686" t="inlineStr"/>
      <c r="H2686" t="inlineStr">
        <is>
          <t>79100 Freiburg im Breisgau - Wiehre</t>
        </is>
      </c>
      <c r="I2686" s="5" t="n">
        <v>45508</v>
      </c>
      <c r="J2686" t="inlineStr">
        <is>
          <t>Sold</t>
        </is>
      </c>
      <c r="K2686" s="6">
        <f>HYPERLINK("https://www.kleinanzeigen.de/s-anzeige/flikka-custom-windsurf-foilbrett-188-x-70cm-vol-125l/2828569757-230-9368", "Link")</f>
        <v/>
      </c>
      <c r="L2686" s="6">
        <f>HYPERLINK("C:\Projects\Kleinanzeigen-Scraper\offer_images\2828569757", "Link")</f>
        <v/>
      </c>
      <c r="M2686" t="inlineStr">
        <is>
          <t>MLF</t>
        </is>
      </c>
      <c r="N2686" s="6">
        <f>HYPERLINK("https://www.kleinanzeigen.de/s-bestandsliste.html?userId=53184695", "Link")</f>
        <v/>
      </c>
      <c r="O2686" s="7" t="n">
        <v>45508.57039351852</v>
      </c>
      <c r="P2686" s="3" t="inlineStr">
        <is>
          <t>39.95</t>
        </is>
      </c>
      <c r="Q2686" t="inlineStr">
        <is>
          <t>Bonndorf</t>
        </is>
      </c>
    </row>
    <row r="2687">
      <c r="A2687" t="inlineStr">
        <is>
          <t>234cm x 60.5cm</t>
        </is>
      </c>
      <c r="B2687" t="inlineStr">
        <is>
          <t>JP Freestyle Wave</t>
        </is>
      </c>
      <c r="C2687" t="inlineStr">
        <is>
          <t>Freestyle Wave</t>
        </is>
      </c>
      <c r="D2687" s="3" t="n">
        <v>93</v>
      </c>
      <c r="E2687" t="inlineStr">
        <is>
          <t>2018</t>
        </is>
      </c>
      <c r="F2687" s="4" t="n">
        <v>300</v>
      </c>
      <c r="G2687" t="inlineStr">
        <is>
          <t>VB</t>
        </is>
      </c>
      <c r="H2687" t="inlineStr">
        <is>
          <t>74379 Ingersheim</t>
        </is>
      </c>
      <c r="I2687" s="5" t="n">
        <v>45506</v>
      </c>
      <c r="J2687" t="inlineStr">
        <is>
          <t>Sold</t>
        </is>
      </c>
      <c r="K2687" s="6">
        <f>HYPERLINK("https://www.dailydose.de/kleinanzeigen/detail.htm?ai=420320&amp;cf=kk&amp;pg=4&amp;ci=11", "Link")</f>
        <v/>
      </c>
      <c r="L2687" s="6">
        <f>HYPERLINK("C:\Projects\Kleinanzeigen-Scraper\offer_images\420320", "Link")</f>
        <v/>
      </c>
      <c r="M2687" t="inlineStr">
        <is>
          <t>Klaus F.</t>
        </is>
      </c>
      <c r="N2687" s="6">
        <f>HYPERLINK("https://www.dailydose.de/kleinanzeigen/user/13170", "Link")</f>
        <v/>
      </c>
      <c r="O2687" s="7" t="n">
        <v>45507.43479166667</v>
      </c>
      <c r="P2687" s="3" t="inlineStr">
        <is>
          <t>35.02</t>
        </is>
      </c>
      <c r="Q2687" t="inlineStr">
        <is>
          <t>Böblingen</t>
        </is>
      </c>
    </row>
    <row r="2688">
      <c r="A2688" t="inlineStr"/>
      <c r="B2688" t="inlineStr">
        <is>
          <t>Fanatic Gecko</t>
        </is>
      </c>
      <c r="C2688" t="inlineStr"/>
      <c r="D2688" s="3" t="n">
        <v>146</v>
      </c>
      <c r="E2688" t="inlineStr"/>
      <c r="F2688" s="4" t="n">
        <v>500</v>
      </c>
      <c r="G2688" t="inlineStr"/>
      <c r="H2688" t="inlineStr">
        <is>
          <t>69221 Baden-Württemberg - Dossenheim</t>
        </is>
      </c>
      <c r="I2688" s="5" t="n">
        <v>45506</v>
      </c>
      <c r="J2688" t="inlineStr">
        <is>
          <t>Sold</t>
        </is>
      </c>
      <c r="K2688" s="6">
        <f>HYPERLINK("https://www.kleinanzeigen.de/s-anzeige/windsurf-board-fanatic-gecko-146-liter/2827454936-230-9168", "Link")</f>
        <v/>
      </c>
      <c r="L2688" s="6">
        <f>HYPERLINK("C:\Projects\Kleinanzeigen-Scraper\offer_images\2827454936", "Link")</f>
        <v/>
      </c>
      <c r="M2688" t="inlineStr">
        <is>
          <t>Tatjana Visak</t>
        </is>
      </c>
      <c r="N2688" s="6">
        <f>HYPERLINK("https://www.kleinanzeigen.de/s-bestandsliste.html?userId=28659844", "Link")</f>
        <v/>
      </c>
      <c r="O2688" s="7" t="n">
        <v>45507.43363425926</v>
      </c>
      <c r="P2688" s="3" t="inlineStr">
        <is>
          <t>53.20</t>
        </is>
      </c>
      <c r="Q2688" t="inlineStr">
        <is>
          <t>Karlsruhe</t>
        </is>
      </c>
    </row>
    <row r="2689">
      <c r="A2689" t="inlineStr"/>
      <c r="B2689" t="inlineStr">
        <is>
          <t>Fanatic Shark</t>
        </is>
      </c>
      <c r="C2689" t="inlineStr"/>
      <c r="D2689" s="3" t="n">
        <v>135</v>
      </c>
      <c r="E2689" t="inlineStr"/>
      <c r="F2689" s="4" t="n">
        <v>300</v>
      </c>
      <c r="G2689" t="inlineStr"/>
      <c r="H2689" t="inlineStr">
        <is>
          <t>64385 Hessen - Reichelsheim (Odenwald)</t>
        </is>
      </c>
      <c r="I2689" s="5" t="n">
        <v>45501</v>
      </c>
      <c r="J2689" t="inlineStr">
        <is>
          <t>Sold</t>
        </is>
      </c>
      <c r="K2689" s="6">
        <f>HYPERLINK("https://www.kleinanzeigen.de/s-anzeige/surfbrett-shark-fanatic-135l-windsurfen/2800322332-230-4480", "Link")</f>
        <v/>
      </c>
      <c r="L2689" s="6">
        <f>HYPERLINK("C:\Projects\Kleinanzeigen-Scraper\offer_images\2800322332", "Link")</f>
        <v/>
      </c>
      <c r="M2689" t="inlineStr">
        <is>
          <t>Yanek</t>
        </is>
      </c>
      <c r="N2689" s="6">
        <f>HYPERLINK("https://www.kleinanzeigen.de/s-bestandsliste.html?userId=21724790", "Link")</f>
        <v/>
      </c>
      <c r="O2689" s="7" t="n">
        <v>45507.43355324074</v>
      </c>
      <c r="P2689" s="3" t="inlineStr">
        <is>
          <t>84.96</t>
        </is>
      </c>
      <c r="Q2689" t="inlineStr">
        <is>
          <t>Karlsruhe</t>
        </is>
      </c>
    </row>
    <row r="2690">
      <c r="A2690" t="inlineStr">
        <is>
          <t>135 L</t>
        </is>
      </c>
      <c r="B2690" t="inlineStr">
        <is>
          <t>JP</t>
        </is>
      </c>
      <c r="C2690" t="inlineStr">
        <is>
          <t>Hydrofoil</t>
        </is>
      </c>
      <c r="D2690" s="3" t="n">
        <v>135</v>
      </c>
      <c r="E2690" t="inlineStr">
        <is>
          <t>2020</t>
        </is>
      </c>
      <c r="F2690" s="4" t="n">
        <v>760</v>
      </c>
      <c r="G2690" t="inlineStr"/>
      <c r="H2690" t="inlineStr">
        <is>
          <t>7964 Filderstadt(Stuttgart)</t>
        </is>
      </c>
      <c r="I2690" s="5" t="n">
        <v>45493</v>
      </c>
      <c r="J2690" t="inlineStr">
        <is>
          <t>Sold</t>
        </is>
      </c>
      <c r="K2690" s="6">
        <f>HYPERLINK("https://www.dailydose.de/kleinanzeigen/detail.htm?ai=419687&amp;cf=kk&amp;pg=5&amp;ci=11", "Link")</f>
        <v/>
      </c>
      <c r="L2690" s="6">
        <f>HYPERLINK("C:\Projects\Kleinanzeigen-Scraper\offer_images\419687", "Link")</f>
        <v/>
      </c>
      <c r="M2690" t="inlineStr">
        <is>
          <t>Dmitry</t>
        </is>
      </c>
      <c r="N2690" s="6">
        <f>HYPERLINK("https://www.dailydose.de/kleinanzeigen/user/7123", "Link")</f>
        <v/>
      </c>
      <c r="O2690" s="7" t="n">
        <v>45505.94828703703</v>
      </c>
      <c r="P2690" s="3" t="inlineStr">
        <is>
          <t>22.06</t>
        </is>
      </c>
      <c r="Q2690" t="inlineStr">
        <is>
          <t>Böblingen</t>
        </is>
      </c>
    </row>
    <row r="2691">
      <c r="A2691" t="inlineStr">
        <is>
          <t>114</t>
        </is>
      </c>
      <c r="B2691" t="inlineStr">
        <is>
          <t>RRD Wavecult</t>
        </is>
      </c>
      <c r="C2691" t="inlineStr">
        <is>
          <t>Wave</t>
        </is>
      </c>
      <c r="D2691" s="3" t="inlineStr"/>
      <c r="E2691" t="inlineStr">
        <is>
          <t>2018</t>
        </is>
      </c>
      <c r="F2691" s="4" t="n">
        <v>580</v>
      </c>
      <c r="G2691" t="inlineStr"/>
      <c r="H2691" t="inlineStr">
        <is>
          <t>Stuttgart</t>
        </is>
      </c>
      <c r="I2691" s="5" t="n">
        <v>45500</v>
      </c>
      <c r="J2691" t="inlineStr">
        <is>
          <t>Sold</t>
        </is>
      </c>
      <c r="K2691" s="6">
        <f>HYPERLINK("https://www.dailydose.de/kleinanzeigen/detail.htm?ai=420057&amp;cf=kk&amp;pg=4&amp;ci=11", "Link")</f>
        <v/>
      </c>
      <c r="L2691" s="6">
        <f>HYPERLINK("C:\Projects\Kleinanzeigen-Scraper\offer_images\420057", "Link")</f>
        <v/>
      </c>
      <c r="M2691" t="inlineStr">
        <is>
          <t>Roman_96</t>
        </is>
      </c>
      <c r="N2691" s="6">
        <f>HYPERLINK("https://www.dailydose.de/kleinanzeigen/user/20905", "Link")</f>
        <v/>
      </c>
      <c r="O2691" s="7" t="n">
        <v>45505.94782407407</v>
      </c>
      <c r="P2691" s="3" t="inlineStr">
        <is>
          <t>18.71</t>
        </is>
      </c>
      <c r="Q2691" t="inlineStr">
        <is>
          <t>Böblingen</t>
        </is>
      </c>
    </row>
    <row r="2692">
      <c r="A2692" t="inlineStr">
        <is>
          <t>80</t>
        </is>
      </c>
      <c r="B2692" t="inlineStr">
        <is>
          <t>Starboard Evo</t>
        </is>
      </c>
      <c r="C2692" t="inlineStr">
        <is>
          <t>Wave</t>
        </is>
      </c>
      <c r="D2692" s="3" t="inlineStr"/>
      <c r="E2692" t="inlineStr"/>
      <c r="F2692" s="4" t="n">
        <v>160</v>
      </c>
      <c r="G2692" t="inlineStr"/>
      <c r="H2692" t="inlineStr">
        <is>
          <t>Stuttgart</t>
        </is>
      </c>
      <c r="I2692" s="5" t="n">
        <v>45490</v>
      </c>
      <c r="J2692" t="inlineStr">
        <is>
          <t>Sold</t>
        </is>
      </c>
      <c r="K2692" s="6">
        <f>HYPERLINK("https://www.dailydose.de/kleinanzeigen/detail.htm?ai=419557&amp;cf=kk&amp;pg=5&amp;ci=11", "Link")</f>
        <v/>
      </c>
      <c r="L2692" s="6">
        <f>HYPERLINK("C:\Projects\Kleinanzeigen-Scraper\offer_images\419557", "Link")</f>
        <v/>
      </c>
      <c r="M2692" t="inlineStr">
        <is>
          <t>Roman_96</t>
        </is>
      </c>
      <c r="N2692" s="6">
        <f>HYPERLINK("https://www.dailydose.de/kleinanzeigen/user/20905", "Link")</f>
        <v/>
      </c>
      <c r="O2692" s="7" t="n">
        <v>45505.94673611111</v>
      </c>
      <c r="P2692" s="3" t="inlineStr">
        <is>
          <t>18.71</t>
        </is>
      </c>
      <c r="Q2692" t="inlineStr">
        <is>
          <t>Böblingen</t>
        </is>
      </c>
    </row>
    <row r="2693">
      <c r="A2693" t="inlineStr">
        <is>
          <t>188 x 70 cm</t>
        </is>
      </c>
      <c r="B2693" t="inlineStr">
        <is>
          <t>FLIKKA Custom</t>
        </is>
      </c>
      <c r="C2693" t="inlineStr">
        <is>
          <t>Foil</t>
        </is>
      </c>
      <c r="D2693" s="3" t="n">
        <v>125</v>
      </c>
      <c r="E2693" t="inlineStr"/>
      <c r="F2693" s="4" t="n">
        <v>500</v>
      </c>
      <c r="G2693" t="inlineStr"/>
      <c r="H2693" t="inlineStr">
        <is>
          <t>79100 Freiburg im Breisgau - Wiehre</t>
        </is>
      </c>
      <c r="I2693" s="5" t="n">
        <v>45505</v>
      </c>
      <c r="J2693" t="inlineStr">
        <is>
          <t>Sold</t>
        </is>
      </c>
      <c r="K2693" s="6">
        <f>HYPERLINK("https://www.kleinanzeigen.de/s-anzeige/flikka-custom-windsurf-foilbrett-188-x-70cm-vol-125l/2826621943-230-9368", "Link")</f>
        <v/>
      </c>
      <c r="L2693" s="6">
        <f>HYPERLINK("C:\Projects\Kleinanzeigen-Scraper\offer_images\2826621943", "Link")</f>
        <v/>
      </c>
      <c r="M2693" t="inlineStr">
        <is>
          <t>MLF</t>
        </is>
      </c>
      <c r="N2693" s="6">
        <f>HYPERLINK("https://www.kleinanzeigen.de/s-bestandsliste.html?userId=53184695", "Link")</f>
        <v/>
      </c>
      <c r="O2693" s="7" t="n">
        <v>45505.83631944445</v>
      </c>
      <c r="P2693" s="3" t="inlineStr">
        <is>
          <t>39.95</t>
        </is>
      </c>
      <c r="Q2693" t="inlineStr">
        <is>
          <t>Bonndorf</t>
        </is>
      </c>
    </row>
    <row r="2694">
      <c r="A2694" t="inlineStr">
        <is>
          <t>235x69</t>
        </is>
      </c>
      <c r="B2694" t="inlineStr">
        <is>
          <t>F2 SXM</t>
        </is>
      </c>
      <c r="C2694" t="inlineStr"/>
      <c r="D2694" s="3" t="n">
        <v>105</v>
      </c>
      <c r="E2694" t="inlineStr"/>
      <c r="F2694" s="4" t="n">
        <v>155</v>
      </c>
      <c r="G2694" t="inlineStr">
        <is>
          <t>VB</t>
        </is>
      </c>
      <c r="H2694" t="inlineStr">
        <is>
          <t>76135 Baden-Württemberg - Karlsruhe</t>
        </is>
      </c>
      <c r="I2694" s="5" t="n">
        <v>45504</v>
      </c>
      <c r="J2694" t="inlineStr">
        <is>
          <t>Sold</t>
        </is>
      </c>
      <c r="K2694" s="6">
        <f>HYPERLINK("https://www.kleinanzeigen.de/s-anzeige/windsurf-brett-f2-sxm-105l-235x69cm/2825913061-230-9193", "Link")</f>
        <v/>
      </c>
      <c r="L2694" s="6">
        <f>HYPERLINK("C:\Projects\Kleinanzeigen-Scraper\offer_images\2825913061", "Link")</f>
        <v/>
      </c>
      <c r="M2694" t="inlineStr">
        <is>
          <t>Petr Novak</t>
        </is>
      </c>
      <c r="N2694" s="6">
        <f>HYPERLINK("https://www.kleinanzeigen.de/s-bestandsliste.html?userId=136481874", "Link")</f>
        <v/>
      </c>
      <c r="O2694" s="7" t="n">
        <v>45505.83631944445</v>
      </c>
      <c r="P2694" s="3" t="inlineStr">
        <is>
          <t>1.79</t>
        </is>
      </c>
      <c r="Q2694" t="inlineStr">
        <is>
          <t>Karlsruhe</t>
        </is>
      </c>
    </row>
    <row r="2695">
      <c r="A2695" t="inlineStr">
        <is>
          <t>232 x 68 cm</t>
        </is>
      </c>
      <c r="B2695" t="inlineStr">
        <is>
          <t>RRD Firemove V4</t>
        </is>
      </c>
      <c r="C2695" t="inlineStr">
        <is>
          <t>Freemove</t>
        </is>
      </c>
      <c r="D2695" s="3" t="n">
        <v>113</v>
      </c>
      <c r="E2695" t="inlineStr">
        <is>
          <t>2022</t>
        </is>
      </c>
      <c r="F2695" s="4" t="n">
        <v>950</v>
      </c>
      <c r="G2695" t="inlineStr"/>
      <c r="H2695" t="inlineStr">
        <is>
          <t>78166 Donaueschingen</t>
        </is>
      </c>
      <c r="I2695" s="5" t="n">
        <v>45503</v>
      </c>
      <c r="J2695" t="inlineStr">
        <is>
          <t>Sold</t>
        </is>
      </c>
      <c r="K2695" s="6">
        <f>HYPERLINK("https://www.dailydose.de/kleinanzeigen/detail.htm?ai=420183&amp;cf=kk&amp;pg=3&amp;ci=11", "Link")</f>
        <v/>
      </c>
      <c r="L2695" s="6">
        <f>HYPERLINK("C:\Projects\Kleinanzeigen-Scraper\offer_images\420183", "Link")</f>
        <v/>
      </c>
      <c r="M2695" t="inlineStr">
        <is>
          <t>Kurt_168</t>
        </is>
      </c>
      <c r="N2695" s="6">
        <f>HYPERLINK("https://www.dailydose.de/kleinanzeigen/user/13902", "Link")</f>
        <v/>
      </c>
      <c r="O2695" s="7" t="n">
        <v>45503.79773148148</v>
      </c>
      <c r="P2695" s="3" t="inlineStr">
        <is>
          <t>19.93</t>
        </is>
      </c>
      <c r="Q2695" t="inlineStr">
        <is>
          <t>Bonndorf</t>
        </is>
      </c>
    </row>
    <row r="2696">
      <c r="A2696" t="inlineStr">
        <is>
          <t>213 cm x 87 cm</t>
        </is>
      </c>
      <c r="B2696" t="inlineStr">
        <is>
          <t>Starboard Foil</t>
        </is>
      </c>
      <c r="C2696" t="inlineStr">
        <is>
          <t>Foil</t>
        </is>
      </c>
      <c r="D2696" s="3" t="n">
        <v>144</v>
      </c>
      <c r="E2696" t="inlineStr"/>
      <c r="F2696" s="4" t="n">
        <v>160</v>
      </c>
      <c r="G2696" t="inlineStr"/>
      <c r="H2696" t="inlineStr">
        <is>
          <t>72226 Baden-Württemberg - Simmersfeld</t>
        </is>
      </c>
      <c r="I2696" s="5" t="n">
        <v>45503</v>
      </c>
      <c r="J2696" t="inlineStr">
        <is>
          <t>Sold</t>
        </is>
      </c>
      <c r="K2696" s="6">
        <f>HYPERLINK("https://www.kleinanzeigen.de/s-anzeige/windsurf-foilboard-windfoilboard-starboard/2825084605-230-8234", "Link")</f>
        <v/>
      </c>
      <c r="L2696" s="6">
        <f>HYPERLINK("C:\Projects\Kleinanzeigen-Scraper\offer_images\2825084605", "Link")</f>
        <v/>
      </c>
      <c r="M2696" t="inlineStr">
        <is>
          <t>L.Bauer</t>
        </is>
      </c>
      <c r="N2696" s="6">
        <f>HYPERLINK("https://www.kleinanzeigen.de/s-bestandsliste.html?userId=35531853", "Link")</f>
        <v/>
      </c>
      <c r="O2696" s="7" t="n">
        <v>45503.79462962963</v>
      </c>
      <c r="P2696" s="3" t="inlineStr">
        <is>
          <t>34.68</t>
        </is>
      </c>
      <c r="Q2696" t="inlineStr">
        <is>
          <t>Böblingen</t>
        </is>
      </c>
    </row>
    <row r="2697">
      <c r="A2697" t="inlineStr">
        <is>
          <t>95</t>
        </is>
      </c>
      <c r="B2697" t="inlineStr">
        <is>
          <t>Starboard Kode</t>
        </is>
      </c>
      <c r="C2697" t="inlineStr"/>
      <c r="D2697" s="3" t="inlineStr"/>
      <c r="E2697" t="inlineStr">
        <is>
          <t>2024</t>
        </is>
      </c>
      <c r="F2697" s="4" t="n">
        <v>1.999</v>
      </c>
      <c r="G2697" t="inlineStr"/>
      <c r="H2697" t="inlineStr">
        <is>
          <t>78166 Donaueschingen</t>
        </is>
      </c>
      <c r="I2697" s="5" t="n">
        <v>45501</v>
      </c>
      <c r="J2697" t="inlineStr">
        <is>
          <t>Sold</t>
        </is>
      </c>
      <c r="K2697" s="6">
        <f>HYPERLINK("https://www.dailydose.de/kleinanzeigen/detail.htm?ai=420121&amp;cf=kk&amp;pg=4&amp;ci=11", "Link")</f>
        <v/>
      </c>
      <c r="L2697" s="6">
        <f>HYPERLINK("C:\Projects\Kleinanzeigen-Scraper\offer_images\420121", "Link")</f>
        <v/>
      </c>
      <c r="M2697" t="inlineStr">
        <is>
          <t>Kurt_168</t>
        </is>
      </c>
      <c r="N2697" s="6">
        <f>HYPERLINK("https://www.dailydose.de/kleinanzeigen/user/13902", "Link")</f>
        <v/>
      </c>
      <c r="O2697" s="7" t="n">
        <v>45502.78612268518</v>
      </c>
      <c r="P2697" s="3" t="inlineStr">
        <is>
          <t>19.93</t>
        </is>
      </c>
      <c r="Q2697" t="inlineStr">
        <is>
          <t>Bonndorf</t>
        </is>
      </c>
    </row>
    <row r="2698">
      <c r="A2698" t="inlineStr"/>
      <c r="B2698" t="inlineStr">
        <is>
          <t>Fanatic Blast LTD</t>
        </is>
      </c>
      <c r="C2698" t="inlineStr">
        <is>
          <t>Freeride</t>
        </is>
      </c>
      <c r="D2698" s="3" t="n">
        <v>117</v>
      </c>
      <c r="E2698" t="inlineStr">
        <is>
          <t>2022</t>
        </is>
      </c>
      <c r="F2698" s="4" t="inlineStr"/>
      <c r="G2698" t="inlineStr"/>
      <c r="H2698" t="inlineStr">
        <is>
          <t>71384 Weinstadt</t>
        </is>
      </c>
      <c r="I2698" s="5" t="n">
        <v>45501</v>
      </c>
      <c r="J2698" t="inlineStr">
        <is>
          <t>Sold</t>
        </is>
      </c>
      <c r="K2698" s="6">
        <f>HYPERLINK("https://www.dailydose.de/kleinanzeigen/detail.htm?ai=420086&amp;cf=kk&amp;pg=4&amp;ci=11", "Link")</f>
        <v/>
      </c>
      <c r="L2698" s="6">
        <f>HYPERLINK("C:\Projects\Kleinanzeigen-Scraper\offer_images\420086", "Link")</f>
        <v/>
      </c>
      <c r="M2698" t="inlineStr">
        <is>
          <t>Buehler</t>
        </is>
      </c>
      <c r="N2698" s="6">
        <f>HYPERLINK("https://www.dailydose.de/kleinanzeigen/user/10895", "Link")</f>
        <v/>
      </c>
      <c r="O2698" s="7" t="n">
        <v>45502.78565972222</v>
      </c>
      <c r="P2698" s="3" t="inlineStr">
        <is>
          <t>33.53</t>
        </is>
      </c>
      <c r="Q2698" t="inlineStr">
        <is>
          <t>Böblingen</t>
        </is>
      </c>
    </row>
    <row r="2699">
      <c r="A2699" t="inlineStr">
        <is>
          <t>210 x 81 x 182</t>
        </is>
      </c>
      <c r="B2699" t="inlineStr">
        <is>
          <t>i99 Aero</t>
        </is>
      </c>
      <c r="C2699" t="inlineStr">
        <is>
          <t>Foilboard</t>
        </is>
      </c>
      <c r="D2699" s="3" t="inlineStr"/>
      <c r="E2699" t="inlineStr"/>
      <c r="F2699" s="4" t="n">
        <v>590</v>
      </c>
      <c r="G2699" t="inlineStr"/>
      <c r="H2699" t="inlineStr">
        <is>
          <t>69198 Baden-Württemberg - Schriesheim</t>
        </is>
      </c>
      <c r="I2699" s="5" t="n">
        <v>45502</v>
      </c>
      <c r="J2699" t="inlineStr">
        <is>
          <t>Sold</t>
        </is>
      </c>
      <c r="K2699" s="6">
        <f>HYPERLINK("https://www.kleinanzeigen.de/s-anzeige/i99-aero-81-foilboard-windsurfen/2823921848-230-8270", "Link")</f>
        <v/>
      </c>
      <c r="L2699" s="6">
        <f>HYPERLINK("C:\Projects\Kleinanzeigen-Scraper\offer_images\2823921848", "Link")</f>
        <v/>
      </c>
      <c r="M2699" t="inlineStr">
        <is>
          <t>L. Götz</t>
        </is>
      </c>
      <c r="N2699" s="6">
        <f>HYPERLINK("https://www.kleinanzeigen.de/s-bestandsliste.html?userId=119868044", "Link")</f>
        <v/>
      </c>
      <c r="O2699" s="7" t="n">
        <v>45502.78400462963</v>
      </c>
      <c r="P2699" s="3" t="inlineStr">
        <is>
          <t>57.18</t>
        </is>
      </c>
      <c r="Q2699" t="inlineStr">
        <is>
          <t>Karlsruhe</t>
        </is>
      </c>
    </row>
    <row r="2700">
      <c r="A2700" t="inlineStr">
        <is>
          <t xml:space="preserve">Dimensions </t>
        </is>
      </c>
      <c r="B2700" t="inlineStr">
        <is>
          <t>Tabou Rocket</t>
        </is>
      </c>
      <c r="C2700" t="inlineStr">
        <is>
          <t>Freeride</t>
        </is>
      </c>
      <c r="D2700" s="3" t="n">
        <v>125</v>
      </c>
      <c r="E2700" t="inlineStr"/>
      <c r="F2700" s="4" t="n">
        <v>429</v>
      </c>
      <c r="G2700" t="inlineStr">
        <is>
          <t>VB</t>
        </is>
      </c>
      <c r="H2700" t="inlineStr">
        <is>
          <t>79102 Baden-Württemberg - Freiburg im Breisgau</t>
        </is>
      </c>
      <c r="I2700" s="5" t="n">
        <v>45449</v>
      </c>
      <c r="J2700" t="inlineStr">
        <is>
          <t>Sold</t>
        </is>
      </c>
      <c r="K2700" s="6">
        <f>HYPERLINK("https://www.kleinanzeigen.de/s-anzeige/tabou-rocket-125-l-windsurf-freeride-freerace-brett-board/2781053404-230-9364", "Link")</f>
        <v/>
      </c>
      <c r="L2700" s="6">
        <f>HYPERLINK("C:\Projects\Kleinanzeigen-Scraper\offer_images\2781053404", "Link")</f>
        <v/>
      </c>
      <c r="M2700" t="inlineStr">
        <is>
          <t>Tobias</t>
        </is>
      </c>
      <c r="N2700" s="6">
        <f>HYPERLINK("https://www.kleinanzeigen.de/s-bestandsliste.html?userId=11261079", "Link")</f>
        <v/>
      </c>
      <c r="O2700" s="7" t="n">
        <v>45502.78384259259</v>
      </c>
      <c r="P2700" s="3" t="inlineStr">
        <is>
          <t>40.20</t>
        </is>
      </c>
      <c r="Q2700" t="inlineStr">
        <is>
          <t>Bonndorf</t>
        </is>
      </c>
    </row>
    <row r="2701">
      <c r="A2701" t="inlineStr">
        <is>
          <t>277 cm</t>
        </is>
      </c>
      <c r="B2701" t="inlineStr">
        <is>
          <t>Mistral Screamer CGI</t>
        </is>
      </c>
      <c r="C2701" t="inlineStr">
        <is>
          <t>Slalom</t>
        </is>
      </c>
      <c r="D2701" s="3" t="n">
        <v>103</v>
      </c>
      <c r="E2701" t="inlineStr"/>
      <c r="F2701" s="4" t="n">
        <v>150</v>
      </c>
      <c r="G2701" t="inlineStr">
        <is>
          <t>VB</t>
        </is>
      </c>
      <c r="H2701" t="inlineStr">
        <is>
          <t>67067 Rheinland-Pfalz - Ludwigshafen</t>
        </is>
      </c>
      <c r="I2701" s="5" t="n">
        <v>45501</v>
      </c>
      <c r="J2701" t="inlineStr">
        <is>
          <t>Sold</t>
        </is>
      </c>
      <c r="K2701" s="6">
        <f>HYPERLINK("https://www.kleinanzeigen.de/s-anzeige/mistral-screamer-cgi-windsurf-board/2823781068-230-5384", "Link")</f>
        <v/>
      </c>
      <c r="L2701" s="6">
        <f>HYPERLINK("C:\Projects\Kleinanzeigen-Scraper\offer_images\2823781068", "Link")</f>
        <v/>
      </c>
      <c r="M2701" t="inlineStr">
        <is>
          <t>GPfeiffer</t>
        </is>
      </c>
      <c r="N2701" s="6">
        <f>HYPERLINK("https://www.kleinanzeigen.de/s-bestandsliste.html?userId=38525979", "Link")</f>
        <v/>
      </c>
      <c r="O2701" s="7" t="n">
        <v>45502.78355324074</v>
      </c>
      <c r="P2701" s="3" t="inlineStr">
        <is>
          <t>50.44</t>
        </is>
      </c>
      <c r="Q2701" t="inlineStr">
        <is>
          <t>Karlsruhe</t>
        </is>
      </c>
    </row>
    <row r="2702">
      <c r="A2702" t="inlineStr">
        <is>
          <t>135</t>
        </is>
      </c>
      <c r="B2702" t="inlineStr">
        <is>
          <t>MB Board Bobcat</t>
        </is>
      </c>
      <c r="C2702" t="inlineStr">
        <is>
          <t>Freeride</t>
        </is>
      </c>
      <c r="D2702" s="3" t="inlineStr"/>
      <c r="E2702" t="inlineStr"/>
      <c r="F2702" s="4" t="n">
        <v>570</v>
      </c>
      <c r="G2702" t="inlineStr"/>
      <c r="H2702" t="inlineStr">
        <is>
          <t>69198 Baden-Württemberg - Schriesheim</t>
        </is>
      </c>
      <c r="I2702" s="5" t="n">
        <v>45502</v>
      </c>
      <c r="J2702" t="inlineStr">
        <is>
          <t>Sold</t>
        </is>
      </c>
      <c r="K2702" s="6">
        <f>HYPERLINK("https://www.kleinanzeigen.de/s-anzeige/mb-board-bobcat-135-windsurfboard-windsurfen/2823907493-230-8270", "Link")</f>
        <v/>
      </c>
      <c r="L2702" s="6">
        <f>HYPERLINK("C:\Projects\Kleinanzeigen-Scraper\offer_images\2823907493", "Link")</f>
        <v/>
      </c>
      <c r="M2702" t="inlineStr">
        <is>
          <t>L. Götz</t>
        </is>
      </c>
      <c r="N2702" s="6">
        <f>HYPERLINK("https://www.kleinanzeigen.de/s-bestandsliste.html?userId=119868044", "Link")</f>
        <v/>
      </c>
      <c r="O2702" s="7" t="n">
        <v>45502.78335648148</v>
      </c>
      <c r="P2702" s="3" t="inlineStr">
        <is>
          <t>57.18</t>
        </is>
      </c>
      <c r="Q2702" t="inlineStr">
        <is>
          <t>Karlsruhe</t>
        </is>
      </c>
    </row>
    <row r="2703">
      <c r="A2703" t="inlineStr">
        <is>
          <t>250 x 78 cm</t>
        </is>
      </c>
      <c r="B2703" t="inlineStr">
        <is>
          <t>Fanatic Eagle LTD</t>
        </is>
      </c>
      <c r="C2703" t="inlineStr">
        <is>
          <t>Freeride</t>
        </is>
      </c>
      <c r="D2703" s="3" t="n">
        <v>150</v>
      </c>
      <c r="E2703" t="inlineStr">
        <is>
          <t>2023</t>
        </is>
      </c>
      <c r="F2703" s="4" t="n">
        <v>1250</v>
      </c>
      <c r="G2703" t="inlineStr"/>
      <c r="H2703" t="inlineStr">
        <is>
          <t>68794 Oberhausen-Rheinhausen</t>
        </is>
      </c>
      <c r="I2703" s="5" t="n">
        <v>45493</v>
      </c>
      <c r="J2703" t="inlineStr">
        <is>
          <t>Sold</t>
        </is>
      </c>
      <c r="K2703" s="6">
        <f>HYPERLINK("https://www.dailydose.de/kleinanzeigen/detail.htm?ai=419684&amp;cf=kk&amp;pg=5&amp;ci=11", "Link")</f>
        <v/>
      </c>
      <c r="L2703" s="6">
        <f>HYPERLINK("C:\Projects\Kleinanzeigen-Scraper\offer_images\419684", "Link")</f>
        <v/>
      </c>
      <c r="M2703" t="inlineStr">
        <is>
          <t>Thorsten-007</t>
        </is>
      </c>
      <c r="N2703" s="6">
        <f>HYPERLINK("https://www.dailydose.de/kleinanzeigen/user/26206", "Link")</f>
        <v/>
      </c>
      <c r="O2703" s="7" t="n">
        <v>45501.4165625</v>
      </c>
      <c r="P2703" s="3" t="inlineStr">
        <is>
          <t>30.38</t>
        </is>
      </c>
      <c r="Q2703" t="inlineStr">
        <is>
          <t>Karlsruhe</t>
        </is>
      </c>
    </row>
    <row r="2704">
      <c r="A2704" t="inlineStr">
        <is>
          <t>267cm x 80cm</t>
        </is>
      </c>
      <c r="B2704" t="inlineStr">
        <is>
          <t>Lorch Breeze L Silverline</t>
        </is>
      </c>
      <c r="C2704" t="inlineStr">
        <is>
          <t>Freeride</t>
        </is>
      </c>
      <c r="D2704" s="3" t="n">
        <v>165</v>
      </c>
      <c r="E2704" t="inlineStr"/>
      <c r="F2704" s="4" t="n">
        <v>750</v>
      </c>
      <c r="G2704" t="inlineStr">
        <is>
          <t>VB</t>
        </is>
      </c>
      <c r="H2704" t="inlineStr">
        <is>
          <t>66497 Contwig</t>
        </is>
      </c>
      <c r="I2704" s="5" t="n">
        <v>45499</v>
      </c>
      <c r="J2704" t="inlineStr">
        <is>
          <t>Sold</t>
        </is>
      </c>
      <c r="K2704" s="6">
        <f>HYPERLINK("https://www.dailydose.de/kleinanzeigen/detail.htm?ai=419998&amp;cf=kk&amp;pg=4&amp;ci=11", "Link")</f>
        <v/>
      </c>
      <c r="L2704" s="6">
        <f>HYPERLINK("C:\Projects\Kleinanzeigen-Scraper\offer_images\419998", "Link")</f>
        <v/>
      </c>
      <c r="M2704" t="inlineStr">
        <is>
          <t>torti-tm</t>
        </is>
      </c>
      <c r="N2704" s="6">
        <f>HYPERLINK("https://www.dailydose.de/kleinanzeigen/user/24047", "Link")</f>
        <v/>
      </c>
      <c r="O2704" s="7" t="n">
        <v>45501.41648148148</v>
      </c>
      <c r="P2704" s="3" t="inlineStr">
        <is>
          <t>74.00</t>
        </is>
      </c>
      <c r="Q2704" t="inlineStr">
        <is>
          <t>Karlsruhe</t>
        </is>
      </c>
    </row>
    <row r="2705">
      <c r="A2705" t="inlineStr">
        <is>
          <t>232 x 68 cm</t>
        </is>
      </c>
      <c r="B2705" t="inlineStr">
        <is>
          <t>RRD Firemove V4</t>
        </is>
      </c>
      <c r="C2705" t="inlineStr">
        <is>
          <t>Freemove</t>
        </is>
      </c>
      <c r="D2705" s="3" t="n">
        <v>112</v>
      </c>
      <c r="E2705" t="inlineStr">
        <is>
          <t>2022</t>
        </is>
      </c>
      <c r="F2705" s="4" t="n">
        <v>900</v>
      </c>
      <c r="G2705" t="inlineStr"/>
      <c r="H2705" t="inlineStr">
        <is>
          <t>78166 Donaueschingen</t>
        </is>
      </c>
      <c r="I2705" s="5" t="n">
        <v>45493</v>
      </c>
      <c r="J2705" t="inlineStr">
        <is>
          <t>Sold</t>
        </is>
      </c>
      <c r="K2705" s="6">
        <f>HYPERLINK("https://www.dailydose.de/kleinanzeigen/detail.htm?ai=419713&amp;cf=kk&amp;pg=4&amp;ci=11", "Link")</f>
        <v/>
      </c>
      <c r="L2705" s="6">
        <f>HYPERLINK("C:\Projects\Kleinanzeigen-Scraper\offer_images\419713", "Link")</f>
        <v/>
      </c>
      <c r="M2705" t="inlineStr">
        <is>
          <t>Kurt_168</t>
        </is>
      </c>
      <c r="N2705" s="6">
        <f>HYPERLINK("https://www.dailydose.de/kleinanzeigen/user/13902", "Link")</f>
        <v/>
      </c>
      <c r="O2705" s="7" t="n">
        <v>45501.41643518519</v>
      </c>
      <c r="P2705" s="3" t="inlineStr">
        <is>
          <t>19.93</t>
        </is>
      </c>
      <c r="Q2705" t="inlineStr">
        <is>
          <t>Bonndorf</t>
        </is>
      </c>
    </row>
    <row r="2706">
      <c r="A2706" t="inlineStr">
        <is>
          <t>125</t>
        </is>
      </c>
      <c r="B2706" t="inlineStr">
        <is>
          <t>Severne Alien</t>
        </is>
      </c>
      <c r="C2706" t="inlineStr">
        <is>
          <t>Foil</t>
        </is>
      </c>
      <c r="D2706" s="3" t="inlineStr"/>
      <c r="E2706" t="inlineStr">
        <is>
          <t>2023</t>
        </is>
      </c>
      <c r="F2706" s="4" t="n">
        <v>1850</v>
      </c>
      <c r="G2706" t="inlineStr">
        <is>
          <t>VB</t>
        </is>
      </c>
      <c r="H2706" t="inlineStr">
        <is>
          <t>76189 Karlsruhe</t>
        </is>
      </c>
      <c r="I2706" s="5" t="n">
        <v>45491</v>
      </c>
      <c r="J2706" t="inlineStr">
        <is>
          <t>Sold</t>
        </is>
      </c>
      <c r="K2706" s="6">
        <f>HYPERLINK("https://www.dailydose.de/kleinanzeigen/detail.htm?ai=419593&amp;cf=kk&amp;pg=5&amp;ci=11", "Link")</f>
        <v/>
      </c>
      <c r="L2706" s="6">
        <f>HYPERLINK("C:\Projects\Kleinanzeigen-Scraper\offer_images\419593", "Link")</f>
        <v/>
      </c>
      <c r="M2706" t="inlineStr">
        <is>
          <t>Beate_82</t>
        </is>
      </c>
      <c r="N2706" s="6">
        <f>HYPERLINK("https://www.dailydose.de/kleinanzeigen/user/25421", "Link")</f>
        <v/>
      </c>
      <c r="O2706" s="7" t="n">
        <v>45501.4158912037</v>
      </c>
      <c r="P2706" s="3" t="inlineStr">
        <is>
          <t>5.11</t>
        </is>
      </c>
      <c r="Q2706" t="inlineStr">
        <is>
          <t>Karlsruhe</t>
        </is>
      </c>
    </row>
    <row r="2707">
      <c r="A2707" t="inlineStr">
        <is>
          <t>122</t>
        </is>
      </c>
      <c r="B2707" t="inlineStr">
        <is>
          <t>JP</t>
        </is>
      </c>
      <c r="C2707" t="inlineStr"/>
      <c r="D2707" s="3" t="inlineStr"/>
      <c r="E2707" t="inlineStr">
        <is>
          <t>2022 or 2023</t>
        </is>
      </c>
      <c r="F2707" s="4" t="n">
        <v>1</v>
      </c>
      <c r="G2707" t="inlineStr"/>
      <c r="H2707" t="inlineStr">
        <is>
          <t>76337 Waldbronn</t>
        </is>
      </c>
      <c r="I2707" s="5" t="n">
        <v>45499</v>
      </c>
      <c r="J2707" t="inlineStr">
        <is>
          <t>Sold</t>
        </is>
      </c>
      <c r="K2707" s="6">
        <f>HYPERLINK("https://www.dailydose.de/kleinanzeigen/detail.htm?ai=420011&amp;cf=kk&amp;pg=4&amp;ci=11", "Link")</f>
        <v/>
      </c>
      <c r="L2707" s="6">
        <f>HYPERLINK("C:\Projects\Kleinanzeigen-Scraper\offer_images\420011", "Link")</f>
        <v/>
      </c>
      <c r="M2707" t="inlineStr">
        <is>
          <t>Andi_54</t>
        </is>
      </c>
      <c r="N2707" s="6">
        <f>HYPERLINK("https://www.dailydose.de/kleinanzeigen/user/3421", "Link")</f>
        <v/>
      </c>
      <c r="O2707" s="7" t="n">
        <v>45501.41553240741</v>
      </c>
      <c r="P2707" s="3" t="inlineStr">
        <is>
          <t>10.36</t>
        </is>
      </c>
      <c r="Q2707" t="inlineStr">
        <is>
          <t>Karlsruhe</t>
        </is>
      </c>
    </row>
    <row r="2708">
      <c r="A2708" t="inlineStr">
        <is>
          <t>178cm x 66cm</t>
        </is>
      </c>
      <c r="B2708" t="inlineStr">
        <is>
          <t>Slingshot Wizard V4</t>
        </is>
      </c>
      <c r="C2708" t="inlineStr"/>
      <c r="D2708" s="3" t="n">
        <v>114</v>
      </c>
      <c r="E2708" t="inlineStr">
        <is>
          <t>2024</t>
        </is>
      </c>
      <c r="F2708" s="4" t="n">
        <v>1490</v>
      </c>
      <c r="G2708" t="inlineStr"/>
      <c r="H2708" t="inlineStr">
        <is>
          <t>72275 Alpirsbach</t>
        </is>
      </c>
      <c r="I2708" s="5" t="n">
        <v>45473</v>
      </c>
      <c r="J2708" t="inlineStr">
        <is>
          <t>Sold</t>
        </is>
      </c>
      <c r="K2708" s="6">
        <f>HYPERLINK("https://www.dailydose.de/kleinanzeigen/detail.htm?ai=418702&amp;cf=kk&amp;pg=9&amp;ci=11", "Link")</f>
        <v/>
      </c>
      <c r="L2708" s="6">
        <f>HYPERLINK("C:\Projects\Kleinanzeigen-Scraper\offer_images\418702", "Link")</f>
        <v/>
      </c>
      <c r="M2708" t="inlineStr">
        <is>
          <t>Foiloli</t>
        </is>
      </c>
      <c r="N2708" s="6">
        <f>HYPERLINK("https://www.dailydose.de/kleinanzeigen/user/26084", "Link")</f>
        <v/>
      </c>
      <c r="O2708" s="7" t="n">
        <v>45501.41525462963</v>
      </c>
      <c r="P2708" s="3" t="inlineStr">
        <is>
          <t>55.93</t>
        </is>
      </c>
      <c r="Q2708" t="inlineStr">
        <is>
          <t>Böblingen</t>
        </is>
      </c>
    </row>
    <row r="2709">
      <c r="A2709" t="inlineStr">
        <is>
          <t>230 x 74 cm</t>
        </is>
      </c>
      <c r="B2709" t="inlineStr">
        <is>
          <t>Simmer Style Monster</t>
        </is>
      </c>
      <c r="C2709" t="inlineStr">
        <is>
          <t>Freeride</t>
        </is>
      </c>
      <c r="D2709" s="3" t="n">
        <v>116</v>
      </c>
      <c r="E2709" t="inlineStr"/>
      <c r="F2709" s="4" t="n">
        <v>1.55</v>
      </c>
      <c r="G2709" t="inlineStr"/>
      <c r="H2709" t="inlineStr">
        <is>
          <t>78166 Donaueschingen</t>
        </is>
      </c>
      <c r="I2709" s="5" t="n">
        <v>45493</v>
      </c>
      <c r="J2709" t="inlineStr">
        <is>
          <t>Sold</t>
        </is>
      </c>
      <c r="K2709" s="6">
        <f>HYPERLINK("https://www.dailydose.de/kleinanzeigen/detail.htm?ai=419711&amp;cf=kk&amp;pg=5&amp;ci=11", "Link")</f>
        <v/>
      </c>
      <c r="L2709" s="6">
        <f>HYPERLINK("C:\Projects\Kleinanzeigen-Scraper\offer_images\419711", "Link")</f>
        <v/>
      </c>
      <c r="M2709" t="inlineStr">
        <is>
          <t>Kurt_168</t>
        </is>
      </c>
      <c r="N2709" s="6">
        <f>HYPERLINK("https://www.dailydose.de/kleinanzeigen/user/13902", "Link")</f>
        <v/>
      </c>
      <c r="O2709" s="7" t="n">
        <v>45501.41520833333</v>
      </c>
      <c r="P2709" s="3" t="inlineStr">
        <is>
          <t>19.93</t>
        </is>
      </c>
      <c r="Q2709" t="inlineStr">
        <is>
          <t>Bonndorf</t>
        </is>
      </c>
    </row>
    <row r="2710">
      <c r="A2710" t="inlineStr">
        <is>
          <t>98</t>
        </is>
      </c>
      <c r="B2710" t="inlineStr">
        <is>
          <t>Goya C3 Custom Thruster</t>
        </is>
      </c>
      <c r="C2710" t="inlineStr">
        <is>
          <t>Wave</t>
        </is>
      </c>
      <c r="D2710" s="3" t="inlineStr"/>
      <c r="E2710" t="inlineStr">
        <is>
          <t>20/21</t>
        </is>
      </c>
      <c r="F2710" s="4" t="n">
        <v>790</v>
      </c>
      <c r="G2710" t="inlineStr"/>
      <c r="H2710" t="inlineStr">
        <is>
          <t>71691 Freiberg am Neckar</t>
        </is>
      </c>
      <c r="I2710" s="5" t="n">
        <v>45481</v>
      </c>
      <c r="J2710" t="inlineStr">
        <is>
          <t>Sold</t>
        </is>
      </c>
      <c r="K2710" s="6">
        <f>HYPERLINK("https://www.dailydose.de/kleinanzeigen/detail.htm?ai=419025&amp;cf=kk&amp;pg=8&amp;ci=11", "Link")</f>
        <v/>
      </c>
      <c r="L2710" s="6">
        <f>HYPERLINK("C:\Projects\Kleinanzeigen-Scraper\offer_images\419025", "Link")</f>
        <v/>
      </c>
      <c r="M2710" t="inlineStr">
        <is>
          <t>AlexF_69</t>
        </is>
      </c>
      <c r="N2710" s="6">
        <f>HYPERLINK("https://www.dailydose.de/kleinanzeigen/user/3271", "Link")</f>
        <v/>
      </c>
      <c r="O2710" s="7" t="n">
        <v>45501.41518518519</v>
      </c>
      <c r="P2710" s="3" t="inlineStr">
        <is>
          <t>32.49</t>
        </is>
      </c>
      <c r="Q2710" t="inlineStr">
        <is>
          <t>Böblingen</t>
        </is>
      </c>
    </row>
    <row r="2711">
      <c r="A2711" t="inlineStr">
        <is>
          <t>242 cm x 66 cm</t>
        </is>
      </c>
      <c r="B2711" t="inlineStr">
        <is>
          <t>Tabou 3S LTD</t>
        </is>
      </c>
      <c r="C2711" t="inlineStr">
        <is>
          <t>Freeride</t>
        </is>
      </c>
      <c r="D2711" s="3" t="n">
        <v>116</v>
      </c>
      <c r="E2711" t="inlineStr"/>
      <c r="F2711" s="4" t="n">
        <v>620</v>
      </c>
      <c r="G2711" t="inlineStr">
        <is>
          <t>VB</t>
        </is>
      </c>
      <c r="H2711" t="inlineStr">
        <is>
          <t>67071 Ludwigshafen</t>
        </is>
      </c>
      <c r="I2711" s="5" t="n">
        <v>45492</v>
      </c>
      <c r="J2711" t="inlineStr">
        <is>
          <t>Sold</t>
        </is>
      </c>
      <c r="K2711" s="6">
        <f>HYPERLINK("https://www.dailydose.de/kleinanzeigen/detail.htm?ai=419661&amp;cf=kk&amp;pg=5&amp;ci=11", "Link")</f>
        <v/>
      </c>
      <c r="L2711" s="6">
        <f>HYPERLINK("C:\Projects\Kleinanzeigen-Scraper\offer_images\419661", "Link")</f>
        <v/>
      </c>
      <c r="M2711" t="inlineStr">
        <is>
          <t>windsun</t>
        </is>
      </c>
      <c r="N2711" s="6">
        <f>HYPERLINK("https://www.dailydose.de/kleinanzeigen/user/25093", "Link")</f>
        <v/>
      </c>
      <c r="O2711" s="7" t="n">
        <v>45501.41510416667</v>
      </c>
      <c r="P2711" s="3" t="inlineStr">
        <is>
          <t>52.34</t>
        </is>
      </c>
      <c r="Q2711" t="inlineStr">
        <is>
          <t>Karlsruhe</t>
        </is>
      </c>
    </row>
    <row r="2712">
      <c r="A2712" t="inlineStr">
        <is>
          <t>233 x 70 cm</t>
        </is>
      </c>
      <c r="B2712" t="inlineStr">
        <is>
          <t>Fanatic Blast</t>
        </is>
      </c>
      <c r="C2712" t="inlineStr">
        <is>
          <t>Freeride</t>
        </is>
      </c>
      <c r="D2712" s="3" t="n">
        <v>130</v>
      </c>
      <c r="E2712" t="inlineStr">
        <is>
          <t>2021</t>
        </is>
      </c>
      <c r="F2712" s="4" t="n">
        <v>750</v>
      </c>
      <c r="G2712" t="inlineStr"/>
      <c r="H2712" t="inlineStr">
        <is>
          <t>70794 Filderstadt(Stuttgart)</t>
        </is>
      </c>
      <c r="I2712" s="5" t="n">
        <v>45493</v>
      </c>
      <c r="J2712" t="inlineStr">
        <is>
          <t>Sold</t>
        </is>
      </c>
      <c r="K2712" s="6">
        <f>HYPERLINK("https://www.dailydose.de/kleinanzeigen/detail.htm?ai=419686&amp;cf=kk&amp;pg=5&amp;ci=11", "Link")</f>
        <v/>
      </c>
      <c r="L2712" s="6">
        <f>HYPERLINK("C:\Projects\Kleinanzeigen-Scraper\offer_images\419686", "Link")</f>
        <v/>
      </c>
      <c r="M2712" t="inlineStr">
        <is>
          <t>Dmitry</t>
        </is>
      </c>
      <c r="N2712" s="6">
        <f>HYPERLINK("https://www.dailydose.de/kleinanzeigen/user/7123", "Link")</f>
        <v/>
      </c>
      <c r="O2712" s="7" t="n">
        <v>45501.41497685185</v>
      </c>
      <c r="P2712" s="3" t="inlineStr">
        <is>
          <t>17.11</t>
        </is>
      </c>
      <c r="Q2712" t="inlineStr">
        <is>
          <t>Böblingen</t>
        </is>
      </c>
    </row>
    <row r="2713">
      <c r="A2713" t="inlineStr">
        <is>
          <t>239 x 81 cm</t>
        </is>
      </c>
      <c r="B2713" t="inlineStr">
        <is>
          <t>Fanatic Gecko 112 LTD</t>
        </is>
      </c>
      <c r="C2713" t="inlineStr">
        <is>
          <t>Freeride</t>
        </is>
      </c>
      <c r="D2713" s="3" t="n">
        <v>112</v>
      </c>
      <c r="E2713" t="inlineStr"/>
      <c r="F2713" s="4" t="n">
        <v>490</v>
      </c>
      <c r="G2713" t="inlineStr"/>
      <c r="H2713" t="inlineStr">
        <is>
          <t>76189 Karlsruhe</t>
        </is>
      </c>
      <c r="I2713" s="5" t="n">
        <v>45494</v>
      </c>
      <c r="J2713" t="inlineStr">
        <is>
          <t>Sold</t>
        </is>
      </c>
      <c r="K2713" s="6">
        <f>HYPERLINK("https://www.dailydose.de/kleinanzeigen/detail.htm?ai=419773&amp;cf=kk&amp;pg=4&amp;ci=11", "Link")</f>
        <v/>
      </c>
      <c r="L2713" s="6">
        <f>HYPERLINK("C:\Projects\Kleinanzeigen-Scraper\offer_images\419773", "Link")</f>
        <v/>
      </c>
      <c r="M2713" t="inlineStr">
        <is>
          <t>Mabu_116</t>
        </is>
      </c>
      <c r="N2713" s="6">
        <f>HYPERLINK("https://www.dailydose.de/kleinanzeigen/user/16486", "Link")</f>
        <v/>
      </c>
      <c r="O2713" s="7" t="n">
        <v>45501.41475694445</v>
      </c>
      <c r="P2713" s="3" t="inlineStr">
        <is>
          <t>5.11</t>
        </is>
      </c>
      <c r="Q2713" t="inlineStr">
        <is>
          <t>Karlsruhe</t>
        </is>
      </c>
    </row>
    <row r="2714">
      <c r="A2714" t="inlineStr"/>
      <c r="B2714" t="inlineStr">
        <is>
          <t>Duotone Freewave SLS</t>
        </is>
      </c>
      <c r="C2714" t="inlineStr">
        <is>
          <t>Freestyle</t>
        </is>
      </c>
      <c r="D2714" s="3" t="n">
        <v>95</v>
      </c>
      <c r="E2714" t="inlineStr">
        <is>
          <t>2024</t>
        </is>
      </c>
      <c r="F2714" s="4" t="n">
        <v>1590</v>
      </c>
      <c r="G2714" t="inlineStr"/>
      <c r="H2714" t="inlineStr">
        <is>
          <t>72275 Alpirsbach</t>
        </is>
      </c>
      <c r="I2714" s="5" t="n">
        <v>45473</v>
      </c>
      <c r="J2714" t="inlineStr">
        <is>
          <t>Sold</t>
        </is>
      </c>
      <c r="K2714" s="6">
        <f>HYPERLINK("https://www.dailydose.de/kleinanzeigen/detail.htm?ai=418700&amp;cf=kk&amp;pg=9&amp;ci=11", "Link")</f>
        <v/>
      </c>
      <c r="L2714" s="6">
        <f>HYPERLINK("C:\Projects\Kleinanzeigen-Scraper\offer_images\418700", "Link")</f>
        <v/>
      </c>
      <c r="M2714" t="inlineStr">
        <is>
          <t>Foiloli</t>
        </is>
      </c>
      <c r="N2714" s="6">
        <f>HYPERLINK("https://www.dailydose.de/kleinanzeigen/user/26084", "Link")</f>
        <v/>
      </c>
      <c r="O2714" s="7" t="n">
        <v>45501.41467592592</v>
      </c>
      <c r="P2714" s="3" t="inlineStr">
        <is>
          <t>55.93</t>
        </is>
      </c>
      <c r="Q2714" t="inlineStr">
        <is>
          <t>Böblingen</t>
        </is>
      </c>
    </row>
    <row r="2715">
      <c r="A2715" t="inlineStr">
        <is>
          <t>227cm x 57.5cm</t>
        </is>
      </c>
      <c r="B2715" t="inlineStr">
        <is>
          <t>Tabou Da Curve</t>
        </is>
      </c>
      <c r="C2715" t="inlineStr">
        <is>
          <t>Wave</t>
        </is>
      </c>
      <c r="D2715" s="3" t="n">
        <v>88</v>
      </c>
      <c r="E2715" t="inlineStr">
        <is>
          <t>2023</t>
        </is>
      </c>
      <c r="F2715" s="4" t="n">
        <v>1199</v>
      </c>
      <c r="G2715" t="inlineStr"/>
      <c r="H2715" t="inlineStr">
        <is>
          <t>76767 Hagenbach nahe Karlsruhe</t>
        </is>
      </c>
      <c r="I2715" s="5" t="n">
        <v>45491</v>
      </c>
      <c r="J2715" t="inlineStr">
        <is>
          <t>Sold</t>
        </is>
      </c>
      <c r="K2715" s="6">
        <f>HYPERLINK("https://www.dailydose.de/kleinanzeigen/detail.htm?ai=419602&amp;cf=kk&amp;pg=5&amp;ci=11", "Link")</f>
        <v/>
      </c>
      <c r="L2715" s="6">
        <f>HYPERLINK("C:\Projects\Kleinanzeigen-Scraper\offer_images\419602", "Link")</f>
        <v/>
      </c>
      <c r="M2715" t="inlineStr">
        <is>
          <t>score112</t>
        </is>
      </c>
      <c r="N2715" s="6">
        <f>HYPERLINK("https://www.dailydose.de/kleinanzeigen/user/10523", "Link")</f>
        <v/>
      </c>
      <c r="O2715" s="7" t="n">
        <v>45501.41461805555</v>
      </c>
      <c r="P2715" s="3" t="inlineStr">
        <is>
          <t>10.31</t>
        </is>
      </c>
      <c r="Q2715" t="inlineStr">
        <is>
          <t>Karlsruhe</t>
        </is>
      </c>
    </row>
    <row r="2716">
      <c r="A2716" t="inlineStr"/>
      <c r="B2716" t="inlineStr">
        <is>
          <t>Mistral Joker</t>
        </is>
      </c>
      <c r="C2716" t="inlineStr">
        <is>
          <t>Freestyle</t>
        </is>
      </c>
      <c r="D2716" s="3" t="n">
        <v>109</v>
      </c>
      <c r="E2716" t="inlineStr"/>
      <c r="F2716" s="4" t="n">
        <v>200</v>
      </c>
      <c r="G2716" t="inlineStr"/>
      <c r="H2716" t="inlineStr">
        <is>
          <t>78187 Geisingen</t>
        </is>
      </c>
      <c r="I2716" s="5" t="n">
        <v>45481</v>
      </c>
      <c r="J2716" t="inlineStr">
        <is>
          <t>Sold</t>
        </is>
      </c>
      <c r="K2716" s="6">
        <f>HYPERLINK("https://www.dailydose.de/kleinanzeigen/detail.htm?ai=419070&amp;cf=kk&amp;pg=8&amp;ci=11", "Link")</f>
        <v/>
      </c>
      <c r="L2716" s="6">
        <f>HYPERLINK("C:\Projects\Kleinanzeigen-Scraper\offer_images\419070", "Link")</f>
        <v/>
      </c>
      <c r="M2716" t="inlineStr">
        <is>
          <t>surferto</t>
        </is>
      </c>
      <c r="N2716" s="6">
        <f>HYPERLINK("https://www.dailydose.de/kleinanzeigen/user/23808", "Link")</f>
        <v/>
      </c>
      <c r="O2716" s="7" t="n">
        <v>45500.97400462963</v>
      </c>
      <c r="P2716" s="3" t="inlineStr">
        <is>
          <t>24.74</t>
        </is>
      </c>
      <c r="Q2716" t="inlineStr">
        <is>
          <t>Bonndorf</t>
        </is>
      </c>
    </row>
    <row r="2717">
      <c r="A2717" t="inlineStr">
        <is>
          <t>145</t>
        </is>
      </c>
      <c r="B2717" t="inlineStr">
        <is>
          <t>Naish Hoover</t>
        </is>
      </c>
      <c r="C2717" t="inlineStr">
        <is>
          <t>Foil</t>
        </is>
      </c>
      <c r="D2717" s="3" t="inlineStr"/>
      <c r="E2717" t="inlineStr">
        <is>
          <t>2020</t>
        </is>
      </c>
      <c r="F2717" s="4" t="n">
        <v>555</v>
      </c>
      <c r="G2717" t="inlineStr"/>
      <c r="H2717" t="inlineStr">
        <is>
          <t>79761 Waldshut</t>
        </is>
      </c>
      <c r="I2717" s="5" t="n">
        <v>45484</v>
      </c>
      <c r="J2717" t="inlineStr">
        <is>
          <t>Sold</t>
        </is>
      </c>
      <c r="K2717" s="6">
        <f>HYPERLINK("https://www.dailydose.de/kleinanzeigen/detail.htm?ai=419174&amp;cf=kk&amp;pg=7&amp;ci=11", "Link")</f>
        <v/>
      </c>
      <c r="L2717" s="6">
        <f>HYPERLINK("C:\Projects\Kleinanzeigen-Scraper\offer_images\419174", "Link")</f>
        <v/>
      </c>
      <c r="M2717" t="inlineStr">
        <is>
          <t>Tommes_69</t>
        </is>
      </c>
      <c r="N2717" s="6">
        <f>HYPERLINK("https://www.dailydose.de/kleinanzeigen/user/22876", "Link")</f>
        <v/>
      </c>
      <c r="O2717" s="7" t="n">
        <v>45500.97385416667</v>
      </c>
      <c r="P2717" s="3" t="inlineStr">
        <is>
          <t>18.78</t>
        </is>
      </c>
      <c r="Q2717" t="inlineStr">
        <is>
          <t>Bonndorf</t>
        </is>
      </c>
    </row>
    <row r="2718">
      <c r="A2718" t="inlineStr">
        <is>
          <t>234 cm x 64 cm</t>
        </is>
      </c>
      <c r="B2718" t="inlineStr">
        <is>
          <t>JP Freestyle Wave</t>
        </is>
      </c>
      <c r="C2718" t="inlineStr">
        <is>
          <t>Freestyle Wave</t>
        </is>
      </c>
      <c r="D2718" s="3" t="n">
        <v>111</v>
      </c>
      <c r="E2718" t="inlineStr"/>
      <c r="F2718" s="4" t="n">
        <v>500</v>
      </c>
      <c r="G2718" t="inlineStr">
        <is>
          <t>VB</t>
        </is>
      </c>
      <c r="H2718" t="inlineStr">
        <is>
          <t>67071 Ludwigshafen</t>
        </is>
      </c>
      <c r="I2718" s="5" t="n">
        <v>45492</v>
      </c>
      <c r="J2718" t="inlineStr">
        <is>
          <t>Sold</t>
        </is>
      </c>
      <c r="K2718" s="6">
        <f>HYPERLINK("https://www.dailydose.de/kleinanzeigen/detail.htm?ai=419659&amp;cf=kk&amp;pg=5&amp;ci=11", "Link")</f>
        <v/>
      </c>
      <c r="L2718" s="6">
        <f>HYPERLINK("C:\Projects\Kleinanzeigen-Scraper\offer_images\419659", "Link")</f>
        <v/>
      </c>
      <c r="M2718" t="inlineStr">
        <is>
          <t>windsun</t>
        </is>
      </c>
      <c r="N2718" s="6">
        <f>HYPERLINK("https://www.dailydose.de/kleinanzeigen/user/25093", "Link")</f>
        <v/>
      </c>
      <c r="O2718" s="7" t="n">
        <v>45500.97378472222</v>
      </c>
      <c r="P2718" s="3" t="inlineStr">
        <is>
          <t>52.34</t>
        </is>
      </c>
      <c r="Q2718" t="inlineStr">
        <is>
          <t>Karlsruhe</t>
        </is>
      </c>
    </row>
    <row r="2719">
      <c r="A2719" t="inlineStr">
        <is>
          <t>230 cm</t>
        </is>
      </c>
      <c r="B2719" t="inlineStr">
        <is>
          <t>Tabou 3S Plus</t>
        </is>
      </c>
      <c r="C2719" t="inlineStr">
        <is>
          <t>Freewave/FreestyleWave/Freemove</t>
        </is>
      </c>
      <c r="D2719" s="3" t="n">
        <v>106</v>
      </c>
      <c r="E2719" t="inlineStr">
        <is>
          <t>2024</t>
        </is>
      </c>
      <c r="F2719" s="4" t="n">
        <v>1269</v>
      </c>
      <c r="G2719" t="inlineStr"/>
      <c r="H2719" t="inlineStr">
        <is>
          <t>76767 Hagenbach nahe Karlsruhe</t>
        </is>
      </c>
      <c r="I2719" s="5" t="n">
        <v>45491</v>
      </c>
      <c r="J2719" t="inlineStr">
        <is>
          <t>Sold</t>
        </is>
      </c>
      <c r="K2719" s="6">
        <f>HYPERLINK("https://www.dailydose.de/kleinanzeigen/detail.htm?ai=419603&amp;cf=kk&amp;pg=5&amp;ci=11", "Link")</f>
        <v/>
      </c>
      <c r="L2719" s="6">
        <f>HYPERLINK("C:\Projects\Kleinanzeigen-Scraper\offer_images\419603", "Link")</f>
        <v/>
      </c>
      <c r="M2719" t="inlineStr">
        <is>
          <t>score112</t>
        </is>
      </c>
      <c r="N2719" s="6">
        <f>HYPERLINK("https://www.dailydose.de/kleinanzeigen/user/10523", "Link")</f>
        <v/>
      </c>
      <c r="O2719" s="7" t="n">
        <v>45500.96458333333</v>
      </c>
      <c r="P2719" s="3" t="inlineStr">
        <is>
          <t>10.31</t>
        </is>
      </c>
      <c r="Q2719" t="inlineStr">
        <is>
          <t>Karlsruhe</t>
        </is>
      </c>
    </row>
    <row r="2720">
      <c r="A2720" t="inlineStr">
        <is>
          <t>238 x 79 cm</t>
        </is>
      </c>
      <c r="B2720" t="inlineStr">
        <is>
          <t>RRD Firemove</t>
        </is>
      </c>
      <c r="C2720" t="inlineStr">
        <is>
          <t>Freeride</t>
        </is>
      </c>
      <c r="D2720" s="3" t="n">
        <v>122</v>
      </c>
      <c r="E2720" t="inlineStr">
        <is>
          <t>2016</t>
        </is>
      </c>
      <c r="F2720" s="4" t="n">
        <v>350</v>
      </c>
      <c r="G2720" t="inlineStr">
        <is>
          <t>VB</t>
        </is>
      </c>
      <c r="H2720" t="inlineStr">
        <is>
          <t>76189 Karlsruhe</t>
        </is>
      </c>
      <c r="I2720" s="5" t="n">
        <v>45491</v>
      </c>
      <c r="J2720" t="inlineStr">
        <is>
          <t>Sold</t>
        </is>
      </c>
      <c r="K2720" s="6">
        <f>HYPERLINK("https://www.dailydose.de/kleinanzeigen/detail.htm?ai=419594&amp;cf=kk&amp;pg=4&amp;ci=11", "Link")</f>
        <v/>
      </c>
      <c r="L2720" s="6">
        <f>HYPERLINK("C:\Projects\Kleinanzeigen-Scraper\offer_images\419594", "Link")</f>
        <v/>
      </c>
      <c r="M2720" t="inlineStr">
        <is>
          <t>Beate_82</t>
        </is>
      </c>
      <c r="N2720" s="6">
        <f>HYPERLINK("https://www.dailydose.de/kleinanzeigen/user/25421", "Link")</f>
        <v/>
      </c>
      <c r="O2720" s="7" t="n">
        <v>45500.96445601852</v>
      </c>
      <c r="P2720" s="3" t="inlineStr">
        <is>
          <t>5.11</t>
        </is>
      </c>
      <c r="Q2720" t="inlineStr">
        <is>
          <t>Karlsruhe</t>
        </is>
      </c>
    </row>
    <row r="2721">
      <c r="A2721" t="inlineStr">
        <is>
          <t>227cm x 57.5cm</t>
        </is>
      </c>
      <c r="B2721" t="inlineStr">
        <is>
          <t>Tabou Da Curve</t>
        </is>
      </c>
      <c r="C2721" t="inlineStr">
        <is>
          <t>Wave</t>
        </is>
      </c>
      <c r="D2721" s="3" t="n">
        <v>88</v>
      </c>
      <c r="E2721" t="inlineStr">
        <is>
          <t>2022</t>
        </is>
      </c>
      <c r="F2721" s="4" t="n">
        <v>899</v>
      </c>
      <c r="G2721" t="inlineStr"/>
      <c r="H2721" t="inlineStr">
        <is>
          <t>76767 Hagnebach nahe Karlsruhe</t>
        </is>
      </c>
      <c r="I2721" s="5" t="n">
        <v>45491</v>
      </c>
      <c r="J2721" t="inlineStr">
        <is>
          <t>Sold</t>
        </is>
      </c>
      <c r="K2721" s="6">
        <f>HYPERLINK("https://www.dailydose.de/kleinanzeigen/detail.htm?ai=419601&amp;cf=kk&amp;pg=5&amp;ci=11", "Link")</f>
        <v/>
      </c>
      <c r="L2721" s="6">
        <f>HYPERLINK("C:\Projects\Kleinanzeigen-Scraper\offer_images\419601", "Link")</f>
        <v/>
      </c>
      <c r="M2721" t="inlineStr">
        <is>
          <t>score112</t>
        </is>
      </c>
      <c r="N2721" s="6">
        <f>HYPERLINK("https://www.dailydose.de/kleinanzeigen/user/10523", "Link")</f>
        <v/>
      </c>
      <c r="O2721" s="7" t="n">
        <v>45500.96325231482</v>
      </c>
      <c r="P2721" s="3" t="inlineStr">
        <is>
          <t>10.31</t>
        </is>
      </c>
      <c r="Q2721" t="inlineStr">
        <is>
          <t>Karlsruhe</t>
        </is>
      </c>
    </row>
    <row r="2722">
      <c r="A2722" t="inlineStr">
        <is>
          <t>237 cm x 81 cm</t>
        </is>
      </c>
      <c r="B2722" t="inlineStr">
        <is>
          <t>Tabou Rocket Plus Team</t>
        </is>
      </c>
      <c r="C2722" t="inlineStr">
        <is>
          <t>Freeride</t>
        </is>
      </c>
      <c r="D2722" s="3" t="n">
        <v>133</v>
      </c>
      <c r="E2722" t="inlineStr"/>
      <c r="F2722" s="4" t="n">
        <v>1400</v>
      </c>
      <c r="G2722" t="inlineStr">
        <is>
          <t>VB</t>
        </is>
      </c>
      <c r="H2722" t="inlineStr">
        <is>
          <t>67071 Ludwigshafen</t>
        </is>
      </c>
      <c r="I2722" s="5" t="n">
        <v>45492</v>
      </c>
      <c r="J2722" t="inlineStr">
        <is>
          <t>Sold</t>
        </is>
      </c>
      <c r="K2722" s="6">
        <f>HYPERLINK("https://www.dailydose.de/kleinanzeigen/detail.htm?ai=419662&amp;cf=kk&amp;pg=5&amp;ci=11", "Link")</f>
        <v/>
      </c>
      <c r="L2722" s="6">
        <f>HYPERLINK("C:\Projects\Kleinanzeigen-Scraper\offer_images\419662", "Link")</f>
        <v/>
      </c>
      <c r="M2722" t="inlineStr">
        <is>
          <t>windsun</t>
        </is>
      </c>
      <c r="N2722" s="6">
        <f>HYPERLINK("https://www.dailydose.de/kleinanzeigen/user/25093", "Link")</f>
        <v/>
      </c>
      <c r="O2722" s="7" t="n">
        <v>45500.96322916666</v>
      </c>
      <c r="P2722" s="3" t="inlineStr">
        <is>
          <t>52.34</t>
        </is>
      </c>
      <c r="Q2722" t="inlineStr">
        <is>
          <t>Karlsruhe</t>
        </is>
      </c>
    </row>
    <row r="2723">
      <c r="A2723" t="inlineStr">
        <is>
          <t>94</t>
        </is>
      </c>
      <c r="B2723" t="inlineStr">
        <is>
          <t>Goya Quad</t>
        </is>
      </c>
      <c r="C2723" t="inlineStr"/>
      <c r="D2723" s="3" t="inlineStr"/>
      <c r="E2723" t="inlineStr">
        <is>
          <t>23/24</t>
        </is>
      </c>
      <c r="F2723" s="4" t="n">
        <v>1590</v>
      </c>
      <c r="G2723" t="inlineStr"/>
      <c r="H2723" t="inlineStr">
        <is>
          <t>68782 Brühl (Baden)</t>
        </is>
      </c>
      <c r="I2723" s="5" t="n">
        <v>45497</v>
      </c>
      <c r="J2723" t="inlineStr">
        <is>
          <t>Sold</t>
        </is>
      </c>
      <c r="K2723" s="6">
        <f>HYPERLINK("https://www.dailydose.de/kleinanzeigen/detail.htm?ai=419929&amp;cf=kk&amp;pg=4&amp;ci=11", "Link")</f>
        <v/>
      </c>
      <c r="L2723" s="6">
        <f>HYPERLINK("C:\Projects\Kleinanzeigen-Scraper\offer_images\419929", "Link")</f>
        <v/>
      </c>
      <c r="M2723" t="inlineStr">
        <is>
          <t>Ingo_49</t>
        </is>
      </c>
      <c r="N2723" s="6">
        <f>HYPERLINK("https://www.dailydose.de/kleinanzeigen/user/20931", "Link")</f>
        <v/>
      </c>
      <c r="O2723" s="7" t="n">
        <v>45500.96303240741</v>
      </c>
      <c r="P2723" s="3" t="inlineStr">
        <is>
          <t>44.92</t>
        </is>
      </c>
      <c r="Q2723" t="inlineStr">
        <is>
          <t>Karlsruhe</t>
        </is>
      </c>
    </row>
    <row r="2724">
      <c r="A2724" t="inlineStr">
        <is>
          <t>330 cm x 67 cm</t>
        </is>
      </c>
      <c r="B2724" t="inlineStr">
        <is>
          <t>F2 Fun &amp; Function</t>
        </is>
      </c>
      <c r="C2724" t="inlineStr"/>
      <c r="D2724" s="3" t="n">
        <v>170</v>
      </c>
      <c r="E2724" t="inlineStr"/>
      <c r="F2724" s="4" t="n">
        <v>120</v>
      </c>
      <c r="G2724" t="inlineStr">
        <is>
          <t>VB</t>
        </is>
      </c>
      <c r="H2724" t="inlineStr">
        <is>
          <t>72224 Baden-Württemberg - Ebhausen</t>
        </is>
      </c>
      <c r="I2724" s="5" t="n">
        <v>45437</v>
      </c>
      <c r="J2724" t="inlineStr">
        <is>
          <t>Sold</t>
        </is>
      </c>
      <c r="K2724" s="6">
        <f>HYPERLINK("https://www.kleinanzeigen.de/s-anzeige/f2-fun-function-surfbrett-windsurfen-top-zustand/2771032752-230-8235", "Link")</f>
        <v/>
      </c>
      <c r="L2724" s="6">
        <f>HYPERLINK("C:\Projects\Kleinanzeigen-Scraper\offer_images\2771032752", "Link")</f>
        <v/>
      </c>
      <c r="M2724" t="inlineStr">
        <is>
          <t>P. Thiel</t>
        </is>
      </c>
      <c r="N2724" s="6">
        <f>HYPERLINK("https://www.kleinanzeigen.de/s-bestandsliste.html?userId=10458185", "Link")</f>
        <v/>
      </c>
      <c r="O2724" s="7" t="n">
        <v>45500.72447916667</v>
      </c>
      <c r="P2724" s="3" t="inlineStr">
        <is>
          <t>23.23</t>
        </is>
      </c>
      <c r="Q2724" t="inlineStr">
        <is>
          <t>Böblingen</t>
        </is>
      </c>
    </row>
    <row r="2725">
      <c r="A2725" t="inlineStr"/>
      <c r="B2725" t="inlineStr">
        <is>
          <t>K2</t>
        </is>
      </c>
      <c r="C2725" t="inlineStr"/>
      <c r="D2725" s="3" t="inlineStr"/>
      <c r="E2725" t="inlineStr"/>
      <c r="F2725" s="4" t="n">
        <v>80</v>
      </c>
      <c r="G2725" t="inlineStr"/>
      <c r="H2725" t="inlineStr">
        <is>
          <t>66424 Saarland - Homburg</t>
        </is>
      </c>
      <c r="I2725" s="5" t="n">
        <v>45452</v>
      </c>
      <c r="J2725" t="inlineStr">
        <is>
          <t>Sold</t>
        </is>
      </c>
      <c r="K2725" s="6">
        <f>HYPERLINK("https://www.kleinanzeigen.de/s-anzeige/windsurfen-brett/2783951853-230-372", "Link")</f>
        <v/>
      </c>
      <c r="L2725" s="6">
        <f>HYPERLINK("C:\Projects\Kleinanzeigen-Scraper\offer_images\2783951853", "Link")</f>
        <v/>
      </c>
      <c r="M2725" t="inlineStr">
        <is>
          <t>Janik</t>
        </is>
      </c>
      <c r="N2725" s="6">
        <f>HYPERLINK("https://www.kleinanzeigen.de/s-bestandsliste.html?userId=128815462", "Link")</f>
        <v/>
      </c>
      <c r="O2725" s="7" t="n">
        <v>45500.72444444444</v>
      </c>
      <c r="P2725" s="3" t="inlineStr">
        <is>
          <t>84.10</t>
        </is>
      </c>
      <c r="Q2725" t="inlineStr">
        <is>
          <t>Karlsruhe</t>
        </is>
      </c>
    </row>
    <row r="2726">
      <c r="A2726" t="inlineStr">
        <is>
          <t>310x63 cm</t>
        </is>
      </c>
      <c r="B2726" t="inlineStr">
        <is>
          <t>Mistral Take Off</t>
        </is>
      </c>
      <c r="C2726" t="inlineStr">
        <is>
          <t>Freeride</t>
        </is>
      </c>
      <c r="D2726" s="3" t="inlineStr"/>
      <c r="E2726" t="inlineStr">
        <is>
          <t>1983/84</t>
        </is>
      </c>
      <c r="F2726" s="4" t="n">
        <v>180</v>
      </c>
      <c r="G2726" t="inlineStr">
        <is>
          <t>VB</t>
        </is>
      </c>
      <c r="H2726" t="inlineStr">
        <is>
          <t>67227 Rheinland-Pfalz - Frankenthal (Pfalz)</t>
        </is>
      </c>
      <c r="I2726" s="5" t="n">
        <v>45437</v>
      </c>
      <c r="J2726" t="inlineStr">
        <is>
          <t>Sold</t>
        </is>
      </c>
      <c r="K2726" s="6">
        <f>HYPERLINK("https://www.kleinanzeigen.de/s-anzeige/mistral-take-off-windsurfen-surfbrett-vintage/2770795239-230-5189", "Link")</f>
        <v/>
      </c>
      <c r="L2726" s="6">
        <f>HYPERLINK("C:\Projects\Kleinanzeigen-Scraper\offer_images\2770795239", "Link")</f>
        <v/>
      </c>
      <c r="M2726" t="inlineStr">
        <is>
          <t>Peters</t>
        </is>
      </c>
      <c r="N2726" s="6">
        <f>HYPERLINK("https://www.kleinanzeigen.de/s-bestandsliste.html?userId=7486204", "Link")</f>
        <v/>
      </c>
      <c r="O2726" s="7" t="n">
        <v>45500.72444444444</v>
      </c>
      <c r="P2726" s="3" t="inlineStr">
        <is>
          <t>59.73</t>
        </is>
      </c>
      <c r="Q2726" t="inlineStr">
        <is>
          <t>Karlsruhe</t>
        </is>
      </c>
    </row>
    <row r="2727">
      <c r="A2727" t="inlineStr">
        <is>
          <t>228 cm x 77 cm</t>
        </is>
      </c>
      <c r="B2727" t="inlineStr">
        <is>
          <t>Starboard Futura</t>
        </is>
      </c>
      <c r="C2727" t="inlineStr">
        <is>
          <t>Freerace</t>
        </is>
      </c>
      <c r="D2727" s="3" t="n">
        <v>77</v>
      </c>
      <c r="E2727" t="inlineStr"/>
      <c r="F2727" s="4" t="n">
        <v>1.09</v>
      </c>
      <c r="G2727" t="inlineStr">
        <is>
          <t>VB</t>
        </is>
      </c>
      <c r="H2727" t="inlineStr">
        <is>
          <t>77654 Baden-Württemberg - Offenburg</t>
        </is>
      </c>
      <c r="I2727" s="5" t="n">
        <v>45452</v>
      </c>
      <c r="J2727" t="inlineStr">
        <is>
          <t>Sold</t>
        </is>
      </c>
      <c r="K2727" s="6">
        <f>HYPERLINK("https://www.kleinanzeigen.de/s-anzeige/neuwertig-starboard-futura-77-windsurf-board-inkl-finne-freerac/2784158583-230-9038", "Link")</f>
        <v/>
      </c>
      <c r="L2727" s="6">
        <f>HYPERLINK("C:\Projects\Kleinanzeigen-Scraper\offer_images\2784158583", "Link")</f>
        <v/>
      </c>
      <c r="M2727" t="inlineStr">
        <is>
          <t>Christian</t>
        </is>
      </c>
      <c r="N2727" s="6">
        <f>HYPERLINK("https://www.kleinanzeigen.de/s-bestandsliste.html?userId=15934602", "Link")</f>
        <v/>
      </c>
      <c r="O2727" s="7" t="n">
        <v>45500.72443287037</v>
      </c>
      <c r="P2727" s="3" t="inlineStr">
        <is>
          <t>66.05</t>
        </is>
      </c>
      <c r="Q2727" t="inlineStr">
        <is>
          <t>Karlsruhe</t>
        </is>
      </c>
    </row>
    <row r="2728">
      <c r="A2728" t="inlineStr">
        <is>
          <t>258 cm x 62.5 cm</t>
        </is>
      </c>
      <c r="B2728" t="inlineStr">
        <is>
          <t>JP</t>
        </is>
      </c>
      <c r="C2728" t="inlineStr">
        <is>
          <t>Freeride</t>
        </is>
      </c>
      <c r="D2728" s="3" t="n">
        <v>104</v>
      </c>
      <c r="E2728" t="inlineStr"/>
      <c r="F2728" s="4" t="n">
        <v>300</v>
      </c>
      <c r="G2728" t="inlineStr"/>
      <c r="H2728" t="inlineStr">
        <is>
          <t>69120 Baden-Württemberg - Heidelberg</t>
        </is>
      </c>
      <c r="I2728" s="5" t="n">
        <v>45182</v>
      </c>
      <c r="J2728" t="inlineStr">
        <is>
          <t>Sold</t>
        </is>
      </c>
      <c r="K2728" s="6">
        <f>HYPERLINK("https://www.kleinanzeigen.de/s-anzeige/vb-jp-super-x-104-lt-windsurf-board-mit-freeride-finne/2544579641-230-9179", "Link")</f>
        <v/>
      </c>
      <c r="L2728" s="6">
        <f>HYPERLINK("C:\Projects\Kleinanzeigen-Scraper\offer_images\2544579641", "Link")</f>
        <v/>
      </c>
      <c r="M2728" t="inlineStr">
        <is>
          <t>Ed.</t>
        </is>
      </c>
      <c r="N2728" s="6">
        <f>HYPERLINK("https://www.kleinanzeigen.de/s-bestandsliste.html?userId=27427325", "Link")</f>
        <v/>
      </c>
      <c r="O2728" s="7" t="n">
        <v>45500.72438657407</v>
      </c>
      <c r="P2728" s="3" t="inlineStr">
        <is>
          <t>49.91</t>
        </is>
      </c>
      <c r="Q2728" t="inlineStr">
        <is>
          <t>Karlsruhe</t>
        </is>
      </c>
    </row>
    <row r="2729">
      <c r="A2729" t="inlineStr">
        <is>
          <t>350 cm x 84 cm x 15 cm</t>
        </is>
      </c>
      <c r="B2729" t="inlineStr">
        <is>
          <t>F2 Team</t>
        </is>
      </c>
      <c r="C2729" t="inlineStr">
        <is>
          <t>Allround</t>
        </is>
      </c>
      <c r="D2729" s="3" t="inlineStr"/>
      <c r="E2729" t="inlineStr"/>
      <c r="F2729" s="4" t="n">
        <v>399</v>
      </c>
      <c r="G2729" t="inlineStr"/>
      <c r="H2729" t="inlineStr">
        <is>
          <t>79235 Baden-Württemberg - Vogtsburg</t>
        </is>
      </c>
      <c r="I2729" s="5" t="n">
        <v>45117</v>
      </c>
      <c r="J2729" t="inlineStr">
        <is>
          <t>Sold</t>
        </is>
      </c>
      <c r="K2729" s="6">
        <f>HYPERLINK("https://www.kleinanzeigen.de/s-anzeige/f2-team-ws-11-5-stand-up-paddle-board-sup-windsurf-paddel-set-neu/2490165768-230-8902", "Link")</f>
        <v/>
      </c>
      <c r="L2729" s="6">
        <f>HYPERLINK("C:\Projects\Kleinanzeigen-Scraper\offer_images\2490165768", "Link")</f>
        <v/>
      </c>
      <c r="M2729" t="inlineStr">
        <is>
          <t>BACKSIDE180</t>
        </is>
      </c>
      <c r="N2729" s="6">
        <f>HYPERLINK("https://www.kleinanzeigen.de/s-bestandsliste.html?userId=83228138", "Link")</f>
        <v/>
      </c>
      <c r="O2729" s="7" t="n">
        <v>45500.724375</v>
      </c>
      <c r="P2729" s="3" t="inlineStr">
        <is>
          <t>60.53</t>
        </is>
      </c>
      <c r="Q2729" t="inlineStr">
        <is>
          <t>Bonndorf</t>
        </is>
      </c>
    </row>
    <row r="2730">
      <c r="A2730" t="inlineStr">
        <is>
          <t>249 x 59 cm</t>
        </is>
      </c>
      <c r="B2730" t="inlineStr">
        <is>
          <t>Exocet Wave</t>
        </is>
      </c>
      <c r="C2730" t="inlineStr">
        <is>
          <t>Wave</t>
        </is>
      </c>
      <c r="D2730" s="3" t="n">
        <v>95</v>
      </c>
      <c r="E2730" t="inlineStr"/>
      <c r="F2730" s="4" t="n">
        <v>55</v>
      </c>
      <c r="G2730" t="inlineStr">
        <is>
          <t>VB</t>
        </is>
      </c>
      <c r="H2730" t="inlineStr">
        <is>
          <t>79249 Baden-Württemberg - Merzhausen</t>
        </is>
      </c>
      <c r="I2730" s="5" t="n">
        <v>45419</v>
      </c>
      <c r="J2730" t="inlineStr">
        <is>
          <t>Sold</t>
        </is>
      </c>
      <c r="K2730" s="6">
        <f>HYPERLINK("https://www.kleinanzeigen.de/s-anzeige/windsurf-board-exocet-wave-95/2755860246-230-9382", "Link")</f>
        <v/>
      </c>
      <c r="L2730" s="6">
        <f>HYPERLINK("C:\Projects\Kleinanzeigen-Scraper\offer_images\2755860246", "Link")</f>
        <v/>
      </c>
      <c r="M2730" t="inlineStr">
        <is>
          <t>G. Groß</t>
        </is>
      </c>
      <c r="N2730" s="6">
        <f>HYPERLINK("https://www.kleinanzeigen.de/s-bestandsliste.html?userId=93931047", "Link")</f>
        <v/>
      </c>
      <c r="O2730" s="7" t="n">
        <v>45500.72428240741</v>
      </c>
      <c r="P2730" s="3" t="inlineStr">
        <is>
          <t>41.53</t>
        </is>
      </c>
      <c r="Q2730" t="inlineStr">
        <is>
          <t>Bonndorf</t>
        </is>
      </c>
    </row>
    <row r="2731">
      <c r="A2731" t="inlineStr"/>
      <c r="B2731" t="inlineStr">
        <is>
          <t>Fanatic Blast</t>
        </is>
      </c>
      <c r="C2731" t="inlineStr">
        <is>
          <t>Freeride</t>
        </is>
      </c>
      <c r="D2731" s="3" t="n">
        <v>117</v>
      </c>
      <c r="E2731" t="inlineStr">
        <is>
          <t>2022</t>
        </is>
      </c>
      <c r="F2731" s="4" t="inlineStr"/>
      <c r="G2731" t="inlineStr">
        <is>
          <t>VB</t>
        </is>
      </c>
      <c r="H2731" t="inlineStr">
        <is>
          <t>71384 Baden-Württemberg - Weinstadt</t>
        </is>
      </c>
      <c r="I2731" s="5" t="n">
        <v>45496</v>
      </c>
      <c r="J2731" t="inlineStr">
        <is>
          <t>Sold</t>
        </is>
      </c>
      <c r="K2731" s="6">
        <f>HYPERLINK("https://www.kleinanzeigen.de/s-anzeige/fanatic-blast-ltd-117-liter-windsurf-board-/2819656136-241-8386", "Link")</f>
        <v/>
      </c>
      <c r="L2731" s="6">
        <f>HYPERLINK("C:\Projects\Kleinanzeigen-Scraper\offer_images\2819656136", "Link")</f>
        <v/>
      </c>
      <c r="M2731" t="inlineStr">
        <is>
          <t>Herr Bühler</t>
        </is>
      </c>
      <c r="N2731" s="6">
        <f>HYPERLINK("https://www.kleinanzeigen.de/s-bestandsliste.html?userId=52329124", "Link")</f>
        <v/>
      </c>
      <c r="O2731" s="7" t="n">
        <v>45500.72428240741</v>
      </c>
      <c r="P2731" s="3" t="inlineStr">
        <is>
          <t>33.53</t>
        </is>
      </c>
      <c r="Q2731" t="inlineStr">
        <is>
          <t>Böblingen</t>
        </is>
      </c>
    </row>
    <row r="2732">
      <c r="A2732" t="inlineStr">
        <is>
          <t>357 cm x 82 cm x 15 cm</t>
        </is>
      </c>
      <c r="B2732" t="inlineStr">
        <is>
          <t>F2 Glide Wing WS</t>
        </is>
      </c>
      <c r="C2732" t="inlineStr">
        <is>
          <t>Allround</t>
        </is>
      </c>
      <c r="D2732" s="3" t="inlineStr"/>
      <c r="E2732" t="inlineStr">
        <is>
          <t>2023</t>
        </is>
      </c>
      <c r="F2732" s="4" t="n">
        <v>399</v>
      </c>
      <c r="G2732" t="inlineStr"/>
      <c r="H2732" t="inlineStr">
        <is>
          <t>79235 Baden-Württemberg - Vogtsburg</t>
        </is>
      </c>
      <c r="I2732" s="5" t="n">
        <v>45169</v>
      </c>
      <c r="J2732" t="inlineStr">
        <is>
          <t>Sold</t>
        </is>
      </c>
      <c r="K2732" s="6">
        <f>HYPERLINK("https://www.kleinanzeigen.de/s-anzeige/f2-glide-wing-ws-11-7-stand-up-paddle-board-2in1-windsurf-sup-neu/2534339253-230-8902", "Link")</f>
        <v/>
      </c>
      <c r="L2732" s="6">
        <f>HYPERLINK("C:\Projects\Kleinanzeigen-Scraper\offer_images\2534339253", "Link")</f>
        <v/>
      </c>
      <c r="M2732" t="inlineStr">
        <is>
          <t>BACKSIDE180</t>
        </is>
      </c>
      <c r="N2732" s="6">
        <f>HYPERLINK("https://www.kleinanzeigen.de/s-bestandsliste.html?userId=83228138", "Link")</f>
        <v/>
      </c>
      <c r="O2732" s="7" t="n">
        <v>45500.72425925926</v>
      </c>
      <c r="P2732" s="3" t="inlineStr">
        <is>
          <t>60.53</t>
        </is>
      </c>
      <c r="Q2732" t="inlineStr">
        <is>
          <t>Bonndorf</t>
        </is>
      </c>
    </row>
    <row r="2733">
      <c r="A2733" t="inlineStr">
        <is>
          <t>262 cm x 55 cm</t>
        </is>
      </c>
      <c r="B2733" t="inlineStr">
        <is>
          <t>Mistral Stinger</t>
        </is>
      </c>
      <c r="C2733" t="inlineStr"/>
      <c r="D2733" s="3" t="inlineStr"/>
      <c r="E2733" t="inlineStr"/>
      <c r="F2733" s="4" t="n">
        <v>50</v>
      </c>
      <c r="G2733" t="inlineStr"/>
      <c r="H2733" t="inlineStr">
        <is>
          <t>55234 Rheinland-Pfalz - Albig</t>
        </is>
      </c>
      <c r="I2733" s="5" t="n">
        <v>45227</v>
      </c>
      <c r="J2733" t="inlineStr">
        <is>
          <t>Sold</t>
        </is>
      </c>
      <c r="K2733" s="6">
        <f>HYPERLINK("https://www.kleinanzeigen.de/s-anzeige/windsurf-board-surfbrett-mistral-stinger/2585433438-230-19789", "Link")</f>
        <v/>
      </c>
      <c r="L2733" s="6">
        <f>HYPERLINK("C:\Projects\Kleinanzeigen-Scraper\offer_images\2585433438", "Link")</f>
        <v/>
      </c>
      <c r="M2733" t="inlineStr">
        <is>
          <t>Stefan</t>
        </is>
      </c>
      <c r="N2733" s="6">
        <f>HYPERLINK("https://www.kleinanzeigen.de/s-bestandsliste.html?userId=11863851", "Link")</f>
        <v/>
      </c>
      <c r="O2733" s="7" t="n">
        <v>45500.72424768518</v>
      </c>
      <c r="P2733" s="3" t="inlineStr">
        <is>
          <t>79.49</t>
        </is>
      </c>
      <c r="Q2733" t="inlineStr">
        <is>
          <t>Karlsruhe</t>
        </is>
      </c>
    </row>
    <row r="2734">
      <c r="A2734" t="inlineStr">
        <is>
          <t>246 cm x 79 cm</t>
        </is>
      </c>
      <c r="B2734" t="inlineStr">
        <is>
          <t>Fanatic Gecko</t>
        </is>
      </c>
      <c r="C2734" t="inlineStr">
        <is>
          <t>Freeride</t>
        </is>
      </c>
      <c r="D2734" s="3" t="n">
        <v>135</v>
      </c>
      <c r="E2734" t="inlineStr">
        <is>
          <t>2022</t>
        </is>
      </c>
      <c r="F2734" s="4" t="n">
        <v>1</v>
      </c>
      <c r="G2734" t="inlineStr"/>
      <c r="H2734" t="inlineStr">
        <is>
          <t>72290 Baden-Württemberg - Loßburg</t>
        </is>
      </c>
      <c r="I2734" s="5" t="n">
        <v>45480</v>
      </c>
      <c r="J2734" t="inlineStr">
        <is>
          <t>Sold</t>
        </is>
      </c>
      <c r="K2734" s="6">
        <f>HYPERLINK("https://www.kleinanzeigen.de/s-anzeige/windsurfboard-windsurf-board-fanatic-gecko-eco-135-l/2806147512-230-17626", "Link")</f>
        <v/>
      </c>
      <c r="L2734" s="6">
        <f>HYPERLINK("C:\Projects\Kleinanzeigen-Scraper\offer_images\2806147512", "Link")</f>
        <v/>
      </c>
      <c r="M2734" t="inlineStr">
        <is>
          <t>K.-H. Kowatsch</t>
        </is>
      </c>
      <c r="N2734" s="6">
        <f>HYPERLINK("https://www.kleinanzeigen.de/s-bestandsliste.html?userId=7914917", "Link")</f>
        <v/>
      </c>
      <c r="O2734" s="7" t="n">
        <v>45500.72422453704</v>
      </c>
      <c r="P2734" s="3" t="inlineStr">
        <is>
          <t>48.67</t>
        </is>
      </c>
      <c r="Q2734" t="inlineStr">
        <is>
          <t>Böblingen</t>
        </is>
      </c>
    </row>
    <row r="2735">
      <c r="A2735" t="inlineStr">
        <is>
          <t>242 cm x 62 cm</t>
        </is>
      </c>
      <c r="B2735" t="inlineStr">
        <is>
          <t>Tabou 3s</t>
        </is>
      </c>
      <c r="C2735" t="inlineStr">
        <is>
          <t>Freestyle</t>
        </is>
      </c>
      <c r="D2735" s="3" t="n">
        <v>106</v>
      </c>
      <c r="E2735" t="inlineStr"/>
      <c r="F2735" s="4" t="n">
        <v>333</v>
      </c>
      <c r="G2735" t="inlineStr"/>
      <c r="H2735" t="inlineStr">
        <is>
          <t>79102 Baden-Württemberg - Freiburg im Breisgau</t>
        </is>
      </c>
      <c r="I2735" s="5" t="n">
        <v>45452</v>
      </c>
      <c r="J2735" t="inlineStr"/>
      <c r="K2735" s="6">
        <f>HYPERLINK("https://www.kleinanzeigen.de/s-anzeige/tabou-3s-windsurf-brett-board-106l/2784037328-230-9364", "Link")</f>
        <v/>
      </c>
      <c r="L2735" s="6">
        <f>HYPERLINK("C:\Projects\Kleinanzeigen-Scraper\offer_images\2784037328", "Link")</f>
        <v/>
      </c>
      <c r="M2735" t="inlineStr">
        <is>
          <t>Tobias</t>
        </is>
      </c>
      <c r="N2735" s="6">
        <f>HYPERLINK("https://www.kleinanzeigen.de/s-bestandsliste.html?userId=11261079", "Link")</f>
        <v/>
      </c>
      <c r="O2735" s="7" t="n">
        <v>45500.72420138889</v>
      </c>
      <c r="P2735" s="3" t="inlineStr">
        <is>
          <t>40.20</t>
        </is>
      </c>
      <c r="Q2735" t="inlineStr">
        <is>
          <t>Bonndorf</t>
        </is>
      </c>
    </row>
    <row r="2736">
      <c r="A2736" t="inlineStr">
        <is>
          <t>323cm x 83cm x 15cm</t>
        </is>
      </c>
      <c r="B2736" t="inlineStr">
        <is>
          <t>F2 Cruise WS</t>
        </is>
      </c>
      <c r="C2736" t="inlineStr">
        <is>
          <t>Allround</t>
        </is>
      </c>
      <c r="D2736" s="3" t="inlineStr"/>
      <c r="E2736" t="inlineStr"/>
      <c r="F2736" s="4" t="n">
        <v>399</v>
      </c>
      <c r="G2736" t="inlineStr"/>
      <c r="H2736" t="inlineStr">
        <is>
          <t>79235 Baden-Württemberg - Vogtsburg</t>
        </is>
      </c>
      <c r="I2736" s="5" t="n">
        <v>44798</v>
      </c>
      <c r="J2736" t="inlineStr">
        <is>
          <t>Sold</t>
        </is>
      </c>
      <c r="K2736" s="6">
        <f>HYPERLINK("https://www.kleinanzeigen.de/s-anzeige/f2-cruise-ws-10-6-stand-up-paddle-board-windsurf-sup-set-neu/2191984527-230-8902", "Link")</f>
        <v/>
      </c>
      <c r="L2736" s="6">
        <f>HYPERLINK("C:\Projects\Kleinanzeigen-Scraper\offer_images\2191984527", "Link")</f>
        <v/>
      </c>
      <c r="M2736" t="inlineStr">
        <is>
          <t>BACKSIDE180</t>
        </is>
      </c>
      <c r="N2736" s="6">
        <f>HYPERLINK("https://www.kleinanzeigen.de/s-bestandsliste.html?userId=83228138", "Link")</f>
        <v/>
      </c>
      <c r="O2736" s="7" t="n">
        <v>45500.72415509259</v>
      </c>
      <c r="P2736" s="3" t="inlineStr">
        <is>
          <t>60.53</t>
        </is>
      </c>
      <c r="Q2736" t="inlineStr">
        <is>
          <t>Bonndorf</t>
        </is>
      </c>
    </row>
    <row r="2737">
      <c r="A2737" t="inlineStr">
        <is>
          <t>87</t>
        </is>
      </c>
      <c r="B2737" t="inlineStr">
        <is>
          <t>JP Australia Wave Slate</t>
        </is>
      </c>
      <c r="C2737" t="inlineStr">
        <is>
          <t>Wave</t>
        </is>
      </c>
      <c r="D2737" s="3" t="inlineStr"/>
      <c r="E2737" t="inlineStr"/>
      <c r="F2737" s="4" t="n">
        <v>650</v>
      </c>
      <c r="G2737" t="inlineStr">
        <is>
          <t>VB</t>
        </is>
      </c>
      <c r="H2737" t="inlineStr">
        <is>
          <t>75382 Baden-Württemberg - Althengstett</t>
        </is>
      </c>
      <c r="I2737" s="5" t="n">
        <v>45059</v>
      </c>
      <c r="J2737" t="inlineStr"/>
      <c r="K2737" s="6">
        <f>HYPERLINK("https://www.kleinanzeigen.de/s-anzeige/jp-australia-wave-slate-87-waveboard-windsurf/2441229085-230-8769", "Link")</f>
        <v/>
      </c>
      <c r="L2737" s="6">
        <f>HYPERLINK("C:\Projects\Kleinanzeigen-Scraper\offer_images\2441229085", "Link")</f>
        <v/>
      </c>
      <c r="M2737" t="inlineStr">
        <is>
          <t>Andreas Frieser</t>
        </is>
      </c>
      <c r="N2737" s="6">
        <f>HYPERLINK("https://www.kleinanzeigen.de/s-bestandsliste.html?userId=10838643", "Link")</f>
        <v/>
      </c>
      <c r="O2737" s="7" t="n">
        <v>45500.72414351852</v>
      </c>
      <c r="P2737" s="3" t="inlineStr">
        <is>
          <t>14.99</t>
        </is>
      </c>
      <c r="Q2737" t="inlineStr">
        <is>
          <t>Böblingen</t>
        </is>
      </c>
    </row>
    <row r="2738">
      <c r="A2738" t="inlineStr">
        <is>
          <t>350cm x 84cm x 15cm</t>
        </is>
      </c>
      <c r="B2738" t="inlineStr">
        <is>
          <t>F2 Team</t>
        </is>
      </c>
      <c r="C2738" t="inlineStr">
        <is>
          <t>Allround</t>
        </is>
      </c>
      <c r="D2738" s="3" t="inlineStr"/>
      <c r="E2738" t="inlineStr">
        <is>
          <t>2023</t>
        </is>
      </c>
      <c r="F2738" s="4" t="n">
        <v>699</v>
      </c>
      <c r="G2738" t="inlineStr"/>
      <c r="H2738" t="inlineStr">
        <is>
          <t>79235 Baden-Württemberg - Vogtsburg</t>
        </is>
      </c>
      <c r="I2738" s="5" t="n">
        <v>45136</v>
      </c>
      <c r="J2738" t="inlineStr">
        <is>
          <t>Sold</t>
        </is>
      </c>
      <c r="K2738" s="6">
        <f>HYPERLINK("https://www.kleinanzeigen.de/s-anzeige/f2-team-ws-11-5-stand-up-paddle-board-sup-segel-rigg-windsurf-neu/2506443649-230-8902", "Link")</f>
        <v/>
      </c>
      <c r="L2738" s="6">
        <f>HYPERLINK("C:\Projects\Kleinanzeigen-Scraper\offer_images\2506443649", "Link")</f>
        <v/>
      </c>
      <c r="M2738" t="inlineStr">
        <is>
          <t>BACKSIDE180</t>
        </is>
      </c>
      <c r="N2738" s="6">
        <f>HYPERLINK("https://www.kleinanzeigen.de/s-bestandsliste.html?userId=83228138", "Link")</f>
        <v/>
      </c>
      <c r="O2738" s="7" t="n">
        <v>45500.72405092593</v>
      </c>
      <c r="P2738" s="3" t="inlineStr">
        <is>
          <t>60.53</t>
        </is>
      </c>
      <c r="Q2738" t="inlineStr">
        <is>
          <t>Bonndorf</t>
        </is>
      </c>
    </row>
    <row r="2739">
      <c r="A2739" t="inlineStr">
        <is>
          <t>10'7"</t>
        </is>
      </c>
      <c r="B2739" t="inlineStr">
        <is>
          <t>RED Paddle Co</t>
        </is>
      </c>
      <c r="C2739" t="inlineStr">
        <is>
          <t>Windsurf/SUP</t>
        </is>
      </c>
      <c r="D2739" s="3" t="n">
        <v>257</v>
      </c>
      <c r="E2739" t="inlineStr"/>
      <c r="F2739" s="4" t="n">
        <v>1.499</v>
      </c>
      <c r="G2739" t="inlineStr"/>
      <c r="H2739" t="inlineStr">
        <is>
          <t>79235 Baden-Württemberg - Vogtsburg</t>
        </is>
      </c>
      <c r="I2739" s="5" t="n">
        <v>45052</v>
      </c>
      <c r="J2739" t="inlineStr">
        <is>
          <t>Sold</t>
        </is>
      </c>
      <c r="K2739" s="6">
        <f>HYPERLINK("https://www.kleinanzeigen.de/s-anzeige/red-ride-windsurf-mit-schwert-10-7-paddle-board-sup-set-neu/2434740669-230-8902", "Link")</f>
        <v/>
      </c>
      <c r="L2739" s="6">
        <f>HYPERLINK("C:\Projects\Kleinanzeigen-Scraper\offer_images\2434740669", "Link")</f>
        <v/>
      </c>
      <c r="M2739" t="inlineStr">
        <is>
          <t>BACKSIDE180</t>
        </is>
      </c>
      <c r="N2739" s="6">
        <f>HYPERLINK("https://www.kleinanzeigen.de/s-bestandsliste.html?userId=83228138", "Link")</f>
        <v/>
      </c>
      <c r="O2739" s="7" t="n">
        <v>45500.72403935185</v>
      </c>
      <c r="P2739" s="3" t="inlineStr">
        <is>
          <t>60.53</t>
        </is>
      </c>
      <c r="Q2739" t="inlineStr">
        <is>
          <t>Bonndorf</t>
        </is>
      </c>
    </row>
    <row r="2740">
      <c r="A2740" t="inlineStr">
        <is>
          <t>241 cm x 61 cm</t>
        </is>
      </c>
      <c r="B2740" t="inlineStr">
        <is>
          <t>Fanatic FreeWave</t>
        </is>
      </c>
      <c r="C2740" t="inlineStr">
        <is>
          <t>Freestyle</t>
        </is>
      </c>
      <c r="D2740" s="3" t="n">
        <v>95</v>
      </c>
      <c r="E2740" t="inlineStr"/>
      <c r="F2740" s="4" t="n">
        <v>100</v>
      </c>
      <c r="G2740" t="inlineStr"/>
      <c r="H2740" t="inlineStr">
        <is>
          <t>71540 Baden-Württemberg - Murrhardt</t>
        </is>
      </c>
      <c r="I2740" s="5" t="n">
        <v>45360</v>
      </c>
      <c r="J2740" t="inlineStr">
        <is>
          <t>Sold</t>
        </is>
      </c>
      <c r="K2740" s="6">
        <f>HYPERLINK("https://www.kleinanzeigen.de/s-anzeige/fanatic-freewave-95l-windsurf-brett/2701609484-230-8354", "Link")</f>
        <v/>
      </c>
      <c r="L2740" s="6">
        <f>HYPERLINK("C:\Projects\Kleinanzeigen-Scraper\offer_images\2701609484", "Link")</f>
        <v/>
      </c>
      <c r="M2740" t="inlineStr">
        <is>
          <t>Markus</t>
        </is>
      </c>
      <c r="N2740" s="6">
        <f>HYPERLINK("https://www.kleinanzeigen.de/s-bestandsliste.html?userId=15542142", "Link")</f>
        <v/>
      </c>
      <c r="O2740" s="7" t="n">
        <v>45500.72401620371</v>
      </c>
      <c r="P2740" s="3" t="inlineStr">
        <is>
          <t>56.36</t>
        </is>
      </c>
      <c r="Q2740" t="inlineStr">
        <is>
          <t>Böblingen</t>
        </is>
      </c>
    </row>
    <row r="2741">
      <c r="A2741" t="inlineStr">
        <is>
          <t>284 cm x 59 cm</t>
        </is>
      </c>
      <c r="B2741" t="inlineStr">
        <is>
          <t>Mistral</t>
        </is>
      </c>
      <c r="C2741" t="inlineStr"/>
      <c r="D2741" s="3" t="n">
        <v>113</v>
      </c>
      <c r="E2741" t="inlineStr"/>
      <c r="F2741" s="4" t="n">
        <v>30</v>
      </c>
      <c r="G2741" t="inlineStr">
        <is>
          <t>VB</t>
        </is>
      </c>
      <c r="H2741" t="inlineStr">
        <is>
          <t>64287 Hessen - Darmstadt</t>
        </is>
      </c>
      <c r="I2741" s="5" t="n">
        <v>45480</v>
      </c>
      <c r="J2741" t="inlineStr">
        <is>
          <t>Sold</t>
        </is>
      </c>
      <c r="K2741" s="6">
        <f>HYPERLINK("https://www.kleinanzeigen.de/s-anzeige/windsurfen-surfboarf-mistral-113l/2806349700-230-4894", "Link")</f>
        <v/>
      </c>
      <c r="L2741" s="6">
        <f>HYPERLINK("C:\Projects\Kleinanzeigen-Scraper\offer_images\2806349700", "Link")</f>
        <v/>
      </c>
      <c r="M2741" t="inlineStr">
        <is>
          <t>Clara Werner</t>
        </is>
      </c>
      <c r="N2741" s="6">
        <f>HYPERLINK("https://www.kleinanzeigen.de/s-bestandsliste.html?userId=22290006", "Link")</f>
        <v/>
      </c>
      <c r="O2741" s="7" t="n">
        <v>45500.72399305556</v>
      </c>
      <c r="P2741" s="3" t="inlineStr">
        <is>
          <t>98.08</t>
        </is>
      </c>
      <c r="Q2741" t="inlineStr">
        <is>
          <t>Karlsruhe</t>
        </is>
      </c>
    </row>
    <row r="2742">
      <c r="A2742" t="inlineStr">
        <is>
          <t>178 cm x 66 cm</t>
        </is>
      </c>
      <c r="B2742" t="inlineStr">
        <is>
          <t>Slingshot Wizard V3</t>
        </is>
      </c>
      <c r="C2742" t="inlineStr">
        <is>
          <t>Windfoil</t>
        </is>
      </c>
      <c r="D2742" s="3" t="n">
        <v>114</v>
      </c>
      <c r="E2742" t="inlineStr">
        <is>
          <t>2022</t>
        </is>
      </c>
      <c r="F2742" s="4" t="n">
        <v>740</v>
      </c>
      <c r="G2742" t="inlineStr">
        <is>
          <t>VB</t>
        </is>
      </c>
      <c r="H2742" t="inlineStr">
        <is>
          <t>73734 Baden-Württemberg - Esslingen</t>
        </is>
      </c>
      <c r="I2742" s="5" t="n">
        <v>45472</v>
      </c>
      <c r="J2742" t="inlineStr">
        <is>
          <t>Sold</t>
        </is>
      </c>
      <c r="K2742" s="6">
        <f>HYPERLINK("https://www.kleinanzeigen.de/s-anzeige/slingshot-wizard-v3-114l-windfoil-board-windsurf-foil/2799778981-230-9070", "Link")</f>
        <v/>
      </c>
      <c r="L2742" s="6">
        <f>HYPERLINK("C:\Projects\Kleinanzeigen-Scraper\offer_images\2799778981", "Link")</f>
        <v/>
      </c>
      <c r="M2742" t="inlineStr">
        <is>
          <t>Bernd</t>
        </is>
      </c>
      <c r="N2742" s="6">
        <f>HYPERLINK("https://www.kleinanzeigen.de/s-bestandsliste.html?userId=14836193", "Link")</f>
        <v/>
      </c>
      <c r="O2742" s="7" t="n">
        <v>45500.72399305556</v>
      </c>
      <c r="P2742" s="3" t="inlineStr">
        <is>
          <t>24.93</t>
        </is>
      </c>
      <c r="Q2742" t="inlineStr">
        <is>
          <t>Böblingen</t>
        </is>
      </c>
    </row>
    <row r="2743">
      <c r="A2743" t="inlineStr">
        <is>
          <t>350cm x 82cm x 15cm</t>
        </is>
      </c>
      <c r="B2743" t="inlineStr">
        <is>
          <t>F2 TEAM WS</t>
        </is>
      </c>
      <c r="C2743" t="inlineStr">
        <is>
          <t>Allround</t>
        </is>
      </c>
      <c r="D2743" s="3" t="inlineStr"/>
      <c r="E2743" t="inlineStr"/>
      <c r="F2743" s="4" t="n">
        <v>399</v>
      </c>
      <c r="G2743" t="inlineStr"/>
      <c r="H2743" t="inlineStr">
        <is>
          <t>79235 Baden-Württemberg - Vogtsburg</t>
        </is>
      </c>
      <c r="I2743" s="5" t="n">
        <v>45152</v>
      </c>
      <c r="J2743" t="inlineStr">
        <is>
          <t>Sold</t>
        </is>
      </c>
      <c r="K2743" s="6">
        <f>HYPERLINK("https://www.kleinanzeigen.de/s-anzeige/f2-team-ws-10-5-stand-up-paddle-board-sup-windsurf-paddel-set-neu/2520235721-230-8902", "Link")</f>
        <v/>
      </c>
      <c r="L2743" s="6">
        <f>HYPERLINK("C:\Projects\Kleinanzeigen-Scraper\offer_images\2520235721", "Link")</f>
        <v/>
      </c>
      <c r="M2743" t="inlineStr">
        <is>
          <t>BACKSIDE180</t>
        </is>
      </c>
      <c r="N2743" s="6">
        <f>HYPERLINK("https://www.kleinanzeigen.de/s-bestandsliste.html?userId=83228138", "Link")</f>
        <v/>
      </c>
      <c r="O2743" s="7" t="n">
        <v>45500.72398148148</v>
      </c>
      <c r="P2743" s="3" t="inlineStr">
        <is>
          <t>60.53</t>
        </is>
      </c>
      <c r="Q2743" t="inlineStr">
        <is>
          <t>Bonndorf</t>
        </is>
      </c>
    </row>
    <row r="2744">
      <c r="A2744" t="inlineStr">
        <is>
          <t>277cm x 56cm</t>
        </is>
      </c>
      <c r="B2744" t="inlineStr">
        <is>
          <t>Mistral Race</t>
        </is>
      </c>
      <c r="C2744" t="inlineStr">
        <is>
          <t>Race</t>
        </is>
      </c>
      <c r="D2744" s="3" t="n">
        <v>103</v>
      </c>
      <c r="E2744" t="inlineStr"/>
      <c r="F2744" s="4" t="n">
        <v>50</v>
      </c>
      <c r="G2744" t="inlineStr"/>
      <c r="H2744" t="inlineStr">
        <is>
          <t>71287 Baden-Württemberg - Weissach</t>
        </is>
      </c>
      <c r="I2744" s="5" t="n">
        <v>45455</v>
      </c>
      <c r="J2744" t="inlineStr">
        <is>
          <t>Sold</t>
        </is>
      </c>
      <c r="K2744" s="6">
        <f>HYPERLINK("https://www.kleinanzeigen.de/s-anzeige/verkaufe-sup-windsurf-brett-mistral-race-carbon-103l-9-8kg-277c/2786260246-241-21520", "Link")</f>
        <v/>
      </c>
      <c r="L2744" s="6">
        <f>HYPERLINK("C:\Projects\Kleinanzeigen-Scraper\offer_images\2786260246", "Link")</f>
        <v/>
      </c>
      <c r="M2744" t="inlineStr">
        <is>
          <t>Marko Szcesny</t>
        </is>
      </c>
      <c r="N2744" s="6">
        <f>HYPERLINK("https://www.kleinanzeigen.de/s-bestandsliste.html?userId=21561346", "Link")</f>
        <v/>
      </c>
      <c r="O2744" s="7" t="n">
        <v>45500.72398148148</v>
      </c>
      <c r="P2744" s="3" t="inlineStr">
        <is>
          <t>19.19</t>
        </is>
      </c>
      <c r="Q2744" t="inlineStr">
        <is>
          <t>Böblingen</t>
        </is>
      </c>
    </row>
    <row r="2745">
      <c r="A2745" t="inlineStr">
        <is>
          <t>59cm x 280cm</t>
        </is>
      </c>
      <c r="B2745" t="inlineStr">
        <is>
          <t>Fanatic</t>
        </is>
      </c>
      <c r="C2745" t="inlineStr"/>
      <c r="D2745" s="3" t="inlineStr"/>
      <c r="E2745" t="inlineStr"/>
      <c r="F2745" s="4" t="n">
        <v>130</v>
      </c>
      <c r="G2745" t="inlineStr">
        <is>
          <t>VB</t>
        </is>
      </c>
      <c r="H2745" t="inlineStr">
        <is>
          <t>73066 Baden-Württemberg - Uhingen</t>
        </is>
      </c>
      <c r="I2745" s="5" t="n">
        <v>45389</v>
      </c>
      <c r="J2745" t="inlineStr">
        <is>
          <t>Sold</t>
        </is>
      </c>
      <c r="K2745" s="6">
        <f>HYPERLINK("https://www.kleinanzeigen.de/s-anzeige/fanatic-board-windsurf/2728926232-230-8870", "Link")</f>
        <v/>
      </c>
      <c r="L2745" s="6">
        <f>HYPERLINK("C:\Projects\Kleinanzeigen-Scraper\offer_images\2728926232", "Link")</f>
        <v/>
      </c>
      <c r="M2745" t="inlineStr">
        <is>
          <t>Katharina</t>
        </is>
      </c>
      <c r="N2745" s="6">
        <f>HYPERLINK("https://www.kleinanzeigen.de/s-bestandsliste.html?userId=26069229", "Link")</f>
        <v/>
      </c>
      <c r="O2745" s="7" t="n">
        <v>45500.72395833334</v>
      </c>
      <c r="P2745" s="3" t="inlineStr">
        <is>
          <t>43.70</t>
        </is>
      </c>
      <c r="Q2745" t="inlineStr">
        <is>
          <t>Böblingen</t>
        </is>
      </c>
    </row>
    <row r="2746">
      <c r="A2746" t="inlineStr">
        <is>
          <t>236x77</t>
        </is>
      </c>
      <c r="B2746" t="inlineStr">
        <is>
          <t>Fanatic Blast</t>
        </is>
      </c>
      <c r="C2746" t="inlineStr">
        <is>
          <t>Freeride</t>
        </is>
      </c>
      <c r="D2746" s="3" t="n">
        <v>147</v>
      </c>
      <c r="E2746" t="inlineStr">
        <is>
          <t>2022</t>
        </is>
      </c>
      <c r="F2746" s="4" t="n">
        <v>1.29</v>
      </c>
      <c r="G2746" t="inlineStr">
        <is>
          <t>VB</t>
        </is>
      </c>
      <c r="H2746" t="inlineStr">
        <is>
          <t>79761 Baden-Württemberg - Waldshut-Tiengen</t>
        </is>
      </c>
      <c r="I2746" s="5" t="n">
        <v>45431</v>
      </c>
      <c r="J2746" t="inlineStr">
        <is>
          <t>Sold</t>
        </is>
      </c>
      <c r="K2746" s="6">
        <f>HYPERLINK("https://www.kleinanzeigen.de/s-anzeige/windsurf-fanatic-blast-147-ltd/2765173153-230-8308", "Link")</f>
        <v/>
      </c>
      <c r="L2746" s="6">
        <f>HYPERLINK("C:\Projects\Kleinanzeigen-Scraper\offer_images\2765173153", "Link")</f>
        <v/>
      </c>
      <c r="M2746" t="inlineStr">
        <is>
          <t>Louis</t>
        </is>
      </c>
      <c r="N2746" s="6">
        <f>HYPERLINK("https://www.kleinanzeigen.de/s-bestandsliste.html?userId=66651740", "Link")</f>
        <v/>
      </c>
      <c r="O2746" s="7" t="n">
        <v>45500.72392361111</v>
      </c>
      <c r="P2746" s="3" t="inlineStr">
        <is>
          <t>18.78</t>
        </is>
      </c>
      <c r="Q2746" t="inlineStr">
        <is>
          <t>Bonndorf</t>
        </is>
      </c>
    </row>
    <row r="2747">
      <c r="A2747" t="inlineStr">
        <is>
          <t>329 x 81 x 15</t>
        </is>
      </c>
      <c r="B2747" t="inlineStr">
        <is>
          <t>F2 GLIDE</t>
        </is>
      </c>
      <c r="C2747" t="inlineStr">
        <is>
          <t>Allrounder</t>
        </is>
      </c>
      <c r="D2747" s="3" t="n">
        <v>340</v>
      </c>
      <c r="E2747" t="inlineStr"/>
      <c r="F2747" s="4" t="n">
        <v>380</v>
      </c>
      <c r="G2747" t="inlineStr"/>
      <c r="H2747" t="inlineStr">
        <is>
          <t>74223 Baden-Württemberg - Flein</t>
        </is>
      </c>
      <c r="I2747" s="5" t="n">
        <v>45111</v>
      </c>
      <c r="J2747" t="inlineStr">
        <is>
          <t>Sold</t>
        </is>
      </c>
      <c r="K2747" s="6">
        <f>HYPERLINK("https://www.kleinanzeigen.de/s-anzeige/f2-glide-windsurf-10-8-sup-ws-board-stand-up-paddle-surf-board/2484825421-230-19034", "Link")</f>
        <v/>
      </c>
      <c r="L2747" s="6">
        <f>HYPERLINK("C:\Projects\Kleinanzeigen-Scraper\offer_images\2484825421", "Link")</f>
        <v/>
      </c>
      <c r="M2747" t="inlineStr">
        <is>
          <t>Neckarlust</t>
        </is>
      </c>
      <c r="N2747" s="6">
        <f>HYPERLINK("https://www.kleinanzeigen.de/s-bestandsliste.html?userId=94300188", "Link")</f>
        <v/>
      </c>
      <c r="O2747" s="7" t="n">
        <v>45500.72388888889</v>
      </c>
      <c r="P2747" s="3" t="inlineStr">
        <is>
          <t>50.36</t>
        </is>
      </c>
      <c r="Q2747" t="inlineStr">
        <is>
          <t>Böblingen</t>
        </is>
      </c>
    </row>
    <row r="2748">
      <c r="A2748" t="inlineStr"/>
      <c r="B2748" t="inlineStr">
        <is>
          <t>Mistral Surfer</t>
        </is>
      </c>
      <c r="C2748" t="inlineStr"/>
      <c r="D2748" s="3" t="inlineStr"/>
      <c r="E2748" t="inlineStr"/>
      <c r="F2748" s="4" t="n">
        <v>259</v>
      </c>
      <c r="G2748" t="inlineStr">
        <is>
          <t>VB</t>
        </is>
      </c>
      <c r="H2748" t="inlineStr">
        <is>
          <t>75443 Baden-Württemberg - Ötisheim</t>
        </is>
      </c>
      <c r="I2748" s="5" t="n">
        <v>45415</v>
      </c>
      <c r="J2748" t="inlineStr">
        <is>
          <t>Sold</t>
        </is>
      </c>
      <c r="K2748" s="6">
        <f>HYPERLINK("https://www.kleinanzeigen.de/s-anzeige/mistral-surfer-surfbrett-windsurfbrett-windsurfer/2751498265-230-8431", "Link")</f>
        <v/>
      </c>
      <c r="L2748" s="6">
        <f>HYPERLINK("C:\Projects\Kleinanzeigen-Scraper\offer_images\2751498265", "Link")</f>
        <v/>
      </c>
      <c r="M2748" t="inlineStr">
        <is>
          <t>Privat</t>
        </is>
      </c>
      <c r="N2748" s="6">
        <f>HYPERLINK("https://www.kleinanzeigen.de/s-bestandsliste.html?userId=66095051", "Link")</f>
        <v/>
      </c>
      <c r="O2748" s="7" t="n">
        <v>45500.72386574074</v>
      </c>
      <c r="P2748" s="3" t="inlineStr">
        <is>
          <t>30.75</t>
        </is>
      </c>
      <c r="Q2748" t="inlineStr">
        <is>
          <t>Karlsruhe</t>
        </is>
      </c>
    </row>
    <row r="2749">
      <c r="A2749" t="inlineStr">
        <is>
          <t>233 cm x 79 cm</t>
        </is>
      </c>
      <c r="B2749" t="inlineStr">
        <is>
          <t>Tabou Manta</t>
        </is>
      </c>
      <c r="C2749" t="inlineStr">
        <is>
          <t>Slalom</t>
        </is>
      </c>
      <c r="D2749" s="3" t="n">
        <v>125</v>
      </c>
      <c r="E2749" t="inlineStr">
        <is>
          <t>2011</t>
        </is>
      </c>
      <c r="F2749" s="4" t="n">
        <v>290</v>
      </c>
      <c r="G2749" t="inlineStr">
        <is>
          <t>VB</t>
        </is>
      </c>
      <c r="H2749" t="inlineStr">
        <is>
          <t>71093 Baden-Württemberg - Weil im Schönbuch</t>
        </is>
      </c>
      <c r="I2749" s="5" t="n">
        <v>45556</v>
      </c>
      <c r="J2749" t="inlineStr">
        <is>
          <t>Sold</t>
        </is>
      </c>
      <c r="K2749" s="6">
        <f>HYPERLINK("https://www.kleinanzeigen.de/s-anzeige/tabou-manta-79-125-liter-windsurf-slalom-board/2713741513-230-8785", "Link")</f>
        <v/>
      </c>
      <c r="L2749" s="6">
        <f>HYPERLINK("C:\Projects\Kleinanzeigen-Scraper\offer_images\2713741513", "Link")</f>
        <v/>
      </c>
      <c r="M2749" t="inlineStr">
        <is>
          <t>Franz Olbrich</t>
        </is>
      </c>
      <c r="N2749" s="6">
        <f>HYPERLINK("https://www.kleinanzeigen.de/s-bestandsliste.html?userId=10339788", "Link")</f>
        <v/>
      </c>
      <c r="O2749" s="7" t="n">
        <v>45500.72385416667</v>
      </c>
      <c r="P2749" s="3" t="inlineStr">
        <is>
          <t>9.52</t>
        </is>
      </c>
      <c r="Q2749" t="inlineStr">
        <is>
          <t>Böblingen</t>
        </is>
      </c>
    </row>
    <row r="2750">
      <c r="A2750" t="inlineStr">
        <is>
          <t>298 cm x 64.5 cm</t>
        </is>
      </c>
      <c r="B2750" t="inlineStr">
        <is>
          <t>Fanatic Rabbit</t>
        </is>
      </c>
      <c r="C2750" t="inlineStr">
        <is>
          <t>Freeride</t>
        </is>
      </c>
      <c r="D2750" s="3" t="n">
        <v>130</v>
      </c>
      <c r="E2750" t="inlineStr"/>
      <c r="F2750" s="4" t="n">
        <v>150</v>
      </c>
      <c r="G2750" t="inlineStr"/>
      <c r="H2750" t="inlineStr">
        <is>
          <t>70794 Baden-Württemberg - Filderstadt</t>
        </is>
      </c>
      <c r="I2750" s="5" t="n">
        <v>45433</v>
      </c>
      <c r="J2750" t="inlineStr">
        <is>
          <t>Sold</t>
        </is>
      </c>
      <c r="K2750" s="6">
        <f>HYPERLINK("https://www.kleinanzeigen.de/s-anzeige/fanatic-rabbit-freerideboard-130-l-windsurfer/2767761773-230-8892", "Link")</f>
        <v/>
      </c>
      <c r="L2750" s="6">
        <f>HYPERLINK("C:\Projects\Kleinanzeigen-Scraper\offer_images\2767761773", "Link")</f>
        <v/>
      </c>
      <c r="M2750" t="inlineStr">
        <is>
          <t>Chista Schumacher</t>
        </is>
      </c>
      <c r="N2750" s="6">
        <f>HYPERLINK("https://www.kleinanzeigen.de/s-bestandsliste.html?userId=82813020", "Link")</f>
        <v/>
      </c>
      <c r="O2750" s="7" t="n">
        <v>45500.72381944444</v>
      </c>
      <c r="P2750" s="3" t="inlineStr">
        <is>
          <t>17.11</t>
        </is>
      </c>
      <c r="Q2750" t="inlineStr">
        <is>
          <t>Böblingen</t>
        </is>
      </c>
    </row>
    <row r="2751">
      <c r="A2751" t="inlineStr">
        <is>
          <t>255 cm</t>
        </is>
      </c>
      <c r="B2751" t="inlineStr">
        <is>
          <t>HiFly</t>
        </is>
      </c>
      <c r="C2751" t="inlineStr">
        <is>
          <t>Wave/Slalom</t>
        </is>
      </c>
      <c r="D2751" s="3" t="inlineStr"/>
      <c r="E2751" t="inlineStr"/>
      <c r="F2751" s="4" t="n">
        <v>80</v>
      </c>
      <c r="G2751" t="inlineStr">
        <is>
          <t>VB</t>
        </is>
      </c>
      <c r="H2751" t="inlineStr">
        <is>
          <t>67373 Speyer - Dudenhofen</t>
        </is>
      </c>
      <c r="I2751" s="5" t="n">
        <v>45442</v>
      </c>
      <c r="J2751" t="inlineStr">
        <is>
          <t>Sold</t>
        </is>
      </c>
      <c r="K2751" s="6">
        <f>HYPERLINK("https://www.kleinanzeigen.de/s-anzeige/windsurf-wave-slalom-board-hifly-255-rx/2774743508-230-5368", "Link")</f>
        <v/>
      </c>
      <c r="L2751" s="6">
        <f>HYPERLINK("C:\Projects\Kleinanzeigen-Scraper\offer_images\2774743508", "Link")</f>
        <v/>
      </c>
      <c r="M2751" t="inlineStr">
        <is>
          <t>Uli</t>
        </is>
      </c>
      <c r="N2751" s="6">
        <f>HYPERLINK("https://www.kleinanzeigen.de/s-bestandsliste.html?userId=92238343", "Link")</f>
        <v/>
      </c>
      <c r="O2751" s="7" t="n">
        <v>45500.72378472222</v>
      </c>
      <c r="P2751" s="3" t="inlineStr">
        <is>
          <t>34.41</t>
        </is>
      </c>
      <c r="Q2751" t="inlineStr">
        <is>
          <t>Karlsruhe</t>
        </is>
      </c>
    </row>
    <row r="2752">
      <c r="A2752" t="inlineStr">
        <is>
          <t>257 cm</t>
        </is>
      </c>
      <c r="B2752" t="inlineStr">
        <is>
          <t>TIGA</t>
        </is>
      </c>
      <c r="C2752" t="inlineStr">
        <is>
          <t>Wave</t>
        </is>
      </c>
      <c r="D2752" s="3" t="n">
        <v>85</v>
      </c>
      <c r="E2752" t="inlineStr"/>
      <c r="F2752" s="4" t="n">
        <v>49</v>
      </c>
      <c r="G2752" t="inlineStr"/>
      <c r="H2752" t="inlineStr">
        <is>
          <t>64354 Hessen - Reinheim</t>
        </is>
      </c>
      <c r="I2752" s="5" t="n">
        <v>45408</v>
      </c>
      <c r="J2752" t="inlineStr">
        <is>
          <t>Sold</t>
        </is>
      </c>
      <c r="K2752" s="6">
        <f>HYPERLINK("https://www.kleinanzeigen.de/s-anzeige/windsurf-brett-tiga-wave-257/2745836788-230-4455", "Link")</f>
        <v/>
      </c>
      <c r="L2752" s="6">
        <f>HYPERLINK("C:\Projects\Kleinanzeigen-Scraper\offer_images\2745836788", "Link")</f>
        <v/>
      </c>
      <c r="M2752" t="inlineStr">
        <is>
          <t>Stefan Regler,</t>
        </is>
      </c>
      <c r="N2752" s="6">
        <f>HYPERLINK("https://www.kleinanzeigen.de/s-bestandsliste.html?userId=16331901", "Link")</f>
        <v/>
      </c>
      <c r="O2752" s="7" t="n">
        <v>45500.72375</v>
      </c>
      <c r="P2752" s="3" t="inlineStr">
        <is>
          <t>97.56</t>
        </is>
      </c>
      <c r="Q2752" t="inlineStr">
        <is>
          <t>Karlsruhe</t>
        </is>
      </c>
    </row>
    <row r="2753">
      <c r="A2753" t="inlineStr">
        <is>
          <t>354cm x 83cm x 15cm</t>
        </is>
      </c>
      <c r="B2753" t="inlineStr">
        <is>
          <t>F2 Cruise Team</t>
        </is>
      </c>
      <c r="C2753" t="inlineStr">
        <is>
          <t>Allround</t>
        </is>
      </c>
      <c r="D2753" s="3" t="inlineStr"/>
      <c r="E2753" t="inlineStr"/>
      <c r="F2753" s="4" t="n">
        <v>399</v>
      </c>
      <c r="G2753" t="inlineStr"/>
      <c r="H2753" t="inlineStr">
        <is>
          <t>79235 Baden-Württemberg - Vogtsburg</t>
        </is>
      </c>
      <c r="I2753" s="5" t="n">
        <v>44785</v>
      </c>
      <c r="J2753" t="inlineStr">
        <is>
          <t>Sold</t>
        </is>
      </c>
      <c r="K2753" s="6">
        <f>HYPERLINK("https://www.kleinanzeigen.de/s-anzeige/f2-cruise-team-ws-11-6-stand-up-paddle-board-windsurf-sup-set-neu/2181279633-230-8902", "Link")</f>
        <v/>
      </c>
      <c r="L2753" s="6">
        <f>HYPERLINK("C:\Projects\Kleinanzeigen-Scraper\offer_images\2181279633", "Link")</f>
        <v/>
      </c>
      <c r="M2753" t="inlineStr">
        <is>
          <t>BACKSIDE180</t>
        </is>
      </c>
      <c r="N2753" s="6">
        <f>HYPERLINK("https://www.kleinanzeigen.de/s-bestandsliste.html?userId=83228138", "Link")</f>
        <v/>
      </c>
      <c r="O2753" s="7" t="n">
        <v>45500.72369212963</v>
      </c>
      <c r="P2753" s="3" t="inlineStr">
        <is>
          <t>60.53</t>
        </is>
      </c>
      <c r="Q2753" t="inlineStr">
        <is>
          <t>Bonndorf</t>
        </is>
      </c>
    </row>
    <row r="2754">
      <c r="A2754" t="inlineStr">
        <is>
          <t>280cm x 58cm</t>
        </is>
      </c>
      <c r="B2754" t="inlineStr">
        <is>
          <t>F2 Xenon</t>
        </is>
      </c>
      <c r="C2754" t="inlineStr"/>
      <c r="D2754" s="3" t="n">
        <v>118</v>
      </c>
      <c r="E2754" t="inlineStr"/>
      <c r="F2754" s="4" t="n">
        <v>55</v>
      </c>
      <c r="G2754" t="inlineStr">
        <is>
          <t>VB</t>
        </is>
      </c>
      <c r="H2754" t="inlineStr">
        <is>
          <t>66386 Saarland - St. Ingbert</t>
        </is>
      </c>
      <c r="I2754" s="5" t="n">
        <v>45386</v>
      </c>
      <c r="J2754" t="inlineStr">
        <is>
          <t>Sold</t>
        </is>
      </c>
      <c r="K2754" s="6">
        <f>HYPERLINK("https://www.kleinanzeigen.de/s-anzeige/wind-surf-board-f2-xenon/2725810752-230-303", "Link")</f>
        <v/>
      </c>
      <c r="L2754" s="6">
        <f>HYPERLINK("C:\Projects\Kleinanzeigen-Scraper\offer_images\2725810752", "Link")</f>
        <v/>
      </c>
      <c r="M2754" t="inlineStr">
        <is>
          <t>eric schmelzer</t>
        </is>
      </c>
      <c r="N2754" s="6">
        <f>HYPERLINK("https://www.kleinanzeigen.de/s-bestandsliste.html?userId=5051488", "Link")</f>
        <v/>
      </c>
      <c r="O2754" s="7" t="n">
        <v>45500.72368055556</v>
      </c>
      <c r="P2754" s="3" t="inlineStr">
        <is>
          <t>96.65</t>
        </is>
      </c>
      <c r="Q2754" t="inlineStr">
        <is>
          <t>Karlsruhe</t>
        </is>
      </c>
    </row>
    <row r="2755">
      <c r="A2755" t="inlineStr">
        <is>
          <t>254 x 64</t>
        </is>
      </c>
      <c r="B2755" t="inlineStr">
        <is>
          <t>Lorch</t>
        </is>
      </c>
      <c r="C2755" t="inlineStr"/>
      <c r="D2755" s="3" t="n">
        <v>115</v>
      </c>
      <c r="E2755" t="inlineStr"/>
      <c r="F2755" s="4" t="n">
        <v>70</v>
      </c>
      <c r="G2755" t="inlineStr">
        <is>
          <t>VB</t>
        </is>
      </c>
      <c r="H2755" t="inlineStr">
        <is>
          <t>76571 Baden-Württemberg - Gaggenau</t>
        </is>
      </c>
      <c r="I2755" s="5" t="n">
        <v>45448</v>
      </c>
      <c r="J2755" t="inlineStr">
        <is>
          <t>Sold</t>
        </is>
      </c>
      <c r="K2755" s="6">
        <f>HYPERLINK("https://www.kleinanzeigen.de/s-anzeige/windsurf-board-lorch/2780654321-230-8988", "Link")</f>
        <v/>
      </c>
      <c r="L2755" s="6">
        <f>HYPERLINK("C:\Projects\Kleinanzeigen-Scraper\offer_images\2780654321", "Link")</f>
        <v/>
      </c>
      <c r="M2755" t="inlineStr">
        <is>
          <t>Tine</t>
        </is>
      </c>
      <c r="N2755" s="6">
        <f>HYPERLINK("https://www.kleinanzeigen.de/s-bestandsliste.html?userId=140334185", "Link")</f>
        <v/>
      </c>
      <c r="O2755" s="7" t="n">
        <v>45500.72366898148</v>
      </c>
      <c r="P2755" s="3" t="inlineStr">
        <is>
          <t>22.19</t>
        </is>
      </c>
      <c r="Q2755" t="inlineStr">
        <is>
          <t>Karlsruhe</t>
        </is>
      </c>
    </row>
    <row r="2756">
      <c r="A2756" t="inlineStr">
        <is>
          <t>228 cm</t>
        </is>
      </c>
      <c r="B2756" t="inlineStr">
        <is>
          <t>Starboard Futura</t>
        </is>
      </c>
      <c r="C2756" t="inlineStr">
        <is>
          <t>Freerace</t>
        </is>
      </c>
      <c r="D2756" s="3" t="n">
        <v>67</v>
      </c>
      <c r="E2756" t="inlineStr"/>
      <c r="F2756" s="4" t="n">
        <v>899</v>
      </c>
      <c r="G2756" t="inlineStr">
        <is>
          <t>VB</t>
        </is>
      </c>
      <c r="H2756" t="inlineStr">
        <is>
          <t>77654 Baden-Württemberg - Offenburg</t>
        </is>
      </c>
      <c r="I2756" s="5" t="n">
        <v>45456</v>
      </c>
      <c r="J2756" t="inlineStr">
        <is>
          <t>Sold</t>
        </is>
      </c>
      <c r="K2756" s="6">
        <f>HYPERLINK("https://www.kleinanzeigen.de/s-anzeige/neuwertig-starboard-futura-windsurf-board-67-inkl-finne-freerace/2787438043-230-9038", "Link")</f>
        <v/>
      </c>
      <c r="L2756" s="6">
        <f>HYPERLINK("C:\Projects\Kleinanzeigen-Scraper\offer_images\2787438043", "Link")</f>
        <v/>
      </c>
      <c r="M2756" t="inlineStr">
        <is>
          <t>Christian</t>
        </is>
      </c>
      <c r="N2756" s="6">
        <f>HYPERLINK("https://www.kleinanzeigen.de/s-bestandsliste.html?userId=15934602", "Link")</f>
        <v/>
      </c>
      <c r="O2756" s="7" t="n">
        <v>45500.72364583334</v>
      </c>
      <c r="P2756" s="3" t="inlineStr">
        <is>
          <t>66.05</t>
        </is>
      </c>
      <c r="Q2756" t="inlineStr">
        <is>
          <t>Karlsruhe</t>
        </is>
      </c>
    </row>
    <row r="2757">
      <c r="A2757" t="inlineStr">
        <is>
          <t>329 cm x 81 cm x 15 cm</t>
        </is>
      </c>
      <c r="B2757" t="inlineStr">
        <is>
          <t>F2 Glide Wing WS</t>
        </is>
      </c>
      <c r="C2757" t="inlineStr">
        <is>
          <t>Allround</t>
        </is>
      </c>
      <c r="D2757" s="3" t="inlineStr"/>
      <c r="E2757" t="inlineStr">
        <is>
          <t>2023</t>
        </is>
      </c>
      <c r="F2757" s="4" t="n">
        <v>399</v>
      </c>
      <c r="G2757" t="inlineStr"/>
      <c r="H2757" t="inlineStr">
        <is>
          <t>79235 Baden-Württemberg - Vogtsburg</t>
        </is>
      </c>
      <c r="I2757" s="5" t="n">
        <v>45169</v>
      </c>
      <c r="J2757" t="inlineStr">
        <is>
          <t>Sold</t>
        </is>
      </c>
      <c r="K2757" s="6">
        <f>HYPERLINK("https://www.kleinanzeigen.de/s-anzeige/f2-glide-wing-ws-10-8-stand-up-paddle-board-2in1-windsurf-sup-neu/2534340107-230-8902", "Link")</f>
        <v/>
      </c>
      <c r="L2757" s="6">
        <f>HYPERLINK("C:\Projects\Kleinanzeigen-Scraper\offer_images\2534340107", "Link")</f>
        <v/>
      </c>
      <c r="M2757" t="inlineStr">
        <is>
          <t>BACKSIDE180</t>
        </is>
      </c>
      <c r="N2757" s="6">
        <f>HYPERLINK("https://www.kleinanzeigen.de/s-bestandsliste.html?userId=83228138", "Link")</f>
        <v/>
      </c>
      <c r="O2757" s="7" t="n">
        <v>45500.72362268518</v>
      </c>
      <c r="P2757" s="3" t="inlineStr">
        <is>
          <t>60.53</t>
        </is>
      </c>
      <c r="Q2757" t="inlineStr">
        <is>
          <t>Bonndorf</t>
        </is>
      </c>
    </row>
    <row r="2758">
      <c r="A2758" t="inlineStr">
        <is>
          <t>260 cm x 80 cm</t>
        </is>
      </c>
      <c r="B2758" t="inlineStr">
        <is>
          <t>F2 Powerglide</t>
        </is>
      </c>
      <c r="C2758" t="inlineStr">
        <is>
          <t>Freeride</t>
        </is>
      </c>
      <c r="D2758" s="3" t="n">
        <v>160</v>
      </c>
      <c r="E2758" t="inlineStr"/>
      <c r="F2758" s="4" t="n">
        <v>190</v>
      </c>
      <c r="G2758" t="inlineStr">
        <is>
          <t>VB</t>
        </is>
      </c>
      <c r="H2758" t="inlineStr">
        <is>
          <t>73635 Baden-Württemberg - Rudersberg</t>
        </is>
      </c>
      <c r="I2758" s="5" t="n">
        <v>45423</v>
      </c>
      <c r="J2758" t="inlineStr">
        <is>
          <t>Sold</t>
        </is>
      </c>
      <c r="K2758" s="6">
        <f>HYPERLINK("https://www.kleinanzeigen.de/s-anzeige/f2-powerglide-145-windsurfboard-windsurfen/2758970700-230-8416", "Link")</f>
        <v/>
      </c>
      <c r="L2758" s="6">
        <f>HYPERLINK("C:\Projects\Kleinanzeigen-Scraper\offer_images\2758970700", "Link")</f>
        <v/>
      </c>
      <c r="M2758" t="inlineStr">
        <is>
          <t>Lars Klein</t>
        </is>
      </c>
      <c r="N2758" s="6">
        <f>HYPERLINK("https://www.kleinanzeigen.de/s-bestandsliste.html?userId=42057398", "Link")</f>
        <v/>
      </c>
      <c r="O2758" s="7" t="n">
        <v>45500.72359953704</v>
      </c>
      <c r="P2758" s="3" t="inlineStr">
        <is>
          <t>46.95</t>
        </is>
      </c>
      <c r="Q2758" t="inlineStr">
        <is>
          <t>Böblingen</t>
        </is>
      </c>
    </row>
    <row r="2759">
      <c r="A2759" t="inlineStr">
        <is>
          <t>228 cm x 55.5 cm</t>
        </is>
      </c>
      <c r="B2759" t="inlineStr">
        <is>
          <t>JP Australia Thruster Quad</t>
        </is>
      </c>
      <c r="C2759" t="inlineStr">
        <is>
          <t>Wave</t>
        </is>
      </c>
      <c r="D2759" s="3" t="n">
        <v>73</v>
      </c>
      <c r="E2759" t="inlineStr"/>
      <c r="F2759" s="4" t="n">
        <v>199</v>
      </c>
      <c r="G2759" t="inlineStr">
        <is>
          <t>VB</t>
        </is>
      </c>
      <c r="H2759" t="inlineStr">
        <is>
          <t>70329 Stuttgart - Hedelfingen</t>
        </is>
      </c>
      <c r="I2759" s="5" t="n">
        <v>45412</v>
      </c>
      <c r="J2759" t="inlineStr">
        <is>
          <t>Sold</t>
        </is>
      </c>
      <c r="K2759" s="6">
        <f>HYPERLINK("https://www.kleinanzeigen.de/s-anzeige/windsurf-wave-brett-thruster-quad-jp-australia-73-liter/2749251615-230-9338", "Link")</f>
        <v/>
      </c>
      <c r="L2759" s="6">
        <f>HYPERLINK("C:\Projects\Kleinanzeigen-Scraper\offer_images\2749251615", "Link")</f>
        <v/>
      </c>
      <c r="M2759" t="inlineStr">
        <is>
          <t>Marvin G.</t>
        </is>
      </c>
      <c r="N2759" s="6">
        <f>HYPERLINK("https://www.kleinanzeigen.de/s-bestandsliste.html?userId=73799491", "Link")</f>
        <v/>
      </c>
      <c r="O2759" s="7" t="n">
        <v>45500.72359953704</v>
      </c>
      <c r="P2759" s="3" t="inlineStr">
        <is>
          <t>22.01</t>
        </is>
      </c>
      <c r="Q2759" t="inlineStr">
        <is>
          <t>Böblingen</t>
        </is>
      </c>
    </row>
    <row r="2760">
      <c r="A2760" t="inlineStr">
        <is>
          <t>283 cm</t>
        </is>
      </c>
      <c r="B2760" t="inlineStr">
        <is>
          <t>Techno</t>
        </is>
      </c>
      <c r="C2760" t="inlineStr">
        <is>
          <t>Freeride</t>
        </is>
      </c>
      <c r="D2760" s="3" t="n">
        <v>152</v>
      </c>
      <c r="E2760" t="inlineStr"/>
      <c r="F2760" s="4" t="n">
        <v>400</v>
      </c>
      <c r="G2760" t="inlineStr">
        <is>
          <t>VB</t>
        </is>
      </c>
      <c r="H2760" t="inlineStr">
        <is>
          <t>76297 Baden-Württemberg - Stutensee</t>
        </is>
      </c>
      <c r="I2760" s="5" t="n">
        <v>45491</v>
      </c>
      <c r="J2760" t="inlineStr">
        <is>
          <t>Sold</t>
        </is>
      </c>
      <c r="K2760" s="6">
        <f>HYPERLINK("https://www.kleinanzeigen.de/s-anzeige/surfbrett-zum-windsurfen/2815608100-187-8342", "Link")</f>
        <v/>
      </c>
      <c r="L2760" s="6">
        <f>HYPERLINK("C:\Projects\Kleinanzeigen-Scraper\offer_images\2815608100", "Link")</f>
        <v/>
      </c>
      <c r="M2760" t="inlineStr">
        <is>
          <t>Friedhelm Hauth</t>
        </is>
      </c>
      <c r="N2760" s="6">
        <f>HYPERLINK("https://www.kleinanzeigen.de/s-bestandsliste.html?userId=4900135", "Link")</f>
        <v/>
      </c>
      <c r="O2760" s="7" t="n">
        <v>45500.72359953704</v>
      </c>
      <c r="P2760" s="3" t="inlineStr">
        <is>
          <t>10.37</t>
        </is>
      </c>
      <c r="Q2760" t="inlineStr">
        <is>
          <t>Karlsruhe</t>
        </is>
      </c>
    </row>
    <row r="2761">
      <c r="A2761" t="inlineStr">
        <is>
          <t>255x82 cm</t>
        </is>
      </c>
      <c r="B2761" t="inlineStr">
        <is>
          <t>Tahe Techno 160D</t>
        </is>
      </c>
      <c r="C2761" t="inlineStr">
        <is>
          <t>Freeride</t>
        </is>
      </c>
      <c r="D2761" s="3" t="n">
        <v>160</v>
      </c>
      <c r="E2761" t="inlineStr">
        <is>
          <t>2023</t>
        </is>
      </c>
      <c r="F2761" s="4" t="n">
        <v>740</v>
      </c>
      <c r="G2761" t="inlineStr"/>
      <c r="H2761" t="inlineStr">
        <is>
          <t>82538 Bayern - Geretsried</t>
        </is>
      </c>
      <c r="I2761" s="5" t="n">
        <v>45500</v>
      </c>
      <c r="J2761" t="inlineStr">
        <is>
          <t>Sold</t>
        </is>
      </c>
      <c r="K2761" s="6">
        <f>HYPERLINK("https://www.kleinanzeigen.de/s-anzeige/windsurf-board-techno-160d-1-mal-benutzt-/2822442044-230-6330", "Link")</f>
        <v/>
      </c>
      <c r="L2761" s="6">
        <f>HYPERLINK("C:\Projects\Kleinanzeigen-Scraper\offer_images\2822442044", "Link")</f>
        <v/>
      </c>
      <c r="M2761" t="inlineStr">
        <is>
          <t>Daniel</t>
        </is>
      </c>
      <c r="N2761" s="6">
        <f>HYPERLINK("https://www.kleinanzeigen.de/s-bestandsliste.html?userId=40545049", "Link")</f>
        <v/>
      </c>
      <c r="O2761" s="7" t="n">
        <v>45500.72358796297</v>
      </c>
      <c r="P2761" s="3" t="inlineStr">
        <is>
          <t>30.25</t>
        </is>
      </c>
      <c r="Q2761" t="inlineStr">
        <is>
          <t>München</t>
        </is>
      </c>
    </row>
    <row r="2762">
      <c r="A2762" t="inlineStr">
        <is>
          <t>3.50 m</t>
        </is>
      </c>
      <c r="B2762" t="inlineStr">
        <is>
          <t>Fanatic VIPER</t>
        </is>
      </c>
      <c r="C2762" t="inlineStr"/>
      <c r="D2762" s="3" t="inlineStr"/>
      <c r="E2762" t="inlineStr"/>
      <c r="F2762" s="4" t="n">
        <v>50</v>
      </c>
      <c r="G2762" t="inlineStr">
        <is>
          <t>VB</t>
        </is>
      </c>
      <c r="H2762" t="inlineStr">
        <is>
          <t>74211 Baden-Württemberg - Leingarten</t>
        </is>
      </c>
      <c r="I2762" s="5" t="n">
        <v>45492</v>
      </c>
      <c r="J2762" t="inlineStr">
        <is>
          <t>Sold</t>
        </is>
      </c>
      <c r="K2762" s="6">
        <f>HYPERLINK("https://www.kleinanzeigen.de/s-anzeige/windsurf-fanatic-viper-surfbrett-3-50-m-lang/2816136352-230-9230", "Link")</f>
        <v/>
      </c>
      <c r="L2762" s="6">
        <f>HYPERLINK("C:\Projects\Kleinanzeigen-Scraper\offer_images\2816136352", "Link")</f>
        <v/>
      </c>
      <c r="M2762" t="inlineStr">
        <is>
          <t>Kala</t>
        </is>
      </c>
      <c r="N2762" s="6">
        <f>HYPERLINK("https://www.kleinanzeigen.de/s-bestandsliste.html?userId=50656942", "Link")</f>
        <v/>
      </c>
      <c r="O2762" s="7" t="n">
        <v>45500.72353009259</v>
      </c>
      <c r="P2762" s="3" t="inlineStr">
        <is>
          <t>52.23</t>
        </is>
      </c>
      <c r="Q2762" t="inlineStr">
        <is>
          <t>Böblingen</t>
        </is>
      </c>
    </row>
    <row r="2763">
      <c r="A2763" t="inlineStr">
        <is>
          <t>236 x 82</t>
        </is>
      </c>
      <c r="B2763" t="inlineStr">
        <is>
          <t>F2 Chilli</t>
        </is>
      </c>
      <c r="C2763" t="inlineStr">
        <is>
          <t>Freestyle</t>
        </is>
      </c>
      <c r="D2763" s="3" t="n">
        <v>99</v>
      </c>
      <c r="E2763" t="inlineStr"/>
      <c r="F2763" s="4" t="n">
        <v>25</v>
      </c>
      <c r="G2763" t="inlineStr"/>
      <c r="H2763" t="inlineStr">
        <is>
          <t>72074 Baden-Württemberg - Tübingen</t>
        </is>
      </c>
      <c r="I2763" s="5" t="n">
        <v>45219</v>
      </c>
      <c r="J2763" t="inlineStr">
        <is>
          <t>Sold</t>
        </is>
      </c>
      <c r="K2763" s="6">
        <f>HYPERLINK("https://www.kleinanzeigen.de/s-anzeige/surfboard-windsurfen-f2-chilli-99-liter/2578323609-230-9095", "Link")</f>
        <v/>
      </c>
      <c r="L2763" s="6">
        <f>HYPERLINK("C:\Projects\Kleinanzeigen-Scraper\offer_images\2578323609", "Link")</f>
        <v/>
      </c>
      <c r="M2763" t="inlineStr">
        <is>
          <t>Felix</t>
        </is>
      </c>
      <c r="N2763" s="6">
        <f>HYPERLINK("https://www.kleinanzeigen.de/s-bestandsliste.html?userId=23500177", "Link")</f>
        <v/>
      </c>
      <c r="O2763" s="7" t="n">
        <v>45500.72353009259</v>
      </c>
      <c r="P2763" s="3" t="inlineStr">
        <is>
          <t>13.72</t>
        </is>
      </c>
      <c r="Q2763" t="inlineStr">
        <is>
          <t>Böblingen</t>
        </is>
      </c>
    </row>
    <row r="2764">
      <c r="A2764" t="inlineStr">
        <is>
          <t>265 cm x 63.5 cm</t>
        </is>
      </c>
      <c r="B2764" t="inlineStr">
        <is>
          <t>JP</t>
        </is>
      </c>
      <c r="C2764" t="inlineStr">
        <is>
          <t>Freestyle</t>
        </is>
      </c>
      <c r="D2764" s="3" t="n">
        <v>115</v>
      </c>
      <c r="E2764" t="inlineStr"/>
      <c r="F2764" s="4" t="n">
        <v>70</v>
      </c>
      <c r="G2764" t="inlineStr"/>
      <c r="H2764" t="inlineStr">
        <is>
          <t>79350 Baden-Württemberg - Sexau</t>
        </is>
      </c>
      <c r="I2764" s="5" t="n">
        <v>45248</v>
      </c>
      <c r="J2764" t="inlineStr">
        <is>
          <t>Sold</t>
        </is>
      </c>
      <c r="K2764" s="6">
        <f>HYPERLINK("https://www.kleinanzeigen.de/s-anzeige/windsurf-board-jp-freestyle-265/2606190847-230-8288", "Link")</f>
        <v/>
      </c>
      <c r="L2764" s="6">
        <f>HYPERLINK("C:\Projects\Kleinanzeigen-Scraper\offer_images\2606190847", "Link")</f>
        <v/>
      </c>
      <c r="M2764" t="inlineStr">
        <is>
          <t>Martin</t>
        </is>
      </c>
      <c r="N2764" s="6">
        <f>HYPERLINK("https://www.kleinanzeigen.de/s-bestandsliste.html?userId=81591579", "Link")</f>
        <v/>
      </c>
      <c r="O2764" s="7" t="n">
        <v>45500.72350694444</v>
      </c>
      <c r="P2764" s="3" t="inlineStr">
        <is>
          <t>45.20</t>
        </is>
      </c>
      <c r="Q2764" t="inlineStr">
        <is>
          <t>Bonndorf</t>
        </is>
      </c>
    </row>
    <row r="2765">
      <c r="A2765" t="inlineStr"/>
      <c r="B2765" t="inlineStr">
        <is>
          <t>Fanatic Blast Ltd.</t>
        </is>
      </c>
      <c r="C2765" t="inlineStr">
        <is>
          <t>Freeride</t>
        </is>
      </c>
      <c r="D2765" s="3" t="n">
        <v>117</v>
      </c>
      <c r="E2765" t="inlineStr">
        <is>
          <t>2022</t>
        </is>
      </c>
      <c r="F2765" s="4" t="inlineStr"/>
      <c r="G2765" t="inlineStr">
        <is>
          <t>VB</t>
        </is>
      </c>
      <c r="H2765" t="inlineStr">
        <is>
          <t>71384 Baden-Württemberg - Weinstadt</t>
        </is>
      </c>
      <c r="I2765" s="5" t="n">
        <v>45496</v>
      </c>
      <c r="J2765" t="inlineStr">
        <is>
          <t>Sold</t>
        </is>
      </c>
      <c r="K2765" s="6">
        <f>HYPERLINK("https://www.kleinanzeigen.de/s-anzeige/fanatic-blast-ltd-2022-117l-windsurf-board/2819656636-230-8386", "Link")</f>
        <v/>
      </c>
      <c r="L2765" s="6">
        <f>HYPERLINK("C:\Projects\Kleinanzeigen-Scraper\offer_images\2819656636", "Link")</f>
        <v/>
      </c>
      <c r="M2765" t="inlineStr">
        <is>
          <t>Herr Bühler</t>
        </is>
      </c>
      <c r="N2765" s="6">
        <f>HYPERLINK("https://www.kleinanzeigen.de/s-bestandsliste.html?userId=52329124", "Link")</f>
        <v/>
      </c>
      <c r="O2765" s="7" t="n">
        <v>45500.72349537037</v>
      </c>
      <c r="P2765" s="3" t="inlineStr">
        <is>
          <t>33.53</t>
        </is>
      </c>
      <c r="Q2765" t="inlineStr">
        <is>
          <t>Böblingen</t>
        </is>
      </c>
    </row>
    <row r="2766">
      <c r="A2766" t="inlineStr">
        <is>
          <t>239 cm x 80 cm</t>
        </is>
      </c>
      <c r="B2766" t="inlineStr">
        <is>
          <t>Tiga Hyper X</t>
        </is>
      </c>
      <c r="C2766" t="inlineStr">
        <is>
          <t>Freeride</t>
        </is>
      </c>
      <c r="D2766" s="3" t="n">
        <v>130</v>
      </c>
      <c r="E2766" t="inlineStr"/>
      <c r="F2766" s="4" t="n">
        <v>249</v>
      </c>
      <c r="G2766" t="inlineStr">
        <is>
          <t>VB</t>
        </is>
      </c>
      <c r="H2766" t="inlineStr">
        <is>
          <t>70329 Stuttgart - Hedelfingen</t>
        </is>
      </c>
      <c r="I2766" s="5" t="n">
        <v>45412</v>
      </c>
      <c r="J2766" t="inlineStr">
        <is>
          <t>Sold</t>
        </is>
      </c>
      <c r="K2766" s="6">
        <f>HYPERLINK("https://www.kleinanzeigen.de/s-anzeige/windsurf-brett-tiga-hyper-x-130-liter/2749237015-230-9338", "Link")</f>
        <v/>
      </c>
      <c r="L2766" s="6">
        <f>HYPERLINK("C:\Projects\Kleinanzeigen-Scraper\offer_images\2749237015", "Link")</f>
        <v/>
      </c>
      <c r="M2766" t="inlineStr">
        <is>
          <t>Marvin G.</t>
        </is>
      </c>
      <c r="N2766" s="6">
        <f>HYPERLINK("https://www.kleinanzeigen.de/s-bestandsliste.html?userId=73799491", "Link")</f>
        <v/>
      </c>
      <c r="O2766" s="7" t="n">
        <v>45500.72347222222</v>
      </c>
      <c r="P2766" s="3" t="inlineStr">
        <is>
          <t>22.01</t>
        </is>
      </c>
      <c r="Q2766" t="inlineStr">
        <is>
          <t>Böblingen</t>
        </is>
      </c>
    </row>
    <row r="2767">
      <c r="A2767" t="inlineStr">
        <is>
          <t>323cm x 83cm x 15cm</t>
        </is>
      </c>
      <c r="B2767" t="inlineStr">
        <is>
          <t>F2 Cruise Team</t>
        </is>
      </c>
      <c r="C2767" t="inlineStr">
        <is>
          <t>Allround</t>
        </is>
      </c>
      <c r="D2767" s="3" t="inlineStr"/>
      <c r="E2767" t="inlineStr">
        <is>
          <t>2023</t>
        </is>
      </c>
      <c r="F2767" s="4" t="n">
        <v>399</v>
      </c>
      <c r="G2767" t="inlineStr"/>
      <c r="H2767" t="inlineStr">
        <is>
          <t>79235 Baden-Württemberg - Vogtsburg</t>
        </is>
      </c>
      <c r="I2767" s="5" t="n">
        <v>45092</v>
      </c>
      <c r="J2767" t="inlineStr">
        <is>
          <t>Sold</t>
        </is>
      </c>
      <c r="K2767" s="6">
        <f>HYPERLINK("https://www.kleinanzeigen.de/s-anzeige/f2-cruise-team-ws-10-6-stand-up-paddleboard-windsurf-sup-set-neu/2469017288-230-8902", "Link")</f>
        <v/>
      </c>
      <c r="L2767" s="6">
        <f>HYPERLINK("C:\Projects\Kleinanzeigen-Scraper\offer_images\2469017288", "Link")</f>
        <v/>
      </c>
      <c r="M2767" t="inlineStr">
        <is>
          <t>BACKSIDE180</t>
        </is>
      </c>
      <c r="N2767" s="6">
        <f>HYPERLINK("https://www.kleinanzeigen.de/s-bestandsliste.html?userId=83228138", "Link")</f>
        <v/>
      </c>
      <c r="O2767" s="7" t="n">
        <v>45500.72346064815</v>
      </c>
      <c r="P2767" s="3" t="inlineStr">
        <is>
          <t>60.53</t>
        </is>
      </c>
      <c r="Q2767" t="inlineStr">
        <is>
          <t>Bonndorf</t>
        </is>
      </c>
    </row>
    <row r="2768">
      <c r="A2768" t="inlineStr"/>
      <c r="B2768" t="inlineStr">
        <is>
          <t>Decathlon Tamahoo</t>
        </is>
      </c>
      <c r="C2768" t="inlineStr">
        <is>
          <t>Freeride</t>
        </is>
      </c>
      <c r="D2768" s="3" t="inlineStr"/>
      <c r="E2768" t="inlineStr"/>
      <c r="F2768" s="4" t="n">
        <v>259</v>
      </c>
      <c r="G2768" t="inlineStr"/>
      <c r="H2768" t="inlineStr">
        <is>
          <t>73614 Baden-Württemberg - Schorndorf</t>
        </is>
      </c>
      <c r="I2768" s="5" t="n">
        <v>45301</v>
      </c>
      <c r="J2768" t="inlineStr">
        <is>
          <t>Sold</t>
        </is>
      </c>
      <c r="K2768" s="6">
        <f>HYPERLINK("https://www.kleinanzeigen.de/s-anzeige/decathlon-tamahoo-windsurf-board-neu-unbenutzt/2649297399-230-8415", "Link")</f>
        <v/>
      </c>
      <c r="L2768" s="6">
        <f>HYPERLINK("C:\Projects\Kleinanzeigen-Scraper\offer_images\2649297399", "Link")</f>
        <v/>
      </c>
      <c r="M2768" t="inlineStr">
        <is>
          <t>Thorsten</t>
        </is>
      </c>
      <c r="N2768" s="6">
        <f>HYPERLINK("https://www.kleinanzeigen.de/s-bestandsliste.html?userId=1977336", "Link")</f>
        <v/>
      </c>
      <c r="O2768" s="7" t="n">
        <v>45500.72344907407</v>
      </c>
      <c r="P2768" s="3" t="inlineStr">
        <is>
          <t>42.17</t>
        </is>
      </c>
      <c r="Q2768" t="inlineStr">
        <is>
          <t>Böblingen</t>
        </is>
      </c>
    </row>
    <row r="2769">
      <c r="A2769" t="inlineStr">
        <is>
          <t>268 cm x 63 cm</t>
        </is>
      </c>
      <c r="B2769" t="inlineStr">
        <is>
          <t>F2 Wizzard</t>
        </is>
      </c>
      <c r="C2769" t="inlineStr">
        <is>
          <t>Freeride</t>
        </is>
      </c>
      <c r="D2769" s="3" t="n">
        <v>115</v>
      </c>
      <c r="E2769" t="inlineStr"/>
      <c r="F2769" s="4" t="n">
        <v>199</v>
      </c>
      <c r="G2769" t="inlineStr">
        <is>
          <t>VB</t>
        </is>
      </c>
      <c r="H2769" t="inlineStr">
        <is>
          <t>74211 Baden-Württemberg - Leingarten</t>
        </is>
      </c>
      <c r="I2769" s="5" t="n">
        <v>45353</v>
      </c>
      <c r="J2769" t="inlineStr">
        <is>
          <t>Sold</t>
        </is>
      </c>
      <c r="K2769" s="6">
        <f>HYPERLINK("https://www.kleinanzeigen.de/s-anzeige/windsurf-surfbrett-f2-115-liter-brett-wizzard/2694866500-230-9230", "Link")</f>
        <v/>
      </c>
      <c r="L2769" s="6">
        <f>HYPERLINK("C:\Projects\Kleinanzeigen-Scraper\offer_images\2694866500", "Link")</f>
        <v/>
      </c>
      <c r="M2769" t="inlineStr">
        <is>
          <t>Johannes Waldenmaier</t>
        </is>
      </c>
      <c r="N2769" s="6">
        <f>HYPERLINK("https://www.kleinanzeigen.de/s-bestandsliste.html?userId=31370707", "Link")</f>
        <v/>
      </c>
      <c r="O2769" s="7" t="n">
        <v>45500.7233912037</v>
      </c>
      <c r="P2769" s="3" t="inlineStr">
        <is>
          <t>52.23</t>
        </is>
      </c>
      <c r="Q2769" t="inlineStr">
        <is>
          <t>Böblingen</t>
        </is>
      </c>
    </row>
    <row r="2770">
      <c r="A2770" t="inlineStr"/>
      <c r="B2770" t="inlineStr">
        <is>
          <t>F2 Rodeo</t>
        </is>
      </c>
      <c r="C2770" t="inlineStr">
        <is>
          <t>Freestyle</t>
        </is>
      </c>
      <c r="D2770" s="3" t="n">
        <v>90</v>
      </c>
      <c r="E2770" t="inlineStr"/>
      <c r="F2770" s="4" t="n">
        <v>400</v>
      </c>
      <c r="G2770" t="inlineStr">
        <is>
          <t>VB</t>
        </is>
      </c>
      <c r="H2770" t="inlineStr">
        <is>
          <t>74889 Baden-Württemberg - Sinsheim</t>
        </is>
      </c>
      <c r="I2770" s="5" t="n">
        <v>45480</v>
      </c>
      <c r="J2770" t="inlineStr">
        <is>
          <t>Sold</t>
        </is>
      </c>
      <c r="K2770" s="6">
        <f>HYPERLINK("https://www.kleinanzeigen.de/s-anzeige/windsurf-board-f2-rodeo-90l-freestyle/2806235187-230-8139", "Link")</f>
        <v/>
      </c>
      <c r="L2770" s="6">
        <f>HYPERLINK("C:\Projects\Kleinanzeigen-Scraper\offer_images\2806235187", "Link")</f>
        <v/>
      </c>
      <c r="M2770" t="inlineStr">
        <is>
          <t>Martin Miksch</t>
        </is>
      </c>
      <c r="N2770" s="6">
        <f>HYPERLINK("https://www.kleinanzeigen.de/s-bestandsliste.html?userId=17381130", "Link")</f>
        <v/>
      </c>
      <c r="O2770" s="7" t="n">
        <v>45500.72336805556</v>
      </c>
      <c r="P2770" s="3" t="inlineStr">
        <is>
          <t>45.17</t>
        </is>
      </c>
      <c r="Q2770" t="inlineStr">
        <is>
          <t>Karlsruhe</t>
        </is>
      </c>
    </row>
    <row r="2771">
      <c r="A2771" t="inlineStr">
        <is>
          <t>329cm x 81cm x 15cm</t>
        </is>
      </c>
      <c r="B2771" t="inlineStr">
        <is>
          <t>F2 PEAK</t>
        </is>
      </c>
      <c r="C2771" t="inlineStr">
        <is>
          <t>Allround</t>
        </is>
      </c>
      <c r="D2771" s="3" t="inlineStr"/>
      <c r="E2771" t="inlineStr"/>
      <c r="F2771" s="4" t="n">
        <v>399</v>
      </c>
      <c r="G2771" t="inlineStr"/>
      <c r="H2771" t="inlineStr">
        <is>
          <t>79235 Baden-Württemberg - Vogtsburg</t>
        </is>
      </c>
      <c r="I2771" s="5" t="n">
        <v>44753</v>
      </c>
      <c r="J2771" t="inlineStr">
        <is>
          <t>Sold</t>
        </is>
      </c>
      <c r="K2771" s="6">
        <f>HYPERLINK("https://www.kleinanzeigen.de/s-anzeige/f2-ride-ws-10-5-11-5-stand-up-paddle-board-windsurf-sup-set-neu/2154914096-230-8902", "Link")</f>
        <v/>
      </c>
      <c r="L2771" s="6">
        <f>HYPERLINK("C:\Projects\Kleinanzeigen-Scraper\offer_images\2154914096", "Link")</f>
        <v/>
      </c>
      <c r="M2771" t="inlineStr">
        <is>
          <t>BACKSIDE180</t>
        </is>
      </c>
      <c r="N2771" s="6">
        <f>HYPERLINK("https://www.kleinanzeigen.de/s-bestandsliste.html?userId=83228138", "Link")</f>
        <v/>
      </c>
      <c r="O2771" s="7" t="n">
        <v>45500.7233449074</v>
      </c>
      <c r="P2771" s="3" t="inlineStr">
        <is>
          <t>60.53</t>
        </is>
      </c>
      <c r="Q2771" t="inlineStr">
        <is>
          <t>Bonndorf</t>
        </is>
      </c>
    </row>
    <row r="2772">
      <c r="A2772" t="inlineStr"/>
      <c r="B2772" t="inlineStr">
        <is>
          <t>Starboard Carve IQ</t>
        </is>
      </c>
      <c r="C2772" t="inlineStr">
        <is>
          <t>Freeride</t>
        </is>
      </c>
      <c r="D2772" s="3" t="n">
        <v>144</v>
      </c>
      <c r="E2772" t="inlineStr"/>
      <c r="F2772" s="4" t="n">
        <v>340</v>
      </c>
      <c r="G2772" t="inlineStr">
        <is>
          <t>VB</t>
        </is>
      </c>
      <c r="H2772" t="inlineStr">
        <is>
          <t>30165 Hannover - Vahrenwald-List</t>
        </is>
      </c>
      <c r="I2772" s="5" t="n">
        <v>45500</v>
      </c>
      <c r="J2772" t="inlineStr"/>
      <c r="K2772" s="6">
        <f>HYPERLINK("https://www.kleinanzeigen.de/s-anzeige/starboard-carve-iq-144l-windsurf-board/2822536763-230-3171", "Link")</f>
        <v/>
      </c>
      <c r="L2772" s="6">
        <f>HYPERLINK("C:\Projects\Kleinanzeigen-Scraper\offer_images\2822536763", "Link")</f>
        <v/>
      </c>
      <c r="M2772" t="inlineStr">
        <is>
          <t>Konstantin</t>
        </is>
      </c>
      <c r="N2772" s="6">
        <f>HYPERLINK("https://www.kleinanzeigen.de/s-bestandsliste.html?userId=7906305", "Link")</f>
        <v/>
      </c>
      <c r="O2772" s="7" t="n">
        <v>45500.72333333334</v>
      </c>
      <c r="P2772" s="3" t="inlineStr">
        <is>
          <t>251.16</t>
        </is>
      </c>
      <c r="Q2772" t="inlineStr">
        <is>
          <t>Köln</t>
        </is>
      </c>
    </row>
    <row r="2773">
      <c r="A2773" t="inlineStr">
        <is>
          <t>108</t>
        </is>
      </c>
      <c r="B2773" t="inlineStr">
        <is>
          <t>F2 Chilli</t>
        </is>
      </c>
      <c r="C2773" t="inlineStr">
        <is>
          <t>Freestyle</t>
        </is>
      </c>
      <c r="D2773" s="3" t="inlineStr"/>
      <c r="E2773" t="inlineStr"/>
      <c r="F2773" s="4" t="n">
        <v>300</v>
      </c>
      <c r="G2773" t="inlineStr"/>
      <c r="H2773" t="inlineStr">
        <is>
          <t>79110 Baden-Württemberg - Freiburg im Breisgau</t>
        </is>
      </c>
      <c r="I2773" s="5" t="n">
        <v>45095</v>
      </c>
      <c r="J2773" t="inlineStr">
        <is>
          <t>Sold</t>
        </is>
      </c>
      <c r="K2773" s="6">
        <f>HYPERLINK("https://www.kleinanzeigen.de/s-anzeige/f2-chilli-108-freestyle-board-windsurfen/2472029316-230-9359", "Link")</f>
        <v/>
      </c>
      <c r="L2773" s="6">
        <f>HYPERLINK("C:\Projects\Kleinanzeigen-Scraper\offer_images\2472029316", "Link")</f>
        <v/>
      </c>
      <c r="M2773" t="inlineStr">
        <is>
          <t>Heinz</t>
        </is>
      </c>
      <c r="N2773" s="6">
        <f>HYPERLINK("https://www.kleinanzeigen.de/s-bestandsliste.html?userId=50855211", "Link")</f>
        <v/>
      </c>
      <c r="O2773" s="7" t="n">
        <v>45500.72332175926</v>
      </c>
      <c r="P2773" s="3" t="inlineStr">
        <is>
          <t>45.32</t>
        </is>
      </c>
      <c r="Q2773" t="inlineStr">
        <is>
          <t>Bonndorf</t>
        </is>
      </c>
    </row>
    <row r="2774">
      <c r="A2774" t="inlineStr"/>
      <c r="B2774" t="inlineStr">
        <is>
          <t>Fanatic Bee</t>
        </is>
      </c>
      <c r="C2774" t="inlineStr"/>
      <c r="D2774" s="3" t="n">
        <v>124</v>
      </c>
      <c r="E2774" t="inlineStr"/>
      <c r="F2774" s="4" t="n">
        <v>75</v>
      </c>
      <c r="G2774" t="inlineStr"/>
      <c r="H2774" t="inlineStr">
        <is>
          <t>76275 Baden-Württemberg - Ettlingen</t>
        </is>
      </c>
      <c r="I2774" s="5" t="n">
        <v>45467</v>
      </c>
      <c r="J2774" t="inlineStr">
        <is>
          <t>Sold</t>
        </is>
      </c>
      <c r="K2774" s="6">
        <f>HYPERLINK("https://www.kleinanzeigen.de/s-anzeige/windsurf-fanatic-bee/2796603510-230-8929", "Link")</f>
        <v/>
      </c>
      <c r="L2774" s="6">
        <f>HYPERLINK("C:\Projects\Kleinanzeigen-Scraper\offer_images\2796603510", "Link")</f>
        <v/>
      </c>
      <c r="M2774" t="inlineStr">
        <is>
          <t>Micha</t>
        </is>
      </c>
      <c r="N2774" s="6">
        <f>HYPERLINK("https://www.kleinanzeigen.de/s-bestandsliste.html?userId=6057214", "Link")</f>
        <v/>
      </c>
      <c r="O2774" s="7" t="n">
        <v>45500.46230324074</v>
      </c>
      <c r="P2774" s="3" t="inlineStr">
        <is>
          <t>8.80</t>
        </is>
      </c>
      <c r="Q2774" t="inlineStr">
        <is>
          <t>Karlsruhe</t>
        </is>
      </c>
    </row>
    <row r="2775">
      <c r="A2775" t="inlineStr">
        <is>
          <t>275 cm x 90 cm</t>
        </is>
      </c>
      <c r="B2775" t="inlineStr">
        <is>
          <t>JP Explorer</t>
        </is>
      </c>
      <c r="C2775" t="inlineStr">
        <is>
          <t>Freeride</t>
        </is>
      </c>
      <c r="D2775" s="3" t="n">
        <v>165</v>
      </c>
      <c r="E2775" t="inlineStr"/>
      <c r="F2775" s="4" t="n">
        <v>444</v>
      </c>
      <c r="G2775" t="inlineStr">
        <is>
          <t>VB</t>
        </is>
      </c>
      <c r="H2775" t="inlineStr">
        <is>
          <t>75045 Baden-Württemberg - Walzbachtal</t>
        </is>
      </c>
      <c r="I2775" s="5" t="n">
        <v>45492</v>
      </c>
      <c r="J2775" t="inlineStr">
        <is>
          <t>Sold</t>
        </is>
      </c>
      <c r="K2775" s="6">
        <f>HYPERLINK("https://www.kleinanzeigen.de/s-anzeige/surfbrett-jp-explorer-165-softdeck-windsurfen/2816034571-230-8248", "Link")</f>
        <v/>
      </c>
      <c r="L2775" s="6">
        <f>HYPERLINK("C:\Projects\Kleinanzeigen-Scraper\offer_images\2816034571", "Link")</f>
        <v/>
      </c>
      <c r="M2775" t="inlineStr">
        <is>
          <t>Carsten</t>
        </is>
      </c>
      <c r="N2775" s="6">
        <f>HYPERLINK("https://www.kleinanzeigen.de/s-bestandsliste.html?userId=21241938", "Link")</f>
        <v/>
      </c>
      <c r="O2775" s="7" t="n">
        <v>45500.46230324074</v>
      </c>
      <c r="P2775" s="3" t="inlineStr">
        <is>
          <t>15.32</t>
        </is>
      </c>
      <c r="Q2775" t="inlineStr">
        <is>
          <t>Karlsruhe</t>
        </is>
      </c>
    </row>
  </sheetData>
  <autoFilter ref="A1:Q2775"/>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786"/>
  <sheetViews>
    <sheetView workbookViewId="0">
      <selection activeCell="A1" sqref="A1"/>
    </sheetView>
  </sheetViews>
  <sheetFormatPr baseColWidth="8" defaultRowHeight="15"/>
  <cols>
    <col width="39" customWidth="1" min="1" max="1"/>
    <col width="22" customWidth="1" min="2" max="2"/>
    <col width="16" customWidth="1" min="3" max="3"/>
    <col width="15" customWidth="1" min="4" max="4"/>
    <col width="18" customWidth="1" min="5" max="5"/>
    <col width="6" customWidth="1" min="6" max="6"/>
    <col width="60" customWidth="1" min="7" max="7"/>
    <col width="10" customWidth="1" min="8" max="8"/>
    <col width="8" customWidth="1" min="9" max="9"/>
    <col width="10" customWidth="1" min="10" max="10"/>
    <col width="10" customWidth="1" min="11" max="11"/>
    <col width="25" customWidth="1" min="12" max="12"/>
    <col width="20" customWidth="1" min="13" max="13"/>
    <col width="23" customWidth="1" min="14" max="14"/>
    <col width="21" customWidth="1" min="15" max="15"/>
    <col width="17" customWidth="1" min="16" max="16"/>
  </cols>
  <sheetData>
    <row r="1">
      <c r="A1" s="1" t="inlineStr">
        <is>
          <t>Brand</t>
        </is>
      </c>
      <c r="B1" s="1" t="inlineStr">
        <is>
          <t>Length</t>
        </is>
      </c>
      <c r="C1" s="1" t="inlineStr">
        <is>
          <t>Carbon</t>
        </is>
      </c>
      <c r="D1" s="1" t="inlineStr">
        <is>
          <t>Rdm Or Sdm</t>
        </is>
      </c>
      <c r="E1" s="1" t="inlineStr">
        <is>
          <t>Price</t>
        </is>
      </c>
      <c r="F1" s="1" t="inlineStr">
        <is>
          <t>VB</t>
        </is>
      </c>
      <c r="G1" s="1" t="inlineStr">
        <is>
          <t>Location</t>
        </is>
      </c>
      <c r="H1" s="1" t="inlineStr">
        <is>
          <t>Date</t>
        </is>
      </c>
      <c r="I1" s="1" t="inlineStr">
        <is>
          <t>Sold</t>
        </is>
      </c>
      <c r="J1" s="1" t="inlineStr">
        <is>
          <t>Link</t>
        </is>
      </c>
      <c r="K1" s="1" t="inlineStr">
        <is>
          <t>Images</t>
        </is>
      </c>
      <c r="L1" s="1" t="inlineStr">
        <is>
          <t>User name</t>
        </is>
      </c>
      <c r="M1" s="1" t="inlineStr">
        <is>
          <t>All other offers</t>
        </is>
      </c>
      <c r="N1" s="1" t="inlineStr">
        <is>
          <t>Scraped on</t>
        </is>
      </c>
      <c r="O1" s="1" t="inlineStr">
        <is>
          <t>Min Distance (km)</t>
        </is>
      </c>
      <c r="P1" s="1" t="inlineStr">
        <is>
          <t>Closest place</t>
        </is>
      </c>
    </row>
    <row r="2">
      <c r="A2" t="inlineStr">
        <is>
          <t>Severne RDM White</t>
        </is>
      </c>
      <c r="B2" s="3" t="n">
        <v>400</v>
      </c>
      <c r="C2" s="8" t="n">
        <v>50</v>
      </c>
      <c r="D2" t="inlineStr">
        <is>
          <t>RDM</t>
        </is>
      </c>
      <c r="E2" s="4" t="n">
        <v>230</v>
      </c>
      <c r="F2" t="inlineStr"/>
      <c r="G2" t="inlineStr">
        <is>
          <t>21217 Seevetal GT Meckelfeld</t>
        </is>
      </c>
      <c r="H2" s="5" t="n">
        <v>45568</v>
      </c>
      <c r="I2" t="inlineStr"/>
      <c r="J2" s="6">
        <f>HYPERLINK("https://www.dailydose.de/kleinanzeigen/detail.htm?ai=423571&amp;cf=kk&amp;pg=1&amp;ci=2", "Link")</f>
        <v/>
      </c>
      <c r="K2" s="6">
        <f>HYPERLINK("C:\Projects\Kleinanzeigen-Scraper\offer_images\423571", "Link")</f>
        <v/>
      </c>
      <c r="L2" t="inlineStr">
        <is>
          <t>joey</t>
        </is>
      </c>
      <c r="M2" s="6">
        <f>HYPERLINK("https://www.dailydose.de/kleinanzeigen/user/12288", "Link")</f>
        <v/>
      </c>
      <c r="N2" s="7" t="n">
        <v>45568.75539351852</v>
      </c>
      <c r="O2" s="3" t="inlineStr">
        <is>
          <t>348.89</t>
        </is>
      </c>
      <c r="P2" t="inlineStr">
        <is>
          <t>Köln</t>
        </is>
      </c>
    </row>
    <row r="3">
      <c r="A3" t="inlineStr">
        <is>
          <t>Gunsails ADVANTAGE</t>
        </is>
      </c>
      <c r="B3" s="3" t="n">
        <v>370</v>
      </c>
      <c r="C3" s="8" t="inlineStr">
        <is>
          <t>C30</t>
        </is>
      </c>
      <c r="D3" t="inlineStr">
        <is>
          <t>RDM</t>
        </is>
      </c>
      <c r="E3" s="4" t="n">
        <v>125</v>
      </c>
      <c r="F3" t="inlineStr"/>
      <c r="G3" t="inlineStr">
        <is>
          <t>21217 Seevetal GT Meckelfeld</t>
        </is>
      </c>
      <c r="H3" s="5" t="n">
        <v>45568</v>
      </c>
      <c r="I3" t="inlineStr"/>
      <c r="J3" s="6">
        <f>HYPERLINK("https://www.dailydose.de/kleinanzeigen/detail.htm?ai=423574&amp;cf=kk&amp;pg=1&amp;ci=2", "Link")</f>
        <v/>
      </c>
      <c r="K3" s="6">
        <f>HYPERLINK("C:\Projects\Kleinanzeigen-Scraper\offer_images\423574", "Link")</f>
        <v/>
      </c>
      <c r="L3" t="inlineStr">
        <is>
          <t>joey</t>
        </is>
      </c>
      <c r="M3" s="6">
        <f>HYPERLINK("https://www.dailydose.de/kleinanzeigen/user/12288", "Link")</f>
        <v/>
      </c>
      <c r="N3" s="7" t="n">
        <v>45568.75452546297</v>
      </c>
      <c r="O3" s="3" t="inlineStr">
        <is>
          <t>348.89</t>
        </is>
      </c>
      <c r="P3" t="inlineStr">
        <is>
          <t>Köln</t>
        </is>
      </c>
    </row>
    <row r="4">
      <c r="A4" t="inlineStr">
        <is>
          <t>Neilpryde Matrix</t>
        </is>
      </c>
      <c r="B4" s="3" t="n">
        <v>460</v>
      </c>
      <c r="C4" s="8" t="inlineStr"/>
      <c r="D4" t="inlineStr">
        <is>
          <t>SDM</t>
        </is>
      </c>
      <c r="E4" s="4" t="n">
        <v>70</v>
      </c>
      <c r="F4" t="inlineStr"/>
      <c r="G4" t="inlineStr">
        <is>
          <t>12555 Berlin - Köpenick</t>
        </is>
      </c>
      <c r="H4" s="5" t="n">
        <v>45568</v>
      </c>
      <c r="I4" t="inlineStr"/>
      <c r="J4" s="6">
        <f>HYPERLINK("https://www.kleinanzeigen.de/s-anzeige/mast-neilpryde-matrix-460-sdm-surfen/2881391309-230-3365", "Link")</f>
        <v/>
      </c>
      <c r="K4" s="6">
        <f>HYPERLINK("C:\Projects\Kleinanzeigen-Scraper\offer_images\2881391309", "Link")</f>
        <v/>
      </c>
      <c r="L4" t="inlineStr">
        <is>
          <t>Gregor Gelbert</t>
        </is>
      </c>
      <c r="M4" s="6">
        <f>HYPERLINK("https://www.kleinanzeigen.de/s-bestandsliste.html?userId=20288784", "Link")</f>
        <v/>
      </c>
      <c r="N4" s="7" t="n">
        <v>45568.75263888889</v>
      </c>
      <c r="O4" s="3" t="inlineStr">
        <is>
          <t>487.27</t>
        </is>
      </c>
      <c r="P4" t="inlineStr">
        <is>
          <t>Köln</t>
        </is>
      </c>
    </row>
    <row r="5">
      <c r="A5" t="inlineStr">
        <is>
          <t>North / Duotone Power XT</t>
        </is>
      </c>
      <c r="B5" s="3" t="n">
        <v>42</v>
      </c>
      <c r="C5" s="8" t="inlineStr"/>
      <c r="D5" t="inlineStr">
        <is>
          <t>SDM</t>
        </is>
      </c>
      <c r="E5" s="4" t="n">
        <v>90</v>
      </c>
      <c r="F5" t="inlineStr">
        <is>
          <t>VB</t>
        </is>
      </c>
      <c r="G5" t="inlineStr">
        <is>
          <t>38518 Niedersachsen - Gifhorn</t>
        </is>
      </c>
      <c r="H5" s="5" t="n">
        <v>45568</v>
      </c>
      <c r="I5" t="inlineStr"/>
      <c r="J5" s="6">
        <f>HYPERLINK("https://www.kleinanzeigen.de/s-anzeige/north-duotone-power-xt-sdm-42/2880839350-230-2960", "Link")</f>
        <v/>
      </c>
      <c r="K5" s="6">
        <f>HYPERLINK("C:\Projects\Kleinanzeigen-Scraper\offer_images\2880839350", "Link")</f>
        <v/>
      </c>
      <c r="L5" t="inlineStr">
        <is>
          <t>Paul</t>
        </is>
      </c>
      <c r="M5" s="6">
        <f>HYPERLINK("https://www.kleinanzeigen.de/s-bestandsliste.html?userId=4761971", "Link")</f>
        <v/>
      </c>
      <c r="N5" s="7" t="n">
        <v>45568.75153935186</v>
      </c>
      <c r="O5" s="3" t="inlineStr">
        <is>
          <t>300.65</t>
        </is>
      </c>
      <c r="P5" t="inlineStr">
        <is>
          <t>Köln</t>
        </is>
      </c>
    </row>
    <row r="6">
      <c r="A6" t="inlineStr">
        <is>
          <t>Neilpryde X3</t>
        </is>
      </c>
      <c r="B6" s="3" t="n">
        <v>490</v>
      </c>
      <c r="C6" s="8" t="inlineStr">
        <is>
          <t>30%</t>
        </is>
      </c>
      <c r="D6" t="inlineStr"/>
      <c r="E6" s="4" t="n">
        <v>45</v>
      </c>
      <c r="F6" t="inlineStr"/>
      <c r="G6" t="inlineStr">
        <is>
          <t>13597 Berlin - Spandau</t>
        </is>
      </c>
      <c r="H6" s="5" t="n">
        <v>45568</v>
      </c>
      <c r="I6" t="inlineStr"/>
      <c r="J6" s="6">
        <f>HYPERLINK("https://www.kleinanzeigen.de/s-anzeige/neilpryde-x3-windsurfmast-mast-windsurf/2881393451-230-3431", "Link")</f>
        <v/>
      </c>
      <c r="K6" s="6">
        <f>HYPERLINK("C:\Projects\Kleinanzeigen-Scraper\offer_images\2881393451", "Link")</f>
        <v/>
      </c>
      <c r="L6" t="inlineStr">
        <is>
          <t>Tobias</t>
        </is>
      </c>
      <c r="M6" s="6">
        <f>HYPERLINK("https://www.kleinanzeigen.de/s-bestandsliste.html?userId=33453558", "Link")</f>
        <v/>
      </c>
      <c r="N6" s="7" t="n">
        <v>45568.75144675926</v>
      </c>
      <c r="O6" s="3" t="inlineStr">
        <is>
          <t>465.78</t>
        </is>
      </c>
      <c r="P6" t="inlineStr">
        <is>
          <t>Köln</t>
        </is>
      </c>
    </row>
    <row r="7">
      <c r="A7" t="inlineStr">
        <is>
          <t>North Sails EPX Series</t>
        </is>
      </c>
      <c r="B7" s="3" t="n">
        <v>430</v>
      </c>
      <c r="C7" s="8" t="inlineStr"/>
      <c r="D7" t="inlineStr">
        <is>
          <t>RDM</t>
        </is>
      </c>
      <c r="E7" s="4" t="n">
        <v>125</v>
      </c>
      <c r="F7" t="inlineStr">
        <is>
          <t>VB</t>
        </is>
      </c>
      <c r="G7" t="inlineStr">
        <is>
          <t>33129 Nordrhein-Westfalen - Delbrück</t>
        </is>
      </c>
      <c r="H7" s="5" t="n">
        <v>45568</v>
      </c>
      <c r="I7" t="inlineStr"/>
      <c r="J7" s="6">
        <f>HYPERLINK("https://www.kleinanzeigen.de/s-anzeige/north-sails-epx-series-rdm-430-mast-windsurfmast-windsurfen/2881595569-230-1264", "Link")</f>
        <v/>
      </c>
      <c r="K7" s="6">
        <f>HYPERLINK("C:\Projects\Kleinanzeigen-Scraper\offer_images\2881595569", "Link")</f>
        <v/>
      </c>
      <c r="L7" t="inlineStr">
        <is>
          <t>A.M.</t>
        </is>
      </c>
      <c r="M7" s="6">
        <f>HYPERLINK("https://www.kleinanzeigen.de/s-bestandsliste.html?userId=1432701", "Link")</f>
        <v/>
      </c>
      <c r="N7" s="7" t="n">
        <v>45568.75115740741</v>
      </c>
      <c r="O7" s="3" t="inlineStr">
        <is>
          <t>145.00</t>
        </is>
      </c>
      <c r="P7" t="inlineStr">
        <is>
          <t>Köln</t>
        </is>
      </c>
    </row>
    <row r="8">
      <c r="A8" t="inlineStr">
        <is>
          <t>North Sails Drop Shape</t>
        </is>
      </c>
      <c r="B8" s="3" t="n">
        <v>400</v>
      </c>
      <c r="C8" s="8" t="inlineStr"/>
      <c r="D8" t="inlineStr"/>
      <c r="E8" s="4" t="n">
        <v>30</v>
      </c>
      <c r="F8" t="inlineStr"/>
      <c r="G8" t="inlineStr">
        <is>
          <t>74423 Baden-Württemberg - Obersontheim</t>
        </is>
      </c>
      <c r="H8" s="5" t="n">
        <v>45567</v>
      </c>
      <c r="I8" t="inlineStr"/>
      <c r="J8" s="6">
        <f>HYPERLINK("https://www.kleinanzeigen.de/s-anzeige/north-sails-mast-drop-shape-400/2880616832-230-9154", "Link")</f>
        <v/>
      </c>
      <c r="K8" s="6">
        <f>HYPERLINK("C:\Projects\Kleinanzeigen-Scraper\offer_images\2880616832", "Link")</f>
        <v/>
      </c>
      <c r="L8" t="inlineStr">
        <is>
          <t>Marcel</t>
        </is>
      </c>
      <c r="M8" s="6">
        <f>HYPERLINK("https://www.kleinanzeigen.de/s-bestandsliste.html?userId=22775485", "Link")</f>
        <v/>
      </c>
      <c r="N8" s="7" t="n">
        <v>45568.75113425926</v>
      </c>
      <c r="O8" s="3" t="inlineStr">
        <is>
          <t>77.18</t>
        </is>
      </c>
      <c r="P8" t="inlineStr">
        <is>
          <t>Böblingen</t>
        </is>
      </c>
    </row>
    <row r="9">
      <c r="A9" t="inlineStr">
        <is>
          <t>North Sails gold</t>
        </is>
      </c>
      <c r="B9" s="3" t="n">
        <v>430</v>
      </c>
      <c r="C9" s="8" t="inlineStr">
        <is>
          <t>85%</t>
        </is>
      </c>
      <c r="D9" t="inlineStr">
        <is>
          <t>RDM</t>
        </is>
      </c>
      <c r="E9" s="4" t="n">
        <v>80</v>
      </c>
      <c r="F9" t="inlineStr">
        <is>
          <t>VB</t>
        </is>
      </c>
      <c r="G9" t="inlineStr">
        <is>
          <t>41352 Nordrhein-Westfalen - Korschenbroich</t>
        </is>
      </c>
      <c r="H9" s="5" t="n">
        <v>45567</v>
      </c>
      <c r="I9" t="inlineStr"/>
      <c r="J9" s="6">
        <f>HYPERLINK("https://www.kleinanzeigen.de/s-anzeige/carbonmast-north-sails-gold-85-430cm/2880514840-230-1188", "Link")</f>
        <v/>
      </c>
      <c r="K9" s="6">
        <f>HYPERLINK("C:\Projects\Kleinanzeigen-Scraper\offer_images\2880514840", "Link")</f>
        <v/>
      </c>
      <c r="L9" t="inlineStr">
        <is>
          <t>Ingo</t>
        </is>
      </c>
      <c r="M9" s="6">
        <f>HYPERLINK("https://www.kleinanzeigen.de/s-bestandsliste.html?userId=144774371", "Link")</f>
        <v/>
      </c>
      <c r="N9" s="7" t="n">
        <v>45568.75091435185</v>
      </c>
      <c r="O9" s="3" t="inlineStr">
        <is>
          <t>40.41</t>
        </is>
      </c>
      <c r="P9" t="inlineStr">
        <is>
          <t>Köln</t>
        </is>
      </c>
    </row>
    <row r="10">
      <c r="A10" t="inlineStr">
        <is>
          <t>Severne Gorilla G2</t>
        </is>
      </c>
      <c r="B10" s="3" t="n">
        <v>460</v>
      </c>
      <c r="C10" s="8" t="inlineStr"/>
      <c r="D10" t="inlineStr"/>
      <c r="E10" s="4" t="n">
        <v>330</v>
      </c>
      <c r="F10" t="inlineStr">
        <is>
          <t>VB</t>
        </is>
      </c>
      <c r="G10" t="inlineStr">
        <is>
          <t>87437 Bayern - Kempten</t>
        </is>
      </c>
      <c r="H10" s="5" t="n">
        <v>45568</v>
      </c>
      <c r="I10" t="inlineStr"/>
      <c r="J10" s="6">
        <f>HYPERLINK("https://www.kleinanzeigen.de/s-anzeige/severne-mast-gorilla-g-2-460/2880803798-230-7620", "Link")</f>
        <v/>
      </c>
      <c r="K10" s="6">
        <f>HYPERLINK("C:\Projects\Kleinanzeigen-Scraper\offer_images\2880803798", "Link")</f>
        <v/>
      </c>
      <c r="L10" t="inlineStr">
        <is>
          <t>kiefert petra</t>
        </is>
      </c>
      <c r="M10" s="6">
        <f>HYPERLINK("https://www.kleinanzeigen.de/s-bestandsliste.html?userId=74090294", "Link")</f>
        <v/>
      </c>
      <c r="N10" s="7" t="n">
        <v>45568.75048611111</v>
      </c>
      <c r="O10" s="3" t="inlineStr">
        <is>
          <t>101.34</t>
        </is>
      </c>
      <c r="P10" t="inlineStr">
        <is>
          <t>München</t>
        </is>
      </c>
    </row>
    <row r="11">
      <c r="A11" t="inlineStr">
        <is>
          <t>North Platinum</t>
        </is>
      </c>
      <c r="B11" s="3" t="n">
        <v>490</v>
      </c>
      <c r="C11" s="8" t="inlineStr">
        <is>
          <t>100%</t>
        </is>
      </c>
      <c r="D11" t="inlineStr"/>
      <c r="E11" s="4" t="n">
        <v>590</v>
      </c>
      <c r="F11" t="inlineStr"/>
      <c r="G11" t="inlineStr">
        <is>
          <t>20457 Hamburg-Mitte - Hamburg St. Pauli</t>
        </is>
      </c>
      <c r="H11" s="5" t="n">
        <v>45568</v>
      </c>
      <c r="I11" t="inlineStr"/>
      <c r="J11" s="6">
        <f>HYPERLINK("https://www.kleinanzeigen.de/s-anzeige/carbonmast-north-platinum-490-cm/2881229702-230-9496", "Link")</f>
        <v/>
      </c>
      <c r="K11" s="6">
        <f>HYPERLINK("C:\Projects\Kleinanzeigen-Scraper\offer_images\2881229702", "Link")</f>
        <v/>
      </c>
      <c r="L11" t="inlineStr">
        <is>
          <t>Martin</t>
        </is>
      </c>
      <c r="M11" s="6">
        <f>HYPERLINK("https://www.kleinanzeigen.de/s-bestandsliste.html?userId=24786405", "Link")</f>
        <v/>
      </c>
      <c r="N11" s="7" t="n">
        <v>45568.74996527778</v>
      </c>
      <c r="O11" s="3" t="inlineStr">
        <is>
          <t>354.54</t>
        </is>
      </c>
      <c r="P11" t="inlineStr">
        <is>
          <t>Köln</t>
        </is>
      </c>
    </row>
    <row r="12">
      <c r="A12" t="inlineStr">
        <is>
          <t>Neilpryde FLX100</t>
        </is>
      </c>
      <c r="B12" s="3" t="n">
        <v>370</v>
      </c>
      <c r="C12" s="8" t="inlineStr"/>
      <c r="D12" t="inlineStr">
        <is>
          <t>RDM</t>
        </is>
      </c>
      <c r="E12" s="4" t="n">
        <v>300</v>
      </c>
      <c r="F12" t="inlineStr">
        <is>
          <t>VB</t>
        </is>
      </c>
      <c r="G12" t="inlineStr">
        <is>
          <t>38100 Niedersachsen - Braunschweig</t>
        </is>
      </c>
      <c r="H12" s="5" t="n">
        <v>45568</v>
      </c>
      <c r="I12" t="inlineStr"/>
      <c r="J12" s="6">
        <f>HYPERLINK("https://www.kleinanzeigen.de/s-anzeige/neilpryde-flx100-rdm-370-mast/2881298959-230-2462", "Link")</f>
        <v/>
      </c>
      <c r="K12" s="6">
        <f>HYPERLINK("C:\Projects\Kleinanzeigen-Scraper\offer_images\2881298959", "Link")</f>
        <v/>
      </c>
      <c r="L12" t="inlineStr">
        <is>
          <t>Patrice</t>
        </is>
      </c>
      <c r="M12" s="6">
        <f>HYPERLINK("https://www.kleinanzeigen.de/s-bestandsliste.html?userId=16234121", "Link")</f>
        <v/>
      </c>
      <c r="N12" s="7" t="n">
        <v>45568.74844907408</v>
      </c>
      <c r="O12" s="3" t="inlineStr">
        <is>
          <t>287.00</t>
        </is>
      </c>
      <c r="P12" t="inlineStr">
        <is>
          <t>Köln</t>
        </is>
      </c>
    </row>
    <row r="13">
      <c r="A13" t="inlineStr">
        <is>
          <t>North Sails gold</t>
        </is>
      </c>
      <c r="B13" s="3" t="n">
        <v>400</v>
      </c>
      <c r="C13" s="8" t="inlineStr">
        <is>
          <t>85%</t>
        </is>
      </c>
      <c r="D13" t="inlineStr">
        <is>
          <t>RDM</t>
        </is>
      </c>
      <c r="E13" s="4" t="n">
        <v>80</v>
      </c>
      <c r="F13" t="inlineStr"/>
      <c r="G13" t="inlineStr">
        <is>
          <t>41352 Nordrhein-Westfalen - Korschenbroich</t>
        </is>
      </c>
      <c r="H13" s="5" t="n">
        <v>45567</v>
      </c>
      <c r="I13" t="inlineStr"/>
      <c r="J13" s="6">
        <f>HYPERLINK("https://www.kleinanzeigen.de/s-anzeige/carbonmast-north-sails-gold-85-400cm/2880516700-230-1188", "Link")</f>
        <v/>
      </c>
      <c r="K13" s="6">
        <f>HYPERLINK("C:\Projects\Kleinanzeigen-Scraper\offer_images\2880516700", "Link")</f>
        <v/>
      </c>
      <c r="L13" t="inlineStr">
        <is>
          <t>Ingo</t>
        </is>
      </c>
      <c r="M13" s="6">
        <f>HYPERLINK("https://www.kleinanzeigen.de/s-bestandsliste.html?userId=144774371", "Link")</f>
        <v/>
      </c>
      <c r="N13" s="7" t="n">
        <v>45568.74807870371</v>
      </c>
      <c r="O13" s="3" t="inlineStr">
        <is>
          <t>40.41</t>
        </is>
      </c>
      <c r="P13" t="inlineStr">
        <is>
          <t>Köln</t>
        </is>
      </c>
    </row>
    <row r="14">
      <c r="A14" t="inlineStr">
        <is>
          <t>Severne RDM White</t>
        </is>
      </c>
      <c r="B14" s="3" t="n">
        <v>400</v>
      </c>
      <c r="C14" s="8" t="n">
        <v>50</v>
      </c>
      <c r="D14" t="inlineStr">
        <is>
          <t>RDM</t>
        </is>
      </c>
      <c r="E14" s="4" t="n">
        <v>230</v>
      </c>
      <c r="F14" t="inlineStr"/>
      <c r="G14" t="inlineStr">
        <is>
          <t>21217 Niedersachsen - Seevetal</t>
        </is>
      </c>
      <c r="H14" s="5" t="n">
        <v>45568</v>
      </c>
      <c r="I14" t="inlineStr"/>
      <c r="J14" s="6">
        <f>HYPERLINK("https://www.kleinanzeigen.de/s-anzeige/severne-mast-rdm-white/2881667624-230-2812", "Link")</f>
        <v/>
      </c>
      <c r="K14" s="6">
        <f>HYPERLINK("C:\Projects\Kleinanzeigen-Scraper\offer_images\2881667624", "Link")</f>
        <v/>
      </c>
      <c r="L14" t="inlineStr">
        <is>
          <t>Joachim Flügge</t>
        </is>
      </c>
      <c r="M14" s="6">
        <f>HYPERLINK("https://www.kleinanzeigen.de/s-bestandsliste.html?userId=546571", "Link")</f>
        <v/>
      </c>
      <c r="N14" s="7" t="n">
        <v>45568.74721064815</v>
      </c>
      <c r="O14" s="3" t="inlineStr">
        <is>
          <t>348.89</t>
        </is>
      </c>
      <c r="P14" t="inlineStr">
        <is>
          <t>Köln</t>
        </is>
      </c>
    </row>
    <row r="15">
      <c r="A15" t="inlineStr">
        <is>
          <t>Gun</t>
        </is>
      </c>
      <c r="B15" s="3" t="n">
        <v>460</v>
      </c>
      <c r="C15" s="8" t="inlineStr">
        <is>
          <t>35%</t>
        </is>
      </c>
      <c r="D15" t="inlineStr">
        <is>
          <t>SDM</t>
        </is>
      </c>
      <c r="E15" s="4" t="n">
        <v>49</v>
      </c>
      <c r="F15" t="inlineStr"/>
      <c r="G15" t="inlineStr">
        <is>
          <t>12526 Berlin</t>
        </is>
      </c>
      <c r="H15" s="5" t="n">
        <v>45567</v>
      </c>
      <c r="I15" t="inlineStr"/>
      <c r="J15" s="6">
        <f>HYPERLINK("https://www.dailydose.de/kleinanzeigen/detail.htm?ai=423518&amp;cf=kk&amp;pg=1&amp;ci=2", "Link")</f>
        <v/>
      </c>
      <c r="K15" s="6">
        <f>HYPERLINK("C:\Projects\Kleinanzeigen-Scraper\offer_images\423518", "Link")</f>
        <v/>
      </c>
      <c r="L15" t="inlineStr">
        <is>
          <t>Rasmus 1</t>
        </is>
      </c>
      <c r="M15" s="6">
        <f>HYPERLINK("https://www.dailydose.de/kleinanzeigen/user/17567", "Link")</f>
        <v/>
      </c>
      <c r="N15" s="7" t="n">
        <v>45567.75771990741</v>
      </c>
      <c r="O15" s="3" t="inlineStr">
        <is>
          <t>484.42</t>
        </is>
      </c>
      <c r="P15" t="inlineStr">
        <is>
          <t>Köln</t>
        </is>
      </c>
    </row>
    <row r="16">
      <c r="A16" t="inlineStr">
        <is>
          <t>NP X65</t>
        </is>
      </c>
      <c r="B16" s="3" t="n">
        <v>460</v>
      </c>
      <c r="C16" s="8" t="inlineStr">
        <is>
          <t>65%</t>
        </is>
      </c>
      <c r="D16" t="inlineStr">
        <is>
          <t>SDM</t>
        </is>
      </c>
      <c r="E16" s="4" t="n">
        <v>49</v>
      </c>
      <c r="F16" t="inlineStr"/>
      <c r="G16" t="inlineStr">
        <is>
          <t>12526 Berlin</t>
        </is>
      </c>
      <c r="H16" s="5" t="n">
        <v>45567</v>
      </c>
      <c r="I16" t="inlineStr"/>
      <c r="J16" s="6">
        <f>HYPERLINK("https://www.dailydose.de/kleinanzeigen/detail.htm?ai=423517&amp;cf=kk&amp;pg=1&amp;ci=2", "Link")</f>
        <v/>
      </c>
      <c r="K16" s="6">
        <f>HYPERLINK("C:\Projects\Kleinanzeigen-Scraper\offer_images\423517", "Link")</f>
        <v/>
      </c>
      <c r="L16" t="inlineStr">
        <is>
          <t>Rasmus 1</t>
        </is>
      </c>
      <c r="M16" s="6">
        <f>HYPERLINK("https://www.dailydose.de/kleinanzeigen/user/17567", "Link")</f>
        <v/>
      </c>
      <c r="N16" s="7" t="n">
        <v>45567.75643518518</v>
      </c>
      <c r="O16" s="3" t="inlineStr">
        <is>
          <t>484.42</t>
        </is>
      </c>
      <c r="P16" t="inlineStr">
        <is>
          <t>Köln</t>
        </is>
      </c>
    </row>
    <row r="17">
      <c r="A17" t="inlineStr">
        <is>
          <t>North Sails BlackLabel</t>
        </is>
      </c>
      <c r="B17" s="3" t="n">
        <v>460</v>
      </c>
      <c r="C17" s="8" t="inlineStr">
        <is>
          <t>75%</t>
        </is>
      </c>
      <c r="D17" t="inlineStr">
        <is>
          <t>SDM</t>
        </is>
      </c>
      <c r="E17" s="4" t="n">
        <v>125</v>
      </c>
      <c r="F17" t="inlineStr">
        <is>
          <t>VB</t>
        </is>
      </c>
      <c r="G17" t="inlineStr">
        <is>
          <t>15517 Brandenburg - Fürstenwalde (Spree)</t>
        </is>
      </c>
      <c r="H17" s="5" t="n">
        <v>45567</v>
      </c>
      <c r="I17" t="inlineStr"/>
      <c r="J17" s="6">
        <f>HYPERLINK("https://www.kleinanzeigen.de/s-anzeige/windsurfen-mast-4-60-m-hard-top-north-sails-hardtop-460/2880109429-230-7768", "Link")</f>
        <v/>
      </c>
      <c r="K17" s="6">
        <f>HYPERLINK("C:\Projects\Kleinanzeigen-Scraper\offer_images\2880109429", "Link")</f>
        <v/>
      </c>
      <c r="L17" t="inlineStr">
        <is>
          <t>Daniel</t>
        </is>
      </c>
      <c r="M17" s="6">
        <f>HYPERLINK("https://www.kleinanzeigen.de/s-bestandsliste.html?userId=43173109", "Link")</f>
        <v/>
      </c>
      <c r="N17" s="7" t="n">
        <v>45567.7536574074</v>
      </c>
      <c r="O17" s="3" t="inlineStr">
        <is>
          <t>502.59</t>
        </is>
      </c>
      <c r="P17" t="inlineStr">
        <is>
          <t>München</t>
        </is>
      </c>
    </row>
    <row r="18">
      <c r="A18" t="inlineStr">
        <is>
          <t>Sailloft Blue line</t>
        </is>
      </c>
      <c r="B18" s="3" t="n">
        <v>370</v>
      </c>
      <c r="C18" s="8" t="inlineStr"/>
      <c r="D18" t="inlineStr">
        <is>
          <t>RDM</t>
        </is>
      </c>
      <c r="E18" s="4" t="n">
        <v>185</v>
      </c>
      <c r="F18" t="inlineStr"/>
      <c r="G18" t="inlineStr">
        <is>
          <t>24116 Kiel - Schreventeich-Hasseldieksdamm</t>
        </is>
      </c>
      <c r="H18" s="5" t="n">
        <v>45566</v>
      </c>
      <c r="I18" t="inlineStr"/>
      <c r="J18" s="6">
        <f>HYPERLINK("https://www.kleinanzeigen.de/s-anzeige/sailloft-blue-line-370-rdm-3-70/2879663754-230-703", "Link")</f>
        <v/>
      </c>
      <c r="K18" s="6">
        <f>HYPERLINK("C:\Projects\Kleinanzeigen-Scraper\offer_images\2879663754", "Link")</f>
        <v/>
      </c>
      <c r="L18" t="inlineStr">
        <is>
          <t>AB</t>
        </is>
      </c>
      <c r="M18" s="6">
        <f>HYPERLINK("https://www.kleinanzeigen.de/s-bestandsliste.html?userId=7838379", "Link")</f>
        <v/>
      </c>
      <c r="N18" s="7" t="n">
        <v>45567.75337962963</v>
      </c>
      <c r="O18" s="3" t="inlineStr">
        <is>
          <t>432.62</t>
        </is>
      </c>
      <c r="P18" t="inlineStr">
        <is>
          <t>Köln</t>
        </is>
      </c>
    </row>
    <row r="19">
      <c r="A19" t="inlineStr">
        <is>
          <t>Sailloft</t>
        </is>
      </c>
      <c r="B19" s="3" t="n">
        <v>400</v>
      </c>
      <c r="C19" s="8" t="inlineStr"/>
      <c r="D19" t="inlineStr">
        <is>
          <t>RDM</t>
        </is>
      </c>
      <c r="E19" s="4" t="n">
        <v>195</v>
      </c>
      <c r="F19" t="inlineStr"/>
      <c r="G19" t="inlineStr">
        <is>
          <t>24116 Kiel - Schreventeich-Hasseldieksdamm</t>
        </is>
      </c>
      <c r="H19" s="5" t="n">
        <v>45566</v>
      </c>
      <c r="I19" t="inlineStr"/>
      <c r="J19" s="6">
        <f>HYPERLINK("https://www.kleinanzeigen.de/s-anzeige/sailloft-blue-line-400-rdm-4-00/2879660507-230-703", "Link")</f>
        <v/>
      </c>
      <c r="K19" s="6">
        <f>HYPERLINK("C:\Projects\Kleinanzeigen-Scraper\offer_images\2879660507", "Link")</f>
        <v/>
      </c>
      <c r="L19" t="inlineStr">
        <is>
          <t>AB</t>
        </is>
      </c>
      <c r="M19" s="6">
        <f>HYPERLINK("https://www.kleinanzeigen.de/s-bestandsliste.html?userId=7838379", "Link")</f>
        <v/>
      </c>
      <c r="N19" s="7" t="n">
        <v>45567.7525</v>
      </c>
      <c r="O19" s="3" t="inlineStr">
        <is>
          <t>432.62</t>
        </is>
      </c>
      <c r="P19" t="inlineStr">
        <is>
          <t>Köln</t>
        </is>
      </c>
    </row>
    <row r="20">
      <c r="A20" t="inlineStr">
        <is>
          <t>NORTH Sonar Mast 70</t>
        </is>
      </c>
      <c r="B20" s="3" t="inlineStr"/>
      <c r="C20" s="8" t="inlineStr"/>
      <c r="D20" t="inlineStr"/>
      <c r="E20" s="4" t="n">
        <v>55</v>
      </c>
      <c r="F20" t="inlineStr">
        <is>
          <t>VB</t>
        </is>
      </c>
      <c r="G20" t="inlineStr">
        <is>
          <t>83735 Bayern - Bayrischzell</t>
        </is>
      </c>
      <c r="H20" s="5" t="n">
        <v>45566</v>
      </c>
      <c r="I20" t="inlineStr"/>
      <c r="J20" s="6">
        <f>HYPERLINK("https://www.kleinanzeigen.de/s-anzeige/north-sonar-mast-70-surf/2832178976-230-6254", "Link")</f>
        <v/>
      </c>
      <c r="K20" s="6">
        <f>HYPERLINK("C:\Projects\Kleinanzeigen-Scraper\offer_images\2832178976", "Link")</f>
        <v/>
      </c>
      <c r="L20" t="inlineStr">
        <is>
          <t>Eric</t>
        </is>
      </c>
      <c r="M20" s="6">
        <f>HYPERLINK("https://www.kleinanzeigen.de/s-bestandsliste.html?userId=55268118", "Link")</f>
        <v/>
      </c>
      <c r="N20" s="7" t="n">
        <v>45567.75184027778</v>
      </c>
      <c r="O20" s="3" t="inlineStr">
        <is>
          <t>61.09</t>
        </is>
      </c>
      <c r="P20" t="inlineStr">
        <is>
          <t>München</t>
        </is>
      </c>
    </row>
    <row r="21">
      <c r="A21" t="inlineStr">
        <is>
          <t>Naish</t>
        </is>
      </c>
      <c r="B21" s="3" t="n">
        <v>75</v>
      </c>
      <c r="C21" s="8" t="inlineStr"/>
      <c r="D21" t="inlineStr"/>
      <c r="E21" s="4" t="n">
        <v>350</v>
      </c>
      <c r="F21" t="inlineStr">
        <is>
          <t>VB</t>
        </is>
      </c>
      <c r="G21" t="inlineStr">
        <is>
          <t>25826 Nordfriesland - Sankt Peter-Ording</t>
        </is>
      </c>
      <c r="H21" s="5" t="n">
        <v>45567</v>
      </c>
      <c r="I21" t="inlineStr"/>
      <c r="J21" s="6">
        <f>HYPERLINK("https://www.kleinanzeigen.de/s-anzeige/naish-alu-mast-75cm-2022er-model/2880175840-230-594", "Link")</f>
        <v/>
      </c>
      <c r="K21" s="6">
        <f>HYPERLINK("C:\Projects\Kleinanzeigen-Scraper\offer_images\2880175840", "Link")</f>
        <v/>
      </c>
      <c r="L21" t="inlineStr">
        <is>
          <t>Kiteguide-SPO</t>
        </is>
      </c>
      <c r="M21" s="6">
        <f>HYPERLINK("https://www.kleinanzeigen.de/s-bestandsliste.html?userId=140661117", "Link")</f>
        <v/>
      </c>
      <c r="N21" s="7" t="n">
        <v>45567.75084490741</v>
      </c>
      <c r="O21" s="3" t="inlineStr">
        <is>
          <t>391.43</t>
        </is>
      </c>
      <c r="P21" t="inlineStr">
        <is>
          <t>Köln</t>
        </is>
      </c>
    </row>
    <row r="22">
      <c r="A22" t="inlineStr">
        <is>
          <t>One System</t>
        </is>
      </c>
      <c r="B22" s="3" t="n">
        <v>400</v>
      </c>
      <c r="C22" s="8" t="inlineStr">
        <is>
          <t>75%</t>
        </is>
      </c>
      <c r="D22" t="inlineStr">
        <is>
          <t>RDM</t>
        </is>
      </c>
      <c r="E22" s="4" t="n">
        <v>90</v>
      </c>
      <c r="F22" t="inlineStr"/>
      <c r="G22" t="inlineStr">
        <is>
          <t>20099 Hamburg-Mitte - Hamburg St. Georg</t>
        </is>
      </c>
      <c r="H22" s="5" t="n">
        <v>45566</v>
      </c>
      <c r="I22" t="inlineStr"/>
      <c r="J22" s="6">
        <f>HYPERLINK("https://www.kleinanzeigen.de/s-anzeige/one-system-skinny-400-cm-windsurf-mast-rdm-75-carbon-1-55-kg-cc/2879804204-230-9417", "Link")</f>
        <v/>
      </c>
      <c r="K22" s="6">
        <f>HYPERLINK("C:\Projects\Kleinanzeigen-Scraper\offer_images\2879804204", "Link")</f>
        <v/>
      </c>
      <c r="L22" t="inlineStr">
        <is>
          <t>Stephan</t>
        </is>
      </c>
      <c r="M22" s="6">
        <f>HYPERLINK("https://www.kleinanzeigen.de/s-bestandsliste.html?userId=9909267", "Link")</f>
        <v/>
      </c>
      <c r="N22" s="7" t="n">
        <v>45567.75038194445</v>
      </c>
      <c r="O22" s="3" t="inlineStr">
        <is>
          <t>357.95</t>
        </is>
      </c>
      <c r="P22" t="inlineStr">
        <is>
          <t>Köln</t>
        </is>
      </c>
    </row>
    <row r="23">
      <c r="A23" t="inlineStr">
        <is>
          <t>Arrows</t>
        </is>
      </c>
      <c r="B23" s="3" t="n">
        <v>490</v>
      </c>
      <c r="C23" s="8" t="inlineStr"/>
      <c r="D23" t="inlineStr"/>
      <c r="E23" s="4" t="n">
        <v>40</v>
      </c>
      <c r="F23" t="inlineStr">
        <is>
          <t>VB</t>
        </is>
      </c>
      <c r="G23" t="inlineStr">
        <is>
          <t>15517 Brandenburg - Fürstenwalde (Spree)</t>
        </is>
      </c>
      <c r="H23" s="5" t="n">
        <v>45567</v>
      </c>
      <c r="I23" t="inlineStr"/>
      <c r="J23" s="6">
        <f>HYPERLINK("https://www.kleinanzeigen.de/s-anzeige/windsurfen-mast-4-90-m-surfmast-490/2880099051-230-7768", "Link")</f>
        <v/>
      </c>
      <c r="K23" s="6">
        <f>HYPERLINK("C:\Projects\Kleinanzeigen-Scraper\offer_images\2880099051", "Link")</f>
        <v/>
      </c>
      <c r="L23" t="inlineStr">
        <is>
          <t>Daniel</t>
        </is>
      </c>
      <c r="M23" s="6">
        <f>HYPERLINK("https://www.kleinanzeigen.de/s-bestandsliste.html?userId=43173109", "Link")</f>
        <v/>
      </c>
      <c r="N23" s="7" t="n">
        <v>45567.74916666667</v>
      </c>
      <c r="O23" s="3" t="inlineStr">
        <is>
          <t>502.59</t>
        </is>
      </c>
      <c r="P23" t="inlineStr">
        <is>
          <t>München</t>
        </is>
      </c>
    </row>
    <row r="24">
      <c r="A24" t="inlineStr">
        <is>
          <t>No Worx Carbon Slalom</t>
        </is>
      </c>
      <c r="B24" s="3" t="n">
        <v>465</v>
      </c>
      <c r="C24" s="8" t="inlineStr"/>
      <c r="D24" t="inlineStr"/>
      <c r="E24" s="4" t="inlineStr">
        <is>
          <t>Zu verschenken</t>
        </is>
      </c>
      <c r="F24" t="inlineStr"/>
      <c r="G24" t="inlineStr">
        <is>
          <t>58452 Nordrhein-Westfalen - Witten</t>
        </is>
      </c>
      <c r="H24" s="5" t="n">
        <v>45567</v>
      </c>
      <c r="I24" t="inlineStr"/>
      <c r="J24" s="6">
        <f>HYPERLINK("https://www.kleinanzeigen.de/s-anzeige/windsurfen-mast-laenge-465-cm/2880395671-230-1022", "Link")</f>
        <v/>
      </c>
      <c r="K24" s="6">
        <f>HYPERLINK("C:\Projects\Kleinanzeigen-Scraper\offer_images\2880395671", "Link")</f>
        <v/>
      </c>
      <c r="L24" t="inlineStr">
        <is>
          <t>Reinhard Zwirnmann</t>
        </is>
      </c>
      <c r="M24" s="6">
        <f>HYPERLINK("https://www.kleinanzeigen.de/s-bestandsliste.html?userId=45453194", "Link")</f>
        <v/>
      </c>
      <c r="N24" s="7" t="n">
        <v>45567.74790509259</v>
      </c>
      <c r="O24" s="3" t="inlineStr">
        <is>
          <t>59.27</t>
        </is>
      </c>
      <c r="P24" t="inlineStr">
        <is>
          <t>Köln</t>
        </is>
      </c>
    </row>
    <row r="25">
      <c r="A25" t="inlineStr">
        <is>
          <t>North Sails UNI XT</t>
        </is>
      </c>
      <c r="B25" s="3" t="inlineStr"/>
      <c r="C25" s="8" t="inlineStr"/>
      <c r="D25" t="inlineStr">
        <is>
          <t>SDM</t>
        </is>
      </c>
      <c r="E25" s="4" t="n">
        <v>50</v>
      </c>
      <c r="F25" t="inlineStr"/>
      <c r="G25" t="inlineStr">
        <is>
          <t>10317 Berlin - Lichtenberg</t>
        </is>
      </c>
      <c r="H25" s="5" t="n">
        <v>45566</v>
      </c>
      <c r="I25" t="inlineStr"/>
      <c r="J25" s="6">
        <f>HYPERLINK("https://www.kleinanzeigen.de/s-anzeige/mastverlaengerung-von-north-sails-uni-xt-sdm-42-mm/2879683757-230-9684", "Link")</f>
        <v/>
      </c>
      <c r="K25" s="6">
        <f>HYPERLINK("C:\Projects\Kleinanzeigen-Scraper\offer_images\2879683757", "Link")</f>
        <v/>
      </c>
      <c r="L25" t="inlineStr">
        <is>
          <t>Christoph</t>
        </is>
      </c>
      <c r="M25" s="6">
        <f>HYPERLINK("https://www.kleinanzeigen.de/s-bestandsliste.html?userId=23649160", "Link")</f>
        <v/>
      </c>
      <c r="N25" s="7" t="n">
        <v>45567.74725694444</v>
      </c>
      <c r="O25" s="3" t="inlineStr">
        <is>
          <t>481.96</t>
        </is>
      </c>
      <c r="P25" t="inlineStr">
        <is>
          <t>Köln</t>
        </is>
      </c>
    </row>
    <row r="26">
      <c r="A26" t="inlineStr">
        <is>
          <t>Sailloft blue line</t>
        </is>
      </c>
      <c r="B26" s="3" t="n">
        <v>370</v>
      </c>
      <c r="C26" s="8" t="inlineStr"/>
      <c r="D26" t="inlineStr">
        <is>
          <t>RDM</t>
        </is>
      </c>
      <c r="E26" s="4" t="n">
        <v>195</v>
      </c>
      <c r="F26" t="inlineStr"/>
      <c r="G26" t="inlineStr">
        <is>
          <t>24116 Kiel - Schreventeich-Hasseldieksdamm</t>
        </is>
      </c>
      <c r="H26" s="5" t="n">
        <v>45566</v>
      </c>
      <c r="I26" t="inlineStr"/>
      <c r="J26" s="6">
        <f>HYPERLINK("https://www.kleinanzeigen.de/s-anzeige/sailloft-blue-line-370-rdm-3-70/2879659784-230-703", "Link")</f>
        <v/>
      </c>
      <c r="K26" s="6">
        <f>HYPERLINK("C:\Projects\Kleinanzeigen-Scraper\offer_images\2879659784", "Link")</f>
        <v/>
      </c>
      <c r="L26" t="inlineStr">
        <is>
          <t>AB</t>
        </is>
      </c>
      <c r="M26" s="6">
        <f>HYPERLINK("https://www.kleinanzeigen.de/s-bestandsliste.html?userId=7838379", "Link")</f>
        <v/>
      </c>
      <c r="N26" s="7" t="n">
        <v>45567.74712962963</v>
      </c>
      <c r="O26" s="3" t="inlineStr">
        <is>
          <t>432.62</t>
        </is>
      </c>
      <c r="P26" t="inlineStr">
        <is>
          <t>Köln</t>
        </is>
      </c>
    </row>
    <row r="27">
      <c r="A27" t="inlineStr">
        <is>
          <t>Neil Pryde X35</t>
        </is>
      </c>
      <c r="B27" s="3" t="n">
        <v>460</v>
      </c>
      <c r="C27" s="8" t="inlineStr">
        <is>
          <t>35%</t>
        </is>
      </c>
      <c r="D27" t="inlineStr">
        <is>
          <t>SDM</t>
        </is>
      </c>
      <c r="E27" s="4" t="n">
        <v>100</v>
      </c>
      <c r="F27" t="inlineStr">
        <is>
          <t>VB</t>
        </is>
      </c>
      <c r="G27" t="inlineStr">
        <is>
          <t>23909 Ratzeburg</t>
        </is>
      </c>
      <c r="H27" s="5" t="n">
        <v>45566</v>
      </c>
      <c r="I27" t="inlineStr"/>
      <c r="J27" s="6">
        <f>HYPERLINK("https://www.dailydose.de/kleinanzeigen/detail.htm?ai=423485&amp;cf=kk&amp;pg=1&amp;ci=2", "Link")</f>
        <v/>
      </c>
      <c r="K27" s="6">
        <f>HYPERLINK("C:\Projects\Kleinanzeigen-Scraper\offer_images\423485", "Link")</f>
        <v/>
      </c>
      <c r="L27" t="inlineStr">
        <is>
          <t>Insider</t>
        </is>
      </c>
      <c r="M27" s="6">
        <f>HYPERLINK("https://www.dailydose.de/kleinanzeigen/user/20603", "Link")</f>
        <v/>
      </c>
      <c r="N27" s="7" t="n">
        <v>45566.74358796296</v>
      </c>
      <c r="O27" s="3" t="inlineStr">
        <is>
          <t>401.75</t>
        </is>
      </c>
      <c r="P27" t="inlineStr">
        <is>
          <t>Köln</t>
        </is>
      </c>
    </row>
    <row r="28">
      <c r="A28" t="inlineStr">
        <is>
          <t>Gun Sail EXPERT</t>
        </is>
      </c>
      <c r="B28" s="3" t="n">
        <v>460</v>
      </c>
      <c r="C28" s="8" t="inlineStr">
        <is>
          <t>70%</t>
        </is>
      </c>
      <c r="D28" t="inlineStr"/>
      <c r="E28" s="4" t="n">
        <v>150</v>
      </c>
      <c r="F28" t="inlineStr"/>
      <c r="G28" t="inlineStr">
        <is>
          <t>53757 Sankt Augustin</t>
        </is>
      </c>
      <c r="H28" s="5" t="n">
        <v>45566</v>
      </c>
      <c r="I28" t="inlineStr"/>
      <c r="J28" s="6">
        <f>HYPERLINK("https://www.dailydose.de/kleinanzeigen/detail.htm?ai=423498&amp;cf=kk&amp;pg=1&amp;ci=2", "Link")</f>
        <v/>
      </c>
      <c r="K28" s="6">
        <f>HYPERLINK("C:\Projects\Kleinanzeigen-Scraper\offer_images\423498", "Link")</f>
        <v/>
      </c>
      <c r="L28" t="inlineStr">
        <is>
          <t>to481</t>
        </is>
      </c>
      <c r="M28" s="6">
        <f>HYPERLINK("https://www.dailydose.de/kleinanzeigen/user/1517", "Link")</f>
        <v/>
      </c>
      <c r="N28" s="7" t="n">
        <v>45566.74321759259</v>
      </c>
      <c r="O28" s="3" t="inlineStr">
        <is>
          <t>26.47</t>
        </is>
      </c>
      <c r="P28" t="inlineStr">
        <is>
          <t>Köln</t>
        </is>
      </c>
    </row>
    <row r="29">
      <c r="A29" t="inlineStr">
        <is>
          <t>NeilPryde SPX 95</t>
        </is>
      </c>
      <c r="B29" s="3" t="n">
        <v>490</v>
      </c>
      <c r="C29" s="8" t="inlineStr"/>
      <c r="D29" t="inlineStr">
        <is>
          <t>SDM</t>
        </is>
      </c>
      <c r="E29" s="4" t="n">
        <v>320</v>
      </c>
      <c r="F29" t="inlineStr"/>
      <c r="G29" t="inlineStr">
        <is>
          <t>46499 Hamminkeln</t>
        </is>
      </c>
      <c r="H29" s="5" t="n">
        <v>45566</v>
      </c>
      <c r="I29" t="inlineStr"/>
      <c r="J29" s="6">
        <f>HYPERLINK("https://www.dailydose.de/kleinanzeigen/detail.htm?ai=423453&amp;cf=kk&amp;pg=1&amp;ci=2", "Link")</f>
        <v/>
      </c>
      <c r="K29" s="6">
        <f>HYPERLINK("C:\Projects\Kleinanzeigen-Scraper\offer_images\423453", "Link")</f>
        <v/>
      </c>
      <c r="L29" t="inlineStr">
        <is>
          <t>G Becker</t>
        </is>
      </c>
      <c r="M29" s="6">
        <f>HYPERLINK("https://www.dailydose.de/kleinanzeigen/user/8994", "Link")</f>
        <v/>
      </c>
      <c r="N29" s="7" t="n">
        <v>45566.74230324074</v>
      </c>
      <c r="O29" s="3" t="inlineStr">
        <is>
          <t>90.67</t>
        </is>
      </c>
      <c r="P29" t="inlineStr">
        <is>
          <t>Köln</t>
        </is>
      </c>
    </row>
    <row r="30">
      <c r="A30" t="inlineStr">
        <is>
          <t>Neil Pryde X6</t>
        </is>
      </c>
      <c r="B30" s="3" t="n">
        <v>430</v>
      </c>
      <c r="C30" s="8" t="inlineStr">
        <is>
          <t>65%</t>
        </is>
      </c>
      <c r="D30" t="inlineStr">
        <is>
          <t>SDM</t>
        </is>
      </c>
      <c r="E30" s="4" t="n">
        <v>125</v>
      </c>
      <c r="F30" t="inlineStr">
        <is>
          <t>VB</t>
        </is>
      </c>
      <c r="G30" t="inlineStr">
        <is>
          <t>23909 Ratzeburg</t>
        </is>
      </c>
      <c r="H30" s="5" t="n">
        <v>45566</v>
      </c>
      <c r="I30" t="inlineStr"/>
      <c r="J30" s="6">
        <f>HYPERLINK("https://www.dailydose.de/kleinanzeigen/detail.htm?ai=423483&amp;cf=kk&amp;pg=1&amp;ci=2", "Link")</f>
        <v/>
      </c>
      <c r="K30" s="6">
        <f>HYPERLINK("C:\Projects\Kleinanzeigen-Scraper\offer_images\423483", "Link")</f>
        <v/>
      </c>
      <c r="L30" t="inlineStr">
        <is>
          <t>Insider</t>
        </is>
      </c>
      <c r="M30" s="6">
        <f>HYPERLINK("https://www.dailydose.de/kleinanzeigen/user/20603", "Link")</f>
        <v/>
      </c>
      <c r="N30" s="7" t="n">
        <v>45566.74226851852</v>
      </c>
      <c r="O30" s="3" t="inlineStr">
        <is>
          <t>401.75</t>
        </is>
      </c>
      <c r="P30" t="inlineStr">
        <is>
          <t>Köln</t>
        </is>
      </c>
    </row>
    <row r="31">
      <c r="A31" t="inlineStr">
        <is>
          <t>Severne</t>
        </is>
      </c>
      <c r="B31" s="3" t="n">
        <v>460</v>
      </c>
      <c r="C31" s="8" t="inlineStr">
        <is>
          <t>100%</t>
        </is>
      </c>
      <c r="D31" t="inlineStr">
        <is>
          <t>RDM</t>
        </is>
      </c>
      <c r="E31" s="4" t="n">
        <v>450</v>
      </c>
      <c r="F31" t="inlineStr"/>
      <c r="G31" t="inlineStr">
        <is>
          <t>57078 Siegen</t>
        </is>
      </c>
      <c r="H31" s="5" t="n">
        <v>45566</v>
      </c>
      <c r="I31" t="inlineStr"/>
      <c r="J31" s="6">
        <f>HYPERLINK("https://www.dailydose.de/kleinanzeigen/detail.htm?ai=423486&amp;cf=kk&amp;pg=1&amp;ci=2", "Link")</f>
        <v/>
      </c>
      <c r="K31" s="6">
        <f>HYPERLINK("C:\Projects\Kleinanzeigen-Scraper\offer_images\423486", "Link")</f>
        <v/>
      </c>
      <c r="L31" t="inlineStr">
        <is>
          <t>Rudolf Sinz</t>
        </is>
      </c>
      <c r="M31" s="6">
        <f>HYPERLINK("https://www.dailydose.de/kleinanzeigen/user/20432", "Link")</f>
        <v/>
      </c>
      <c r="N31" s="7" t="n">
        <v>45566.74127314815</v>
      </c>
      <c r="O31" s="3" t="inlineStr">
        <is>
          <t>72.53</t>
        </is>
      </c>
      <c r="P31" t="inlineStr">
        <is>
          <t>Köln</t>
        </is>
      </c>
    </row>
    <row r="32">
      <c r="A32" t="inlineStr">
        <is>
          <t>Gunsails Cross</t>
        </is>
      </c>
      <c r="B32" s="3" t="n">
        <v>490</v>
      </c>
      <c r="C32" s="8" t="inlineStr"/>
      <c r="D32" t="inlineStr">
        <is>
          <t>SDM</t>
        </is>
      </c>
      <c r="E32" s="4" t="n">
        <v>170</v>
      </c>
      <c r="F32" t="inlineStr">
        <is>
          <t>VB</t>
        </is>
      </c>
      <c r="G32" t="inlineStr">
        <is>
          <t>67705 Rheinland-Pfalz - Trippstadt</t>
        </is>
      </c>
      <c r="H32" s="5" t="n">
        <v>45551</v>
      </c>
      <c r="I32" t="inlineStr">
        <is>
          <t>Sold</t>
        </is>
      </c>
      <c r="J32" s="6">
        <f>HYPERLINK("https://www.kleinanzeigen.de/s-anzeige/windsurf-mast-gunsails-cross-490-sdm-uebergabe-brouwersdam-/2865416248-230-8063", "Link")</f>
        <v/>
      </c>
      <c r="K32" s="6">
        <f>HYPERLINK("C:\Projects\Kleinanzeigen-Scraper\offer_images\2865416248", "Link")</f>
        <v/>
      </c>
      <c r="L32" t="inlineStr">
        <is>
          <t>Thorsten</t>
        </is>
      </c>
      <c r="M32" s="6">
        <f>HYPERLINK("https://www.kleinanzeigen.de/s-bestandsliste.html?userId=15343847", "Link")</f>
        <v/>
      </c>
      <c r="N32" s="7" t="n">
        <v>45566.74045138889</v>
      </c>
      <c r="O32" s="3" t="inlineStr">
        <is>
          <t>59.68</t>
        </is>
      </c>
      <c r="P32" t="inlineStr">
        <is>
          <t>Karlsruhe</t>
        </is>
      </c>
    </row>
    <row r="33">
      <c r="A33" t="inlineStr">
        <is>
          <t>NeilPryde SPX90</t>
        </is>
      </c>
      <c r="B33" s="3" t="n">
        <v>370</v>
      </c>
      <c r="C33" s="8" t="inlineStr">
        <is>
          <t>100%</t>
        </is>
      </c>
      <c r="D33" t="inlineStr">
        <is>
          <t>RDM</t>
        </is>
      </c>
      <c r="E33" s="4" t="n">
        <v>380</v>
      </c>
      <c r="F33" t="inlineStr"/>
      <c r="G33" t="inlineStr">
        <is>
          <t>82211 Bayern - Herrsching</t>
        </is>
      </c>
      <c r="H33" s="5" t="n">
        <v>45566</v>
      </c>
      <c r="I33" t="inlineStr">
        <is>
          <t>Sold</t>
        </is>
      </c>
      <c r="J33" s="6">
        <f>HYPERLINK("https://www.kleinanzeigen.de/s-anzeige/windsurfmasten-carbon-neilpryde/2879536819-230-5520", "Link")</f>
        <v/>
      </c>
      <c r="K33" s="6">
        <f>HYPERLINK("C:\Projects\Kleinanzeigen-Scraper\offer_images\2879536819", "Link")</f>
        <v/>
      </c>
      <c r="L33" t="inlineStr">
        <is>
          <t>Thomas</t>
        </is>
      </c>
      <c r="M33" s="6">
        <f>HYPERLINK("https://www.kleinanzeigen.de/s-bestandsliste.html?userId=47570105", "Link")</f>
        <v/>
      </c>
      <c r="N33" s="7" t="n">
        <v>45566.73747685185</v>
      </c>
      <c r="O33" s="3" t="inlineStr">
        <is>
          <t>32.73</t>
        </is>
      </c>
      <c r="P33" t="inlineStr">
        <is>
          <t>München</t>
        </is>
      </c>
    </row>
    <row r="34">
      <c r="A34" t="inlineStr">
        <is>
          <t>Challenger Sails</t>
        </is>
      </c>
      <c r="B34" s="3" t="n">
        <v>370</v>
      </c>
      <c r="C34" s="8" t="n">
        <v>99</v>
      </c>
      <c r="D34" t="inlineStr">
        <is>
          <t>RDM</t>
        </is>
      </c>
      <c r="E34" s="4" t="n">
        <v>290</v>
      </c>
      <c r="F34" t="inlineStr"/>
      <c r="G34" t="inlineStr">
        <is>
          <t>22145 Hamburg - Hamburg-Nord</t>
        </is>
      </c>
      <c r="H34" s="5" t="n">
        <v>45566</v>
      </c>
      <c r="I34" t="inlineStr"/>
      <c r="J34" s="6">
        <f>HYPERLINK("https://www.kleinanzeigen.de/s-anzeige/challenger-sails-rdm-370-fsw-99-carbon-simmer-goya-hot-wie-neu/2879067563-230-17006", "Link")</f>
        <v/>
      </c>
      <c r="K34" s="6">
        <f>HYPERLINK("C:\Projects\Kleinanzeigen-Scraper\offer_images\2879067563", "Link")</f>
        <v/>
      </c>
      <c r="L34" t="inlineStr">
        <is>
          <t>Ulf</t>
        </is>
      </c>
      <c r="M34" s="6">
        <f>HYPERLINK("https://www.kleinanzeigen.de/s-bestandsliste.html?userId=50449475", "Link")</f>
        <v/>
      </c>
      <c r="N34" s="7" t="n">
        <v>45566.73674768519</v>
      </c>
      <c r="O34" s="3" t="inlineStr">
        <is>
          <t>371.39</t>
        </is>
      </c>
      <c r="P34" t="inlineStr">
        <is>
          <t>Köln</t>
        </is>
      </c>
    </row>
    <row r="35">
      <c r="A35" t="inlineStr">
        <is>
          <t>Neilpryde Mast X9</t>
        </is>
      </c>
      <c r="B35" s="3" t="n">
        <v>430</v>
      </c>
      <c r="C35" s="8" t="inlineStr"/>
      <c r="D35" t="inlineStr"/>
      <c r="E35" s="4" t="inlineStr">
        <is>
          <t>Zu verschenken</t>
        </is>
      </c>
      <c r="F35" t="inlineStr"/>
      <c r="G35" t="inlineStr">
        <is>
          <t>63773 Bayern - Goldbach</t>
        </is>
      </c>
      <c r="H35" s="5" t="n">
        <v>45533</v>
      </c>
      <c r="I35" t="inlineStr">
        <is>
          <t>Sold</t>
        </is>
      </c>
      <c r="J35" s="6">
        <f>HYPERLINK("https://www.kleinanzeigen.de/s-anzeige/neilpryde-mast-x9-430-wave-unterteil-zu-verschenken/2849522222-230-7439", "Link")</f>
        <v/>
      </c>
      <c r="K35" s="6">
        <f>HYPERLINK("C:\Projects\Kleinanzeigen-Scraper\offer_images\2849522222", "Link")</f>
        <v/>
      </c>
      <c r="L35" t="inlineStr">
        <is>
          <t>loddarstochter</t>
        </is>
      </c>
      <c r="M35" s="6">
        <f>HYPERLINK("https://www.kleinanzeigen.de/s-bestandsliste.html?userId=12810482", "Link")</f>
        <v/>
      </c>
      <c r="N35" s="7" t="n">
        <v>45566.73567129629</v>
      </c>
      <c r="O35" s="3" t="inlineStr">
        <is>
          <t>125.09</t>
        </is>
      </c>
      <c r="P35" t="inlineStr">
        <is>
          <t>Karlsruhe</t>
        </is>
      </c>
    </row>
    <row r="36">
      <c r="A36" t="inlineStr">
        <is>
          <t>North Sails</t>
        </is>
      </c>
      <c r="B36" s="3" t="n">
        <v>465</v>
      </c>
      <c r="C36" s="8" t="inlineStr"/>
      <c r="D36" t="inlineStr"/>
      <c r="E36" s="4" t="n">
        <v>45</v>
      </c>
      <c r="F36" t="inlineStr"/>
      <c r="G36" t="inlineStr">
        <is>
          <t>14089 Berlin - Kladow</t>
        </is>
      </c>
      <c r="H36" s="5" t="n">
        <v>45566</v>
      </c>
      <c r="I36" t="inlineStr"/>
      <c r="J36" s="6">
        <f>HYPERLINK("https://www.kleinanzeigen.de/s-anzeige/north-sails-surf-mast-surfmast-2-teilig-465-cm-220-245/2879033804-230-23977", "Link")</f>
        <v/>
      </c>
      <c r="K36" s="6">
        <f>HYPERLINK("C:\Projects\Kleinanzeigen-Scraper\offer_images\2879033804", "Link")</f>
        <v/>
      </c>
      <c r="L36" t="inlineStr">
        <is>
          <t>Kruse</t>
        </is>
      </c>
      <c r="M36" s="6">
        <f>HYPERLINK("https://www.kleinanzeigen.de/s-bestandsliste.html?userId=17140955", "Link")</f>
        <v/>
      </c>
      <c r="N36" s="7" t="n">
        <v>45566.73373842592</v>
      </c>
      <c r="O36" s="3" t="inlineStr">
        <is>
          <t>459.79</t>
        </is>
      </c>
      <c r="P36" t="inlineStr">
        <is>
          <t>Köln</t>
        </is>
      </c>
    </row>
    <row r="37">
      <c r="A37" t="inlineStr">
        <is>
          <t>Simmer SX6</t>
        </is>
      </c>
      <c r="B37" s="3" t="n">
        <v>48</v>
      </c>
      <c r="C37" s="8" t="inlineStr"/>
      <c r="D37" t="inlineStr">
        <is>
          <t>RDM</t>
        </is>
      </c>
      <c r="E37" s="4" t="n">
        <v>75</v>
      </c>
      <c r="F37" t="inlineStr"/>
      <c r="G37" t="inlineStr">
        <is>
          <t>22145 Hamburg - Hamburg-Nord</t>
        </is>
      </c>
      <c r="H37" s="5" t="n">
        <v>45566</v>
      </c>
      <c r="I37" t="inlineStr"/>
      <c r="J37" s="6">
        <f>HYPERLINK("https://www.kleinanzeigen.de/s-anzeige/simmer-sx6-rdm-48-cm-mastverlaengerung-extension-verlaengerung-top/2879073654-230-17006", "Link")</f>
        <v/>
      </c>
      <c r="K37" s="6">
        <f>HYPERLINK("C:\Projects\Kleinanzeigen-Scraper\offer_images\2879073654", "Link")</f>
        <v/>
      </c>
      <c r="L37" t="inlineStr">
        <is>
          <t>Ulf</t>
        </is>
      </c>
      <c r="M37" s="6">
        <f>HYPERLINK("https://www.kleinanzeigen.de/s-bestandsliste.html?userId=50449475", "Link")</f>
        <v/>
      </c>
      <c r="N37" s="7" t="n">
        <v>45566.73371527778</v>
      </c>
      <c r="O37" s="3" t="inlineStr">
        <is>
          <t>371.39</t>
        </is>
      </c>
      <c r="P37" t="inlineStr">
        <is>
          <t>Köln</t>
        </is>
      </c>
    </row>
    <row r="38">
      <c r="A38" t="inlineStr">
        <is>
          <t>GUNSAILS SDM Select</t>
        </is>
      </c>
      <c r="B38" s="3" t="n">
        <v>430</v>
      </c>
      <c r="C38" s="8" t="inlineStr">
        <is>
          <t>100%</t>
        </is>
      </c>
      <c r="D38" t="inlineStr">
        <is>
          <t>SDM</t>
        </is>
      </c>
      <c r="E38" s="4" t="inlineStr">
        <is>
          <t>: 80</t>
        </is>
      </c>
      <c r="F38" t="inlineStr">
        <is>
          <t>VB</t>
        </is>
      </c>
      <c r="G38" t="inlineStr">
        <is>
          <t>80637 München</t>
        </is>
      </c>
      <c r="H38" s="5" t="n">
        <v>45565</v>
      </c>
      <c r="I38" t="inlineStr"/>
      <c r="J38" s="6">
        <f>HYPERLINK("https://www.dailydose.de/kleinanzeigen/detail.htm?ai=423414&amp;cf=kk&amp;pg=1&amp;ci=2", "Link")</f>
        <v/>
      </c>
      <c r="K38" s="6">
        <f>HYPERLINK("C:\Projects\Kleinanzeigen-Scraper\offer_images\423414", "Link")</f>
        <v/>
      </c>
      <c r="L38" t="inlineStr">
        <is>
          <t>Surfmischi</t>
        </is>
      </c>
      <c r="M38" s="6">
        <f>HYPERLINK("https://www.dailydose.de/kleinanzeigen/user/22579", "Link")</f>
        <v/>
      </c>
      <c r="N38" s="7" t="n">
        <v>45565.74685185185</v>
      </c>
      <c r="O38" s="3" t="inlineStr">
        <is>
          <t>3.94</t>
        </is>
      </c>
      <c r="P38" t="inlineStr">
        <is>
          <t>München</t>
        </is>
      </c>
    </row>
    <row r="39">
      <c r="A39" t="inlineStr">
        <is>
          <t>North Platinum Aero</t>
        </is>
      </c>
      <c r="B39" s="3" t="n">
        <v>430</v>
      </c>
      <c r="C39" s="8" t="inlineStr"/>
      <c r="D39" t="inlineStr">
        <is>
          <t>RDM</t>
        </is>
      </c>
      <c r="E39" s="4" t="n">
        <v>111</v>
      </c>
      <c r="F39" t="inlineStr"/>
      <c r="G39" t="inlineStr">
        <is>
          <t>10999 Berlin</t>
        </is>
      </c>
      <c r="H39" s="5" t="n">
        <v>45565</v>
      </c>
      <c r="I39" t="inlineStr"/>
      <c r="J39" s="6">
        <f>HYPERLINK("https://www.dailydose.de/kleinanzeigen/detail.htm?ai=423435&amp;cf=kk&amp;pg=1&amp;ci=2", "Link")</f>
        <v/>
      </c>
      <c r="K39" s="6">
        <f>HYPERLINK("C:\Projects\Kleinanzeigen-Scraper\offer_images\423435", "Link")</f>
        <v/>
      </c>
      <c r="L39" t="inlineStr">
        <is>
          <t>Jan_187</t>
        </is>
      </c>
      <c r="M39" s="6">
        <f>HYPERLINK("https://www.dailydose.de/kleinanzeigen/user/11568", "Link")</f>
        <v/>
      </c>
      <c r="N39" s="7" t="n">
        <v>45565.74622685185</v>
      </c>
      <c r="O39" s="3" t="inlineStr">
        <is>
          <t>478.17</t>
        </is>
      </c>
      <c r="P39" t="inlineStr">
        <is>
          <t>Köln</t>
        </is>
      </c>
    </row>
    <row r="40">
      <c r="A40" t="inlineStr">
        <is>
          <t>North Viper</t>
        </is>
      </c>
      <c r="B40" s="3" t="n">
        <v>400</v>
      </c>
      <c r="C40" s="8" t="inlineStr">
        <is>
          <t>100%</t>
        </is>
      </c>
      <c r="D40" t="inlineStr"/>
      <c r="E40" s="4" t="n">
        <v>80</v>
      </c>
      <c r="F40" t="inlineStr">
        <is>
          <t>VB</t>
        </is>
      </c>
      <c r="G40" t="inlineStr">
        <is>
          <t>88287 Baden-Württemberg - Grünkraut</t>
        </is>
      </c>
      <c r="H40" s="5" t="n">
        <v>45565</v>
      </c>
      <c r="I40" t="inlineStr"/>
      <c r="J40" s="6">
        <f>HYPERLINK("https://www.kleinanzeigen.de/s-anzeige/north-mast-400-in-100-carbon/2878300305-230-9227", "Link")</f>
        <v/>
      </c>
      <c r="K40" s="6">
        <f>HYPERLINK("C:\Projects\Kleinanzeigen-Scraper\offer_images\2878300305", "Link")</f>
        <v/>
      </c>
      <c r="L40" t="inlineStr">
        <is>
          <t>RICHARD</t>
        </is>
      </c>
      <c r="M40" s="6">
        <f>HYPERLINK("https://www.kleinanzeigen.de/s-bestandsliste.html?userId=26415858", "Link")</f>
        <v/>
      </c>
      <c r="N40" s="7" t="n">
        <v>45565.7378125</v>
      </c>
      <c r="O40" s="3" t="inlineStr">
        <is>
          <t>98.85</t>
        </is>
      </c>
      <c r="P40" t="inlineStr">
        <is>
          <t>Bonndorf</t>
        </is>
      </c>
    </row>
    <row r="41">
      <c r="A41" t="inlineStr">
        <is>
          <t>North Platinum</t>
        </is>
      </c>
      <c r="B41" s="3" t="n">
        <v>400</v>
      </c>
      <c r="C41" s="8" t="inlineStr"/>
      <c r="D41" t="inlineStr">
        <is>
          <t>SDM</t>
        </is>
      </c>
      <c r="E41" s="4" t="n">
        <v>40</v>
      </c>
      <c r="F41" t="inlineStr"/>
      <c r="G41" t="inlineStr">
        <is>
          <t>14532 Stahnsdorf</t>
        </is>
      </c>
      <c r="H41" s="5" t="n">
        <v>45563</v>
      </c>
      <c r="I41" t="inlineStr"/>
      <c r="J41" s="6">
        <f>HYPERLINK("https://www.dailydose.de/kleinanzeigen/detail.htm?ai=423311&amp;cf=kk&amp;pg=1&amp;ci=2", "Link")</f>
        <v/>
      </c>
      <c r="K41" s="6">
        <f>HYPERLINK("C:\Projects\Kleinanzeigen-Scraper\offer_images\423311", "Link")</f>
        <v/>
      </c>
      <c r="L41" t="inlineStr">
        <is>
          <t>Alex61</t>
        </is>
      </c>
      <c r="M41" s="6">
        <f>HYPERLINK("https://www.dailydose.de/kleinanzeigen/user/26464", "Link")</f>
        <v/>
      </c>
      <c r="N41" s="7" t="n">
        <v>45564.87462962963</v>
      </c>
      <c r="O41" s="3" t="inlineStr">
        <is>
          <t>458.23</t>
        </is>
      </c>
      <c r="P41" t="inlineStr">
        <is>
          <t>Köln</t>
        </is>
      </c>
    </row>
    <row r="42">
      <c r="A42" t="inlineStr">
        <is>
          <t>f2 Procaliber</t>
        </is>
      </c>
      <c r="B42" s="3" t="n">
        <v>400</v>
      </c>
      <c r="C42" s="8" t="inlineStr">
        <is>
          <t>100%</t>
        </is>
      </c>
      <c r="D42" t="inlineStr"/>
      <c r="E42" s="4" t="n">
        <v>250</v>
      </c>
      <c r="F42" t="inlineStr"/>
      <c r="G42" t="inlineStr">
        <is>
          <t>81541 München</t>
        </is>
      </c>
      <c r="H42" s="5" t="n">
        <v>45564</v>
      </c>
      <c r="I42" t="inlineStr"/>
      <c r="J42" s="6">
        <f>HYPERLINK("https://www.dailydose.de/kleinanzeigen/detail.htm?ai=423351&amp;cf=kk&amp;pg=1&amp;ci=2", "Link")</f>
        <v/>
      </c>
      <c r="K42" s="6">
        <f>HYPERLINK("C:\Projects\Kleinanzeigen-Scraper\offer_images\423351", "Link")</f>
        <v/>
      </c>
      <c r="L42" t="inlineStr">
        <is>
          <t>jonas_171</t>
        </is>
      </c>
      <c r="M42" s="6">
        <f>HYPERLINK("https://www.dailydose.de/kleinanzeigen/user/12457", "Link")</f>
        <v/>
      </c>
      <c r="N42" s="7" t="n">
        <v>45564.87399305555</v>
      </c>
      <c r="O42" s="3" t="inlineStr">
        <is>
          <t>1.89</t>
        </is>
      </c>
      <c r="P42" t="inlineStr">
        <is>
          <t>München</t>
        </is>
      </c>
    </row>
    <row r="43">
      <c r="A43" t="inlineStr">
        <is>
          <t>f2 Procaliber</t>
        </is>
      </c>
      <c r="B43" s="3" t="n">
        <v>370</v>
      </c>
      <c r="C43" s="8" t="inlineStr">
        <is>
          <t>100%</t>
        </is>
      </c>
      <c r="D43" t="inlineStr"/>
      <c r="E43" s="4" t="n">
        <v>235</v>
      </c>
      <c r="F43" t="inlineStr"/>
      <c r="G43" t="inlineStr">
        <is>
          <t>81541 München</t>
        </is>
      </c>
      <c r="H43" s="5" t="n">
        <v>45564</v>
      </c>
      <c r="I43" t="inlineStr"/>
      <c r="J43" s="6">
        <f>HYPERLINK("https://www.dailydose.de/kleinanzeigen/detail.htm?ai=423352&amp;cf=kk&amp;pg=1&amp;ci=2", "Link")</f>
        <v/>
      </c>
      <c r="K43" s="6">
        <f>HYPERLINK("C:\Projects\Kleinanzeigen-Scraper\offer_images\423352", "Link")</f>
        <v/>
      </c>
      <c r="L43" t="inlineStr">
        <is>
          <t>jonas_171</t>
        </is>
      </c>
      <c r="M43" s="6">
        <f>HYPERLINK("https://www.dailydose.de/kleinanzeigen/user/12457", "Link")</f>
        <v/>
      </c>
      <c r="N43" s="7" t="n">
        <v>45564.87364583334</v>
      </c>
      <c r="O43" s="3" t="inlineStr">
        <is>
          <t>1.89</t>
        </is>
      </c>
      <c r="P43" t="inlineStr">
        <is>
          <t>München</t>
        </is>
      </c>
    </row>
    <row r="44">
      <c r="A44" t="inlineStr">
        <is>
          <t>Arrows Ultimate</t>
        </is>
      </c>
      <c r="B44" s="3" t="n">
        <v>400</v>
      </c>
      <c r="C44" s="8" t="inlineStr">
        <is>
          <t>75%</t>
        </is>
      </c>
      <c r="D44" t="inlineStr"/>
      <c r="E44" s="4" t="n">
        <v>40</v>
      </c>
      <c r="F44" t="inlineStr"/>
      <c r="G44" t="inlineStr">
        <is>
          <t>14532 Stahnsdorf</t>
        </is>
      </c>
      <c r="H44" s="5" t="n">
        <v>45563</v>
      </c>
      <c r="I44" t="inlineStr"/>
      <c r="J44" s="6">
        <f>HYPERLINK("https://www.dailydose.de/kleinanzeigen/detail.htm?ai=423312&amp;cf=kk&amp;pg=1&amp;ci=2", "Link")</f>
        <v/>
      </c>
      <c r="K44" s="6">
        <f>HYPERLINK("C:\Projects\Kleinanzeigen-Scraper\offer_images\423312", "Link")</f>
        <v/>
      </c>
      <c r="L44" t="inlineStr">
        <is>
          <t>Alex61</t>
        </is>
      </c>
      <c r="M44" s="6">
        <f>HYPERLINK("https://www.dailydose.de/kleinanzeigen/user/26464", "Link")</f>
        <v/>
      </c>
      <c r="N44" s="7" t="n">
        <v>45564.87329861111</v>
      </c>
      <c r="O44" s="3" t="inlineStr">
        <is>
          <t>458.23</t>
        </is>
      </c>
      <c r="P44" t="inlineStr">
        <is>
          <t>Köln</t>
        </is>
      </c>
    </row>
    <row r="45">
      <c r="A45" t="inlineStr">
        <is>
          <t>Tecno Limits</t>
        </is>
      </c>
      <c r="B45" s="3" t="n">
        <v>400</v>
      </c>
      <c r="C45" s="8" t="inlineStr">
        <is>
          <t>55%</t>
        </is>
      </c>
      <c r="D45" t="inlineStr">
        <is>
          <t>RDM</t>
        </is>
      </c>
      <c r="E45" s="4" t="n">
        <v>130</v>
      </c>
      <c r="F45" t="inlineStr">
        <is>
          <t>VB</t>
        </is>
      </c>
      <c r="G45" t="inlineStr">
        <is>
          <t>30900 Wedemark</t>
        </is>
      </c>
      <c r="H45" s="5" t="n">
        <v>45564</v>
      </c>
      <c r="I45" t="inlineStr"/>
      <c r="J45" s="6">
        <f>HYPERLINK("https://www.dailydose.de/kleinanzeigen/detail.htm?ai=423350&amp;cf=kk&amp;pg=1&amp;ci=2", "Link")</f>
        <v/>
      </c>
      <c r="K45" s="6">
        <f>HYPERLINK("C:\Projects\Kleinanzeigen-Scraper\offer_images\423350", "Link")</f>
        <v/>
      </c>
      <c r="L45" t="inlineStr">
        <is>
          <t>MikeTai</t>
        </is>
      </c>
      <c r="M45" s="6">
        <f>HYPERLINK("https://www.dailydose.de/kleinanzeigen/user/1686", "Link")</f>
        <v/>
      </c>
      <c r="N45" s="7" t="n">
        <v>45564.87246527777</v>
      </c>
      <c r="O45" s="3" t="inlineStr">
        <is>
          <t>260.77</t>
        </is>
      </c>
      <c r="P45" t="inlineStr">
        <is>
          <t>Köln</t>
        </is>
      </c>
    </row>
    <row r="46">
      <c r="A46" t="inlineStr">
        <is>
          <t>Fanatic</t>
        </is>
      </c>
      <c r="B46" s="3" t="n">
        <v>460</v>
      </c>
      <c r="C46" s="8" t="inlineStr"/>
      <c r="D46" t="inlineStr">
        <is>
          <t>SDM</t>
        </is>
      </c>
      <c r="E46" s="4" t="n">
        <v>120</v>
      </c>
      <c r="F46" t="inlineStr">
        <is>
          <t>VB</t>
        </is>
      </c>
      <c r="G46" t="inlineStr">
        <is>
          <t>29410 Sachsen-Anhalt - Salzwedel</t>
        </is>
      </c>
      <c r="H46" s="5" t="n">
        <v>45564</v>
      </c>
      <c r="I46" t="inlineStr"/>
      <c r="J46" s="6">
        <f>HYPERLINK("https://www.kleinanzeigen.de/s-anzeige/windsurf-mast-fanatic-460-cm-sdm/2877791109-230-2352", "Link")</f>
        <v/>
      </c>
      <c r="K46" s="6">
        <f>HYPERLINK("C:\Projects\Kleinanzeigen-Scraper\offer_images\2877791109", "Link")</f>
        <v/>
      </c>
      <c r="L46" t="inlineStr">
        <is>
          <t>Robert</t>
        </is>
      </c>
      <c r="M46" s="6">
        <f>HYPERLINK("https://www.kleinanzeigen.de/s-bestandsliste.html?userId=107913025", "Link")</f>
        <v/>
      </c>
      <c r="N46" s="7" t="n">
        <v>45564.87180555556</v>
      </c>
      <c r="O46" s="3" t="inlineStr">
        <is>
          <t>359.91</t>
        </is>
      </c>
      <c r="P46" t="inlineStr">
        <is>
          <t>Köln</t>
        </is>
      </c>
    </row>
    <row r="47">
      <c r="A47" t="inlineStr">
        <is>
          <t>Gun Sails Cross</t>
        </is>
      </c>
      <c r="B47" s="3" t="n">
        <v>490</v>
      </c>
      <c r="C47" s="8" t="inlineStr">
        <is>
          <t>50%</t>
        </is>
      </c>
      <c r="D47" t="inlineStr">
        <is>
          <t>SDM</t>
        </is>
      </c>
      <c r="E47" s="4" t="n">
        <v>50</v>
      </c>
      <c r="F47" t="inlineStr">
        <is>
          <t>VB</t>
        </is>
      </c>
      <c r="G47" t="inlineStr">
        <is>
          <t>84034 Bayern - Landshut</t>
        </is>
      </c>
      <c r="H47" s="5" t="n">
        <v>45564</v>
      </c>
      <c r="I47" t="inlineStr"/>
      <c r="J47" s="6">
        <f>HYPERLINK("https://www.kleinanzeigen.de/s-anzeige/windsurfen-carbon-mast-guns-sails-490-cm/2877282085-230-6396", "Link")</f>
        <v/>
      </c>
      <c r="K47" s="6">
        <f>HYPERLINK("C:\Projects\Kleinanzeigen-Scraper\offer_images\2877282085", "Link")</f>
        <v/>
      </c>
      <c r="L47" t="inlineStr">
        <is>
          <t>Marco</t>
        </is>
      </c>
      <c r="M47" s="6">
        <f>HYPERLINK("https://www.kleinanzeigen.de/s-bestandsliste.html?userId=46389110", "Link")</f>
        <v/>
      </c>
      <c r="N47" s="7" t="n">
        <v>45564.87159722222</v>
      </c>
      <c r="O47" s="3" t="inlineStr">
        <is>
          <t>58.35</t>
        </is>
      </c>
      <c r="P47" t="inlineStr">
        <is>
          <t>München</t>
        </is>
      </c>
    </row>
    <row r="48">
      <c r="A48" t="inlineStr">
        <is>
          <t>Naish Aluminium Mast (Standard)</t>
        </is>
      </c>
      <c r="B48" s="3" t="inlineStr"/>
      <c r="C48" s="8" t="inlineStr"/>
      <c r="D48" t="inlineStr"/>
      <c r="E48" s="4" t="n">
        <v>150</v>
      </c>
      <c r="F48" t="inlineStr">
        <is>
          <t>VB</t>
        </is>
      </c>
      <c r="G48" t="inlineStr">
        <is>
          <t>78467 Baden-Württemberg - Konstanz</t>
        </is>
      </c>
      <c r="H48" s="5" t="n">
        <v>45564</v>
      </c>
      <c r="I48" t="inlineStr"/>
      <c r="J48" s="6">
        <f>HYPERLINK("https://www.kleinanzeigen.de/s-anzeige/naish-aluminium-mast-standard-s26-2021/2877873300-230-9389", "Link")</f>
        <v/>
      </c>
      <c r="K48" s="6">
        <f>HYPERLINK("C:\Projects\Kleinanzeigen-Scraper\offer_images\2877873300", "Link")</f>
        <v/>
      </c>
      <c r="L48" t="inlineStr">
        <is>
          <t>Jürgen</t>
        </is>
      </c>
      <c r="M48" s="6">
        <f>HYPERLINK("https://www.kleinanzeigen.de/s-bestandsliste.html?userId=20497279", "Link")</f>
        <v/>
      </c>
      <c r="N48" s="7" t="n">
        <v>45564.87131944444</v>
      </c>
      <c r="O48" s="3" t="inlineStr">
        <is>
          <t>62.51</t>
        </is>
      </c>
      <c r="P48" t="inlineStr">
        <is>
          <t>Bonndorf</t>
        </is>
      </c>
    </row>
    <row r="49">
      <c r="A49" t="inlineStr">
        <is>
          <t>Severne blueline</t>
        </is>
      </c>
      <c r="B49" s="3" t="n">
        <v>490</v>
      </c>
      <c r="C49" s="8" t="inlineStr">
        <is>
          <t>75%</t>
        </is>
      </c>
      <c r="D49" t="inlineStr">
        <is>
          <t>SDM</t>
        </is>
      </c>
      <c r="E49" s="4" t="n">
        <v>60</v>
      </c>
      <c r="F49" t="inlineStr">
        <is>
          <t>VB</t>
        </is>
      </c>
      <c r="G49" t="inlineStr">
        <is>
          <t>82110 Bayern - Germering</t>
        </is>
      </c>
      <c r="H49" s="5" t="n">
        <v>45564</v>
      </c>
      <c r="I49" t="inlineStr"/>
      <c r="J49" s="6">
        <f>HYPERLINK("https://www.kleinanzeigen.de/s-anzeige/windsurfen-severne-mast-490-sdm-blueline-defekt-/2877294271-230-6326", "Link")</f>
        <v/>
      </c>
      <c r="K49" s="6">
        <f>HYPERLINK("C:\Projects\Kleinanzeigen-Scraper\offer_images\2877294271", "Link")</f>
        <v/>
      </c>
      <c r="L49" t="inlineStr">
        <is>
          <t>Martin</t>
        </is>
      </c>
      <c r="M49" s="6">
        <f>HYPERLINK("https://www.kleinanzeigen.de/s-bestandsliste.html?userId=15156366", "Link")</f>
        <v/>
      </c>
      <c r="N49" s="7" t="n">
        <v>45564.8710300926</v>
      </c>
      <c r="O49" s="3" t="inlineStr">
        <is>
          <t>16.13</t>
        </is>
      </c>
      <c r="P49" t="inlineStr">
        <is>
          <t>München</t>
        </is>
      </c>
    </row>
    <row r="50">
      <c r="A50" t="inlineStr">
        <is>
          <t>Prolimit</t>
        </is>
      </c>
      <c r="B50" s="3" t="n">
        <v>30</v>
      </c>
      <c r="C50" s="8" t="inlineStr"/>
      <c r="D50" t="inlineStr"/>
      <c r="E50" s="4" t="n">
        <v>12</v>
      </c>
      <c r="F50" t="inlineStr">
        <is>
          <t>VB</t>
        </is>
      </c>
      <c r="G50" t="inlineStr">
        <is>
          <t>84034 Bayern - Landshut</t>
        </is>
      </c>
      <c r="H50" s="5" t="n">
        <v>45564</v>
      </c>
      <c r="I50" t="inlineStr"/>
      <c r="J50" s="6">
        <f>HYPERLINK("https://www.kleinanzeigen.de/s-anzeige/windsurfen-mastverlaengerung-30-cm/2877293133-230-6396", "Link")</f>
        <v/>
      </c>
      <c r="K50" s="6">
        <f>HYPERLINK("C:\Projects\Kleinanzeigen-Scraper\offer_images\2877293133", "Link")</f>
        <v/>
      </c>
      <c r="L50" t="inlineStr">
        <is>
          <t>Marco</t>
        </is>
      </c>
      <c r="M50" s="6">
        <f>HYPERLINK("https://www.kleinanzeigen.de/s-bestandsliste.html?userId=46389110", "Link")</f>
        <v/>
      </c>
      <c r="N50" s="7" t="n">
        <v>45564.87085648148</v>
      </c>
      <c r="O50" s="3" t="inlineStr">
        <is>
          <t>58.35</t>
        </is>
      </c>
      <c r="P50" t="inlineStr">
        <is>
          <t>München</t>
        </is>
      </c>
    </row>
    <row r="51">
      <c r="A51" t="inlineStr">
        <is>
          <t>Naish Carbon 100</t>
        </is>
      </c>
      <c r="B51" s="3" t="n">
        <v>100</v>
      </c>
      <c r="C51" s="8" t="inlineStr">
        <is>
          <t>100%</t>
        </is>
      </c>
      <c r="D51" t="inlineStr"/>
      <c r="E51" s="4" t="n">
        <v>800</v>
      </c>
      <c r="F51" t="inlineStr">
        <is>
          <t>VB</t>
        </is>
      </c>
      <c r="G51" t="inlineStr">
        <is>
          <t>78467 Baden-Württemberg - Konstanz</t>
        </is>
      </c>
      <c r="H51" s="5" t="n">
        <v>45564</v>
      </c>
      <c r="I51" t="inlineStr">
        <is>
          <t>Sold</t>
        </is>
      </c>
      <c r="J51" s="6">
        <f>HYPERLINK("https://www.kleinanzeigen.de/s-anzeige/naish-2022-foil-mast-carbon-100/2877828459-230-9389", "Link")</f>
        <v/>
      </c>
      <c r="K51" s="6">
        <f>HYPERLINK("C:\Projects\Kleinanzeigen-Scraper\offer_images\2877828459", "Link")</f>
        <v/>
      </c>
      <c r="L51" t="inlineStr">
        <is>
          <t>Jürgen</t>
        </is>
      </c>
      <c r="M51" s="6">
        <f>HYPERLINK("https://www.kleinanzeigen.de/s-bestandsliste.html?userId=20497279", "Link")</f>
        <v/>
      </c>
      <c r="N51" s="7" t="n">
        <v>45564.87077546296</v>
      </c>
      <c r="O51" s="3" t="inlineStr">
        <is>
          <t>62.51</t>
        </is>
      </c>
      <c r="P51" t="inlineStr">
        <is>
          <t>Bonndorf</t>
        </is>
      </c>
    </row>
    <row r="52">
      <c r="A52" t="inlineStr">
        <is>
          <t>North Sails Base</t>
        </is>
      </c>
      <c r="B52" s="3" t="n">
        <v>200</v>
      </c>
      <c r="C52" s="8" t="inlineStr">
        <is>
          <t>15%</t>
        </is>
      </c>
      <c r="D52" t="inlineStr"/>
      <c r="E52" s="4" t="n">
        <v>50</v>
      </c>
      <c r="F52" t="inlineStr">
        <is>
          <t>VB</t>
        </is>
      </c>
      <c r="G52" t="inlineStr">
        <is>
          <t>17489 Mecklenburg-Vorpommern - Greifswald</t>
        </is>
      </c>
      <c r="H52" s="5" t="n">
        <v>45564</v>
      </c>
      <c r="I52" t="inlineStr"/>
      <c r="J52" s="6">
        <f>HYPERLINK("https://www.kleinanzeigen.de/s-anzeige/windsurfmast-north-sails-base-2m-top-2m/2877352922-230-243", "Link")</f>
        <v/>
      </c>
      <c r="K52" s="6">
        <f>HYPERLINK("C:\Projects\Kleinanzeigen-Scraper\offer_images\2877352922", "Link")</f>
        <v/>
      </c>
      <c r="L52" t="inlineStr">
        <is>
          <t>Niklas Große</t>
        </is>
      </c>
      <c r="M52" s="6">
        <f>HYPERLINK("https://www.kleinanzeigen.de/s-bestandsliste.html?userId=55088309", "Link")</f>
        <v/>
      </c>
      <c r="N52" s="7" t="n">
        <v>45564.87070601852</v>
      </c>
      <c r="O52" s="3" t="inlineStr">
        <is>
          <t>557.31</t>
        </is>
      </c>
      <c r="P52" t="inlineStr">
        <is>
          <t>Köln</t>
        </is>
      </c>
    </row>
    <row r="53">
      <c r="A53" t="inlineStr">
        <is>
          <t>Neilpryde X9 Wave</t>
        </is>
      </c>
      <c r="B53" s="3" t="n">
        <v>430</v>
      </c>
      <c r="C53" s="8" t="inlineStr">
        <is>
          <t>100%</t>
        </is>
      </c>
      <c r="D53" t="inlineStr"/>
      <c r="E53" s="4" t="n">
        <v>180</v>
      </c>
      <c r="F53" t="inlineStr">
        <is>
          <t>VB</t>
        </is>
      </c>
      <c r="G53" t="inlineStr">
        <is>
          <t>24118 Kiel - Ravensberg-Brunswik-Düsternbrook</t>
        </is>
      </c>
      <c r="H53" s="5" t="n">
        <v>45564</v>
      </c>
      <c r="I53" t="inlineStr"/>
      <c r="J53" s="6">
        <f>HYPERLINK("https://www.kleinanzeigen.de/s-anzeige/neilpryde-windsurfmast-x9-wave-430er-carbon-/2877759075-230-704", "Link")</f>
        <v/>
      </c>
      <c r="K53" s="6">
        <f>HYPERLINK("C:\Projects\Kleinanzeigen-Scraper\offer_images\2877759075", "Link")</f>
        <v/>
      </c>
      <c r="L53" t="inlineStr">
        <is>
          <t>Mar</t>
        </is>
      </c>
      <c r="M53" s="6">
        <f>HYPERLINK("https://www.kleinanzeigen.de/s-bestandsliste.html?userId=22734106", "Link")</f>
        <v/>
      </c>
      <c r="N53" s="7" t="n">
        <v>45564.8703587963</v>
      </c>
      <c r="O53" s="3" t="inlineStr">
        <is>
          <t>434.29</t>
        </is>
      </c>
      <c r="P53" t="inlineStr">
        <is>
          <t>Köln</t>
        </is>
      </c>
    </row>
    <row r="54">
      <c r="A54" t="inlineStr">
        <is>
          <t>Fanatic</t>
        </is>
      </c>
      <c r="B54" s="3" t="n">
        <v>600</v>
      </c>
      <c r="C54" s="8" t="inlineStr"/>
      <c r="D54" t="inlineStr"/>
      <c r="E54" s="4" t="n">
        <v>300</v>
      </c>
      <c r="F54" t="inlineStr">
        <is>
          <t>VB</t>
        </is>
      </c>
      <c r="G54" t="inlineStr">
        <is>
          <t>72336 Baden-Württemberg - Balingen</t>
        </is>
      </c>
      <c r="H54" s="5" t="n">
        <v>45564</v>
      </c>
      <c r="I54" t="inlineStr">
        <is>
          <t>Sold</t>
        </is>
      </c>
      <c r="J54" s="6">
        <f>HYPERLINK("https://www.kleinanzeigen.de/s-anzeige/fanatic-foil-mast-600mm/2877532328-230-8700", "Link")</f>
        <v/>
      </c>
      <c r="K54" s="6">
        <f>HYPERLINK("C:\Projects\Kleinanzeigen-Scraper\offer_images\2877532328", "Link")</f>
        <v/>
      </c>
      <c r="L54" t="inlineStr">
        <is>
          <t>KME</t>
        </is>
      </c>
      <c r="M54" s="6">
        <f>HYPERLINK("https://www.kleinanzeigen.de/s-bestandsliste.html?userId=33791700", "Link")</f>
        <v/>
      </c>
      <c r="N54" s="7" t="n">
        <v>45564.86864583333</v>
      </c>
      <c r="O54" s="3" t="inlineStr">
        <is>
          <t>46.31</t>
        </is>
      </c>
      <c r="P54" t="inlineStr">
        <is>
          <t>Böblingen</t>
        </is>
      </c>
    </row>
    <row r="55">
      <c r="A55" t="inlineStr">
        <is>
          <t>North Sonar AF</t>
        </is>
      </c>
      <c r="B55" s="3" t="n">
        <v>55</v>
      </c>
      <c r="C55" s="8" t="inlineStr"/>
      <c r="D55" t="inlineStr"/>
      <c r="E55" s="4" t="inlineStr"/>
      <c r="F55" t="inlineStr">
        <is>
          <t>VB</t>
        </is>
      </c>
      <c r="G55" t="inlineStr">
        <is>
          <t>22927 Schleswig-Holstein - Großhansdorf</t>
        </is>
      </c>
      <c r="H55" s="5" t="n">
        <v>45563</v>
      </c>
      <c r="I55" t="inlineStr"/>
      <c r="J55" s="6">
        <f>HYPERLINK("https://www.kleinanzeigen.de/s-anzeige/north-sonar-af-55-mast/2876750196-230-921", "Link")</f>
        <v/>
      </c>
      <c r="K55" s="6">
        <f>HYPERLINK("C:\Projects\Kleinanzeigen-Scraper\offer_images\2876750196", "Link")</f>
        <v/>
      </c>
      <c r="L55" t="inlineStr">
        <is>
          <t>Daniel Roth</t>
        </is>
      </c>
      <c r="M55" s="6">
        <f>HYPERLINK("https://www.kleinanzeigen.de/s-bestandsliste.html?userId=54766931", "Link")</f>
        <v/>
      </c>
      <c r="N55" s="7" t="n">
        <v>45564.86643518518</v>
      </c>
      <c r="O55" s="3" t="inlineStr">
        <is>
          <t>378.07</t>
        </is>
      </c>
      <c r="P55" t="inlineStr">
        <is>
          <t>Köln</t>
        </is>
      </c>
    </row>
    <row r="56">
      <c r="A56" t="inlineStr">
        <is>
          <t>Fanatic Heavy Duty Mast</t>
        </is>
      </c>
      <c r="B56" s="3" t="n">
        <v>470</v>
      </c>
      <c r="C56" s="8" t="inlineStr"/>
      <c r="D56" t="inlineStr"/>
      <c r="E56" s="4" t="inlineStr"/>
      <c r="F56" t="inlineStr">
        <is>
          <t>VB</t>
        </is>
      </c>
      <c r="G56" t="inlineStr">
        <is>
          <t>59609 Nordrhein-Westfalen - Anröchte</t>
        </is>
      </c>
      <c r="H56" s="5" t="n">
        <v>45564</v>
      </c>
      <c r="I56" t="inlineStr"/>
      <c r="J56" s="6">
        <f>HYPERLINK("https://www.kleinanzeigen.de/s-anzeige/fanatic-heavy-duty-mast-470/2877264484-187-1267", "Link")</f>
        <v/>
      </c>
      <c r="K56" s="6">
        <f>HYPERLINK("C:\Projects\Kleinanzeigen-Scraper\offer_images\2877264484", "Link")</f>
        <v/>
      </c>
      <c r="L56" t="inlineStr">
        <is>
          <t>Alexander</t>
        </is>
      </c>
      <c r="M56" s="6">
        <f>HYPERLINK("https://www.kleinanzeigen.de/s-bestandsliste.html?userId=12307990", "Link")</f>
        <v/>
      </c>
      <c r="N56" s="7" t="n">
        <v>45564.86519675926</v>
      </c>
      <c r="O56" s="3" t="inlineStr">
        <is>
          <t>116.12</t>
        </is>
      </c>
      <c r="P56" t="inlineStr">
        <is>
          <t>Köln</t>
        </is>
      </c>
    </row>
    <row r="57">
      <c r="A57" t="inlineStr">
        <is>
          <t>Caas Extreme</t>
        </is>
      </c>
      <c r="B57" s="3" t="n">
        <v>370</v>
      </c>
      <c r="C57" s="8" t="inlineStr">
        <is>
          <t>100%</t>
        </is>
      </c>
      <c r="D57" t="inlineStr">
        <is>
          <t>RDM</t>
        </is>
      </c>
      <c r="E57" s="4" t="n">
        <v>200</v>
      </c>
      <c r="F57" t="inlineStr"/>
      <c r="G57" t="inlineStr">
        <is>
          <t>22145 Hamburg - Hamburg-Nord</t>
        </is>
      </c>
      <c r="H57" s="5" t="n">
        <v>45564</v>
      </c>
      <c r="I57" t="inlineStr"/>
      <c r="J57" s="6">
        <f>HYPERLINK("https://www.kleinanzeigen.de/s-anzeige/caas-extreme-rdm-370-100-carbon-mast-wenig-gefahren-goya-simmer/2877390814-230-17006", "Link")</f>
        <v/>
      </c>
      <c r="K57" s="6">
        <f>HYPERLINK("C:\Projects\Kleinanzeigen-Scraper\offer_images\2877390814", "Link")</f>
        <v/>
      </c>
      <c r="L57" t="inlineStr">
        <is>
          <t>Ulf</t>
        </is>
      </c>
      <c r="M57" s="6">
        <f>HYPERLINK("https://www.kleinanzeigen.de/s-bestandsliste.html?userId=50449475", "Link")</f>
        <v/>
      </c>
      <c r="N57" s="7" t="n">
        <v>45564.86483796296</v>
      </c>
      <c r="O57" s="3" t="inlineStr">
        <is>
          <t>371.39</t>
        </is>
      </c>
      <c r="P57" t="inlineStr">
        <is>
          <t>Köln</t>
        </is>
      </c>
    </row>
    <row r="58">
      <c r="A58" t="inlineStr"/>
      <c r="B58" s="3" t="inlineStr">
        <is>
          <t>490-500</t>
        </is>
      </c>
      <c r="C58" s="8" t="inlineStr">
        <is>
          <t>40-80%</t>
        </is>
      </c>
      <c r="D58" t="inlineStr">
        <is>
          <t>SDM</t>
        </is>
      </c>
      <c r="E58" s="4" t="n">
        <v>1</v>
      </c>
      <c r="F58" t="inlineStr"/>
      <c r="G58" t="inlineStr">
        <is>
          <t>12526 Berlin - Treptow</t>
        </is>
      </c>
      <c r="H58" s="5" t="n">
        <v>45563</v>
      </c>
      <c r="I58" t="inlineStr"/>
      <c r="J58" s="6">
        <f>HYPERLINK("https://www.kleinanzeigen.de/s-anzeige/windsurfen-surf-masten-carbon-cc-sdm-4-9-bis-5-0m/2875890662-230-3369", "Link")</f>
        <v/>
      </c>
      <c r="K58" s="6">
        <f>HYPERLINK("C:\Projects\Kleinanzeigen-Scraper\offer_images\2875890662", "Link")</f>
        <v/>
      </c>
      <c r="L58" t="inlineStr">
        <is>
          <t>MG</t>
        </is>
      </c>
      <c r="M58" s="6">
        <f>HYPERLINK("https://www.kleinanzeigen.de/s-bestandsliste.html?userId=3097769", "Link")</f>
        <v/>
      </c>
      <c r="N58" s="7" t="n">
        <v>45564.86472222222</v>
      </c>
      <c r="O58" s="3" t="inlineStr">
        <is>
          <t>484.42</t>
        </is>
      </c>
      <c r="P58" t="inlineStr">
        <is>
          <t>Köln</t>
        </is>
      </c>
    </row>
    <row r="59">
      <c r="A59" t="inlineStr">
        <is>
          <t>Gun Sails Mast</t>
        </is>
      </c>
      <c r="B59" s="3" t="n">
        <v>490</v>
      </c>
      <c r="C59" s="8" t="inlineStr">
        <is>
          <t>C40</t>
        </is>
      </c>
      <c r="D59" t="inlineStr"/>
      <c r="E59" s="4" t="n">
        <v>80</v>
      </c>
      <c r="F59" t="inlineStr">
        <is>
          <t>VB</t>
        </is>
      </c>
      <c r="G59" t="inlineStr">
        <is>
          <t>49074 Niedersachsen - Osnabrück</t>
        </is>
      </c>
      <c r="H59" s="5" t="n">
        <v>45564</v>
      </c>
      <c r="I59" t="inlineStr"/>
      <c r="J59" s="6">
        <f>HYPERLINK("https://www.kleinanzeigen.de/s-anzeige/gun-sails-mast-490-c40/2876915875-230-3120", "Link")</f>
        <v/>
      </c>
      <c r="K59" s="6">
        <f>HYPERLINK("C:\Projects\Kleinanzeigen-Scraper\offer_images\2876915875", "Link")</f>
        <v/>
      </c>
      <c r="L59" t="inlineStr">
        <is>
          <t>FL</t>
        </is>
      </c>
      <c r="M59" s="6">
        <f>HYPERLINK("https://www.kleinanzeigen.de/s-bestandsliste.html?userId=10421792", "Link")</f>
        <v/>
      </c>
      <c r="N59" s="7" t="n">
        <v>45564.86429398148</v>
      </c>
      <c r="O59" s="3" t="inlineStr">
        <is>
          <t>167.04</t>
        </is>
      </c>
      <c r="P59" t="inlineStr">
        <is>
          <t>Köln</t>
        </is>
      </c>
    </row>
    <row r="60">
      <c r="A60" t="inlineStr">
        <is>
          <t>Simmer Style RDM</t>
        </is>
      </c>
      <c r="B60" s="3" t="n">
        <v>370</v>
      </c>
      <c r="C60" s="8" t="inlineStr">
        <is>
          <t>100%</t>
        </is>
      </c>
      <c r="D60" t="inlineStr">
        <is>
          <t>RDM</t>
        </is>
      </c>
      <c r="E60" s="4" t="n">
        <v>150</v>
      </c>
      <c r="F60" t="inlineStr"/>
      <c r="G60" t="inlineStr">
        <is>
          <t>81541 München</t>
        </is>
      </c>
      <c r="H60" s="5" t="n">
        <v>45563</v>
      </c>
      <c r="I60" t="inlineStr"/>
      <c r="J60" s="6">
        <f>HYPERLINK("https://www.dailydose.de/kleinanzeigen/detail.htm?ai=423296&amp;cf=kk&amp;pg=1&amp;ci=2", "Link")</f>
        <v/>
      </c>
      <c r="K60" s="6">
        <f>HYPERLINK("C:\Projects\Kleinanzeigen-Scraper\offer_images\423296", "Link")</f>
        <v/>
      </c>
      <c r="L60" t="inlineStr">
        <is>
          <t>jonas_171</t>
        </is>
      </c>
      <c r="M60" s="6">
        <f>HYPERLINK("https://www.dailydose.de/kleinanzeigen/user/12457", "Link")</f>
        <v/>
      </c>
      <c r="N60" s="7" t="n">
        <v>45563.73841435185</v>
      </c>
      <c r="O60" s="3" t="inlineStr">
        <is>
          <t>1.89</t>
        </is>
      </c>
      <c r="P60" t="inlineStr">
        <is>
          <t>München</t>
        </is>
      </c>
    </row>
    <row r="61">
      <c r="A61" t="inlineStr">
        <is>
          <t>Simmer Style</t>
        </is>
      </c>
      <c r="B61" s="3" t="n">
        <v>400</v>
      </c>
      <c r="C61" s="8" t="inlineStr">
        <is>
          <t>100%</t>
        </is>
      </c>
      <c r="D61" t="inlineStr">
        <is>
          <t>RDM</t>
        </is>
      </c>
      <c r="E61" s="4" t="n">
        <v>150</v>
      </c>
      <c r="F61" t="inlineStr"/>
      <c r="G61" t="inlineStr">
        <is>
          <t>81541 München</t>
        </is>
      </c>
      <c r="H61" s="5" t="n">
        <v>45563</v>
      </c>
      <c r="I61" t="inlineStr"/>
      <c r="J61" s="6">
        <f>HYPERLINK("https://www.dailydose.de/kleinanzeigen/detail.htm?ai=423295&amp;cf=kk&amp;pg=1&amp;ci=2", "Link")</f>
        <v/>
      </c>
      <c r="K61" s="6">
        <f>HYPERLINK("C:\Projects\Kleinanzeigen-Scraper\offer_images\423295", "Link")</f>
        <v/>
      </c>
      <c r="L61" t="inlineStr">
        <is>
          <t>jonas_171</t>
        </is>
      </c>
      <c r="M61" s="6">
        <f>HYPERLINK("https://www.dailydose.de/kleinanzeigen/user/12457", "Link")</f>
        <v/>
      </c>
      <c r="N61" s="7" t="n">
        <v>45563.73725694444</v>
      </c>
      <c r="O61" s="3" t="inlineStr">
        <is>
          <t>1.89</t>
        </is>
      </c>
      <c r="P61" t="inlineStr">
        <is>
          <t>München</t>
        </is>
      </c>
    </row>
    <row r="62">
      <c r="A62" t="inlineStr">
        <is>
          <t>Lorch Silberpfeil</t>
        </is>
      </c>
      <c r="B62" s="3" t="n">
        <v>460</v>
      </c>
      <c r="C62" s="8" t="inlineStr">
        <is>
          <t>75%</t>
        </is>
      </c>
      <c r="D62" t="inlineStr">
        <is>
          <t>SDM</t>
        </is>
      </c>
      <c r="E62" s="4" t="n">
        <v>110</v>
      </c>
      <c r="F62" t="inlineStr"/>
      <c r="G62" t="inlineStr">
        <is>
          <t>71093 Baden-Württemberg - Weil im Schönbuch</t>
        </is>
      </c>
      <c r="H62" s="5" t="n">
        <v>45563</v>
      </c>
      <c r="I62" t="inlineStr"/>
      <c r="J62" s="6">
        <f>HYPERLINK("https://www.kleinanzeigen.de/s-anzeige/lorch-460-sdm-mast-75-carbon-wie-severne-neilpryde/2875924162-230-8785", "Link")</f>
        <v/>
      </c>
      <c r="K62" s="6">
        <f>HYPERLINK("C:\Projects\Kleinanzeigen-Scraper\offer_images\2875924162", "Link")</f>
        <v/>
      </c>
      <c r="L62" t="inlineStr">
        <is>
          <t>Schorschi</t>
        </is>
      </c>
      <c r="M62" s="6">
        <f>HYPERLINK("https://www.kleinanzeigen.de/s-bestandsliste.html?userId=71398211", "Link")</f>
        <v/>
      </c>
      <c r="N62" s="7" t="n">
        <v>45563.73380787037</v>
      </c>
      <c r="O62" s="3" t="inlineStr">
        <is>
          <t>9.52</t>
        </is>
      </c>
      <c r="P62" t="inlineStr">
        <is>
          <t>Böblingen</t>
        </is>
      </c>
    </row>
    <row r="63">
      <c r="A63" t="inlineStr">
        <is>
          <t>Fiberspar RDM</t>
        </is>
      </c>
      <c r="B63" s="3" t="n">
        <v>430</v>
      </c>
      <c r="C63" s="8" t="inlineStr">
        <is>
          <t>95%</t>
        </is>
      </c>
      <c r="D63" t="inlineStr">
        <is>
          <t>RDM</t>
        </is>
      </c>
      <c r="E63" s="4" t="n">
        <v>195</v>
      </c>
      <c r="F63" t="inlineStr"/>
      <c r="G63" t="inlineStr">
        <is>
          <t>69198 Baden-Württemberg - Schriesheim</t>
        </is>
      </c>
      <c r="H63" s="5" t="n">
        <v>45563</v>
      </c>
      <c r="I63" t="inlineStr"/>
      <c r="J63" s="6">
        <f>HYPERLINK("https://www.kleinanzeigen.de/s-anzeige/fiberspar-rdm-mast-430cm-95-c-windsurfen/2875862874-230-8270", "Link")</f>
        <v/>
      </c>
      <c r="K63" s="6">
        <f>HYPERLINK("C:\Projects\Kleinanzeigen-Scraper\offer_images\2875862874", "Link")</f>
        <v/>
      </c>
      <c r="L63" t="inlineStr">
        <is>
          <t>Sven</t>
        </is>
      </c>
      <c r="M63" s="6">
        <f>HYPERLINK("https://www.kleinanzeigen.de/s-bestandsliste.html?userId=15271620", "Link")</f>
        <v/>
      </c>
      <c r="N63" s="7" t="n">
        <v>45563.73334490741</v>
      </c>
      <c r="O63" s="3" t="inlineStr">
        <is>
          <t>57.18</t>
        </is>
      </c>
      <c r="P63" t="inlineStr">
        <is>
          <t>Karlsruhe</t>
        </is>
      </c>
    </row>
    <row r="64">
      <c r="A64" t="inlineStr">
        <is>
          <t>Neilpryde</t>
        </is>
      </c>
      <c r="B64" s="3" t="n">
        <v>460</v>
      </c>
      <c r="C64" s="8" t="inlineStr">
        <is>
          <t>30%</t>
        </is>
      </c>
      <c r="D64" t="inlineStr"/>
      <c r="E64" s="4" t="n">
        <v>40</v>
      </c>
      <c r="F64" t="inlineStr"/>
      <c r="G64" t="inlineStr">
        <is>
          <t>13597 Berlin - Spandau</t>
        </is>
      </c>
      <c r="H64" s="5" t="n">
        <v>45563</v>
      </c>
      <c r="I64" t="inlineStr"/>
      <c r="J64" s="6">
        <f>HYPERLINK("https://www.kleinanzeigen.de/s-anzeige/windsurf-mast-460-carbon-neilpryde/2876148301-230-3431", "Link")</f>
        <v/>
      </c>
      <c r="K64" s="6">
        <f>HYPERLINK("C:\Projects\Kleinanzeigen-Scraper\offer_images\2876148301", "Link")</f>
        <v/>
      </c>
      <c r="L64" t="inlineStr">
        <is>
          <t>Tobias</t>
        </is>
      </c>
      <c r="M64" s="6">
        <f>HYPERLINK("https://www.kleinanzeigen.de/s-bestandsliste.html?userId=33453558", "Link")</f>
        <v/>
      </c>
      <c r="N64" s="7" t="n">
        <v>45563.73259259259</v>
      </c>
      <c r="O64" s="3" t="inlineStr">
        <is>
          <t>465.78</t>
        </is>
      </c>
      <c r="P64" t="inlineStr">
        <is>
          <t>Köln</t>
        </is>
      </c>
    </row>
    <row r="65">
      <c r="A65" t="inlineStr">
        <is>
          <t>Neilpryde TPX 100</t>
        </is>
      </c>
      <c r="B65" s="3" t="n">
        <v>430</v>
      </c>
      <c r="C65" s="8" t="inlineStr">
        <is>
          <t>100%</t>
        </is>
      </c>
      <c r="D65" t="inlineStr">
        <is>
          <t>RDM</t>
        </is>
      </c>
      <c r="E65" s="4" t="n">
        <v>599</v>
      </c>
      <c r="F65" t="inlineStr"/>
      <c r="G65" t="inlineStr">
        <is>
          <t>55128 Rheinland-Pfalz - Mainz</t>
        </is>
      </c>
      <c r="H65" s="5" t="n">
        <v>45563</v>
      </c>
      <c r="I65" t="inlineStr"/>
      <c r="J65" s="6">
        <f>HYPERLINK("https://www.kleinanzeigen.de/s-anzeige/neilpryde-tpx-100-430-rdm-2023-neu-/2875929471-230-5321", "Link")</f>
        <v/>
      </c>
      <c r="K65" s="6">
        <f>HYPERLINK("C:\Projects\Kleinanzeigen-Scraper\offer_images\2875929471", "Link")</f>
        <v/>
      </c>
      <c r="L65" t="inlineStr">
        <is>
          <t>Felix</t>
        </is>
      </c>
      <c r="M65" s="6">
        <f>HYPERLINK("https://www.kleinanzeigen.de/s-bestandsliste.html?userId=31967178", "Link")</f>
        <v/>
      </c>
      <c r="N65" s="7" t="n">
        <v>45563.73228009259</v>
      </c>
      <c r="O65" s="3" t="inlineStr">
        <is>
          <t>108.61</t>
        </is>
      </c>
      <c r="P65" t="inlineStr">
        <is>
          <t>Karlsruhe</t>
        </is>
      </c>
    </row>
    <row r="66">
      <c r="A66" t="inlineStr">
        <is>
          <t>Neilpryde UXT 28</t>
        </is>
      </c>
      <c r="B66" s="3" t="inlineStr"/>
      <c r="C66" s="8" t="inlineStr"/>
      <c r="D66" t="inlineStr"/>
      <c r="E66" s="4" t="n">
        <v>15</v>
      </c>
      <c r="F66" t="inlineStr">
        <is>
          <t>VB</t>
        </is>
      </c>
      <c r="G66" t="inlineStr">
        <is>
          <t>50859 Lindenthal - Köln Lövenich</t>
        </is>
      </c>
      <c r="H66" s="5" t="n">
        <v>45529</v>
      </c>
      <c r="I66" t="inlineStr"/>
      <c r="J66" s="6">
        <f>HYPERLINK("https://www.kleinanzeigen.de/s-anzeige/neilpryde-mastverlaengerung-extension-uxt-28/2845466316-230-18670", "Link")</f>
        <v/>
      </c>
      <c r="K66" s="6">
        <f>HYPERLINK("C:\Projects\Kleinanzeigen-Scraper\offer_images\2845466316", "Link")</f>
        <v/>
      </c>
      <c r="L66" t="inlineStr">
        <is>
          <t>Jose Rodriguez</t>
        </is>
      </c>
      <c r="M66" s="6">
        <f>HYPERLINK("https://www.kleinanzeigen.de/s-bestandsliste.html?userId=23282581", "Link")</f>
        <v/>
      </c>
      <c r="N66" s="7" t="n">
        <v>45563.73005787037</v>
      </c>
      <c r="O66" s="3" t="inlineStr">
        <is>
          <t>8.43</t>
        </is>
      </c>
      <c r="P66" t="inlineStr">
        <is>
          <t>Köln</t>
        </is>
      </c>
    </row>
    <row r="67">
      <c r="A67" t="inlineStr">
        <is>
          <t>GUNSAILS Select</t>
        </is>
      </c>
      <c r="B67" s="3" t="n">
        <v>430</v>
      </c>
      <c r="C67" s="8" t="inlineStr">
        <is>
          <t>100%</t>
        </is>
      </c>
      <c r="D67" t="inlineStr">
        <is>
          <t>SDM</t>
        </is>
      </c>
      <c r="E67" s="4" t="inlineStr">
        <is>
          <t>: 85</t>
        </is>
      </c>
      <c r="F67" t="inlineStr">
        <is>
          <t>VB</t>
        </is>
      </c>
      <c r="G67" t="inlineStr">
        <is>
          <t>80637 München</t>
        </is>
      </c>
      <c r="H67" s="5" t="n">
        <v>45561</v>
      </c>
      <c r="I67" t="inlineStr">
        <is>
          <t>Sold</t>
        </is>
      </c>
      <c r="J67" s="6">
        <f>HYPERLINK("https://www.dailydose.de/kleinanzeigen/detail.htm?ai=423221&amp;cf=kk&amp;pg=1&amp;ci=2", "Link")</f>
        <v/>
      </c>
      <c r="K67" s="6">
        <f>HYPERLINK("C:\Projects\Kleinanzeigen-Scraper\offer_images\423221", "Link")</f>
        <v/>
      </c>
      <c r="L67" t="inlineStr">
        <is>
          <t>Surfmischi</t>
        </is>
      </c>
      <c r="M67" s="6">
        <f>HYPERLINK("https://www.dailydose.de/kleinanzeigen/user/22579", "Link")</f>
        <v/>
      </c>
      <c r="N67" s="7" t="n">
        <v>45562.75052083333</v>
      </c>
      <c r="O67" s="3" t="inlineStr">
        <is>
          <t>3.94</t>
        </is>
      </c>
      <c r="P67" t="inlineStr">
        <is>
          <t>München</t>
        </is>
      </c>
    </row>
    <row r="68">
      <c r="A68" t="inlineStr">
        <is>
          <t>Neilpryde RDM 430 SPX</t>
        </is>
      </c>
      <c r="B68" s="3" t="n">
        <v>430</v>
      </c>
      <c r="C68" s="8" t="inlineStr">
        <is>
          <t>90%</t>
        </is>
      </c>
      <c r="D68" t="inlineStr">
        <is>
          <t>RDM</t>
        </is>
      </c>
      <c r="E68" s="4" t="n">
        <v>80</v>
      </c>
      <c r="F68" t="inlineStr"/>
      <c r="G68" t="inlineStr">
        <is>
          <t>46499 Hamminkrln</t>
        </is>
      </c>
      <c r="H68" s="5" t="n">
        <v>45562</v>
      </c>
      <c r="I68" t="inlineStr"/>
      <c r="J68" s="6">
        <f>HYPERLINK("https://www.dailydose.de/kleinanzeigen/detail.htm?ai=423269&amp;cf=kk&amp;pg=1&amp;ci=2", "Link")</f>
        <v/>
      </c>
      <c r="K68" s="6">
        <f>HYPERLINK("C:\Projects\Kleinanzeigen-Scraper\offer_images\423269", "Link")</f>
        <v/>
      </c>
      <c r="L68" t="inlineStr">
        <is>
          <t>G Becker</t>
        </is>
      </c>
      <c r="M68" s="6">
        <f>HYPERLINK("https://www.dailydose.de/kleinanzeigen/user/8994", "Link")</f>
        <v/>
      </c>
      <c r="N68" s="7" t="n">
        <v>45562.74987268518</v>
      </c>
      <c r="O68" s="3" t="inlineStr">
        <is>
          <t>90.67</t>
        </is>
      </c>
      <c r="P68" t="inlineStr">
        <is>
          <t>Köln</t>
        </is>
      </c>
    </row>
    <row r="69">
      <c r="A69" t="inlineStr">
        <is>
          <t>Goya</t>
        </is>
      </c>
      <c r="B69" s="3" t="n">
        <v>430</v>
      </c>
      <c r="C69" s="8" t="inlineStr">
        <is>
          <t>90%</t>
        </is>
      </c>
      <c r="D69" t="inlineStr"/>
      <c r="E69" s="4" t="n">
        <v>180</v>
      </c>
      <c r="F69" t="inlineStr"/>
      <c r="G69" t="inlineStr">
        <is>
          <t>50321 Brühl</t>
        </is>
      </c>
      <c r="H69" s="5" t="n">
        <v>45562</v>
      </c>
      <c r="I69" t="inlineStr"/>
      <c r="J69" s="6">
        <f>HYPERLINK("https://www.dailydose.de/kleinanzeigen/detail.htm?ai=423273&amp;cf=kk&amp;pg=1&amp;ci=2", "Link")</f>
        <v/>
      </c>
      <c r="K69" s="6">
        <f>HYPERLINK("C:\Projects\Kleinanzeigen-Scraper\offer_images\423273", "Link")</f>
        <v/>
      </c>
      <c r="L69" t="inlineStr">
        <is>
          <t>Charlie</t>
        </is>
      </c>
      <c r="M69" s="6">
        <f>HYPERLINK("https://www.dailydose.de/kleinanzeigen/user/22420", "Link")</f>
        <v/>
      </c>
      <c r="N69" s="7" t="n">
        <v>45562.74765046296</v>
      </c>
      <c r="O69" s="3" t="inlineStr">
        <is>
          <t>14.26</t>
        </is>
      </c>
      <c r="P69" t="inlineStr">
        <is>
          <t>Köln</t>
        </is>
      </c>
    </row>
    <row r="70">
      <c r="A70" t="inlineStr">
        <is>
          <t>Unifiber</t>
        </is>
      </c>
      <c r="B70" s="3" t="n">
        <v>490</v>
      </c>
      <c r="C70" s="8" t="inlineStr">
        <is>
          <t>C40</t>
        </is>
      </c>
      <c r="D70" t="inlineStr">
        <is>
          <t>SDM</t>
        </is>
      </c>
      <c r="E70" s="4" t="n">
        <v>80</v>
      </c>
      <c r="F70" t="inlineStr">
        <is>
          <t>VB</t>
        </is>
      </c>
      <c r="G70" t="inlineStr">
        <is>
          <t>40764 Nordrhein-Westfalen - Langenfeld</t>
        </is>
      </c>
      <c r="H70" s="5" t="n">
        <v>45562</v>
      </c>
      <c r="I70" t="inlineStr"/>
      <c r="J70" s="6">
        <f>HYPERLINK("https://www.kleinanzeigen.de/s-anzeige/windsurfen-mast-unifiber-490-cm-c40-sdm/2874955898-230-1863", "Link")</f>
        <v/>
      </c>
      <c r="K70" s="6">
        <f>HYPERLINK("C:\Projects\Kleinanzeigen-Scraper\offer_images\2874955898", "Link")</f>
        <v/>
      </c>
      <c r="L70" t="inlineStr">
        <is>
          <t>Martin S.</t>
        </is>
      </c>
      <c r="M70" s="6">
        <f>HYPERLINK("https://www.kleinanzeigen.de/s-bestandsliste.html?userId=9180774", "Link")</f>
        <v/>
      </c>
      <c r="N70" s="7" t="n">
        <v>45562.74621527778</v>
      </c>
      <c r="O70" s="3" t="inlineStr">
        <is>
          <t>20.06</t>
        </is>
      </c>
      <c r="P70" t="inlineStr">
        <is>
          <t>Köln</t>
        </is>
      </c>
    </row>
    <row r="71">
      <c r="A71" t="inlineStr">
        <is>
          <t>Neilpryde X9</t>
        </is>
      </c>
      <c r="B71" s="3" t="n">
        <v>210</v>
      </c>
      <c r="C71" s="8" t="inlineStr">
        <is>
          <t>100%</t>
        </is>
      </c>
      <c r="D71" t="inlineStr"/>
      <c r="E71" s="4" t="n">
        <v>80</v>
      </c>
      <c r="F71" t="inlineStr"/>
      <c r="G71" t="inlineStr">
        <is>
          <t>88400 Baden-Württemberg - Biberach an der Riß</t>
        </is>
      </c>
      <c r="H71" s="5" t="n">
        <v>45562</v>
      </c>
      <c r="I71" t="inlineStr">
        <is>
          <t>Sold</t>
        </is>
      </c>
      <c r="J71" s="6">
        <f>HYPERLINK("https://www.kleinanzeigen.de/s-anzeige/neilpryde-x9-160-210-carbon/2875016159-230-8706", "Link")</f>
        <v/>
      </c>
      <c r="K71" s="6">
        <f>HYPERLINK("C:\Projects\Kleinanzeigen-Scraper\offer_images\2875016159", "Link")</f>
        <v/>
      </c>
      <c r="L71" t="inlineStr">
        <is>
          <t>Schneider</t>
        </is>
      </c>
      <c r="M71" s="6">
        <f>HYPERLINK("https://www.kleinanzeigen.de/s-bestandsliste.html?userId=3638597", "Link")</f>
        <v/>
      </c>
      <c r="N71" s="7" t="n">
        <v>45562.74513888889</v>
      </c>
      <c r="O71" s="3" t="inlineStr">
        <is>
          <t>89.53</t>
        </is>
      </c>
      <c r="P71" t="inlineStr">
        <is>
          <t>Böblingen</t>
        </is>
      </c>
    </row>
    <row r="72">
      <c r="A72" t="inlineStr">
        <is>
          <t>Gaastra</t>
        </is>
      </c>
      <c r="B72" s="3" t="n">
        <v>430</v>
      </c>
      <c r="C72" s="8" t="inlineStr">
        <is>
          <t>75%</t>
        </is>
      </c>
      <c r="D72" t="inlineStr">
        <is>
          <t>RDM</t>
        </is>
      </c>
      <c r="E72" s="4" t="n">
        <v>75</v>
      </c>
      <c r="F72" t="inlineStr">
        <is>
          <t>VB</t>
        </is>
      </c>
      <c r="G72" t="inlineStr">
        <is>
          <t>13187 Berlin - Pankow</t>
        </is>
      </c>
      <c r="H72" s="5" t="n">
        <v>45562</v>
      </c>
      <c r="I72" t="inlineStr">
        <is>
          <t>Sold</t>
        </is>
      </c>
      <c r="J72" s="6">
        <f>HYPERLINK("https://www.kleinanzeigen.de/s-anzeige/windsurfmast-gaastra-rdm-4-30-m-75-carbon/2875214065-230-3473", "Link")</f>
        <v/>
      </c>
      <c r="K72" s="6">
        <f>HYPERLINK("C:\Projects\Kleinanzeigen-Scraper\offer_images\2875214065", "Link")</f>
        <v/>
      </c>
      <c r="L72" t="inlineStr">
        <is>
          <t>Rene</t>
        </is>
      </c>
      <c r="M72" s="6">
        <f>HYPERLINK("https://www.kleinanzeigen.de/s-bestandsliste.html?userId=40813070", "Link")</f>
        <v/>
      </c>
      <c r="N72" s="7" t="n">
        <v>45562.74341435185</v>
      </c>
      <c r="O72" s="3" t="inlineStr">
        <is>
          <t>480.03</t>
        </is>
      </c>
      <c r="P72" t="inlineStr">
        <is>
          <t>Köln</t>
        </is>
      </c>
    </row>
    <row r="73">
      <c r="A73" t="inlineStr">
        <is>
          <t>Fanatic Alumast</t>
        </is>
      </c>
      <c r="B73" s="3" t="n">
        <v>75</v>
      </c>
      <c r="C73" s="8" t="inlineStr"/>
      <c r="D73" t="inlineStr"/>
      <c r="E73" s="4" t="n">
        <v>250</v>
      </c>
      <c r="F73" t="inlineStr"/>
      <c r="G73" t="inlineStr">
        <is>
          <t>15370 Brandenburg - Petershagen</t>
        </is>
      </c>
      <c r="H73" s="5" t="n">
        <v>45562</v>
      </c>
      <c r="I73" t="inlineStr">
        <is>
          <t>Sold</t>
        </is>
      </c>
      <c r="J73" s="6">
        <f>HYPERLINK("https://www.kleinanzeigen.de/s-anzeige/fanatic-mast-75cm-inklusive-fuselage/2874981827-230-10513", "Link")</f>
        <v/>
      </c>
      <c r="K73" s="6">
        <f>HYPERLINK("C:\Projects\Kleinanzeigen-Scraper\offer_images\2874981827", "Link")</f>
        <v/>
      </c>
      <c r="L73" t="inlineStr">
        <is>
          <t>Christian</t>
        </is>
      </c>
      <c r="M73" s="6">
        <f>HYPERLINK("https://www.kleinanzeigen.de/s-bestandsliste.html?userId=2035297", "Link")</f>
        <v/>
      </c>
      <c r="N73" s="7" t="n">
        <v>45562.74063657408</v>
      </c>
      <c r="O73" s="3" t="inlineStr">
        <is>
          <t>501.43</t>
        </is>
      </c>
      <c r="P73" t="inlineStr">
        <is>
          <t>Köln</t>
        </is>
      </c>
    </row>
    <row r="74">
      <c r="A74" t="inlineStr">
        <is>
          <t>Goya</t>
        </is>
      </c>
      <c r="B74" s="3" t="n">
        <v>430</v>
      </c>
      <c r="C74" s="8" t="inlineStr">
        <is>
          <t>90%</t>
        </is>
      </c>
      <c r="D74" t="inlineStr"/>
      <c r="E74" s="4" t="n">
        <v>170</v>
      </c>
      <c r="F74" t="inlineStr"/>
      <c r="G74" t="inlineStr">
        <is>
          <t>50321 Nordrhein-Westfalen - Brühl</t>
        </is>
      </c>
      <c r="H74" s="5" t="n">
        <v>45562</v>
      </c>
      <c r="I74" t="inlineStr"/>
      <c r="J74" s="6">
        <f>HYPERLINK("https://www.kleinanzeigen.de/s-anzeige/goya-430er-mast-90-carbon/2875483343-230-1158", "Link")</f>
        <v/>
      </c>
      <c r="K74" s="6">
        <f>HYPERLINK("C:\Projects\Kleinanzeigen-Scraper\offer_images\2875483343", "Link")</f>
        <v/>
      </c>
      <c r="L74" t="inlineStr">
        <is>
          <t>Charlie</t>
        </is>
      </c>
      <c r="M74" s="6">
        <f>HYPERLINK("https://www.kleinanzeigen.de/s-bestandsliste.html?userId=12517484", "Link")</f>
        <v/>
      </c>
      <c r="N74" s="7" t="n">
        <v>45562.73998842593</v>
      </c>
      <c r="O74" s="3" t="inlineStr">
        <is>
          <t>14.26</t>
        </is>
      </c>
      <c r="P74" t="inlineStr">
        <is>
          <t>Köln</t>
        </is>
      </c>
    </row>
    <row r="75">
      <c r="A75" t="inlineStr">
        <is>
          <t>Point 7 F100</t>
        </is>
      </c>
      <c r="B75" s="3" t="n">
        <v>460</v>
      </c>
      <c r="C75" s="8" t="inlineStr"/>
      <c r="D75" t="inlineStr">
        <is>
          <t>SDM</t>
        </is>
      </c>
      <c r="E75" s="4" t="n">
        <v>400</v>
      </c>
      <c r="F75" t="inlineStr"/>
      <c r="G75" t="inlineStr">
        <is>
          <t>71720 Oberstenfeld</t>
        </is>
      </c>
      <c r="H75" s="5" t="n">
        <v>45560</v>
      </c>
      <c r="I75" t="inlineStr">
        <is>
          <t>Sold</t>
        </is>
      </c>
      <c r="J75" s="6">
        <f>HYPERLINK("https://www.dailydose.de/kleinanzeigen/detail.htm?ai=423168&amp;cf=kk&amp;pg=1&amp;ci=2", "Link")</f>
        <v/>
      </c>
      <c r="K75" s="6">
        <f>HYPERLINK("C:\Projects\Kleinanzeigen-Scraper\offer_images\423168", "Link")</f>
        <v/>
      </c>
      <c r="L75" t="inlineStr">
        <is>
          <t>Tim Kr_79</t>
        </is>
      </c>
      <c r="M75" s="6">
        <f>HYPERLINK("https://www.dailydose.de/kleinanzeigen/user/23612", "Link")</f>
        <v/>
      </c>
      <c r="N75" s="7" t="n">
        <v>45561.68048611111</v>
      </c>
      <c r="O75" s="3" t="inlineStr">
        <is>
          <t>48.50</t>
        </is>
      </c>
      <c r="P75" t="inlineStr">
        <is>
          <t>Böblingen</t>
        </is>
      </c>
    </row>
    <row r="76">
      <c r="A76" t="inlineStr">
        <is>
          <t>Gun Sails Loop C 75</t>
        </is>
      </c>
      <c r="B76" s="3" t="n">
        <v>430</v>
      </c>
      <c r="C76" s="8" t="inlineStr"/>
      <c r="D76" t="inlineStr"/>
      <c r="E76" s="4" t="n">
        <v>35</v>
      </c>
      <c r="F76" t="inlineStr">
        <is>
          <t>VB</t>
        </is>
      </c>
      <c r="G76" t="inlineStr">
        <is>
          <t>22143 Hamburg</t>
        </is>
      </c>
      <c r="H76" s="5" t="n">
        <v>45560</v>
      </c>
      <c r="I76" t="inlineStr"/>
      <c r="J76" s="6">
        <f>HYPERLINK("https://www.dailydose.de/kleinanzeigen/detail.htm?ai=423190&amp;cf=kk&amp;pg=1&amp;ci=2", "Link")</f>
        <v/>
      </c>
      <c r="K76" s="6">
        <f>HYPERLINK("C:\Projects\Kleinanzeigen-Scraper\offer_images\423190", "Link")</f>
        <v/>
      </c>
      <c r="L76" t="inlineStr">
        <is>
          <t>JohannesHH</t>
        </is>
      </c>
      <c r="M76" s="6">
        <f>HYPERLINK("https://www.dailydose.de/kleinanzeigen/user/26449", "Link")</f>
        <v/>
      </c>
      <c r="N76" s="7" t="n">
        <v>45561.68004629629</v>
      </c>
      <c r="O76" s="3" t="inlineStr">
        <is>
          <t>368.45</t>
        </is>
      </c>
      <c r="P76" t="inlineStr">
        <is>
          <t>Köln</t>
        </is>
      </c>
    </row>
    <row r="77">
      <c r="A77" t="inlineStr">
        <is>
          <t>Neil Pryde Wave Pro</t>
        </is>
      </c>
      <c r="B77" s="3" t="n">
        <v>400</v>
      </c>
      <c r="C77" s="8" t="inlineStr">
        <is>
          <t>60%</t>
        </is>
      </c>
      <c r="D77" t="inlineStr">
        <is>
          <t>SDM</t>
        </is>
      </c>
      <c r="E77" s="4" t="n">
        <v>100</v>
      </c>
      <c r="F77" t="inlineStr"/>
      <c r="G77" t="inlineStr">
        <is>
          <t>26802 Moormerland</t>
        </is>
      </c>
      <c r="H77" s="5" t="n">
        <v>45560</v>
      </c>
      <c r="I77" t="inlineStr"/>
      <c r="J77" s="6">
        <f>HYPERLINK("https://www.dailydose.de/kleinanzeigen/detail.htm?ai=423187&amp;cf=kk&amp;pg=1&amp;ci=2", "Link")</f>
        <v/>
      </c>
      <c r="K77" s="6">
        <f>HYPERLINK("C:\Projects\Kleinanzeigen-Scraper\offer_images\423187", "Link")</f>
        <v/>
      </c>
      <c r="L77" t="inlineStr">
        <is>
          <t>Rainer Karl Lederle</t>
        </is>
      </c>
      <c r="M77" s="6">
        <f>HYPERLINK("https://www.dailydose.de/kleinanzeigen/user/19573", "Link")</f>
        <v/>
      </c>
      <c r="N77" s="7" t="n">
        <v>45561.67880787037</v>
      </c>
      <c r="O77" s="3" t="inlineStr">
        <is>
          <t>265.85</t>
        </is>
      </c>
      <c r="P77" t="inlineStr">
        <is>
          <t>Köln</t>
        </is>
      </c>
    </row>
    <row r="78">
      <c r="A78" t="inlineStr">
        <is>
          <t>Duotone Platinum Series</t>
        </is>
      </c>
      <c r="B78" s="3" t="n">
        <v>430</v>
      </c>
      <c r="C78" s="8" t="inlineStr">
        <is>
          <t>100%</t>
        </is>
      </c>
      <c r="D78" t="inlineStr">
        <is>
          <t>RDM</t>
        </is>
      </c>
      <c r="E78" s="4" t="n">
        <v>600</v>
      </c>
      <c r="F78" t="inlineStr"/>
      <c r="G78" t="inlineStr">
        <is>
          <t>88634 Herdwangen-Schönach</t>
        </is>
      </c>
      <c r="H78" s="5" t="n">
        <v>45560</v>
      </c>
      <c r="I78" t="inlineStr"/>
      <c r="J78" s="6">
        <f>HYPERLINK("https://www.dailydose.de/kleinanzeigen/detail.htm?ai=423181&amp;cf=kk&amp;pg=1&amp;ci=2", "Link")</f>
        <v/>
      </c>
      <c r="K78" s="6">
        <f>HYPERLINK("C:\Projects\Kleinanzeigen-Scraper\offer_images\423181", "Link")</f>
        <v/>
      </c>
      <c r="L78" t="inlineStr">
        <is>
          <t>IvanFrb</t>
        </is>
      </c>
      <c r="M78" s="6">
        <f>HYPERLINK("https://www.dailydose.de/kleinanzeigen/user/25918", "Link")</f>
        <v/>
      </c>
      <c r="N78" s="7" t="n">
        <v>45561.67822916667</v>
      </c>
      <c r="O78" s="3" t="inlineStr">
        <is>
          <t>62.58</t>
        </is>
      </c>
      <c r="P78" t="inlineStr">
        <is>
          <t>Bonndorf</t>
        </is>
      </c>
    </row>
    <row r="79">
      <c r="A79" t="inlineStr">
        <is>
          <t>Point 7 F100</t>
        </is>
      </c>
      <c r="B79" s="3" t="n">
        <v>490</v>
      </c>
      <c r="C79" s="8" t="inlineStr"/>
      <c r="D79" t="inlineStr">
        <is>
          <t>SDM</t>
        </is>
      </c>
      <c r="E79" s="4" t="n">
        <v>400</v>
      </c>
      <c r="F79" t="inlineStr"/>
      <c r="G79" t="inlineStr">
        <is>
          <t>71720 Oberstenfeld</t>
        </is>
      </c>
      <c r="H79" s="5" t="n">
        <v>45560</v>
      </c>
      <c r="I79" t="inlineStr">
        <is>
          <t>Sold</t>
        </is>
      </c>
      <c r="J79" s="6">
        <f>HYPERLINK("https://www.dailydose.de/kleinanzeigen/detail.htm?ai=423167&amp;cf=kk&amp;pg=1&amp;ci=2", "Link")</f>
        <v/>
      </c>
      <c r="K79" s="6">
        <f>HYPERLINK("C:\Projects\Kleinanzeigen-Scraper\offer_images\423167", "Link")</f>
        <v/>
      </c>
      <c r="L79" t="inlineStr">
        <is>
          <t>Tim Kr_79</t>
        </is>
      </c>
      <c r="M79" s="6">
        <f>HYPERLINK("https://www.dailydose.de/kleinanzeigen/user/23612", "Link")</f>
        <v/>
      </c>
      <c r="N79" s="7" t="n">
        <v>45561.67780092593</v>
      </c>
      <c r="O79" s="3" t="inlineStr">
        <is>
          <t>48.50</t>
        </is>
      </c>
      <c r="P79" t="inlineStr">
        <is>
          <t>Böblingen</t>
        </is>
      </c>
    </row>
    <row r="80">
      <c r="A80" t="inlineStr">
        <is>
          <t>Point7</t>
        </is>
      </c>
      <c r="B80" s="3" t="n">
        <v>400</v>
      </c>
      <c r="C80" s="8" t="inlineStr">
        <is>
          <t>100%</t>
        </is>
      </c>
      <c r="D80" t="inlineStr"/>
      <c r="E80" s="4" t="n">
        <v>300</v>
      </c>
      <c r="F80" t="inlineStr"/>
      <c r="G80" t="inlineStr">
        <is>
          <t>82467 Bayern - Garmisch-Partenkirchen</t>
        </is>
      </c>
      <c r="H80" s="5" t="n">
        <v>45561</v>
      </c>
      <c r="I80" t="inlineStr">
        <is>
          <t>Sold</t>
        </is>
      </c>
      <c r="J80" s="6">
        <f>HYPERLINK("https://www.kleinanzeigen.de/s-anzeige/surfmast-point7-100-400cm/2874313572-230-6338", "Link")</f>
        <v/>
      </c>
      <c r="K80" s="6">
        <f>HYPERLINK("C:\Projects\Kleinanzeigen-Scraper\offer_images\2874313572", "Link")</f>
        <v/>
      </c>
      <c r="L80" t="inlineStr">
        <is>
          <t>Stephan</t>
        </is>
      </c>
      <c r="M80" s="6">
        <f>HYPERLINK("https://www.kleinanzeigen.de/s-bestandsliste.html?userId=24549656", "Link")</f>
        <v/>
      </c>
      <c r="N80" s="7" t="n">
        <v>45561.67527777778</v>
      </c>
      <c r="O80" s="3" t="inlineStr">
        <is>
          <t>80.76</t>
        </is>
      </c>
      <c r="P80" t="inlineStr">
        <is>
          <t>München</t>
        </is>
      </c>
    </row>
    <row r="81">
      <c r="A81" t="inlineStr">
        <is>
          <t>Naish Foil</t>
        </is>
      </c>
      <c r="B81" s="3" t="n">
        <v>85</v>
      </c>
      <c r="C81" s="8" t="inlineStr"/>
      <c r="D81" t="inlineStr"/>
      <c r="E81" s="4" t="n">
        <v>349</v>
      </c>
      <c r="F81" t="inlineStr">
        <is>
          <t>VB</t>
        </is>
      </c>
      <c r="G81" t="inlineStr">
        <is>
          <t>26125 Niedersachsen - Oldenburg</t>
        </is>
      </c>
      <c r="H81" s="5" t="n">
        <v>45561</v>
      </c>
      <c r="I81" t="inlineStr"/>
      <c r="J81" s="6">
        <f>HYPERLINK("https://www.kleinanzeigen.de/s-anzeige/naish-foil-foil-mast-alloy-2023-85-cm/2874552103-230-3111", "Link")</f>
        <v/>
      </c>
      <c r="K81" s="6">
        <f>HYPERLINK("C:\Projects\Kleinanzeigen-Scraper\offer_images\2874552103", "Link")</f>
        <v/>
      </c>
      <c r="L81" t="inlineStr">
        <is>
          <t>No user name</t>
        </is>
      </c>
      <c r="M81" s="6">
        <f>HYPERLINK("https://www.kleinanzeigen.deNo user link", "Link")</f>
        <v/>
      </c>
      <c r="N81" s="7" t="n">
        <v>45561.67349537037</v>
      </c>
      <c r="O81" s="3" t="inlineStr">
        <is>
          <t>264.10</t>
        </is>
      </c>
      <c r="P81" t="inlineStr">
        <is>
          <t>Köln</t>
        </is>
      </c>
    </row>
    <row r="82">
      <c r="A82" t="inlineStr">
        <is>
          <t>Naish Foil S26</t>
        </is>
      </c>
      <c r="B82" s="3" t="n">
        <v>95</v>
      </c>
      <c r="C82" s="8" t="inlineStr"/>
      <c r="D82" t="inlineStr"/>
      <c r="E82" s="4" t="n">
        <v>309</v>
      </c>
      <c r="F82" t="inlineStr">
        <is>
          <t>VB</t>
        </is>
      </c>
      <c r="G82" t="inlineStr">
        <is>
          <t>26125 Niedersachsen - Oldenburg</t>
        </is>
      </c>
      <c r="H82" s="5" t="n">
        <v>45561</v>
      </c>
      <c r="I82" t="inlineStr"/>
      <c r="J82" s="6">
        <f>HYPERLINK("https://www.kleinanzeigen.de/s-anzeige/naish-foil-s26-foil-mast-alu-deeptuttle-2023-95cm/2874552320-230-3111", "Link")</f>
        <v/>
      </c>
      <c r="K82" s="6">
        <f>HYPERLINK("C:\Projects\Kleinanzeigen-Scraper\offer_images\2874552320", "Link")</f>
        <v/>
      </c>
      <c r="L82" t="inlineStr">
        <is>
          <t>No user name</t>
        </is>
      </c>
      <c r="M82" s="6">
        <f>HYPERLINK("https://www.kleinanzeigen.deNo user link", "Link")</f>
        <v/>
      </c>
      <c r="N82" s="7" t="n">
        <v>45561.66921296297</v>
      </c>
      <c r="O82" s="3" t="inlineStr">
        <is>
          <t>264.10</t>
        </is>
      </c>
      <c r="P82" t="inlineStr">
        <is>
          <t>Köln</t>
        </is>
      </c>
    </row>
    <row r="83">
      <c r="A83" t="inlineStr">
        <is>
          <t>Duotone UNI.XT</t>
        </is>
      </c>
      <c r="B83" s="3" t="n">
        <v>36</v>
      </c>
      <c r="C83" s="8" t="inlineStr"/>
      <c r="D83" t="inlineStr">
        <is>
          <t>RDM</t>
        </is>
      </c>
      <c r="E83" s="4" t="n">
        <v>100</v>
      </c>
      <c r="F83" t="inlineStr">
        <is>
          <t>VB</t>
        </is>
      </c>
      <c r="G83" t="inlineStr">
        <is>
          <t>80469 Ludwigsvorstadt-Isarvorstadt - Isarvorstadt</t>
        </is>
      </c>
      <c r="H83" s="5" t="n">
        <v>45560</v>
      </c>
      <c r="I83" t="inlineStr"/>
      <c r="J83" s="6">
        <f>HYPERLINK("https://www.kleinanzeigen.de/s-anzeige/duotone-uni-xt-rdm-36-verlaengerung-neu-windsurfen/2874008010-230-6434", "Link")</f>
        <v/>
      </c>
      <c r="K83" s="6">
        <f>HYPERLINK("C:\Projects\Kleinanzeigen-Scraper\offer_images\2874008010", "Link")</f>
        <v/>
      </c>
      <c r="L83" t="inlineStr">
        <is>
          <t>Jan</t>
        </is>
      </c>
      <c r="M83" s="6">
        <f>HYPERLINK("https://www.kleinanzeigen.de/s-bestandsliste.html?userId=31343566", "Link")</f>
        <v/>
      </c>
      <c r="N83" s="7" t="n">
        <v>45561.66892361111</v>
      </c>
      <c r="O83" s="3" t="inlineStr">
        <is>
          <t>0.84</t>
        </is>
      </c>
      <c r="P83" t="inlineStr">
        <is>
          <t>München</t>
        </is>
      </c>
    </row>
    <row r="84">
      <c r="A84" t="inlineStr">
        <is>
          <t>Caas Power WAVE</t>
        </is>
      </c>
      <c r="B84" s="3" t="n">
        <v>400</v>
      </c>
      <c r="C84" s="8" t="inlineStr">
        <is>
          <t>100%</t>
        </is>
      </c>
      <c r="D84" t="inlineStr">
        <is>
          <t>RDM</t>
        </is>
      </c>
      <c r="E84" s="4" t="n">
        <v>290</v>
      </c>
      <c r="F84" t="inlineStr"/>
      <c r="G84" t="inlineStr">
        <is>
          <t>8402 Werndorf</t>
        </is>
      </c>
      <c r="H84" s="5" t="n">
        <v>45559</v>
      </c>
      <c r="I84" t="inlineStr"/>
      <c r="J84" s="6">
        <f>HYPERLINK("https://www.dailydose.de/kleinanzeigen/detail.htm?ai=423088&amp;cf=kk&amp;pg=2&amp;ci=2", "Link")</f>
        <v/>
      </c>
      <c r="K84" s="6">
        <f>HYPERLINK("C:\Projects\Kleinanzeigen-Scraper\offer_images\423088", "Link")</f>
        <v/>
      </c>
      <c r="L84" t="inlineStr">
        <is>
          <t>Mario_117</t>
        </is>
      </c>
      <c r="M84" s="6">
        <f>HYPERLINK("https://www.dailydose.de/kleinanzeigen/user/16485", "Link")</f>
        <v/>
      </c>
      <c r="N84" s="7" t="n">
        <v>45559.88418981482</v>
      </c>
      <c r="O84" s="3" t="inlineStr">
        <is>
          <t>322.78</t>
        </is>
      </c>
      <c r="P84" t="inlineStr">
        <is>
          <t>München</t>
        </is>
      </c>
    </row>
    <row r="85">
      <c r="A85" t="inlineStr">
        <is>
          <t>Gunsails Select</t>
        </is>
      </c>
      <c r="B85" s="3" t="n">
        <v>430</v>
      </c>
      <c r="C85" s="8" t="inlineStr">
        <is>
          <t>100%</t>
        </is>
      </c>
      <c r="D85" t="inlineStr">
        <is>
          <t>RDM</t>
        </is>
      </c>
      <c r="E85" s="4" t="n">
        <v>359</v>
      </c>
      <c r="F85" t="inlineStr"/>
      <c r="G85" t="inlineStr">
        <is>
          <t>66839 Schmelz</t>
        </is>
      </c>
      <c r="H85" s="5" t="n">
        <v>45559</v>
      </c>
      <c r="I85" t="inlineStr"/>
      <c r="J85" s="6">
        <f>HYPERLINK("https://www.dailydose.de/kleinanzeigen/detail.htm?ai=423128&amp;cf=kk&amp;pg=1&amp;ci=2", "Link")</f>
        <v/>
      </c>
      <c r="K85" s="6">
        <f>HYPERLINK("C:\Projects\Kleinanzeigen-Scraper\offer_images\423128", "Link")</f>
        <v/>
      </c>
      <c r="L85" t="inlineStr">
        <is>
          <t>Jummi</t>
        </is>
      </c>
      <c r="M85" s="6">
        <f>HYPERLINK("https://www.dailydose.de/kleinanzeigen/user/11132", "Link")</f>
        <v/>
      </c>
      <c r="N85" s="7" t="n">
        <v>45559.88364583333</v>
      </c>
      <c r="O85" s="3" t="inlineStr">
        <is>
          <t>122.28</t>
        </is>
      </c>
      <c r="P85" t="inlineStr">
        <is>
          <t>Karlsruhe</t>
        </is>
      </c>
    </row>
    <row r="86">
      <c r="A86" t="inlineStr">
        <is>
          <t>North Exellerator Viper Race</t>
        </is>
      </c>
      <c r="B86" s="3" t="n">
        <v>490</v>
      </c>
      <c r="C86" s="8" t="inlineStr">
        <is>
          <t>100%</t>
        </is>
      </c>
      <c r="D86" t="inlineStr"/>
      <c r="E86" s="4" t="n">
        <v>175</v>
      </c>
      <c r="F86" t="inlineStr">
        <is>
          <t>VB</t>
        </is>
      </c>
      <c r="G86" t="inlineStr">
        <is>
          <t>25489 Haselau</t>
        </is>
      </c>
      <c r="H86" s="5" t="n">
        <v>45559</v>
      </c>
      <c r="I86" t="inlineStr"/>
      <c r="J86" s="6">
        <f>HYPERLINK("https://www.dailydose.de/kleinanzeigen/detail.htm?ai=423098&amp;cf=kk&amp;pg=2&amp;ci=2", "Link")</f>
        <v/>
      </c>
      <c r="K86" s="6">
        <f>HYPERLINK("C:\Projects\Kleinanzeigen-Scraper\offer_images\423098", "Link")</f>
        <v/>
      </c>
      <c r="L86" t="inlineStr">
        <is>
          <t>werner_53</t>
        </is>
      </c>
      <c r="M86" s="6">
        <f>HYPERLINK("https://www.dailydose.de/kleinanzeigen/user/24738", "Link")</f>
        <v/>
      </c>
      <c r="N86" s="7" t="n">
        <v>45559.88357638889</v>
      </c>
      <c r="O86" s="3" t="inlineStr">
        <is>
          <t>349.68</t>
        </is>
      </c>
      <c r="P86" t="inlineStr">
        <is>
          <t>Köln</t>
        </is>
      </c>
    </row>
    <row r="87">
      <c r="A87" t="inlineStr">
        <is>
          <t>GA Sails</t>
        </is>
      </c>
      <c r="B87" s="3" t="n">
        <v>400</v>
      </c>
      <c r="C87" s="8" t="inlineStr">
        <is>
          <t>100%</t>
        </is>
      </c>
      <c r="D87" t="inlineStr">
        <is>
          <t>SDM</t>
        </is>
      </c>
      <c r="E87" s="4" t="n">
        <v>399</v>
      </c>
      <c r="F87" t="inlineStr">
        <is>
          <t>VB</t>
        </is>
      </c>
      <c r="G87" t="inlineStr">
        <is>
          <t>24943 Flensburg</t>
        </is>
      </c>
      <c r="H87" s="5" t="n">
        <v>45559</v>
      </c>
      <c r="I87" t="inlineStr"/>
      <c r="J87" s="6">
        <f>HYPERLINK("https://www.dailydose.de/kleinanzeigen/detail.htm?ai=423105&amp;cf=kk&amp;pg=1&amp;ci=2", "Link")</f>
        <v/>
      </c>
      <c r="K87" s="6">
        <f>HYPERLINK("C:\Projects\Kleinanzeigen-Scraper\offer_images\423105", "Link")</f>
        <v/>
      </c>
      <c r="L87" t="inlineStr">
        <is>
          <t>Studti</t>
        </is>
      </c>
      <c r="M87" s="6">
        <f>HYPERLINK("https://www.dailydose.de/kleinanzeigen/user/4906", "Link")</f>
        <v/>
      </c>
      <c r="N87" s="7" t="n">
        <v>45559.88354166667</v>
      </c>
      <c r="O87" s="3" t="inlineStr">
        <is>
          <t>459.78</t>
        </is>
      </c>
      <c r="P87" t="inlineStr">
        <is>
          <t>Köln</t>
        </is>
      </c>
    </row>
    <row r="88">
      <c r="A88" t="inlineStr">
        <is>
          <t>RRD Dynamic Pro</t>
        </is>
      </c>
      <c r="B88" s="3" t="n">
        <v>400</v>
      </c>
      <c r="C88" s="8" t="inlineStr">
        <is>
          <t>100%</t>
        </is>
      </c>
      <c r="D88" t="inlineStr">
        <is>
          <t>RDM</t>
        </is>
      </c>
      <c r="E88" s="4" t="n">
        <v>280</v>
      </c>
      <c r="F88" t="inlineStr"/>
      <c r="G88" t="inlineStr">
        <is>
          <t>58540 Sauerland -NRW</t>
        </is>
      </c>
      <c r="H88" s="5" t="n">
        <v>45558</v>
      </c>
      <c r="I88" t="inlineStr">
        <is>
          <t>Sold</t>
        </is>
      </c>
      <c r="J88" s="6">
        <f>HYPERLINK("https://www.dailydose.de/kleinanzeigen/detail.htm?ai=423085&amp;cf=kk&amp;pg=1&amp;ci=2", "Link")</f>
        <v/>
      </c>
      <c r="K88" s="6">
        <f>HYPERLINK("C:\Projects\Kleinanzeigen-Scraper\offer_images\423085", "Link")</f>
        <v/>
      </c>
      <c r="L88" t="inlineStr">
        <is>
          <t>tivitac</t>
        </is>
      </c>
      <c r="M88" s="6">
        <f>HYPERLINK("https://www.dailydose.de/kleinanzeigen/user/1938", "Link")</f>
        <v/>
      </c>
      <c r="N88" s="7" t="n">
        <v>45559.88322916667</v>
      </c>
      <c r="O88" s="3" t="inlineStr">
        <is>
          <t>56.25</t>
        </is>
      </c>
      <c r="P88" t="inlineStr">
        <is>
          <t>Köln</t>
        </is>
      </c>
    </row>
    <row r="89">
      <c r="A89" t="inlineStr">
        <is>
          <t>NeilPryde SPX65</t>
        </is>
      </c>
      <c r="B89" s="3" t="n">
        <v>370</v>
      </c>
      <c r="C89" s="8" t="inlineStr">
        <is>
          <t>65%</t>
        </is>
      </c>
      <c r="D89" t="inlineStr">
        <is>
          <t>SDM</t>
        </is>
      </c>
      <c r="E89" s="4" t="n">
        <v>1</v>
      </c>
      <c r="F89" t="inlineStr"/>
      <c r="G89" t="inlineStr">
        <is>
          <t>88634 Herdwangen-Schönach</t>
        </is>
      </c>
      <c r="H89" s="5" t="n">
        <v>45558</v>
      </c>
      <c r="I89" t="inlineStr"/>
      <c r="J89" s="6">
        <f>HYPERLINK("https://www.dailydose.de/kleinanzeigen/detail.htm?ai=423078&amp;cf=kk&amp;pg=2&amp;ci=2", "Link")</f>
        <v/>
      </c>
      <c r="K89" s="6">
        <f>HYPERLINK("C:\Projects\Kleinanzeigen-Scraper\offer_images\423078", "Link")</f>
        <v/>
      </c>
      <c r="L89" t="inlineStr">
        <is>
          <t>IvanFrb</t>
        </is>
      </c>
      <c r="M89" s="6">
        <f>HYPERLINK("https://www.dailydose.de/kleinanzeigen/user/25918", "Link")</f>
        <v/>
      </c>
      <c r="N89" s="7" t="n">
        <v>45559.88261574074</v>
      </c>
      <c r="O89" s="3" t="inlineStr">
        <is>
          <t>62.58</t>
        </is>
      </c>
      <c r="P89" t="inlineStr">
        <is>
          <t>Bonndorf</t>
        </is>
      </c>
    </row>
    <row r="90">
      <c r="A90" t="inlineStr">
        <is>
          <t>GUNSAILS RDM Expert</t>
        </is>
      </c>
      <c r="B90" s="3" t="n">
        <v>400</v>
      </c>
      <c r="C90" s="8" t="inlineStr"/>
      <c r="D90" t="inlineStr">
        <is>
          <t>RDM</t>
        </is>
      </c>
      <c r="E90" s="4" t="n">
        <v>260</v>
      </c>
      <c r="F90" t="inlineStr"/>
      <c r="G90" t="inlineStr">
        <is>
          <t>Kiel, HH, DK</t>
        </is>
      </c>
      <c r="H90" s="5" t="n">
        <v>45559</v>
      </c>
      <c r="I90" t="inlineStr"/>
      <c r="J90" s="6">
        <f>HYPERLINK("https://www.dailydose.de/kleinanzeigen/detail.htm?ai=423106&amp;cf=kk&amp;pg=1&amp;ci=2", "Link")</f>
        <v/>
      </c>
      <c r="K90" s="6">
        <f>HYPERLINK("C:\Projects\Kleinanzeigen-Scraper\offer_images\423106", "Link")</f>
        <v/>
      </c>
      <c r="L90" t="inlineStr">
        <is>
          <t>Strand</t>
        </is>
      </c>
      <c r="M90" s="6">
        <f>HYPERLINK("https://www.dailydose.de/kleinanzeigen/user/2078", "Link")</f>
        <v/>
      </c>
      <c r="N90" s="7" t="n">
        <v>45559.88173611111</v>
      </c>
      <c r="O90" s="3" t="inlineStr">
        <is>
          <t>435.55</t>
        </is>
      </c>
      <c r="P90" t="inlineStr">
        <is>
          <t>Köln</t>
        </is>
      </c>
    </row>
    <row r="91">
      <c r="A91" t="inlineStr">
        <is>
          <t>Xenon</t>
        </is>
      </c>
      <c r="B91" s="3" t="n">
        <v>400</v>
      </c>
      <c r="C91" s="8" t="inlineStr">
        <is>
          <t>100%</t>
        </is>
      </c>
      <c r="D91" t="inlineStr"/>
      <c r="E91" s="4" t="n">
        <v>125</v>
      </c>
      <c r="F91" t="inlineStr">
        <is>
          <t>VB</t>
        </is>
      </c>
      <c r="G91" t="inlineStr">
        <is>
          <t>25489 Haselau</t>
        </is>
      </c>
      <c r="H91" s="5" t="n">
        <v>45559</v>
      </c>
      <c r="I91" t="inlineStr"/>
      <c r="J91" s="6">
        <f>HYPERLINK("https://www.dailydose.de/kleinanzeigen/detail.htm?ai=423099&amp;cf=kk&amp;pg=2&amp;ci=2", "Link")</f>
        <v/>
      </c>
      <c r="K91" s="6">
        <f>HYPERLINK("C:\Projects\Kleinanzeigen-Scraper\offer_images\423099", "Link")</f>
        <v/>
      </c>
      <c r="L91" t="inlineStr">
        <is>
          <t>werner_53</t>
        </is>
      </c>
      <c r="M91" s="6">
        <f>HYPERLINK("https://www.dailydose.de/kleinanzeigen/user/24738", "Link")</f>
        <v/>
      </c>
      <c r="N91" s="7" t="n">
        <v>45559.88131944444</v>
      </c>
      <c r="O91" s="3" t="inlineStr">
        <is>
          <t>349.68</t>
        </is>
      </c>
      <c r="P91" t="inlineStr">
        <is>
          <t>Köln</t>
        </is>
      </c>
    </row>
    <row r="92">
      <c r="A92" t="inlineStr">
        <is>
          <t>Gun Sails Terminator C 100</t>
        </is>
      </c>
      <c r="B92" s="3" t="n">
        <v>460</v>
      </c>
      <c r="C92" s="8" t="inlineStr">
        <is>
          <t>100%</t>
        </is>
      </c>
      <c r="D92" t="inlineStr">
        <is>
          <t>SDM</t>
        </is>
      </c>
      <c r="E92" s="4" t="n">
        <v>100</v>
      </c>
      <c r="F92" t="inlineStr"/>
      <c r="G92" t="inlineStr">
        <is>
          <t>46499 Nordrhein-Westfalen - Hamminkeln</t>
        </is>
      </c>
      <c r="H92" s="5" t="n">
        <v>45559</v>
      </c>
      <c r="I92" t="inlineStr">
        <is>
          <t>Sold</t>
        </is>
      </c>
      <c r="J92" s="6">
        <f>HYPERLINK("https://www.kleinanzeigen.de/s-anzeige/gun-sails-carbonmast-460-cm/2873027653-230-1386", "Link")</f>
        <v/>
      </c>
      <c r="K92" s="6">
        <f>HYPERLINK("C:\Projects\Kleinanzeigen-Scraper\offer_images\2873027653", "Link")</f>
        <v/>
      </c>
      <c r="L92" t="inlineStr">
        <is>
          <t>privater Anbieter</t>
        </is>
      </c>
      <c r="M92" s="6">
        <f>HYPERLINK("https://www.kleinanzeigen.de/s-bestandsliste.html?userId=3623707", "Link")</f>
        <v/>
      </c>
      <c r="N92" s="7" t="n">
        <v>45559.88104166667</v>
      </c>
      <c r="O92" s="3" t="inlineStr">
        <is>
          <t>90.67</t>
        </is>
      </c>
      <c r="P92" t="inlineStr">
        <is>
          <t>Köln</t>
        </is>
      </c>
    </row>
    <row r="93">
      <c r="A93" t="inlineStr">
        <is>
          <t>North Exellerator Viper Race</t>
        </is>
      </c>
      <c r="B93" s="3" t="n">
        <v>490</v>
      </c>
      <c r="C93" s="8" t="inlineStr">
        <is>
          <t>100%</t>
        </is>
      </c>
      <c r="D93" t="inlineStr"/>
      <c r="E93" s="4" t="n">
        <v>175</v>
      </c>
      <c r="F93" t="inlineStr">
        <is>
          <t>VB</t>
        </is>
      </c>
      <c r="G93" t="inlineStr">
        <is>
          <t>25436 Kreis Pinneberg - Uetersen</t>
        </is>
      </c>
      <c r="H93" s="5" t="n">
        <v>45559</v>
      </c>
      <c r="I93" t="inlineStr"/>
      <c r="J93" s="6">
        <f>HYPERLINK("https://www.kleinanzeigen.de/s-anzeige/north-exellerator-viper-race-100-carbon-490-cm-windsurf-mast/2872437398-230-622", "Link")</f>
        <v/>
      </c>
      <c r="K93" s="6">
        <f>HYPERLINK("C:\Projects\Kleinanzeigen-Scraper\offer_images\2872437398", "Link")</f>
        <v/>
      </c>
      <c r="L93" t="inlineStr">
        <is>
          <t>Werner Marckmann</t>
        </is>
      </c>
      <c r="M93" s="6">
        <f>HYPERLINK("https://www.kleinanzeigen.de/s-bestandsliste.html?userId=9276219", "Link")</f>
        <v/>
      </c>
      <c r="N93" s="7" t="n">
        <v>45559.87972222222</v>
      </c>
      <c r="O93" s="3" t="inlineStr">
        <is>
          <t>356.69</t>
        </is>
      </c>
      <c r="P93" t="inlineStr">
        <is>
          <t>Köln</t>
        </is>
      </c>
    </row>
    <row r="94">
      <c r="A94" t="inlineStr">
        <is>
          <t>NeilPryde SPX65</t>
        </is>
      </c>
      <c r="B94" s="3" t="n">
        <v>370</v>
      </c>
      <c r="C94" s="8" t="inlineStr">
        <is>
          <t>65%</t>
        </is>
      </c>
      <c r="D94" t="inlineStr">
        <is>
          <t>SDM</t>
        </is>
      </c>
      <c r="E94" s="4" t="n">
        <v>1</v>
      </c>
      <c r="F94" t="inlineStr"/>
      <c r="G94" t="inlineStr">
        <is>
          <t>88634 Baden-Württemberg - Herdwangen-Schönach</t>
        </is>
      </c>
      <c r="H94" s="5" t="n">
        <v>45558</v>
      </c>
      <c r="I94" t="inlineStr"/>
      <c r="J94" s="6">
        <f>HYPERLINK("https://www.kleinanzeigen.de/s-anzeige/-tausche-neilpryde-370-cm-gegen-duotone-silver-gold-/2872203149-230-9210", "Link")</f>
        <v/>
      </c>
      <c r="K94" s="6">
        <f>HYPERLINK("C:\Projects\Kleinanzeigen-Scraper\offer_images\2872203149", "Link")</f>
        <v/>
      </c>
      <c r="L94" t="inlineStr">
        <is>
          <t>IvanFRB</t>
        </is>
      </c>
      <c r="M94" s="6">
        <f>HYPERLINK("https://www.kleinanzeigen.de/s-bestandsliste.html?userId=136742388", "Link")</f>
        <v/>
      </c>
      <c r="N94" s="7" t="n">
        <v>45559.87935185185</v>
      </c>
      <c r="O94" s="3" t="inlineStr">
        <is>
          <t>62.58</t>
        </is>
      </c>
      <c r="P94" t="inlineStr">
        <is>
          <t>Bonndorf</t>
        </is>
      </c>
    </row>
    <row r="95">
      <c r="A95" t="inlineStr">
        <is>
          <t>Gaastra</t>
        </is>
      </c>
      <c r="B95" s="3" t="inlineStr">
        <is>
          <t>430, 400</t>
        </is>
      </c>
      <c r="C95" s="8" t="inlineStr">
        <is>
          <t>75%</t>
        </is>
      </c>
      <c r="D95" t="inlineStr">
        <is>
          <t>RDM</t>
        </is>
      </c>
      <c r="E95" s="4" t="n">
        <v>140</v>
      </c>
      <c r="F95" t="inlineStr"/>
      <c r="G95" t="inlineStr">
        <is>
          <t>31275 Niedersachsen - Lehrte</t>
        </is>
      </c>
      <c r="H95" s="5" t="n">
        <v>45558</v>
      </c>
      <c r="I95" t="inlineStr">
        <is>
          <t>Sold</t>
        </is>
      </c>
      <c r="J95" s="6">
        <f>HYPERLINK("https://www.kleinanzeigen.de/s-anzeige/surf-mast-ga-sails-gaastra-430-rdm-75-carbon/2872165951-230-2910", "Link")</f>
        <v/>
      </c>
      <c r="K95" s="6">
        <f>HYPERLINK("C:\Projects\Kleinanzeigen-Scraper\offer_images\2872165951", "Link")</f>
        <v/>
      </c>
      <c r="L95" t="inlineStr">
        <is>
          <t>Jan Kramer</t>
        </is>
      </c>
      <c r="M95" s="6">
        <f>HYPERLINK("https://www.kleinanzeigen.de/s-bestandsliste.html?userId=10217806", "Link")</f>
        <v/>
      </c>
      <c r="N95" s="7" t="n">
        <v>45559.8779050926</v>
      </c>
      <c r="O95" s="3" t="inlineStr">
        <is>
          <t>265.47</t>
        </is>
      </c>
      <c r="P95" t="inlineStr">
        <is>
          <t>Köln</t>
        </is>
      </c>
    </row>
    <row r="96">
      <c r="A96" t="inlineStr">
        <is>
          <t>Gun Sails RDM Classic</t>
        </is>
      </c>
      <c r="B96" s="3" t="n">
        <v>300</v>
      </c>
      <c r="C96" s="8" t="inlineStr"/>
      <c r="D96" t="inlineStr">
        <is>
          <t>RDM</t>
        </is>
      </c>
      <c r="E96" s="4" t="n">
        <v>45</v>
      </c>
      <c r="F96" t="inlineStr">
        <is>
          <t>VB</t>
        </is>
      </c>
      <c r="G96" t="inlineStr">
        <is>
          <t>32584 Nordrhein-Westfalen - Löhne</t>
        </is>
      </c>
      <c r="H96" s="5" t="n">
        <v>45559</v>
      </c>
      <c r="I96" t="inlineStr">
        <is>
          <t>Sold</t>
        </is>
      </c>
      <c r="J96" s="6">
        <f>HYPERLINK("https://www.kleinanzeigen.de/s-anzeige/gun-sails-mastverlaengerung-rdm-classic-300-mm/2872966074-230-1220", "Link")</f>
        <v/>
      </c>
      <c r="K96" s="6">
        <f>HYPERLINK("C:\Projects\Kleinanzeigen-Scraper\offer_images\2872966074", "Link")</f>
        <v/>
      </c>
      <c r="L96" t="inlineStr">
        <is>
          <t>Farina Nordieker</t>
        </is>
      </c>
      <c r="M96" s="6">
        <f>HYPERLINK("https://www.kleinanzeigen.de/s-bestandsliste.html?userId=37733210", "Link")</f>
        <v/>
      </c>
      <c r="N96" s="7" t="n">
        <v>45559.87688657407</v>
      </c>
      <c r="O96" s="3" t="inlineStr">
        <is>
          <t>185.89</t>
        </is>
      </c>
      <c r="P96" t="inlineStr">
        <is>
          <t>Köln</t>
        </is>
      </c>
    </row>
    <row r="97">
      <c r="A97" t="inlineStr">
        <is>
          <t>HiFly</t>
        </is>
      </c>
      <c r="B97" s="3" t="n">
        <v>460</v>
      </c>
      <c r="C97" s="8" t="inlineStr"/>
      <c r="D97" t="inlineStr">
        <is>
          <t>SDM</t>
        </is>
      </c>
      <c r="E97" s="4" t="n">
        <v>50</v>
      </c>
      <c r="F97" t="inlineStr"/>
      <c r="G97" t="inlineStr">
        <is>
          <t>25355 Kreis Pinneberg - Barmstedt</t>
        </is>
      </c>
      <c r="H97" s="5" t="n">
        <v>45559</v>
      </c>
      <c r="I97" t="inlineStr"/>
      <c r="J97" s="6">
        <f>HYPERLINK("https://www.kleinanzeigen.de/s-anzeige/hifly-sdm-mast-460-cm-windsurfen-no-gaastra-duotone-neilpryde/2872981772-230-16677", "Link")</f>
        <v/>
      </c>
      <c r="K97" s="6">
        <f>HYPERLINK("C:\Projects\Kleinanzeigen-Scraper\offer_images\2872981772", "Link")</f>
        <v/>
      </c>
      <c r="L97" t="inlineStr">
        <is>
          <t>Hansi</t>
        </is>
      </c>
      <c r="M97" s="6">
        <f>HYPERLINK("https://www.kleinanzeigen.de/s-bestandsliste.html?userId=73580626", "Link")</f>
        <v/>
      </c>
      <c r="N97" s="7" t="n">
        <v>45559.87638888889</v>
      </c>
      <c r="O97" s="3" t="inlineStr">
        <is>
          <t>371.91</t>
        </is>
      </c>
      <c r="P97" t="inlineStr">
        <is>
          <t>Köln</t>
        </is>
      </c>
    </row>
    <row r="98">
      <c r="A98" t="inlineStr">
        <is>
          <t>Gaastra</t>
        </is>
      </c>
      <c r="B98" s="3" t="n">
        <v>400</v>
      </c>
      <c r="C98" s="8" t="inlineStr"/>
      <c r="D98" t="inlineStr">
        <is>
          <t>SDM</t>
        </is>
      </c>
      <c r="E98" s="4" t="n">
        <v>50</v>
      </c>
      <c r="F98" t="inlineStr"/>
      <c r="G98" t="inlineStr">
        <is>
          <t>25355 Kreis Pinneberg - Barmstedt</t>
        </is>
      </c>
      <c r="H98" s="5" t="n">
        <v>45559</v>
      </c>
      <c r="I98" t="inlineStr"/>
      <c r="J98" s="6">
        <f>HYPERLINK("https://www.kleinanzeigen.de/s-anzeige/gaastra-sdm-mast-400-cm-windsurfen-no-neilpryde-sailloft-duotone/2872985006-230-16677", "Link")</f>
        <v/>
      </c>
      <c r="K98" s="6">
        <f>HYPERLINK("C:\Projects\Kleinanzeigen-Scraper\offer_images\2872985006", "Link")</f>
        <v/>
      </c>
      <c r="L98" t="inlineStr">
        <is>
          <t>Hansi</t>
        </is>
      </c>
      <c r="M98" s="6">
        <f>HYPERLINK("https://www.kleinanzeigen.de/s-bestandsliste.html?userId=73580626", "Link")</f>
        <v/>
      </c>
      <c r="N98" s="7" t="n">
        <v>45559.87636574074</v>
      </c>
      <c r="O98" s="3" t="inlineStr">
        <is>
          <t>371.91</t>
        </is>
      </c>
      <c r="P98" t="inlineStr">
        <is>
          <t>Köln</t>
        </is>
      </c>
    </row>
    <row r="99">
      <c r="A99" t="inlineStr">
        <is>
          <t>STX C40</t>
        </is>
      </c>
      <c r="B99" s="3" t="n">
        <v>490</v>
      </c>
      <c r="C99" s="8" t="inlineStr">
        <is>
          <t>40%</t>
        </is>
      </c>
      <c r="D99" t="inlineStr"/>
      <c r="E99" s="4" t="n">
        <v>90</v>
      </c>
      <c r="F99" t="inlineStr">
        <is>
          <t>VB</t>
        </is>
      </c>
      <c r="G99" t="inlineStr">
        <is>
          <t>30982 Niedersachsen - Pattensen</t>
        </is>
      </c>
      <c r="H99" s="5" t="n">
        <v>45558</v>
      </c>
      <c r="I99" t="inlineStr"/>
      <c r="J99" s="6">
        <f>HYPERLINK("https://www.kleinanzeigen.de/s-anzeige/mast-490-windsurfen-stx-c40/2872145732-230-2898", "Link")</f>
        <v/>
      </c>
      <c r="K99" s="6">
        <f>HYPERLINK("C:\Projects\Kleinanzeigen-Scraper\offer_images\2872145732", "Link")</f>
        <v/>
      </c>
      <c r="L99" t="inlineStr">
        <is>
          <t>Anbieter</t>
        </is>
      </c>
      <c r="M99" s="6">
        <f>HYPERLINK("https://www.kleinanzeigen.de/s-bestandsliste.html?userId=7822495", "Link")</f>
        <v/>
      </c>
      <c r="N99" s="7" t="n">
        <v>45559.87434027778</v>
      </c>
      <c r="O99" s="3" t="inlineStr">
        <is>
          <t>241.72</t>
        </is>
      </c>
      <c r="P99" t="inlineStr">
        <is>
          <t>Köln</t>
        </is>
      </c>
    </row>
    <row r="100">
      <c r="A100" t="inlineStr">
        <is>
          <t>Xenon</t>
        </is>
      </c>
      <c r="B100" s="3" t="n">
        <v>400</v>
      </c>
      <c r="C100" s="8" t="inlineStr">
        <is>
          <t>100%</t>
        </is>
      </c>
      <c r="D100" t="inlineStr"/>
      <c r="E100" s="4" t="n">
        <v>125</v>
      </c>
      <c r="F100" t="inlineStr">
        <is>
          <t>VB</t>
        </is>
      </c>
      <c r="G100" t="inlineStr">
        <is>
          <t>25436 Kreis Pinneberg - Uetersen</t>
        </is>
      </c>
      <c r="H100" s="5" t="n">
        <v>45559</v>
      </c>
      <c r="I100" t="inlineStr"/>
      <c r="J100" s="6">
        <f>HYPERLINK("https://www.kleinanzeigen.de/s-anzeige/xenon-100-carbon-surfmast-windsurf-4-00m-hardtop/2872442011-230-622", "Link")</f>
        <v/>
      </c>
      <c r="K100" s="6">
        <f>HYPERLINK("C:\Projects\Kleinanzeigen-Scraper\offer_images\2872442011", "Link")</f>
        <v/>
      </c>
      <c r="L100" t="inlineStr">
        <is>
          <t>Werner Marckmann</t>
        </is>
      </c>
      <c r="M100" s="6">
        <f>HYPERLINK("https://www.kleinanzeigen.de/s-bestandsliste.html?userId=9276219", "Link")</f>
        <v/>
      </c>
      <c r="N100" s="7" t="n">
        <v>45559.87251157407</v>
      </c>
      <c r="O100" s="3" t="inlineStr">
        <is>
          <t>356.69</t>
        </is>
      </c>
      <c r="P100" t="inlineStr">
        <is>
          <t>Köln</t>
        </is>
      </c>
    </row>
    <row r="101">
      <c r="A101" t="inlineStr">
        <is>
          <t>North Gold</t>
        </is>
      </c>
      <c r="B101" s="3" t="n">
        <v>490</v>
      </c>
      <c r="C101" s="8" t="inlineStr">
        <is>
          <t>75%</t>
        </is>
      </c>
      <c r="D101" t="inlineStr">
        <is>
          <t>SDM</t>
        </is>
      </c>
      <c r="E101" s="4" t="n">
        <v>190</v>
      </c>
      <c r="F101" t="inlineStr">
        <is>
          <t>VB</t>
        </is>
      </c>
      <c r="G101" t="inlineStr">
        <is>
          <t>56412 Westerwaldkreis - Gackenbach</t>
        </is>
      </c>
      <c r="H101" s="5" t="n">
        <v>45558</v>
      </c>
      <c r="I101" t="inlineStr"/>
      <c r="J101" s="6">
        <f>HYPERLINK("https://www.kleinanzeigen.de/s-anzeige/north-gold-surfmast-sdm-490cm-carbon-75-/2872065918-230-21712", "Link")</f>
        <v/>
      </c>
      <c r="K101" s="6">
        <f>HYPERLINK("C:\Projects\Kleinanzeigen-Scraper\offer_images\2872065918", "Link")</f>
        <v/>
      </c>
      <c r="L101" t="inlineStr">
        <is>
          <t>Olaf</t>
        </is>
      </c>
      <c r="M101" s="6">
        <f>HYPERLINK("https://www.kleinanzeigen.de/s-bestandsliste.html?userId=29934107", "Link")</f>
        <v/>
      </c>
      <c r="N101" s="7" t="n">
        <v>45559.87248842593</v>
      </c>
      <c r="O101" s="3" t="inlineStr">
        <is>
          <t>90.03</t>
        </is>
      </c>
      <c r="P101" t="inlineStr">
        <is>
          <t>Köln</t>
        </is>
      </c>
    </row>
    <row r="102">
      <c r="A102" t="inlineStr">
        <is>
          <t>Gaastra</t>
        </is>
      </c>
      <c r="B102" s="3" t="n">
        <v>400</v>
      </c>
      <c r="C102" s="8" t="inlineStr">
        <is>
          <t>60%</t>
        </is>
      </c>
      <c r="D102" t="inlineStr">
        <is>
          <t>RDM</t>
        </is>
      </c>
      <c r="E102" s="4" t="n">
        <v>120</v>
      </c>
      <c r="F102" t="inlineStr">
        <is>
          <t>VB</t>
        </is>
      </c>
      <c r="G102" t="inlineStr">
        <is>
          <t>47259 Duisburg - Duisburg-Süd</t>
        </is>
      </c>
      <c r="H102" s="5" t="n">
        <v>45487</v>
      </c>
      <c r="I102" t="inlineStr"/>
      <c r="J102" s="6">
        <f>HYPERLINK("https://www.kleinanzeigen.de/s-anzeige/gaastra-400cm-rdm-60-carbon-guter-zustand/2812258041-230-2139", "Link")</f>
        <v/>
      </c>
      <c r="K102" s="6">
        <f>HYPERLINK("C:\Projects\Kleinanzeigen-Scraper\offer_images\2812258041", "Link")</f>
        <v/>
      </c>
      <c r="L102" t="inlineStr">
        <is>
          <t>Christoph Laux</t>
        </is>
      </c>
      <c r="M102" s="6">
        <f>HYPERLINK("https://www.kleinanzeigen.de/s-bestandsliste.html?userId=5797501", "Link")</f>
        <v/>
      </c>
      <c r="N102" s="7" t="n">
        <v>45558.74452546296</v>
      </c>
      <c r="O102" s="3" t="inlineStr">
        <is>
          <t>49.13</t>
        </is>
      </c>
      <c r="P102" t="inlineStr">
        <is>
          <t>Köln</t>
        </is>
      </c>
    </row>
    <row r="103">
      <c r="A103" t="inlineStr">
        <is>
          <t>Gaastra Mast</t>
        </is>
      </c>
      <c r="B103" s="3" t="n">
        <v>520</v>
      </c>
      <c r="C103" s="8" t="inlineStr">
        <is>
          <t>75%</t>
        </is>
      </c>
      <c r="D103" t="inlineStr"/>
      <c r="E103" s="4" t="n">
        <v>100</v>
      </c>
      <c r="F103" t="inlineStr"/>
      <c r="G103" t="inlineStr">
        <is>
          <t>83064 Bayern - Raubling</t>
        </is>
      </c>
      <c r="H103" s="5" t="n">
        <v>45499</v>
      </c>
      <c r="I103" t="inlineStr"/>
      <c r="J103" s="6">
        <f>HYPERLINK("https://www.kleinanzeigen.de/s-anzeige/gaastra-mast-520-carbonmast-75-5-20m/2821847603-230-7579", "Link")</f>
        <v/>
      </c>
      <c r="K103" s="6">
        <f>HYPERLINK("C:\Projects\Kleinanzeigen-Scraper\offer_images\2821847603", "Link")</f>
        <v/>
      </c>
      <c r="L103" t="inlineStr">
        <is>
          <t>Alex</t>
        </is>
      </c>
      <c r="M103" s="6">
        <f>HYPERLINK("https://www.kleinanzeigen.de/s-bestandsliste.html?userId=4390768", "Link")</f>
        <v/>
      </c>
      <c r="N103" s="7" t="n">
        <v>45558.74420138889</v>
      </c>
      <c r="O103" s="3" t="inlineStr">
        <is>
          <t>53.54</t>
        </is>
      </c>
      <c r="P103" t="inlineStr">
        <is>
          <t>München</t>
        </is>
      </c>
    </row>
    <row r="104">
      <c r="A104" t="inlineStr">
        <is>
          <t>Gaastra</t>
        </is>
      </c>
      <c r="B104" s="3" t="n">
        <v>430</v>
      </c>
      <c r="C104" s="8" t="inlineStr">
        <is>
          <t>60%</t>
        </is>
      </c>
      <c r="D104" t="inlineStr">
        <is>
          <t>RDM</t>
        </is>
      </c>
      <c r="E104" s="4" t="n">
        <v>130</v>
      </c>
      <c r="F104" t="inlineStr"/>
      <c r="G104" t="inlineStr">
        <is>
          <t>88085 Baden-Württemberg - Langenargen</t>
        </is>
      </c>
      <c r="H104" s="5" t="n">
        <v>45515</v>
      </c>
      <c r="I104" t="inlineStr"/>
      <c r="J104" s="6">
        <f>HYPERLINK("https://www.kleinanzeigen.de/s-anzeige/windsurf-mast-gaastra-60-rdm-430/2834439491-230-8350", "Link")</f>
        <v/>
      </c>
      <c r="K104" s="6">
        <f>HYPERLINK("C:\Projects\Kleinanzeigen-Scraper\offer_images\2834439491", "Link")</f>
        <v/>
      </c>
      <c r="L104" t="inlineStr">
        <is>
          <t>Gerhard</t>
        </is>
      </c>
      <c r="M104" s="6">
        <f>HYPERLINK("https://www.kleinanzeigen.de/s-bestandsliste.html?userId=44965508", "Link")</f>
        <v/>
      </c>
      <c r="N104" s="7" t="n">
        <v>45558.74413194445</v>
      </c>
      <c r="O104" s="3" t="inlineStr">
        <is>
          <t>93.32</t>
        </is>
      </c>
      <c r="P104" t="inlineStr">
        <is>
          <t>Bonndorf</t>
        </is>
      </c>
    </row>
    <row r="105">
      <c r="A105" t="inlineStr">
        <is>
          <t>Gaastra Hardtop</t>
        </is>
      </c>
      <c r="B105" s="3" t="n">
        <v>490</v>
      </c>
      <c r="C105" s="8" t="inlineStr">
        <is>
          <t>75%</t>
        </is>
      </c>
      <c r="D105" t="inlineStr">
        <is>
          <t>SDM</t>
        </is>
      </c>
      <c r="E105" s="4" t="n">
        <v>330</v>
      </c>
      <c r="F105" t="inlineStr">
        <is>
          <t>VB</t>
        </is>
      </c>
      <c r="G105" t="inlineStr">
        <is>
          <t>98693 Thüringen - Ilmenau</t>
        </is>
      </c>
      <c r="H105" s="5" t="n">
        <v>45461</v>
      </c>
      <c r="I105" t="inlineStr"/>
      <c r="J105" s="6">
        <f>HYPERLINK("https://www.kleinanzeigen.de/s-anzeige/gaastra-mast-hardtop-490cm-sdm-75-carbon-neuwertig-unbenutzt/2791738850-230-3687", "Link")</f>
        <v/>
      </c>
      <c r="K105" s="6">
        <f>HYPERLINK("C:\Projects\Kleinanzeigen-Scraper\offer_images\2791738850", "Link")</f>
        <v/>
      </c>
      <c r="L105" t="inlineStr">
        <is>
          <t>Mario</t>
        </is>
      </c>
      <c r="M105" s="6">
        <f>HYPERLINK("https://www.kleinanzeigen.de/s-bestandsliste.html?userId=22783725", "Link")</f>
        <v/>
      </c>
      <c r="N105" s="7" t="n">
        <v>45558.74347222222</v>
      </c>
      <c r="O105" s="3" t="inlineStr">
        <is>
          <t>260.54</t>
        </is>
      </c>
      <c r="P105" t="inlineStr">
        <is>
          <t>Karlsruhe</t>
        </is>
      </c>
    </row>
    <row r="106">
      <c r="A106" t="inlineStr">
        <is>
          <t>Gaastra GA Mast</t>
        </is>
      </c>
      <c r="B106" s="3" t="n">
        <v>460</v>
      </c>
      <c r="C106" s="8" t="inlineStr">
        <is>
          <t>100%</t>
        </is>
      </c>
      <c r="D106" t="inlineStr">
        <is>
          <t>SDM</t>
        </is>
      </c>
      <c r="E106" s="4" t="n">
        <v>340</v>
      </c>
      <c r="F106" t="inlineStr">
        <is>
          <t>VB</t>
        </is>
      </c>
      <c r="G106" t="inlineStr">
        <is>
          <t>30855 Niedersachsen - Langenhagen</t>
        </is>
      </c>
      <c r="H106" s="5" t="n">
        <v>45533</v>
      </c>
      <c r="I106" t="inlineStr"/>
      <c r="J106" s="6">
        <f>HYPERLINK("https://www.kleinanzeigen.de/s-anzeige/gaastra-ga-mast-sdm-430-carbon-100-/2849255025-230-3043", "Link")</f>
        <v/>
      </c>
      <c r="K106" s="6">
        <f>HYPERLINK("C:\Projects\Kleinanzeigen-Scraper\offer_images\2849255025", "Link")</f>
        <v/>
      </c>
      <c r="L106" t="inlineStr">
        <is>
          <t>Hagen Wieck</t>
        </is>
      </c>
      <c r="M106" s="6">
        <f>HYPERLINK("https://www.kleinanzeigen.de/s-bestandsliste.html?userId=4634457", "Link")</f>
        <v/>
      </c>
      <c r="N106" s="7" t="n">
        <v>45558.74177083333</v>
      </c>
      <c r="O106" s="3" t="inlineStr">
        <is>
          <t>255.34</t>
        </is>
      </c>
      <c r="P106" t="inlineStr">
        <is>
          <t>Köln</t>
        </is>
      </c>
    </row>
    <row r="107">
      <c r="A107" t="inlineStr">
        <is>
          <t>Gaastra C55</t>
        </is>
      </c>
      <c r="B107" s="3" t="n">
        <v>460</v>
      </c>
      <c r="C107" s="8" t="inlineStr">
        <is>
          <t>55%</t>
        </is>
      </c>
      <c r="D107" t="inlineStr">
        <is>
          <t>SDM</t>
        </is>
      </c>
      <c r="E107" s="4" t="n">
        <v>111</v>
      </c>
      <c r="F107" t="inlineStr">
        <is>
          <t>VB</t>
        </is>
      </c>
      <c r="G107" t="inlineStr">
        <is>
          <t>23769 Kreis Ostholstein - Fehmarn</t>
        </is>
      </c>
      <c r="H107" s="5" t="n">
        <v>45546</v>
      </c>
      <c r="I107" t="inlineStr">
        <is>
          <t>Sold</t>
        </is>
      </c>
      <c r="J107" s="6">
        <f>HYPERLINK("https://www.kleinanzeigen.de/s-anzeige/gaastra-sdm-mast-460-25-mit-55-carbon/2860525017-230-19951", "Link")</f>
        <v/>
      </c>
      <c r="K107" s="6">
        <f>HYPERLINK("C:\Projects\Kleinanzeigen-Scraper\offer_images\2860525017", "Link")</f>
        <v/>
      </c>
      <c r="L107" t="inlineStr">
        <is>
          <t>Patchworkvaddi</t>
        </is>
      </c>
      <c r="M107" s="6">
        <f>HYPERLINK("https://www.kleinanzeigen.de/s-bestandsliste.html?userId=16427049", "Link")</f>
        <v/>
      </c>
      <c r="N107" s="7" t="n">
        <v>45558.7416087963</v>
      </c>
      <c r="O107" s="3" t="inlineStr">
        <is>
          <t>483.01</t>
        </is>
      </c>
      <c r="P107" t="inlineStr">
        <is>
          <t>Köln</t>
        </is>
      </c>
    </row>
    <row r="108">
      <c r="A108" t="inlineStr">
        <is>
          <t>Gaastra</t>
        </is>
      </c>
      <c r="B108" s="3" t="n">
        <v>400</v>
      </c>
      <c r="C108" s="8" t="inlineStr">
        <is>
          <t>30%</t>
        </is>
      </c>
      <c r="D108" t="inlineStr">
        <is>
          <t>SDM</t>
        </is>
      </c>
      <c r="E108" s="4" t="n">
        <v>30</v>
      </c>
      <c r="F108" t="inlineStr"/>
      <c r="G108" t="inlineStr">
        <is>
          <t>07368 Thüringen - Remptendorf</t>
        </is>
      </c>
      <c r="H108" s="5" t="n">
        <v>45505</v>
      </c>
      <c r="I108" t="inlineStr">
        <is>
          <t>Sold</t>
        </is>
      </c>
      <c r="J108" s="6">
        <f>HYPERLINK("https://www.kleinanzeigen.de/s-anzeige/surfmast-gaastra-400-cm/2826549862-230-3663", "Link")</f>
        <v/>
      </c>
      <c r="K108" s="6">
        <f>HYPERLINK("C:\Projects\Kleinanzeigen-Scraper\offer_images\2826549862", "Link")</f>
        <v/>
      </c>
      <c r="L108" t="inlineStr">
        <is>
          <t>Volkmar Bähr</t>
        </is>
      </c>
      <c r="M108" s="6">
        <f>HYPERLINK("https://www.kleinanzeigen.de/s-bestandsliste.html?userId=84365238", "Link")</f>
        <v/>
      </c>
      <c r="N108" s="7" t="n">
        <v>45558.7416087963</v>
      </c>
      <c r="O108" s="3" t="inlineStr">
        <is>
          <t>268.15</t>
        </is>
      </c>
      <c r="P108" t="inlineStr">
        <is>
          <t>München</t>
        </is>
      </c>
    </row>
    <row r="109">
      <c r="A109" t="inlineStr">
        <is>
          <t>Gaastra GA Mast</t>
        </is>
      </c>
      <c r="B109" s="3" t="n">
        <v>370</v>
      </c>
      <c r="C109" s="8" t="inlineStr">
        <is>
          <t>75%</t>
        </is>
      </c>
      <c r="D109" t="inlineStr">
        <is>
          <t>RDM</t>
        </is>
      </c>
      <c r="E109" s="4" t="n">
        <v>180</v>
      </c>
      <c r="F109" t="inlineStr">
        <is>
          <t>VB</t>
        </is>
      </c>
      <c r="G109" t="inlineStr">
        <is>
          <t>22395 Wandsbek - Hamburg Bergstedt</t>
        </is>
      </c>
      <c r="H109" s="5" t="n">
        <v>45511</v>
      </c>
      <c r="I109" t="inlineStr">
        <is>
          <t>Sold</t>
        </is>
      </c>
      <c r="J109" s="6">
        <f>HYPERLINK("https://www.kleinanzeigen.de/s-anzeige/gaastra-ga-mast-rdm-370-75-2019-cc-top-zustand/2831084658-230-9470", "Link")</f>
        <v/>
      </c>
      <c r="K109" s="6">
        <f>HYPERLINK("C:\Projects\Kleinanzeigen-Scraper\offer_images\2831084658", "Link")</f>
        <v/>
      </c>
      <c r="L109" t="inlineStr">
        <is>
          <t>Heiko</t>
        </is>
      </c>
      <c r="M109" s="6">
        <f>HYPERLINK("https://www.kleinanzeigen.de/s-bestandsliste.html?userId=27151459", "Link")</f>
        <v/>
      </c>
      <c r="N109" s="7" t="n">
        <v>45558.74084490741</v>
      </c>
      <c r="O109" s="3" t="inlineStr">
        <is>
          <t>372.75</t>
        </is>
      </c>
      <c r="P109" t="inlineStr">
        <is>
          <t>Köln</t>
        </is>
      </c>
    </row>
    <row r="110">
      <c r="A110" t="inlineStr">
        <is>
          <t>Gaastra</t>
        </is>
      </c>
      <c r="B110" s="3" t="n">
        <v>520</v>
      </c>
      <c r="C110" s="8" t="inlineStr">
        <is>
          <t>75%</t>
        </is>
      </c>
      <c r="D110" t="inlineStr"/>
      <c r="E110" s="4" t="n">
        <v>150</v>
      </c>
      <c r="F110" t="inlineStr">
        <is>
          <t>VB</t>
        </is>
      </c>
      <c r="G110" t="inlineStr">
        <is>
          <t>12587 Berlin - Köpenick</t>
        </is>
      </c>
      <c r="H110" s="5" t="n">
        <v>45528</v>
      </c>
      <c r="I110" t="inlineStr"/>
      <c r="J110" s="6">
        <f>HYPERLINK("https://www.kleinanzeigen.de/s-anzeige/gaastra-mast-520-mit-75-carbon/2845307284-230-3374", "Link")</f>
        <v/>
      </c>
      <c r="K110" s="6">
        <f>HYPERLINK("C:\Projects\Kleinanzeigen-Scraper\offer_images\2845307284", "Link")</f>
        <v/>
      </c>
      <c r="L110" t="inlineStr">
        <is>
          <t>Müller</t>
        </is>
      </c>
      <c r="M110" s="6">
        <f>HYPERLINK("https://www.kleinanzeigen.de/s-bestandsliste.html?userId=5985090", "Link")</f>
        <v/>
      </c>
      <c r="N110" s="7" t="n">
        <v>45558.74057870371</v>
      </c>
      <c r="O110" s="3" t="inlineStr">
        <is>
          <t>490.72</t>
        </is>
      </c>
      <c r="P110" t="inlineStr">
        <is>
          <t>Köln</t>
        </is>
      </c>
    </row>
    <row r="111">
      <c r="A111" t="inlineStr">
        <is>
          <t>Gaastra</t>
        </is>
      </c>
      <c r="B111" s="3" t="n">
        <v>370</v>
      </c>
      <c r="C111" s="8" t="inlineStr"/>
      <c r="D111" t="inlineStr">
        <is>
          <t>SDM</t>
        </is>
      </c>
      <c r="E111" s="4" t="n">
        <v>55</v>
      </c>
      <c r="F111" t="inlineStr">
        <is>
          <t>VB</t>
        </is>
      </c>
      <c r="G111" t="inlineStr">
        <is>
          <t>44628 Nordrhein-Westfalen - Herne</t>
        </is>
      </c>
      <c r="H111" s="5" t="n">
        <v>45515</v>
      </c>
      <c r="I111" t="inlineStr"/>
      <c r="J111" s="6">
        <f>HYPERLINK("https://www.kleinanzeigen.de/s-anzeige/gaastra-mast-370-sdm/2834212234-230-2006", "Link")</f>
        <v/>
      </c>
      <c r="K111" s="6">
        <f>HYPERLINK("C:\Projects\Kleinanzeigen-Scraper\offer_images\2834212234", "Link")</f>
        <v/>
      </c>
      <c r="L111" t="inlineStr">
        <is>
          <t>Strohmeyer</t>
        </is>
      </c>
      <c r="M111" s="6">
        <f>HYPERLINK("https://www.kleinanzeigen.de/s-bestandsliste.html?userId=7568130", "Link")</f>
        <v/>
      </c>
      <c r="N111" s="7" t="n">
        <v>45558.74002314815</v>
      </c>
      <c r="O111" s="3" t="inlineStr">
        <is>
          <t>71.74</t>
        </is>
      </c>
      <c r="P111" t="inlineStr">
        <is>
          <t>Köln</t>
        </is>
      </c>
    </row>
    <row r="112">
      <c r="A112" t="inlineStr">
        <is>
          <t>Gaastra</t>
        </is>
      </c>
      <c r="B112" s="3" t="n">
        <v>490</v>
      </c>
      <c r="C112" s="8" t="inlineStr">
        <is>
          <t>100%</t>
        </is>
      </c>
      <c r="D112" t="inlineStr">
        <is>
          <t>SDM</t>
        </is>
      </c>
      <c r="E112" s="4" t="n">
        <v>350</v>
      </c>
      <c r="F112" t="inlineStr">
        <is>
          <t>VB</t>
        </is>
      </c>
      <c r="G112" t="inlineStr">
        <is>
          <t>24539 Schleswig-Holstein - Neumünster</t>
        </is>
      </c>
      <c r="H112" s="5" t="n">
        <v>45509</v>
      </c>
      <c r="I112" t="inlineStr"/>
      <c r="J112" s="6">
        <f>HYPERLINK("https://www.kleinanzeigen.de/s-anzeige/490-100-sdm-gaastra-mast-zu-verkaufen/2829709388-230-648", "Link")</f>
        <v/>
      </c>
      <c r="K112" s="6">
        <f>HYPERLINK("C:\Projects\Kleinanzeigen-Scraper\offer_images\2829709388", "Link")</f>
        <v/>
      </c>
      <c r="L112" t="inlineStr">
        <is>
          <t>Lars</t>
        </is>
      </c>
      <c r="M112" s="6">
        <f>HYPERLINK("https://www.kleinanzeigen.de/s-bestandsliste.html?userId=129937829", "Link")</f>
        <v/>
      </c>
      <c r="N112" s="7" t="n">
        <v>45558.7397337963</v>
      </c>
      <c r="O112" s="3" t="inlineStr">
        <is>
          <t>402.09</t>
        </is>
      </c>
      <c r="P112" t="inlineStr">
        <is>
          <t>Köln</t>
        </is>
      </c>
    </row>
    <row r="113">
      <c r="A113" t="inlineStr">
        <is>
          <t>GA Sails</t>
        </is>
      </c>
      <c r="B113" s="3" t="n">
        <v>490</v>
      </c>
      <c r="C113" s="8" t="n">
        <v>50</v>
      </c>
      <c r="D113" t="inlineStr">
        <is>
          <t>SDM</t>
        </is>
      </c>
      <c r="E113" s="4" t="n">
        <v>110</v>
      </c>
      <c r="F113" t="inlineStr">
        <is>
          <t>VB</t>
        </is>
      </c>
      <c r="G113" t="inlineStr">
        <is>
          <t>82131 Bayern - Gauting</t>
        </is>
      </c>
      <c r="H113" s="5" t="n">
        <v>45521</v>
      </c>
      <c r="I113" t="inlineStr"/>
      <c r="J113" s="6">
        <f>HYPERLINK("https://www.kleinanzeigen.de/s-anzeige/ga-sails-mast-gaastra-490-cm-sdm-c50/2839218838-230-6334", "Link")</f>
        <v/>
      </c>
      <c r="K113" s="6">
        <f>HYPERLINK("C:\Projects\Kleinanzeigen-Scraper\offer_images\2839218838", "Link")</f>
        <v/>
      </c>
      <c r="L113" t="inlineStr">
        <is>
          <t>Florian Bauer</t>
        </is>
      </c>
      <c r="M113" s="6">
        <f>HYPERLINK("https://www.kleinanzeigen.de/s-bestandsliste.html?userId=33791003", "Link")</f>
        <v/>
      </c>
      <c r="N113" s="7" t="n">
        <v>45558.73891203704</v>
      </c>
      <c r="O113" s="3" t="inlineStr">
        <is>
          <t>16.76</t>
        </is>
      </c>
      <c r="P113" t="inlineStr">
        <is>
          <t>München</t>
        </is>
      </c>
    </row>
    <row r="114">
      <c r="A114" t="inlineStr">
        <is>
          <t>Gaastra</t>
        </is>
      </c>
      <c r="B114" s="3" t="n">
        <v>400</v>
      </c>
      <c r="C114" s="8" t="inlineStr">
        <is>
          <t>75%</t>
        </is>
      </c>
      <c r="D114" t="inlineStr">
        <is>
          <t>SDM</t>
        </is>
      </c>
      <c r="E114" s="4" t="n">
        <v>210</v>
      </c>
      <c r="F114" t="inlineStr">
        <is>
          <t>VB</t>
        </is>
      </c>
      <c r="G114" t="inlineStr">
        <is>
          <t>14476 Brandenburg - Potsdam</t>
        </is>
      </c>
      <c r="H114" s="5" t="n">
        <v>45445</v>
      </c>
      <c r="I114" t="inlineStr">
        <is>
          <t>Sold</t>
        </is>
      </c>
      <c r="J114" s="6">
        <f>HYPERLINK("https://www.kleinanzeigen.de/s-anzeige/gaastra-mast-sdm-400cm-mit-75-carbon-imcs19/2777717005-230-7966", "Link")</f>
        <v/>
      </c>
      <c r="K114" s="6">
        <f>HYPERLINK("C:\Projects\Kleinanzeigen-Scraper\offer_images\2777717005", "Link")</f>
        <v/>
      </c>
      <c r="L114" t="inlineStr">
        <is>
          <t>Andreas Kretzschmar</t>
        </is>
      </c>
      <c r="M114" s="6">
        <f>HYPERLINK("https://www.kleinanzeigen.de/s-bestandsliste.html?userId=5890713", "Link")</f>
        <v/>
      </c>
      <c r="N114" s="7" t="n">
        <v>45558.7387037037</v>
      </c>
      <c r="O114" s="3" t="inlineStr">
        <is>
          <t>449.69</t>
        </is>
      </c>
      <c r="P114" t="inlineStr">
        <is>
          <t>Köln</t>
        </is>
      </c>
    </row>
    <row r="115">
      <c r="A115" t="inlineStr">
        <is>
          <t>Gaastra RDM 430 ICMS</t>
        </is>
      </c>
      <c r="B115" s="3" t="n">
        <v>430</v>
      </c>
      <c r="C115" s="8" t="inlineStr">
        <is>
          <t>100%</t>
        </is>
      </c>
      <c r="D115" t="inlineStr">
        <is>
          <t>RDM</t>
        </is>
      </c>
      <c r="E115" s="4" t="n">
        <v>200</v>
      </c>
      <c r="F115" t="inlineStr"/>
      <c r="G115" t="inlineStr">
        <is>
          <t>34298 Hessen - Helsa</t>
        </is>
      </c>
      <c r="H115" s="5" t="n">
        <v>45215</v>
      </c>
      <c r="I115" t="inlineStr"/>
      <c r="J115" s="6">
        <f>HYPERLINK("https://www.kleinanzeigen.de/s-anzeige/gaastra-rdm-430-icms-21-mast-100-carbon/2574158935-230-4592", "Link")</f>
        <v/>
      </c>
      <c r="K115" s="6">
        <f>HYPERLINK("C:\Projects\Kleinanzeigen-Scraper\offer_images\2574158935", "Link")</f>
        <v/>
      </c>
      <c r="L115" t="inlineStr">
        <is>
          <t>privat</t>
        </is>
      </c>
      <c r="M115" s="6">
        <f>HYPERLINK("https://www.kleinanzeigen.de/s-bestandsliste.html?userId=2523504", "Link")</f>
        <v/>
      </c>
      <c r="N115" s="7" t="n">
        <v>45558.73869212963</v>
      </c>
      <c r="O115" s="3" t="inlineStr">
        <is>
          <t>194.05</t>
        </is>
      </c>
      <c r="P115" t="inlineStr">
        <is>
          <t>Köln</t>
        </is>
      </c>
    </row>
    <row r="116">
      <c r="A116" t="inlineStr">
        <is>
          <t>GA Gaastra</t>
        </is>
      </c>
      <c r="B116" s="3" t="n">
        <v>370</v>
      </c>
      <c r="C116" s="8" t="inlineStr">
        <is>
          <t>100%</t>
        </is>
      </c>
      <c r="D116" t="inlineStr">
        <is>
          <t>RDM</t>
        </is>
      </c>
      <c r="E116" s="4" t="n">
        <v>380</v>
      </c>
      <c r="F116" t="inlineStr"/>
      <c r="G116" t="inlineStr">
        <is>
          <t>83088 Bayern - Kiefersfelden</t>
        </is>
      </c>
      <c r="H116" s="5" t="n">
        <v>45504</v>
      </c>
      <c r="I116" t="inlineStr">
        <is>
          <t>Sold</t>
        </is>
      </c>
      <c r="J116" s="6">
        <f>HYPERLINK("https://www.kleinanzeigen.de/s-anzeige/ga-gaastra-100-carbon-rdm-mast-370cm/2825854643-230-7584", "Link")</f>
        <v/>
      </c>
      <c r="K116" s="6">
        <f>HYPERLINK("C:\Projects\Kleinanzeigen-Scraper\offer_images\2825854643", "Link")</f>
        <v/>
      </c>
      <c r="L116" t="inlineStr">
        <is>
          <t>Alex Embacher</t>
        </is>
      </c>
      <c r="M116" s="6">
        <f>HYPERLINK("https://www.kleinanzeigen.de/s-bestandsliste.html?userId=142993911", "Link")</f>
        <v/>
      </c>
      <c r="N116" s="7" t="n">
        <v>45558.73811342593</v>
      </c>
      <c r="O116" s="3" t="inlineStr">
        <is>
          <t>73.59</t>
        </is>
      </c>
      <c r="P116" t="inlineStr">
        <is>
          <t>München</t>
        </is>
      </c>
    </row>
    <row r="117">
      <c r="A117" t="inlineStr">
        <is>
          <t>Gaastra Surfmast Flextop</t>
        </is>
      </c>
      <c r="B117" s="3" t="n">
        <v>490</v>
      </c>
      <c r="C117" s="8" t="inlineStr">
        <is>
          <t>75%</t>
        </is>
      </c>
      <c r="D117" t="inlineStr">
        <is>
          <t>SDM</t>
        </is>
      </c>
      <c r="E117" s="4" t="n">
        <v>15</v>
      </c>
      <c r="F117" t="inlineStr">
        <is>
          <t>VB</t>
        </is>
      </c>
      <c r="G117" t="inlineStr">
        <is>
          <t>83623 Bayern - Dietramszell</t>
        </is>
      </c>
      <c r="H117" s="5" t="n">
        <v>45362</v>
      </c>
      <c r="I117" t="inlineStr"/>
      <c r="J117" s="6">
        <f>HYPERLINK("https://www.kleinanzeigen.de/s-anzeige/gaastra-surfmast-flextop-75-carbon-nur-oberes-teil-/2703850093-230-6194", "Link")</f>
        <v/>
      </c>
      <c r="K117" s="6">
        <f>HYPERLINK("C:\Projects\Kleinanzeigen-Scraper\offer_images\2703850093", "Link")</f>
        <v/>
      </c>
      <c r="L117" t="inlineStr">
        <is>
          <t>Lars</t>
        </is>
      </c>
      <c r="M117" s="6">
        <f>HYPERLINK("https://www.kleinanzeigen.de/s-bestandsliste.html?userId=125097607", "Link")</f>
        <v/>
      </c>
      <c r="N117" s="7" t="n">
        <v>45558.73721064815</v>
      </c>
      <c r="O117" s="3" t="inlineStr">
        <is>
          <t>31.34</t>
        </is>
      </c>
      <c r="P117" t="inlineStr">
        <is>
          <t>München</t>
        </is>
      </c>
    </row>
    <row r="118">
      <c r="A118" t="inlineStr">
        <is>
          <t>Gaastra</t>
        </is>
      </c>
      <c r="B118" s="3" t="n">
        <v>400</v>
      </c>
      <c r="C118" s="8" t="inlineStr">
        <is>
          <t>75%</t>
        </is>
      </c>
      <c r="D118" t="inlineStr">
        <is>
          <t>RDM</t>
        </is>
      </c>
      <c r="E118" s="4" t="n">
        <v>150</v>
      </c>
      <c r="F118" t="inlineStr">
        <is>
          <t>VB</t>
        </is>
      </c>
      <c r="G118" t="inlineStr">
        <is>
          <t>22547 Altona - Hamburg Lurup</t>
        </is>
      </c>
      <c r="H118" s="5" t="n">
        <v>45503</v>
      </c>
      <c r="I118" t="inlineStr"/>
      <c r="J118" s="6">
        <f>HYPERLINK("https://www.kleinanzeigen.de/s-anzeige/gaastra-mast-400-rdm-c75/2824812287-230-9439", "Link")</f>
        <v/>
      </c>
      <c r="K118" s="6">
        <f>HYPERLINK("C:\Projects\Kleinanzeigen-Scraper\offer_images\2824812287", "Link")</f>
        <v/>
      </c>
      <c r="L118" t="inlineStr">
        <is>
          <t>Dil</t>
        </is>
      </c>
      <c r="M118" s="6">
        <f>HYPERLINK("https://www.kleinanzeigen.de/s-bestandsliste.html?userId=24992595", "Link")</f>
        <v/>
      </c>
      <c r="N118" s="7" t="n">
        <v>45558.73688657407</v>
      </c>
      <c r="O118" s="3" t="inlineStr">
        <is>
          <t>356.34</t>
        </is>
      </c>
      <c r="P118" t="inlineStr">
        <is>
          <t>Köln</t>
        </is>
      </c>
    </row>
    <row r="119">
      <c r="A119" t="inlineStr">
        <is>
          <t>Gun Sails Select</t>
        </is>
      </c>
      <c r="B119" s="3" t="n">
        <v>400</v>
      </c>
      <c r="C119" s="8" t="inlineStr">
        <is>
          <t>100%</t>
        </is>
      </c>
      <c r="D119" t="inlineStr"/>
      <c r="E119" s="4" t="n">
        <v>150</v>
      </c>
      <c r="F119" t="inlineStr"/>
      <c r="G119" t="inlineStr">
        <is>
          <t>82194 Bayern - Gröbenzell</t>
        </is>
      </c>
      <c r="H119" s="5" t="n">
        <v>45557</v>
      </c>
      <c r="I119" t="inlineStr"/>
      <c r="J119" s="6">
        <f>HYPERLINK("https://www.kleinanzeigen.de/s-anzeige/gun-sails-mast-select-400cm-100-carbon/2870834480-230-6350", "Link")</f>
        <v/>
      </c>
      <c r="K119" s="6">
        <f>HYPERLINK("C:\Projects\Kleinanzeigen-Scraper\offer_images\2870834480", "Link")</f>
        <v/>
      </c>
      <c r="L119" t="inlineStr">
        <is>
          <t>Jonas Grünewald</t>
        </is>
      </c>
      <c r="M119" s="6">
        <f>HYPERLINK("https://www.kleinanzeigen.de/s-bestandsliste.html?userId=3880896", "Link")</f>
        <v/>
      </c>
      <c r="N119" s="7" t="n">
        <v>45558.5694212963</v>
      </c>
      <c r="O119" s="3" t="inlineStr">
        <is>
          <t>15.82</t>
        </is>
      </c>
      <c r="P119" t="inlineStr">
        <is>
          <t>München</t>
        </is>
      </c>
    </row>
    <row r="120">
      <c r="A120" t="inlineStr">
        <is>
          <t>Gun Sails Loop C 25</t>
        </is>
      </c>
      <c r="B120" s="3" t="n">
        <v>430</v>
      </c>
      <c r="C120" s="8" t="inlineStr">
        <is>
          <t>25%</t>
        </is>
      </c>
      <c r="D120" t="inlineStr">
        <is>
          <t>SDM</t>
        </is>
      </c>
      <c r="E120" s="4" t="n">
        <v>30</v>
      </c>
      <c r="F120" t="inlineStr">
        <is>
          <t>VB</t>
        </is>
      </c>
      <c r="G120" t="inlineStr">
        <is>
          <t>47198 Duisburg - Homberg/Ruhrort/Baerl</t>
        </is>
      </c>
      <c r="H120" s="5" t="n">
        <v>45557</v>
      </c>
      <c r="I120" t="inlineStr">
        <is>
          <t>Sold</t>
        </is>
      </c>
      <c r="J120" s="6">
        <f>HYPERLINK("https://www.kleinanzeigen.de/s-anzeige/surfmast-25-carbon-gun-sails/2870804206-230-2140", "Link")</f>
        <v/>
      </c>
      <c r="K120" s="6">
        <f>HYPERLINK("C:\Projects\Kleinanzeigen-Scraper\offer_images\2870804206", "Link")</f>
        <v/>
      </c>
      <c r="L120" t="inlineStr">
        <is>
          <t>Pabst, Alexander</t>
        </is>
      </c>
      <c r="M120" s="6">
        <f>HYPERLINK("https://www.kleinanzeigen.de/s-bestandsliste.html?userId=8616794", "Link")</f>
        <v/>
      </c>
      <c r="N120" s="7" t="n">
        <v>45558.56895833334</v>
      </c>
      <c r="O120" s="3" t="inlineStr">
        <is>
          <t>59.95</t>
        </is>
      </c>
      <c r="P120" t="inlineStr">
        <is>
          <t>Köln</t>
        </is>
      </c>
    </row>
    <row r="121">
      <c r="A121" t="inlineStr">
        <is>
          <t>Sailloft Redline</t>
        </is>
      </c>
      <c r="B121" s="3" t="n">
        <v>430</v>
      </c>
      <c r="C121" s="8" t="inlineStr"/>
      <c r="D121" t="inlineStr">
        <is>
          <t>RDM</t>
        </is>
      </c>
      <c r="E121" s="4" t="inlineStr"/>
      <c r="F121" t="inlineStr">
        <is>
          <t>VB</t>
        </is>
      </c>
      <c r="G121" t="inlineStr">
        <is>
          <t>21357 Niedersachsen - Bardowick</t>
        </is>
      </c>
      <c r="H121" s="5" t="n">
        <v>45558</v>
      </c>
      <c r="I121" t="inlineStr">
        <is>
          <t>Sold</t>
        </is>
      </c>
      <c r="J121" s="6">
        <f>HYPERLINK("https://www.kleinanzeigen.de/s-anzeige/mast-top-sailloft-rdm-430-redline/2871694929-230-17466", "Link")</f>
        <v/>
      </c>
      <c r="K121" s="6">
        <f>HYPERLINK("C:\Projects\Kleinanzeigen-Scraper\offer_images\2871694929", "Link")</f>
        <v/>
      </c>
      <c r="L121" t="inlineStr">
        <is>
          <t>Eylmann</t>
        </is>
      </c>
      <c r="M121" s="6">
        <f>HYPERLINK("https://www.kleinanzeigen.de/s-bestandsliste.html?userId=12076249", "Link")</f>
        <v/>
      </c>
      <c r="N121" s="7" t="n">
        <v>45558.56870370371</v>
      </c>
      <c r="O121" s="3" t="inlineStr">
        <is>
          <t>353.00</t>
        </is>
      </c>
      <c r="P121" t="inlineStr">
        <is>
          <t>Köln</t>
        </is>
      </c>
    </row>
    <row r="122">
      <c r="A122" t="inlineStr">
        <is>
          <t>Gun Sails Expert</t>
        </is>
      </c>
      <c r="B122" s="3" t="n">
        <v>430</v>
      </c>
      <c r="C122" s="8" t="inlineStr">
        <is>
          <t>70%</t>
        </is>
      </c>
      <c r="D122" t="inlineStr">
        <is>
          <t>RDM</t>
        </is>
      </c>
      <c r="E122" s="4" t="n">
        <v>100</v>
      </c>
      <c r="F122" t="inlineStr"/>
      <c r="G122" t="inlineStr">
        <is>
          <t>82194 Bayern - Gröbenzell</t>
        </is>
      </c>
      <c r="H122" s="5" t="n">
        <v>45557</v>
      </c>
      <c r="I122" t="inlineStr">
        <is>
          <t>Sold</t>
        </is>
      </c>
      <c r="J122" s="6">
        <f>HYPERLINK("https://www.kleinanzeigen.de/s-anzeige/gun-sails-expert-rdm-mast-430-70-/2870828953-230-6350", "Link")</f>
        <v/>
      </c>
      <c r="K122" s="6">
        <f>HYPERLINK("C:\Projects\Kleinanzeigen-Scraper\offer_images\2870828953", "Link")</f>
        <v/>
      </c>
      <c r="L122" t="inlineStr">
        <is>
          <t>Jonas Grünewald</t>
        </is>
      </c>
      <c r="M122" s="6">
        <f>HYPERLINK("https://www.kleinanzeigen.de/s-bestandsliste.html?userId=3880896", "Link")</f>
        <v/>
      </c>
      <c r="N122" s="7" t="n">
        <v>45558.56853009259</v>
      </c>
      <c r="O122" s="3" t="inlineStr">
        <is>
          <t>15.82</t>
        </is>
      </c>
      <c r="P122" t="inlineStr">
        <is>
          <t>München</t>
        </is>
      </c>
    </row>
    <row r="123">
      <c r="A123" t="inlineStr">
        <is>
          <t>Gun Sails Loofc 25</t>
        </is>
      </c>
      <c r="B123" s="3" t="n">
        <v>400</v>
      </c>
      <c r="C123" s="8" t="inlineStr">
        <is>
          <t>25%</t>
        </is>
      </c>
      <c r="D123" t="inlineStr">
        <is>
          <t>SDM</t>
        </is>
      </c>
      <c r="E123" s="4" t="n">
        <v>30</v>
      </c>
      <c r="F123" t="inlineStr">
        <is>
          <t>VB</t>
        </is>
      </c>
      <c r="G123" t="inlineStr">
        <is>
          <t>47198 Duisburg - Homberg/Ruhrort/Baerl</t>
        </is>
      </c>
      <c r="H123" s="5" t="n">
        <v>45557</v>
      </c>
      <c r="I123" t="inlineStr">
        <is>
          <t>Sold</t>
        </is>
      </c>
      <c r="J123" s="6">
        <f>HYPERLINK("https://www.kleinanzeigen.de/s-anzeige/surfmast-25-carbon-gun-sails-4m/2870798972-230-2140", "Link")</f>
        <v/>
      </c>
      <c r="K123" s="6">
        <f>HYPERLINK("C:\Projects\Kleinanzeigen-Scraper\offer_images\2870798972", "Link")</f>
        <v/>
      </c>
      <c r="L123" t="inlineStr">
        <is>
          <t>Pabst, Alexander</t>
        </is>
      </c>
      <c r="M123" s="6">
        <f>HYPERLINK("https://www.kleinanzeigen.de/s-bestandsliste.html?userId=8616794", "Link")</f>
        <v/>
      </c>
      <c r="N123" s="7" t="n">
        <v>45558.56707175926</v>
      </c>
      <c r="O123" s="3" t="inlineStr">
        <is>
          <t>59.95</t>
        </is>
      </c>
      <c r="P123" t="inlineStr">
        <is>
          <t>Köln</t>
        </is>
      </c>
    </row>
    <row r="124">
      <c r="A124" t="inlineStr">
        <is>
          <t>Ascan</t>
        </is>
      </c>
      <c r="B124" s="3" t="n">
        <v>30</v>
      </c>
      <c r="C124" s="8" t="inlineStr"/>
      <c r="D124" t="inlineStr">
        <is>
          <t>SDM</t>
        </is>
      </c>
      <c r="E124" s="4" t="n">
        <v>16</v>
      </c>
      <c r="F124" t="inlineStr">
        <is>
          <t>VB</t>
        </is>
      </c>
      <c r="G124" t="inlineStr">
        <is>
          <t>25355 Kreis Pinneberg - Barmstedt</t>
        </is>
      </c>
      <c r="H124" s="5" t="n">
        <v>45557</v>
      </c>
      <c r="I124" t="inlineStr"/>
      <c r="J124" s="6">
        <f>HYPERLINK("https://www.kleinanzeigen.de/s-anzeige/ascan-mastverlaengerung-30cm-sdm-windsurfen/2870857873-230-16677", "Link")</f>
        <v/>
      </c>
      <c r="K124" s="6">
        <f>HYPERLINK("C:\Projects\Kleinanzeigen-Scraper\offer_images\2870857873", "Link")</f>
        <v/>
      </c>
      <c r="L124" t="inlineStr">
        <is>
          <t>Hansi</t>
        </is>
      </c>
      <c r="M124" s="6">
        <f>HYPERLINK("https://www.kleinanzeigen.de/s-bestandsliste.html?userId=73580626", "Link")</f>
        <v/>
      </c>
      <c r="N124" s="7" t="n">
        <v>45558.56677083333</v>
      </c>
      <c r="O124" s="3" t="inlineStr">
        <is>
          <t>371.91</t>
        </is>
      </c>
      <c r="P124" t="inlineStr">
        <is>
          <t>Köln</t>
        </is>
      </c>
    </row>
    <row r="125">
      <c r="A125" t="inlineStr">
        <is>
          <t>Starboard Slalom</t>
        </is>
      </c>
      <c r="B125" s="3" t="n">
        <v>95</v>
      </c>
      <c r="C125" s="8" t="inlineStr"/>
      <c r="D125" t="inlineStr"/>
      <c r="E125" s="4" t="n">
        <v>399</v>
      </c>
      <c r="F125" t="inlineStr"/>
      <c r="G125" t="inlineStr">
        <is>
          <t>88279 Baden-Württemberg - Amtzell</t>
        </is>
      </c>
      <c r="H125" s="5" t="n">
        <v>45568</v>
      </c>
      <c r="I125" t="inlineStr"/>
      <c r="J125" s="6">
        <f>HYPERLINK("https://www.kleinanzeigen.de/s-anzeige/starboard-slalom-carbon-foil-mast-95cm-harte-ausfuehrung-/2871620282-230-7319", "Link")</f>
        <v/>
      </c>
      <c r="K125" s="6">
        <f>HYPERLINK("C:\Projects\Kleinanzeigen-Scraper\offer_images\2871620282", "Link")</f>
        <v/>
      </c>
      <c r="L125" t="inlineStr">
        <is>
          <t>Waltenheimer</t>
        </is>
      </c>
      <c r="M125" s="6">
        <f>HYPERLINK("https://www.kleinanzeigen.de/s-bestandsliste.html?userId=10995078", "Link")</f>
        <v/>
      </c>
      <c r="N125" s="7" t="n">
        <v>45558.5659375</v>
      </c>
      <c r="O125" s="3" t="inlineStr">
        <is>
          <t>106.48</t>
        </is>
      </c>
      <c r="P125" t="inlineStr">
        <is>
          <t>Bonndorf</t>
        </is>
      </c>
    </row>
    <row r="126">
      <c r="A126" t="inlineStr">
        <is>
          <t>Sailloft RDM</t>
        </is>
      </c>
      <c r="B126" s="3" t="n">
        <v>430</v>
      </c>
      <c r="C126" s="8" t="inlineStr">
        <is>
          <t>55%</t>
        </is>
      </c>
      <c r="D126" t="inlineStr">
        <is>
          <t>RDM</t>
        </is>
      </c>
      <c r="E126" s="4" t="n">
        <v>120</v>
      </c>
      <c r="F126" t="inlineStr"/>
      <c r="G126" t="inlineStr">
        <is>
          <t>25524 Schleswig-Holstein - Itzehoe</t>
        </is>
      </c>
      <c r="H126" s="5" t="n">
        <v>45557</v>
      </c>
      <c r="I126" t="inlineStr"/>
      <c r="J126" s="6">
        <f>HYPERLINK("https://www.kleinanzeigen.de/s-anzeige/sailloft-rdm-surfmast-430-cm-55-/2871292153-230-13329", "Link")</f>
        <v/>
      </c>
      <c r="K126" s="6">
        <f>HYPERLINK("C:\Projects\Kleinanzeigen-Scraper\offer_images\2871292153", "Link")</f>
        <v/>
      </c>
      <c r="L126" t="inlineStr">
        <is>
          <t>Mathias Bade</t>
        </is>
      </c>
      <c r="M126" s="6">
        <f>HYPERLINK("https://www.kleinanzeigen.de/s-bestandsliste.html?userId=54965812", "Link")</f>
        <v/>
      </c>
      <c r="N126" s="7" t="n">
        <v>45558.5658912037</v>
      </c>
      <c r="O126" s="3" t="inlineStr">
        <is>
          <t>375.94</t>
        </is>
      </c>
      <c r="P126" t="inlineStr">
        <is>
          <t>Köln</t>
        </is>
      </c>
    </row>
    <row r="127">
      <c r="A127" t="inlineStr">
        <is>
          <t>Simmer</t>
        </is>
      </c>
      <c r="B127" s="3" t="n">
        <v>430</v>
      </c>
      <c r="C127" s="8" t="inlineStr">
        <is>
          <t>100%</t>
        </is>
      </c>
      <c r="D127" t="inlineStr">
        <is>
          <t>RDM</t>
        </is>
      </c>
      <c r="E127" s="4" t="n">
        <v>200</v>
      </c>
      <c r="F127" t="inlineStr">
        <is>
          <t>VB</t>
        </is>
      </c>
      <c r="G127" t="inlineStr">
        <is>
          <t>25421 Kreis Pinneberg - Pinneberg</t>
        </is>
      </c>
      <c r="H127" s="5" t="n">
        <v>45557</v>
      </c>
      <c r="I127" t="inlineStr"/>
      <c r="J127" s="6">
        <f>HYPERLINK("https://www.kleinanzeigen.de/s-anzeige/simmer-carbon-mast-430/2870738574-230-786", "Link")</f>
        <v/>
      </c>
      <c r="K127" s="6">
        <f>HYPERLINK("C:\Projects\Kleinanzeigen-Scraper\offer_images\2870738574", "Link")</f>
        <v/>
      </c>
      <c r="L127" t="inlineStr">
        <is>
          <t>Avé- Lallemant</t>
        </is>
      </c>
      <c r="M127" s="6">
        <f>HYPERLINK("https://www.kleinanzeigen.de/s-bestandsliste.html?userId=71416844", "Link")</f>
        <v/>
      </c>
      <c r="N127" s="7" t="n">
        <v>45558.56569444444</v>
      </c>
      <c r="O127" s="3" t="inlineStr">
        <is>
          <t>345.15</t>
        </is>
      </c>
      <c r="P127" t="inlineStr">
        <is>
          <t>Köln</t>
        </is>
      </c>
    </row>
    <row r="128">
      <c r="A128" t="inlineStr">
        <is>
          <t>North Platinum</t>
        </is>
      </c>
      <c r="B128" s="3" t="n">
        <v>430</v>
      </c>
      <c r="C128" s="8" t="inlineStr"/>
      <c r="D128" t="inlineStr">
        <is>
          <t>RDM</t>
        </is>
      </c>
      <c r="E128" s="4" t="n">
        <v>111</v>
      </c>
      <c r="F128" t="inlineStr"/>
      <c r="G128" t="inlineStr">
        <is>
          <t>10999 Friedrichshain-Kreuzberg - Kreuzberg</t>
        </is>
      </c>
      <c r="H128" s="5" t="n">
        <v>45556</v>
      </c>
      <c r="I128" t="inlineStr"/>
      <c r="J128" s="6">
        <f>HYPERLINK("https://www.kleinanzeigen.de/s-anzeige/north-platinum-aero-rdm-430-nur-oberteil/2869675143-230-9629", "Link")</f>
        <v/>
      </c>
      <c r="K128" s="6">
        <f>HYPERLINK("C:\Projects\Kleinanzeigen-Scraper\offer_images\2869675143", "Link")</f>
        <v/>
      </c>
      <c r="L128" t="inlineStr">
        <is>
          <t>Jan</t>
        </is>
      </c>
      <c r="M128" s="6">
        <f>HYPERLINK("https://www.kleinanzeigen.de/s-bestandsliste.html?userId=8219375", "Link")</f>
        <v/>
      </c>
      <c r="N128" s="7" t="n">
        <v>45557.56252314815</v>
      </c>
      <c r="O128" s="3" t="inlineStr">
        <is>
          <t>478.17</t>
        </is>
      </c>
      <c r="P128" t="inlineStr">
        <is>
          <t>Köln</t>
        </is>
      </c>
    </row>
    <row r="129">
      <c r="A129" t="inlineStr">
        <is>
          <t>Gaastra</t>
        </is>
      </c>
      <c r="B129" s="3" t="n">
        <v>430</v>
      </c>
      <c r="C129" s="8" t="inlineStr">
        <is>
          <t>75%</t>
        </is>
      </c>
      <c r="D129" t="inlineStr">
        <is>
          <t>RDM</t>
        </is>
      </c>
      <c r="E129" s="4" t="n">
        <v>150</v>
      </c>
      <c r="F129" t="inlineStr"/>
      <c r="G129" t="inlineStr">
        <is>
          <t>24937 Schleswig-Holstein - Flensburg</t>
        </is>
      </c>
      <c r="H129" s="5" t="n">
        <v>45557</v>
      </c>
      <c r="I129" t="inlineStr"/>
      <c r="J129" s="6">
        <f>HYPERLINK("https://www.kleinanzeigen.de/s-anzeige/gaastra-windsurf-mast-4-30-rdm/2870319910-230-718", "Link")</f>
        <v/>
      </c>
      <c r="K129" s="6">
        <f>HYPERLINK("C:\Projects\Kleinanzeigen-Scraper\offer_images\2870319910", "Link")</f>
        <v/>
      </c>
      <c r="L129" t="inlineStr">
        <is>
          <t>Dietmar Harbeck</t>
        </is>
      </c>
      <c r="M129" s="6">
        <f>HYPERLINK("https://www.kleinanzeigen.de/s-bestandsliste.html?userId=45089597", "Link")</f>
        <v/>
      </c>
      <c r="N129" s="7" t="n">
        <v>45557.56208333333</v>
      </c>
      <c r="O129" s="3" t="inlineStr">
        <is>
          <t>458.80</t>
        </is>
      </c>
      <c r="P129" t="inlineStr">
        <is>
          <t>Köln</t>
        </is>
      </c>
    </row>
    <row r="130">
      <c r="A130" t="inlineStr">
        <is>
          <t>Fanatic</t>
        </is>
      </c>
      <c r="B130" s="3" t="n">
        <v>82</v>
      </c>
      <c r="C130" s="8" t="inlineStr">
        <is>
          <t>100%</t>
        </is>
      </c>
      <c r="D130" t="inlineStr"/>
      <c r="E130" s="4" t="n">
        <v>750</v>
      </c>
      <c r="F130" t="inlineStr">
        <is>
          <t>VB</t>
        </is>
      </c>
      <c r="G130" t="inlineStr">
        <is>
          <t>24937 Schleswig-Holstein - Flensburg</t>
        </is>
      </c>
      <c r="H130" s="5" t="n">
        <v>45557</v>
      </c>
      <c r="I130" t="inlineStr">
        <is>
          <t>Sold</t>
        </is>
      </c>
      <c r="J130" s="6">
        <f>HYPERLINK("https://www.kleinanzeigen.de/s-anzeige/fanatic-duotone-carbon-mast-fuselage-foil-wing/2870636263-230-718", "Link")</f>
        <v/>
      </c>
      <c r="K130" s="6">
        <f>HYPERLINK("C:\Projects\Kleinanzeigen-Scraper\offer_images\2870636263", "Link")</f>
        <v/>
      </c>
      <c r="L130" t="inlineStr">
        <is>
          <t>Markus</t>
        </is>
      </c>
      <c r="M130" s="6">
        <f>HYPERLINK("https://www.kleinanzeigen.de/s-bestandsliste.html?userId=5810282", "Link")</f>
        <v/>
      </c>
      <c r="N130" s="7" t="n">
        <v>45557.5619212963</v>
      </c>
      <c r="O130" s="3" t="inlineStr">
        <is>
          <t>458.80</t>
        </is>
      </c>
      <c r="P130" t="inlineStr">
        <is>
          <t>Köln</t>
        </is>
      </c>
    </row>
    <row r="131">
      <c r="A131" t="inlineStr">
        <is>
          <t>Severne Apex Pro</t>
        </is>
      </c>
      <c r="B131" s="3" t="n">
        <v>400</v>
      </c>
      <c r="C131" s="8" t="inlineStr"/>
      <c r="D131" t="inlineStr">
        <is>
          <t>SDM</t>
        </is>
      </c>
      <c r="E131" s="4" t="n">
        <v>300</v>
      </c>
      <c r="F131" t="inlineStr"/>
      <c r="G131" t="inlineStr">
        <is>
          <t>95030 Bayern - Hof (Saale)</t>
        </is>
      </c>
      <c r="H131" s="5" t="n">
        <v>45544</v>
      </c>
      <c r="I131" t="inlineStr">
        <is>
          <t>Sold</t>
        </is>
      </c>
      <c r="J131" s="6">
        <f>HYPERLINK("https://www.kleinanzeigen.de/s-anzeige/mast-severne-apex-pro-sdm-400-cm-mitnahme-aus-hof-franken-richt/2858287124-230-7245", "Link")</f>
        <v/>
      </c>
      <c r="K131" s="6">
        <f>HYPERLINK("C:\Projects\Kleinanzeigen-Scraper\offer_images\2858287124", "Link")</f>
        <v/>
      </c>
      <c r="L131" t="inlineStr">
        <is>
          <t>Boris Radeleff</t>
        </is>
      </c>
      <c r="M131" s="6">
        <f>HYPERLINK("https://www.kleinanzeigen.de/s-bestandsliste.html?userId=25551597", "Link")</f>
        <v/>
      </c>
      <c r="N131" s="7" t="n">
        <v>45557.56065972222</v>
      </c>
      <c r="O131" s="3" t="inlineStr">
        <is>
          <t>243.39</t>
        </is>
      </c>
      <c r="P131" t="inlineStr">
        <is>
          <t>München</t>
        </is>
      </c>
    </row>
    <row r="132">
      <c r="A132" t="inlineStr">
        <is>
          <t>PROLIMIT</t>
        </is>
      </c>
      <c r="B132" s="3" t="n">
        <v>56</v>
      </c>
      <c r="C132" s="8" t="inlineStr">
        <is>
          <t>100%</t>
        </is>
      </c>
      <c r="D132" t="inlineStr">
        <is>
          <t>RDM</t>
        </is>
      </c>
      <c r="E132" s="4" t="n">
        <v>70</v>
      </c>
      <c r="F132" t="inlineStr"/>
      <c r="G132" t="inlineStr">
        <is>
          <t>22043 Wandsbek - Hamburg Marienthal</t>
        </is>
      </c>
      <c r="H132" s="5" t="n">
        <v>45556</v>
      </c>
      <c r="I132" t="inlineStr">
        <is>
          <t>Sold</t>
        </is>
      </c>
      <c r="J132" s="6">
        <f>HYPERLINK("https://www.kleinanzeigen.de/s-anzeige/prolimit-rdm-mastfuss-100-full-carbon-56cm-xxl-duotone-north/2869609620-230-23510", "Link")</f>
        <v/>
      </c>
      <c r="K132" s="6">
        <f>HYPERLINK("C:\Projects\Kleinanzeigen-Scraper\offer_images\2869609620", "Link")</f>
        <v/>
      </c>
      <c r="L132" t="inlineStr">
        <is>
          <t>Marcus</t>
        </is>
      </c>
      <c r="M132" s="6">
        <f>HYPERLINK("https://www.kleinanzeigen.de/s-bestandsliste.html?userId=19486548", "Link")</f>
        <v/>
      </c>
      <c r="N132" s="7" t="n">
        <v>45557.55975694444</v>
      </c>
      <c r="O132" s="3" t="inlineStr">
        <is>
          <t>362.40</t>
        </is>
      </c>
      <c r="P132" t="inlineStr">
        <is>
          <t>Köln</t>
        </is>
      </c>
    </row>
    <row r="133">
      <c r="A133" t="inlineStr">
        <is>
          <t>RRD Dynamic Pro Comp C100</t>
        </is>
      </c>
      <c r="B133" s="3" t="n">
        <v>460</v>
      </c>
      <c r="C133" s="8" t="inlineStr">
        <is>
          <t>100%</t>
        </is>
      </c>
      <c r="D133" t="inlineStr">
        <is>
          <t>RDM</t>
        </is>
      </c>
      <c r="E133" s="4" t="n">
        <v>350</v>
      </c>
      <c r="F133" t="inlineStr"/>
      <c r="G133" t="inlineStr">
        <is>
          <t>58540 Sauerland -NRW</t>
        </is>
      </c>
      <c r="H133" s="5" t="n">
        <v>45556</v>
      </c>
      <c r="I133" t="inlineStr">
        <is>
          <t>Sold</t>
        </is>
      </c>
      <c r="J133" s="6">
        <f>HYPERLINK("https://www.dailydose.de/kleinanzeigen/detail.htm?ai=422975&amp;cf=kk&amp;pg=1&amp;ci=2", "Link")</f>
        <v/>
      </c>
      <c r="K133" s="6">
        <f>HYPERLINK("C:\Projects\Kleinanzeigen-Scraper\offer_images\422975", "Link")</f>
        <v/>
      </c>
      <c r="L133" t="inlineStr">
        <is>
          <t>tivitac</t>
        </is>
      </c>
      <c r="M133" s="6">
        <f>HYPERLINK("https://www.dailydose.de/kleinanzeigen/user/1938", "Link")</f>
        <v/>
      </c>
      <c r="N133" s="7" t="n">
        <v>45556.94792824074</v>
      </c>
      <c r="O133" s="3" t="inlineStr">
        <is>
          <t>56.25</t>
        </is>
      </c>
      <c r="P133" t="inlineStr">
        <is>
          <t>Köln</t>
        </is>
      </c>
    </row>
    <row r="134">
      <c r="A134" t="inlineStr">
        <is>
          <t>XENON Freerace</t>
        </is>
      </c>
      <c r="B134" s="3" t="n">
        <v>460</v>
      </c>
      <c r="C134" s="8" t="inlineStr">
        <is>
          <t>65%</t>
        </is>
      </c>
      <c r="D134" t="inlineStr">
        <is>
          <t>SDM</t>
        </is>
      </c>
      <c r="E134" s="4" t="n">
        <v>40</v>
      </c>
      <c r="F134" t="inlineStr"/>
      <c r="G134" t="inlineStr">
        <is>
          <t>38678</t>
        </is>
      </c>
      <c r="H134" s="5" t="n">
        <v>45556</v>
      </c>
      <c r="I134" t="inlineStr">
        <is>
          <t>Sold</t>
        </is>
      </c>
      <c r="J134" s="6">
        <f>HYPERLINK("https://www.dailydose.de/kleinanzeigen/detail.htm?ai=422956&amp;cf=kk&amp;pg=1&amp;ci=2", "Link")</f>
        <v/>
      </c>
      <c r="K134" s="6">
        <f>HYPERLINK("C:\Projects\Kleinanzeigen-Scraper\offer_images\422956", "Link")</f>
        <v/>
      </c>
      <c r="L134" t="inlineStr">
        <is>
          <t>J.A.</t>
        </is>
      </c>
      <c r="M134" s="6">
        <f>HYPERLINK("https://www.dailydose.de/kleinanzeigen/user/3313", "Link")</f>
        <v/>
      </c>
      <c r="N134" s="7" t="n">
        <v>45556.94704861111</v>
      </c>
      <c r="O134" s="3" t="inlineStr">
        <is>
          <t>254.15</t>
        </is>
      </c>
      <c r="P134" t="inlineStr">
        <is>
          <t>Köln</t>
        </is>
      </c>
    </row>
    <row r="135">
      <c r="A135" t="inlineStr">
        <is>
          <t>RRD Dynamic Pro</t>
        </is>
      </c>
      <c r="B135" s="3" t="n">
        <v>400</v>
      </c>
      <c r="C135" s="8" t="inlineStr">
        <is>
          <t>100%</t>
        </is>
      </c>
      <c r="D135" t="inlineStr">
        <is>
          <t>RDM</t>
        </is>
      </c>
      <c r="E135" s="4" t="n">
        <v>280</v>
      </c>
      <c r="F135" t="inlineStr"/>
      <c r="G135" t="inlineStr">
        <is>
          <t>58540 Sauerland -NRW</t>
        </is>
      </c>
      <c r="H135" s="5" t="n">
        <v>45556</v>
      </c>
      <c r="I135" t="inlineStr">
        <is>
          <t>Sold</t>
        </is>
      </c>
      <c r="J135" s="6">
        <f>HYPERLINK("https://www.dailydose.de/kleinanzeigen/detail.htm?ai=422974&amp;cf=kk&amp;pg=1&amp;ci=2", "Link")</f>
        <v/>
      </c>
      <c r="K135" s="6">
        <f>HYPERLINK("C:\Projects\Kleinanzeigen-Scraper\offer_images\422974", "Link")</f>
        <v/>
      </c>
      <c r="L135" t="inlineStr">
        <is>
          <t>tivitac</t>
        </is>
      </c>
      <c r="M135" s="6">
        <f>HYPERLINK("https://www.dailydose.de/kleinanzeigen/user/1938", "Link")</f>
        <v/>
      </c>
      <c r="N135" s="7" t="n">
        <v>45556.94662037037</v>
      </c>
      <c r="O135" s="3" t="inlineStr">
        <is>
          <t>56.25</t>
        </is>
      </c>
      <c r="P135" t="inlineStr">
        <is>
          <t>Köln</t>
        </is>
      </c>
    </row>
    <row r="136">
      <c r="A136" t="inlineStr">
        <is>
          <t>NP RDM X6</t>
        </is>
      </c>
      <c r="B136" s="3" t="n">
        <v>400</v>
      </c>
      <c r="C136" s="8" t="inlineStr">
        <is>
          <t>50%</t>
        </is>
      </c>
      <c r="D136" t="inlineStr">
        <is>
          <t>RDM</t>
        </is>
      </c>
      <c r="E136" s="4" t="n">
        <v>120</v>
      </c>
      <c r="F136" t="inlineStr"/>
      <c r="G136" t="inlineStr">
        <is>
          <t>69469 Weinheim / Bergstr.</t>
        </is>
      </c>
      <c r="H136" s="5" t="n">
        <v>45556</v>
      </c>
      <c r="I136" t="inlineStr"/>
      <c r="J136" s="6">
        <f>HYPERLINK("https://www.dailydose.de/kleinanzeigen/detail.htm?ai=422962&amp;cf=kk&amp;pg=2&amp;ci=2", "Link")</f>
        <v/>
      </c>
      <c r="K136" s="6">
        <f>HYPERLINK("C:\Projects\Kleinanzeigen-Scraper\offer_images\422962", "Link")</f>
        <v/>
      </c>
      <c r="L136" t="inlineStr">
        <is>
          <t>arnold</t>
        </is>
      </c>
      <c r="M136" s="6">
        <f>HYPERLINK("https://www.dailydose.de/kleinanzeigen/user/3041", "Link")</f>
        <v/>
      </c>
      <c r="N136" s="7" t="n">
        <v>45556.94652777778</v>
      </c>
      <c r="O136" s="3" t="inlineStr">
        <is>
          <t>62.48</t>
        </is>
      </c>
      <c r="P136" t="inlineStr">
        <is>
          <t>Karlsruhe</t>
        </is>
      </c>
    </row>
    <row r="137">
      <c r="A137" t="inlineStr">
        <is>
          <t>Unifiber</t>
        </is>
      </c>
      <c r="B137" s="3" t="n">
        <v>340</v>
      </c>
      <c r="C137" s="8" t="inlineStr">
        <is>
          <t>80%</t>
        </is>
      </c>
      <c r="D137" t="inlineStr">
        <is>
          <t>RDM</t>
        </is>
      </c>
      <c r="E137" s="4" t="n">
        <v>150</v>
      </c>
      <c r="F137" t="inlineStr"/>
      <c r="G137" t="inlineStr">
        <is>
          <t>23775 Großenbrode</t>
        </is>
      </c>
      <c r="H137" s="5" t="n">
        <v>45556</v>
      </c>
      <c r="I137" t="inlineStr">
        <is>
          <t>Sold</t>
        </is>
      </c>
      <c r="J137" s="6">
        <f>HYPERLINK("https://www.dailydose.de/kleinanzeigen/detail.htm?ai=422931&amp;cf=kk&amp;pg=1&amp;ci=2", "Link")</f>
        <v/>
      </c>
      <c r="K137" s="6">
        <f>HYPERLINK("C:\Projects\Kleinanzeigen-Scraper\offer_images\422931", "Link")</f>
        <v/>
      </c>
      <c r="L137" t="inlineStr">
        <is>
          <t>Holger_156</t>
        </is>
      </c>
      <c r="M137" s="6">
        <f>HYPERLINK("https://www.dailydose.de/kleinanzeigen/user/10571", "Link")</f>
        <v/>
      </c>
      <c r="N137" s="7" t="n">
        <v>45556.9452662037</v>
      </c>
      <c r="O137" s="3" t="inlineStr">
        <is>
          <t>471.97</t>
        </is>
      </c>
      <c r="P137" t="inlineStr">
        <is>
          <t>Köln</t>
        </is>
      </c>
    </row>
    <row r="138">
      <c r="A138" t="inlineStr">
        <is>
          <t>Gunsails Expert</t>
        </is>
      </c>
      <c r="B138" s="3" t="n">
        <v>460</v>
      </c>
      <c r="C138" s="8" t="inlineStr">
        <is>
          <t>75%</t>
        </is>
      </c>
      <c r="D138" t="inlineStr">
        <is>
          <t>SDM</t>
        </is>
      </c>
      <c r="E138" s="4" t="n">
        <v>200</v>
      </c>
      <c r="F138" t="inlineStr"/>
      <c r="G138" t="inlineStr">
        <is>
          <t>6212 Maurach am Achensee</t>
        </is>
      </c>
      <c r="H138" s="5" t="n">
        <v>45555</v>
      </c>
      <c r="I138" t="inlineStr"/>
      <c r="J138" s="6">
        <f>HYPERLINK("https://www.dailydose.de/kleinanzeigen/detail.htm?ai=422885&amp;cf=kk&amp;pg=2&amp;ci=2", "Link")</f>
        <v/>
      </c>
      <c r="K138" s="6">
        <f>HYPERLINK("C:\Projects\Kleinanzeigen-Scraper\offer_images\422885", "Link")</f>
        <v/>
      </c>
      <c r="L138" t="inlineStr">
        <is>
          <t>Patrick_66</t>
        </is>
      </c>
      <c r="M138" s="6">
        <f>HYPERLINK("https://www.dailydose.de/kleinanzeigen/user/18672", "Link")</f>
        <v/>
      </c>
      <c r="N138" s="7" t="n">
        <v>45556.94456018518</v>
      </c>
      <c r="O138" s="3" t="inlineStr">
        <is>
          <t>80.30</t>
        </is>
      </c>
      <c r="P138" t="inlineStr">
        <is>
          <t>München</t>
        </is>
      </c>
    </row>
    <row r="139">
      <c r="A139" t="inlineStr">
        <is>
          <t>Neilpryde SPX</t>
        </is>
      </c>
      <c r="B139" s="3" t="n">
        <v>430</v>
      </c>
      <c r="C139" s="8" t="inlineStr">
        <is>
          <t>90%</t>
        </is>
      </c>
      <c r="D139" t="inlineStr">
        <is>
          <t>RDM</t>
        </is>
      </c>
      <c r="E139" s="4" t="n">
        <v>350</v>
      </c>
      <c r="F139" t="inlineStr"/>
      <c r="G139" t="inlineStr">
        <is>
          <t>6212 Maurach am Achensee</t>
        </is>
      </c>
      <c r="H139" s="5" t="n">
        <v>45555</v>
      </c>
      <c r="I139" t="inlineStr"/>
      <c r="J139" s="6">
        <f>HYPERLINK("https://www.dailydose.de/kleinanzeigen/detail.htm?ai=422883&amp;cf=kk&amp;pg=2&amp;ci=2", "Link")</f>
        <v/>
      </c>
      <c r="K139" s="6">
        <f>HYPERLINK("C:\Projects\Kleinanzeigen-Scraper\offer_images\422883", "Link")</f>
        <v/>
      </c>
      <c r="L139" t="inlineStr">
        <is>
          <t>Patrick_66</t>
        </is>
      </c>
      <c r="M139" s="6">
        <f>HYPERLINK("https://www.dailydose.de/kleinanzeigen/user/18672", "Link")</f>
        <v/>
      </c>
      <c r="N139" s="7" t="n">
        <v>45556.94436342592</v>
      </c>
      <c r="O139" s="3" t="inlineStr">
        <is>
          <t>80.30</t>
        </is>
      </c>
      <c r="P139" t="inlineStr">
        <is>
          <t>München</t>
        </is>
      </c>
    </row>
    <row r="140">
      <c r="A140" t="inlineStr">
        <is>
          <t>Gaastra 60</t>
        </is>
      </c>
      <c r="B140" s="3" t="n">
        <v>400</v>
      </c>
      <c r="C140" s="8" t="inlineStr">
        <is>
          <t>60%</t>
        </is>
      </c>
      <c r="D140" t="inlineStr">
        <is>
          <t>RDM</t>
        </is>
      </c>
      <c r="E140" s="4" t="n">
        <v>40</v>
      </c>
      <c r="F140" t="inlineStr"/>
      <c r="G140" t="inlineStr">
        <is>
          <t>18059 Rostock - Südstadt</t>
        </is>
      </c>
      <c r="H140" s="5" t="n">
        <v>45555</v>
      </c>
      <c r="I140" t="inlineStr">
        <is>
          <t>Sold</t>
        </is>
      </c>
      <c r="J140" s="6">
        <f>HYPERLINK("https://www.kleinanzeigen.de/s-anzeige/windsurf-mast-rdm-400-gaastra-60/2868881833-230-13049", "Link")</f>
        <v/>
      </c>
      <c r="K140" s="6">
        <f>HYPERLINK("C:\Projects\Kleinanzeigen-Scraper\offer_images\2868881833", "Link")</f>
        <v/>
      </c>
      <c r="L140" t="inlineStr">
        <is>
          <t>Martin Wentzel</t>
        </is>
      </c>
      <c r="M140" s="6">
        <f>HYPERLINK("https://www.kleinanzeigen.de/s-bestandsliste.html?userId=18974115", "Link")</f>
        <v/>
      </c>
      <c r="N140" s="7" t="n">
        <v>45556.94349537037</v>
      </c>
      <c r="O140" s="3" t="inlineStr">
        <is>
          <t>489.44</t>
        </is>
      </c>
      <c r="P140" t="inlineStr">
        <is>
          <t>Köln</t>
        </is>
      </c>
    </row>
    <row r="141">
      <c r="A141" t="inlineStr">
        <is>
          <t>Sailloft</t>
        </is>
      </c>
      <c r="B141" s="3" t="n">
        <v>430</v>
      </c>
      <c r="C141" s="8" t="inlineStr"/>
      <c r="D141" t="inlineStr"/>
      <c r="E141" s="4" t="n">
        <v>145</v>
      </c>
      <c r="F141" t="inlineStr">
        <is>
          <t>VB</t>
        </is>
      </c>
      <c r="G141" t="inlineStr">
        <is>
          <t>36037 Hessen - Fulda</t>
        </is>
      </c>
      <c r="H141" s="5" t="n">
        <v>45522</v>
      </c>
      <c r="I141" t="inlineStr"/>
      <c r="J141" s="6">
        <f>HYPERLINK("https://www.kleinanzeigen.de/s-anzeige/surfmast-sailloft-230-neuwertig/2840173409-230-4885", "Link")</f>
        <v/>
      </c>
      <c r="K141" s="6">
        <f>HYPERLINK("C:\Projects\Kleinanzeigen-Scraper\offer_images\2840173409", "Link")</f>
        <v/>
      </c>
      <c r="L141" t="inlineStr">
        <is>
          <t>Tobias M.</t>
        </is>
      </c>
      <c r="M141" s="6">
        <f>HYPERLINK("https://www.kleinanzeigen.de/s-bestandsliste.html?userId=3798157", "Link")</f>
        <v/>
      </c>
      <c r="N141" s="7" t="n">
        <v>45556.94318287037</v>
      </c>
      <c r="O141" s="3" t="inlineStr">
        <is>
          <t>195.49</t>
        </is>
      </c>
      <c r="P141" t="inlineStr">
        <is>
          <t>Karlsruhe</t>
        </is>
      </c>
    </row>
    <row r="142">
      <c r="A142" t="inlineStr">
        <is>
          <t>Neilpryde TPX 100</t>
        </is>
      </c>
      <c r="B142" s="3" t="n">
        <v>520</v>
      </c>
      <c r="C142" s="8" t="inlineStr">
        <is>
          <t>100%</t>
        </is>
      </c>
      <c r="D142" t="inlineStr"/>
      <c r="E142" s="4" t="n">
        <v>525</v>
      </c>
      <c r="F142" t="inlineStr"/>
      <c r="G142" t="inlineStr">
        <is>
          <t>75334 Baden-Württemberg - Straubenhardt</t>
        </is>
      </c>
      <c r="H142" s="5" t="n">
        <v>45556</v>
      </c>
      <c r="I142" t="inlineStr"/>
      <c r="J142" s="6">
        <f>HYPERLINK("https://www.kleinanzeigen.de/s-anzeige/carbonmast-neilpryde-tpx-100-520-aus-2023/2870102147-230-8117", "Link")</f>
        <v/>
      </c>
      <c r="K142" s="6">
        <f>HYPERLINK("C:\Projects\Kleinanzeigen-Scraper\offer_images\2870102147", "Link")</f>
        <v/>
      </c>
      <c r="L142" t="inlineStr">
        <is>
          <t>Björn</t>
        </is>
      </c>
      <c r="M142" s="6">
        <f>HYPERLINK("https://www.kleinanzeigen.de/s-bestandsliste.html?userId=29930593", "Link")</f>
        <v/>
      </c>
      <c r="N142" s="7" t="n">
        <v>45556.94300925926</v>
      </c>
      <c r="O142" s="3" t="inlineStr">
        <is>
          <t>21.11</t>
        </is>
      </c>
      <c r="P142" t="inlineStr">
        <is>
          <t>Karlsruhe</t>
        </is>
      </c>
    </row>
    <row r="143">
      <c r="A143" t="inlineStr">
        <is>
          <t>FANATIC MAST DYNAMIC CURVE Flex TOP</t>
        </is>
      </c>
      <c r="B143" s="3" t="inlineStr"/>
      <c r="C143" s="8" t="inlineStr"/>
      <c r="D143" t="inlineStr"/>
      <c r="E143" s="4" t="n">
        <v>20</v>
      </c>
      <c r="F143" t="inlineStr"/>
      <c r="G143" t="inlineStr">
        <is>
          <t>72800 Baden-Württemberg - Eningen</t>
        </is>
      </c>
      <c r="H143" s="5" t="n">
        <v>45550</v>
      </c>
      <c r="I143" t="inlineStr">
        <is>
          <t>Sold</t>
        </is>
      </c>
      <c r="J143" s="6">
        <f>HYPERLINK("https://www.kleinanzeigen.de/s-anzeige/fanatic-mast-dynamic-curve-flex-top/2864858729-230-9352", "Link")</f>
        <v/>
      </c>
      <c r="K143" s="6">
        <f>HYPERLINK("C:\Projects\Kleinanzeigen-Scraper\offer_images\2864858729", "Link")</f>
        <v/>
      </c>
      <c r="L143" t="inlineStr">
        <is>
          <t>Dani</t>
        </is>
      </c>
      <c r="M143" s="6">
        <f>HYPERLINK("https://www.kleinanzeigen.de/s-bestandsliste.html?userId=26319259", "Link")</f>
        <v/>
      </c>
      <c r="N143" s="7" t="n">
        <v>45556.94299768518</v>
      </c>
      <c r="O143" s="3" t="inlineStr">
        <is>
          <t>31.30</t>
        </is>
      </c>
      <c r="P143" t="inlineStr">
        <is>
          <t>Böblingen</t>
        </is>
      </c>
    </row>
    <row r="144">
      <c r="A144" t="inlineStr">
        <is>
          <t>Unifiber Flextop</t>
        </is>
      </c>
      <c r="B144" s="3" t="n">
        <v>430</v>
      </c>
      <c r="C144" s="8" t="inlineStr">
        <is>
          <t>60%</t>
        </is>
      </c>
      <c r="D144" t="inlineStr"/>
      <c r="E144" s="4" t="n">
        <v>109</v>
      </c>
      <c r="F144" t="inlineStr">
        <is>
          <t>VB</t>
        </is>
      </c>
      <c r="G144" t="inlineStr">
        <is>
          <t>24536 Schleswig-Holstein - Neumünster</t>
        </is>
      </c>
      <c r="H144" s="5" t="n">
        <v>45555</v>
      </c>
      <c r="I144" t="inlineStr"/>
      <c r="J144" s="6">
        <f>HYPERLINK("https://www.kleinanzeigen.de/s-anzeige/unifiber-flextop-430-c60-surfmast-z-b-fuer-neilpryde-segel/2869180543-230-20567", "Link")</f>
        <v/>
      </c>
      <c r="K144" s="6">
        <f>HYPERLINK("C:\Projects\Kleinanzeigen-Scraper\offer_images\2869180543", "Link")</f>
        <v/>
      </c>
      <c r="L144" t="inlineStr">
        <is>
          <t>Arne Rohkohl</t>
        </is>
      </c>
      <c r="M144" s="6">
        <f>HYPERLINK("https://www.kleinanzeigen.de/s-bestandsliste.html?userId=22682883", "Link")</f>
        <v/>
      </c>
      <c r="N144" s="7" t="n">
        <v>45556.94188657407</v>
      </c>
      <c r="O144" s="3" t="inlineStr">
        <is>
          <t>408.57</t>
        </is>
      </c>
      <c r="P144" t="inlineStr">
        <is>
          <t>Köln</t>
        </is>
      </c>
    </row>
    <row r="145">
      <c r="A145" t="inlineStr">
        <is>
          <t>Sailloft Reflex</t>
        </is>
      </c>
      <c r="B145" s="3" t="n">
        <v>430</v>
      </c>
      <c r="C145" s="8" t="n">
        <v>80</v>
      </c>
      <c r="D145" t="inlineStr">
        <is>
          <t>SDM</t>
        </is>
      </c>
      <c r="E145" s="4" t="n">
        <v>230</v>
      </c>
      <c r="F145" t="inlineStr">
        <is>
          <t>VB</t>
        </is>
      </c>
      <c r="G145" t="inlineStr">
        <is>
          <t>32108 Nordrhein-Westfalen - Bad Salzuflen</t>
        </is>
      </c>
      <c r="H145" s="5" t="n">
        <v>45510</v>
      </c>
      <c r="I145" t="inlineStr"/>
      <c r="J145" s="6">
        <f>HYPERLINK("https://www.kleinanzeigen.de/s-anzeige/windsurf-mast-sailloft-reflex-sdm-430-c80/2830658706-230-1900", "Link")</f>
        <v/>
      </c>
      <c r="K145" s="6">
        <f>HYPERLINK("C:\Projects\Kleinanzeigen-Scraper\offer_images\2830658706", "Link")</f>
        <v/>
      </c>
      <c r="L145" t="inlineStr">
        <is>
          <t>ARBS</t>
        </is>
      </c>
      <c r="M145" s="6">
        <f>HYPERLINK("https://www.kleinanzeigen.de/s-bestandsliste.html?userId=4066764", "Link")</f>
        <v/>
      </c>
      <c r="N145" s="7" t="n">
        <v>45556.9412962963</v>
      </c>
      <c r="O145" s="3" t="inlineStr">
        <is>
          <t>180.99</t>
        </is>
      </c>
      <c r="P145" t="inlineStr">
        <is>
          <t>Köln</t>
        </is>
      </c>
    </row>
    <row r="146">
      <c r="A146" t="inlineStr">
        <is>
          <t>Neil Pryde X6</t>
        </is>
      </c>
      <c r="B146" s="3" t="n">
        <v>490</v>
      </c>
      <c r="C146" s="8" t="inlineStr"/>
      <c r="D146" t="inlineStr">
        <is>
          <t>SDM</t>
        </is>
      </c>
      <c r="E146" s="4" t="n">
        <v>140</v>
      </c>
      <c r="F146" t="inlineStr"/>
      <c r="G146" t="inlineStr">
        <is>
          <t>76448 Baden-Württemberg - Durmersheim</t>
        </is>
      </c>
      <c r="H146" s="5" t="n">
        <v>45546</v>
      </c>
      <c r="I146" t="inlineStr">
        <is>
          <t>Sold</t>
        </is>
      </c>
      <c r="J146" s="6">
        <f>HYPERLINK("https://www.kleinanzeigen.de/s-anzeige/surfmast-neil-pryde-x6-490-sdm-windsurfen/2860413029-230-8165", "Link")</f>
        <v/>
      </c>
      <c r="K146" s="6">
        <f>HYPERLINK("C:\Projects\Kleinanzeigen-Scraper\offer_images\2860413029", "Link")</f>
        <v/>
      </c>
      <c r="L146" t="inlineStr">
        <is>
          <t>Thomas S.</t>
        </is>
      </c>
      <c r="M146" s="6">
        <f>HYPERLINK("https://www.kleinanzeigen.de/s-bestandsliste.html?userId=61821198", "Link")</f>
        <v/>
      </c>
      <c r="N146" s="7" t="n">
        <v>45556.9396875</v>
      </c>
      <c r="O146" s="3" t="inlineStr">
        <is>
          <t>10.55</t>
        </is>
      </c>
      <c r="P146" t="inlineStr">
        <is>
          <t>Karlsruhe</t>
        </is>
      </c>
    </row>
    <row r="147">
      <c r="A147" t="inlineStr">
        <is>
          <t>Unifiber C80</t>
        </is>
      </c>
      <c r="B147" s="3" t="n">
        <v>370</v>
      </c>
      <c r="C147" s="8" t="inlineStr"/>
      <c r="D147" t="inlineStr">
        <is>
          <t>RDM</t>
        </is>
      </c>
      <c r="E147" s="4" t="n">
        <v>250</v>
      </c>
      <c r="F147" t="inlineStr">
        <is>
          <t>VB</t>
        </is>
      </c>
      <c r="G147" t="inlineStr">
        <is>
          <t>24107 Kiel - Suchsdorf</t>
        </is>
      </c>
      <c r="H147" s="5" t="n">
        <v>45555</v>
      </c>
      <c r="I147" t="inlineStr"/>
      <c r="J147" s="6">
        <f>HYPERLINK("https://www.kleinanzeigen.de/s-anzeige/unifiber-c80-370cm-rdm-mast-windsurfen/2868976549-230-11840", "Link")</f>
        <v/>
      </c>
      <c r="K147" s="6">
        <f>HYPERLINK("C:\Projects\Kleinanzeigen-Scraper\offer_images\2868976549", "Link")</f>
        <v/>
      </c>
      <c r="L147" t="inlineStr">
        <is>
          <t>Felix Rother</t>
        </is>
      </c>
      <c r="M147" s="6">
        <f>HYPERLINK("https://www.kleinanzeigen.de/s-bestandsliste.html?userId=45539522", "Link")</f>
        <v/>
      </c>
      <c r="N147" s="7" t="n">
        <v>45556.93928240741</v>
      </c>
      <c r="O147" s="3" t="inlineStr">
        <is>
          <t>432.01</t>
        </is>
      </c>
      <c r="P147" t="inlineStr">
        <is>
          <t>Köln</t>
        </is>
      </c>
    </row>
    <row r="148">
      <c r="A148" t="inlineStr">
        <is>
          <t>SRX C40</t>
        </is>
      </c>
      <c r="B148" s="3" t="n">
        <v>370</v>
      </c>
      <c r="C148" s="8" t="inlineStr">
        <is>
          <t>40%</t>
        </is>
      </c>
      <c r="D148" t="inlineStr">
        <is>
          <t>RDM</t>
        </is>
      </c>
      <c r="E148" s="4" t="n">
        <v>65</v>
      </c>
      <c r="F148" t="inlineStr">
        <is>
          <t>VB</t>
        </is>
      </c>
      <c r="G148" t="inlineStr">
        <is>
          <t>88048 Baden-Württemberg - Friedrichshafen</t>
        </is>
      </c>
      <c r="H148" s="5" t="n">
        <v>45556</v>
      </c>
      <c r="I148" t="inlineStr"/>
      <c r="J148" s="6">
        <f>HYPERLINK("https://www.kleinanzeigen.de/s-anzeige/windsurf-mast-rdm-srx-c40-370/2869618345-230-9212", "Link")</f>
        <v/>
      </c>
      <c r="K148" s="6">
        <f>HYPERLINK("C:\Projects\Kleinanzeigen-Scraper\offer_images\2869618345", "Link")</f>
        <v/>
      </c>
      <c r="L148" t="inlineStr">
        <is>
          <t>Lotti Maier</t>
        </is>
      </c>
      <c r="M148" s="6">
        <f>HYPERLINK("https://www.kleinanzeigen.de/s-bestandsliste.html?userId=16045975", "Link")</f>
        <v/>
      </c>
      <c r="N148" s="7" t="n">
        <v>45556.93903935186</v>
      </c>
      <c r="O148" s="3" t="inlineStr">
        <is>
          <t>87.69</t>
        </is>
      </c>
      <c r="P148" t="inlineStr">
        <is>
          <t>Bonndorf</t>
        </is>
      </c>
    </row>
    <row r="149">
      <c r="A149" t="inlineStr">
        <is>
          <t>UNIFIBER Neilpryde</t>
        </is>
      </c>
      <c r="B149" s="3" t="n">
        <v>430</v>
      </c>
      <c r="C149" s="8" t="inlineStr">
        <is>
          <t>80%</t>
        </is>
      </c>
      <c r="D149" t="inlineStr">
        <is>
          <t>RDM</t>
        </is>
      </c>
      <c r="E149" s="4" t="n">
        <v>165</v>
      </c>
      <c r="F149" t="inlineStr"/>
      <c r="G149" t="inlineStr">
        <is>
          <t>22043 Wandsbek - Hamburg Marienthal</t>
        </is>
      </c>
      <c r="H149" s="5" t="n">
        <v>45556</v>
      </c>
      <c r="I149" t="inlineStr"/>
      <c r="J149" s="6">
        <f>HYPERLINK("https://www.kleinanzeigen.de/s-anzeige/unifiber-neilpryde-430-rdm-flex-top-80-carbon-mast/2869606898-230-23510", "Link")</f>
        <v/>
      </c>
      <c r="K149" s="6">
        <f>HYPERLINK("C:\Projects\Kleinanzeigen-Scraper\offer_images\2869606898", "Link")</f>
        <v/>
      </c>
      <c r="L149" t="inlineStr">
        <is>
          <t>Marcus</t>
        </is>
      </c>
      <c r="M149" s="6">
        <f>HYPERLINK("https://www.kleinanzeigen.de/s-bestandsliste.html?userId=19486548", "Link")</f>
        <v/>
      </c>
      <c r="N149" s="7" t="n">
        <v>45556.93861111111</v>
      </c>
      <c r="O149" s="3" t="inlineStr">
        <is>
          <t>362.40</t>
        </is>
      </c>
      <c r="P149" t="inlineStr">
        <is>
          <t>Köln</t>
        </is>
      </c>
    </row>
    <row r="150">
      <c r="A150" t="inlineStr">
        <is>
          <t>Sailloft</t>
        </is>
      </c>
      <c r="B150" s="3" t="n">
        <v>460</v>
      </c>
      <c r="C150" s="8" t="inlineStr"/>
      <c r="D150" t="inlineStr"/>
      <c r="E150" s="4" t="n">
        <v>150</v>
      </c>
      <c r="F150" t="inlineStr">
        <is>
          <t>VB</t>
        </is>
      </c>
      <c r="G150" t="inlineStr">
        <is>
          <t>36037 Hessen - Fulda</t>
        </is>
      </c>
      <c r="H150" s="5" t="n">
        <v>45522</v>
      </c>
      <c r="I150" t="inlineStr">
        <is>
          <t>Sold</t>
        </is>
      </c>
      <c r="J150" s="6">
        <f>HYPERLINK("https://www.kleinanzeigen.de/s-anzeige/surfmast-sailloft-260-neuwertig/2840177271-230-4885", "Link")</f>
        <v/>
      </c>
      <c r="K150" s="6">
        <f>HYPERLINK("C:\Projects\Kleinanzeigen-Scraper\offer_images\2840177271", "Link")</f>
        <v/>
      </c>
      <c r="L150" t="inlineStr">
        <is>
          <t>Tobias M.</t>
        </is>
      </c>
      <c r="M150" s="6">
        <f>HYPERLINK("https://www.kleinanzeigen.de/s-bestandsliste.html?userId=3798157", "Link")</f>
        <v/>
      </c>
      <c r="N150" s="7" t="n">
        <v>45556.9371875</v>
      </c>
      <c r="O150" s="3" t="inlineStr">
        <is>
          <t>195.49</t>
        </is>
      </c>
      <c r="P150" t="inlineStr">
        <is>
          <t>Karlsruhe</t>
        </is>
      </c>
    </row>
    <row r="151">
      <c r="A151" t="inlineStr">
        <is>
          <t>Gun Sails Cross Wave</t>
        </is>
      </c>
      <c r="B151" s="3" t="n">
        <v>400</v>
      </c>
      <c r="C151" s="8" t="inlineStr">
        <is>
          <t>50%</t>
        </is>
      </c>
      <c r="D151" t="inlineStr">
        <is>
          <t>SDM</t>
        </is>
      </c>
      <c r="E151" s="4" t="n">
        <v>150</v>
      </c>
      <c r="F151" t="inlineStr">
        <is>
          <t>VB</t>
        </is>
      </c>
      <c r="G151" t="inlineStr">
        <is>
          <t>18356 Nordvorpommern - Landkreis - Barth</t>
        </is>
      </c>
      <c r="H151" s="5" t="n">
        <v>44364</v>
      </c>
      <c r="I151" t="inlineStr">
        <is>
          <t>Sold</t>
        </is>
      </c>
      <c r="J151" s="6">
        <f>HYPERLINK("https://www.kleinanzeigen.de/s-anzeige/gun-sails-mast-400-sdm-imcs-19-cross-wave/1797955553-230-13562", "Link")</f>
        <v/>
      </c>
      <c r="K151" s="6">
        <f>HYPERLINK("C:\Projects\Kleinanzeigen-Scraper\offer_images\1797955553", "Link")</f>
        <v/>
      </c>
      <c r="L151" t="inlineStr">
        <is>
          <t>René</t>
        </is>
      </c>
      <c r="M151" s="6">
        <f>HYPERLINK("https://www.kleinanzeigen.de/s-bestandsliste.html?userId=22451191", "Link")</f>
        <v/>
      </c>
      <c r="N151" s="7" t="n">
        <v>45556.93568287037</v>
      </c>
      <c r="O151" s="3" t="inlineStr">
        <is>
          <t>539.13</t>
        </is>
      </c>
      <c r="P151" t="inlineStr">
        <is>
          <t>Köln</t>
        </is>
      </c>
    </row>
    <row r="152">
      <c r="A152" t="inlineStr">
        <is>
          <t>NeilPryde SPX 95</t>
        </is>
      </c>
      <c r="B152" s="3" t="n">
        <v>490</v>
      </c>
      <c r="C152" s="8" t="inlineStr"/>
      <c r="D152" t="inlineStr">
        <is>
          <t>SDM</t>
        </is>
      </c>
      <c r="E152" s="4" t="n">
        <v>320</v>
      </c>
      <c r="F152" t="inlineStr"/>
      <c r="G152" t="inlineStr">
        <is>
          <t>46499 Nordrhein-Westfalen - Hamminkeln</t>
        </is>
      </c>
      <c r="H152" s="5" t="n">
        <v>45556</v>
      </c>
      <c r="I152" t="inlineStr"/>
      <c r="J152" s="6">
        <f>HYPERLINK("https://www.kleinanzeigen.de/s-anzeige/neilpryde-surfmast-490-spx-95-sdm-von-04-2022/2869790383-230-1386", "Link")</f>
        <v/>
      </c>
      <c r="K152" s="6">
        <f>HYPERLINK("C:\Projects\Kleinanzeigen-Scraper\offer_images\2869790383", "Link")</f>
        <v/>
      </c>
      <c r="L152" t="inlineStr">
        <is>
          <t>Günter Becker</t>
        </is>
      </c>
      <c r="M152" s="6">
        <f>HYPERLINK("https://www.kleinanzeigen.de/s-bestandsliste.html?userId=18105327", "Link")</f>
        <v/>
      </c>
      <c r="N152" s="7" t="n">
        <v>45556.93545138889</v>
      </c>
      <c r="O152" s="3" t="inlineStr">
        <is>
          <t>90.67</t>
        </is>
      </c>
      <c r="P152" t="inlineStr">
        <is>
          <t>Köln</t>
        </is>
      </c>
    </row>
    <row r="153">
      <c r="A153" t="inlineStr">
        <is>
          <t>Sailloft Blue Line</t>
        </is>
      </c>
      <c r="B153" s="3" t="n">
        <v>400</v>
      </c>
      <c r="C153" s="8" t="inlineStr">
        <is>
          <t>80%</t>
        </is>
      </c>
      <c r="D153" t="inlineStr">
        <is>
          <t>RDM</t>
        </is>
      </c>
      <c r="E153" s="4" t="n">
        <v>300</v>
      </c>
      <c r="F153" t="inlineStr"/>
      <c r="G153" t="inlineStr">
        <is>
          <t>24217 Schönberg</t>
        </is>
      </c>
      <c r="H153" s="5" t="n">
        <v>45552</v>
      </c>
      <c r="I153" t="inlineStr"/>
      <c r="J153" s="6">
        <f>HYPERLINK("https://www.dailydose.de/kleinanzeigen/detail.htm?ai=422755&amp;cf=kk&amp;pg=2&amp;ci=2", "Link")</f>
        <v/>
      </c>
      <c r="K153" s="6">
        <f>HYPERLINK("C:\Projects\Kleinanzeigen-Scraper\offer_images\422755", "Link")</f>
        <v/>
      </c>
      <c r="L153" t="inlineStr">
        <is>
          <t>charlotta</t>
        </is>
      </c>
      <c r="M153" s="6">
        <f>HYPERLINK("https://www.dailydose.de/kleinanzeigen/user/90", "Link")</f>
        <v/>
      </c>
      <c r="N153" s="7" t="n">
        <v>45555.56924768518</v>
      </c>
      <c r="O153" s="3" t="inlineStr">
        <is>
          <t>447.79</t>
        </is>
      </c>
      <c r="P153" t="inlineStr">
        <is>
          <t>Köln</t>
        </is>
      </c>
    </row>
    <row r="154">
      <c r="A154" t="inlineStr">
        <is>
          <t>Sailloft</t>
        </is>
      </c>
      <c r="B154" s="3" t="n">
        <v>400</v>
      </c>
      <c r="C154" s="8" t="inlineStr">
        <is>
          <t>80%</t>
        </is>
      </c>
      <c r="D154" t="inlineStr"/>
      <c r="E154" s="4" t="n">
        <v>320</v>
      </c>
      <c r="F154" t="inlineStr"/>
      <c r="G154" t="inlineStr">
        <is>
          <t>22609 Hamburg</t>
        </is>
      </c>
      <c r="H154" s="5" t="n">
        <v>45554</v>
      </c>
      <c r="I154" t="inlineStr"/>
      <c r="J154" s="6">
        <f>HYPERLINK("https://www.dailydose.de/kleinanzeigen/detail.htm?ai=422864&amp;cf=kk&amp;pg=2&amp;ci=2", "Link")</f>
        <v/>
      </c>
      <c r="K154" s="6">
        <f>HYPERLINK("C:\Projects\Kleinanzeigen-Scraper\offer_images\422864", "Link")</f>
        <v/>
      </c>
      <c r="L154" t="inlineStr">
        <is>
          <t>Jasper Debbert</t>
        </is>
      </c>
      <c r="M154" s="6">
        <f>HYPERLINK("https://www.dailydose.de/kleinanzeigen/user/11863", "Link")</f>
        <v/>
      </c>
      <c r="N154" s="7" t="n">
        <v>45555.56887731481</v>
      </c>
      <c r="O154" s="3" t="inlineStr">
        <is>
          <t>351.06</t>
        </is>
      </c>
      <c r="P154" t="inlineStr">
        <is>
          <t>Köln</t>
        </is>
      </c>
    </row>
    <row r="155">
      <c r="A155" t="inlineStr">
        <is>
          <t>North Sails gold</t>
        </is>
      </c>
      <c r="B155" s="3" t="n">
        <v>370</v>
      </c>
      <c r="C155" s="8" t="inlineStr">
        <is>
          <t>75%</t>
        </is>
      </c>
      <c r="D155" t="inlineStr">
        <is>
          <t>RDM</t>
        </is>
      </c>
      <c r="E155" s="4" t="n">
        <v>110</v>
      </c>
      <c r="F155" t="inlineStr"/>
      <c r="G155" t="inlineStr">
        <is>
          <t>40724 Hilden</t>
        </is>
      </c>
      <c r="H155" s="5" t="n">
        <v>45553</v>
      </c>
      <c r="I155" t="inlineStr">
        <is>
          <t>Sold</t>
        </is>
      </c>
      <c r="J155" s="6">
        <f>HYPERLINK("https://www.dailydose.de/kleinanzeigen/detail.htm?ai=422815&amp;cf=kk&amp;pg=1&amp;ci=2", "Link")</f>
        <v/>
      </c>
      <c r="K155" s="6">
        <f>HYPERLINK("C:\Projects\Kleinanzeigen-Scraper\offer_images\422815", "Link")</f>
        <v/>
      </c>
      <c r="L155" t="inlineStr">
        <is>
          <t>Roland</t>
        </is>
      </c>
      <c r="M155" s="6">
        <f>HYPERLINK("https://www.dailydose.de/kleinanzeigen/user/7206", "Link")</f>
        <v/>
      </c>
      <c r="N155" s="7" t="n">
        <v>45555.56849537037</v>
      </c>
      <c r="O155" s="3" t="inlineStr">
        <is>
          <t>26.51</t>
        </is>
      </c>
      <c r="P155" t="inlineStr">
        <is>
          <t>Köln</t>
        </is>
      </c>
    </row>
    <row r="156">
      <c r="A156" t="inlineStr">
        <is>
          <t>Duotone RDM GOLD</t>
        </is>
      </c>
      <c r="B156" s="3" t="inlineStr">
        <is>
          <t>370, 400</t>
        </is>
      </c>
      <c r="C156" s="8" t="inlineStr">
        <is>
          <t>90%</t>
        </is>
      </c>
      <c r="D156" t="inlineStr">
        <is>
          <t>RDM</t>
        </is>
      </c>
      <c r="E156" s="4" t="n">
        <v>480</v>
      </c>
      <c r="F156" t="inlineStr"/>
      <c r="G156" t="inlineStr">
        <is>
          <t>04157 Leipzig</t>
        </is>
      </c>
      <c r="H156" s="5" t="n">
        <v>45554</v>
      </c>
      <c r="I156" t="inlineStr"/>
      <c r="J156" s="6">
        <f>HYPERLINK("https://www.dailydose.de/kleinanzeigen/detail.htm?ai=422844&amp;cf=kk&amp;pg=2&amp;ci=2", "Link")</f>
        <v/>
      </c>
      <c r="K156" s="6">
        <f>HYPERLINK("C:\Projects\Kleinanzeigen-Scraper\offer_images\422844", "Link")</f>
        <v/>
      </c>
      <c r="L156" t="inlineStr">
        <is>
          <t>WingDing</t>
        </is>
      </c>
      <c r="M156" s="6">
        <f>HYPERLINK("https://www.dailydose.de/kleinanzeigen/user/21852", "Link")</f>
        <v/>
      </c>
      <c r="N156" s="7" t="n">
        <v>45555.56804398148</v>
      </c>
      <c r="O156" s="3" t="inlineStr">
        <is>
          <t>364.64</t>
        </is>
      </c>
      <c r="P156" t="inlineStr">
        <is>
          <t>München</t>
        </is>
      </c>
    </row>
    <row r="157">
      <c r="A157" t="inlineStr">
        <is>
          <t>RRD Dynamic Pro</t>
        </is>
      </c>
      <c r="B157" s="3" t="n">
        <v>400</v>
      </c>
      <c r="C157" s="8" t="inlineStr">
        <is>
          <t>100%</t>
        </is>
      </c>
      <c r="D157" t="inlineStr">
        <is>
          <t>RDM</t>
        </is>
      </c>
      <c r="E157" s="4" t="n">
        <v>280</v>
      </c>
      <c r="F157" t="inlineStr"/>
      <c r="G157" t="inlineStr">
        <is>
          <t>58540 Sauerland -NRW</t>
        </is>
      </c>
      <c r="H157" s="5" t="n">
        <v>45554</v>
      </c>
      <c r="I157" t="inlineStr">
        <is>
          <t>Sold</t>
        </is>
      </c>
      <c r="J157" s="6">
        <f>HYPERLINK("https://www.dailydose.de/kleinanzeigen/detail.htm?ai=422871&amp;cf=kk&amp;pg=1&amp;ci=2", "Link")</f>
        <v/>
      </c>
      <c r="K157" s="6">
        <f>HYPERLINK("C:\Projects\Kleinanzeigen-Scraper\offer_images\422871", "Link")</f>
        <v/>
      </c>
      <c r="L157" t="inlineStr">
        <is>
          <t>tivitac</t>
        </is>
      </c>
      <c r="M157" s="6">
        <f>HYPERLINK("https://www.dailydose.de/kleinanzeigen/user/1938", "Link")</f>
        <v/>
      </c>
      <c r="N157" s="7" t="n">
        <v>45555.56616898148</v>
      </c>
      <c r="O157" s="3" t="inlineStr">
        <is>
          <t>56.25</t>
        </is>
      </c>
      <c r="P157" t="inlineStr">
        <is>
          <t>Köln</t>
        </is>
      </c>
    </row>
    <row r="158">
      <c r="A158" t="inlineStr">
        <is>
          <t>Unifiber C60</t>
        </is>
      </c>
      <c r="B158" s="3" t="n">
        <v>430</v>
      </c>
      <c r="C158" s="8" t="inlineStr">
        <is>
          <t>60%</t>
        </is>
      </c>
      <c r="D158" t="inlineStr">
        <is>
          <t>RDM</t>
        </is>
      </c>
      <c r="E158" s="4" t="inlineStr"/>
      <c r="F158" t="inlineStr">
        <is>
          <t>VB</t>
        </is>
      </c>
      <c r="G158" t="inlineStr">
        <is>
          <t>70374 Stuttgart - Bad Cannstatt</t>
        </is>
      </c>
      <c r="H158" s="5" t="n">
        <v>45554</v>
      </c>
      <c r="I158" t="inlineStr"/>
      <c r="J158" s="6">
        <f>HYPERLINK("https://www.kleinanzeigen.de/s-anzeige/mast-top-unifiber-c60-rdm-430-windsurfen/2868176433-230-9335", "Link")</f>
        <v/>
      </c>
      <c r="K158" s="6">
        <f>HYPERLINK("C:\Projects\Kleinanzeigen-Scraper\offer_images\2868176433", "Link")</f>
        <v/>
      </c>
      <c r="L158" t="inlineStr">
        <is>
          <t>Stephan</t>
        </is>
      </c>
      <c r="M158" s="6">
        <f>HYPERLINK("https://www.kleinanzeigen.de/s-bestandsliste.html?userId=35669520", "Link")</f>
        <v/>
      </c>
      <c r="N158" s="7" t="n">
        <v>45555.56443287037</v>
      </c>
      <c r="O158" s="3" t="inlineStr">
        <is>
          <t>24.40</t>
        </is>
      </c>
      <c r="P158" t="inlineStr">
        <is>
          <t>Böblingen</t>
        </is>
      </c>
    </row>
    <row r="159">
      <c r="A159" t="inlineStr">
        <is>
          <t>North Sails Xcellerator 60</t>
        </is>
      </c>
      <c r="B159" s="3" t="n">
        <v>430</v>
      </c>
      <c r="C159" s="8" t="inlineStr"/>
      <c r="D159" t="inlineStr"/>
      <c r="E159" s="4" t="n">
        <v>50</v>
      </c>
      <c r="F159" t="inlineStr"/>
      <c r="G159" t="inlineStr">
        <is>
          <t>90449 Nürnberg (Mittelfr) - Röthenbach b Schweinau</t>
        </is>
      </c>
      <c r="H159" s="5" t="n">
        <v>45553</v>
      </c>
      <c r="I159" t="inlineStr"/>
      <c r="J159" s="6">
        <f>HYPERLINK("https://www.kleinanzeigen.de/s-anzeige/surfmast-430cm-north-sails-xcellerator-60/2866927704-230-28219", "Link")</f>
        <v/>
      </c>
      <c r="K159" s="6">
        <f>HYPERLINK("C:\Projects\Kleinanzeigen-Scraper\offer_images\2866927704", "Link")</f>
        <v/>
      </c>
      <c r="L159" t="inlineStr">
        <is>
          <t>HZ</t>
        </is>
      </c>
      <c r="M159" s="6">
        <f>HYPERLINK("https://www.kleinanzeigen.de/s-bestandsliste.html?userId=8739499", "Link")</f>
        <v/>
      </c>
      <c r="N159" s="7" t="n">
        <v>45555.5643287037</v>
      </c>
      <c r="O159" s="3" t="inlineStr">
        <is>
          <t>149.06</t>
        </is>
      </c>
      <c r="P159" t="inlineStr">
        <is>
          <t>München</t>
        </is>
      </c>
    </row>
    <row r="160">
      <c r="A160" t="inlineStr">
        <is>
          <t>North Sails gold</t>
        </is>
      </c>
      <c r="B160" s="3" t="n">
        <v>370</v>
      </c>
      <c r="C160" s="8" t="n">
        <v>75</v>
      </c>
      <c r="D160" t="inlineStr">
        <is>
          <t>RDM</t>
        </is>
      </c>
      <c r="E160" s="4" t="n">
        <v>110</v>
      </c>
      <c r="F160" t="inlineStr">
        <is>
          <t>VB</t>
        </is>
      </c>
      <c r="G160" t="inlineStr">
        <is>
          <t>40724 Nordrhein-Westfalen - Hilden</t>
        </is>
      </c>
      <c r="H160" s="5" t="n">
        <v>45553</v>
      </c>
      <c r="I160" t="inlineStr">
        <is>
          <t>Sold</t>
        </is>
      </c>
      <c r="J160" s="6">
        <f>HYPERLINK("https://www.kleinanzeigen.de/s-anzeige/north-sails-mast-gold-370-rdm-75-carbon/2867415672-230-1859", "Link")</f>
        <v/>
      </c>
      <c r="K160" s="6">
        <f>HYPERLINK("C:\Projects\Kleinanzeigen-Scraper\offer_images\2867415672", "Link")</f>
        <v/>
      </c>
      <c r="L160" t="inlineStr">
        <is>
          <t>Roland</t>
        </is>
      </c>
      <c r="M160" s="6">
        <f>HYPERLINK("https://www.kleinanzeigen.de/s-bestandsliste.html?userId=5367532", "Link")</f>
        <v/>
      </c>
      <c r="N160" s="7" t="n">
        <v>45555.56400462963</v>
      </c>
      <c r="O160" s="3" t="inlineStr">
        <is>
          <t>26.51</t>
        </is>
      </c>
      <c r="P160" t="inlineStr">
        <is>
          <t>Köln</t>
        </is>
      </c>
    </row>
    <row r="161">
      <c r="A161" t="inlineStr">
        <is>
          <t>Tecno Limits</t>
        </is>
      </c>
      <c r="B161" s="3" t="n">
        <v>400</v>
      </c>
      <c r="C161" s="8" t="inlineStr">
        <is>
          <t>66%</t>
        </is>
      </c>
      <c r="D161" t="inlineStr">
        <is>
          <t>RDM</t>
        </is>
      </c>
      <c r="E161" s="4" t="n">
        <v>80</v>
      </c>
      <c r="F161" t="inlineStr"/>
      <c r="G161" t="inlineStr">
        <is>
          <t>76448 Baden-Württemberg - Durmersheim</t>
        </is>
      </c>
      <c r="H161" s="5" t="n">
        <v>45552</v>
      </c>
      <c r="I161" t="inlineStr">
        <is>
          <t>Sold</t>
        </is>
      </c>
      <c r="J161" s="6">
        <f>HYPERLINK("https://www.kleinanzeigen.de/s-anzeige/surfmast-tecno-limits-rmd-66-carbon-400-19-windsurfen/2866093097-230-8165", "Link")</f>
        <v/>
      </c>
      <c r="K161" s="6">
        <f>HYPERLINK("C:\Projects\Kleinanzeigen-Scraper\offer_images\2866093097", "Link")</f>
        <v/>
      </c>
      <c r="L161" t="inlineStr">
        <is>
          <t>Thomas S.</t>
        </is>
      </c>
      <c r="M161" s="6">
        <f>HYPERLINK("https://www.kleinanzeigen.de/s-bestandsliste.html?userId=61821198", "Link")</f>
        <v/>
      </c>
      <c r="N161" s="7" t="n">
        <v>45555.56393518519</v>
      </c>
      <c r="O161" s="3" t="inlineStr">
        <is>
          <t>10.55</t>
        </is>
      </c>
      <c r="P161" t="inlineStr">
        <is>
          <t>Karlsruhe</t>
        </is>
      </c>
    </row>
    <row r="162">
      <c r="A162" t="inlineStr">
        <is>
          <t>Gun Sails Expert</t>
        </is>
      </c>
      <c r="B162" s="3" t="n">
        <v>430</v>
      </c>
      <c r="C162" s="8" t="inlineStr">
        <is>
          <t>70%</t>
        </is>
      </c>
      <c r="D162" t="inlineStr">
        <is>
          <t>RDM</t>
        </is>
      </c>
      <c r="E162" s="4" t="n">
        <v>150</v>
      </c>
      <c r="F162" t="inlineStr"/>
      <c r="G162" t="inlineStr">
        <is>
          <t>24119 Kiel - Kronshagen</t>
        </is>
      </c>
      <c r="H162" s="5" t="n">
        <v>45552</v>
      </c>
      <c r="I162" t="inlineStr"/>
      <c r="J162" s="6">
        <f>HYPERLINK("https://www.kleinanzeigen.de/s-anzeige/windsurf-mast-430-gun-sails/2866185179-230-705", "Link")</f>
        <v/>
      </c>
      <c r="K162" s="6">
        <f>HYPERLINK("C:\Projects\Kleinanzeigen-Scraper\offer_images\2866185179", "Link")</f>
        <v/>
      </c>
      <c r="L162" t="inlineStr">
        <is>
          <t>Denis</t>
        </is>
      </c>
      <c r="M162" s="6">
        <f>HYPERLINK("https://www.kleinanzeigen.de/s-bestandsliste.html?userId=14237400", "Link")</f>
        <v/>
      </c>
      <c r="N162" s="7" t="n">
        <v>45555.56381944445</v>
      </c>
      <c r="O162" s="3" t="inlineStr">
        <is>
          <t>432.46</t>
        </is>
      </c>
      <c r="P162" t="inlineStr">
        <is>
          <t>Köln</t>
        </is>
      </c>
    </row>
    <row r="163">
      <c r="A163" t="inlineStr">
        <is>
          <t>North Sails Xcellerator Viper</t>
        </is>
      </c>
      <c r="B163" s="3" t="n">
        <v>400</v>
      </c>
      <c r="C163" s="8" t="inlineStr">
        <is>
          <t>100%</t>
        </is>
      </c>
      <c r="D163" t="inlineStr">
        <is>
          <t>SDM</t>
        </is>
      </c>
      <c r="E163" s="4" t="n">
        <v>119</v>
      </c>
      <c r="F163" t="inlineStr">
        <is>
          <t>VB</t>
        </is>
      </c>
      <c r="G163" t="inlineStr">
        <is>
          <t>76287 Baden-Württemberg - Rheinstetten</t>
        </is>
      </c>
      <c r="H163" s="5" t="n">
        <v>45548</v>
      </c>
      <c r="I163" t="inlineStr">
        <is>
          <t>Sold</t>
        </is>
      </c>
      <c r="J163" s="6">
        <f>HYPERLINK("https://www.kleinanzeigen.de/s-anzeige/north-sails-xcellerator-viper-wave-400-sdm-100-carbon-mast/2862361416-230-8166", "Link")</f>
        <v/>
      </c>
      <c r="K163" s="6">
        <f>HYPERLINK("C:\Projects\Kleinanzeigen-Scraper\offer_images\2862361416", "Link")</f>
        <v/>
      </c>
      <c r="L163" t="inlineStr">
        <is>
          <t>Dominik</t>
        </is>
      </c>
      <c r="M163" s="6">
        <f>HYPERLINK("https://www.kleinanzeigen.de/s-bestandsliste.html?userId=16948579", "Link")</f>
        <v/>
      </c>
      <c r="N163" s="7" t="n">
        <v>45555.56358796296</v>
      </c>
      <c r="O163" s="3" t="inlineStr">
        <is>
          <t>7.05</t>
        </is>
      </c>
      <c r="P163" t="inlineStr">
        <is>
          <t>Karlsruhe</t>
        </is>
      </c>
    </row>
    <row r="164">
      <c r="A164" t="inlineStr">
        <is>
          <t>North Silver</t>
        </is>
      </c>
      <c r="B164" s="3" t="n">
        <v>400</v>
      </c>
      <c r="C164" s="8" t="inlineStr">
        <is>
          <t>55%</t>
        </is>
      </c>
      <c r="D164" t="inlineStr">
        <is>
          <t>SDM</t>
        </is>
      </c>
      <c r="E164" s="4" t="n">
        <v>70</v>
      </c>
      <c r="F164" t="inlineStr">
        <is>
          <t>VB</t>
        </is>
      </c>
      <c r="G164" t="inlineStr">
        <is>
          <t>40627 Düsseldorf - Unterbach</t>
        </is>
      </c>
      <c r="H164" s="5" t="n">
        <v>45552</v>
      </c>
      <c r="I164" t="inlineStr">
        <is>
          <t>Sold</t>
        </is>
      </c>
      <c r="J164" s="6">
        <f>HYPERLINK("https://www.kleinanzeigen.de/s-anzeige/windsurf-mast-north-silver-400-55-carbon/2866735224-230-16750", "Link")</f>
        <v/>
      </c>
      <c r="K164" s="6">
        <f>HYPERLINK("C:\Projects\Kleinanzeigen-Scraper\offer_images\2866735224", "Link")</f>
        <v/>
      </c>
      <c r="L164" t="inlineStr">
        <is>
          <t>Adrian Becker</t>
        </is>
      </c>
      <c r="M164" s="6">
        <f>HYPERLINK("https://www.kleinanzeigen.de/s-bestandsliste.html?userId=13485948", "Link")</f>
        <v/>
      </c>
      <c r="N164" s="7" t="n">
        <v>45555.5634375</v>
      </c>
      <c r="O164" s="3" t="inlineStr">
        <is>
          <t>29.74</t>
        </is>
      </c>
      <c r="P164" t="inlineStr">
        <is>
          <t>Köln</t>
        </is>
      </c>
    </row>
    <row r="165">
      <c r="A165" t="inlineStr">
        <is>
          <t>Sailloft C100</t>
        </is>
      </c>
      <c r="B165" s="3" t="n">
        <v>490</v>
      </c>
      <c r="C165" s="8" t="inlineStr">
        <is>
          <t>100%</t>
        </is>
      </c>
      <c r="D165" t="inlineStr"/>
      <c r="E165" s="4" t="n">
        <v>300</v>
      </c>
      <c r="F165" t="inlineStr">
        <is>
          <t>VB</t>
        </is>
      </c>
      <c r="G165" t="inlineStr">
        <is>
          <t>88287 Baden-Württemberg - Grünkraut</t>
        </is>
      </c>
      <c r="H165" s="5" t="n">
        <v>45553</v>
      </c>
      <c r="I165" t="inlineStr"/>
      <c r="J165" s="6">
        <f>HYPERLINK("https://www.kleinanzeigen.de/s-anzeige/sailloft-mast-c100-490cm/2866997799-230-9227", "Link")</f>
        <v/>
      </c>
      <c r="K165" s="6">
        <f>HYPERLINK("C:\Projects\Kleinanzeigen-Scraper\offer_images\2866997799", "Link")</f>
        <v/>
      </c>
      <c r="L165" t="inlineStr">
        <is>
          <t>RICHARD</t>
        </is>
      </c>
      <c r="M165" s="6">
        <f>HYPERLINK("https://www.kleinanzeigen.de/s-bestandsliste.html?userId=26415858", "Link")</f>
        <v/>
      </c>
      <c r="N165" s="7" t="n">
        <v>45555.56291666667</v>
      </c>
      <c r="O165" s="3" t="inlineStr">
        <is>
          <t>98.85</t>
        </is>
      </c>
      <c r="P165" t="inlineStr">
        <is>
          <t>Bonndorf</t>
        </is>
      </c>
    </row>
    <row r="166">
      <c r="A166" t="inlineStr">
        <is>
          <t>Pat Love</t>
        </is>
      </c>
      <c r="B166" s="3" t="n">
        <v>15</v>
      </c>
      <c r="C166" s="8" t="inlineStr"/>
      <c r="D166" t="inlineStr">
        <is>
          <t>SDM</t>
        </is>
      </c>
      <c r="E166" s="4" t="n">
        <v>15</v>
      </c>
      <c r="F166" t="inlineStr"/>
      <c r="G166" t="inlineStr">
        <is>
          <t>47198 Duisburg - Homberg/Ruhrort/Baerl</t>
        </is>
      </c>
      <c r="H166" s="5" t="n">
        <v>45553</v>
      </c>
      <c r="I166" t="inlineStr"/>
      <c r="J166" s="6">
        <f>HYPERLINK("https://www.kleinanzeigen.de/s-anzeige/pat-love-mastverlaengerung-15-cm-sdm-windsurfen/2867193043-230-2140", "Link")</f>
        <v/>
      </c>
      <c r="K166" s="6">
        <f>HYPERLINK("C:\Projects\Kleinanzeigen-Scraper\offer_images\2867193043", "Link")</f>
        <v/>
      </c>
      <c r="L166" t="inlineStr">
        <is>
          <t>Stephan Kalbertod</t>
        </is>
      </c>
      <c r="M166" s="6">
        <f>HYPERLINK("https://www.kleinanzeigen.de/s-bestandsliste.html?userId=8064073", "Link")</f>
        <v/>
      </c>
      <c r="N166" s="7" t="n">
        <v>45555.56288194445</v>
      </c>
      <c r="O166" s="3" t="inlineStr">
        <is>
          <t>59.95</t>
        </is>
      </c>
      <c r="P166" t="inlineStr">
        <is>
          <t>Köln</t>
        </is>
      </c>
    </row>
    <row r="167">
      <c r="A167" t="inlineStr">
        <is>
          <t>Point 7</t>
        </is>
      </c>
      <c r="B167" s="3" t="n">
        <v>520</v>
      </c>
      <c r="C167" s="8" t="inlineStr">
        <is>
          <t>100%</t>
        </is>
      </c>
      <c r="D167" t="inlineStr">
        <is>
          <t>SDM</t>
        </is>
      </c>
      <c r="E167" s="4" t="n">
        <v>249</v>
      </c>
      <c r="F167" t="inlineStr">
        <is>
          <t>VB</t>
        </is>
      </c>
      <c r="G167" t="inlineStr">
        <is>
          <t>80639 Neuhausen-Nymphenburg - Neuhausen</t>
        </is>
      </c>
      <c r="H167" s="5" t="n">
        <v>45538</v>
      </c>
      <c r="I167" t="inlineStr"/>
      <c r="J167" s="6">
        <f>HYPERLINK("https://www.kleinanzeigen.de/s-anzeige/point-7-520cm-sdm-100-carbon-mast/2853714112-230-6420", "Link")</f>
        <v/>
      </c>
      <c r="K167" s="6">
        <f>HYPERLINK("C:\Projects\Kleinanzeigen-Scraper\offer_images\2853714112", "Link")</f>
        <v/>
      </c>
      <c r="L167" t="inlineStr">
        <is>
          <t>Torsten Schade</t>
        </is>
      </c>
      <c r="M167" s="6">
        <f>HYPERLINK("https://www.kleinanzeigen.de/s-bestandsliste.html?userId=9084595", "Link")</f>
        <v/>
      </c>
      <c r="N167" s="7" t="n">
        <v>45555.56273148148</v>
      </c>
      <c r="O167" s="3" t="inlineStr">
        <is>
          <t>4.83</t>
        </is>
      </c>
      <c r="P167" t="inlineStr">
        <is>
          <t>München</t>
        </is>
      </c>
    </row>
    <row r="168">
      <c r="A168" t="inlineStr">
        <is>
          <t>Neilpryde UXT-28</t>
        </is>
      </c>
      <c r="B168" s="3" t="inlineStr"/>
      <c r="C168" s="8" t="inlineStr">
        <is>
          <t>0%</t>
        </is>
      </c>
      <c r="D168" t="inlineStr">
        <is>
          <t>SDM</t>
        </is>
      </c>
      <c r="E168" s="4" t="n">
        <v>15</v>
      </c>
      <c r="F168" t="inlineStr"/>
      <c r="G168" t="inlineStr">
        <is>
          <t>87616 Bayern - Marktoberdorf</t>
        </is>
      </c>
      <c r="H168" s="5" t="n">
        <v>45532</v>
      </c>
      <c r="I168" t="inlineStr">
        <is>
          <t>Sold</t>
        </is>
      </c>
      <c r="J168" s="6">
        <f>HYPERLINK("https://www.kleinanzeigen.de/s-anzeige/neilpryde-mastverlaengerung-uxt-28/2848857383-230-6561", "Link")</f>
        <v/>
      </c>
      <c r="K168" s="6">
        <f>HYPERLINK("C:\Projects\Kleinanzeigen-Scraper\offer_images\2848857383", "Link")</f>
        <v/>
      </c>
      <c r="L168" t="inlineStr">
        <is>
          <t>Felix Körner</t>
        </is>
      </c>
      <c r="M168" s="6">
        <f>HYPERLINK("https://www.kleinanzeigen.de/s-bestandsliste.html?userId=59126806", "Link")</f>
        <v/>
      </c>
      <c r="N168" s="7" t="n">
        <v>45555.56255787037</v>
      </c>
      <c r="O168" s="3" t="inlineStr">
        <is>
          <t>83.30</t>
        </is>
      </c>
      <c r="P168" t="inlineStr">
        <is>
          <t>München</t>
        </is>
      </c>
    </row>
    <row r="169">
      <c r="A169" t="inlineStr">
        <is>
          <t>North Sails (Duotone) Platinum</t>
        </is>
      </c>
      <c r="B169" s="3" t="n">
        <v>490</v>
      </c>
      <c r="C169" s="8" t="inlineStr"/>
      <c r="D169" t="inlineStr">
        <is>
          <t>SDM</t>
        </is>
      </c>
      <c r="E169" s="4" t="n">
        <v>240</v>
      </c>
      <c r="F169" t="inlineStr"/>
      <c r="G169" t="inlineStr">
        <is>
          <t>82194 Bayern - Gröbenzell</t>
        </is>
      </c>
      <c r="H169" s="5" t="n">
        <v>45551</v>
      </c>
      <c r="I169" t="inlineStr"/>
      <c r="J169" s="6">
        <f>HYPERLINK("https://www.kleinanzeigen.de/s-anzeige/north-sails-duotone-platinum-490-sdm-neuw-/2865825432-230-6350", "Link")</f>
        <v/>
      </c>
      <c r="K169" s="6">
        <f>HYPERLINK("C:\Projects\Kleinanzeigen-Scraper\offer_images\2865825432", "Link")</f>
        <v/>
      </c>
      <c r="L169" t="inlineStr">
        <is>
          <t>Mark</t>
        </is>
      </c>
      <c r="M169" s="6">
        <f>HYPERLINK("https://www.kleinanzeigen.de/s-bestandsliste.html?userId=25258401", "Link")</f>
        <v/>
      </c>
      <c r="N169" s="7" t="n">
        <v>45555.56150462963</v>
      </c>
      <c r="O169" s="3" t="inlineStr">
        <is>
          <t>15.82</t>
        </is>
      </c>
      <c r="P169" t="inlineStr">
        <is>
          <t>München</t>
        </is>
      </c>
    </row>
    <row r="170">
      <c r="A170" t="inlineStr">
        <is>
          <t>North Duotone Power XT</t>
        </is>
      </c>
      <c r="B170" s="3" t="inlineStr"/>
      <c r="C170" s="8" t="inlineStr"/>
      <c r="D170" t="inlineStr">
        <is>
          <t>SDM</t>
        </is>
      </c>
      <c r="E170" s="4" t="n">
        <v>99</v>
      </c>
      <c r="F170" t="inlineStr">
        <is>
          <t>VB</t>
        </is>
      </c>
      <c r="G170" t="inlineStr">
        <is>
          <t>02826 Sachsen - Görlitz</t>
        </is>
      </c>
      <c r="H170" s="5" t="n">
        <v>45552</v>
      </c>
      <c r="I170" t="inlineStr"/>
      <c r="J170" s="6">
        <f>HYPERLINK("https://www.kleinanzeigen.de/s-anzeige/windsurf-mastverlaengerung-north-duotone-power-xt-sdm42/2866320932-230-3813", "Link")</f>
        <v/>
      </c>
      <c r="K170" s="6">
        <f>HYPERLINK("C:\Projects\Kleinanzeigen-Scraper\offer_images\2866320932", "Link")</f>
        <v/>
      </c>
      <c r="L170" t="inlineStr">
        <is>
          <t>Stefan</t>
        </is>
      </c>
      <c r="M170" s="6">
        <f>HYPERLINK("https://www.kleinanzeigen.de/s-bestandsliste.html?userId=4013397", "Link")</f>
        <v/>
      </c>
      <c r="N170" s="7" t="n">
        <v>45555.56081018518</v>
      </c>
      <c r="O170" s="3" t="inlineStr">
        <is>
          <t>414.86</t>
        </is>
      </c>
      <c r="P170" t="inlineStr">
        <is>
          <t>München</t>
        </is>
      </c>
    </row>
    <row r="171">
      <c r="A171" t="inlineStr">
        <is>
          <t>Side</t>
        </is>
      </c>
      <c r="B171" s="3" t="n">
        <v>430</v>
      </c>
      <c r="C171" s="8" t="inlineStr"/>
      <c r="D171" t="inlineStr"/>
      <c r="E171" s="4" t="n">
        <v>60</v>
      </c>
      <c r="F171" t="inlineStr"/>
      <c r="G171" t="inlineStr">
        <is>
          <t>58644 Nordrhein-Westfalen - Iserlohn</t>
        </is>
      </c>
      <c r="H171" s="5" t="n">
        <v>45553</v>
      </c>
      <c r="I171" t="inlineStr"/>
      <c r="J171" s="6">
        <f>HYPERLINK("https://www.kleinanzeigen.de/s-anzeige/windsurf-mast-430-von-side-on/2867650085-230-1739", "Link")</f>
        <v/>
      </c>
      <c r="K171" s="6">
        <f>HYPERLINK("C:\Projects\Kleinanzeigen-Scraper\offer_images\2867650085", "Link")</f>
        <v/>
      </c>
      <c r="L171" t="inlineStr">
        <is>
          <t>Lena</t>
        </is>
      </c>
      <c r="M171" s="6">
        <f>HYPERLINK("https://www.kleinanzeigen.de/s-bestandsliste.html?userId=136942176", "Link")</f>
        <v/>
      </c>
      <c r="N171" s="7" t="n">
        <v>45555.56071759259</v>
      </c>
      <c r="O171" s="3" t="inlineStr">
        <is>
          <t>68.92</t>
        </is>
      </c>
      <c r="P171" t="inlineStr">
        <is>
          <t>Köln</t>
        </is>
      </c>
    </row>
    <row r="172">
      <c r="A172" t="inlineStr">
        <is>
          <t>Duotone uni XT</t>
        </is>
      </c>
      <c r="B172" s="3" t="n">
        <v>42</v>
      </c>
      <c r="C172" s="8" t="inlineStr"/>
      <c r="D172" t="inlineStr">
        <is>
          <t>SDM</t>
        </is>
      </c>
      <c r="E172" s="4" t="n">
        <v>50</v>
      </c>
      <c r="F172" t="inlineStr"/>
      <c r="G172" t="inlineStr">
        <is>
          <t>47809 Nordrhein-Westfalen - Krefeld</t>
        </is>
      </c>
      <c r="H172" s="5" t="n">
        <v>45552</v>
      </c>
      <c r="I172" t="inlineStr">
        <is>
          <t>Sold</t>
        </is>
      </c>
      <c r="J172" s="6">
        <f>HYPERLINK("https://www.kleinanzeigen.de/s-anzeige/duotone-uni-xt-sdm-42-er/2866438789-230-1979", "Link")</f>
        <v/>
      </c>
      <c r="K172" s="6">
        <f>HYPERLINK("C:\Projects\Kleinanzeigen-Scraper\offer_images\2866438789", "Link")</f>
        <v/>
      </c>
      <c r="L172" t="inlineStr">
        <is>
          <t>Paul Neukirchen</t>
        </is>
      </c>
      <c r="M172" s="6">
        <f>HYPERLINK("https://www.kleinanzeigen.de/s-bestandsliste.html?userId=5345982", "Link")</f>
        <v/>
      </c>
      <c r="N172" s="7" t="n">
        <v>45555.56052083334</v>
      </c>
      <c r="O172" s="3" t="inlineStr">
        <is>
          <t>48.58</t>
        </is>
      </c>
      <c r="P172" t="inlineStr">
        <is>
          <t>Köln</t>
        </is>
      </c>
    </row>
    <row r="173">
      <c r="A173" t="inlineStr">
        <is>
          <t>Gunsails Expert C75</t>
        </is>
      </c>
      <c r="B173" s="3" t="n">
        <v>430</v>
      </c>
      <c r="C173" s="8" t="inlineStr">
        <is>
          <t>75%</t>
        </is>
      </c>
      <c r="D173" t="inlineStr">
        <is>
          <t>SDM</t>
        </is>
      </c>
      <c r="E173" s="4" t="inlineStr"/>
      <c r="F173" t="inlineStr">
        <is>
          <t>VB</t>
        </is>
      </c>
      <c r="G173" t="inlineStr">
        <is>
          <t>70374 Stuttgart - Bad Cannstatt</t>
        </is>
      </c>
      <c r="H173" s="5" t="n">
        <v>45554</v>
      </c>
      <c r="I173" t="inlineStr"/>
      <c r="J173" s="6">
        <f>HYPERLINK("https://www.kleinanzeigen.de/s-anzeige/mast-top-gunsails-expert-430-c75-sdm-windsurfen/2868180130-230-9335", "Link")</f>
        <v/>
      </c>
      <c r="K173" s="6">
        <f>HYPERLINK("C:\Projects\Kleinanzeigen-Scraper\offer_images\2868180130", "Link")</f>
        <v/>
      </c>
      <c r="L173" t="inlineStr">
        <is>
          <t>Stephan</t>
        </is>
      </c>
      <c r="M173" s="6">
        <f>HYPERLINK("https://www.kleinanzeigen.de/s-bestandsliste.html?userId=35669520", "Link")</f>
        <v/>
      </c>
      <c r="N173" s="7" t="n">
        <v>45555.56040509259</v>
      </c>
      <c r="O173" s="3" t="inlineStr">
        <is>
          <t>24.40</t>
        </is>
      </c>
      <c r="P173" t="inlineStr">
        <is>
          <t>Böblingen</t>
        </is>
      </c>
    </row>
    <row r="174">
      <c r="A174" t="inlineStr">
        <is>
          <t>North Sails Power XT 28</t>
        </is>
      </c>
      <c r="B174" s="3" t="inlineStr"/>
      <c r="C174" s="8" t="inlineStr"/>
      <c r="D174" t="inlineStr">
        <is>
          <t>SDM</t>
        </is>
      </c>
      <c r="E174" s="4" t="n">
        <v>119</v>
      </c>
      <c r="F174" t="inlineStr">
        <is>
          <t>VB</t>
        </is>
      </c>
      <c r="G174" t="inlineStr">
        <is>
          <t>76287 Baden-Württemberg - Rheinstetten</t>
        </is>
      </c>
      <c r="H174" s="5" t="n">
        <v>45548</v>
      </c>
      <c r="I174" t="inlineStr">
        <is>
          <t>Sold</t>
        </is>
      </c>
      <c r="J174" s="6">
        <f>HYPERLINK("https://www.kleinanzeigen.de/s-anzeige/north-sails-power-xt-28-sdm-mastverlaengerung-ratsche/2862446087-230-8166", "Link")</f>
        <v/>
      </c>
      <c r="K174" s="6">
        <f>HYPERLINK("C:\Projects\Kleinanzeigen-Scraper\offer_images\2862446087", "Link")</f>
        <v/>
      </c>
      <c r="L174" t="inlineStr">
        <is>
          <t>Dominik</t>
        </is>
      </c>
      <c r="M174" s="6">
        <f>HYPERLINK("https://www.kleinanzeigen.de/s-bestandsliste.html?userId=16948579", "Link")</f>
        <v/>
      </c>
      <c r="N174" s="7" t="n">
        <v>45555.56010416667</v>
      </c>
      <c r="O174" s="3" t="inlineStr">
        <is>
          <t>7.05</t>
        </is>
      </c>
      <c r="P174" t="inlineStr">
        <is>
          <t>Karlsruhe</t>
        </is>
      </c>
    </row>
    <row r="175">
      <c r="A175" t="inlineStr">
        <is>
          <t>Duotone/North Space Tech XC40</t>
        </is>
      </c>
      <c r="B175" s="3" t="n">
        <v>380</v>
      </c>
      <c r="C175" s="8" t="inlineStr"/>
      <c r="D175" t="inlineStr"/>
      <c r="E175" s="4" t="n">
        <v>100</v>
      </c>
      <c r="F175" t="inlineStr"/>
      <c r="G175" t="inlineStr">
        <is>
          <t>79618 Baden-Württemberg - Rheinfelden (Baden)</t>
        </is>
      </c>
      <c r="H175" s="5" t="n">
        <v>45552</v>
      </c>
      <c r="I175" t="inlineStr"/>
      <c r="J175" s="6">
        <f>HYPERLINK("https://www.kleinanzeigen.de/s-anzeige/windsurfmast-carbonmast-duotone-north-space-tech-xc40-3-80-m/2866688414-230-8169", "Link")</f>
        <v/>
      </c>
      <c r="K175" s="6">
        <f>HYPERLINK("C:\Projects\Kleinanzeigen-Scraper\offer_images\2866688414", "Link")</f>
        <v/>
      </c>
      <c r="L175" t="inlineStr">
        <is>
          <t>B. L.</t>
        </is>
      </c>
      <c r="M175" s="6">
        <f>HYPERLINK("https://www.kleinanzeigen.de/s-bestandsliste.html?userId=36939917", "Link")</f>
        <v/>
      </c>
      <c r="N175" s="7" t="n">
        <v>45555.55969907407</v>
      </c>
      <c r="O175" s="3" t="inlineStr">
        <is>
          <t>49.46</t>
        </is>
      </c>
      <c r="P175" t="inlineStr">
        <is>
          <t>Bonndorf</t>
        </is>
      </c>
    </row>
    <row r="176">
      <c r="A176" t="inlineStr">
        <is>
          <t>AMEX CROSSCUT</t>
        </is>
      </c>
      <c r="B176" s="3" t="n">
        <v>460</v>
      </c>
      <c r="C176" s="8" t="inlineStr">
        <is>
          <t>80%</t>
        </is>
      </c>
      <c r="D176" t="inlineStr">
        <is>
          <t>SDM</t>
        </is>
      </c>
      <c r="E176" s="4" t="n">
        <v>160</v>
      </c>
      <c r="F176" t="inlineStr">
        <is>
          <t>VB</t>
        </is>
      </c>
      <c r="G176" t="inlineStr">
        <is>
          <t>26349 Niedersachsen - Jade</t>
        </is>
      </c>
      <c r="H176" s="5" t="n">
        <v>45553</v>
      </c>
      <c r="I176" t="inlineStr"/>
      <c r="J176" s="6">
        <f>HYPERLINK("https://www.kleinanzeigen.de/s-anzeige/amex-windsurf-mast-crosscut-80-460/2867431078-230-3006", "Link")</f>
        <v/>
      </c>
      <c r="K176" s="6">
        <f>HYPERLINK("C:\Projects\Kleinanzeigen-Scraper\offer_images\2867431078", "Link")</f>
        <v/>
      </c>
      <c r="L176" t="inlineStr">
        <is>
          <t>Rainer Vogt</t>
        </is>
      </c>
      <c r="M176" s="6">
        <f>HYPERLINK("https://www.kleinanzeigen.de/s-bestandsliste.html?userId=17644060", "Link")</f>
        <v/>
      </c>
      <c r="N176" s="7" t="n">
        <v>45555.55930555556</v>
      </c>
      <c r="O176" s="3" t="inlineStr">
        <is>
          <t>281.53</t>
        </is>
      </c>
      <c r="P176" t="inlineStr">
        <is>
          <t>Köln</t>
        </is>
      </c>
    </row>
    <row r="177">
      <c r="A177" t="inlineStr">
        <is>
          <t>North Sails Power XT</t>
        </is>
      </c>
      <c r="B177" s="3" t="n">
        <v>42</v>
      </c>
      <c r="C177" s="8" t="inlineStr"/>
      <c r="D177" t="inlineStr">
        <is>
          <t>SDM</t>
        </is>
      </c>
      <c r="E177" s="4" t="n">
        <v>119</v>
      </c>
      <c r="F177" t="inlineStr">
        <is>
          <t>VB</t>
        </is>
      </c>
      <c r="G177" t="inlineStr">
        <is>
          <t>76287 Baden-Württemberg - Rheinstetten</t>
        </is>
      </c>
      <c r="H177" s="5" t="n">
        <v>45548</v>
      </c>
      <c r="I177" t="inlineStr">
        <is>
          <t>Sold</t>
        </is>
      </c>
      <c r="J177" s="6">
        <f>HYPERLINK("https://www.kleinanzeigen.de/s-anzeige/north-sails-power-xt-42-sdm-mastverlaengerung-ratsche/2862444476-230-8166", "Link")</f>
        <v/>
      </c>
      <c r="K177" s="6">
        <f>HYPERLINK("C:\Projects\Kleinanzeigen-Scraper\offer_images\2862444476", "Link")</f>
        <v/>
      </c>
      <c r="L177" t="inlineStr">
        <is>
          <t>Dominik</t>
        </is>
      </c>
      <c r="M177" s="6">
        <f>HYPERLINK("https://www.kleinanzeigen.de/s-bestandsliste.html?userId=16948579", "Link")</f>
        <v/>
      </c>
      <c r="N177" s="7" t="n">
        <v>45555.55857638889</v>
      </c>
      <c r="O177" s="3" t="inlineStr">
        <is>
          <t>7.05</t>
        </is>
      </c>
      <c r="P177" t="inlineStr">
        <is>
          <t>Karlsruhe</t>
        </is>
      </c>
    </row>
    <row r="178">
      <c r="A178" t="inlineStr"/>
      <c r="B178" s="3" t="inlineStr">
        <is>
          <t>200-365</t>
        </is>
      </c>
      <c r="C178" s="8" t="inlineStr"/>
      <c r="D178" t="inlineStr"/>
      <c r="E178" s="4" t="n">
        <v>39</v>
      </c>
      <c r="F178" t="inlineStr">
        <is>
          <t>VB</t>
        </is>
      </c>
      <c r="G178" t="inlineStr">
        <is>
          <t>37124 Niedersachsen - Rosdorf</t>
        </is>
      </c>
      <c r="H178" s="5" t="n">
        <v>45553</v>
      </c>
      <c r="I178" t="inlineStr"/>
      <c r="J178" s="6">
        <f>HYPERLINK("https://www.kleinanzeigen.de/s-anzeige/mast-f-windsurfer-gfk-alu-l-2-00-3-65m-ober-unterteil-2332-/2226972898-211-3133", "Link")</f>
        <v/>
      </c>
      <c r="K178" s="6">
        <f>HYPERLINK("C:\Projects\Kleinanzeigen-Scraper\offer_images\2226972898", "Link")</f>
        <v/>
      </c>
      <c r="L178" t="inlineStr">
        <is>
          <t>No user name</t>
        </is>
      </c>
      <c r="M178" s="6">
        <f>HYPERLINK("https://www.kleinanzeigen.deNo user link", "Link")</f>
        <v/>
      </c>
      <c r="N178" s="7" t="n">
        <v>45555.55820601852</v>
      </c>
      <c r="O178" s="3" t="inlineStr">
        <is>
          <t>214.72</t>
        </is>
      </c>
      <c r="P178" t="inlineStr">
        <is>
          <t>Köln</t>
        </is>
      </c>
    </row>
    <row r="179">
      <c r="A179" t="inlineStr">
        <is>
          <t>Neil Pryde Mast 430 CK35</t>
        </is>
      </c>
      <c r="B179" s="3" t="n">
        <v>430</v>
      </c>
      <c r="C179" s="8" t="inlineStr"/>
      <c r="D179" t="inlineStr">
        <is>
          <t>SDM</t>
        </is>
      </c>
      <c r="E179" s="4" t="n">
        <v>90</v>
      </c>
      <c r="F179" t="inlineStr"/>
      <c r="G179" t="inlineStr">
        <is>
          <t>70374 Stuttgart - Bad Cannstatt</t>
        </is>
      </c>
      <c r="H179" s="5" t="n">
        <v>45554</v>
      </c>
      <c r="I179" t="inlineStr"/>
      <c r="J179" s="6">
        <f>HYPERLINK("https://www.kleinanzeigen.de/s-anzeige/neil-pryde-mast-430-ck35-sdm-windsurfen/2868172284-230-9335", "Link")</f>
        <v/>
      </c>
      <c r="K179" s="6">
        <f>HYPERLINK("C:\Projects\Kleinanzeigen-Scraper\offer_images\2868172284", "Link")</f>
        <v/>
      </c>
      <c r="L179" t="inlineStr">
        <is>
          <t>Stephan</t>
        </is>
      </c>
      <c r="M179" s="6">
        <f>HYPERLINK("https://www.kleinanzeigen.de/s-bestandsliste.html?userId=35669520", "Link")</f>
        <v/>
      </c>
      <c r="N179" s="7" t="n">
        <v>45555.55730324074</v>
      </c>
      <c r="O179" s="3" t="inlineStr">
        <is>
          <t>24.40</t>
        </is>
      </c>
      <c r="P179" t="inlineStr">
        <is>
          <t>Böblingen</t>
        </is>
      </c>
    </row>
    <row r="180">
      <c r="A180" t="inlineStr">
        <is>
          <t>Starboard Monolithic TP Carbon</t>
        </is>
      </c>
      <c r="B180" s="3" t="n">
        <v>102</v>
      </c>
      <c r="C180" s="8" t="inlineStr"/>
      <c r="D180" t="inlineStr"/>
      <c r="E180" s="4" t="n">
        <v>500</v>
      </c>
      <c r="F180" t="inlineStr">
        <is>
          <t>VB</t>
        </is>
      </c>
      <c r="G180" t="inlineStr">
        <is>
          <t>32107 Nordrhein-Westfalen - Bad Salzuflen</t>
        </is>
      </c>
      <c r="H180" s="5" t="n">
        <v>45517</v>
      </c>
      <c r="I180" t="inlineStr"/>
      <c r="J180" s="6">
        <f>HYPERLINK("https://www.kleinanzeigen.de/s-anzeige/starboard-monolithic-tp-carbon-102cm-foil-mast/2836177914-230-1901", "Link")</f>
        <v/>
      </c>
      <c r="K180" s="6">
        <f>HYPERLINK("C:\Projects\Kleinanzeigen-Scraper\offer_images\2836177914", "Link")</f>
        <v/>
      </c>
      <c r="L180" t="inlineStr">
        <is>
          <t>Lohaus</t>
        </is>
      </c>
      <c r="M180" s="6">
        <f>HYPERLINK("https://www.kleinanzeigen.de/s-bestandsliste.html?userId=1626544", "Link")</f>
        <v/>
      </c>
      <c r="N180" s="7" t="n">
        <v>45555.55685185185</v>
      </c>
      <c r="O180" s="3" t="inlineStr">
        <is>
          <t>174.34</t>
        </is>
      </c>
      <c r="P180" t="inlineStr">
        <is>
          <t>Köln</t>
        </is>
      </c>
    </row>
    <row r="181">
      <c r="A181" t="inlineStr">
        <is>
          <t>NEIL PRYDE SPX</t>
        </is>
      </c>
      <c r="B181" s="3" t="n">
        <v>430</v>
      </c>
      <c r="C181" s="8" t="inlineStr">
        <is>
          <t>65%</t>
        </is>
      </c>
      <c r="D181" t="inlineStr">
        <is>
          <t>RDM</t>
        </is>
      </c>
      <c r="E181" s="4" t="n">
        <v>259</v>
      </c>
      <c r="F181" t="inlineStr">
        <is>
          <t>VB</t>
        </is>
      </c>
      <c r="G181" t="inlineStr">
        <is>
          <t>97070 Bayern - Würzburg</t>
        </is>
      </c>
      <c r="H181" s="5" t="n">
        <v>45554</v>
      </c>
      <c r="I181" t="inlineStr">
        <is>
          <t>Sold</t>
        </is>
      </c>
      <c r="J181" s="6">
        <f>HYPERLINK("https://www.kleinanzeigen.de/s-anzeige/neil-pryde-neilpryde-spx-65-rdm-430-65-carbon-mast-wie-neu/2867806494-230-7700", "Link")</f>
        <v/>
      </c>
      <c r="K181" s="6">
        <f>HYPERLINK("C:\Projects\Kleinanzeigen-Scraper\offer_images\2867806494", "Link")</f>
        <v/>
      </c>
      <c r="L181" t="inlineStr">
        <is>
          <t>Heiner</t>
        </is>
      </c>
      <c r="M181" s="6">
        <f>HYPERLINK("https://www.kleinanzeigen.de/s-bestandsliste.html?userId=26959298", "Link")</f>
        <v/>
      </c>
      <c r="N181" s="7" t="n">
        <v>45555.55635416666</v>
      </c>
      <c r="O181" s="3" t="inlineStr">
        <is>
          <t>141.80</t>
        </is>
      </c>
      <c r="P181" t="inlineStr">
        <is>
          <t>Karlsruhe</t>
        </is>
      </c>
    </row>
    <row r="182">
      <c r="A182" t="inlineStr">
        <is>
          <t>Gun Sails</t>
        </is>
      </c>
      <c r="B182" s="3" t="n">
        <v>430</v>
      </c>
      <c r="C182" s="8" t="inlineStr"/>
      <c r="D182" t="inlineStr"/>
      <c r="E182" s="4" t="inlineStr">
        <is>
          <t>Zu verschenken</t>
        </is>
      </c>
      <c r="F182" t="inlineStr"/>
      <c r="G182" t="inlineStr">
        <is>
          <t>24939 Schleswig-Holstein - Flensburg</t>
        </is>
      </c>
      <c r="H182" s="5" t="n">
        <v>45552</v>
      </c>
      <c r="I182" t="inlineStr">
        <is>
          <t>Sold</t>
        </is>
      </c>
      <c r="J182" s="6">
        <f>HYPERLINK("https://www.kleinanzeigen.de/s-anzeige/mast-gun-sails-430/2866797974-230-717", "Link")</f>
        <v/>
      </c>
      <c r="K182" s="6">
        <f>HYPERLINK("C:\Projects\Kleinanzeigen-Scraper\offer_images\2866797974", "Link")</f>
        <v/>
      </c>
      <c r="L182" t="inlineStr">
        <is>
          <t>Jan</t>
        </is>
      </c>
      <c r="M182" s="6">
        <f>HYPERLINK("https://www.kleinanzeigen.de/s-bestandsliste.html?userId=52543514", "Link")</f>
        <v/>
      </c>
      <c r="N182" s="7" t="n">
        <v>45555.55547453704</v>
      </c>
      <c r="O182" s="3" t="inlineStr">
        <is>
          <t>460.36</t>
        </is>
      </c>
      <c r="P182" t="inlineStr">
        <is>
          <t>Köln</t>
        </is>
      </c>
    </row>
    <row r="183">
      <c r="A183" t="inlineStr">
        <is>
          <t>Gun North Sails NeilPryde</t>
        </is>
      </c>
      <c r="B183" s="3" t="inlineStr">
        <is>
          <t>370-490</t>
        </is>
      </c>
      <c r="C183" s="8" t="inlineStr"/>
      <c r="D183" t="inlineStr"/>
      <c r="E183" s="4" t="n">
        <v>60</v>
      </c>
      <c r="F183" t="inlineStr"/>
      <c r="G183" t="inlineStr">
        <is>
          <t>09111 Sachsen - Chemnitz</t>
        </is>
      </c>
      <c r="H183" s="5" t="n">
        <v>45555</v>
      </c>
      <c r="I183" t="inlineStr"/>
      <c r="J183" s="6">
        <f>HYPERLINK("https://www.kleinanzeigen.de/s-anzeige/windsurf-mast-370-bis-490-gun-north-sails-neilpryde/2868791817-230-3886", "Link")</f>
        <v/>
      </c>
      <c r="K183" s="6">
        <f>HYPERLINK("C:\Projects\Kleinanzeigen-Scraper\offer_images\2868791817", "Link")</f>
        <v/>
      </c>
      <c r="L183" t="inlineStr">
        <is>
          <t>olaf</t>
        </is>
      </c>
      <c r="M183" s="6">
        <f>HYPERLINK("https://www.kleinanzeigen.de/s-bestandsliste.html?userId=8857923", "Link")</f>
        <v/>
      </c>
      <c r="N183" s="7" t="n">
        <v>45555.55467592592</v>
      </c>
      <c r="O183" s="3" t="inlineStr">
        <is>
          <t>315.71</t>
        </is>
      </c>
      <c r="P183" t="inlineStr">
        <is>
          <t>München</t>
        </is>
      </c>
    </row>
    <row r="184">
      <c r="A184" t="inlineStr">
        <is>
          <t>Severne</t>
        </is>
      </c>
      <c r="B184" s="3" t="n">
        <v>370</v>
      </c>
      <c r="C184" s="8" t="inlineStr">
        <is>
          <t>90%</t>
        </is>
      </c>
      <c r="D184" t="inlineStr">
        <is>
          <t>RDM</t>
        </is>
      </c>
      <c r="E184" s="4" t="n">
        <v>220</v>
      </c>
      <c r="F184" t="inlineStr"/>
      <c r="G184" t="inlineStr">
        <is>
          <t>16348 Brandenburg - Wandlitz</t>
        </is>
      </c>
      <c r="H184" s="5" t="n">
        <v>45555</v>
      </c>
      <c r="I184" t="inlineStr">
        <is>
          <t>Sold</t>
        </is>
      </c>
      <c r="J184" s="6">
        <f>HYPERLINK("https://www.kleinanzeigen.de/s-anzeige/severne-370er-rdm-mast-blue-line-90-carbon/2868553740-230-7891", "Link")</f>
        <v/>
      </c>
      <c r="K184" s="6">
        <f>HYPERLINK("C:\Projects\Kleinanzeigen-Scraper\offer_images\2868553740", "Link")</f>
        <v/>
      </c>
      <c r="L184" t="inlineStr">
        <is>
          <t>ollie</t>
        </is>
      </c>
      <c r="M184" s="6">
        <f>HYPERLINK("https://www.kleinanzeigen.de/s-bestandsliste.html?userId=11096027", "Link")</f>
        <v/>
      </c>
      <c r="N184" s="7" t="n">
        <v>45555.55447916667</v>
      </c>
      <c r="O184" s="3" t="inlineStr">
        <is>
          <t>493.28</t>
        </is>
      </c>
      <c r="P184" t="inlineStr">
        <is>
          <t>Köln</t>
        </is>
      </c>
    </row>
    <row r="185">
      <c r="A185" t="inlineStr">
        <is>
          <t>Sailloft</t>
        </is>
      </c>
      <c r="B185" s="3" t="n">
        <v>400</v>
      </c>
      <c r="C185" s="8" t="inlineStr">
        <is>
          <t>80%</t>
        </is>
      </c>
      <c r="D185" t="inlineStr">
        <is>
          <t>RDM</t>
        </is>
      </c>
      <c r="E185" s="4" t="n">
        <v>320</v>
      </c>
      <c r="F185" t="inlineStr"/>
      <c r="G185" t="inlineStr">
        <is>
          <t>22609 Altona - Hamburg Othmarschen</t>
        </is>
      </c>
      <c r="H185" s="5" t="n">
        <v>45554</v>
      </c>
      <c r="I185" t="inlineStr">
        <is>
          <t>Sold</t>
        </is>
      </c>
      <c r="J185" s="6">
        <f>HYPERLINK("https://www.kleinanzeigen.de/s-anzeige/windsurf-mast-sailloft-rdm-400-80-c/2868343132-230-9501", "Link")</f>
        <v/>
      </c>
      <c r="K185" s="6">
        <f>HYPERLINK("C:\Projects\Kleinanzeigen-Scraper\offer_images\2868343132", "Link")</f>
        <v/>
      </c>
      <c r="L185" t="inlineStr">
        <is>
          <t>Lars Debbert</t>
        </is>
      </c>
      <c r="M185" s="6">
        <f>HYPERLINK("https://www.kleinanzeigen.de/s-bestandsliste.html?userId=35603855", "Link")</f>
        <v/>
      </c>
      <c r="N185" s="7" t="n">
        <v>45555.55440972222</v>
      </c>
      <c r="O185" s="3" t="inlineStr">
        <is>
          <t>351.06</t>
        </is>
      </c>
      <c r="P185" t="inlineStr">
        <is>
          <t>Köln</t>
        </is>
      </c>
    </row>
    <row r="186">
      <c r="A186" t="inlineStr">
        <is>
          <t>Caas</t>
        </is>
      </c>
      <c r="B186" s="3" t="n">
        <v>430</v>
      </c>
      <c r="C186" s="8" t="inlineStr">
        <is>
          <t>100%</t>
        </is>
      </c>
      <c r="D186" t="inlineStr">
        <is>
          <t>SDM</t>
        </is>
      </c>
      <c r="E186" s="4" t="n">
        <v>75</v>
      </c>
      <c r="F186" t="inlineStr">
        <is>
          <t>VB</t>
        </is>
      </c>
      <c r="G186" t="inlineStr">
        <is>
          <t>23816</t>
        </is>
      </c>
      <c r="H186" s="5" t="n">
        <v>45551</v>
      </c>
      <c r="I186" t="inlineStr"/>
      <c r="J186" s="6">
        <f>HYPERLINK("https://www.dailydose.de/kleinanzeigen/detail.htm?ai=422714&amp;cf=kk&amp;pg=2&amp;ci=2", "Link")</f>
        <v/>
      </c>
      <c r="K186" s="6">
        <f>HYPERLINK("C:\Projects\Kleinanzeigen-Scraper\offer_images\422714", "Link")</f>
        <v/>
      </c>
      <c r="L186" t="inlineStr">
        <is>
          <t>henning_167</t>
        </is>
      </c>
      <c r="M186" s="6">
        <f>HYPERLINK("https://www.dailydose.de/kleinanzeigen/user/10083", "Link")</f>
        <v/>
      </c>
      <c r="N186" s="7" t="n">
        <v>45551.60309027778</v>
      </c>
      <c r="O186" s="3" t="inlineStr">
        <is>
          <t>393.75</t>
        </is>
      </c>
      <c r="P186" t="inlineStr">
        <is>
          <t>Köln</t>
        </is>
      </c>
    </row>
    <row r="187">
      <c r="A187" t="inlineStr">
        <is>
          <t>RRD Dynamic Pro</t>
        </is>
      </c>
      <c r="B187" s="3" t="n">
        <v>400</v>
      </c>
      <c r="C187" s="8" t="inlineStr">
        <is>
          <t>100%</t>
        </is>
      </c>
      <c r="D187" t="inlineStr">
        <is>
          <t>RDM</t>
        </is>
      </c>
      <c r="E187" s="4" t="n">
        <v>300</v>
      </c>
      <c r="F187" t="inlineStr"/>
      <c r="G187" t="inlineStr">
        <is>
          <t>58540 Nordrhein-Westfalen - Meinerzhagen</t>
        </is>
      </c>
      <c r="H187" s="5" t="n">
        <v>45551</v>
      </c>
      <c r="I187" t="inlineStr">
        <is>
          <t>Sold</t>
        </is>
      </c>
      <c r="J187" s="6">
        <f>HYPERLINK("https://www.dailydose.de/kleinanzeigen/detail.htm?ai=422708&amp;cf=kk&amp;pg=1&amp;ci=2", "Link")</f>
        <v/>
      </c>
      <c r="K187" s="6">
        <f>HYPERLINK("C:\Projects\Kleinanzeigen-Scraper\offer_images\422708", "Link")</f>
        <v/>
      </c>
      <c r="L187" t="inlineStr">
        <is>
          <t>tivitac</t>
        </is>
      </c>
      <c r="M187" s="6">
        <f>HYPERLINK("https://www.dailydose.de/kleinanzeigen/user/1938", "Link")</f>
        <v/>
      </c>
      <c r="N187" s="7" t="n">
        <v>45551.60032407408</v>
      </c>
      <c r="O187" s="3" t="inlineStr">
        <is>
          <t>56.25</t>
        </is>
      </c>
      <c r="P187" t="inlineStr">
        <is>
          <t>Köln</t>
        </is>
      </c>
    </row>
    <row r="188">
      <c r="A188" t="inlineStr">
        <is>
          <t>Ezzy Hookipa</t>
        </is>
      </c>
      <c r="B188" s="3" t="n">
        <v>400</v>
      </c>
      <c r="C188" s="8" t="inlineStr">
        <is>
          <t>90%</t>
        </is>
      </c>
      <c r="D188" t="inlineStr"/>
      <c r="E188" s="4" t="n">
        <v>240</v>
      </c>
      <c r="F188" t="inlineStr">
        <is>
          <t>VB</t>
        </is>
      </c>
      <c r="G188" t="inlineStr">
        <is>
          <t>24105 Kiel oder Lübeck</t>
        </is>
      </c>
      <c r="H188" s="5" t="n">
        <v>45551</v>
      </c>
      <c r="I188" t="inlineStr"/>
      <c r="J188" s="6">
        <f>HYPERLINK("https://www.dailydose.de/kleinanzeigen/detail.htm?ai=422707&amp;cf=kk&amp;pg=2&amp;ci=2", "Link")</f>
        <v/>
      </c>
      <c r="K188" s="6">
        <f>HYPERLINK("C:\Projects\Kleinanzeigen-Scraper\offer_images\422707", "Link")</f>
        <v/>
      </c>
      <c r="L188" t="inlineStr">
        <is>
          <t>seder74</t>
        </is>
      </c>
      <c r="M188" s="6">
        <f>HYPERLINK("https://www.dailydose.de/kleinanzeigen/user/257", "Link")</f>
        <v/>
      </c>
      <c r="N188" s="7" t="n">
        <v>45551.60026620371</v>
      </c>
      <c r="O188" s="3" t="inlineStr">
        <is>
          <t>435.05</t>
        </is>
      </c>
      <c r="P188" t="inlineStr">
        <is>
          <t>Köln</t>
        </is>
      </c>
    </row>
    <row r="189">
      <c r="A189" t="inlineStr">
        <is>
          <t>North Sails Platinum</t>
        </is>
      </c>
      <c r="B189" s="3" t="n">
        <v>430</v>
      </c>
      <c r="C189" s="8" t="inlineStr">
        <is>
          <t>100%</t>
        </is>
      </c>
      <c r="D189" t="inlineStr">
        <is>
          <t>RDM</t>
        </is>
      </c>
      <c r="E189" s="4" t="n">
        <v>349</v>
      </c>
      <c r="F189" t="inlineStr">
        <is>
          <t>VB</t>
        </is>
      </c>
      <c r="G189" t="inlineStr">
        <is>
          <t>76287 Baden-Württemberg - Rheinstetten</t>
        </is>
      </c>
      <c r="H189" s="5" t="n">
        <v>45548</v>
      </c>
      <c r="I189" t="inlineStr">
        <is>
          <t>Sold</t>
        </is>
      </c>
      <c r="J189" s="6">
        <f>HYPERLINK("https://www.kleinanzeigen.de/s-anzeige/north-sails-platinum-430-rdm-100-carbon-mast/2862336133-230-8166", "Link")</f>
        <v/>
      </c>
      <c r="K189" s="6">
        <f>HYPERLINK("C:\Projects\Kleinanzeigen-Scraper\offer_images\2862336133", "Link")</f>
        <v/>
      </c>
      <c r="L189" t="inlineStr">
        <is>
          <t>Dominik</t>
        </is>
      </c>
      <c r="M189" s="6">
        <f>HYPERLINK("https://www.kleinanzeigen.de/s-bestandsliste.html?userId=16948579", "Link")</f>
        <v/>
      </c>
      <c r="N189" s="7" t="n">
        <v>45551.59798611111</v>
      </c>
      <c r="O189" s="3" t="inlineStr">
        <is>
          <t>7.05</t>
        </is>
      </c>
      <c r="P189" t="inlineStr">
        <is>
          <t>Karlsruhe</t>
        </is>
      </c>
    </row>
    <row r="190">
      <c r="A190" t="inlineStr">
        <is>
          <t>North Sails Uni.XT Gold</t>
        </is>
      </c>
      <c r="B190" s="3" t="n">
        <v>42</v>
      </c>
      <c r="C190" s="8" t="inlineStr"/>
      <c r="D190" t="inlineStr">
        <is>
          <t>RDM</t>
        </is>
      </c>
      <c r="E190" s="4" t="n">
        <v>65</v>
      </c>
      <c r="F190" t="inlineStr">
        <is>
          <t>VB</t>
        </is>
      </c>
      <c r="G190" t="inlineStr">
        <is>
          <t>82211 Bayern - Herrsching</t>
        </is>
      </c>
      <c r="H190" s="5" t="n">
        <v>45549</v>
      </c>
      <c r="I190" t="inlineStr">
        <is>
          <t>Sold</t>
        </is>
      </c>
      <c r="J190" s="6">
        <f>HYPERLINK("https://www.kleinanzeigen.de/s-anzeige/north-sails-windsurf-mastverlaengerung-uni-xt-gold-rdm-42cm/2863413260-230-5520", "Link")</f>
        <v/>
      </c>
      <c r="K190" s="6">
        <f>HYPERLINK("C:\Projects\Kleinanzeigen-Scraper\offer_images\2863413260", "Link")</f>
        <v/>
      </c>
      <c r="L190" t="inlineStr">
        <is>
          <t>Oliver</t>
        </is>
      </c>
      <c r="M190" s="6">
        <f>HYPERLINK("https://www.kleinanzeigen.de/s-bestandsliste.html?userId=17846362", "Link")</f>
        <v/>
      </c>
      <c r="N190" s="7" t="n">
        <v>45551.59663194444</v>
      </c>
      <c r="O190" s="3" t="inlineStr">
        <is>
          <t>32.73</t>
        </is>
      </c>
      <c r="P190" t="inlineStr">
        <is>
          <t>München</t>
        </is>
      </c>
    </row>
    <row r="191">
      <c r="A191" t="inlineStr">
        <is>
          <t>Gun Sails</t>
        </is>
      </c>
      <c r="B191" s="3" t="n">
        <v>430</v>
      </c>
      <c r="C191" s="8" t="inlineStr">
        <is>
          <t>20%</t>
        </is>
      </c>
      <c r="D191" t="inlineStr"/>
      <c r="E191" s="4" t="n">
        <v>15</v>
      </c>
      <c r="F191" t="inlineStr"/>
      <c r="G191" t="inlineStr">
        <is>
          <t>22844 Schleswig-Holstein - Norderstedt</t>
        </is>
      </c>
      <c r="H191" s="5" t="n">
        <v>45551</v>
      </c>
      <c r="I191" t="inlineStr">
        <is>
          <t>Sold</t>
        </is>
      </c>
      <c r="J191" s="6">
        <f>HYPERLINK("https://www.kleinanzeigen.de/s-anzeige/mast-windsurfen-surfen-20-carbon-gun-sails-4-3-m/2865226269-230-797", "Link")</f>
        <v/>
      </c>
      <c r="K191" s="6">
        <f>HYPERLINK("C:\Projects\Kleinanzeigen-Scraper\offer_images\2865226269", "Link")</f>
        <v/>
      </c>
      <c r="L191" t="inlineStr">
        <is>
          <t>Ben</t>
        </is>
      </c>
      <c r="M191" s="6">
        <f>HYPERLINK("https://www.kleinanzeigen.de/s-bestandsliste.html?userId=25666860", "Link")</f>
        <v/>
      </c>
      <c r="N191" s="7" t="n">
        <v>45551.59583333333</v>
      </c>
      <c r="O191" s="3" t="inlineStr">
        <is>
          <t>373.10</t>
        </is>
      </c>
      <c r="P191" t="inlineStr">
        <is>
          <t>Köln</t>
        </is>
      </c>
    </row>
    <row r="192">
      <c r="A192" t="inlineStr">
        <is>
          <t>North Sails</t>
        </is>
      </c>
      <c r="B192" s="3" t="n">
        <v>460</v>
      </c>
      <c r="C192" s="8" t="inlineStr">
        <is>
          <t>50%</t>
        </is>
      </c>
      <c r="D192" t="inlineStr"/>
      <c r="E192" s="4" t="n">
        <v>40</v>
      </c>
      <c r="F192" t="inlineStr"/>
      <c r="G192" t="inlineStr">
        <is>
          <t>71384 Baden-Württemberg - Weinstadt</t>
        </is>
      </c>
      <c r="H192" s="5" t="n">
        <v>45548</v>
      </c>
      <c r="I192" t="inlineStr">
        <is>
          <t>Sold</t>
        </is>
      </c>
      <c r="J192" s="6">
        <f>HYPERLINK("https://www.kleinanzeigen.de/s-anzeige/north-sails-mast-460-50-carbon/2862305228-230-8386", "Link")</f>
        <v/>
      </c>
      <c r="K192" s="6">
        <f>HYPERLINK("C:\Projects\Kleinanzeigen-Scraper\offer_images\2862305228", "Link")</f>
        <v/>
      </c>
      <c r="L192" t="inlineStr">
        <is>
          <t>Frank</t>
        </is>
      </c>
      <c r="M192" s="6">
        <f>HYPERLINK("https://www.kleinanzeigen.de/s-bestandsliste.html?userId=5342134", "Link")</f>
        <v/>
      </c>
      <c r="N192" s="7" t="n">
        <v>45551.59488425926</v>
      </c>
      <c r="O192" s="3" t="inlineStr">
        <is>
          <t>33.53</t>
        </is>
      </c>
      <c r="P192" t="inlineStr">
        <is>
          <t>Böblingen</t>
        </is>
      </c>
    </row>
    <row r="193">
      <c r="A193" t="inlineStr">
        <is>
          <t>North Sails (Duotone) Platinum</t>
        </is>
      </c>
      <c r="B193" s="3" t="n">
        <v>490</v>
      </c>
      <c r="C193" s="8" t="inlineStr"/>
      <c r="D193" t="inlineStr">
        <is>
          <t>SDM</t>
        </is>
      </c>
      <c r="E193" s="4" t="n">
        <v>110</v>
      </c>
      <c r="F193" t="inlineStr">
        <is>
          <t>VB</t>
        </is>
      </c>
      <c r="G193" t="inlineStr">
        <is>
          <t>21147 Harburg - Hamburg Hausbruch</t>
        </is>
      </c>
      <c r="H193" s="5" t="n">
        <v>45551</v>
      </c>
      <c r="I193" t="inlineStr"/>
      <c r="J193" s="6">
        <f>HYPERLINK("https://www.kleinanzeigen.de/s-anzeige/mast-north-sails-duotone-platinum-490-unterteil/2865002629-230-9411", "Link")</f>
        <v/>
      </c>
      <c r="K193" s="6">
        <f>HYPERLINK("C:\Projects\Kleinanzeigen-Scraper\offer_images\2865002629", "Link")</f>
        <v/>
      </c>
      <c r="L193" t="inlineStr">
        <is>
          <t>Jacek</t>
        </is>
      </c>
      <c r="M193" s="6">
        <f>HYPERLINK("https://www.kleinanzeigen.de/s-bestandsliste.html?userId=18630251", "Link")</f>
        <v/>
      </c>
      <c r="N193" s="7" t="n">
        <v>45551.59486111111</v>
      </c>
      <c r="O193" s="3" t="inlineStr">
        <is>
          <t>344.61</t>
        </is>
      </c>
      <c r="P193" t="inlineStr">
        <is>
          <t>Köln</t>
        </is>
      </c>
    </row>
    <row r="194">
      <c r="A194" t="inlineStr">
        <is>
          <t>Goya</t>
        </is>
      </c>
      <c r="B194" s="3" t="n">
        <v>400</v>
      </c>
      <c r="C194" s="8" t="inlineStr">
        <is>
          <t>90%</t>
        </is>
      </c>
      <c r="D194" t="inlineStr">
        <is>
          <t>RDM</t>
        </is>
      </c>
      <c r="E194" s="4" t="n">
        <v>190</v>
      </c>
      <c r="F194" t="inlineStr">
        <is>
          <t>VB</t>
        </is>
      </c>
      <c r="G194" t="inlineStr">
        <is>
          <t>88048 Baden-Württemberg - Friedrichshafen</t>
        </is>
      </c>
      <c r="H194" s="5" t="n">
        <v>45551</v>
      </c>
      <c r="I194" t="inlineStr">
        <is>
          <t>Sold</t>
        </is>
      </c>
      <c r="J194" s="6">
        <f>HYPERLINK("https://www.kleinanzeigen.de/s-anzeige/goya-90-carbon-rdm-mast-400cm/2865303689-230-9212", "Link")</f>
        <v/>
      </c>
      <c r="K194" s="6">
        <f>HYPERLINK("C:\Projects\Kleinanzeigen-Scraper\offer_images\2865303689", "Link")</f>
        <v/>
      </c>
      <c r="L194" t="inlineStr">
        <is>
          <t>Niko</t>
        </is>
      </c>
      <c r="M194" s="6">
        <f>HYPERLINK("https://www.kleinanzeigen.de/s-bestandsliste.html?userId=14298532", "Link")</f>
        <v/>
      </c>
      <c r="N194" s="7" t="n">
        <v>45551.59185185185</v>
      </c>
      <c r="O194" s="3" t="inlineStr">
        <is>
          <t>87.69</t>
        </is>
      </c>
      <c r="P194" t="inlineStr">
        <is>
          <t>Bonndorf</t>
        </is>
      </c>
    </row>
    <row r="195">
      <c r="A195" t="inlineStr">
        <is>
          <t>NEILPRYD RDM SPX50</t>
        </is>
      </c>
      <c r="B195" s="3" t="n">
        <v>400</v>
      </c>
      <c r="C195" s="8" t="inlineStr"/>
      <c r="D195" t="inlineStr">
        <is>
          <t>RDM</t>
        </is>
      </c>
      <c r="E195" s="4" t="n">
        <v>160</v>
      </c>
      <c r="F195" t="inlineStr">
        <is>
          <t>VB</t>
        </is>
      </c>
      <c r="G195" t="inlineStr">
        <is>
          <t>87600 Bayern - Kaufbeuren</t>
        </is>
      </c>
      <c r="H195" s="5" t="n">
        <v>45551</v>
      </c>
      <c r="I195" t="inlineStr"/>
      <c r="J195" s="6">
        <f>HYPERLINK("https://www.kleinanzeigen.de/s-anzeige/neilpryd-rdm-spx50-400/2865023097-230-7262", "Link")</f>
        <v/>
      </c>
      <c r="K195" s="6">
        <f>HYPERLINK("C:\Projects\Kleinanzeigen-Scraper\offer_images\2865023097", "Link")</f>
        <v/>
      </c>
      <c r="L195" t="inlineStr">
        <is>
          <t>Roman</t>
        </is>
      </c>
      <c r="M195" s="6">
        <f>HYPERLINK("https://www.kleinanzeigen.de/s-bestandsliste.html?userId=128684321", "Link")</f>
        <v/>
      </c>
      <c r="N195" s="7" t="n">
        <v>45551.59138888889</v>
      </c>
      <c r="O195" s="3" t="inlineStr">
        <is>
          <t>76.14</t>
        </is>
      </c>
      <c r="P195" t="inlineStr">
        <is>
          <t>München</t>
        </is>
      </c>
    </row>
    <row r="196">
      <c r="A196" t="inlineStr">
        <is>
          <t>Neil Pryde X9</t>
        </is>
      </c>
      <c r="B196" s="3" t="n">
        <v>400</v>
      </c>
      <c r="C196" s="8" t="inlineStr">
        <is>
          <t>90%</t>
        </is>
      </c>
      <c r="D196" t="inlineStr">
        <is>
          <t>RDM</t>
        </is>
      </c>
      <c r="E196" s="4" t="n">
        <v>220</v>
      </c>
      <c r="F196" t="inlineStr"/>
      <c r="G196" t="inlineStr">
        <is>
          <t>22085 HH/Kiel/Sylt</t>
        </is>
      </c>
      <c r="H196" s="5" t="n">
        <v>45550</v>
      </c>
      <c r="I196" t="inlineStr"/>
      <c r="J196" s="6">
        <f>HYPERLINK("https://www.dailydose.de/kleinanzeigen/detail.htm?ai=422660&amp;cf=kk&amp;pg=2&amp;ci=2", "Link")</f>
        <v/>
      </c>
      <c r="K196" s="6">
        <f>HYPERLINK("C:\Projects\Kleinanzeigen-Scraper\offer_images\422660", "Link")</f>
        <v/>
      </c>
      <c r="L196" t="inlineStr">
        <is>
          <t>KrisWave</t>
        </is>
      </c>
      <c r="M196" s="6">
        <f>HYPERLINK("https://www.dailydose.de/kleinanzeigen/user/25708", "Link")</f>
        <v/>
      </c>
      <c r="N196" s="7" t="n">
        <v>45551.41555555556</v>
      </c>
      <c r="O196" s="3" t="inlineStr">
        <is>
          <t>359.41</t>
        </is>
      </c>
      <c r="P196" t="inlineStr">
        <is>
          <t>Köln</t>
        </is>
      </c>
    </row>
    <row r="197">
      <c r="A197" t="inlineStr">
        <is>
          <t>North Sails (Duotone) Platinum</t>
        </is>
      </c>
      <c r="B197" s="3" t="n">
        <v>490</v>
      </c>
      <c r="C197" s="8" t="inlineStr">
        <is>
          <t>100%</t>
        </is>
      </c>
      <c r="D197" t="inlineStr">
        <is>
          <t>SDM</t>
        </is>
      </c>
      <c r="E197" s="4" t="n">
        <v>110</v>
      </c>
      <c r="F197" t="inlineStr"/>
      <c r="G197" t="inlineStr">
        <is>
          <t>21147 Hamburg</t>
        </is>
      </c>
      <c r="H197" s="5" t="n">
        <v>45551</v>
      </c>
      <c r="I197" t="inlineStr"/>
      <c r="J197" s="6">
        <f>HYPERLINK("https://www.dailydose.de/kleinanzeigen/detail.htm?ai=422701&amp;cf=kk&amp;pg=2&amp;ci=2", "Link")</f>
        <v/>
      </c>
      <c r="K197" s="6">
        <f>HYPERLINK("C:\Projects\Kleinanzeigen-Scraper\offer_images\422701", "Link")</f>
        <v/>
      </c>
      <c r="L197" t="inlineStr">
        <is>
          <t>Jacek</t>
        </is>
      </c>
      <c r="M197" s="6">
        <f>HYPERLINK("https://www.dailydose.de/kleinanzeigen/user/12879", "Link")</f>
        <v/>
      </c>
      <c r="N197" s="7" t="n">
        <v>45551.4152662037</v>
      </c>
      <c r="O197" s="3" t="inlineStr">
        <is>
          <t>344.61</t>
        </is>
      </c>
      <c r="P197" t="inlineStr">
        <is>
          <t>Köln</t>
        </is>
      </c>
    </row>
    <row r="198">
      <c r="A198" t="inlineStr">
        <is>
          <t>Advantage Gun_Sail</t>
        </is>
      </c>
      <c r="B198" s="3" t="n">
        <v>400</v>
      </c>
      <c r="C198" s="8" t="inlineStr">
        <is>
          <t>30%</t>
        </is>
      </c>
      <c r="D198" t="inlineStr">
        <is>
          <t>SDM</t>
        </is>
      </c>
      <c r="E198" s="4" t="inlineStr">
        <is>
          <t>Zu verschenken</t>
        </is>
      </c>
      <c r="F198" t="inlineStr"/>
      <c r="G198" t="inlineStr">
        <is>
          <t>23684 Scharbeutz</t>
        </is>
      </c>
      <c r="H198" s="5" t="n">
        <v>45550</v>
      </c>
      <c r="I198" t="inlineStr"/>
      <c r="J198" s="6">
        <f>HYPERLINK("https://www.dailydose.de/kleinanzeigen/detail.htm?ai=422640&amp;cf=kk&amp;pg=2&amp;ci=2", "Link")</f>
        <v/>
      </c>
      <c r="K198" s="6">
        <f>HYPERLINK("C:\Projects\Kleinanzeigen-Scraper\offer_images\422640", "Link")</f>
        <v/>
      </c>
      <c r="L198" t="inlineStr">
        <is>
          <t>DBW</t>
        </is>
      </c>
      <c r="M198" s="6">
        <f>HYPERLINK("https://www.dailydose.de/kleinanzeigen/user/26416", "Link")</f>
        <v/>
      </c>
      <c r="N198" s="7" t="n">
        <v>45551.4149537037</v>
      </c>
      <c r="O198" s="3" t="inlineStr">
        <is>
          <t>427.15</t>
        </is>
      </c>
      <c r="P198" t="inlineStr">
        <is>
          <t>Köln</t>
        </is>
      </c>
    </row>
    <row r="199">
      <c r="A199" t="inlineStr">
        <is>
          <t>Neilpryde X3</t>
        </is>
      </c>
      <c r="B199" s="3" t="n">
        <v>430</v>
      </c>
      <c r="C199" s="8" t="inlineStr">
        <is>
          <t>35%</t>
        </is>
      </c>
      <c r="D199" t="inlineStr">
        <is>
          <t>SDM</t>
        </is>
      </c>
      <c r="E199" s="4" t="n">
        <v>100</v>
      </c>
      <c r="F199" t="inlineStr"/>
      <c r="G199" t="inlineStr">
        <is>
          <t>78187 Geisingen</t>
        </is>
      </c>
      <c r="H199" s="5" t="n">
        <v>45550</v>
      </c>
      <c r="I199" t="inlineStr"/>
      <c r="J199" s="6">
        <f>HYPERLINK("https://www.dailydose.de/kleinanzeigen/detail.htm?ai=422626&amp;cf=kk&amp;pg=2&amp;ci=2", "Link")</f>
        <v/>
      </c>
      <c r="K199" s="6">
        <f>HYPERLINK("C:\Projects\Kleinanzeigen-Scraper\offer_images\422626", "Link")</f>
        <v/>
      </c>
      <c r="L199" t="inlineStr">
        <is>
          <t>surferto</t>
        </is>
      </c>
      <c r="M199" s="6">
        <f>HYPERLINK("https://www.dailydose.de/kleinanzeigen/user/23808", "Link")</f>
        <v/>
      </c>
      <c r="N199" s="7" t="n">
        <v>45551.41457175926</v>
      </c>
      <c r="O199" s="3" t="inlineStr">
        <is>
          <t>24.74</t>
        </is>
      </c>
      <c r="P199" t="inlineStr">
        <is>
          <t>Bonndorf</t>
        </is>
      </c>
    </row>
    <row r="200">
      <c r="A200" t="inlineStr">
        <is>
          <t>Unifiber RDM</t>
        </is>
      </c>
      <c r="B200" s="3" t="n">
        <v>370</v>
      </c>
      <c r="C200" s="8" t="inlineStr">
        <is>
          <t>60%</t>
        </is>
      </c>
      <c r="D200" t="inlineStr">
        <is>
          <t>RDM</t>
        </is>
      </c>
      <c r="E200" s="4" t="n">
        <v>40</v>
      </c>
      <c r="F200" t="inlineStr"/>
      <c r="G200" t="inlineStr">
        <is>
          <t>23684 Scharbeutz</t>
        </is>
      </c>
      <c r="H200" s="5" t="n">
        <v>45550</v>
      </c>
      <c r="I200" t="inlineStr">
        <is>
          <t>Sold</t>
        </is>
      </c>
      <c r="J200" s="6">
        <f>HYPERLINK("https://www.dailydose.de/kleinanzeigen/detail.htm?ai=422654&amp;cf=kk&amp;pg=1&amp;ci=2", "Link")</f>
        <v/>
      </c>
      <c r="K200" s="6">
        <f>HYPERLINK("C:\Projects\Kleinanzeigen-Scraper\offer_images\422654", "Link")</f>
        <v/>
      </c>
      <c r="L200" t="inlineStr">
        <is>
          <t>DBW</t>
        </is>
      </c>
      <c r="M200" s="6">
        <f>HYPERLINK("https://www.dailydose.de/kleinanzeigen/user/26416", "Link")</f>
        <v/>
      </c>
      <c r="N200" s="7" t="n">
        <v>45551.41376157408</v>
      </c>
      <c r="O200" s="3" t="inlineStr">
        <is>
          <t>427.15</t>
        </is>
      </c>
      <c r="P200" t="inlineStr">
        <is>
          <t>Köln</t>
        </is>
      </c>
    </row>
    <row r="201">
      <c r="A201" t="inlineStr">
        <is>
          <t>Neilpryde TPX 100</t>
        </is>
      </c>
      <c r="B201" s="3" t="n">
        <v>430</v>
      </c>
      <c r="C201" s="8" t="inlineStr"/>
      <c r="D201" t="inlineStr">
        <is>
          <t>SDM</t>
        </is>
      </c>
      <c r="E201" s="4" t="n">
        <v>430</v>
      </c>
      <c r="F201" t="inlineStr"/>
      <c r="G201" t="inlineStr">
        <is>
          <t>33758  Schloß Holte</t>
        </is>
      </c>
      <c r="H201" s="5" t="n">
        <v>45550</v>
      </c>
      <c r="I201" t="inlineStr">
        <is>
          <t>Sold</t>
        </is>
      </c>
      <c r="J201" s="6">
        <f>HYPERLINK("https://www.dailydose.de/kleinanzeigen/detail.htm?ai=422650&amp;cf=kk&amp;pg=1&amp;ci=2", "Link")</f>
        <v/>
      </c>
      <c r="K201" s="6">
        <f>HYPERLINK("C:\Projects\Kleinanzeigen-Scraper\offer_images\422650", "Link")</f>
        <v/>
      </c>
      <c r="L201" t="inlineStr">
        <is>
          <t>table__top</t>
        </is>
      </c>
      <c r="M201" s="6">
        <f>HYPERLINK("https://www.dailydose.de/kleinanzeigen/user/808", "Link")</f>
        <v/>
      </c>
      <c r="N201" s="7" t="n">
        <v>45551.41359953704</v>
      </c>
      <c r="O201" s="3" t="inlineStr">
        <is>
          <t>158.29</t>
        </is>
      </c>
      <c r="P201" t="inlineStr">
        <is>
          <t>Köln</t>
        </is>
      </c>
    </row>
    <row r="202">
      <c r="A202" t="inlineStr">
        <is>
          <t>Severne RDM</t>
        </is>
      </c>
      <c r="B202" s="3" t="n">
        <v>460</v>
      </c>
      <c r="C202" s="8" t="inlineStr">
        <is>
          <t>100%</t>
        </is>
      </c>
      <c r="D202" t="inlineStr">
        <is>
          <t>RDM</t>
        </is>
      </c>
      <c r="E202" s="4" t="n">
        <v>400</v>
      </c>
      <c r="F202" t="inlineStr"/>
      <c r="G202" t="inlineStr">
        <is>
          <t>66386 SB, S, KL, K, DO, MK, Wissant</t>
        </is>
      </c>
      <c r="H202" s="5" t="n">
        <v>45551</v>
      </c>
      <c r="I202" t="inlineStr">
        <is>
          <t>Sold</t>
        </is>
      </c>
      <c r="J202" s="6">
        <f>HYPERLINK("https://www.dailydose.de/kleinanzeigen/detail.htm?ai=422700&amp;cf=kk&amp;pg=1&amp;ci=2", "Link")</f>
        <v/>
      </c>
      <c r="K202" s="6">
        <f>HYPERLINK("C:\Projects\Kleinanzeigen-Scraper\offer_images\422700", "Link")</f>
        <v/>
      </c>
      <c r="L202" t="inlineStr">
        <is>
          <t>Peter Elze</t>
        </is>
      </c>
      <c r="M202" s="6">
        <f>HYPERLINK("https://www.dailydose.de/kleinanzeigen/user/18910", "Link")</f>
        <v/>
      </c>
      <c r="N202" s="7" t="n">
        <v>45551.41309027778</v>
      </c>
      <c r="O202" s="3" t="inlineStr">
        <is>
          <t>96.65</t>
        </is>
      </c>
      <c r="P202" t="inlineStr">
        <is>
          <t>Karlsruhe</t>
        </is>
      </c>
    </row>
    <row r="203">
      <c r="A203" t="inlineStr">
        <is>
          <t>Point 7</t>
        </is>
      </c>
      <c r="B203" s="3" t="n">
        <v>520</v>
      </c>
      <c r="C203" s="8" t="inlineStr">
        <is>
          <t>100%</t>
        </is>
      </c>
      <c r="D203" t="inlineStr">
        <is>
          <t>SDM</t>
        </is>
      </c>
      <c r="E203" s="4" t="n">
        <v>289</v>
      </c>
      <c r="F203" t="inlineStr">
        <is>
          <t>VB</t>
        </is>
      </c>
      <c r="G203" t="inlineStr">
        <is>
          <t>80639 München</t>
        </is>
      </c>
      <c r="H203" s="5" t="n">
        <v>45550</v>
      </c>
      <c r="I203" t="inlineStr"/>
      <c r="J203" s="6">
        <f>HYPERLINK("https://www.dailydose.de/kleinanzeigen/detail.htm?ai=422647&amp;cf=kk&amp;pg=2&amp;ci=2", "Link")</f>
        <v/>
      </c>
      <c r="K203" s="6">
        <f>HYPERLINK("C:\Projects\Kleinanzeigen-Scraper\offer_images\422647", "Link")</f>
        <v/>
      </c>
      <c r="L203" t="inlineStr">
        <is>
          <t>torsten4456</t>
        </is>
      </c>
      <c r="M203" s="6">
        <f>HYPERLINK("https://www.dailydose.de/kleinanzeigen/user/20824", "Link")</f>
        <v/>
      </c>
      <c r="N203" s="7" t="n">
        <v>45551.41261574074</v>
      </c>
      <c r="O203" s="3" t="inlineStr">
        <is>
          <t>4.83</t>
        </is>
      </c>
      <c r="P203" t="inlineStr">
        <is>
          <t>München</t>
        </is>
      </c>
    </row>
    <row r="204">
      <c r="A204" t="inlineStr">
        <is>
          <t>Neil Pryde CK 35</t>
        </is>
      </c>
      <c r="B204" s="3" t="n">
        <v>430</v>
      </c>
      <c r="C204" s="8" t="inlineStr">
        <is>
          <t>30%</t>
        </is>
      </c>
      <c r="D204" t="inlineStr">
        <is>
          <t>SDM</t>
        </is>
      </c>
      <c r="E204" s="4" t="n">
        <v>40</v>
      </c>
      <c r="F204" t="inlineStr"/>
      <c r="G204" t="inlineStr">
        <is>
          <t>22085 HH/Kiel/Sylt</t>
        </is>
      </c>
      <c r="H204" s="5" t="n">
        <v>45550</v>
      </c>
      <c r="I204" t="inlineStr"/>
      <c r="J204" s="6">
        <f>HYPERLINK("https://www.dailydose.de/kleinanzeigen/detail.htm?ai=422661&amp;cf=kk&amp;pg=2&amp;ci=2", "Link")</f>
        <v/>
      </c>
      <c r="K204" s="6">
        <f>HYPERLINK("C:\Projects\Kleinanzeigen-Scraper\offer_images\422661", "Link")</f>
        <v/>
      </c>
      <c r="L204" t="inlineStr">
        <is>
          <t>KrisWave</t>
        </is>
      </c>
      <c r="M204" s="6">
        <f>HYPERLINK("https://www.dailydose.de/kleinanzeigen/user/25708", "Link")</f>
        <v/>
      </c>
      <c r="N204" s="7" t="n">
        <v>45551.41229166667</v>
      </c>
      <c r="O204" s="3" t="inlineStr">
        <is>
          <t>359.41</t>
        </is>
      </c>
      <c r="P204" t="inlineStr">
        <is>
          <t>Köln</t>
        </is>
      </c>
    </row>
    <row r="205">
      <c r="A205" t="inlineStr">
        <is>
          <t>Neilpryde Freeride pro</t>
        </is>
      </c>
      <c r="B205" s="3" t="n">
        <v>430</v>
      </c>
      <c r="C205" s="8" t="inlineStr">
        <is>
          <t>43%</t>
        </is>
      </c>
      <c r="D205" t="inlineStr"/>
      <c r="E205" s="4" t="n">
        <v>55</v>
      </c>
      <c r="F205" t="inlineStr">
        <is>
          <t>VB</t>
        </is>
      </c>
      <c r="G205" t="inlineStr">
        <is>
          <t>82549 Bayern - Königsdorf</t>
        </is>
      </c>
      <c r="H205" s="5" t="n">
        <v>45479</v>
      </c>
      <c r="I205" t="inlineStr">
        <is>
          <t>Sold</t>
        </is>
      </c>
      <c r="J205" s="6">
        <f>HYPERLINK("https://www.kleinanzeigen.de/s-anzeige/surfmast-430cm-freeride-pro-neilpryde-43-gravity/2805629346-230-6331", "Link")</f>
        <v/>
      </c>
      <c r="K205" s="6">
        <f>HYPERLINK("C:\Projects\Kleinanzeigen-Scraper\offer_images\2805629346", "Link")</f>
        <v/>
      </c>
      <c r="L205" t="inlineStr">
        <is>
          <t>Angelika Zuleger</t>
        </is>
      </c>
      <c r="M205" s="6">
        <f>HYPERLINK("https://www.kleinanzeigen.de/s-bestandsliste.html?userId=60167365", "Link")</f>
        <v/>
      </c>
      <c r="N205" s="7" t="n">
        <v>45551.41155092593</v>
      </c>
      <c r="O205" s="3" t="inlineStr">
        <is>
          <t>36.23</t>
        </is>
      </c>
      <c r="P205" t="inlineStr">
        <is>
          <t>München</t>
        </is>
      </c>
    </row>
    <row r="206">
      <c r="A206" t="inlineStr">
        <is>
          <t>Sailloft Hamburg Red Line</t>
        </is>
      </c>
      <c r="B206" s="3" t="n">
        <v>460</v>
      </c>
      <c r="C206" s="8" t="inlineStr">
        <is>
          <t>100%</t>
        </is>
      </c>
      <c r="D206" t="inlineStr">
        <is>
          <t>SDM</t>
        </is>
      </c>
      <c r="E206" s="4" t="n">
        <v>599</v>
      </c>
      <c r="F206" t="inlineStr"/>
      <c r="G206" t="inlineStr">
        <is>
          <t>47495 Nordrhein-Westfalen - Rheinberg</t>
        </is>
      </c>
      <c r="H206" s="5" t="n">
        <v>44876</v>
      </c>
      <c r="I206" t="inlineStr"/>
      <c r="J206" s="6">
        <f>HYPERLINK("https://www.kleinanzeigen.de/s-anzeige/sailloft-hamburg-mast-red-line-100-sdm-460cm-neu-vk-849-/2269793796-230-1399", "Link")</f>
        <v/>
      </c>
      <c r="K206" s="6">
        <f>HYPERLINK("C:\Projects\Kleinanzeigen-Scraper\offer_images\2269793796", "Link")</f>
        <v/>
      </c>
      <c r="L206" t="inlineStr">
        <is>
          <t>Windcraft-Sports</t>
        </is>
      </c>
      <c r="M206" s="6">
        <f>HYPERLINK("https://www.kleinanzeigen.de/s-bestandsliste.html?userId=74756618", "Link")</f>
        <v/>
      </c>
      <c r="N206" s="7" t="n">
        <v>45551.41152777777</v>
      </c>
      <c r="O206" s="3" t="inlineStr">
        <is>
          <t>72.31</t>
        </is>
      </c>
      <c r="P206" t="inlineStr">
        <is>
          <t>Köln</t>
        </is>
      </c>
    </row>
    <row r="207">
      <c r="A207" t="inlineStr">
        <is>
          <t>Sailloft Hamburg Red Line</t>
        </is>
      </c>
      <c r="B207" s="3" t="n">
        <v>430</v>
      </c>
      <c r="C207" s="8" t="inlineStr">
        <is>
          <t>100%</t>
        </is>
      </c>
      <c r="D207" t="inlineStr">
        <is>
          <t>SDM</t>
        </is>
      </c>
      <c r="E207" s="4" t="n">
        <v>579</v>
      </c>
      <c r="F207" t="inlineStr"/>
      <c r="G207" t="inlineStr">
        <is>
          <t>47495 Nordrhein-Westfalen - Rheinberg</t>
        </is>
      </c>
      <c r="H207" s="5" t="n">
        <v>44876</v>
      </c>
      <c r="I207" t="inlineStr"/>
      <c r="J207" s="6">
        <f>HYPERLINK("https://www.kleinanzeigen.de/s-anzeige/sailloft-hamburg-mast-red-line-100-sdm-430cm-neu-vk-829-/2269792600-230-1399", "Link")</f>
        <v/>
      </c>
      <c r="K207" s="6">
        <f>HYPERLINK("C:\Projects\Kleinanzeigen-Scraper\offer_images\2269792600", "Link")</f>
        <v/>
      </c>
      <c r="L207" t="inlineStr">
        <is>
          <t>Windcraft-Sports</t>
        </is>
      </c>
      <c r="M207" s="6">
        <f>HYPERLINK("https://www.kleinanzeigen.de/s-bestandsliste.html?userId=74756618", "Link")</f>
        <v/>
      </c>
      <c r="N207" s="7" t="n">
        <v>45551.41130787037</v>
      </c>
      <c r="O207" s="3" t="inlineStr">
        <is>
          <t>72.31</t>
        </is>
      </c>
      <c r="P207" t="inlineStr">
        <is>
          <t>Köln</t>
        </is>
      </c>
    </row>
    <row r="208">
      <c r="A208" t="inlineStr">
        <is>
          <t>Sailloft Hamburg Red Line</t>
        </is>
      </c>
      <c r="B208" s="3" t="n">
        <v>490</v>
      </c>
      <c r="C208" s="8" t="inlineStr">
        <is>
          <t>100%</t>
        </is>
      </c>
      <c r="D208" t="inlineStr">
        <is>
          <t>SDM</t>
        </is>
      </c>
      <c r="E208" s="4" t="n">
        <v>639</v>
      </c>
      <c r="F208" t="inlineStr"/>
      <c r="G208" t="inlineStr">
        <is>
          <t>47495 Nordrhein-Westfalen - Rheinberg</t>
        </is>
      </c>
      <c r="H208" s="5" t="n">
        <v>44876</v>
      </c>
      <c r="I208" t="inlineStr"/>
      <c r="J208" s="6">
        <f>HYPERLINK("https://www.kleinanzeigen.de/s-anzeige/sailloft-hamburg-mast-red-line-100-sdm-490cm-neu-vk-889-/2269795152-230-1399", "Link")</f>
        <v/>
      </c>
      <c r="K208" s="6">
        <f>HYPERLINK("C:\Projects\Kleinanzeigen-Scraper\offer_images\2269795152", "Link")</f>
        <v/>
      </c>
      <c r="L208" t="inlineStr">
        <is>
          <t>Windcraft-Sports</t>
        </is>
      </c>
      <c r="M208" s="6">
        <f>HYPERLINK("https://www.kleinanzeigen.de/s-bestandsliste.html?userId=74756618", "Link")</f>
        <v/>
      </c>
      <c r="N208" s="7" t="n">
        <v>45551.41107638889</v>
      </c>
      <c r="O208" s="3" t="inlineStr">
        <is>
          <t>72.31</t>
        </is>
      </c>
      <c r="P208" t="inlineStr">
        <is>
          <t>Köln</t>
        </is>
      </c>
    </row>
    <row r="209">
      <c r="A209" t="inlineStr">
        <is>
          <t>Neilpryde Surfmast X3</t>
        </is>
      </c>
      <c r="B209" s="3" t="n">
        <v>430</v>
      </c>
      <c r="C209" s="8" t="inlineStr"/>
      <c r="D209" t="inlineStr"/>
      <c r="E209" s="4" t="n">
        <v>70</v>
      </c>
      <c r="F209" t="inlineStr"/>
      <c r="G209" t="inlineStr">
        <is>
          <t>01259 Dresden - Leuben</t>
        </is>
      </c>
      <c r="H209" s="5" t="n">
        <v>45550</v>
      </c>
      <c r="I209" t="inlineStr"/>
      <c r="J209" s="6">
        <f>HYPERLINK("https://www.kleinanzeigen.de/s-anzeige/neilpryde-surfmast-x3-430-imcs-21/2864292292-230-3822", "Link")</f>
        <v/>
      </c>
      <c r="K209" s="6">
        <f>HYPERLINK("C:\Projects\Kleinanzeigen-Scraper\offer_images\2864292292", "Link")</f>
        <v/>
      </c>
      <c r="L209" t="inlineStr">
        <is>
          <t>M. F.</t>
        </is>
      </c>
      <c r="M209" s="6">
        <f>HYPERLINK("https://www.kleinanzeigen.de/s-bestandsliste.html?userId=10503434", "Link")</f>
        <v/>
      </c>
      <c r="N209" s="7" t="n">
        <v>45551.41041666667</v>
      </c>
      <c r="O209" s="3" t="inlineStr">
        <is>
          <t>358.55</t>
        </is>
      </c>
      <c r="P209" t="inlineStr">
        <is>
          <t>München</t>
        </is>
      </c>
    </row>
    <row r="210">
      <c r="A210" t="inlineStr">
        <is>
          <t>Neilpride Matrix</t>
        </is>
      </c>
      <c r="B210" s="3" t="n">
        <v>400</v>
      </c>
      <c r="C210" s="8" t="inlineStr"/>
      <c r="D210" t="inlineStr">
        <is>
          <t>SDM</t>
        </is>
      </c>
      <c r="E210" s="4" t="n">
        <v>20</v>
      </c>
      <c r="F210" t="inlineStr">
        <is>
          <t>VB</t>
        </is>
      </c>
      <c r="G210" t="inlineStr">
        <is>
          <t>24119 Kiel - Kronshagen</t>
        </is>
      </c>
      <c r="H210" s="5" t="n">
        <v>45549</v>
      </c>
      <c r="I210" t="inlineStr">
        <is>
          <t>Sold</t>
        </is>
      </c>
      <c r="J210" s="6">
        <f>HYPERLINK("https://www.kleinanzeigen.de/s-anzeige/windsurfen-mast-400cm-neilpride-matrix-2000/2863043644-230-705", "Link")</f>
        <v/>
      </c>
      <c r="K210" s="6">
        <f>HYPERLINK("C:\Projects\Kleinanzeigen-Scraper\offer_images\2863043644", "Link")</f>
        <v/>
      </c>
      <c r="L210" t="inlineStr">
        <is>
          <t>Torge</t>
        </is>
      </c>
      <c r="M210" s="6">
        <f>HYPERLINK("https://www.kleinanzeigen.de/s-bestandsliste.html?userId=129229217", "Link")</f>
        <v/>
      </c>
      <c r="N210" s="7" t="n">
        <v>45551.41037037037</v>
      </c>
      <c r="O210" s="3" t="inlineStr">
        <is>
          <t>432.46</t>
        </is>
      </c>
      <c r="P210" t="inlineStr">
        <is>
          <t>Köln</t>
        </is>
      </c>
    </row>
    <row r="211">
      <c r="A211" t="inlineStr">
        <is>
          <t>RRD Dynamic Alloy Pro</t>
        </is>
      </c>
      <c r="B211" s="3" t="inlineStr"/>
      <c r="C211" s="8" t="inlineStr"/>
      <c r="D211" t="inlineStr">
        <is>
          <t>RDM</t>
        </is>
      </c>
      <c r="E211" s="4" t="n">
        <v>25</v>
      </c>
      <c r="F211" t="inlineStr"/>
      <c r="G211" t="inlineStr">
        <is>
          <t>24247 Schleswig-Holstein - Mielkendorf</t>
        </is>
      </c>
      <c r="H211" s="5" t="n">
        <v>45550</v>
      </c>
      <c r="I211" t="inlineStr"/>
      <c r="J211" s="6">
        <f>HYPERLINK("https://www.kleinanzeigen.de/s-anzeige/rdmverlaengerung-rrd-dynamic-alloy-pro-0-34/2864521557-230-18216", "Link")</f>
        <v/>
      </c>
      <c r="K211" s="6">
        <f>HYPERLINK("C:\Projects\Kleinanzeigen-Scraper\offer_images\2864521557", "Link")</f>
        <v/>
      </c>
      <c r="L211" t="inlineStr">
        <is>
          <t>Ulf</t>
        </is>
      </c>
      <c r="M211" s="6">
        <f>HYPERLINK("https://www.kleinanzeigen.de/s-bestandsliste.html?userId=6449701", "Link")</f>
        <v/>
      </c>
      <c r="N211" s="7" t="n">
        <v>45551.4103125</v>
      </c>
      <c r="O211" s="3" t="inlineStr">
        <is>
          <t>426.37</t>
        </is>
      </c>
      <c r="P211" t="inlineStr">
        <is>
          <t>Köln</t>
        </is>
      </c>
    </row>
    <row r="212">
      <c r="A212" t="inlineStr">
        <is>
          <t>Neilpryde TPX 100</t>
        </is>
      </c>
      <c r="B212" s="3" t="n">
        <v>430</v>
      </c>
      <c r="C212" s="8" t="inlineStr"/>
      <c r="D212" t="inlineStr">
        <is>
          <t>SDM</t>
        </is>
      </c>
      <c r="E212" s="4" t="n">
        <v>430</v>
      </c>
      <c r="F212" t="inlineStr"/>
      <c r="G212" t="inlineStr">
        <is>
          <t>33758 Nordrhein-Westfalen - Schloß Holte-Stukenbrock</t>
        </is>
      </c>
      <c r="H212" s="5" t="n">
        <v>45550</v>
      </c>
      <c r="I212" t="inlineStr">
        <is>
          <t>Sold</t>
        </is>
      </c>
      <c r="J212" s="6">
        <f>HYPERLINK("https://www.kleinanzeigen.de/s-anzeige/neilpryde-tpx-100-430-sdm-neuwertig/2864239632-230-1646", "Link")</f>
        <v/>
      </c>
      <c r="K212" s="6">
        <f>HYPERLINK("C:\Projects\Kleinanzeigen-Scraper\offer_images\2864239632", "Link")</f>
        <v/>
      </c>
      <c r="L212" t="inlineStr">
        <is>
          <t>Ralf Ewers</t>
        </is>
      </c>
      <c r="M212" s="6">
        <f>HYPERLINK("https://www.kleinanzeigen.de/s-bestandsliste.html?userId=75080608", "Link")</f>
        <v/>
      </c>
      <c r="N212" s="7" t="n">
        <v>45551.41020833333</v>
      </c>
      <c r="O212" s="3" t="inlineStr">
        <is>
          <t>158.29</t>
        </is>
      </c>
      <c r="P212" t="inlineStr">
        <is>
          <t>Köln</t>
        </is>
      </c>
    </row>
    <row r="213">
      <c r="A213" t="inlineStr">
        <is>
          <t>Quicktip</t>
        </is>
      </c>
      <c r="B213" s="3" t="n">
        <v>470</v>
      </c>
      <c r="C213" s="8" t="inlineStr">
        <is>
          <t>70%</t>
        </is>
      </c>
      <c r="D213" t="inlineStr"/>
      <c r="E213" s="4" t="n">
        <v>120</v>
      </c>
      <c r="F213" t="inlineStr"/>
      <c r="G213" t="inlineStr">
        <is>
          <t>25358 Schleswig-Holstein - Horst (Holstein)</t>
        </is>
      </c>
      <c r="H213" s="5" t="n">
        <v>45549</v>
      </c>
      <c r="I213" t="inlineStr">
        <is>
          <t>Sold</t>
        </is>
      </c>
      <c r="J213" s="6">
        <f>HYPERLINK("https://www.kleinanzeigen.de/s-anzeige/windsurf-carbonmast-470cm/2863178823-230-16905", "Link")</f>
        <v/>
      </c>
      <c r="K213" s="6">
        <f>HYPERLINK("C:\Projects\Kleinanzeigen-Scraper\offer_images\2863178823", "Link")</f>
        <v/>
      </c>
      <c r="L213" t="inlineStr">
        <is>
          <t>Privater Anbieter</t>
        </is>
      </c>
      <c r="M213" s="6">
        <f>HYPERLINK("https://www.kleinanzeigen.de/s-bestandsliste.html?userId=124940760", "Link")</f>
        <v/>
      </c>
      <c r="N213" s="7" t="n">
        <v>45551.40958333333</v>
      </c>
      <c r="O213" s="3" t="inlineStr">
        <is>
          <t>366.98</t>
        </is>
      </c>
      <c r="P213" t="inlineStr">
        <is>
          <t>Köln</t>
        </is>
      </c>
    </row>
    <row r="214">
      <c r="A214" t="inlineStr">
        <is>
          <t>Neilpryde SPX 90</t>
        </is>
      </c>
      <c r="B214" s="3" t="n">
        <v>430</v>
      </c>
      <c r="C214" s="8" t="inlineStr"/>
      <c r="D214" t="inlineStr">
        <is>
          <t>RDM</t>
        </is>
      </c>
      <c r="E214" s="4" t="n">
        <v>500</v>
      </c>
      <c r="F214" t="inlineStr"/>
      <c r="G214" t="inlineStr">
        <is>
          <t>90587 Bayern - Obermichelbach</t>
        </is>
      </c>
      <c r="H214" s="5" t="n">
        <v>45557</v>
      </c>
      <c r="I214" t="inlineStr"/>
      <c r="J214" s="6">
        <f>HYPERLINK("https://www.kleinanzeigen.de/s-anzeige/neilpryde-carbonmast-spx-90-430-rdm-2023-unbenutzt-/2863488171-230-17037", "Link")</f>
        <v/>
      </c>
      <c r="K214" s="6">
        <f>HYPERLINK("C:\Projects\Kleinanzeigen-Scraper\offer_images\2863488171", "Link")</f>
        <v/>
      </c>
      <c r="L214" t="inlineStr">
        <is>
          <t>Harald</t>
        </is>
      </c>
      <c r="M214" s="6">
        <f>HYPERLINK("https://www.kleinanzeigen.de/s-bestandsliste.html?userId=58707927", "Link")</f>
        <v/>
      </c>
      <c r="N214" s="7" t="n">
        <v>45551.40925925926</v>
      </c>
      <c r="O214" s="3" t="inlineStr">
        <is>
          <t>160.89</t>
        </is>
      </c>
      <c r="P214" t="inlineStr">
        <is>
          <t>München</t>
        </is>
      </c>
    </row>
    <row r="215">
      <c r="A215" t="inlineStr"/>
      <c r="B215" s="3" t="n">
        <v>42</v>
      </c>
      <c r="C215" s="8" t="inlineStr"/>
      <c r="D215" t="inlineStr">
        <is>
          <t>SDM</t>
        </is>
      </c>
      <c r="E215" s="4" t="n">
        <v>9</v>
      </c>
      <c r="F215" t="inlineStr"/>
      <c r="G215" t="inlineStr">
        <is>
          <t>85669 Bayern - Pastetten</t>
        </is>
      </c>
      <c r="H215" s="5" t="n">
        <v>45549</v>
      </c>
      <c r="I215" t="inlineStr">
        <is>
          <t>Sold</t>
        </is>
      </c>
      <c r="J215" s="6">
        <f>HYPERLINK("https://www.kleinanzeigen.de/s-anzeige/windsurf-mastverlaengerung-sd-mast-3-cm-42-cm/2862771332-230-6581", "Link")</f>
        <v/>
      </c>
      <c r="K215" s="6">
        <f>HYPERLINK("C:\Projects\Kleinanzeigen-Scraper\offer_images\2862771332", "Link")</f>
        <v/>
      </c>
      <c r="L215" t="inlineStr">
        <is>
          <t>Michael Gerster</t>
        </is>
      </c>
      <c r="M215" s="6">
        <f>HYPERLINK("https://www.kleinanzeigen.de/s-bestandsliste.html?userId=24609110", "Link")</f>
        <v/>
      </c>
      <c r="N215" s="7" t="n">
        <v>45551.40822916666</v>
      </c>
      <c r="O215" s="3" t="inlineStr">
        <is>
          <t>28.54</t>
        </is>
      </c>
      <c r="P215" t="inlineStr">
        <is>
          <t>München</t>
        </is>
      </c>
    </row>
    <row r="216">
      <c r="A216" t="inlineStr">
        <is>
          <t>North Platinum</t>
        </is>
      </c>
      <c r="B216" s="3" t="n">
        <v>430</v>
      </c>
      <c r="C216" s="8" t="inlineStr">
        <is>
          <t>100%</t>
        </is>
      </c>
      <c r="D216" t="inlineStr">
        <is>
          <t>RDM</t>
        </is>
      </c>
      <c r="E216" s="4" t="n">
        <v>290</v>
      </c>
      <c r="F216" t="inlineStr">
        <is>
          <t>VB</t>
        </is>
      </c>
      <c r="G216" t="inlineStr">
        <is>
          <t>45473 Nordrhein-Westfalen - Mülheim (Ruhr)</t>
        </is>
      </c>
      <c r="H216" s="5" t="n">
        <v>45550</v>
      </c>
      <c r="I216" t="inlineStr">
        <is>
          <t>Sold</t>
        </is>
      </c>
      <c r="J216" s="6">
        <f>HYPERLINK("https://www.kleinanzeigen.de/s-anzeige/north-platinum-rdm-430-jetzt-duotone-/2864096652-230-2062", "Link")</f>
        <v/>
      </c>
      <c r="K216" s="6">
        <f>HYPERLINK("C:\Projects\Kleinanzeigen-Scraper\offer_images\2864096652", "Link")</f>
        <v/>
      </c>
      <c r="L216" t="inlineStr">
        <is>
          <t>Benedict</t>
        </is>
      </c>
      <c r="M216" s="6">
        <f>HYPERLINK("https://www.kleinanzeigen.de/s-bestandsliste.html?userId=13040713", "Link")</f>
        <v/>
      </c>
      <c r="N216" s="7" t="n">
        <v>45551.40795138889</v>
      </c>
      <c r="O216" s="3" t="inlineStr">
        <is>
          <t>56.15</t>
        </is>
      </c>
      <c r="P216" t="inlineStr">
        <is>
          <t>Köln</t>
        </is>
      </c>
    </row>
    <row r="217">
      <c r="A217" t="inlineStr">
        <is>
          <t>C10 CC</t>
        </is>
      </c>
      <c r="B217" s="3" t="n">
        <v>460</v>
      </c>
      <c r="C217" s="8" t="inlineStr"/>
      <c r="D217" t="inlineStr"/>
      <c r="E217" s="4" t="n">
        <v>20</v>
      </c>
      <c r="F217" t="inlineStr">
        <is>
          <t>VB</t>
        </is>
      </c>
      <c r="G217" t="inlineStr">
        <is>
          <t>24119 Kiel - Kronshagen</t>
        </is>
      </c>
      <c r="H217" s="5" t="n">
        <v>45549</v>
      </c>
      <c r="I217" t="inlineStr">
        <is>
          <t>Sold</t>
        </is>
      </c>
      <c r="J217" s="6">
        <f>HYPERLINK("https://www.kleinanzeigen.de/s-anzeige/windsurfen-mast-460cm-c10-cc-imcs24/2863046735-230-705", "Link")</f>
        <v/>
      </c>
      <c r="K217" s="6">
        <f>HYPERLINK("C:\Projects\Kleinanzeigen-Scraper\offer_images\2863046735", "Link")</f>
        <v/>
      </c>
      <c r="L217" t="inlineStr">
        <is>
          <t>Torge</t>
        </is>
      </c>
      <c r="M217" s="6">
        <f>HYPERLINK("https://www.kleinanzeigen.de/s-bestandsliste.html?userId=129229217", "Link")</f>
        <v/>
      </c>
      <c r="N217" s="7" t="n">
        <v>45551.40774305556</v>
      </c>
      <c r="O217" s="3" t="inlineStr">
        <is>
          <t>432.46</t>
        </is>
      </c>
      <c r="P217" t="inlineStr">
        <is>
          <t>Köln</t>
        </is>
      </c>
    </row>
    <row r="218">
      <c r="A218" t="inlineStr">
        <is>
          <t>Unifiber</t>
        </is>
      </c>
      <c r="B218" s="3" t="n">
        <v>460</v>
      </c>
      <c r="C218" s="8" t="n">
        <v>50</v>
      </c>
      <c r="D218" t="inlineStr">
        <is>
          <t>SDM</t>
        </is>
      </c>
      <c r="E218" s="4" t="n">
        <v>170</v>
      </c>
      <c r="F218" t="inlineStr">
        <is>
          <t>VB</t>
        </is>
      </c>
      <c r="G218" t="inlineStr">
        <is>
          <t>30171 Hannover - Südstadt-Bult</t>
        </is>
      </c>
      <c r="H218" s="5" t="n">
        <v>45550</v>
      </c>
      <c r="I218" t="inlineStr">
        <is>
          <t>Sold</t>
        </is>
      </c>
      <c r="J218" s="6">
        <f>HYPERLINK("https://www.kleinanzeigen.de/s-anzeige/unifiber-mast-460-sdm-c50-constant-curve-windsurf/2864709365-230-3162", "Link")</f>
        <v/>
      </c>
      <c r="K218" s="6">
        <f>HYPERLINK("C:\Projects\Kleinanzeigen-Scraper\offer_images\2864709365", "Link")</f>
        <v/>
      </c>
      <c r="L218" t="inlineStr">
        <is>
          <t>Oliver</t>
        </is>
      </c>
      <c r="M218" s="6">
        <f>HYPERLINK("https://www.kleinanzeigen.de/s-bestandsliste.html?userId=17323003", "Link")</f>
        <v/>
      </c>
      <c r="N218" s="7" t="n">
        <v>45551.40659722222</v>
      </c>
      <c r="O218" s="3" t="inlineStr">
        <is>
          <t>249.94</t>
        </is>
      </c>
      <c r="P218" t="inlineStr">
        <is>
          <t>Köln</t>
        </is>
      </c>
    </row>
    <row r="219">
      <c r="A219" t="inlineStr">
        <is>
          <t>RRD Dynamics Pro 100 Carbon CC</t>
        </is>
      </c>
      <c r="B219" s="3" t="n">
        <v>430</v>
      </c>
      <c r="C219" s="8" t="inlineStr">
        <is>
          <t>100%</t>
        </is>
      </c>
      <c r="D219" t="inlineStr">
        <is>
          <t>RDM</t>
        </is>
      </c>
      <c r="E219" s="4" t="n">
        <v>70</v>
      </c>
      <c r="F219" t="inlineStr"/>
      <c r="G219" t="inlineStr">
        <is>
          <t>81476 München - Thalk.Obersendl.-Forsten-Fürstenr.-Solln</t>
        </is>
      </c>
      <c r="H219" s="5" t="n">
        <v>45524</v>
      </c>
      <c r="I219" t="inlineStr">
        <is>
          <t>Sold</t>
        </is>
      </c>
      <c r="J219" s="6">
        <f>HYPERLINK("https://www.kleinanzeigen.de/s-anzeige/mast-top-rrd-dynamics-pro-100-carbon-cc-430-windsurf/2842220812-230-6436", "Link")</f>
        <v/>
      </c>
      <c r="K219" s="6">
        <f>HYPERLINK("C:\Projects\Kleinanzeigen-Scraper\offer_images\2842220812", "Link")</f>
        <v/>
      </c>
      <c r="L219" t="inlineStr">
        <is>
          <t>Mike</t>
        </is>
      </c>
      <c r="M219" s="6">
        <f>HYPERLINK("https://www.kleinanzeigen.de/s-bestandsliste.html?userId=27971111", "Link")</f>
        <v/>
      </c>
      <c r="N219" s="7" t="n">
        <v>45551.40655092592</v>
      </c>
      <c r="O219" s="3" t="inlineStr">
        <is>
          <t>8.19</t>
        </is>
      </c>
      <c r="P219" t="inlineStr">
        <is>
          <t>München</t>
        </is>
      </c>
    </row>
    <row r="220">
      <c r="A220" t="inlineStr">
        <is>
          <t>Neilpryde Combat MXT 34</t>
        </is>
      </c>
      <c r="B220" s="3" t="inlineStr"/>
      <c r="C220" s="8" t="inlineStr">
        <is>
          <t>0%</t>
        </is>
      </c>
      <c r="D220" t="inlineStr">
        <is>
          <t>RDM</t>
        </is>
      </c>
      <c r="E220" s="4" t="n">
        <v>80</v>
      </c>
      <c r="F220" t="inlineStr">
        <is>
          <t>VB</t>
        </is>
      </c>
      <c r="G220" t="inlineStr">
        <is>
          <t>82178 Bayern - Puchheim</t>
        </is>
      </c>
      <c r="H220" s="5" t="n">
        <v>45549</v>
      </c>
      <c r="I220" t="inlineStr">
        <is>
          <t>Sold</t>
        </is>
      </c>
      <c r="J220" s="6">
        <f>HYPERLINK("https://www.kleinanzeigen.de/s-anzeige/rdm-mastverlaengerung-neilpryde-mxt-34-inkl-mastfuss/2863433388-230-5599", "Link")</f>
        <v/>
      </c>
      <c r="K220" s="6">
        <f>HYPERLINK("C:\Projects\Kleinanzeigen-Scraper\offer_images\2863433388", "Link")</f>
        <v/>
      </c>
      <c r="L220" t="inlineStr">
        <is>
          <t>Uflacker</t>
        </is>
      </c>
      <c r="M220" s="6">
        <f>HYPERLINK("https://www.kleinanzeigen.de/s-bestandsliste.html?userId=5770146", "Link")</f>
        <v/>
      </c>
      <c r="N220" s="7" t="n">
        <v>45551.40646990741</v>
      </c>
      <c r="O220" s="3" t="inlineStr">
        <is>
          <t>17.38</t>
        </is>
      </c>
      <c r="P220" t="inlineStr">
        <is>
          <t>München</t>
        </is>
      </c>
    </row>
    <row r="221">
      <c r="A221" t="inlineStr">
        <is>
          <t>North Gold</t>
        </is>
      </c>
      <c r="B221" s="3" t="n">
        <v>460</v>
      </c>
      <c r="C221" s="8" t="inlineStr">
        <is>
          <t>75%</t>
        </is>
      </c>
      <c r="D221" t="inlineStr">
        <is>
          <t>SDM</t>
        </is>
      </c>
      <c r="E221" s="4" t="n">
        <v>105</v>
      </c>
      <c r="F221" t="inlineStr">
        <is>
          <t>VB</t>
        </is>
      </c>
      <c r="G221" t="inlineStr">
        <is>
          <t>45473 Nordrhein-Westfalen - Mülheim (Ruhr)</t>
        </is>
      </c>
      <c r="H221" s="5" t="n">
        <v>45550</v>
      </c>
      <c r="I221" t="inlineStr">
        <is>
          <t>Sold</t>
        </is>
      </c>
      <c r="J221" s="6">
        <f>HYPERLINK("https://www.kleinanzeigen.de/s-anzeige/north-gold-sdm-460-jetzt-duotone-/2864099415-230-2062", "Link")</f>
        <v/>
      </c>
      <c r="K221" s="6">
        <f>HYPERLINK("C:\Projects\Kleinanzeigen-Scraper\offer_images\2864099415", "Link")</f>
        <v/>
      </c>
      <c r="L221" t="inlineStr">
        <is>
          <t>Benedict</t>
        </is>
      </c>
      <c r="M221" s="6">
        <f>HYPERLINK("https://www.kleinanzeigen.de/s-bestandsliste.html?userId=13040713", "Link")</f>
        <v/>
      </c>
      <c r="N221" s="7" t="n">
        <v>45551.40608796296</v>
      </c>
      <c r="O221" s="3" t="inlineStr">
        <is>
          <t>56.15</t>
        </is>
      </c>
      <c r="P221" t="inlineStr">
        <is>
          <t>Köln</t>
        </is>
      </c>
    </row>
    <row r="222">
      <c r="A222" t="inlineStr"/>
      <c r="B222" s="3" t="n">
        <v>485</v>
      </c>
      <c r="C222" s="8" t="inlineStr"/>
      <c r="D222" t="inlineStr">
        <is>
          <t>SDM</t>
        </is>
      </c>
      <c r="E222" s="4" t="n">
        <v>20</v>
      </c>
      <c r="F222" t="inlineStr"/>
      <c r="G222" t="inlineStr">
        <is>
          <t>24105 Schleswig-Holstein - Kiel</t>
        </is>
      </c>
      <c r="H222" s="5" t="n">
        <v>45549</v>
      </c>
      <c r="I222" t="inlineStr">
        <is>
          <t>Sold</t>
        </is>
      </c>
      <c r="J222" s="6">
        <f>HYPERLINK("https://www.kleinanzeigen.de/s-anzeige/485-windsurf-mast-sdm/2863081336-230-708", "Link")</f>
        <v/>
      </c>
      <c r="K222" s="6">
        <f>HYPERLINK("C:\Projects\Kleinanzeigen-Scraper\offer_images\2863081336", "Link")</f>
        <v/>
      </c>
      <c r="L222" t="inlineStr">
        <is>
          <t>Daniel</t>
        </is>
      </c>
      <c r="M222" s="6">
        <f>HYPERLINK("https://www.kleinanzeigen.de/s-bestandsliste.html?userId=68041566", "Link")</f>
        <v/>
      </c>
      <c r="N222" s="7" t="n">
        <v>45551.40563657408</v>
      </c>
      <c r="O222" s="3" t="inlineStr">
        <is>
          <t>435.05</t>
        </is>
      </c>
      <c r="P222" t="inlineStr">
        <is>
          <t>Köln</t>
        </is>
      </c>
    </row>
    <row r="223">
      <c r="A223" t="inlineStr">
        <is>
          <t>RRD DynamicPro Carbon</t>
        </is>
      </c>
      <c r="B223" s="3" t="n">
        <v>34</v>
      </c>
      <c r="C223" s="8" t="inlineStr">
        <is>
          <t>100%</t>
        </is>
      </c>
      <c r="D223" t="inlineStr">
        <is>
          <t>RDM</t>
        </is>
      </c>
      <c r="E223" s="4" t="n">
        <v>100</v>
      </c>
      <c r="F223" t="inlineStr">
        <is>
          <t>VB</t>
        </is>
      </c>
      <c r="G223" t="inlineStr">
        <is>
          <t>82211 Bayern - Herrsching</t>
        </is>
      </c>
      <c r="H223" s="5" t="n">
        <v>45549</v>
      </c>
      <c r="I223" t="inlineStr"/>
      <c r="J223" s="6">
        <f>HYPERLINK("https://www.kleinanzeigen.de/s-anzeige/rrd-windsurf-mast-verlaengerung-dynamicpro-carbon-rdm-34cm/2863321208-230-5520", "Link")</f>
        <v/>
      </c>
      <c r="K223" s="6">
        <f>HYPERLINK("C:\Projects\Kleinanzeigen-Scraper\offer_images\2863321208", "Link")</f>
        <v/>
      </c>
      <c r="L223" t="inlineStr">
        <is>
          <t>Oliver</t>
        </is>
      </c>
      <c r="M223" s="6">
        <f>HYPERLINK("https://www.kleinanzeigen.de/s-bestandsliste.html?userId=17846362", "Link")</f>
        <v/>
      </c>
      <c r="N223" s="7" t="n">
        <v>45551.40546296296</v>
      </c>
      <c r="O223" s="3" t="inlineStr">
        <is>
          <t>32.73</t>
        </is>
      </c>
      <c r="P223" t="inlineStr">
        <is>
          <t>München</t>
        </is>
      </c>
    </row>
    <row r="224">
      <c r="A224" t="inlineStr">
        <is>
          <t>SDM</t>
        </is>
      </c>
      <c r="B224" s="3" t="n">
        <v>460</v>
      </c>
      <c r="C224" s="8" t="n">
        <v>24</v>
      </c>
      <c r="D224" t="inlineStr">
        <is>
          <t>SDM</t>
        </is>
      </c>
      <c r="E224" s="4" t="n">
        <v>40</v>
      </c>
      <c r="F224" t="inlineStr">
        <is>
          <t>VB</t>
        </is>
      </c>
      <c r="G224" t="inlineStr">
        <is>
          <t>24105 Schleswig-Holstein - Kiel</t>
        </is>
      </c>
      <c r="H224" s="5" t="n">
        <v>45549</v>
      </c>
      <c r="I224" t="inlineStr">
        <is>
          <t>Sold</t>
        </is>
      </c>
      <c r="J224" s="6">
        <f>HYPERLINK("https://www.kleinanzeigen.de/s-anzeige/sdm-windsurf-mast-460/2863047380-230-708", "Link")</f>
        <v/>
      </c>
      <c r="K224" s="6">
        <f>HYPERLINK("C:\Projects\Kleinanzeigen-Scraper\offer_images\2863047380", "Link")</f>
        <v/>
      </c>
      <c r="L224" t="inlineStr">
        <is>
          <t>Daniel</t>
        </is>
      </c>
      <c r="M224" s="6">
        <f>HYPERLINK("https://www.kleinanzeigen.de/s-bestandsliste.html?userId=68041566", "Link")</f>
        <v/>
      </c>
      <c r="N224" s="7" t="n">
        <v>45551.40530092592</v>
      </c>
      <c r="O224" s="3" t="inlineStr">
        <is>
          <t>435.05</t>
        </is>
      </c>
      <c r="P224" t="inlineStr">
        <is>
          <t>Köln</t>
        </is>
      </c>
    </row>
    <row r="225">
      <c r="A225" t="inlineStr">
        <is>
          <t>Sailloft Hamburg Red Line</t>
        </is>
      </c>
      <c r="B225" s="3" t="n">
        <v>400</v>
      </c>
      <c r="C225" s="8" t="inlineStr">
        <is>
          <t>100%</t>
        </is>
      </c>
      <c r="D225" t="inlineStr">
        <is>
          <t>SDM</t>
        </is>
      </c>
      <c r="E225" s="4" t="n">
        <v>549</v>
      </c>
      <c r="F225" t="inlineStr"/>
      <c r="G225" t="inlineStr">
        <is>
          <t>47495 Nordrhein-Westfalen - Rheinberg</t>
        </is>
      </c>
      <c r="H225" s="5" t="n">
        <v>44876</v>
      </c>
      <c r="I225" t="inlineStr"/>
      <c r="J225" s="6">
        <f>HYPERLINK("https://www.kleinanzeigen.de/s-anzeige/sailloft-hamburg-mast-red-line-100-sdm-400cm-neu-vk-799-/2269791232-230-1399", "Link")</f>
        <v/>
      </c>
      <c r="K225" s="6">
        <f>HYPERLINK("C:\Projects\Kleinanzeigen-Scraper\offer_images\2269791232", "Link")</f>
        <v/>
      </c>
      <c r="L225" t="inlineStr">
        <is>
          <t>Windcraft-Sports</t>
        </is>
      </c>
      <c r="M225" s="6">
        <f>HYPERLINK("https://www.kleinanzeigen.de/s-bestandsliste.html?userId=74756618", "Link")</f>
        <v/>
      </c>
      <c r="N225" s="7" t="n">
        <v>45550.99837962963</v>
      </c>
      <c r="O225" s="3" t="inlineStr">
        <is>
          <t>72.31</t>
        </is>
      </c>
      <c r="P225" t="inlineStr">
        <is>
          <t>Köln</t>
        </is>
      </c>
    </row>
    <row r="226">
      <c r="A226" t="inlineStr">
        <is>
          <t>Duotone Platinum Aero Series</t>
        </is>
      </c>
      <c r="B226" s="3" t="n">
        <v>430</v>
      </c>
      <c r="C226" s="8" t="n">
        <v>100</v>
      </c>
      <c r="D226" t="inlineStr">
        <is>
          <t>RDM</t>
        </is>
      </c>
      <c r="E226" s="4" t="n">
        <v>1.15</v>
      </c>
      <c r="F226" t="inlineStr"/>
      <c r="G226" t="inlineStr">
        <is>
          <t>82319 Bayern - Starnberg</t>
        </is>
      </c>
      <c r="H226" s="5" t="n">
        <v>45549</v>
      </c>
      <c r="I226" t="inlineStr">
        <is>
          <t>Sold</t>
        </is>
      </c>
      <c r="J226" s="6">
        <f>HYPERLINK("https://www.kleinanzeigen.de/s-anzeige/dtw-duotone-platinum-aero-series-3-0-mast-430-cm-rdm-neu-wind/1810561215-230-5525", "Link")</f>
        <v/>
      </c>
      <c r="K226" s="6">
        <f>HYPERLINK("C:\Projects\Kleinanzeigen-Scraper\offer_images\1810561215", "Link")</f>
        <v/>
      </c>
      <c r="L226" t="inlineStr">
        <is>
          <t>No user name</t>
        </is>
      </c>
      <c r="M226" s="6">
        <f>HYPERLINK("https://www.kleinanzeigen.deNo user link", "Link")</f>
        <v/>
      </c>
      <c r="N226" s="7" t="n">
        <v>45550.99777777777</v>
      </c>
      <c r="O226" s="3" t="inlineStr">
        <is>
          <t>23.17</t>
        </is>
      </c>
      <c r="P226" t="inlineStr">
        <is>
          <t>München</t>
        </is>
      </c>
    </row>
    <row r="227">
      <c r="A227" t="inlineStr"/>
      <c r="B227" s="3" t="n">
        <v>400</v>
      </c>
      <c r="C227" s="8" t="inlineStr">
        <is>
          <t>90%</t>
        </is>
      </c>
      <c r="D227" t="inlineStr"/>
      <c r="E227" s="4" t="n">
        <v>15</v>
      </c>
      <c r="F227" t="inlineStr"/>
      <c r="G227" t="inlineStr">
        <is>
          <t>22844 Schleswig-Holstein - Norderstedt</t>
        </is>
      </c>
      <c r="H227" s="5" t="n">
        <v>45550</v>
      </c>
      <c r="I227" t="inlineStr">
        <is>
          <t>Sold</t>
        </is>
      </c>
      <c r="J227" s="6">
        <f>HYPERLINK("https://www.kleinanzeigen.de/s-anzeige/mast-windsurfen-surfen-90-carbon-4-m/2864583750-230-797", "Link")</f>
        <v/>
      </c>
      <c r="K227" s="6">
        <f>HYPERLINK("C:\Projects\Kleinanzeigen-Scraper\offer_images\2864583750", "Link")</f>
        <v/>
      </c>
      <c r="L227" t="inlineStr">
        <is>
          <t>Ben</t>
        </is>
      </c>
      <c r="M227" s="6">
        <f>HYPERLINK("https://www.kleinanzeigen.de/s-bestandsliste.html?userId=25666860", "Link")</f>
        <v/>
      </c>
      <c r="N227" s="7" t="n">
        <v>45550.99700231481</v>
      </c>
      <c r="O227" s="3" t="inlineStr">
        <is>
          <t>373.10</t>
        </is>
      </c>
      <c r="P227" t="inlineStr">
        <is>
          <t>Köln</t>
        </is>
      </c>
    </row>
    <row r="228">
      <c r="A228" t="inlineStr"/>
      <c r="B228" s="3" t="n">
        <v>370</v>
      </c>
      <c r="C228" s="8" t="inlineStr">
        <is>
          <t>40%</t>
        </is>
      </c>
      <c r="D228" t="inlineStr">
        <is>
          <t>RDM</t>
        </is>
      </c>
      <c r="E228" s="4" t="inlineStr"/>
      <c r="F228" t="inlineStr">
        <is>
          <t>VB</t>
        </is>
      </c>
      <c r="G228" t="inlineStr">
        <is>
          <t>22415 Hamburg-Nord - Hamburg Langenhorn</t>
        </is>
      </c>
      <c r="H228" s="5" t="n">
        <v>45550</v>
      </c>
      <c r="I228" t="inlineStr">
        <is>
          <t>Sold</t>
        </is>
      </c>
      <c r="J228" s="6">
        <f>HYPERLINK("https://www.kleinanzeigen.de/s-anzeige/windsurf-masten/2864016857-230-9488", "Link")</f>
        <v/>
      </c>
      <c r="K228" s="6">
        <f>HYPERLINK("C:\Projects\Kleinanzeigen-Scraper\offer_images\2864016857", "Link")</f>
        <v/>
      </c>
      <c r="L228" t="inlineStr">
        <is>
          <t>Frederic Biesinger</t>
        </is>
      </c>
      <c r="M228" s="6">
        <f>HYPERLINK("https://www.kleinanzeigen.de/s-bestandsliste.html?userId=17709235", "Link")</f>
        <v/>
      </c>
      <c r="N228" s="7" t="n">
        <v>45550.99690972222</v>
      </c>
      <c r="O228" s="3" t="inlineStr">
        <is>
          <t>366.01</t>
        </is>
      </c>
      <c r="P228" t="inlineStr">
        <is>
          <t>Köln</t>
        </is>
      </c>
    </row>
    <row r="229">
      <c r="A229" t="inlineStr">
        <is>
          <t>North Black Label</t>
        </is>
      </c>
      <c r="B229" s="3" t="n">
        <v>400</v>
      </c>
      <c r="C229" s="8" t="inlineStr"/>
      <c r="D229" t="inlineStr">
        <is>
          <t>RDM</t>
        </is>
      </c>
      <c r="E229" s="4" t="n">
        <v>80</v>
      </c>
      <c r="F229" t="inlineStr">
        <is>
          <t>VB</t>
        </is>
      </c>
      <c r="G229" t="inlineStr">
        <is>
          <t>45473 Nordrhein-Westfalen - Mülheim (Ruhr)</t>
        </is>
      </c>
      <c r="H229" s="5" t="n">
        <v>45550</v>
      </c>
      <c r="I229" t="inlineStr">
        <is>
          <t>Sold</t>
        </is>
      </c>
      <c r="J229" s="6">
        <f>HYPERLINK("https://www.kleinanzeigen.de/s-anzeige/north-black-label-400-wie-north-silver-duotone-/2864107077-230-2062", "Link")</f>
        <v/>
      </c>
      <c r="K229" s="6">
        <f>HYPERLINK("C:\Projects\Kleinanzeigen-Scraper\offer_images\2864107077", "Link")</f>
        <v/>
      </c>
      <c r="L229" t="inlineStr">
        <is>
          <t>Benedict</t>
        </is>
      </c>
      <c r="M229" s="6">
        <f>HYPERLINK("https://www.kleinanzeigen.de/s-bestandsliste.html?userId=13040713", "Link")</f>
        <v/>
      </c>
      <c r="N229" s="7" t="n">
        <v>45550.99630787037</v>
      </c>
      <c r="O229" s="3" t="inlineStr">
        <is>
          <t>56.15</t>
        </is>
      </c>
      <c r="P229" t="inlineStr">
        <is>
          <t>Köln</t>
        </is>
      </c>
    </row>
    <row r="230">
      <c r="A230" t="inlineStr">
        <is>
          <t>Neilpryde X3</t>
        </is>
      </c>
      <c r="B230" s="3" t="n">
        <v>430</v>
      </c>
      <c r="C230" s="8" t="inlineStr">
        <is>
          <t>35%</t>
        </is>
      </c>
      <c r="D230" t="inlineStr">
        <is>
          <t>SDM</t>
        </is>
      </c>
      <c r="E230" s="4" t="n">
        <v>100</v>
      </c>
      <c r="F230" t="inlineStr"/>
      <c r="G230" t="inlineStr">
        <is>
          <t>78187 Baden-Württemberg - Geisingen</t>
        </is>
      </c>
      <c r="H230" s="5" t="n">
        <v>45550</v>
      </c>
      <c r="I230" t="inlineStr"/>
      <c r="J230" s="6">
        <f>HYPERLINK("https://www.kleinanzeigen.de/s-anzeige/windsurf-mast-430cm-35-carbon-neilpryde-x3-constant-curve/2864768688-230-8860", "Link")</f>
        <v/>
      </c>
      <c r="K230" s="6">
        <f>HYPERLINK("C:\Projects\Kleinanzeigen-Scraper\offer_images\2864768688", "Link")</f>
        <v/>
      </c>
      <c r="L230" t="inlineStr">
        <is>
          <t>Tobias B.</t>
        </is>
      </c>
      <c r="M230" s="6">
        <f>HYPERLINK("https://www.kleinanzeigen.de/s-bestandsliste.html?userId=35855171", "Link")</f>
        <v/>
      </c>
      <c r="N230" s="7" t="n">
        <v>45550.99471064815</v>
      </c>
      <c r="O230" s="3" t="inlineStr">
        <is>
          <t>24.74</t>
        </is>
      </c>
      <c r="P230" t="inlineStr">
        <is>
          <t>Bonndorf</t>
        </is>
      </c>
    </row>
    <row r="231">
      <c r="A231" t="inlineStr">
        <is>
          <t>North Black Label</t>
        </is>
      </c>
      <c r="B231" s="3" t="n">
        <v>430</v>
      </c>
      <c r="C231" s="8" t="inlineStr"/>
      <c r="D231" t="inlineStr"/>
      <c r="E231" s="4" t="n">
        <v>80</v>
      </c>
      <c r="F231" t="inlineStr">
        <is>
          <t>VB</t>
        </is>
      </c>
      <c r="G231" t="inlineStr">
        <is>
          <t>45473 Nordrhein-Westfalen - Mülheim (Ruhr)</t>
        </is>
      </c>
      <c r="H231" s="5" t="n">
        <v>45550</v>
      </c>
      <c r="I231" t="inlineStr">
        <is>
          <t>Sold</t>
        </is>
      </c>
      <c r="J231" s="6">
        <f>HYPERLINK("https://www.kleinanzeigen.de/s-anzeige/north-black-label-430-wie-north-silver-duotone-/2864104675-230-2062", "Link")</f>
        <v/>
      </c>
      <c r="K231" s="6">
        <f>HYPERLINK("C:\Projects\Kleinanzeigen-Scraper\offer_images\2864104675", "Link")</f>
        <v/>
      </c>
      <c r="L231" t="inlineStr">
        <is>
          <t>Benedict</t>
        </is>
      </c>
      <c r="M231" s="6">
        <f>HYPERLINK("https://www.kleinanzeigen.de/s-bestandsliste.html?userId=13040713", "Link")</f>
        <v/>
      </c>
      <c r="N231" s="7" t="n">
        <v>45550.99458333333</v>
      </c>
      <c r="O231" s="3" t="inlineStr">
        <is>
          <t>56.15</t>
        </is>
      </c>
      <c r="P231" t="inlineStr">
        <is>
          <t>Köln</t>
        </is>
      </c>
    </row>
    <row r="232">
      <c r="A232" t="inlineStr">
        <is>
          <t>Sailloft Hamburg Red Line</t>
        </is>
      </c>
      <c r="B232" s="3" t="n">
        <v>520</v>
      </c>
      <c r="C232" s="8" t="inlineStr">
        <is>
          <t>100%</t>
        </is>
      </c>
      <c r="D232" t="inlineStr">
        <is>
          <t>SDM</t>
        </is>
      </c>
      <c r="E232" s="4" t="n">
        <v>679</v>
      </c>
      <c r="F232" t="inlineStr"/>
      <c r="G232" t="inlineStr">
        <is>
          <t>47495 Nordrhein-Westfalen - Rheinberg</t>
        </is>
      </c>
      <c r="H232" s="5" t="n">
        <v>44876</v>
      </c>
      <c r="I232" t="inlineStr"/>
      <c r="J232" s="6">
        <f>HYPERLINK("https://www.kleinanzeigen.de/s-anzeige/sailloft-hamburg-mast-red-line-100-sdm-520cm-neu-vk-929-/2269796857-230-1399", "Link")</f>
        <v/>
      </c>
      <c r="K232" s="6">
        <f>HYPERLINK("C:\Projects\Kleinanzeigen-Scraper\offer_images\2269796857", "Link")</f>
        <v/>
      </c>
      <c r="L232" t="inlineStr">
        <is>
          <t>Windcraft-Sports</t>
        </is>
      </c>
      <c r="M232" s="6">
        <f>HYPERLINK("https://www.kleinanzeigen.de/s-bestandsliste.html?userId=74756618", "Link")</f>
        <v/>
      </c>
      <c r="N232" s="7" t="n">
        <v>45550.99429398148</v>
      </c>
      <c r="O232" s="3" t="inlineStr">
        <is>
          <t>72.31</t>
        </is>
      </c>
      <c r="P232" t="inlineStr">
        <is>
          <t>Köln</t>
        </is>
      </c>
    </row>
    <row r="233">
      <c r="A233" t="inlineStr">
        <is>
          <t>Neil Pryde X9</t>
        </is>
      </c>
      <c r="B233" s="3" t="n">
        <v>460</v>
      </c>
      <c r="C233" s="8" t="inlineStr">
        <is>
          <t>100%</t>
        </is>
      </c>
      <c r="D233" t="inlineStr">
        <is>
          <t>SDM</t>
        </is>
      </c>
      <c r="E233" s="4" t="n">
        <v>210</v>
      </c>
      <c r="F233" t="inlineStr"/>
      <c r="G233" t="inlineStr">
        <is>
          <t>81929 München - Bogenhausen</t>
        </is>
      </c>
      <c r="H233" s="5" t="n">
        <v>45549</v>
      </c>
      <c r="I233" t="inlineStr">
        <is>
          <t>Sold</t>
        </is>
      </c>
      <c r="J233" s="6">
        <f>HYPERLINK("https://www.kleinanzeigen.de/s-anzeige/neil-pryde-x9-460cm-sdm-100-carbon-top-windsurf-mast/2863020422-230-6526", "Link")</f>
        <v/>
      </c>
      <c r="K233" s="6">
        <f>HYPERLINK("C:\Projects\Kleinanzeigen-Scraper\offer_images\2863020422", "Link")</f>
        <v/>
      </c>
      <c r="L233" t="inlineStr">
        <is>
          <t>Thomas</t>
        </is>
      </c>
      <c r="M233" s="6">
        <f>HYPERLINK("https://www.kleinanzeigen.de/s-bestandsliste.html?userId=7284801", "Link")</f>
        <v/>
      </c>
      <c r="N233" s="7" t="n">
        <v>45550.99418981482</v>
      </c>
      <c r="O233" s="3" t="inlineStr">
        <is>
          <t>6.89</t>
        </is>
      </c>
      <c r="P233" t="inlineStr">
        <is>
          <t>München</t>
        </is>
      </c>
    </row>
    <row r="234">
      <c r="A234" t="inlineStr">
        <is>
          <t>North</t>
        </is>
      </c>
      <c r="B234" s="3" t="n">
        <v>480</v>
      </c>
      <c r="C234" s="8" t="inlineStr"/>
      <c r="D234" t="inlineStr"/>
      <c r="E234" s="4" t="n">
        <v>60</v>
      </c>
      <c r="F234" t="inlineStr">
        <is>
          <t>VB</t>
        </is>
      </c>
      <c r="G234" t="inlineStr">
        <is>
          <t>67434 Rheinland-Pfalz - Neustadt an der Weinstraße</t>
        </is>
      </c>
      <c r="H234" s="5" t="n">
        <v>45550</v>
      </c>
      <c r="I234" t="inlineStr">
        <is>
          <t>Sold</t>
        </is>
      </c>
      <c r="J234" s="6">
        <f>HYPERLINK("https://www.kleinanzeigen.de/s-anzeige/windsurfmast-north-480-imcs-26-cc-mit-masttasche/2864002894-230-5372", "Link")</f>
        <v/>
      </c>
      <c r="K234" s="6">
        <f>HYPERLINK("C:\Projects\Kleinanzeigen-Scraper\offer_images\2864002894", "Link")</f>
        <v/>
      </c>
      <c r="L234" t="inlineStr">
        <is>
          <t>Thomas Droege</t>
        </is>
      </c>
      <c r="M234" s="6">
        <f>HYPERLINK("https://www.kleinanzeigen.de/s-bestandsliste.html?userId=36524172", "Link")</f>
        <v/>
      </c>
      <c r="N234" s="7" t="n">
        <v>45550.99390046296</v>
      </c>
      <c r="O234" s="3" t="inlineStr">
        <is>
          <t>43.04</t>
        </is>
      </c>
      <c r="P234" t="inlineStr">
        <is>
          <t>Karlsruhe</t>
        </is>
      </c>
    </row>
    <row r="235">
      <c r="A235" t="inlineStr">
        <is>
          <t>Gunsails Terminator</t>
        </is>
      </c>
      <c r="B235" s="3" t="n">
        <v>500</v>
      </c>
      <c r="C235" s="8" t="inlineStr">
        <is>
          <t>100%</t>
        </is>
      </c>
      <c r="D235" t="inlineStr"/>
      <c r="E235" s="4" t="n">
        <v>100</v>
      </c>
      <c r="F235" t="inlineStr">
        <is>
          <t>VB</t>
        </is>
      </c>
      <c r="G235" t="inlineStr">
        <is>
          <t>24119 Kiel - Kronshagen</t>
        </is>
      </c>
      <c r="H235" s="5" t="n">
        <v>45549</v>
      </c>
      <c r="I235" t="inlineStr">
        <is>
          <t>Sold</t>
        </is>
      </c>
      <c r="J235" s="6">
        <f>HYPERLINK("https://www.kleinanzeigen.de/s-anzeige/windsurfen-mast-500cm-c100-full-carbon-gunsails-terminator/2863049344-230-705", "Link")</f>
        <v/>
      </c>
      <c r="K235" s="6">
        <f>HYPERLINK("C:\Projects\Kleinanzeigen-Scraper\offer_images\2863049344", "Link")</f>
        <v/>
      </c>
      <c r="L235" t="inlineStr">
        <is>
          <t>Torge</t>
        </is>
      </c>
      <c r="M235" s="6">
        <f>HYPERLINK("https://www.kleinanzeigen.de/s-bestandsliste.html?userId=129229217", "Link")</f>
        <v/>
      </c>
      <c r="N235" s="7" t="n">
        <v>45550.99314814815</v>
      </c>
      <c r="O235" s="3" t="inlineStr">
        <is>
          <t>432.46</t>
        </is>
      </c>
      <c r="P235" t="inlineStr">
        <is>
          <t>Köln</t>
        </is>
      </c>
    </row>
    <row r="236">
      <c r="A236" t="inlineStr">
        <is>
          <t>Neilpryde Matrix 2000 Wavepro</t>
        </is>
      </c>
      <c r="B236" s="3" t="n">
        <v>460</v>
      </c>
      <c r="C236" s="8" t="inlineStr"/>
      <c r="D236" t="inlineStr">
        <is>
          <t>SDM</t>
        </is>
      </c>
      <c r="E236" s="4" t="n">
        <v>99</v>
      </c>
      <c r="F236" t="inlineStr">
        <is>
          <t>VB</t>
        </is>
      </c>
      <c r="G236" t="inlineStr">
        <is>
          <t>76287 Rheinstetten</t>
        </is>
      </c>
      <c r="H236" s="5" t="n">
        <v>45548</v>
      </c>
      <c r="I236" t="inlineStr"/>
      <c r="J236" s="6">
        <f>HYPERLINK("https://www.dailydose.de/kleinanzeigen/detail.htm?ai=422526&amp;cf=kk&amp;pg=2&amp;ci=2", "Link")</f>
        <v/>
      </c>
      <c r="K236" s="6">
        <f>HYPERLINK("C:\Projects\Kleinanzeigen-Scraper\offer_images\422526", "Link")</f>
        <v/>
      </c>
      <c r="L236" t="inlineStr">
        <is>
          <t>Epplesee</t>
        </is>
      </c>
      <c r="M236" s="6">
        <f>HYPERLINK("https://www.dailydose.de/kleinanzeigen/user/7173", "Link")</f>
        <v/>
      </c>
      <c r="N236" s="7" t="n">
        <v>45549.5841087963</v>
      </c>
      <c r="O236" s="3" t="inlineStr">
        <is>
          <t>7.05</t>
        </is>
      </c>
      <c r="P236" t="inlineStr">
        <is>
          <t>Karlsruhe</t>
        </is>
      </c>
    </row>
    <row r="237">
      <c r="A237" t="inlineStr">
        <is>
          <t>North Sails Platinum</t>
        </is>
      </c>
      <c r="B237" s="3" t="n">
        <v>430</v>
      </c>
      <c r="C237" s="8" t="inlineStr">
        <is>
          <t>100%</t>
        </is>
      </c>
      <c r="D237" t="inlineStr">
        <is>
          <t>RDM</t>
        </is>
      </c>
      <c r="E237" s="4" t="n">
        <v>349</v>
      </c>
      <c r="F237" t="inlineStr">
        <is>
          <t>VB</t>
        </is>
      </c>
      <c r="G237" t="inlineStr">
        <is>
          <t>76287 Rheinstetten</t>
        </is>
      </c>
      <c r="H237" s="5" t="n">
        <v>45548</v>
      </c>
      <c r="I237" t="inlineStr">
        <is>
          <t>Sold</t>
        </is>
      </c>
      <c r="J237" s="6">
        <f>HYPERLINK("https://www.dailydose.de/kleinanzeigen/detail.htm?ai=422523&amp;cf=kk&amp;pg=2&amp;ci=2", "Link")</f>
        <v/>
      </c>
      <c r="K237" s="6">
        <f>HYPERLINK("C:\Projects\Kleinanzeigen-Scraper\offer_images\422523", "Link")</f>
        <v/>
      </c>
      <c r="L237" t="inlineStr">
        <is>
          <t>Epplesee</t>
        </is>
      </c>
      <c r="M237" s="6">
        <f>HYPERLINK("https://www.dailydose.de/kleinanzeigen/user/7173", "Link")</f>
        <v/>
      </c>
      <c r="N237" s="7" t="n">
        <v>45549.58357638889</v>
      </c>
      <c r="O237" s="3" t="inlineStr">
        <is>
          <t>7.05</t>
        </is>
      </c>
      <c r="P237" t="inlineStr">
        <is>
          <t>Karlsruhe</t>
        </is>
      </c>
    </row>
    <row r="238">
      <c r="A238" t="inlineStr">
        <is>
          <t>North Sails Platinum</t>
        </is>
      </c>
      <c r="B238" s="3" t="n">
        <v>430</v>
      </c>
      <c r="C238" s="8" t="inlineStr">
        <is>
          <t>100%</t>
        </is>
      </c>
      <c r="D238" t="inlineStr">
        <is>
          <t>RDM</t>
        </is>
      </c>
      <c r="E238" s="4" t="n">
        <v>350</v>
      </c>
      <c r="F238" t="inlineStr"/>
      <c r="G238" t="inlineStr">
        <is>
          <t>Nähe Düsseldorf</t>
        </is>
      </c>
      <c r="H238" s="5" t="n">
        <v>45548</v>
      </c>
      <c r="I238" t="inlineStr"/>
      <c r="J238" s="6">
        <f>HYPERLINK("https://www.dailydose.de/kleinanzeigen/detail.htm?ai=422518&amp;cf=kk&amp;pg=2&amp;ci=2", "Link")</f>
        <v/>
      </c>
      <c r="K238" s="6">
        <f>HYPERLINK("C:\Projects\Kleinanzeigen-Scraper\offer_images\422518", "Link")</f>
        <v/>
      </c>
      <c r="L238" t="inlineStr">
        <is>
          <t>Toni_55</t>
        </is>
      </c>
      <c r="M238" s="6">
        <f>HYPERLINK("https://www.dailydose.de/kleinanzeigen/user/8074", "Link")</f>
        <v/>
      </c>
      <c r="N238" s="7" t="n">
        <v>45549.58309027777</v>
      </c>
      <c r="O238" s="3" t="inlineStr">
        <is>
          <t>384.05</t>
        </is>
      </c>
      <c r="P238" t="inlineStr">
        <is>
          <t>Köln</t>
        </is>
      </c>
    </row>
    <row r="239">
      <c r="A239" t="inlineStr">
        <is>
          <t>Unifiber</t>
        </is>
      </c>
      <c r="B239" s="3" t="n">
        <v>430</v>
      </c>
      <c r="C239" s="8" t="inlineStr">
        <is>
          <t>75%</t>
        </is>
      </c>
      <c r="D239" t="inlineStr">
        <is>
          <t>RDM</t>
        </is>
      </c>
      <c r="E239" s="4" t="n">
        <v>95</v>
      </c>
      <c r="F239" t="inlineStr"/>
      <c r="G239" t="inlineStr">
        <is>
          <t>04509 Delitzsch</t>
        </is>
      </c>
      <c r="H239" s="5" t="n">
        <v>45548</v>
      </c>
      <c r="I239" t="inlineStr">
        <is>
          <t>Sold</t>
        </is>
      </c>
      <c r="J239" s="6">
        <f>HYPERLINK("https://www.dailydose.de/kleinanzeigen/detail.htm?ai=422509&amp;cf=kk&amp;pg=1&amp;ci=2", "Link")</f>
        <v/>
      </c>
      <c r="K239" s="6">
        <f>HYPERLINK("C:\Projects\Kleinanzeigen-Scraper\offer_images\422509", "Link")</f>
        <v/>
      </c>
      <c r="L239" t="inlineStr">
        <is>
          <t>Linda85</t>
        </is>
      </c>
      <c r="M239" s="6">
        <f>HYPERLINK("https://www.dailydose.de/kleinanzeigen/user/26351", "Link")</f>
        <v/>
      </c>
      <c r="N239" s="7" t="n">
        <v>45549.58234953704</v>
      </c>
      <c r="O239" s="3" t="inlineStr">
        <is>
          <t>377.99</t>
        </is>
      </c>
      <c r="P239" t="inlineStr">
        <is>
          <t>Köln</t>
        </is>
      </c>
    </row>
    <row r="240">
      <c r="A240" t="inlineStr">
        <is>
          <t>North Sails Xcellerator Viper Wave</t>
        </is>
      </c>
      <c r="B240" s="3" t="n">
        <v>400</v>
      </c>
      <c r="C240" s="8" t="inlineStr">
        <is>
          <t>100%</t>
        </is>
      </c>
      <c r="D240" t="inlineStr">
        <is>
          <t>SDM</t>
        </is>
      </c>
      <c r="E240" s="4" t="n">
        <v>119</v>
      </c>
      <c r="F240" t="inlineStr">
        <is>
          <t>VB</t>
        </is>
      </c>
      <c r="G240" t="inlineStr">
        <is>
          <t>76287 Rheinstetten</t>
        </is>
      </c>
      <c r="H240" s="5" t="n">
        <v>45548</v>
      </c>
      <c r="I240" t="inlineStr">
        <is>
          <t>Sold</t>
        </is>
      </c>
      <c r="J240" s="6">
        <f>HYPERLINK("https://www.dailydose.de/kleinanzeigen/detail.htm?ai=422525&amp;cf=kk&amp;pg=2&amp;ci=2", "Link")</f>
        <v/>
      </c>
      <c r="K240" s="6">
        <f>HYPERLINK("C:\Projects\Kleinanzeigen-Scraper\offer_images\422525", "Link")</f>
        <v/>
      </c>
      <c r="L240" t="inlineStr">
        <is>
          <t>Epplesee</t>
        </is>
      </c>
      <c r="M240" s="6">
        <f>HYPERLINK("https://www.dailydose.de/kleinanzeigen/user/7173", "Link")</f>
        <v/>
      </c>
      <c r="N240" s="7" t="n">
        <v>45549.58221064815</v>
      </c>
      <c r="O240" s="3" t="inlineStr">
        <is>
          <t>7.05</t>
        </is>
      </c>
      <c r="P240" t="inlineStr">
        <is>
          <t>Karlsruhe</t>
        </is>
      </c>
    </row>
    <row r="241">
      <c r="A241" t="inlineStr">
        <is>
          <t>Duotone Power XT</t>
        </is>
      </c>
      <c r="B241" s="3" t="n">
        <v>36</v>
      </c>
      <c r="C241" s="8" t="inlineStr"/>
      <c r="D241" t="inlineStr">
        <is>
          <t>RDM</t>
        </is>
      </c>
      <c r="E241" s="4" t="n">
        <v>90</v>
      </c>
      <c r="F241" t="inlineStr">
        <is>
          <t>VB</t>
        </is>
      </c>
      <c r="G241" t="inlineStr">
        <is>
          <t>88131 Bayern - Lindau</t>
        </is>
      </c>
      <c r="H241" s="5" t="n">
        <v>45548</v>
      </c>
      <c r="I241" t="inlineStr">
        <is>
          <t>Sold</t>
        </is>
      </c>
      <c r="J241" s="6">
        <f>HYPERLINK("https://www.kleinanzeigen.de/s-anzeige/duotone-power-xt-36-rdm-extension/2862508433-230-7707", "Link")</f>
        <v/>
      </c>
      <c r="K241" s="6">
        <f>HYPERLINK("C:\Projects\Kleinanzeigen-Scraper\offer_images\2862508433", "Link")</f>
        <v/>
      </c>
      <c r="L241" t="inlineStr">
        <is>
          <t>Michael Abt</t>
        </is>
      </c>
      <c r="M241" s="6">
        <f>HYPERLINK("https://www.kleinanzeigen.de/s-bestandsliste.html?userId=20671517", "Link")</f>
        <v/>
      </c>
      <c r="N241" s="7" t="n">
        <v>45549.58130787037</v>
      </c>
      <c r="O241" s="3" t="inlineStr">
        <is>
          <t>104.13</t>
        </is>
      </c>
      <c r="P241" t="inlineStr">
        <is>
          <t>Bonndorf</t>
        </is>
      </c>
    </row>
    <row r="242">
      <c r="A242" t="inlineStr">
        <is>
          <t>North Silver</t>
        </is>
      </c>
      <c r="B242" s="3" t="n">
        <v>400</v>
      </c>
      <c r="C242" s="8" t="inlineStr">
        <is>
          <t>55%</t>
        </is>
      </c>
      <c r="D242" t="inlineStr">
        <is>
          <t>SDM</t>
        </is>
      </c>
      <c r="E242" s="4" t="n">
        <v>125</v>
      </c>
      <c r="F242" t="inlineStr"/>
      <c r="G242" t="inlineStr">
        <is>
          <t>21075 Harburg - Hamburg Heimfeld</t>
        </is>
      </c>
      <c r="H242" s="5" t="n">
        <v>45544</v>
      </c>
      <c r="I242" t="inlineStr">
        <is>
          <t>Sold</t>
        </is>
      </c>
      <c r="J242" s="6">
        <f>HYPERLINK("https://www.kleinanzeigen.de/s-anzeige/windsurf-mast-400-cm-north-silver-55-imcs-19cc/2858581256-230-16405", "Link")</f>
        <v/>
      </c>
      <c r="K242" s="6">
        <f>HYPERLINK("C:\Projects\Kleinanzeigen-Scraper\offer_images\2858581256", "Link")</f>
        <v/>
      </c>
      <c r="L242" t="inlineStr">
        <is>
          <t>Emma</t>
        </is>
      </c>
      <c r="M242" s="6">
        <f>HYPERLINK("https://www.kleinanzeigen.de/s-bestandsliste.html?userId=131894757", "Link")</f>
        <v/>
      </c>
      <c r="N242" s="7" t="n">
        <v>45549.58126157407</v>
      </c>
      <c r="O242" s="3" t="inlineStr">
        <is>
          <t>345.92</t>
        </is>
      </c>
      <c r="P242" t="inlineStr">
        <is>
          <t>Köln</t>
        </is>
      </c>
    </row>
    <row r="243">
      <c r="A243" t="inlineStr">
        <is>
          <t>Guns Sails Surf-Mast 490 Energy</t>
        </is>
      </c>
      <c r="B243" s="3" t="n">
        <v>490</v>
      </c>
      <c r="C243" s="8" t="n">
        <v>35</v>
      </c>
      <c r="D243" t="inlineStr"/>
      <c r="E243" s="4" t="n">
        <v>45</v>
      </c>
      <c r="F243" t="inlineStr">
        <is>
          <t>VB</t>
        </is>
      </c>
      <c r="G243" t="inlineStr">
        <is>
          <t>91459 Bayern - Markt Erlbach</t>
        </is>
      </c>
      <c r="H243" s="5" t="n">
        <v>45541</v>
      </c>
      <c r="I243" t="inlineStr"/>
      <c r="J243" s="6">
        <f>HYPERLINK("https://www.kleinanzeigen.de/s-anzeige/guns-sails-surf-mast-490-energy-c35-imcs-28/2856064139-230-6217", "Link")</f>
        <v/>
      </c>
      <c r="K243" s="6">
        <f>HYPERLINK("C:\Projects\Kleinanzeigen-Scraper\offer_images\2856064139", "Link")</f>
        <v/>
      </c>
      <c r="L243" t="inlineStr">
        <is>
          <t>Rudi</t>
        </is>
      </c>
      <c r="M243" s="6">
        <f>HYPERLINK("https://www.kleinanzeigen.de/s-bestandsliste.html?userId=16949531", "Link")</f>
        <v/>
      </c>
      <c r="N243" s="7" t="n">
        <v>45549.58121527778</v>
      </c>
      <c r="O243" s="3" t="inlineStr">
        <is>
          <t>151.87</t>
        </is>
      </c>
      <c r="P243" t="inlineStr">
        <is>
          <t>Böblingen</t>
        </is>
      </c>
    </row>
    <row r="244">
      <c r="A244" t="inlineStr"/>
      <c r="B244" s="3" t="inlineStr"/>
      <c r="C244" s="8" t="inlineStr"/>
      <c r="D244" t="inlineStr"/>
      <c r="E244" s="4" t="n">
        <v>20</v>
      </c>
      <c r="F244" t="inlineStr"/>
      <c r="G244" t="inlineStr">
        <is>
          <t>41564 Nordrhein-Westfalen - Kaarst</t>
        </is>
      </c>
      <c r="H244" s="5" t="n">
        <v>45548</v>
      </c>
      <c r="I244" t="inlineStr">
        <is>
          <t>Sold</t>
        </is>
      </c>
      <c r="J244" s="6">
        <f>HYPERLINK("https://www.kleinanzeigen.de/s-anzeige/windsurf-mast/2862359878-230-2107", "Link")</f>
        <v/>
      </c>
      <c r="K244" s="6">
        <f>HYPERLINK("C:\Projects\Kleinanzeigen-Scraper\offer_images\2862359878", "Link")</f>
        <v/>
      </c>
      <c r="L244" t="inlineStr">
        <is>
          <t>Hans-Jürgen</t>
        </is>
      </c>
      <c r="M244" s="6">
        <f>HYPERLINK("https://www.kleinanzeigen.de/s-bestandsliste.html?userId=67801432", "Link")</f>
        <v/>
      </c>
      <c r="N244" s="7" t="n">
        <v>45549.58100694444</v>
      </c>
      <c r="O244" s="3" t="inlineStr">
        <is>
          <t>39.22</t>
        </is>
      </c>
      <c r="P244" t="inlineStr">
        <is>
          <t>Köln</t>
        </is>
      </c>
    </row>
    <row r="245">
      <c r="A245" t="inlineStr">
        <is>
          <t>Severne Red Line</t>
        </is>
      </c>
      <c r="B245" s="3" t="n">
        <v>370</v>
      </c>
      <c r="C245" s="8" t="inlineStr"/>
      <c r="D245" t="inlineStr">
        <is>
          <t>RDM</t>
        </is>
      </c>
      <c r="E245" s="4" t="n">
        <v>425</v>
      </c>
      <c r="F245" t="inlineStr"/>
      <c r="G245" t="inlineStr">
        <is>
          <t>80799 München - Schwabing-West</t>
        </is>
      </c>
      <c r="H245" s="5" t="n">
        <v>45527</v>
      </c>
      <c r="I245" t="inlineStr">
        <is>
          <t>Sold</t>
        </is>
      </c>
      <c r="J245" s="6">
        <f>HYPERLINK("https://www.kleinanzeigen.de/s-anzeige/severne-red-line-mast-370-rdm-2022/2844438459-230-16375", "Link")</f>
        <v/>
      </c>
      <c r="K245" s="6">
        <f>HYPERLINK("C:\Projects\Kleinanzeigen-Scraper\offer_images\2844438459", "Link")</f>
        <v/>
      </c>
      <c r="L245" t="inlineStr">
        <is>
          <t>PB</t>
        </is>
      </c>
      <c r="M245" s="6">
        <f>HYPERLINK("https://www.kleinanzeigen.de/s-bestandsliste.html?userId=11059575", "Link")</f>
        <v/>
      </c>
      <c r="N245" s="7" t="n">
        <v>45549.58096064815</v>
      </c>
      <c r="O245" s="3" t="inlineStr">
        <is>
          <t>1.66</t>
        </is>
      </c>
      <c r="P245" t="inlineStr">
        <is>
          <t>München</t>
        </is>
      </c>
    </row>
    <row r="246">
      <c r="A246" t="inlineStr">
        <is>
          <t>RRD</t>
        </is>
      </c>
      <c r="B246" s="3" t="n">
        <v>34</v>
      </c>
      <c r="C246" s="8" t="inlineStr"/>
      <c r="D246" t="inlineStr">
        <is>
          <t>RDM</t>
        </is>
      </c>
      <c r="E246" s="4" t="n">
        <v>59</v>
      </c>
      <c r="F246" t="inlineStr">
        <is>
          <t>VB</t>
        </is>
      </c>
      <c r="G246" t="inlineStr">
        <is>
          <t>85737 Kr. München - Ismaning</t>
        </is>
      </c>
      <c r="H246" s="5" t="n">
        <v>45483</v>
      </c>
      <c r="I246" t="inlineStr"/>
      <c r="J246" s="6">
        <f>HYPERLINK("https://www.kleinanzeigen.de/s-anzeige/rrd-carbon-mastfussverlaengerung-34-rdm/2808559321-230-17192", "Link")</f>
        <v/>
      </c>
      <c r="K246" s="6">
        <f>HYPERLINK("C:\Projects\Kleinanzeigen-Scraper\offer_images\2808559321", "Link")</f>
        <v/>
      </c>
      <c r="L246" t="inlineStr">
        <is>
          <t>WJ</t>
        </is>
      </c>
      <c r="M246" s="6">
        <f>HYPERLINK("https://www.kleinanzeigen.de/s-bestandsliste.html?userId=52681095", "Link")</f>
        <v/>
      </c>
      <c r="N246" s="7" t="n">
        <v>45549.58092592593</v>
      </c>
      <c r="O246" s="3" t="inlineStr">
        <is>
          <t>14.56</t>
        </is>
      </c>
      <c r="P246" t="inlineStr">
        <is>
          <t>München</t>
        </is>
      </c>
    </row>
    <row r="247">
      <c r="A247" t="inlineStr">
        <is>
          <t>The Gun Sails Terminator</t>
        </is>
      </c>
      <c r="B247" s="3" t="n">
        <v>490</v>
      </c>
      <c r="C247" s="8" t="n">
        <v>40</v>
      </c>
      <c r="D247" t="inlineStr"/>
      <c r="E247" s="4" t="inlineStr"/>
      <c r="F247" t="inlineStr">
        <is>
          <t>VB</t>
        </is>
      </c>
      <c r="G247" t="inlineStr">
        <is>
          <t>65462 Hessen - Ginsheim-Gustavsburg</t>
        </is>
      </c>
      <c r="H247" s="5" t="n">
        <v>45084</v>
      </c>
      <c r="I247" t="inlineStr"/>
      <c r="J247" s="6">
        <f>HYPERLINK("https://www.kleinanzeigen.de/s-anzeige/surfmast-4-90-carbonmast-the-gun-sails/2462484038-230-4440", "Link")</f>
        <v/>
      </c>
      <c r="K247" s="6">
        <f>HYPERLINK("C:\Projects\Kleinanzeigen-Scraper\offer_images\2462484038", "Link")</f>
        <v/>
      </c>
      <c r="L247" t="inlineStr">
        <is>
          <t>D. Friese</t>
        </is>
      </c>
      <c r="M247" s="6">
        <f>HYPERLINK("https://www.kleinanzeigen.de/s-bestandsliste.html?userId=11101322", "Link")</f>
        <v/>
      </c>
      <c r="N247" s="7" t="n">
        <v>45549.58077546296</v>
      </c>
      <c r="O247" s="3" t="inlineStr">
        <is>
          <t>109.79</t>
        </is>
      </c>
      <c r="P247" t="inlineStr">
        <is>
          <t>Karlsruhe</t>
        </is>
      </c>
    </row>
    <row r="248">
      <c r="A248" t="inlineStr">
        <is>
          <t>Neilpryde</t>
        </is>
      </c>
      <c r="B248" s="3" t="n">
        <v>430</v>
      </c>
      <c r="C248" s="8" t="inlineStr"/>
      <c r="D248" t="inlineStr">
        <is>
          <t>SDM</t>
        </is>
      </c>
      <c r="E248" s="4" t="n">
        <v>35</v>
      </c>
      <c r="F248" t="inlineStr"/>
      <c r="G248" t="inlineStr">
        <is>
          <t>24105 Schleswig-Holstein - Kiel</t>
        </is>
      </c>
      <c r="H248" s="5" t="n">
        <v>45527</v>
      </c>
      <c r="I248" t="inlineStr"/>
      <c r="J248" s="6">
        <f>HYPERLINK("https://www.kleinanzeigen.de/s-anzeige/neilpryde-windsurfmast-430-sdm/2844136635-230-708", "Link")</f>
        <v/>
      </c>
      <c r="K248" s="6">
        <f>HYPERLINK("C:\Projects\Kleinanzeigen-Scraper\offer_images\2844136635", "Link")</f>
        <v/>
      </c>
      <c r="L248" t="inlineStr">
        <is>
          <t>Martin B</t>
        </is>
      </c>
      <c r="M248" s="6">
        <f>HYPERLINK("https://www.kleinanzeigen.de/s-bestandsliste.html?userId=20701253", "Link")</f>
        <v/>
      </c>
      <c r="N248" s="7" t="n">
        <v>45549.58071759259</v>
      </c>
      <c r="O248" s="3" t="inlineStr">
        <is>
          <t>435.05</t>
        </is>
      </c>
      <c r="P248" t="inlineStr">
        <is>
          <t>Köln</t>
        </is>
      </c>
    </row>
    <row r="249">
      <c r="A249" t="inlineStr">
        <is>
          <t>Neilpryde RDM</t>
        </is>
      </c>
      <c r="B249" s="3" t="n">
        <v>430</v>
      </c>
      <c r="C249" s="8" t="inlineStr"/>
      <c r="D249" t="inlineStr">
        <is>
          <t>RDM</t>
        </is>
      </c>
      <c r="E249" s="4" t="n">
        <v>80</v>
      </c>
      <c r="F249" t="inlineStr"/>
      <c r="G249" t="inlineStr">
        <is>
          <t>09117 Chemnitz - Rabenstein</t>
        </is>
      </c>
      <c r="H249" s="5" t="n">
        <v>45539</v>
      </c>
      <c r="I249" t="inlineStr">
        <is>
          <t>Sold</t>
        </is>
      </c>
      <c r="J249" s="6">
        <f>HYPERLINK("https://www.kleinanzeigen.de/s-anzeige/mast-430-neilpryde-rdm/2854306367-230-26066", "Link")</f>
        <v/>
      </c>
      <c r="K249" s="6">
        <f>HYPERLINK("C:\Projects\Kleinanzeigen-Scraper\offer_images\2854306367", "Link")</f>
        <v/>
      </c>
      <c r="L249" t="inlineStr">
        <is>
          <t>Frank Dittmar</t>
        </is>
      </c>
      <c r="M249" s="6">
        <f>HYPERLINK("https://www.kleinanzeigen.de/s-bestandsliste.html?userId=9853269", "Link")</f>
        <v/>
      </c>
      <c r="N249" s="7" t="n">
        <v>45549.58069444444</v>
      </c>
      <c r="O249" s="3" t="inlineStr">
        <is>
          <t>312.37</t>
        </is>
      </c>
      <c r="P249" t="inlineStr">
        <is>
          <t>München</t>
        </is>
      </c>
    </row>
    <row r="250">
      <c r="A250" t="inlineStr">
        <is>
          <t>Loftsails Team Edition</t>
        </is>
      </c>
      <c r="B250" s="3" t="n">
        <v>400</v>
      </c>
      <c r="C250" s="8" t="inlineStr">
        <is>
          <t>100%</t>
        </is>
      </c>
      <c r="D250" t="inlineStr">
        <is>
          <t>SDM</t>
        </is>
      </c>
      <c r="E250" s="4" t="n">
        <v>280</v>
      </c>
      <c r="F250" t="inlineStr">
        <is>
          <t>VB</t>
        </is>
      </c>
      <c r="G250" t="inlineStr">
        <is>
          <t>84095 Kr. Landshut - Furth</t>
        </is>
      </c>
      <c r="H250" s="5" t="n">
        <v>45537</v>
      </c>
      <c r="I250" t="inlineStr">
        <is>
          <t>Sold</t>
        </is>
      </c>
      <c r="J250" s="6">
        <f>HYPERLINK("https://www.kleinanzeigen.de/s-anzeige/loftsails-team-edition-400-100-carbon-mast-sdm/2772018857-230-6398", "Link")</f>
        <v/>
      </c>
      <c r="K250" s="6">
        <f>HYPERLINK("C:\Projects\Kleinanzeigen-Scraper\offer_images\2772018857", "Link")</f>
        <v/>
      </c>
      <c r="L250" t="inlineStr">
        <is>
          <t>Niklas</t>
        </is>
      </c>
      <c r="M250" s="6">
        <f>HYPERLINK("https://www.kleinanzeigen.de/s-bestandsliste.html?userId=22205576", "Link")</f>
        <v/>
      </c>
      <c r="N250" s="7" t="n">
        <v>45549.58068287037</v>
      </c>
      <c r="O250" s="3" t="inlineStr">
        <is>
          <t>60.37</t>
        </is>
      </c>
      <c r="P250" t="inlineStr">
        <is>
          <t>München</t>
        </is>
      </c>
    </row>
    <row r="251">
      <c r="A251" t="inlineStr">
        <is>
          <t>Gun Sails Advanced</t>
        </is>
      </c>
      <c r="B251" s="3" t="n">
        <v>460</v>
      </c>
      <c r="C251" s="8" t="inlineStr">
        <is>
          <t>30%</t>
        </is>
      </c>
      <c r="D251" t="inlineStr">
        <is>
          <t>SDM</t>
        </is>
      </c>
      <c r="E251" s="4" t="n">
        <v>95</v>
      </c>
      <c r="F251" t="inlineStr">
        <is>
          <t>VB</t>
        </is>
      </c>
      <c r="G251" t="inlineStr">
        <is>
          <t>86153 Bayern - Augsburg</t>
        </is>
      </c>
      <c r="H251" s="5" t="n">
        <v>45501</v>
      </c>
      <c r="I251" t="inlineStr">
        <is>
          <t>Sold</t>
        </is>
      </c>
      <c r="J251" s="6">
        <f>HYPERLINK("https://www.kleinanzeigen.de/s-anzeige/gun-sails-460-sdm-advanced-mast-windsurf/2823453423-230-7527", "Link")</f>
        <v/>
      </c>
      <c r="K251" s="6">
        <f>HYPERLINK("C:\Projects\Kleinanzeigen-Scraper\offer_images\2823453423", "Link")</f>
        <v/>
      </c>
      <c r="L251" t="inlineStr">
        <is>
          <t>Sephardim Koblenz</t>
        </is>
      </c>
      <c r="M251" s="6">
        <f>HYPERLINK("https://www.kleinanzeigen.de/s-bestandsliste.html?userId=31895417", "Link")</f>
        <v/>
      </c>
      <c r="N251" s="7" t="n">
        <v>45549.58068287037</v>
      </c>
      <c r="O251" s="3" t="inlineStr">
        <is>
          <t>57.17</t>
        </is>
      </c>
      <c r="P251" t="inlineStr">
        <is>
          <t>München</t>
        </is>
      </c>
    </row>
    <row r="252">
      <c r="A252" t="inlineStr">
        <is>
          <t>Neilpryde FLX</t>
        </is>
      </c>
      <c r="B252" s="3" t="n">
        <v>400</v>
      </c>
      <c r="C252" s="8" t="inlineStr">
        <is>
          <t>90%</t>
        </is>
      </c>
      <c r="D252" t="inlineStr">
        <is>
          <t>RDM</t>
        </is>
      </c>
      <c r="E252" s="4" t="n">
        <v>185</v>
      </c>
      <c r="F252" t="inlineStr">
        <is>
          <t>VB</t>
        </is>
      </c>
      <c r="G252" t="inlineStr">
        <is>
          <t>38120 Niedersachsen - Braunschweig</t>
        </is>
      </c>
      <c r="H252" s="5" t="n">
        <v>45527</v>
      </c>
      <c r="I252" t="inlineStr">
        <is>
          <t>Sold</t>
        </is>
      </c>
      <c r="J252" s="6">
        <f>HYPERLINK("https://www.kleinanzeigen.de/s-anzeige/windsurfmast-neilpryde-flx-90-400-cm/2844223968-230-2453", "Link")</f>
        <v/>
      </c>
      <c r="K252" s="6">
        <f>HYPERLINK("C:\Projects\Kleinanzeigen-Scraper\offer_images\2844223968", "Link")</f>
        <v/>
      </c>
      <c r="L252" t="inlineStr">
        <is>
          <t>Rico</t>
        </is>
      </c>
      <c r="M252" s="6">
        <f>HYPERLINK("https://www.kleinanzeigen.de/s-bestandsliste.html?userId=12353639", "Link")</f>
        <v/>
      </c>
      <c r="N252" s="7" t="n">
        <v>45549.58067129629</v>
      </c>
      <c r="O252" s="3" t="inlineStr">
        <is>
          <t>283.50</t>
        </is>
      </c>
      <c r="P252" t="inlineStr">
        <is>
          <t>Köln</t>
        </is>
      </c>
    </row>
    <row r="253">
      <c r="A253" t="inlineStr">
        <is>
          <t>Gun Sails Loop C75</t>
        </is>
      </c>
      <c r="B253" s="3" t="n">
        <v>400</v>
      </c>
      <c r="C253" s="8" t="inlineStr">
        <is>
          <t>75%</t>
        </is>
      </c>
      <c r="D253" t="inlineStr">
        <is>
          <t>SDM</t>
        </is>
      </c>
      <c r="E253" s="4" t="n">
        <v>80</v>
      </c>
      <c r="F253" t="inlineStr"/>
      <c r="G253" t="inlineStr">
        <is>
          <t>81929 München - Bogenhausen</t>
        </is>
      </c>
      <c r="H253" s="5" t="n">
        <v>45538</v>
      </c>
      <c r="I253" t="inlineStr"/>
      <c r="J253" s="6">
        <f>HYPERLINK("https://www.kleinanzeigen.de/s-anzeige/400-cm-windsurfmast-gun-sails-loop-c75-75-carbon-sdm/2853656738-230-6526", "Link")</f>
        <v/>
      </c>
      <c r="K253" s="6">
        <f>HYPERLINK("C:\Projects\Kleinanzeigen-Scraper\offer_images\2853656738", "Link")</f>
        <v/>
      </c>
      <c r="L253" t="inlineStr">
        <is>
          <t>Thomas</t>
        </is>
      </c>
      <c r="M253" s="6">
        <f>HYPERLINK("https://www.kleinanzeigen.de/s-bestandsliste.html?userId=7284801", "Link")</f>
        <v/>
      </c>
      <c r="N253" s="7" t="n">
        <v>45549.58065972223</v>
      </c>
      <c r="O253" s="3" t="inlineStr">
        <is>
          <t>6.89</t>
        </is>
      </c>
      <c r="P253" t="inlineStr">
        <is>
          <t>München</t>
        </is>
      </c>
    </row>
    <row r="254">
      <c r="A254" t="inlineStr">
        <is>
          <t>Starboard Foil Mast</t>
        </is>
      </c>
      <c r="B254" s="3" t="n">
        <v>85</v>
      </c>
      <c r="C254" s="8" t="inlineStr"/>
      <c r="D254" t="inlineStr"/>
      <c r="E254" s="4" t="n">
        <v>50</v>
      </c>
      <c r="F254" t="inlineStr">
        <is>
          <t>VB</t>
        </is>
      </c>
      <c r="G254" t="inlineStr">
        <is>
          <t>63303 Hessen - Dreieich</t>
        </is>
      </c>
      <c r="H254" s="5" t="n">
        <v>45522</v>
      </c>
      <c r="I254" t="inlineStr"/>
      <c r="J254" s="6">
        <f>HYPERLINK("https://www.kleinanzeigen.de/s-anzeige/starboard-foil-mast-alu-85cm/2840188647-230-4291", "Link")</f>
        <v/>
      </c>
      <c r="K254" s="6">
        <f>HYPERLINK("C:\Projects\Kleinanzeigen-Scraper\offer_images\2840188647", "Link")</f>
        <v/>
      </c>
      <c r="L254" t="inlineStr">
        <is>
          <t>Markus Schmidt</t>
        </is>
      </c>
      <c r="M254" s="6">
        <f>HYPERLINK("https://www.kleinanzeigen.de/s-bestandsliste.html?userId=29491365", "Link")</f>
        <v/>
      </c>
      <c r="N254" s="7" t="n">
        <v>45549.58061342593</v>
      </c>
      <c r="O254" s="3" t="inlineStr">
        <is>
          <t>115.78</t>
        </is>
      </c>
      <c r="P254" t="inlineStr">
        <is>
          <t>Karlsruhe</t>
        </is>
      </c>
    </row>
    <row r="255">
      <c r="A255" t="inlineStr">
        <is>
          <t>Neilpryde SPX 90</t>
        </is>
      </c>
      <c r="B255" s="3" t="n">
        <v>340</v>
      </c>
      <c r="C255" s="8" t="inlineStr"/>
      <c r="D255" t="inlineStr">
        <is>
          <t>RDM</t>
        </is>
      </c>
      <c r="E255" s="4" t="n">
        <v>269</v>
      </c>
      <c r="F255" t="inlineStr">
        <is>
          <t>VB</t>
        </is>
      </c>
      <c r="G255" t="inlineStr">
        <is>
          <t>82178 Bayern - Puchheim</t>
        </is>
      </c>
      <c r="H255" s="5" t="n">
        <v>45459</v>
      </c>
      <c r="I255" t="inlineStr"/>
      <c r="J255" s="6">
        <f>HYPERLINK("https://www.kleinanzeigen.de/s-anzeige/spx-90-neilpryde-mast-rdm-340/2789939920-230-5599", "Link")</f>
        <v/>
      </c>
      <c r="K255" s="6">
        <f>HYPERLINK("C:\Projects\Kleinanzeigen-Scraper\offer_images\2789939920", "Link")</f>
        <v/>
      </c>
      <c r="L255" t="inlineStr">
        <is>
          <t>Patrick</t>
        </is>
      </c>
      <c r="M255" s="6">
        <f>HYPERLINK("https://www.kleinanzeigen.de/s-bestandsliste.html?userId=17814692", "Link")</f>
        <v/>
      </c>
      <c r="N255" s="7" t="n">
        <v>45549.58054398148</v>
      </c>
      <c r="O255" s="3" t="inlineStr">
        <is>
          <t>17.38</t>
        </is>
      </c>
      <c r="P255" t="inlineStr">
        <is>
          <t>München</t>
        </is>
      </c>
    </row>
    <row r="256">
      <c r="A256" t="inlineStr">
        <is>
          <t>Aeron</t>
        </is>
      </c>
      <c r="B256" s="3" t="n">
        <v>40</v>
      </c>
      <c r="C256" s="8" t="inlineStr"/>
      <c r="D256" t="inlineStr">
        <is>
          <t>RDM</t>
        </is>
      </c>
      <c r="E256" s="4" t="n">
        <v>35</v>
      </c>
      <c r="F256" t="inlineStr"/>
      <c r="G256" t="inlineStr">
        <is>
          <t>13055 Berlin - Hohenschönhausen</t>
        </is>
      </c>
      <c r="H256" s="5" t="n">
        <v>45498</v>
      </c>
      <c r="I256" t="inlineStr">
        <is>
          <t>Sold</t>
        </is>
      </c>
      <c r="J256" s="6">
        <f>HYPERLINK("https://www.kleinanzeigen.de/s-anzeige/aeron-rdm-mastverlaengerung-30cm-neoprenhaube-sturmhaube-neilpryde/2820699118-230-3358", "Link")</f>
        <v/>
      </c>
      <c r="K256" s="6">
        <f>HYPERLINK("C:\Projects\Kleinanzeigen-Scraper\offer_images\2820699118", "Link")</f>
        <v/>
      </c>
      <c r="L256" t="inlineStr">
        <is>
          <t>Jonas</t>
        </is>
      </c>
      <c r="M256" s="6">
        <f>HYPERLINK("https://www.kleinanzeigen.de/s-bestandsliste.html?userId=8681717", "Link")</f>
        <v/>
      </c>
      <c r="N256" s="7" t="n">
        <v>45549.58050925926</v>
      </c>
      <c r="O256" s="3" t="inlineStr">
        <is>
          <t>484.27</t>
        </is>
      </c>
      <c r="P256" t="inlineStr">
        <is>
          <t>Köln</t>
        </is>
      </c>
    </row>
    <row r="257">
      <c r="A257" t="inlineStr">
        <is>
          <t>Neilpryde X3</t>
        </is>
      </c>
      <c r="B257" s="3" t="n">
        <v>460</v>
      </c>
      <c r="C257" s="8" t="inlineStr"/>
      <c r="D257" t="inlineStr"/>
      <c r="E257" s="4" t="n">
        <v>25</v>
      </c>
      <c r="F257" t="inlineStr">
        <is>
          <t>VB</t>
        </is>
      </c>
      <c r="G257" t="inlineStr">
        <is>
          <t>45130 Essen - Rüttenscheid</t>
        </is>
      </c>
      <c r="H257" s="5" t="n">
        <v>45515</v>
      </c>
      <c r="I257" t="inlineStr">
        <is>
          <t>Sold</t>
        </is>
      </c>
      <c r="J257" s="6">
        <f>HYPERLINK("https://www.kleinanzeigen.de/s-anzeige/surfmast-neilpryde-x3-460-masttasche/2834891771-230-2045", "Link")</f>
        <v/>
      </c>
      <c r="K257" s="6">
        <f>HYPERLINK("C:\Projects\Kleinanzeigen-Scraper\offer_images\2834891771", "Link")</f>
        <v/>
      </c>
      <c r="L257" t="inlineStr">
        <is>
          <t>Ingmar Becker</t>
        </is>
      </c>
      <c r="M257" s="6">
        <f>HYPERLINK("https://www.kleinanzeigen.de/s-bestandsliste.html?userId=7119873", "Link")</f>
        <v/>
      </c>
      <c r="N257" s="7" t="n">
        <v>45549.58043981482</v>
      </c>
      <c r="O257" s="3" t="inlineStr">
        <is>
          <t>55.72</t>
        </is>
      </c>
      <c r="P257" t="inlineStr">
        <is>
          <t>Köln</t>
        </is>
      </c>
    </row>
    <row r="258">
      <c r="A258" t="inlineStr">
        <is>
          <t>Neilpryde UXT-48</t>
        </is>
      </c>
      <c r="B258" s="3" t="inlineStr"/>
      <c r="C258" s="8" t="inlineStr"/>
      <c r="D258" t="inlineStr"/>
      <c r="E258" s="4" t="n">
        <v>40</v>
      </c>
      <c r="F258" t="inlineStr">
        <is>
          <t>VB</t>
        </is>
      </c>
      <c r="G258" t="inlineStr">
        <is>
          <t>86153 Bayern - Augsburg</t>
        </is>
      </c>
      <c r="H258" s="5" t="n">
        <v>45501</v>
      </c>
      <c r="I258" t="inlineStr">
        <is>
          <t>Sold</t>
        </is>
      </c>
      <c r="J258" s="6">
        <f>HYPERLINK("https://www.kleinanzeigen.de/s-anzeige/neilpryde-uxt-48-mastverlaengerung-windsurf-alu/2823460416-230-7527", "Link")</f>
        <v/>
      </c>
      <c r="K258" s="6">
        <f>HYPERLINK("C:\Projects\Kleinanzeigen-Scraper\offer_images\2823460416", "Link")</f>
        <v/>
      </c>
      <c r="L258" t="inlineStr">
        <is>
          <t>Sephardim Koblenz</t>
        </is>
      </c>
      <c r="M258" s="6">
        <f>HYPERLINK("https://www.kleinanzeigen.de/s-bestandsliste.html?userId=31895417", "Link")</f>
        <v/>
      </c>
      <c r="N258" s="7" t="n">
        <v>45549.58034722223</v>
      </c>
      <c r="O258" s="3" t="inlineStr">
        <is>
          <t>57.17</t>
        </is>
      </c>
      <c r="P258" t="inlineStr">
        <is>
          <t>München</t>
        </is>
      </c>
    </row>
    <row r="259">
      <c r="A259" t="inlineStr">
        <is>
          <t>Neilpryde Wave 430 Matrix</t>
        </is>
      </c>
      <c r="B259" s="3" t="n">
        <v>430</v>
      </c>
      <c r="C259" s="8" t="inlineStr"/>
      <c r="D259" t="inlineStr"/>
      <c r="E259" s="4" t="n">
        <v>80</v>
      </c>
      <c r="F259" t="inlineStr">
        <is>
          <t>VB</t>
        </is>
      </c>
      <c r="G259" t="inlineStr">
        <is>
          <t>79585 Baden-Württemberg - Steinen</t>
        </is>
      </c>
      <c r="H259" s="5" t="n">
        <v>45539</v>
      </c>
      <c r="I259" t="inlineStr"/>
      <c r="J259" s="6">
        <f>HYPERLINK("https://www.kleinanzeigen.de/s-anzeige/neilpryde-wave-430-matrix-mit-bag/2854327437-230-8172", "Link")</f>
        <v/>
      </c>
      <c r="K259" s="6">
        <f>HYPERLINK("C:\Projects\Kleinanzeigen-Scraper\offer_images\2854327437", "Link")</f>
        <v/>
      </c>
      <c r="L259" t="inlineStr">
        <is>
          <t>Jürgen Herrmann</t>
        </is>
      </c>
      <c r="M259" s="6">
        <f>HYPERLINK("https://www.kleinanzeigen.de/s-bestandsliste.html?userId=24862308", "Link")</f>
        <v/>
      </c>
      <c r="N259" s="7" t="n">
        <v>45549.58028935185</v>
      </c>
      <c r="O259" s="3" t="inlineStr">
        <is>
          <t>47.34</t>
        </is>
      </c>
      <c r="P259" t="inlineStr">
        <is>
          <t>Bonndorf</t>
        </is>
      </c>
    </row>
    <row r="260">
      <c r="A260" t="inlineStr">
        <is>
          <t>Neilpryde WAVE</t>
        </is>
      </c>
      <c r="B260" s="3" t="n">
        <v>430</v>
      </c>
      <c r="C260" s="8" t="inlineStr"/>
      <c r="D260" t="inlineStr"/>
      <c r="E260" s="4" t="n">
        <v>55</v>
      </c>
      <c r="F260" t="inlineStr">
        <is>
          <t>VB</t>
        </is>
      </c>
      <c r="G260" t="inlineStr">
        <is>
          <t>86156 Bayern - Augsburg</t>
        </is>
      </c>
      <c r="H260" s="5" t="n">
        <v>45470</v>
      </c>
      <c r="I260" t="inlineStr"/>
      <c r="J260" s="6">
        <f>HYPERLINK("https://www.kleinanzeigen.de/s-anzeige/-neilpryde-mast-wave-430-21-imcs-matrix-system-/2798452427-230-7529", "Link")</f>
        <v/>
      </c>
      <c r="K260" s="6">
        <f>HYPERLINK("C:\Projects\Kleinanzeigen-Scraper\offer_images\2798452427", "Link")</f>
        <v/>
      </c>
      <c r="L260" t="inlineStr">
        <is>
          <t>Tabea &amp; Oliver Gruhn</t>
        </is>
      </c>
      <c r="M260" s="6">
        <f>HYPERLINK("https://www.kleinanzeigen.de/s-bestandsliste.html?userId=12371787", "Link")</f>
        <v/>
      </c>
      <c r="N260" s="7" t="n">
        <v>45549.58024305556</v>
      </c>
      <c r="O260" s="3" t="inlineStr">
        <is>
          <t>60.25</t>
        </is>
      </c>
      <c r="P260" t="inlineStr">
        <is>
          <t>München</t>
        </is>
      </c>
    </row>
    <row r="261">
      <c r="A261" t="inlineStr">
        <is>
          <t>NEILPRYDE GLIDE</t>
        </is>
      </c>
      <c r="B261" s="3" t="n">
        <v>85</v>
      </c>
      <c r="C261" s="8" t="inlineStr">
        <is>
          <t>100%</t>
        </is>
      </c>
      <c r="D261" t="inlineStr"/>
      <c r="E261" s="4" t="n">
        <v>1.115</v>
      </c>
      <c r="F261" t="inlineStr">
        <is>
          <t>VB</t>
        </is>
      </c>
      <c r="G261" t="inlineStr">
        <is>
          <t>85375 Bayern - Neufahrn</t>
        </is>
      </c>
      <c r="H261" s="5" t="n">
        <v>45499</v>
      </c>
      <c r="I261" t="inlineStr">
        <is>
          <t>Sold</t>
        </is>
      </c>
      <c r="J261" s="6">
        <f>HYPERLINK("https://www.kleinanzeigen.de/s-anzeige/neilpryde-glide-mast-hm-carbon-neu-2024-glide-swift/2821667041-230-6620", "Link")</f>
        <v/>
      </c>
      <c r="K261" s="6">
        <f>HYPERLINK("C:\Projects\Kleinanzeigen-Scraper\offer_images\2821667041", "Link")</f>
        <v/>
      </c>
      <c r="L261" t="inlineStr">
        <is>
          <t>Moritz Bock</t>
        </is>
      </c>
      <c r="M261" s="6">
        <f>HYPERLINK("https://www.kleinanzeigen.de/s-bestandsliste.html?userId=119827522", "Link")</f>
        <v/>
      </c>
      <c r="N261" s="7" t="n">
        <v>45549.58019675926</v>
      </c>
      <c r="O261" s="3" t="inlineStr">
        <is>
          <t>21.85</t>
        </is>
      </c>
      <c r="P261" t="inlineStr">
        <is>
          <t>München</t>
        </is>
      </c>
    </row>
    <row r="262">
      <c r="A262" t="inlineStr">
        <is>
          <t>North Sonar C95</t>
        </is>
      </c>
      <c r="B262" s="3" t="inlineStr"/>
      <c r="C262" s="8" t="inlineStr">
        <is>
          <t>100%</t>
        </is>
      </c>
      <c r="D262" t="inlineStr"/>
      <c r="E262" s="4" t="n">
        <v>590</v>
      </c>
      <c r="F262" t="inlineStr">
        <is>
          <t>VB</t>
        </is>
      </c>
      <c r="G262" t="inlineStr">
        <is>
          <t>86573 Bayern - Obergriesbach</t>
        </is>
      </c>
      <c r="H262" s="5" t="n">
        <v>45547</v>
      </c>
      <c r="I262" t="inlineStr">
        <is>
          <t>Sold</t>
        </is>
      </c>
      <c r="J262" s="6">
        <f>HYPERLINK("https://www.kleinanzeigen.de/s-anzeige/north-sonar-c95-carbon-foil-mastw/2861382315-230-7197", "Link")</f>
        <v/>
      </c>
      <c r="K262" s="6">
        <f>HYPERLINK("C:\Projects\Kleinanzeigen-Scraper\offer_images\2861382315", "Link")</f>
        <v/>
      </c>
      <c r="L262" t="inlineStr">
        <is>
          <t>Daniel</t>
        </is>
      </c>
      <c r="M262" s="6">
        <f>HYPERLINK("https://www.kleinanzeigen.de/s-bestandsliste.html?userId=144265443", "Link")</f>
        <v/>
      </c>
      <c r="N262" s="7" t="n">
        <v>45549.58017361111</v>
      </c>
      <c r="O262" s="3" t="inlineStr">
        <is>
          <t>49.21</t>
        </is>
      </c>
      <c r="P262" t="inlineStr">
        <is>
          <t>München</t>
        </is>
      </c>
    </row>
    <row r="263">
      <c r="A263" t="inlineStr">
        <is>
          <t>Neilpryde Matrix2000 WavePro</t>
        </is>
      </c>
      <c r="B263" s="3" t="n">
        <v>460</v>
      </c>
      <c r="C263" s="8" t="inlineStr"/>
      <c r="D263" t="inlineStr">
        <is>
          <t>SDM</t>
        </is>
      </c>
      <c r="E263" s="4" t="n">
        <v>60</v>
      </c>
      <c r="F263" t="inlineStr">
        <is>
          <t>VB</t>
        </is>
      </c>
      <c r="G263" t="inlineStr">
        <is>
          <t>46414 Nordrhein-Westfalen - Rhede</t>
        </is>
      </c>
      <c r="H263" s="5" t="n">
        <v>45446</v>
      </c>
      <c r="I263" t="inlineStr">
        <is>
          <t>Sold</t>
        </is>
      </c>
      <c r="J263" s="6">
        <f>HYPERLINK("https://www.kleinanzeigen.de/s-anzeige/neilpryde-matrix2000-wavepro-surfmast-460/2778909767-230-1381", "Link")</f>
        <v/>
      </c>
      <c r="K263" s="6">
        <f>HYPERLINK("C:\Projects\Kleinanzeigen-Scraper\offer_images\2778909767", "Link")</f>
        <v/>
      </c>
      <c r="L263" t="inlineStr">
        <is>
          <t>Andreas</t>
        </is>
      </c>
      <c r="M263" s="6">
        <f>HYPERLINK("https://www.kleinanzeigen.de/s-bestandsliste.html?userId=22781907", "Link")</f>
        <v/>
      </c>
      <c r="N263" s="7" t="n">
        <v>45549.58015046296</v>
      </c>
      <c r="O263" s="3" t="inlineStr">
        <is>
          <t>101.95</t>
        </is>
      </c>
      <c r="P263" t="inlineStr">
        <is>
          <t>Köln</t>
        </is>
      </c>
    </row>
    <row r="264">
      <c r="A264" t="inlineStr">
        <is>
          <t>Gun Sailes</t>
        </is>
      </c>
      <c r="B264" s="3" t="n">
        <v>370</v>
      </c>
      <c r="C264" s="8" t="inlineStr">
        <is>
          <t>70%</t>
        </is>
      </c>
      <c r="D264" t="inlineStr">
        <is>
          <t>SDM</t>
        </is>
      </c>
      <c r="E264" s="4" t="n">
        <v>100</v>
      </c>
      <c r="F264" t="inlineStr"/>
      <c r="G264" t="inlineStr">
        <is>
          <t>86169 Bayern - Augsburg</t>
        </is>
      </c>
      <c r="H264" s="5" t="n">
        <v>45269</v>
      </c>
      <c r="I264" t="inlineStr">
        <is>
          <t>Sold</t>
        </is>
      </c>
      <c r="J264" s="6">
        <f>HYPERLINK("https://www.kleinanzeigen.de/s-anzeige/windsurfmast-gun-sailes-370-70-carbon-sdm-neuwertig/2624873962-230-7524", "Link")</f>
        <v/>
      </c>
      <c r="K264" s="6">
        <f>HYPERLINK("C:\Projects\Kleinanzeigen-Scraper\offer_images\2624873962", "Link")</f>
        <v/>
      </c>
      <c r="L264" t="inlineStr">
        <is>
          <t>Ulf Geier</t>
        </is>
      </c>
      <c r="M264" s="6">
        <f>HYPERLINK("https://www.kleinanzeigen.de/s-bestandsliste.html?userId=56105770", "Link")</f>
        <v/>
      </c>
      <c r="N264" s="7" t="n">
        <v>45549.58011574074</v>
      </c>
      <c r="O264" s="3" t="inlineStr">
        <is>
          <t>58.53</t>
        </is>
      </c>
      <c r="P264" t="inlineStr">
        <is>
          <t>München</t>
        </is>
      </c>
    </row>
    <row r="265">
      <c r="A265" t="inlineStr">
        <is>
          <t>North Sails Silver Mast</t>
        </is>
      </c>
      <c r="B265" s="3" t="n">
        <v>490</v>
      </c>
      <c r="C265" s="8" t="inlineStr"/>
      <c r="D265" t="inlineStr"/>
      <c r="E265" s="4" t="n">
        <v>80</v>
      </c>
      <c r="F265" t="inlineStr">
        <is>
          <t>VB</t>
        </is>
      </c>
      <c r="G265" t="inlineStr">
        <is>
          <t>22393 Wandsbek - Hamburg Sasel</t>
        </is>
      </c>
      <c r="H265" s="5" t="n">
        <v>45536</v>
      </c>
      <c r="I265" t="inlineStr">
        <is>
          <t>Sold</t>
        </is>
      </c>
      <c r="J265" s="6">
        <f>HYPERLINK("https://www.kleinanzeigen.de/s-anzeige/north-sails-silver-mast-490/2851323799-230-18783", "Link")</f>
        <v/>
      </c>
      <c r="K265" s="6">
        <f>HYPERLINK("C:\Projects\Kleinanzeigen-Scraper\offer_images\2851323799", "Link")</f>
        <v/>
      </c>
      <c r="L265" t="inlineStr">
        <is>
          <t>Oliver</t>
        </is>
      </c>
      <c r="M265" s="6">
        <f>HYPERLINK("https://www.kleinanzeigen.de/s-bestandsliste.html?userId=8582943", "Link")</f>
        <v/>
      </c>
      <c r="N265" s="7" t="n">
        <v>45549.58011574074</v>
      </c>
      <c r="O265" s="3" t="inlineStr">
        <is>
          <t>370.55</t>
        </is>
      </c>
      <c r="P265" t="inlineStr">
        <is>
          <t>Köln</t>
        </is>
      </c>
    </row>
    <row r="266">
      <c r="A266" t="inlineStr">
        <is>
          <t>Lorch Silberpfeil</t>
        </is>
      </c>
      <c r="B266" s="3" t="n">
        <v>460</v>
      </c>
      <c r="C266" s="8" t="inlineStr">
        <is>
          <t>75%</t>
        </is>
      </c>
      <c r="D266" t="inlineStr">
        <is>
          <t>SDM</t>
        </is>
      </c>
      <c r="E266" s="4" t="n">
        <v>120</v>
      </c>
      <c r="F266" t="inlineStr"/>
      <c r="G266" t="inlineStr">
        <is>
          <t>71093 Baden-Württemberg - Weil im Schönbuch</t>
        </is>
      </c>
      <c r="H266" s="5" t="n">
        <v>45545</v>
      </c>
      <c r="I266" t="inlineStr">
        <is>
          <t>Sold</t>
        </is>
      </c>
      <c r="J266" s="6">
        <f>HYPERLINK("https://www.kleinanzeigen.de/s-anzeige/lorch-460-sdm-mast-75-carbon-silberpfeil-wie-neilpryde-severne/2859087402-230-8785", "Link")</f>
        <v/>
      </c>
      <c r="K266" s="6">
        <f>HYPERLINK("C:\Projects\Kleinanzeigen-Scraper\offer_images\2859087402", "Link")</f>
        <v/>
      </c>
      <c r="L266" t="inlineStr">
        <is>
          <t>Schorschi</t>
        </is>
      </c>
      <c r="M266" s="6">
        <f>HYPERLINK("https://www.kleinanzeigen.de/s-bestandsliste.html?userId=71398211", "Link")</f>
        <v/>
      </c>
      <c r="N266" s="7" t="n">
        <v>45549.58003472222</v>
      </c>
      <c r="O266" s="3" t="inlineStr">
        <is>
          <t>9.52</t>
        </is>
      </c>
      <c r="P266" t="inlineStr">
        <is>
          <t>Böblingen</t>
        </is>
      </c>
    </row>
    <row r="267">
      <c r="A267" t="inlineStr">
        <is>
          <t>North RDM</t>
        </is>
      </c>
      <c r="B267" s="3" t="n">
        <v>430</v>
      </c>
      <c r="C267" s="8" t="inlineStr">
        <is>
          <t>100%</t>
        </is>
      </c>
      <c r="D267" t="inlineStr">
        <is>
          <t>RDM</t>
        </is>
      </c>
      <c r="E267" s="4" t="n">
        <v>390</v>
      </c>
      <c r="F267" t="inlineStr">
        <is>
          <t>VB</t>
        </is>
      </c>
      <c r="G267" t="inlineStr">
        <is>
          <t>82319 Bayern - Starnberg</t>
        </is>
      </c>
      <c r="H267" s="5" t="n">
        <v>45542</v>
      </c>
      <c r="I267" t="inlineStr">
        <is>
          <t>Sold</t>
        </is>
      </c>
      <c r="J267" s="6">
        <f>HYPERLINK("https://www.kleinanzeigen.de/s-anzeige/north-rdm-100-carbon-mast-430-gebaucht-top-zustand/2703279952-230-5525", "Link")</f>
        <v/>
      </c>
      <c r="K267" s="6">
        <f>HYPERLINK("C:\Projects\Kleinanzeigen-Scraper\offer_images\2703279952", "Link")</f>
        <v/>
      </c>
      <c r="L267" t="inlineStr">
        <is>
          <t>No user name</t>
        </is>
      </c>
      <c r="M267" s="6">
        <f>HYPERLINK("https://www.kleinanzeigen.deNo user link", "Link")</f>
        <v/>
      </c>
      <c r="N267" s="7" t="n">
        <v>45549.57996527778</v>
      </c>
      <c r="O267" s="3" t="inlineStr">
        <is>
          <t>23.17</t>
        </is>
      </c>
      <c r="P267" t="inlineStr">
        <is>
          <t>München</t>
        </is>
      </c>
    </row>
    <row r="268">
      <c r="A268" t="inlineStr">
        <is>
          <t>Point7</t>
        </is>
      </c>
      <c r="B268" s="3" t="n">
        <v>400</v>
      </c>
      <c r="C268" s="8" t="inlineStr">
        <is>
          <t>100%</t>
        </is>
      </c>
      <c r="D268" t="inlineStr"/>
      <c r="E268" s="4" t="n">
        <v>300</v>
      </c>
      <c r="F268" t="inlineStr"/>
      <c r="G268" t="inlineStr">
        <is>
          <t>82467 Bayern - Garmisch-Partenkirchen</t>
        </is>
      </c>
      <c r="H268" s="5" t="n">
        <v>45504</v>
      </c>
      <c r="I268" t="inlineStr">
        <is>
          <t>Sold</t>
        </is>
      </c>
      <c r="J268" s="6">
        <f>HYPERLINK("https://www.kleinanzeigen.de/s-anzeige/surfmast-point7-100-400cm/2825669649-230-6338", "Link")</f>
        <v/>
      </c>
      <c r="K268" s="6">
        <f>HYPERLINK("C:\Projects\Kleinanzeigen-Scraper\offer_images\2825669649", "Link")</f>
        <v/>
      </c>
      <c r="L268" t="inlineStr">
        <is>
          <t>Stephan</t>
        </is>
      </c>
      <c r="M268" s="6">
        <f>HYPERLINK("https://www.kleinanzeigen.de/s-bestandsliste.html?userId=24549656", "Link")</f>
        <v/>
      </c>
      <c r="N268" s="7" t="n">
        <v>45549.57996527778</v>
      </c>
      <c r="O268" s="3" t="inlineStr">
        <is>
          <t>80.76</t>
        </is>
      </c>
      <c r="P268" t="inlineStr">
        <is>
          <t>München</t>
        </is>
      </c>
    </row>
    <row r="269">
      <c r="A269" t="inlineStr">
        <is>
          <t>Fanatic AL 3.0</t>
        </is>
      </c>
      <c r="B269" s="3" t="n">
        <v>90</v>
      </c>
      <c r="C269" s="8" t="inlineStr"/>
      <c r="D269" t="inlineStr"/>
      <c r="E269" s="4" t="n">
        <v>175</v>
      </c>
      <c r="F269" t="inlineStr"/>
      <c r="G269" t="inlineStr">
        <is>
          <t>20359 Hamburg-Mitte - Hamburg St. Pauli</t>
        </is>
      </c>
      <c r="H269" s="5" t="n">
        <v>45530</v>
      </c>
      <c r="I269" t="inlineStr">
        <is>
          <t>Sold</t>
        </is>
      </c>
      <c r="J269" s="6">
        <f>HYPERLINK("https://www.kleinanzeigen.de/s-anzeige/fanatic-alu-mast-al-3-0-90-cm-lang/2847324930-230-9495", "Link")</f>
        <v/>
      </c>
      <c r="K269" s="6">
        <f>HYPERLINK("C:\Projects\Kleinanzeigen-Scraper\offer_images\2847324930", "Link")</f>
        <v/>
      </c>
      <c r="L269" t="inlineStr">
        <is>
          <t>Oliver Schmidt</t>
        </is>
      </c>
      <c r="M269" s="6">
        <f>HYPERLINK("https://www.kleinanzeigen.de/s-bestandsliste.html?userId=11392431", "Link")</f>
        <v/>
      </c>
      <c r="N269" s="7" t="n">
        <v>45549.57991898148</v>
      </c>
      <c r="O269" s="3" t="inlineStr">
        <is>
          <t>355.45</t>
        </is>
      </c>
      <c r="P269" t="inlineStr">
        <is>
          <t>Köln</t>
        </is>
      </c>
    </row>
    <row r="270">
      <c r="A270" t="inlineStr">
        <is>
          <t>Severne Base Extension</t>
        </is>
      </c>
      <c r="B270" s="3" t="n">
        <v>40</v>
      </c>
      <c r="C270" s="8" t="inlineStr"/>
      <c r="D270" t="inlineStr">
        <is>
          <t>SDM</t>
        </is>
      </c>
      <c r="E270" s="4" t="n">
        <v>80</v>
      </c>
      <c r="F270" t="inlineStr"/>
      <c r="G270" t="inlineStr">
        <is>
          <t>86343 Bayern - Königsbrunn</t>
        </is>
      </c>
      <c r="H270" s="5" t="n">
        <v>45537</v>
      </c>
      <c r="I270" t="inlineStr">
        <is>
          <t>Sold</t>
        </is>
      </c>
      <c r="J270" s="6">
        <f>HYPERLINK("https://www.kleinanzeigen.de/s-anzeige/mastverlaengerung-severne-base-extension-40cm-sdm/2852372786-230-7034", "Link")</f>
        <v/>
      </c>
      <c r="K270" s="6">
        <f>HYPERLINK("C:\Projects\Kleinanzeigen-Scraper\offer_images\2852372786", "Link")</f>
        <v/>
      </c>
      <c r="L270" t="inlineStr">
        <is>
          <t>Wolfgang Dennstädt</t>
        </is>
      </c>
      <c r="M270" s="6">
        <f>HYPERLINK("https://www.kleinanzeigen.de/s-bestandsliste.html?userId=20340449", "Link")</f>
        <v/>
      </c>
      <c r="N270" s="7" t="n">
        <v>45549.57989583333</v>
      </c>
      <c r="O270" s="3" t="inlineStr">
        <is>
          <t>52.97</t>
        </is>
      </c>
      <c r="P270" t="inlineStr">
        <is>
          <t>München</t>
        </is>
      </c>
    </row>
    <row r="271">
      <c r="A271" t="inlineStr">
        <is>
          <t>UNIFIBER Neilpryde</t>
        </is>
      </c>
      <c r="B271" s="3" t="n">
        <v>430</v>
      </c>
      <c r="C271" s="8" t="inlineStr">
        <is>
          <t>80%</t>
        </is>
      </c>
      <c r="D271" t="inlineStr">
        <is>
          <t>RDM</t>
        </is>
      </c>
      <c r="E271" s="4" t="n">
        <v>165</v>
      </c>
      <c r="F271" t="inlineStr"/>
      <c r="G271" t="inlineStr">
        <is>
          <t>22043 Wandsbek - Hamburg Marienthal</t>
        </is>
      </c>
      <c r="H271" s="5" t="n">
        <v>45527</v>
      </c>
      <c r="I271" t="inlineStr"/>
      <c r="J271" s="6">
        <f>HYPERLINK("https://www.kleinanzeigen.de/s-anzeige/unifiber-neilpryde-430-rdm-flex-top-80-carbon-mast/2844618173-230-23510", "Link")</f>
        <v/>
      </c>
      <c r="K271" s="6">
        <f>HYPERLINK("C:\Projects\Kleinanzeigen-Scraper\offer_images\2844618173", "Link")</f>
        <v/>
      </c>
      <c r="L271" t="inlineStr">
        <is>
          <t>Marcus</t>
        </is>
      </c>
      <c r="M271" s="6">
        <f>HYPERLINK("https://www.kleinanzeigen.de/s-bestandsliste.html?userId=19486548", "Link")</f>
        <v/>
      </c>
      <c r="N271" s="7" t="n">
        <v>45549.57971064815</v>
      </c>
      <c r="O271" s="3" t="inlineStr">
        <is>
          <t>362.40</t>
        </is>
      </c>
      <c r="P271" t="inlineStr">
        <is>
          <t>Köln</t>
        </is>
      </c>
    </row>
    <row r="272">
      <c r="A272" t="inlineStr">
        <is>
          <t>NEILPRYDE INTEGRATED</t>
        </is>
      </c>
      <c r="B272" s="3" t="n">
        <v>490</v>
      </c>
      <c r="C272" s="8" t="inlineStr">
        <is>
          <t>45%</t>
        </is>
      </c>
      <c r="D272" t="inlineStr"/>
      <c r="E272" s="4" t="n">
        <v>30</v>
      </c>
      <c r="F272" t="inlineStr"/>
      <c r="G272" t="inlineStr">
        <is>
          <t>97944 Baden-Württemberg - Boxberg</t>
        </is>
      </c>
      <c r="H272" s="5" t="n">
        <v>45453</v>
      </c>
      <c r="I272" t="inlineStr"/>
      <c r="J272" s="6">
        <f>HYPERLINK("https://www.kleinanzeigen.de/s-anzeige/neilpryde-integrated-freeride-45-490cm/2784932022-230-8639", "Link")</f>
        <v/>
      </c>
      <c r="K272" s="6">
        <f>HYPERLINK("C:\Projects\Kleinanzeigen-Scraper\offer_images\2784932022", "Link")</f>
        <v/>
      </c>
      <c r="L272" t="inlineStr">
        <is>
          <t>Bernd Braun</t>
        </is>
      </c>
      <c r="M272" s="6">
        <f>HYPERLINK("https://www.kleinanzeigen.de/s-bestandsliste.html?userId=25080406", "Link")</f>
        <v/>
      </c>
      <c r="N272" s="7" t="n">
        <v>45549.57966435186</v>
      </c>
      <c r="O272" s="3" t="inlineStr">
        <is>
          <t>101.19</t>
        </is>
      </c>
      <c r="P272" t="inlineStr">
        <is>
          <t>Böblingen</t>
        </is>
      </c>
    </row>
    <row r="273">
      <c r="A273" t="inlineStr">
        <is>
          <t>Neilpryde NP TPX 100</t>
        </is>
      </c>
      <c r="B273" s="3" t="n">
        <v>430</v>
      </c>
      <c r="C273" s="8" t="inlineStr">
        <is>
          <t>100%</t>
        </is>
      </c>
      <c r="D273" t="inlineStr">
        <is>
          <t>SDM</t>
        </is>
      </c>
      <c r="E273" s="4" t="n">
        <v>400</v>
      </c>
      <c r="F273" t="inlineStr">
        <is>
          <t>VB</t>
        </is>
      </c>
      <c r="G273" t="inlineStr">
        <is>
          <t>24105 Schleswig-Holstein - Kiel</t>
        </is>
      </c>
      <c r="H273" s="5" t="n">
        <v>45521</v>
      </c>
      <c r="I273" t="inlineStr">
        <is>
          <t>Sold</t>
        </is>
      </c>
      <c r="J273" s="6">
        <f>HYPERLINK("https://www.kleinanzeigen.de/s-anzeige/neilpryde-np-tpx-100-430-sdm-100-carbon-mast/2838775510-230-708", "Link")</f>
        <v/>
      </c>
      <c r="K273" s="6">
        <f>HYPERLINK("C:\Projects\Kleinanzeigen-Scraper\offer_images\2838775510", "Link")</f>
        <v/>
      </c>
      <c r="L273" t="inlineStr">
        <is>
          <t>Leo Richter</t>
        </is>
      </c>
      <c r="M273" s="6">
        <f>HYPERLINK("https://www.kleinanzeigen.de/s-bestandsliste.html?userId=56454387", "Link")</f>
        <v/>
      </c>
      <c r="N273" s="7" t="n">
        <v>45549.57960648148</v>
      </c>
      <c r="O273" s="3" t="inlineStr">
        <is>
          <t>435.05</t>
        </is>
      </c>
      <c r="P273" t="inlineStr">
        <is>
          <t>Köln</t>
        </is>
      </c>
    </row>
    <row r="274">
      <c r="A274" t="inlineStr">
        <is>
          <t>NeilPryde X3</t>
        </is>
      </c>
      <c r="B274" s="3" t="n">
        <v>370</v>
      </c>
      <c r="C274" s="8" t="inlineStr">
        <is>
          <t>30%</t>
        </is>
      </c>
      <c r="D274" t="inlineStr">
        <is>
          <t>SDM</t>
        </is>
      </c>
      <c r="E274" s="4" t="n">
        <v>120</v>
      </c>
      <c r="F274" t="inlineStr">
        <is>
          <t>VB</t>
        </is>
      </c>
      <c r="G274" t="inlineStr">
        <is>
          <t>85254 Bayern - Sulzemoos</t>
        </is>
      </c>
      <c r="H274" s="5" t="n">
        <v>45516</v>
      </c>
      <c r="I274" t="inlineStr"/>
      <c r="J274" s="6">
        <f>HYPERLINK("https://www.kleinanzeigen.de/s-anzeige/mast-neilpryde-x3-sdm-3-7-m/2835340391-230-5588", "Link")</f>
        <v/>
      </c>
      <c r="K274" s="6">
        <f>HYPERLINK("C:\Projects\Kleinanzeigen-Scraper\offer_images\2835340391", "Link")</f>
        <v/>
      </c>
      <c r="L274" t="inlineStr">
        <is>
          <t>Andi</t>
        </is>
      </c>
      <c r="M274" s="6">
        <f>HYPERLINK("https://www.kleinanzeigen.de/s-bestandsliste.html?userId=27401205", "Link")</f>
        <v/>
      </c>
      <c r="N274" s="7" t="n">
        <v>45549.57959490741</v>
      </c>
      <c r="O274" s="3" t="inlineStr">
        <is>
          <t>28.55</t>
        </is>
      </c>
      <c r="P274" t="inlineStr">
        <is>
          <t>München</t>
        </is>
      </c>
    </row>
    <row r="275">
      <c r="A275" t="inlineStr">
        <is>
          <t>NEILPRYDE INTEGRATED CK75</t>
        </is>
      </c>
      <c r="B275" s="3" t="n">
        <v>460</v>
      </c>
      <c r="C275" s="8" t="inlineStr">
        <is>
          <t>75%</t>
        </is>
      </c>
      <c r="D275" t="inlineStr">
        <is>
          <t>SDM</t>
        </is>
      </c>
      <c r="E275" s="4" t="n">
        <v>50</v>
      </c>
      <c r="F275" t="inlineStr">
        <is>
          <t>VB</t>
        </is>
      </c>
      <c r="G275" t="inlineStr">
        <is>
          <t>97944 Baden-Württemberg - Boxberg</t>
        </is>
      </c>
      <c r="H275" s="5" t="n">
        <v>45453</v>
      </c>
      <c r="I275" t="inlineStr"/>
      <c r="J275" s="6">
        <f>HYPERLINK("https://www.kleinanzeigen.de/s-anzeige/neilpryde-integrated-ck75-460cm-mast/2784866958-230-8639", "Link")</f>
        <v/>
      </c>
      <c r="K275" s="6">
        <f>HYPERLINK("C:\Projects\Kleinanzeigen-Scraper\offer_images\2784866958", "Link")</f>
        <v/>
      </c>
      <c r="L275" t="inlineStr">
        <is>
          <t>Bernd Braun</t>
        </is>
      </c>
      <c r="M275" s="6">
        <f>HYPERLINK("https://www.kleinanzeigen.de/s-bestandsliste.html?userId=25080406", "Link")</f>
        <v/>
      </c>
      <c r="N275" s="7" t="n">
        <v>45549.57943287037</v>
      </c>
      <c r="O275" s="3" t="inlineStr">
        <is>
          <t>101.19</t>
        </is>
      </c>
      <c r="P275" t="inlineStr">
        <is>
          <t>Böblingen</t>
        </is>
      </c>
    </row>
    <row r="276">
      <c r="A276" t="inlineStr">
        <is>
          <t>Neilpryde Carbon 490 CK55</t>
        </is>
      </c>
      <c r="B276" s="3" t="n">
        <v>490</v>
      </c>
      <c r="C276" s="8" t="inlineStr"/>
      <c r="D276" t="inlineStr"/>
      <c r="E276" s="4" t="n">
        <v>50</v>
      </c>
      <c r="F276" t="inlineStr"/>
      <c r="G276" t="inlineStr">
        <is>
          <t>81243 München - Pasing-Obermenzing</t>
        </is>
      </c>
      <c r="H276" s="5" t="n">
        <v>45536</v>
      </c>
      <c r="I276" t="inlineStr"/>
      <c r="J276" s="6">
        <f>HYPERLINK("https://www.kleinanzeigen.de/s-anzeige/neilpryde-mast-carbon-490-ck55-slalom-mast/2851885696-230-6476", "Link")</f>
        <v/>
      </c>
      <c r="K276" s="6">
        <f>HYPERLINK("C:\Projects\Kleinanzeigen-Scraper\offer_images\2851885696", "Link")</f>
        <v/>
      </c>
      <c r="L276" t="inlineStr">
        <is>
          <t>Erik</t>
        </is>
      </c>
      <c r="M276" s="6">
        <f>HYPERLINK("https://www.kleinanzeigen.de/s-bestandsliste.html?userId=64984391", "Link")</f>
        <v/>
      </c>
      <c r="N276" s="7" t="n">
        <v>45549.57942129629</v>
      </c>
      <c r="O276" s="3" t="inlineStr">
        <is>
          <t>10.14</t>
        </is>
      </c>
      <c r="P276" t="inlineStr">
        <is>
          <t>München</t>
        </is>
      </c>
    </row>
    <row r="277">
      <c r="A277" t="inlineStr">
        <is>
          <t>Severne Apex</t>
        </is>
      </c>
      <c r="B277" s="3" t="n">
        <v>530</v>
      </c>
      <c r="C277" s="8" t="inlineStr"/>
      <c r="D277" t="inlineStr"/>
      <c r="E277" s="4" t="n">
        <v>190</v>
      </c>
      <c r="F277" t="inlineStr"/>
      <c r="G277" t="inlineStr">
        <is>
          <t>24106 Schleswig-Holstein - Kiel</t>
        </is>
      </c>
      <c r="H277" s="5" t="n">
        <v>45538</v>
      </c>
      <c r="I277" t="inlineStr">
        <is>
          <t>Sold</t>
        </is>
      </c>
      <c r="J277" s="6">
        <f>HYPERLINK("https://www.kleinanzeigen.de/s-anzeige/severne-apex-530-carbon-mast-iq-foil/2853254489-230-707", "Link")</f>
        <v/>
      </c>
      <c r="K277" s="6">
        <f>HYPERLINK("C:\Projects\Kleinanzeigen-Scraper\offer_images\2853254489", "Link")</f>
        <v/>
      </c>
      <c r="L277" t="inlineStr">
        <is>
          <t>Jonne</t>
        </is>
      </c>
      <c r="M277" s="6">
        <f>HYPERLINK("https://www.kleinanzeigen.de/s-bestandsliste.html?userId=139390681", "Link")</f>
        <v/>
      </c>
      <c r="N277" s="7" t="n">
        <v>45549.57940972222</v>
      </c>
      <c r="O277" s="3" t="inlineStr">
        <is>
          <t>436.03</t>
        </is>
      </c>
      <c r="P277" t="inlineStr">
        <is>
          <t>Köln</t>
        </is>
      </c>
    </row>
    <row r="278">
      <c r="A278" t="inlineStr">
        <is>
          <t>Neilpryde</t>
        </is>
      </c>
      <c r="B278" s="3" t="inlineStr"/>
      <c r="C278" s="8" t="inlineStr"/>
      <c r="D278" t="inlineStr">
        <is>
          <t>SDM</t>
        </is>
      </c>
      <c r="E278" s="4" t="n">
        <v>85</v>
      </c>
      <c r="F278" t="inlineStr"/>
      <c r="G278" t="inlineStr">
        <is>
          <t>87700 Bayern - Memmingen</t>
        </is>
      </c>
      <c r="H278" s="5" t="n">
        <v>45511</v>
      </c>
      <c r="I278" t="inlineStr"/>
      <c r="J278" s="6">
        <f>HYPERLINK("https://www.kleinanzeigen.de/s-anzeige/neilpryde-mastverlaengerung-sdm-alu/2830980712-230-7315", "Link")</f>
        <v/>
      </c>
      <c r="K278" s="6">
        <f>HYPERLINK("C:\Projects\Kleinanzeigen-Scraper\offer_images\2830980712", "Link")</f>
        <v/>
      </c>
      <c r="L278" t="inlineStr">
        <is>
          <t>Allgäu Energy</t>
        </is>
      </c>
      <c r="M278" s="6">
        <f>HYPERLINK("https://www.kleinanzeigen.de/s-bestandsliste.html?userId=137861640", "Link")</f>
        <v/>
      </c>
      <c r="N278" s="7" t="n">
        <v>45549.57927083333</v>
      </c>
      <c r="O278" s="3" t="inlineStr">
        <is>
          <t>105.28</t>
        </is>
      </c>
      <c r="P278" t="inlineStr">
        <is>
          <t>München</t>
        </is>
      </c>
    </row>
    <row r="279">
      <c r="A279" t="inlineStr">
        <is>
          <t>Gun Sails - Cross</t>
        </is>
      </c>
      <c r="B279" s="3" t="n">
        <v>400</v>
      </c>
      <c r="C279" s="8" t="inlineStr">
        <is>
          <t>50%</t>
        </is>
      </c>
      <c r="D279" t="inlineStr">
        <is>
          <t>RDM</t>
        </is>
      </c>
      <c r="E279" s="4" t="n">
        <v>150</v>
      </c>
      <c r="F279" t="inlineStr"/>
      <c r="G279" t="inlineStr">
        <is>
          <t>71139 Baden-Württemberg - Ehningen</t>
        </is>
      </c>
      <c r="H279" s="5" t="n">
        <v>45543</v>
      </c>
      <c r="I279" t="inlineStr">
        <is>
          <t>Sold</t>
        </is>
      </c>
      <c r="J279" s="6">
        <f>HYPERLINK("https://www.kleinanzeigen.de/s-anzeige/gun-sails-mast-cross-rdm-400-imcs-19-50-carbon-wie-neu/2857943520-230-8788", "Link")</f>
        <v/>
      </c>
      <c r="K279" s="6">
        <f>HYPERLINK("C:\Projects\Kleinanzeigen-Scraper\offer_images\2857943520", "Link")</f>
        <v/>
      </c>
      <c r="L279" t="inlineStr">
        <is>
          <t>Norbert N</t>
        </is>
      </c>
      <c r="M279" s="6">
        <f>HYPERLINK("https://www.kleinanzeigen.de/s-bestandsliste.html?userId=7987926", "Link")</f>
        <v/>
      </c>
      <c r="N279" s="7" t="n">
        <v>45549.57921296296</v>
      </c>
      <c r="O279" s="3" t="inlineStr">
        <is>
          <t>3.02</t>
        </is>
      </c>
      <c r="P279" t="inlineStr">
        <is>
          <t>Böblingen</t>
        </is>
      </c>
    </row>
    <row r="280">
      <c r="A280" t="inlineStr">
        <is>
          <t>Duotone Power.XT 2.0</t>
        </is>
      </c>
      <c r="B280" s="3" t="inlineStr"/>
      <c r="C280" s="8" t="inlineStr"/>
      <c r="D280" t="inlineStr">
        <is>
          <t>RDM or SDM</t>
        </is>
      </c>
      <c r="E280" s="4" t="n">
        <v>199</v>
      </c>
      <c r="F280" t="inlineStr">
        <is>
          <t>VB</t>
        </is>
      </c>
      <c r="G280" t="inlineStr">
        <is>
          <t>82319 Bayern - Starnberg</t>
        </is>
      </c>
      <c r="H280" s="5" t="n">
        <v>45539</v>
      </c>
      <c r="I280" t="inlineStr">
        <is>
          <t>Sold</t>
        </is>
      </c>
      <c r="J280" s="6">
        <f>HYPERLINK("https://www.kleinanzeigen.de/s-anzeige/dtw-duotone-power-xt-2-0-rdm-o-sdm-verlaengerung/1154828498-230-5525", "Link")</f>
        <v/>
      </c>
      <c r="K280" s="6">
        <f>HYPERLINK("C:\Projects\Kleinanzeigen-Scraper\offer_images\1154828498", "Link")</f>
        <v/>
      </c>
      <c r="L280" t="inlineStr">
        <is>
          <t>No user name</t>
        </is>
      </c>
      <c r="M280" s="6">
        <f>HYPERLINK("https://www.kleinanzeigen.deNo user link", "Link")</f>
        <v/>
      </c>
      <c r="N280" s="7" t="n">
        <v>45549.57916666667</v>
      </c>
      <c r="O280" s="3" t="inlineStr">
        <is>
          <t>23.17</t>
        </is>
      </c>
      <c r="P280" t="inlineStr">
        <is>
          <t>München</t>
        </is>
      </c>
    </row>
    <row r="281">
      <c r="A281" t="inlineStr">
        <is>
          <t>Gun Sails Energy</t>
        </is>
      </c>
      <c r="B281" s="3" t="n">
        <v>460</v>
      </c>
      <c r="C281" s="8" t="inlineStr">
        <is>
          <t>C35</t>
        </is>
      </c>
      <c r="D281" t="inlineStr">
        <is>
          <t>SDM</t>
        </is>
      </c>
      <c r="E281" s="4" t="n">
        <v>55</v>
      </c>
      <c r="F281" t="inlineStr">
        <is>
          <t>VB</t>
        </is>
      </c>
      <c r="G281" t="inlineStr">
        <is>
          <t>23896 Schleswig-Holstein - Walksfelde</t>
        </is>
      </c>
      <c r="H281" s="5" t="n">
        <v>45435</v>
      </c>
      <c r="I281" t="inlineStr"/>
      <c r="J281" s="6">
        <f>HYPERLINK("https://www.kleinanzeigen.de/s-anzeige/gun-sails-energy-sdm-mast-460cm-c35-wenig-benutzt/2768771233-230-19219", "Link")</f>
        <v/>
      </c>
      <c r="K281" s="6">
        <f>HYPERLINK("C:\Projects\Kleinanzeigen-Scraper\offer_images\2768771233", "Link")</f>
        <v/>
      </c>
      <c r="L281" t="inlineStr">
        <is>
          <t>Stephan</t>
        </is>
      </c>
      <c r="M281" s="6">
        <f>HYPERLINK("https://www.kleinanzeigen.de/s-bestandsliste.html?userId=7239691", "Link")</f>
        <v/>
      </c>
      <c r="N281" s="7" t="n">
        <v>45549.57909722222</v>
      </c>
      <c r="O281" s="3" t="inlineStr">
        <is>
          <t>390.02</t>
        </is>
      </c>
      <c r="P281" t="inlineStr">
        <is>
          <t>Köln</t>
        </is>
      </c>
    </row>
    <row r="282">
      <c r="A282" t="inlineStr">
        <is>
          <t>Lancer 10</t>
        </is>
      </c>
      <c r="B282" s="3" t="n">
        <v>465</v>
      </c>
      <c r="C282" s="8" t="inlineStr"/>
      <c r="D282" t="inlineStr"/>
      <c r="E282" s="4" t="n">
        <v>65</v>
      </c>
      <c r="F282" t="inlineStr"/>
      <c r="G282" t="inlineStr">
        <is>
          <t>09111 Sachsen - Chemnitz</t>
        </is>
      </c>
      <c r="H282" s="5" t="n">
        <v>45547</v>
      </c>
      <c r="I282" t="inlineStr">
        <is>
          <t>Sold</t>
        </is>
      </c>
      <c r="J282" s="6">
        <f>HYPERLINK("https://www.kleinanzeigen.de/s-anzeige/lancer-10-gruen-windsurf-mast-465cm/2861641378-230-3886", "Link")</f>
        <v/>
      </c>
      <c r="K282" s="6">
        <f>HYPERLINK("C:\Projects\Kleinanzeigen-Scraper\offer_images\2861641378", "Link")</f>
        <v/>
      </c>
      <c r="L282" t="inlineStr">
        <is>
          <t>olaf</t>
        </is>
      </c>
      <c r="M282" s="6">
        <f>HYPERLINK("https://www.kleinanzeigen.de/s-bestandsliste.html?userId=8857923", "Link")</f>
        <v/>
      </c>
      <c r="N282" s="7" t="n">
        <v>45549.57908564815</v>
      </c>
      <c r="O282" s="3" t="inlineStr">
        <is>
          <t>315.71</t>
        </is>
      </c>
      <c r="P282" t="inlineStr">
        <is>
          <t>München</t>
        </is>
      </c>
    </row>
    <row r="283">
      <c r="A283" t="inlineStr">
        <is>
          <t>Neilpryde XC</t>
        </is>
      </c>
      <c r="B283" s="3" t="inlineStr">
        <is>
          <t>175-215</t>
        </is>
      </c>
      <c r="C283" s="8" t="inlineStr"/>
      <c r="D283" t="inlineStr"/>
      <c r="E283" s="4" t="n">
        <v>550</v>
      </c>
      <c r="F283" t="inlineStr">
        <is>
          <t>VB</t>
        </is>
      </c>
      <c r="G283" t="inlineStr">
        <is>
          <t>24105 Schleswig-Holstein - Kiel</t>
        </is>
      </c>
      <c r="H283" s="5" t="n">
        <v>45523</v>
      </c>
      <c r="I283" t="inlineStr">
        <is>
          <t>Sold</t>
        </is>
      </c>
      <c r="J283" s="6">
        <f>HYPERLINK("https://www.kleinanzeigen.de/s-anzeige/neilpryde-xc-175-215-carbon-gabel-mit-innenliegendes-trimmsystem/2841384108-230-708", "Link")</f>
        <v/>
      </c>
      <c r="K283" s="6">
        <f>HYPERLINK("C:\Projects\Kleinanzeigen-Scraper\offer_images\2841384108", "Link")</f>
        <v/>
      </c>
      <c r="L283" t="inlineStr">
        <is>
          <t>Privat</t>
        </is>
      </c>
      <c r="M283" s="6">
        <f>HYPERLINK("https://www.kleinanzeigen.de/s-bestandsliste.html?userId=4366576", "Link")</f>
        <v/>
      </c>
      <c r="N283" s="7" t="n">
        <v>45549.5790625</v>
      </c>
      <c r="O283" s="3" t="inlineStr">
        <is>
          <t>435.05</t>
        </is>
      </c>
      <c r="P283" t="inlineStr">
        <is>
          <t>Köln</t>
        </is>
      </c>
    </row>
    <row r="284">
      <c r="A284" t="inlineStr">
        <is>
          <t>Severne Enigma</t>
        </is>
      </c>
      <c r="B284" s="3" t="n">
        <v>370</v>
      </c>
      <c r="C284" s="8" t="inlineStr">
        <is>
          <t>97%</t>
        </is>
      </c>
      <c r="D284" t="inlineStr">
        <is>
          <t>SDM</t>
        </is>
      </c>
      <c r="E284" s="4" t="n">
        <v>150</v>
      </c>
      <c r="F284" t="inlineStr"/>
      <c r="G284" t="inlineStr">
        <is>
          <t>82110 Bayern - Germering</t>
        </is>
      </c>
      <c r="H284" s="5" t="n">
        <v>45417</v>
      </c>
      <c r="I284" t="inlineStr"/>
      <c r="J284" s="6">
        <f>HYPERLINK("https://www.kleinanzeigen.de/s-anzeige/severne-masten-370-neu-enigma-red-line-windsurfen-sdm/2753953645-230-6326", "Link")</f>
        <v/>
      </c>
      <c r="K284" s="6">
        <f>HYPERLINK("C:\Projects\Kleinanzeigen-Scraper\offer_images\2753953645", "Link")</f>
        <v/>
      </c>
      <c r="L284" t="inlineStr">
        <is>
          <t>Christoph</t>
        </is>
      </c>
      <c r="M284" s="6">
        <f>HYPERLINK("https://www.kleinanzeigen.de/s-bestandsliste.html?userId=26609501", "Link")</f>
        <v/>
      </c>
      <c r="N284" s="7" t="n">
        <v>45549.57894675926</v>
      </c>
      <c r="O284" s="3" t="inlineStr">
        <is>
          <t>16.13</t>
        </is>
      </c>
      <c r="P284" t="inlineStr">
        <is>
          <t>München</t>
        </is>
      </c>
    </row>
    <row r="285">
      <c r="A285" t="inlineStr">
        <is>
          <t>Naish Carbon 100</t>
        </is>
      </c>
      <c r="B285" s="3" t="n">
        <v>105</v>
      </c>
      <c r="C285" s="8" t="inlineStr">
        <is>
          <t>100%</t>
        </is>
      </c>
      <c r="D285" t="inlineStr"/>
      <c r="E285" s="4" t="n">
        <v>500</v>
      </c>
      <c r="F285" t="inlineStr">
        <is>
          <t>VB</t>
        </is>
      </c>
      <c r="G285" t="inlineStr">
        <is>
          <t>40591 Düsseldorf - Eller</t>
        </is>
      </c>
      <c r="H285" s="5" t="n">
        <v>45531</v>
      </c>
      <c r="I285" t="inlineStr"/>
      <c r="J285" s="6">
        <f>HYPERLINK("https://www.kleinanzeigen.de/s-anzeige/neuer-naish-carbon-100-mast-2022-105cm/2848052399-230-16752", "Link")</f>
        <v/>
      </c>
      <c r="K285" s="6">
        <f>HYPERLINK("C:\Projects\Kleinanzeigen-Scraper\offer_images\2848052399", "Link")</f>
        <v/>
      </c>
      <c r="L285" t="inlineStr">
        <is>
          <t>Daniel</t>
        </is>
      </c>
      <c r="M285" s="6">
        <f>HYPERLINK("https://www.kleinanzeigen.de/s-bestandsliste.html?userId=137491692", "Link")</f>
        <v/>
      </c>
      <c r="N285" s="7" t="n">
        <v>45549.57894675926</v>
      </c>
      <c r="O285" s="3" t="inlineStr">
        <is>
          <t>29.32</t>
        </is>
      </c>
      <c r="P285" t="inlineStr">
        <is>
          <t>Köln</t>
        </is>
      </c>
    </row>
    <row r="286">
      <c r="A286" t="inlineStr">
        <is>
          <t>Duotone Gold RDM</t>
        </is>
      </c>
      <c r="B286" s="3" t="inlineStr">
        <is>
          <t>370-400</t>
        </is>
      </c>
      <c r="C286" s="8" t="inlineStr"/>
      <c r="D286" t="inlineStr">
        <is>
          <t>RDM</t>
        </is>
      </c>
      <c r="E286" s="4" t="n">
        <v>500</v>
      </c>
      <c r="F286" t="inlineStr"/>
      <c r="G286" t="inlineStr">
        <is>
          <t>04157 Leipzig - Gohlis-Nord</t>
        </is>
      </c>
      <c r="H286" s="5" t="n">
        <v>45539</v>
      </c>
      <c r="I286" t="inlineStr">
        <is>
          <t>Sold</t>
        </is>
      </c>
      <c r="J286" s="6">
        <f>HYPERLINK("https://www.kleinanzeigen.de/s-anzeige/neu-duotone-masten-gold-rdm-370-und-400/2854126084-230-4256", "Link")</f>
        <v/>
      </c>
      <c r="K286" s="6">
        <f>HYPERLINK("C:\Projects\Kleinanzeigen-Scraper\offer_images\2854126084", "Link")</f>
        <v/>
      </c>
      <c r="L286" t="inlineStr">
        <is>
          <t>Stefan</t>
        </is>
      </c>
      <c r="M286" s="6">
        <f>HYPERLINK("https://www.kleinanzeigen.de/s-bestandsliste.html?userId=5062741", "Link")</f>
        <v/>
      </c>
      <c r="N286" s="7" t="n">
        <v>45549.57869212963</v>
      </c>
      <c r="O286" s="3" t="inlineStr">
        <is>
          <t>364.64</t>
        </is>
      </c>
      <c r="P286" t="inlineStr">
        <is>
          <t>München</t>
        </is>
      </c>
    </row>
    <row r="287">
      <c r="A287" t="inlineStr">
        <is>
          <t>UNIFIBER Neilpryde</t>
        </is>
      </c>
      <c r="B287" s="3" t="n">
        <v>430</v>
      </c>
      <c r="C287" s="8" t="inlineStr">
        <is>
          <t>80%</t>
        </is>
      </c>
      <c r="D287" t="inlineStr">
        <is>
          <t>RDM</t>
        </is>
      </c>
      <c r="E287" s="4" t="n">
        <v>165</v>
      </c>
      <c r="F287" t="inlineStr"/>
      <c r="G287" t="inlineStr">
        <is>
          <t>22043 Wandsbek - Hamburg Marienthal</t>
        </is>
      </c>
      <c r="H287" s="5" t="n">
        <v>45540</v>
      </c>
      <c r="I287" t="inlineStr"/>
      <c r="J287" s="6">
        <f>HYPERLINK("https://www.kleinanzeigen.de/s-anzeige/unifiber-neilpryde-430-rdm-flex-top-80-carbon-mast/2855292763-230-23510", "Link")</f>
        <v/>
      </c>
      <c r="K287" s="6">
        <f>HYPERLINK("C:\Projects\Kleinanzeigen-Scraper\offer_images\2855292763", "Link")</f>
        <v/>
      </c>
      <c r="L287" t="inlineStr">
        <is>
          <t>Marcus</t>
        </is>
      </c>
      <c r="M287" s="6">
        <f>HYPERLINK("https://www.kleinanzeigen.de/s-bestandsliste.html?userId=19486548", "Link")</f>
        <v/>
      </c>
      <c r="N287" s="7" t="n">
        <v>45549.57868055555</v>
      </c>
      <c r="O287" s="3" t="inlineStr">
        <is>
          <t>362.40</t>
        </is>
      </c>
      <c r="P287" t="inlineStr">
        <is>
          <t>Köln</t>
        </is>
      </c>
    </row>
    <row r="288">
      <c r="A288" t="inlineStr">
        <is>
          <t>EZZY SAILS Hookipa</t>
        </is>
      </c>
      <c r="B288" s="3" t="n">
        <v>370</v>
      </c>
      <c r="C288" s="8" t="inlineStr">
        <is>
          <t>91%</t>
        </is>
      </c>
      <c r="D288" t="inlineStr">
        <is>
          <t>RDM</t>
        </is>
      </c>
      <c r="E288" s="4" t="n">
        <v>275</v>
      </c>
      <c r="F288" t="inlineStr">
        <is>
          <t>VB</t>
        </is>
      </c>
      <c r="G288" t="inlineStr">
        <is>
          <t>23775 Kreis Ostholstein - Großenbrode</t>
        </is>
      </c>
      <c r="H288" s="5" t="n">
        <v>45543</v>
      </c>
      <c r="I288" t="inlineStr">
        <is>
          <t>Sold</t>
        </is>
      </c>
      <c r="J288" s="6">
        <f>HYPERLINK("https://www.kleinanzeigen.de/s-anzeige/ezzy-sails-mast-rdm-hookipa-370-wave/2857436153-230-429", "Link")</f>
        <v/>
      </c>
      <c r="K288" s="6">
        <f>HYPERLINK("C:\Projects\Kleinanzeigen-Scraper\offer_images\2857436153", "Link")</f>
        <v/>
      </c>
      <c r="L288" t="inlineStr">
        <is>
          <t>Arne</t>
        </is>
      </c>
      <c r="M288" s="6">
        <f>HYPERLINK("https://www.kleinanzeigen.de/s-bestandsliste.html?userId=5804853", "Link")</f>
        <v/>
      </c>
      <c r="N288" s="7" t="n">
        <v>45549.57861111111</v>
      </c>
      <c r="O288" s="3" t="inlineStr">
        <is>
          <t>471.97</t>
        </is>
      </c>
      <c r="P288" t="inlineStr">
        <is>
          <t>Köln</t>
        </is>
      </c>
    </row>
    <row r="289">
      <c r="A289" t="inlineStr">
        <is>
          <t>Neilpryde X3</t>
        </is>
      </c>
      <c r="B289" s="3" t="n">
        <v>400</v>
      </c>
      <c r="C289" s="8" t="inlineStr"/>
      <c r="D289" t="inlineStr"/>
      <c r="E289" s="4" t="n">
        <v>55</v>
      </c>
      <c r="F289" t="inlineStr">
        <is>
          <t>VB</t>
        </is>
      </c>
      <c r="G289" t="inlineStr">
        <is>
          <t>87459 Bayern - Pfronten</t>
        </is>
      </c>
      <c r="H289" s="5" t="n">
        <v>45489</v>
      </c>
      <c r="I289" t="inlineStr"/>
      <c r="J289" s="6">
        <f>HYPERLINK("https://www.kleinanzeigen.de/s-anzeige/windsurfmast-neilpryde-x3-400cm/2813903114-230-5528", "Link")</f>
        <v/>
      </c>
      <c r="K289" s="6">
        <f>HYPERLINK("C:\Projects\Kleinanzeigen-Scraper\offer_images\2813903114", "Link")</f>
        <v/>
      </c>
      <c r="L289" t="inlineStr">
        <is>
          <t>bierro</t>
        </is>
      </c>
      <c r="M289" s="6">
        <f>HYPERLINK("https://www.kleinanzeigen.de/s-bestandsliste.html?userId=139461601", "Link")</f>
        <v/>
      </c>
      <c r="N289" s="7" t="n">
        <v>45549.57855324074</v>
      </c>
      <c r="O289" s="3" t="inlineStr">
        <is>
          <t>99.84</t>
        </is>
      </c>
      <c r="P289" t="inlineStr">
        <is>
          <t>München</t>
        </is>
      </c>
    </row>
    <row r="290">
      <c r="A290" t="inlineStr">
        <is>
          <t>Naish S26</t>
        </is>
      </c>
      <c r="B290" s="3" t="n">
        <v>95</v>
      </c>
      <c r="C290" s="8" t="inlineStr">
        <is>
          <t>100%</t>
        </is>
      </c>
      <c r="D290" t="inlineStr"/>
      <c r="E290" s="4" t="n">
        <v>987</v>
      </c>
      <c r="F290" t="inlineStr"/>
      <c r="G290" t="inlineStr">
        <is>
          <t>82319 Bayern - Starnberg</t>
        </is>
      </c>
      <c r="H290" s="5" t="n">
        <v>45546</v>
      </c>
      <c r="I290" t="inlineStr"/>
      <c r="J290" s="6">
        <f>HYPERLINK("https://www.kleinanzeigen.de/s-anzeige/naish-s26-foil-mast-carbon-95-cm-standard-2021-neu/1808288522-230-5525", "Link")</f>
        <v/>
      </c>
      <c r="K290" s="6">
        <f>HYPERLINK("C:\Projects\Kleinanzeigen-Scraper\offer_images\1808288522", "Link")</f>
        <v/>
      </c>
      <c r="L290" t="inlineStr">
        <is>
          <t>No user name</t>
        </is>
      </c>
      <c r="M290" s="6">
        <f>HYPERLINK("https://www.kleinanzeigen.deNo user link", "Link")</f>
        <v/>
      </c>
      <c r="N290" s="7" t="n">
        <v>45549.57855324074</v>
      </c>
      <c r="O290" s="3" t="inlineStr">
        <is>
          <t>23.17</t>
        </is>
      </c>
      <c r="P290" t="inlineStr">
        <is>
          <t>München</t>
        </is>
      </c>
    </row>
    <row r="291">
      <c r="A291" t="inlineStr">
        <is>
          <t>UNIFIBER Neilpryde</t>
        </is>
      </c>
      <c r="B291" s="3" t="n">
        <v>430</v>
      </c>
      <c r="C291" s="8" t="inlineStr">
        <is>
          <t>80%</t>
        </is>
      </c>
      <c r="D291" t="inlineStr">
        <is>
          <t>RDM</t>
        </is>
      </c>
      <c r="E291" s="4" t="n">
        <v>165</v>
      </c>
      <c r="F291" t="inlineStr"/>
      <c r="G291" t="inlineStr">
        <is>
          <t>22043 Wandsbek - Hamburg Marienthal</t>
        </is>
      </c>
      <c r="H291" s="5" t="n">
        <v>45522</v>
      </c>
      <c r="I291" t="inlineStr"/>
      <c r="J291" s="6">
        <f>HYPERLINK("https://www.kleinanzeigen.de/s-anzeige/unifiber-neilpryde-430-rdm-flex-top-80-carbon-mast/2840394230-230-23510", "Link")</f>
        <v/>
      </c>
      <c r="K291" s="6">
        <f>HYPERLINK("C:\Projects\Kleinanzeigen-Scraper\offer_images\2840394230", "Link")</f>
        <v/>
      </c>
      <c r="L291" t="inlineStr">
        <is>
          <t>Marcus</t>
        </is>
      </c>
      <c r="M291" s="6">
        <f>HYPERLINK("https://www.kleinanzeigen.de/s-bestandsliste.html?userId=19486548", "Link")</f>
        <v/>
      </c>
      <c r="N291" s="7" t="n">
        <v>45549.57844907408</v>
      </c>
      <c r="O291" s="3" t="inlineStr">
        <is>
          <t>362.40</t>
        </is>
      </c>
      <c r="P291" t="inlineStr">
        <is>
          <t>Köln</t>
        </is>
      </c>
    </row>
    <row r="292">
      <c r="A292" t="inlineStr">
        <is>
          <t>Loftsails</t>
        </is>
      </c>
      <c r="B292" s="3" t="n">
        <v>490</v>
      </c>
      <c r="C292" s="8" t="inlineStr">
        <is>
          <t>65%</t>
        </is>
      </c>
      <c r="D292" t="inlineStr">
        <is>
          <t>RDM</t>
        </is>
      </c>
      <c r="E292" s="4" t="n">
        <v>110</v>
      </c>
      <c r="F292" t="inlineStr"/>
      <c r="G292" t="inlineStr">
        <is>
          <t>59909 Nordrhein-Westfalen - Bestwig</t>
        </is>
      </c>
      <c r="H292" s="5" t="n">
        <v>45515</v>
      </c>
      <c r="I292" t="inlineStr"/>
      <c r="J292" s="6">
        <f>HYPERLINK("https://www.kleinanzeigen.de/s-anzeige/rdm-mast-loftsails/2834832679-230-1356", "Link")</f>
        <v/>
      </c>
      <c r="K292" s="6">
        <f>HYPERLINK("C:\Projects\Kleinanzeigen-Scraper\offer_images\2834832679", "Link")</f>
        <v/>
      </c>
      <c r="L292" t="inlineStr">
        <is>
          <t>Frank</t>
        </is>
      </c>
      <c r="M292" s="6">
        <f>HYPERLINK("https://www.kleinanzeigen.de/s-bestandsliste.html?userId=3032024", "Link")</f>
        <v/>
      </c>
      <c r="N292" s="7" t="n">
        <v>45549.57840277778</v>
      </c>
      <c r="O292" s="3" t="inlineStr">
        <is>
          <t>110.03</t>
        </is>
      </c>
      <c r="P292" t="inlineStr">
        <is>
          <t>Köln</t>
        </is>
      </c>
    </row>
    <row r="293">
      <c r="A293" t="inlineStr">
        <is>
          <t>Goya Hundred</t>
        </is>
      </c>
      <c r="B293" s="3" t="n">
        <v>400</v>
      </c>
      <c r="C293" s="8" t="inlineStr">
        <is>
          <t>100%</t>
        </is>
      </c>
      <c r="D293" t="inlineStr">
        <is>
          <t>RDM</t>
        </is>
      </c>
      <c r="E293" s="4" t="n">
        <v>520</v>
      </c>
      <c r="F293" t="inlineStr">
        <is>
          <t>VB</t>
        </is>
      </c>
      <c r="G293" t="inlineStr">
        <is>
          <t>84095 Kr. Landshut - Furth</t>
        </is>
      </c>
      <c r="H293" s="5" t="n">
        <v>45532</v>
      </c>
      <c r="I293" t="inlineStr"/>
      <c r="J293" s="6">
        <f>HYPERLINK("https://www.kleinanzeigen.de/s-anzeige/goya-hundred-100-carbon-mast-400cm/2848796331-230-6398", "Link")</f>
        <v/>
      </c>
      <c r="K293" s="6">
        <f>HYPERLINK("C:\Projects\Kleinanzeigen-Scraper\offer_images\2848796331", "Link")</f>
        <v/>
      </c>
      <c r="L293" t="inlineStr">
        <is>
          <t>Niklas</t>
        </is>
      </c>
      <c r="M293" s="6">
        <f>HYPERLINK("https://www.kleinanzeigen.de/s-bestandsliste.html?userId=22205576", "Link")</f>
        <v/>
      </c>
      <c r="N293" s="7" t="n">
        <v>45549.5783912037</v>
      </c>
      <c r="O293" s="3" t="inlineStr">
        <is>
          <t>60.37</t>
        </is>
      </c>
      <c r="P293" t="inlineStr">
        <is>
          <t>München</t>
        </is>
      </c>
    </row>
    <row r="294">
      <c r="A294" t="inlineStr">
        <is>
          <t>Gun Sails Loop</t>
        </is>
      </c>
      <c r="B294" s="3" t="n">
        <v>370</v>
      </c>
      <c r="C294" s="8" t="inlineStr">
        <is>
          <t>75%</t>
        </is>
      </c>
      <c r="D294" t="inlineStr">
        <is>
          <t>SDM</t>
        </is>
      </c>
      <c r="E294" s="4" t="n">
        <v>70</v>
      </c>
      <c r="F294" t="inlineStr">
        <is>
          <t>VB</t>
        </is>
      </c>
      <c r="G294" t="inlineStr">
        <is>
          <t>80339 München - Schwanthalerhöhe</t>
        </is>
      </c>
      <c r="H294" s="5" t="n">
        <v>45487</v>
      </c>
      <c r="I294" t="inlineStr">
        <is>
          <t>Sold</t>
        </is>
      </c>
      <c r="J294" s="6">
        <f>HYPERLINK("https://www.kleinanzeigen.de/s-anzeige/windsurf-mast-gun-sails-loop-75-carbon-370-cm-sdm/2811667756-230-6444", "Link")</f>
        <v/>
      </c>
      <c r="K294" s="6">
        <f>HYPERLINK("C:\Projects\Kleinanzeigen-Scraper\offer_images\2811667756", "Link")</f>
        <v/>
      </c>
      <c r="L294" t="inlineStr">
        <is>
          <t>Timo Kusior</t>
        </is>
      </c>
      <c r="M294" s="6">
        <f>HYPERLINK("https://www.kleinanzeigen.de/s-bestandsliste.html?userId=26960606", "Link")</f>
        <v/>
      </c>
      <c r="N294" s="7" t="n">
        <v>45549.5783912037</v>
      </c>
      <c r="O294" s="3" t="inlineStr">
        <is>
          <t>2.57</t>
        </is>
      </c>
      <c r="P294" t="inlineStr">
        <is>
          <t>München</t>
        </is>
      </c>
    </row>
    <row r="295">
      <c r="A295" t="inlineStr">
        <is>
          <t>PROLIMIT</t>
        </is>
      </c>
      <c r="B295" s="3" t="n">
        <v>56</v>
      </c>
      <c r="C295" s="8" t="inlineStr">
        <is>
          <t>100%</t>
        </is>
      </c>
      <c r="D295" t="inlineStr">
        <is>
          <t>RDM</t>
        </is>
      </c>
      <c r="E295" s="4" t="n">
        <v>75</v>
      </c>
      <c r="F295" t="inlineStr"/>
      <c r="G295" t="inlineStr">
        <is>
          <t>22043 Wandsbek - Hamburg Marienthal</t>
        </is>
      </c>
      <c r="H295" s="5" t="n">
        <v>45535</v>
      </c>
      <c r="I295" t="inlineStr">
        <is>
          <t>Sold</t>
        </is>
      </c>
      <c r="J295" s="6">
        <f>HYPERLINK("https://www.kleinanzeigen.de/s-anzeige/prolimit-rdm-mastfuss-100-full-carbon-56cm-xxl-duotone-north/2851077781-230-23510", "Link")</f>
        <v/>
      </c>
      <c r="K295" s="6">
        <f>HYPERLINK("C:\Projects\Kleinanzeigen-Scraper\offer_images\2851077781", "Link")</f>
        <v/>
      </c>
      <c r="L295" t="inlineStr">
        <is>
          <t>Marcus</t>
        </is>
      </c>
      <c r="M295" s="6">
        <f>HYPERLINK("https://www.kleinanzeigen.de/s-bestandsliste.html?userId=19486548", "Link")</f>
        <v/>
      </c>
      <c r="N295" s="7" t="n">
        <v>45549.57835648148</v>
      </c>
      <c r="O295" s="3" t="inlineStr">
        <is>
          <t>362.40</t>
        </is>
      </c>
      <c r="P295" t="inlineStr">
        <is>
          <t>Köln</t>
        </is>
      </c>
    </row>
    <row r="296">
      <c r="A296" t="inlineStr">
        <is>
          <t>Starboard IQ Foilmast</t>
        </is>
      </c>
      <c r="B296" s="3" t="n">
        <v>95</v>
      </c>
      <c r="C296" s="8" t="inlineStr"/>
      <c r="D296" t="inlineStr"/>
      <c r="E296" s="4" t="n">
        <v>300</v>
      </c>
      <c r="F296" t="inlineStr"/>
      <c r="G296" t="inlineStr">
        <is>
          <t>78337 Baden-Württemberg - Öhningen</t>
        </is>
      </c>
      <c r="H296" s="5" t="n">
        <v>45543</v>
      </c>
      <c r="I296" t="inlineStr"/>
      <c r="J296" s="6">
        <f>HYPERLINK("https://www.kleinanzeigen.de/s-anzeige/starboard-iq-foilmast-95cm/2857437924-230-8189", "Link")</f>
        <v/>
      </c>
      <c r="K296" s="6">
        <f>HYPERLINK("C:\Projects\Kleinanzeigen-Scraper\offer_images\2857437924", "Link")</f>
        <v/>
      </c>
      <c r="L296" t="inlineStr">
        <is>
          <t>Matti Winkler</t>
        </is>
      </c>
      <c r="M296" s="6">
        <f>HYPERLINK("https://www.kleinanzeigen.de/s-bestandsliste.html?userId=132624773", "Link")</f>
        <v/>
      </c>
      <c r="N296" s="7" t="n">
        <v>45549.57834490741</v>
      </c>
      <c r="O296" s="3" t="inlineStr">
        <is>
          <t>44.23</t>
        </is>
      </c>
      <c r="P296" t="inlineStr">
        <is>
          <t>Bonndorf</t>
        </is>
      </c>
    </row>
    <row r="297">
      <c r="A297" t="inlineStr">
        <is>
          <t>Sailloft</t>
        </is>
      </c>
      <c r="B297" s="3" t="n">
        <v>460</v>
      </c>
      <c r="C297" s="8" t="inlineStr">
        <is>
          <t>100%</t>
        </is>
      </c>
      <c r="D297" t="inlineStr">
        <is>
          <t>RDM</t>
        </is>
      </c>
      <c r="E297" s="4" t="n">
        <v>240</v>
      </c>
      <c r="F297" t="inlineStr"/>
      <c r="G297" t="inlineStr">
        <is>
          <t>19067 Parchim - Landkreis - Dobin am See</t>
        </is>
      </c>
      <c r="H297" s="5" t="n">
        <v>45537</v>
      </c>
      <c r="I297" t="inlineStr">
        <is>
          <t>Sold</t>
        </is>
      </c>
      <c r="J297" s="6">
        <f>HYPERLINK("https://www.kleinanzeigen.de/s-anzeige/rdm-carbon-mast-460cm-sailloft-1a-zustand/2852327051-230-16542", "Link")</f>
        <v/>
      </c>
      <c r="K297" s="6">
        <f>HYPERLINK("C:\Projects\Kleinanzeigen-Scraper\offer_images\2852327051", "Link")</f>
        <v/>
      </c>
      <c r="L297" t="inlineStr">
        <is>
          <t>Ralf</t>
        </is>
      </c>
      <c r="M297" s="6">
        <f>HYPERLINK("https://www.kleinanzeigen.de/s-bestandsliste.html?userId=24676102", "Link")</f>
        <v/>
      </c>
      <c r="N297" s="7" t="n">
        <v>45549.57826388889</v>
      </c>
      <c r="O297" s="3" t="inlineStr">
        <is>
          <t>436.46</t>
        </is>
      </c>
      <c r="P297" t="inlineStr">
        <is>
          <t>Köln</t>
        </is>
      </c>
    </row>
    <row r="298">
      <c r="A298" t="inlineStr">
        <is>
          <t>Neilpryde Wave</t>
        </is>
      </c>
      <c r="B298" s="3" t="n">
        <v>400</v>
      </c>
      <c r="C298" s="8" t="inlineStr"/>
      <c r="D298" t="inlineStr">
        <is>
          <t>SDM</t>
        </is>
      </c>
      <c r="E298" s="4" t="n">
        <v>25</v>
      </c>
      <c r="F298" t="inlineStr">
        <is>
          <t>VB</t>
        </is>
      </c>
      <c r="G298" t="inlineStr">
        <is>
          <t>24109 Kiel - Melsdorf</t>
        </is>
      </c>
      <c r="H298" s="5" t="n">
        <v>45535</v>
      </c>
      <c r="I298" t="inlineStr"/>
      <c r="J298" s="6">
        <f>HYPERLINK("https://www.kleinanzeigen.de/s-anzeige/mast-windsurfmast-sdm-neilpryde-wave-400cm/2850640759-230-17468", "Link")</f>
        <v/>
      </c>
      <c r="K298" s="6">
        <f>HYPERLINK("C:\Projects\Kleinanzeigen-Scraper\offer_images\2850640759", "Link")</f>
        <v/>
      </c>
      <c r="L298" t="inlineStr">
        <is>
          <t>Simon Falk</t>
        </is>
      </c>
      <c r="M298" s="6">
        <f>HYPERLINK("https://www.kleinanzeigen.de/s-bestandsliste.html?userId=3573752", "Link")</f>
        <v/>
      </c>
      <c r="N298" s="7" t="n">
        <v>45549.57822916667</v>
      </c>
      <c r="O298" s="3" t="inlineStr">
        <is>
          <t>429.71</t>
        </is>
      </c>
      <c r="P298" t="inlineStr">
        <is>
          <t>Köln</t>
        </is>
      </c>
    </row>
    <row r="299">
      <c r="A299" t="inlineStr">
        <is>
          <t>Neilpryde Matrix X65</t>
        </is>
      </c>
      <c r="B299" s="3" t="n">
        <v>430</v>
      </c>
      <c r="C299" s="8" t="inlineStr">
        <is>
          <t>65%</t>
        </is>
      </c>
      <c r="D299" t="inlineStr"/>
      <c r="E299" s="4" t="n">
        <v>50</v>
      </c>
      <c r="F299" t="inlineStr"/>
      <c r="G299" t="inlineStr">
        <is>
          <t>83410 Bayern - Laufen</t>
        </is>
      </c>
      <c r="H299" s="5" t="n">
        <v>45473</v>
      </c>
      <c r="I299" t="inlineStr"/>
      <c r="J299" s="6">
        <f>HYPERLINK("https://www.kleinanzeigen.de/s-anzeige/neilpryde-mast-unterteil-base-430/2801000233-230-6272", "Link")</f>
        <v/>
      </c>
      <c r="K299" s="6">
        <f>HYPERLINK("C:\Projects\Kleinanzeigen-Scraper\offer_images\2801000233", "Link")</f>
        <v/>
      </c>
      <c r="L299" t="inlineStr">
        <is>
          <t>Thomas</t>
        </is>
      </c>
      <c r="M299" s="6">
        <f>HYPERLINK("https://www.kleinanzeigen.de/s-bestandsliste.html?userId=42398991", "Link")</f>
        <v/>
      </c>
      <c r="N299" s="7" t="n">
        <v>45549.57821759259</v>
      </c>
      <c r="O299" s="3" t="inlineStr">
        <is>
          <t>99.90</t>
        </is>
      </c>
      <c r="P299" t="inlineStr">
        <is>
          <t>München</t>
        </is>
      </c>
    </row>
    <row r="300">
      <c r="A300" t="inlineStr">
        <is>
          <t>Neilpryde X6</t>
        </is>
      </c>
      <c r="B300" s="3" t="n">
        <v>400</v>
      </c>
      <c r="C300" s="8" t="inlineStr"/>
      <c r="D300" t="inlineStr"/>
      <c r="E300" s="4" t="n">
        <v>40</v>
      </c>
      <c r="F300" t="inlineStr">
        <is>
          <t>VB</t>
        </is>
      </c>
      <c r="G300" t="inlineStr">
        <is>
          <t>87616 Bayern - Marktoberdorf</t>
        </is>
      </c>
      <c r="H300" s="5" t="n">
        <v>45532</v>
      </c>
      <c r="I300" t="inlineStr"/>
      <c r="J300" s="6">
        <f>HYPERLINK("https://www.kleinanzeigen.de/s-anzeige/neilpryde-x6-mast-400-cm/2848854365-230-6561", "Link")</f>
        <v/>
      </c>
      <c r="K300" s="6">
        <f>HYPERLINK("C:\Projects\Kleinanzeigen-Scraper\offer_images\2848854365", "Link")</f>
        <v/>
      </c>
      <c r="L300" t="inlineStr">
        <is>
          <t>Felix Körner</t>
        </is>
      </c>
      <c r="M300" s="6">
        <f>HYPERLINK("https://www.kleinanzeigen.de/s-bestandsliste.html?userId=59126806", "Link")</f>
        <v/>
      </c>
      <c r="N300" s="7" t="n">
        <v>45549.5780787037</v>
      </c>
      <c r="O300" s="3" t="inlineStr">
        <is>
          <t>83.30</t>
        </is>
      </c>
      <c r="P300" t="inlineStr">
        <is>
          <t>München</t>
        </is>
      </c>
    </row>
    <row r="301">
      <c r="A301" t="inlineStr">
        <is>
          <t>Neilpryde X6</t>
        </is>
      </c>
      <c r="B301" s="3" t="n">
        <v>490</v>
      </c>
      <c r="C301" s="8" t="inlineStr">
        <is>
          <t>90%</t>
        </is>
      </c>
      <c r="D301" t="inlineStr"/>
      <c r="E301" s="4" t="n">
        <v>110</v>
      </c>
      <c r="F301" t="inlineStr"/>
      <c r="G301" t="inlineStr">
        <is>
          <t>28832 Niedersachsen - Achim</t>
        </is>
      </c>
      <c r="H301" s="5" t="n">
        <v>45457</v>
      </c>
      <c r="I301" t="inlineStr"/>
      <c r="J301" s="6">
        <f>HYPERLINK("https://www.kleinanzeigen.de/s-anzeige/neilpryde-mast-x6-490cm-imcs-29-90-carbon-neilpryde/2787607027-230-2658", "Link")</f>
        <v/>
      </c>
      <c r="K301" s="6">
        <f>HYPERLINK("C:\Projects\Kleinanzeigen-Scraper\offer_images\2787607027", "Link")</f>
        <v/>
      </c>
      <c r="L301" t="inlineStr">
        <is>
          <t>T.E</t>
        </is>
      </c>
      <c r="M301" s="6">
        <f>HYPERLINK("https://www.kleinanzeigen.de/s-bestandsliste.html?userId=3663502", "Link")</f>
        <v/>
      </c>
      <c r="N301" s="7" t="n">
        <v>45549.57803240741</v>
      </c>
      <c r="O301" s="3" t="inlineStr">
        <is>
          <t>273.42</t>
        </is>
      </c>
      <c r="P301" t="inlineStr">
        <is>
          <t>Köln</t>
        </is>
      </c>
    </row>
    <row r="302">
      <c r="A302" t="inlineStr">
        <is>
          <t>North XC 60</t>
        </is>
      </c>
      <c r="B302" s="3" t="n">
        <v>510</v>
      </c>
      <c r="C302" s="8" t="inlineStr"/>
      <c r="D302" t="inlineStr"/>
      <c r="E302" s="4" t="n">
        <v>60</v>
      </c>
      <c r="F302" t="inlineStr">
        <is>
          <t>VB</t>
        </is>
      </c>
      <c r="G302" t="inlineStr">
        <is>
          <t>24114 Schleswig-Holstein - Kiel</t>
        </is>
      </c>
      <c r="H302" s="5" t="n">
        <v>45542</v>
      </c>
      <c r="I302" t="inlineStr">
        <is>
          <t>Sold</t>
        </is>
      </c>
      <c r="J302" s="6">
        <f>HYPERLINK("https://www.kleinanzeigen.de/s-anzeige/north-sails-xc-60-mast-510-cm/2856653509-230-697", "Link")</f>
        <v/>
      </c>
      <c r="K302" s="6">
        <f>HYPERLINK("C:\Projects\Kleinanzeigen-Scraper\offer_images\2856653509", "Link")</f>
        <v/>
      </c>
      <c r="L302" t="inlineStr">
        <is>
          <t>Laurens</t>
        </is>
      </c>
      <c r="M302" s="6">
        <f>HYPERLINK("https://www.kleinanzeigen.de/s-bestandsliste.html?userId=22175273", "Link")</f>
        <v/>
      </c>
      <c r="N302" s="7" t="n">
        <v>45549.57803240741</v>
      </c>
      <c r="O302" s="3" t="inlineStr">
        <is>
          <t>431.59</t>
        </is>
      </c>
      <c r="P302" t="inlineStr">
        <is>
          <t>Köln</t>
        </is>
      </c>
    </row>
    <row r="303">
      <c r="A303" t="inlineStr">
        <is>
          <t>Goya Seventy</t>
        </is>
      </c>
      <c r="B303" s="3" t="n">
        <v>460</v>
      </c>
      <c r="C303" s="8" t="inlineStr">
        <is>
          <t>70%</t>
        </is>
      </c>
      <c r="D303" t="inlineStr">
        <is>
          <t>SDM</t>
        </is>
      </c>
      <c r="E303" s="4" t="n">
        <v>150</v>
      </c>
      <c r="F303" t="inlineStr"/>
      <c r="G303" t="inlineStr">
        <is>
          <t>71093 Baden-Württemberg - Weil im Schönbuch</t>
        </is>
      </c>
      <c r="H303" s="5" t="n">
        <v>45544</v>
      </c>
      <c r="I303" t="inlineStr"/>
      <c r="J303" s="6">
        <f>HYPERLINK("https://www.kleinanzeigen.de/s-anzeige/goya-seventy-sdm-70-carbonmast/2858246597-230-8785", "Link")</f>
        <v/>
      </c>
      <c r="K303" s="6">
        <f>HYPERLINK("C:\Projects\Kleinanzeigen-Scraper\offer_images\2858246597", "Link")</f>
        <v/>
      </c>
      <c r="L303" t="inlineStr">
        <is>
          <t>Schorschi</t>
        </is>
      </c>
      <c r="M303" s="6">
        <f>HYPERLINK("https://www.kleinanzeigen.de/s-bestandsliste.html?userId=71398211", "Link")</f>
        <v/>
      </c>
      <c r="N303" s="7" t="n">
        <v>45549.57797453704</v>
      </c>
      <c r="O303" s="3" t="inlineStr">
        <is>
          <t>9.52</t>
        </is>
      </c>
      <c r="P303" t="inlineStr">
        <is>
          <t>Böblingen</t>
        </is>
      </c>
    </row>
    <row r="304">
      <c r="A304" t="inlineStr">
        <is>
          <t>Severne Red</t>
        </is>
      </c>
      <c r="B304" s="3" t="n">
        <v>400</v>
      </c>
      <c r="C304" s="8" t="inlineStr"/>
      <c r="D304" t="inlineStr">
        <is>
          <t>RDM</t>
        </is>
      </c>
      <c r="E304" s="4" t="n">
        <v>500</v>
      </c>
      <c r="F304" t="inlineStr"/>
      <c r="G304" t="inlineStr">
        <is>
          <t>65375 Hessen - Oestrich-Winkel</t>
        </is>
      </c>
      <c r="H304" s="5" t="n">
        <v>45480</v>
      </c>
      <c r="I304" t="inlineStr"/>
      <c r="J304" s="6">
        <f>HYPERLINK("https://www.kleinanzeigen.de/s-anzeige/severne-red-400cm-rdm-400-mast-top-zustand-/2806387575-230-5122", "Link")</f>
        <v/>
      </c>
      <c r="K304" s="6">
        <f>HYPERLINK("C:\Projects\Kleinanzeigen-Scraper\offer_images\2806387575", "Link")</f>
        <v/>
      </c>
      <c r="L304" t="inlineStr">
        <is>
          <t>andy</t>
        </is>
      </c>
      <c r="M304" s="6">
        <f>HYPERLINK("https://www.kleinanzeigen.de/s-bestandsliste.html?userId=8363574", "Link")</f>
        <v/>
      </c>
      <c r="N304" s="7" t="n">
        <v>45549.57788194445</v>
      </c>
      <c r="O304" s="3" t="inlineStr">
        <is>
          <t>118.47</t>
        </is>
      </c>
      <c r="P304" t="inlineStr">
        <is>
          <t>Karlsruhe</t>
        </is>
      </c>
    </row>
    <row r="305">
      <c r="A305" t="inlineStr">
        <is>
          <t>NeilPryde Matrix 2000</t>
        </is>
      </c>
      <c r="B305" s="3" t="n">
        <v>460</v>
      </c>
      <c r="C305" s="8" t="inlineStr"/>
      <c r="D305" t="inlineStr"/>
      <c r="E305" s="4" t="n">
        <v>30</v>
      </c>
      <c r="F305" t="inlineStr"/>
      <c r="G305" t="inlineStr">
        <is>
          <t>88214 Baden-Württemberg - Ravensburg</t>
        </is>
      </c>
      <c r="H305" s="5" t="n">
        <v>45505</v>
      </c>
      <c r="I305" t="inlineStr">
        <is>
          <t>Sold</t>
        </is>
      </c>
      <c r="J305" s="6">
        <f>HYPERLINK("https://www.kleinanzeigen.de/s-anzeige/winddurf-mast-460-neilpryde/2826748902-230-9223", "Link")</f>
        <v/>
      </c>
      <c r="K305" s="6">
        <f>HYPERLINK("C:\Projects\Kleinanzeigen-Scraper\offer_images\2826748902", "Link")</f>
        <v/>
      </c>
      <c r="L305" t="inlineStr">
        <is>
          <t>Privater Verkauf</t>
        </is>
      </c>
      <c r="M305" s="6">
        <f>HYPERLINK("https://www.kleinanzeigen.de/s-bestandsliste.html?userId=40467104", "Link")</f>
        <v/>
      </c>
      <c r="N305" s="7" t="n">
        <v>45549.5778587963</v>
      </c>
      <c r="O305" s="3" t="inlineStr">
        <is>
          <t>95.17</t>
        </is>
      </c>
      <c r="P305" t="inlineStr">
        <is>
          <t>Bonndorf</t>
        </is>
      </c>
    </row>
    <row r="306">
      <c r="A306" t="inlineStr">
        <is>
          <t>Gun Sails Mast 370 C30</t>
        </is>
      </c>
      <c r="B306" s="3" t="n">
        <v>370</v>
      </c>
      <c r="C306" s="8" t="inlineStr"/>
      <c r="D306" t="inlineStr"/>
      <c r="E306" s="4" t="n">
        <v>70</v>
      </c>
      <c r="F306" t="inlineStr">
        <is>
          <t>VB</t>
        </is>
      </c>
      <c r="G306" t="inlineStr">
        <is>
          <t>82467 Bayern - Garmisch-Partenkirchen</t>
        </is>
      </c>
      <c r="H306" s="5" t="n">
        <v>45513</v>
      </c>
      <c r="I306" t="inlineStr"/>
      <c r="J306" s="6">
        <f>HYPERLINK("https://www.kleinanzeigen.de/s-anzeige/gun-sails-mast-370-c30/2832831857-230-6338", "Link")</f>
        <v/>
      </c>
      <c r="K306" s="6">
        <f>HYPERLINK("C:\Projects\Kleinanzeigen-Scraper\offer_images\2832831857", "Link")</f>
        <v/>
      </c>
      <c r="L306" t="inlineStr">
        <is>
          <t>Dr. Luca Gottardi</t>
        </is>
      </c>
      <c r="M306" s="6">
        <f>HYPERLINK("https://www.kleinanzeigen.de/s-bestandsliste.html?userId=17471009", "Link")</f>
        <v/>
      </c>
      <c r="N306" s="7" t="n">
        <v>45549.5778587963</v>
      </c>
      <c r="O306" s="3" t="inlineStr">
        <is>
          <t>80.76</t>
        </is>
      </c>
      <c r="P306" t="inlineStr">
        <is>
          <t>München</t>
        </is>
      </c>
    </row>
    <row r="307">
      <c r="A307" t="inlineStr">
        <is>
          <t>Starboard</t>
        </is>
      </c>
      <c r="B307" s="3" t="n">
        <v>95</v>
      </c>
      <c r="C307" s="8" t="inlineStr"/>
      <c r="D307" t="inlineStr"/>
      <c r="E307" s="4" t="n">
        <v>1</v>
      </c>
      <c r="F307" t="inlineStr"/>
      <c r="G307" t="inlineStr">
        <is>
          <t>78337 Baden-Württemberg - Öhningen</t>
        </is>
      </c>
      <c r="H307" s="5" t="n">
        <v>45543</v>
      </c>
      <c r="I307" t="inlineStr"/>
      <c r="J307" s="6">
        <f>HYPERLINK("https://www.kleinanzeigen.de/s-anzeige/starboard-carbon-foilmast/2857458711-230-8189", "Link")</f>
        <v/>
      </c>
      <c r="K307" s="6">
        <f>HYPERLINK("C:\Projects\Kleinanzeigen-Scraper\offer_images\2857458711", "Link")</f>
        <v/>
      </c>
      <c r="L307" t="inlineStr">
        <is>
          <t>Matti Winkler</t>
        </is>
      </c>
      <c r="M307" s="6">
        <f>HYPERLINK("https://www.kleinanzeigen.de/s-bestandsliste.html?userId=132624773", "Link")</f>
        <v/>
      </c>
      <c r="N307" s="7" t="n">
        <v>45549.57783564815</v>
      </c>
      <c r="O307" s="3" t="inlineStr">
        <is>
          <t>44.23</t>
        </is>
      </c>
      <c r="P307" t="inlineStr">
        <is>
          <t>Bonndorf</t>
        </is>
      </c>
    </row>
    <row r="308">
      <c r="A308" t="inlineStr">
        <is>
          <t>Severne ApexPro</t>
        </is>
      </c>
      <c r="B308" s="3" t="n">
        <v>430</v>
      </c>
      <c r="C308" s="8" t="inlineStr"/>
      <c r="D308" t="inlineStr">
        <is>
          <t>SDM</t>
        </is>
      </c>
      <c r="E308" s="4" t="n">
        <v>510</v>
      </c>
      <c r="F308" t="inlineStr"/>
      <c r="G308" t="inlineStr">
        <is>
          <t>86343 Bayern - Königsbrunn</t>
        </is>
      </c>
      <c r="H308" s="5" t="n">
        <v>45535</v>
      </c>
      <c r="I308" t="inlineStr">
        <is>
          <t>Sold</t>
        </is>
      </c>
      <c r="J308" s="6">
        <f>HYPERLINK("https://www.kleinanzeigen.de/s-anzeige/severne-mast-apexpro-430-sdm/2850927539-230-7034", "Link")</f>
        <v/>
      </c>
      <c r="K308" s="6">
        <f>HYPERLINK("C:\Projects\Kleinanzeigen-Scraper\offer_images\2850927539", "Link")</f>
        <v/>
      </c>
      <c r="L308" t="inlineStr">
        <is>
          <t>Wolfgang Dennstädt</t>
        </is>
      </c>
      <c r="M308" s="6">
        <f>HYPERLINK("https://www.kleinanzeigen.de/s-bestandsliste.html?userId=20340449", "Link")</f>
        <v/>
      </c>
      <c r="N308" s="7" t="n">
        <v>45549.57773148148</v>
      </c>
      <c r="O308" s="3" t="inlineStr">
        <is>
          <t>52.97</t>
        </is>
      </c>
      <c r="P308" t="inlineStr">
        <is>
          <t>München</t>
        </is>
      </c>
    </row>
    <row r="309">
      <c r="A309" t="inlineStr">
        <is>
          <t>Point 7</t>
        </is>
      </c>
      <c r="B309" s="3" t="n">
        <v>490</v>
      </c>
      <c r="C309" s="8" t="inlineStr">
        <is>
          <t>100%</t>
        </is>
      </c>
      <c r="D309" t="inlineStr"/>
      <c r="E309" s="4" t="inlineStr"/>
      <c r="F309" t="inlineStr">
        <is>
          <t>VB</t>
        </is>
      </c>
      <c r="G309" t="inlineStr">
        <is>
          <t>80809 München - Milbertshofen - Am Hart</t>
        </is>
      </c>
      <c r="H309" s="5" t="n">
        <v>45487</v>
      </c>
      <c r="I309" t="inlineStr"/>
      <c r="J309" s="6">
        <f>HYPERLINK("https://www.kleinanzeigen.de/s-anzeige/carbonmast-100-490-point-7-defekt/2812357553-230-6471", "Link")</f>
        <v/>
      </c>
      <c r="K309" s="6">
        <f>HYPERLINK("C:\Projects\Kleinanzeigen-Scraper\offer_images\2812357553", "Link")</f>
        <v/>
      </c>
      <c r="L309" t="inlineStr">
        <is>
          <t>Wolfgang</t>
        </is>
      </c>
      <c r="M309" s="6">
        <f>HYPERLINK("https://www.kleinanzeigen.de/s-bestandsliste.html?userId=10675782", "Link")</f>
        <v/>
      </c>
      <c r="N309" s="7" t="n">
        <v>45549.57758101852</v>
      </c>
      <c r="O309" s="3" t="inlineStr">
        <is>
          <t>5.17</t>
        </is>
      </c>
      <c r="P309" t="inlineStr">
        <is>
          <t>München</t>
        </is>
      </c>
    </row>
    <row r="310">
      <c r="A310" t="inlineStr">
        <is>
          <t>Point-7 K97</t>
        </is>
      </c>
      <c r="B310" s="3" t="n">
        <v>400</v>
      </c>
      <c r="C310" s="8" t="n">
        <v>97</v>
      </c>
      <c r="D310" t="inlineStr">
        <is>
          <t>RDM</t>
        </is>
      </c>
      <c r="E310" s="4" t="n">
        <v>539</v>
      </c>
      <c r="F310" t="inlineStr"/>
      <c r="G310" t="inlineStr">
        <is>
          <t>82319 Bayern - Starnberg</t>
        </is>
      </c>
      <c r="H310" s="5" t="n">
        <v>45553</v>
      </c>
      <c r="I310" t="inlineStr"/>
      <c r="J310" s="6">
        <f>HYPERLINK("https://www.kleinanzeigen.de/s-anzeige/point-7-k97-rdm-400-cm-mast-windsurf-mast-2022/1891697374-230-5525", "Link")</f>
        <v/>
      </c>
      <c r="K310" s="6">
        <f>HYPERLINK("C:\Projects\Kleinanzeigen-Scraper\offer_images\1891697374", "Link")</f>
        <v/>
      </c>
      <c r="L310" t="inlineStr">
        <is>
          <t>No user name</t>
        </is>
      </c>
      <c r="M310" s="6">
        <f>HYPERLINK("https://www.kleinanzeigen.deNo user link", "Link")</f>
        <v/>
      </c>
      <c r="N310" s="7" t="n">
        <v>45549.57755787037</v>
      </c>
      <c r="O310" s="3" t="inlineStr">
        <is>
          <t>23.17</t>
        </is>
      </c>
      <c r="P310" t="inlineStr">
        <is>
          <t>München</t>
        </is>
      </c>
    </row>
    <row r="311">
      <c r="A311" t="inlineStr">
        <is>
          <t>Severne Mast red</t>
        </is>
      </c>
      <c r="B311" s="3" t="n">
        <v>430</v>
      </c>
      <c r="C311" s="8" t="inlineStr"/>
      <c r="D311" t="inlineStr">
        <is>
          <t>RDM</t>
        </is>
      </c>
      <c r="E311" s="4" t="n">
        <v>510</v>
      </c>
      <c r="F311" t="inlineStr"/>
      <c r="G311" t="inlineStr">
        <is>
          <t>86343 Bayern - Königsbrunn</t>
        </is>
      </c>
      <c r="H311" s="5" t="n">
        <v>45535</v>
      </c>
      <c r="I311" t="inlineStr">
        <is>
          <t>Sold</t>
        </is>
      </c>
      <c r="J311" s="6">
        <f>HYPERLINK("https://www.kleinanzeigen.de/s-anzeige/severne-mast-red-430-rdm/2850925629-230-7034", "Link")</f>
        <v/>
      </c>
      <c r="K311" s="6">
        <f>HYPERLINK("C:\Projects\Kleinanzeigen-Scraper\offer_images\2850925629", "Link")</f>
        <v/>
      </c>
      <c r="L311" t="inlineStr">
        <is>
          <t>Wolfgang Dennstädt</t>
        </is>
      </c>
      <c r="M311" s="6">
        <f>HYPERLINK("https://www.kleinanzeigen.de/s-bestandsliste.html?userId=20340449", "Link")</f>
        <v/>
      </c>
      <c r="N311" s="7" t="n">
        <v>45549.57753472222</v>
      </c>
      <c r="O311" s="3" t="inlineStr">
        <is>
          <t>52.97</t>
        </is>
      </c>
      <c r="P311" t="inlineStr">
        <is>
          <t>München</t>
        </is>
      </c>
    </row>
    <row r="312">
      <c r="A312" t="inlineStr">
        <is>
          <t>Naish Freeride 30</t>
        </is>
      </c>
      <c r="B312" s="3" t="n">
        <v>370</v>
      </c>
      <c r="C312" s="8" t="inlineStr"/>
      <c r="D312" t="inlineStr">
        <is>
          <t>SDM</t>
        </is>
      </c>
      <c r="E312" s="4" t="n">
        <v>89</v>
      </c>
      <c r="F312" t="inlineStr"/>
      <c r="G312" t="inlineStr">
        <is>
          <t>70794 Baden-Württemberg - Filderstadt</t>
        </is>
      </c>
      <c r="H312" s="5" t="n">
        <v>45536</v>
      </c>
      <c r="I312" t="inlineStr"/>
      <c r="J312" s="6">
        <f>HYPERLINK("https://www.kleinanzeigen.de/s-anzeige/mast-370-naish-sails-sdm-freeride-30/2851907059-230-8892", "Link")</f>
        <v/>
      </c>
      <c r="K312" s="6">
        <f>HYPERLINK("C:\Projects\Kleinanzeigen-Scraper\offer_images\2851907059", "Link")</f>
        <v/>
      </c>
      <c r="L312" t="inlineStr">
        <is>
          <t>Nicolas Pfeifle</t>
        </is>
      </c>
      <c r="M312" s="6">
        <f>HYPERLINK("https://www.kleinanzeigen.de/s-bestandsliste.html?userId=26051920", "Link")</f>
        <v/>
      </c>
      <c r="N312" s="7" t="n">
        <v>45549.57748842592</v>
      </c>
      <c r="O312" s="3" t="inlineStr">
        <is>
          <t>17.11</t>
        </is>
      </c>
      <c r="P312" t="inlineStr">
        <is>
          <t>Böblingen</t>
        </is>
      </c>
    </row>
    <row r="313">
      <c r="A313" t="inlineStr">
        <is>
          <t>Neilpryde X3</t>
        </is>
      </c>
      <c r="B313" s="3" t="n">
        <v>460</v>
      </c>
      <c r="C313" s="8" t="inlineStr"/>
      <c r="D313" t="inlineStr">
        <is>
          <t>SDM</t>
        </is>
      </c>
      <c r="E313" s="4" t="n">
        <v>60</v>
      </c>
      <c r="F313" t="inlineStr">
        <is>
          <t>VB</t>
        </is>
      </c>
      <c r="G313" t="inlineStr">
        <is>
          <t>70469 Stuttgart - Feuerbach</t>
        </is>
      </c>
      <c r="H313" s="5" t="n">
        <v>45494</v>
      </c>
      <c r="I313" t="inlineStr"/>
      <c r="J313" s="6">
        <f>HYPERLINK("https://www.kleinanzeigen.de/s-anzeige/mast-460-neilpryde-x3-sdm/2817334041-230-9305", "Link")</f>
        <v/>
      </c>
      <c r="K313" s="6">
        <f>HYPERLINK("C:\Projects\Kleinanzeigen-Scraper\offer_images\2817334041", "Link")</f>
        <v/>
      </c>
      <c r="L313" t="inlineStr">
        <is>
          <t>Dietrich K</t>
        </is>
      </c>
      <c r="M313" s="6">
        <f>HYPERLINK("https://www.kleinanzeigen.de/s-bestandsliste.html?userId=11826766", "Link")</f>
        <v/>
      </c>
      <c r="N313" s="7" t="n">
        <v>45549.57748842592</v>
      </c>
      <c r="O313" s="3" t="inlineStr">
        <is>
          <t>19.78</t>
        </is>
      </c>
      <c r="P313" t="inlineStr">
        <is>
          <t>Böblingen</t>
        </is>
      </c>
    </row>
    <row r="314">
      <c r="A314" t="inlineStr">
        <is>
          <t>RRD</t>
        </is>
      </c>
      <c r="B314" s="3" t="n">
        <v>46</v>
      </c>
      <c r="C314" s="8" t="inlineStr"/>
      <c r="D314" t="inlineStr"/>
      <c r="E314" s="4" t="n">
        <v>50</v>
      </c>
      <c r="F314" t="inlineStr"/>
      <c r="G314" t="inlineStr">
        <is>
          <t>78467 Baden-Württemberg - Konstanz</t>
        </is>
      </c>
      <c r="H314" s="5" t="n">
        <v>45530</v>
      </c>
      <c r="I314" t="inlineStr">
        <is>
          <t>Sold</t>
        </is>
      </c>
      <c r="J314" s="6">
        <f>HYPERLINK("https://www.kleinanzeigen.de/s-anzeige/carbon-mastverlaengerung-rrd-windsurfen-mast-verlaengerung-/2846809616-230-9389", "Link")</f>
        <v/>
      </c>
      <c r="K314" s="6">
        <f>HYPERLINK("C:\Projects\Kleinanzeigen-Scraper\offer_images\2846809616", "Link")</f>
        <v/>
      </c>
      <c r="L314" t="inlineStr">
        <is>
          <t>Fabio</t>
        </is>
      </c>
      <c r="M314" s="6">
        <f>HYPERLINK("https://www.kleinanzeigen.de/s-bestandsliste.html?userId=49077182", "Link")</f>
        <v/>
      </c>
      <c r="N314" s="7" t="n">
        <v>45549.57739583333</v>
      </c>
      <c r="O314" s="3" t="inlineStr">
        <is>
          <t>62.51</t>
        </is>
      </c>
      <c r="P314" t="inlineStr">
        <is>
          <t>Bonndorf</t>
        </is>
      </c>
    </row>
    <row r="315">
      <c r="A315" t="inlineStr">
        <is>
          <t>Severne APEX Pro</t>
        </is>
      </c>
      <c r="B315" s="3" t="n">
        <v>490</v>
      </c>
      <c r="C315" s="8" t="inlineStr"/>
      <c r="D315" t="inlineStr"/>
      <c r="E315" s="4" t="n">
        <v>350</v>
      </c>
      <c r="F315" t="inlineStr"/>
      <c r="G315" t="inlineStr">
        <is>
          <t>59457 Nordrhein-Westfalen - Werl</t>
        </is>
      </c>
      <c r="H315" s="5" t="n">
        <v>45518</v>
      </c>
      <c r="I315" t="inlineStr"/>
      <c r="J315" s="6">
        <f>HYPERLINK("https://www.kleinanzeigen.de/s-anzeige/top-severne-apex-pro-mast-490-foil-slalom-freerace/2836912986-230-1449", "Link")</f>
        <v/>
      </c>
      <c r="K315" s="6">
        <f>HYPERLINK("C:\Projects\Kleinanzeigen-Scraper\offer_images\2836912986", "Link")</f>
        <v/>
      </c>
      <c r="L315" t="inlineStr">
        <is>
          <t>Tobias</t>
        </is>
      </c>
      <c r="M315" s="6">
        <f>HYPERLINK("https://www.kleinanzeigen.de/s-bestandsliste.html?userId=18436771", "Link")</f>
        <v/>
      </c>
      <c r="N315" s="7" t="n">
        <v>45549.57737268518</v>
      </c>
      <c r="O315" s="3" t="inlineStr">
        <is>
          <t>95.02</t>
        </is>
      </c>
      <c r="P315" t="inlineStr">
        <is>
          <t>Köln</t>
        </is>
      </c>
    </row>
    <row r="316">
      <c r="A316" t="inlineStr">
        <is>
          <t>Naish</t>
        </is>
      </c>
      <c r="B316" s="3" t="n">
        <v>85</v>
      </c>
      <c r="C316" s="8" t="inlineStr"/>
      <c r="D316" t="inlineStr"/>
      <c r="E316" s="4" t="n">
        <v>350</v>
      </c>
      <c r="F316" t="inlineStr">
        <is>
          <t>VB</t>
        </is>
      </c>
      <c r="G316" t="inlineStr">
        <is>
          <t>24229 Schleswig-Holstein - Strande</t>
        </is>
      </c>
      <c r="H316" s="5" t="n">
        <v>45548</v>
      </c>
      <c r="I316" t="inlineStr">
        <is>
          <t>Sold</t>
        </is>
      </c>
      <c r="J316" s="6">
        <f>HYPERLINK("https://www.kleinanzeigen.de/s-anzeige/naish-wing-foil-mast-carbon-85cm/2861733160-230-671", "Link")</f>
        <v/>
      </c>
      <c r="K316" s="6">
        <f>HYPERLINK("C:\Projects\Kleinanzeigen-Scraper\offer_images\2861733160", "Link")</f>
        <v/>
      </c>
      <c r="L316" t="inlineStr">
        <is>
          <t>Christoph</t>
        </is>
      </c>
      <c r="M316" s="6">
        <f>HYPERLINK("https://www.kleinanzeigen.de/s-bestandsliste.html?userId=4419612", "Link")</f>
        <v/>
      </c>
      <c r="N316" s="7" t="n">
        <v>45549.57736111111</v>
      </c>
      <c r="O316" s="3" t="inlineStr">
        <is>
          <t>445.58</t>
        </is>
      </c>
      <c r="P316" t="inlineStr">
        <is>
          <t>Köln</t>
        </is>
      </c>
    </row>
    <row r="317">
      <c r="A317" t="inlineStr">
        <is>
          <t>Naish S26</t>
        </is>
      </c>
      <c r="B317" s="3" t="n">
        <v>95</v>
      </c>
      <c r="C317" s="8" t="inlineStr"/>
      <c r="D317" t="inlineStr"/>
      <c r="E317" s="4" t="n">
        <v>309</v>
      </c>
      <c r="F317" t="inlineStr">
        <is>
          <t>VB</t>
        </is>
      </c>
      <c r="G317" t="inlineStr">
        <is>
          <t>26125 Niedersachsen - Oldenburg</t>
        </is>
      </c>
      <c r="H317" s="5" t="n">
        <v>45545</v>
      </c>
      <c r="I317" t="inlineStr">
        <is>
          <t>Sold</t>
        </is>
      </c>
      <c r="J317" s="6">
        <f>HYPERLINK("https://www.kleinanzeigen.de/s-anzeige/naish-foil-zubehoer-s26-foil-mast-alu-deep-tuttle-2023-95-cm/2859562630-230-3111", "Link")</f>
        <v/>
      </c>
      <c r="K317" s="6">
        <f>HYPERLINK("C:\Projects\Kleinanzeigen-Scraper\offer_images\2859562630", "Link")</f>
        <v/>
      </c>
      <c r="L317" t="inlineStr">
        <is>
          <t>No user name</t>
        </is>
      </c>
      <c r="M317" s="6">
        <f>HYPERLINK("https://www.kleinanzeigen.deNo user link", "Link")</f>
        <v/>
      </c>
      <c r="N317" s="7" t="n">
        <v>45549.57733796296</v>
      </c>
      <c r="O317" s="3" t="inlineStr">
        <is>
          <t>264.10</t>
        </is>
      </c>
      <c r="P317" t="inlineStr">
        <is>
          <t>Köln</t>
        </is>
      </c>
    </row>
    <row r="318">
      <c r="A318" t="inlineStr">
        <is>
          <t>Point 7</t>
        </is>
      </c>
      <c r="B318" s="3" t="n">
        <v>490</v>
      </c>
      <c r="C318" s="8" t="inlineStr">
        <is>
          <t>100%</t>
        </is>
      </c>
      <c r="D318" t="inlineStr">
        <is>
          <t>SDM</t>
        </is>
      </c>
      <c r="E318" s="4" t="n">
        <v>30</v>
      </c>
      <c r="F318" t="inlineStr"/>
      <c r="G318" t="inlineStr">
        <is>
          <t>87645 Bayern - Schwangau</t>
        </is>
      </c>
      <c r="H318" s="5" t="n">
        <v>44773</v>
      </c>
      <c r="I318" t="inlineStr"/>
      <c r="J318" s="6">
        <f>HYPERLINK("https://www.kleinanzeigen.de/s-anzeige/point-7-mast-490-100-carbon-sdm-nur-top/2171425761-230-6566", "Link")</f>
        <v/>
      </c>
      <c r="K318" s="6">
        <f>HYPERLINK("C:\Projects\Kleinanzeigen-Scraper\offer_images\2171425761", "Link")</f>
        <v/>
      </c>
      <c r="L318" t="inlineStr">
        <is>
          <t>Florian</t>
        </is>
      </c>
      <c r="M318" s="6">
        <f>HYPERLINK("https://www.kleinanzeigen.de/s-bestandsliste.html?userId=4663722", "Link")</f>
        <v/>
      </c>
      <c r="N318" s="7" t="n">
        <v>45549.57731481481</v>
      </c>
      <c r="O318" s="3" t="inlineStr">
        <is>
          <t>87.93</t>
        </is>
      </c>
      <c r="P318" t="inlineStr">
        <is>
          <t>München</t>
        </is>
      </c>
    </row>
    <row r="319">
      <c r="A319" t="inlineStr">
        <is>
          <t>Sailloft Blue Line</t>
        </is>
      </c>
      <c r="B319" s="3" t="n">
        <v>400</v>
      </c>
      <c r="C319" s="8" t="inlineStr">
        <is>
          <t>80%</t>
        </is>
      </c>
      <c r="D319" t="inlineStr">
        <is>
          <t>RDM</t>
        </is>
      </c>
      <c r="E319" s="4" t="n">
        <v>300</v>
      </c>
      <c r="F319" t="inlineStr">
        <is>
          <t>VB</t>
        </is>
      </c>
      <c r="G319" t="inlineStr">
        <is>
          <t>24217 Schleswig-Holstein - Schönberg (Holstein)</t>
        </is>
      </c>
      <c r="H319" s="5" t="n">
        <v>45545</v>
      </c>
      <c r="I319" t="inlineStr"/>
      <c r="J319" s="6">
        <f>HYPERLINK("https://www.kleinanzeigen.de/s-anzeige/sailloft-400-rdm-80-/2859184846-230-18587", "Link")</f>
        <v/>
      </c>
      <c r="K319" s="6">
        <f>HYPERLINK("C:\Projects\Kleinanzeigen-Scraper\offer_images\2859184846", "Link")</f>
        <v/>
      </c>
      <c r="L319" t="inlineStr">
        <is>
          <t>S.Wahl</t>
        </is>
      </c>
      <c r="M319" s="6">
        <f>HYPERLINK("https://www.kleinanzeigen.de/s-bestandsliste.html?userId=11293188", "Link")</f>
        <v/>
      </c>
      <c r="N319" s="7" t="n">
        <v>45549.57729166667</v>
      </c>
      <c r="O319" s="3" t="inlineStr">
        <is>
          <t>447.79</t>
        </is>
      </c>
      <c r="P319" t="inlineStr">
        <is>
          <t>Köln</t>
        </is>
      </c>
    </row>
    <row r="320">
      <c r="A320" t="inlineStr">
        <is>
          <t>RRD Foilmast</t>
        </is>
      </c>
      <c r="B320" s="3" t="n">
        <v>85</v>
      </c>
      <c r="C320" s="8" t="inlineStr"/>
      <c r="D320" t="inlineStr"/>
      <c r="E320" s="4" t="n">
        <v>1</v>
      </c>
      <c r="F320" t="inlineStr"/>
      <c r="G320" t="inlineStr">
        <is>
          <t>82237 Bayern - Wörthsee</t>
        </is>
      </c>
      <c r="H320" s="5" t="n">
        <v>45527</v>
      </c>
      <c r="I320" t="inlineStr"/>
      <c r="J320" s="6">
        <f>HYPERLINK("https://www.kleinanzeigen.de/s-anzeige/rrd-foilmast-85cm/2844462543-230-6355", "Link")</f>
        <v/>
      </c>
      <c r="K320" s="6">
        <f>HYPERLINK("C:\Projects\Kleinanzeigen-Scraper\offer_images\2844462543", "Link")</f>
        <v/>
      </c>
      <c r="L320" t="inlineStr">
        <is>
          <t>Luca</t>
        </is>
      </c>
      <c r="M320" s="6">
        <f>HYPERLINK("https://www.kleinanzeigen.de/s-bestandsliste.html?userId=118322478", "Link")</f>
        <v/>
      </c>
      <c r="N320" s="7" t="n">
        <v>45549.57729166667</v>
      </c>
      <c r="O320" s="3" t="inlineStr">
        <is>
          <t>28.59</t>
        </is>
      </c>
      <c r="P320" t="inlineStr">
        <is>
          <t>München</t>
        </is>
      </c>
    </row>
    <row r="321">
      <c r="A321" t="inlineStr">
        <is>
          <t>Gun Sails Advantage</t>
        </is>
      </c>
      <c r="B321" s="3" t="n">
        <v>460</v>
      </c>
      <c r="C321" s="8" t="inlineStr">
        <is>
          <t>25-35%</t>
        </is>
      </c>
      <c r="D321" t="inlineStr"/>
      <c r="E321" s="4" t="n">
        <v>70</v>
      </c>
      <c r="F321" t="inlineStr">
        <is>
          <t>VB</t>
        </is>
      </c>
      <c r="G321" t="inlineStr">
        <is>
          <t>49196 Niedersachsen - Bad Laer</t>
        </is>
      </c>
      <c r="H321" s="5" t="n">
        <v>45500</v>
      </c>
      <c r="I321" t="inlineStr">
        <is>
          <t>Sold</t>
        </is>
      </c>
      <c r="J321" s="6">
        <f>HYPERLINK("https://www.kleinanzeigen.de/s-anzeige/gun-sails-advantage-460-windsurfmast/2822547342-230-1633", "Link")</f>
        <v/>
      </c>
      <c r="K321" s="6">
        <f>HYPERLINK("C:\Projects\Kleinanzeigen-Scraper\offer_images\2822547342", "Link")</f>
        <v/>
      </c>
      <c r="L321" t="inlineStr">
        <is>
          <t>Aaron G</t>
        </is>
      </c>
      <c r="M321" s="6">
        <f>HYPERLINK("https://www.kleinanzeigen.de/s-bestandsliste.html?userId=74299464", "Link")</f>
        <v/>
      </c>
      <c r="N321" s="7" t="n">
        <v>45549.57729166667</v>
      </c>
      <c r="O321" s="3" t="inlineStr">
        <is>
          <t>150.47</t>
        </is>
      </c>
      <c r="P321" t="inlineStr">
        <is>
          <t>Köln</t>
        </is>
      </c>
    </row>
    <row r="322">
      <c r="A322" t="inlineStr">
        <is>
          <t>Simmer Style SX4</t>
        </is>
      </c>
      <c r="B322" s="3" t="n">
        <v>400</v>
      </c>
      <c r="C322" s="8" t="inlineStr"/>
      <c r="D322" t="inlineStr">
        <is>
          <t>SDM</t>
        </is>
      </c>
      <c r="E322" s="4" t="n">
        <v>1</v>
      </c>
      <c r="F322" t="inlineStr"/>
      <c r="G322" t="inlineStr">
        <is>
          <t>22589 Altona - Hamburg Iserbrook</t>
        </is>
      </c>
      <c r="H322" s="5" t="n">
        <v>45521</v>
      </c>
      <c r="I322" t="inlineStr">
        <is>
          <t>Sold</t>
        </is>
      </c>
      <c r="J322" s="6">
        <f>HYPERLINK("https://www.kleinanzeigen.de/s-anzeige/surfmast-simmer-style-sx4-400cm-sdm-oberteil/2839245349-230-9510", "Link")</f>
        <v/>
      </c>
      <c r="K322" s="6">
        <f>HYPERLINK("C:\Projects\Kleinanzeigen-Scraper\offer_images\2839245349", "Link")</f>
        <v/>
      </c>
      <c r="L322" t="inlineStr">
        <is>
          <t>Shenja Mirko</t>
        </is>
      </c>
      <c r="M322" s="6">
        <f>HYPERLINK("https://www.kleinanzeigen.de/s-bestandsliste.html?userId=5168202", "Link")</f>
        <v/>
      </c>
      <c r="N322" s="7" t="n">
        <v>45549.57719907408</v>
      </c>
      <c r="O322" s="3" t="inlineStr">
        <is>
          <t>352.31</t>
        </is>
      </c>
      <c r="P322" t="inlineStr">
        <is>
          <t>Köln</t>
        </is>
      </c>
    </row>
    <row r="323">
      <c r="A323" t="inlineStr">
        <is>
          <t>Mistral</t>
        </is>
      </c>
      <c r="B323" s="3" t="n">
        <v>27.5</v>
      </c>
      <c r="C323" s="8" t="inlineStr"/>
      <c r="D323" t="inlineStr">
        <is>
          <t>SDM</t>
        </is>
      </c>
      <c r="E323" s="4" t="n">
        <v>15</v>
      </c>
      <c r="F323" t="inlineStr"/>
      <c r="G323" t="inlineStr">
        <is>
          <t>12169 Berlin - Steglitz</t>
        </is>
      </c>
      <c r="H323" s="5" t="n">
        <v>45546</v>
      </c>
      <c r="I323" t="inlineStr">
        <is>
          <t>Sold</t>
        </is>
      </c>
      <c r="J323" s="6">
        <f>HYPERLINK("https://www.kleinanzeigen.de/s-anzeige/mistral-mastverlaengerung-sdm-27-5-windsurfen/2860568777-230-3420", "Link")</f>
        <v/>
      </c>
      <c r="K323" s="6">
        <f>HYPERLINK("C:\Projects\Kleinanzeigen-Scraper\offer_images\2860568777", "Link")</f>
        <v/>
      </c>
      <c r="L323" t="inlineStr">
        <is>
          <t>Privat</t>
        </is>
      </c>
      <c r="M323" s="6">
        <f>HYPERLINK("https://www.kleinanzeigen.de/s-bestandsliste.html?userId=58928440", "Link")</f>
        <v/>
      </c>
      <c r="N323" s="7" t="n">
        <v>45549.57716435185</v>
      </c>
      <c r="O323" s="3" t="inlineStr">
        <is>
          <t>471.13</t>
        </is>
      </c>
      <c r="P323" t="inlineStr">
        <is>
          <t>Köln</t>
        </is>
      </c>
    </row>
    <row r="324">
      <c r="A324" t="inlineStr">
        <is>
          <t>North Sails Platinum Xtender</t>
        </is>
      </c>
      <c r="B324" s="3" t="n">
        <v>50</v>
      </c>
      <c r="C324" s="8" t="inlineStr">
        <is>
          <t>100%</t>
        </is>
      </c>
      <c r="D324" t="inlineStr"/>
      <c r="E324" s="4" t="n">
        <v>88</v>
      </c>
      <c r="F324" t="inlineStr">
        <is>
          <t>VB</t>
        </is>
      </c>
      <c r="G324" t="inlineStr">
        <is>
          <t>71384 Baden-Württemberg - Weinstadt</t>
        </is>
      </c>
      <c r="H324" s="5" t="n">
        <v>45548</v>
      </c>
      <c r="I324" t="inlineStr">
        <is>
          <t>Sold</t>
        </is>
      </c>
      <c r="J324" s="6">
        <f>HYPERLINK("https://www.kleinanzeigen.de/s-anzeige/north-sails-platinum-xtender-mastverlaengerung-carbon-100-/2861920028-230-8386", "Link")</f>
        <v/>
      </c>
      <c r="K324" s="6">
        <f>HYPERLINK("C:\Projects\Kleinanzeigen-Scraper\offer_images\2861920028", "Link")</f>
        <v/>
      </c>
      <c r="L324" t="inlineStr">
        <is>
          <t>Frank</t>
        </is>
      </c>
      <c r="M324" s="6">
        <f>HYPERLINK("https://www.kleinanzeigen.de/s-bestandsliste.html?userId=5342134", "Link")</f>
        <v/>
      </c>
      <c r="N324" s="7" t="n">
        <v>45549.57709490741</v>
      </c>
      <c r="O324" s="3" t="inlineStr">
        <is>
          <t>33.53</t>
        </is>
      </c>
      <c r="P324" t="inlineStr">
        <is>
          <t>Böblingen</t>
        </is>
      </c>
    </row>
    <row r="325">
      <c r="A325" t="inlineStr">
        <is>
          <t>Point 7 Blackcore</t>
        </is>
      </c>
      <c r="B325" s="3" t="n">
        <v>400</v>
      </c>
      <c r="C325" s="8" t="inlineStr">
        <is>
          <t>80%</t>
        </is>
      </c>
      <c r="D325" t="inlineStr">
        <is>
          <t>SDM</t>
        </is>
      </c>
      <c r="E325" s="4" t="n">
        <v>230</v>
      </c>
      <c r="F325" t="inlineStr"/>
      <c r="G325" t="inlineStr">
        <is>
          <t>91126 Bayern - Schwabach</t>
        </is>
      </c>
      <c r="H325" s="5" t="n">
        <v>45203</v>
      </c>
      <c r="I325" t="inlineStr"/>
      <c r="J325" s="6">
        <f>HYPERLINK("https://www.kleinanzeigen.de/s-anzeige/point-7-blackcore-80-sdm-400/2563245526-230-7251", "Link")</f>
        <v/>
      </c>
      <c r="K325" s="6">
        <f>HYPERLINK("C:\Projects\Kleinanzeigen-Scraper\offer_images\2563245526", "Link")</f>
        <v/>
      </c>
      <c r="L325" t="inlineStr">
        <is>
          <t>Hr. A.</t>
        </is>
      </c>
      <c r="M325" s="6">
        <f>HYPERLINK("https://www.kleinanzeigen.de/s-bestandsliste.html?userId=6283007", "Link")</f>
        <v/>
      </c>
      <c r="N325" s="7" t="n">
        <v>45549.57709490741</v>
      </c>
      <c r="O325" s="3" t="inlineStr">
        <is>
          <t>137.42</t>
        </is>
      </c>
      <c r="P325" t="inlineStr">
        <is>
          <t>München</t>
        </is>
      </c>
    </row>
    <row r="326">
      <c r="A326" t="inlineStr">
        <is>
          <t>Point 7</t>
        </is>
      </c>
      <c r="B326" s="3" t="n">
        <v>370</v>
      </c>
      <c r="C326" s="8" t="inlineStr">
        <is>
          <t>100%</t>
        </is>
      </c>
      <c r="D326" t="inlineStr">
        <is>
          <t>RDM</t>
        </is>
      </c>
      <c r="E326" s="4" t="n">
        <v>300</v>
      </c>
      <c r="F326" t="inlineStr">
        <is>
          <t>VB</t>
        </is>
      </c>
      <c r="G326" t="inlineStr">
        <is>
          <t>24229 Schleswig-Holstein - Schwedeneck</t>
        </is>
      </c>
      <c r="H326" s="5" t="n">
        <v>45100</v>
      </c>
      <c r="I326" t="inlineStr"/>
      <c r="J326" s="6">
        <f>HYPERLINK("https://www.kleinanzeigen.de/s-anzeige/point-7-mast-370-100-carbon-rdm/2476004793-230-17470", "Link")</f>
        <v/>
      </c>
      <c r="K326" s="6">
        <f>HYPERLINK("C:\Projects\Kleinanzeigen-Scraper\offer_images\2476004793", "Link")</f>
        <v/>
      </c>
      <c r="L326" t="inlineStr">
        <is>
          <t>Bernd</t>
        </is>
      </c>
      <c r="M326" s="6">
        <f>HYPERLINK("https://www.kleinanzeigen.de/s-bestandsliste.html?userId=7833787", "Link")</f>
        <v/>
      </c>
      <c r="N326" s="7" t="n">
        <v>45549.57707175926</v>
      </c>
      <c r="O326" s="3" t="inlineStr">
        <is>
          <t>445.58</t>
        </is>
      </c>
      <c r="P326" t="inlineStr">
        <is>
          <t>Köln</t>
        </is>
      </c>
    </row>
    <row r="327">
      <c r="A327" t="inlineStr">
        <is>
          <t>Gun Sails</t>
        </is>
      </c>
      <c r="B327" s="3" t="inlineStr"/>
      <c r="C327" s="8" t="inlineStr"/>
      <c r="D327" t="inlineStr"/>
      <c r="E327" s="4" t="inlineStr"/>
      <c r="F327" t="inlineStr">
        <is>
          <t>VB</t>
        </is>
      </c>
      <c r="G327" t="inlineStr">
        <is>
          <t>60435 Frankfurt am Main - Eckenheim</t>
        </is>
      </c>
      <c r="H327" s="5" t="n">
        <v>44407</v>
      </c>
      <c r="I327" t="inlineStr"/>
      <c r="J327" s="6">
        <f>HYPERLINK("https://www.kleinanzeigen.de/s-anzeige/windsurfing-mast-gun-sails-co/1833205143-230-16323", "Link")</f>
        <v/>
      </c>
      <c r="K327" s="6">
        <f>HYPERLINK("C:\Projects\Kleinanzeigen-Scraper\offer_images\1833205143", "Link")</f>
        <v/>
      </c>
      <c r="L327" t="inlineStr">
        <is>
          <t>kathy</t>
        </is>
      </c>
      <c r="M327" s="6">
        <f>HYPERLINK("https://www.kleinanzeigen.de/s-bestandsliste.html?userId=50657477", "Link")</f>
        <v/>
      </c>
      <c r="N327" s="7" t="n">
        <v>45549.57701388889</v>
      </c>
      <c r="O327" s="3" t="inlineStr">
        <is>
          <t>130.34</t>
        </is>
      </c>
      <c r="P327" t="inlineStr">
        <is>
          <t>Karlsruhe</t>
        </is>
      </c>
    </row>
    <row r="328">
      <c r="A328" t="inlineStr">
        <is>
          <t>Starboard</t>
        </is>
      </c>
      <c r="B328" s="3" t="n">
        <v>95</v>
      </c>
      <c r="C328" s="8" t="inlineStr">
        <is>
          <t>100%</t>
        </is>
      </c>
      <c r="D328" t="inlineStr"/>
      <c r="E328" s="4" t="n">
        <v>375</v>
      </c>
      <c r="F328" t="inlineStr">
        <is>
          <t>VB</t>
        </is>
      </c>
      <c r="G328" t="inlineStr">
        <is>
          <t>55291 Rheinland-Pfalz - Saulheim</t>
        </is>
      </c>
      <c r="H328" s="5" t="n">
        <v>45549</v>
      </c>
      <c r="I328" t="inlineStr">
        <is>
          <t>Sold</t>
        </is>
      </c>
      <c r="J328" s="6">
        <f>HYPERLINK("https://www.kleinanzeigen.de/s-anzeige/starboard-carbon-foilmast-95cm-deep-tuttle-guter-zustand-mast/2862861746-230-5332", "Link")</f>
        <v/>
      </c>
      <c r="K328" s="6">
        <f>HYPERLINK("C:\Projects\Kleinanzeigen-Scraper\offer_images\2862861746", "Link")</f>
        <v/>
      </c>
      <c r="L328" t="inlineStr">
        <is>
          <t>Michael</t>
        </is>
      </c>
      <c r="M328" s="6">
        <f>HYPERLINK("https://www.kleinanzeigen.de/s-bestandsliste.html?userId=120338761", "Link")</f>
        <v/>
      </c>
      <c r="N328" s="7" t="n">
        <v>45549.57699074074</v>
      </c>
      <c r="O328" s="3" t="inlineStr">
        <is>
          <t>97.88</t>
        </is>
      </c>
      <c r="P328" t="inlineStr">
        <is>
          <t>Karlsruhe</t>
        </is>
      </c>
    </row>
    <row r="329">
      <c r="A329" t="inlineStr">
        <is>
          <t>Neilpryde 460 X9</t>
        </is>
      </c>
      <c r="B329" s="3" t="n">
        <v>460</v>
      </c>
      <c r="C329" s="8" t="inlineStr">
        <is>
          <t>100%</t>
        </is>
      </c>
      <c r="D329" t="inlineStr">
        <is>
          <t>SDM</t>
        </is>
      </c>
      <c r="E329" s="4" t="n">
        <v>200</v>
      </c>
      <c r="F329" t="inlineStr"/>
      <c r="G329" t="inlineStr">
        <is>
          <t>70439 Stuttgart - Stammheim</t>
        </is>
      </c>
      <c r="H329" s="5" t="n">
        <v>45494</v>
      </c>
      <c r="I329" t="inlineStr"/>
      <c r="J329" s="6">
        <f>HYPERLINK("https://www.kleinanzeigen.de/s-anzeige/neilpryde-460-x9-sdm-mast-100-/2817192573-230-9308", "Link")</f>
        <v/>
      </c>
      <c r="K329" s="6">
        <f>HYPERLINK("C:\Projects\Kleinanzeigen-Scraper\offer_images\2817192573", "Link")</f>
        <v/>
      </c>
      <c r="L329" t="inlineStr">
        <is>
          <t>Peter Wiedemann</t>
        </is>
      </c>
      <c r="M329" s="6">
        <f>HYPERLINK("https://www.kleinanzeigen.de/s-bestandsliste.html?userId=14852355", "Link")</f>
        <v/>
      </c>
      <c r="N329" s="7" t="n">
        <v>45549.57696759259</v>
      </c>
      <c r="O329" s="3" t="inlineStr">
        <is>
          <t>23.06</t>
        </is>
      </c>
      <c r="P329" t="inlineStr">
        <is>
          <t>Böblingen</t>
        </is>
      </c>
    </row>
    <row r="330">
      <c r="A330" t="inlineStr">
        <is>
          <t>Neilpryde NP TPX 100</t>
        </is>
      </c>
      <c r="B330" s="3" t="n">
        <v>460</v>
      </c>
      <c r="C330" s="8" t="inlineStr">
        <is>
          <t>100%</t>
        </is>
      </c>
      <c r="D330" t="inlineStr">
        <is>
          <t>SDM</t>
        </is>
      </c>
      <c r="E330" s="4" t="n">
        <v>450</v>
      </c>
      <c r="F330" t="inlineStr">
        <is>
          <t>VB</t>
        </is>
      </c>
      <c r="G330" t="inlineStr">
        <is>
          <t>24105 Schleswig-Holstein - Kiel</t>
        </is>
      </c>
      <c r="H330" s="5" t="n">
        <v>45521</v>
      </c>
      <c r="I330" t="inlineStr"/>
      <c r="J330" s="6">
        <f>HYPERLINK("https://www.kleinanzeigen.de/s-anzeige/neilpryde-np-tpx-100-460-sdm-100-carbon-mast/2838772628-230-708", "Link")</f>
        <v/>
      </c>
      <c r="K330" s="6">
        <f>HYPERLINK("C:\Projects\Kleinanzeigen-Scraper\offer_images\2838772628", "Link")</f>
        <v/>
      </c>
      <c r="L330" t="inlineStr">
        <is>
          <t>Leo Richter</t>
        </is>
      </c>
      <c r="M330" s="6">
        <f>HYPERLINK("https://www.kleinanzeigen.de/s-bestandsliste.html?userId=56454387", "Link")</f>
        <v/>
      </c>
      <c r="N330" s="7" t="n">
        <v>45549.5769212963</v>
      </c>
      <c r="O330" s="3" t="inlineStr">
        <is>
          <t>435.05</t>
        </is>
      </c>
      <c r="P330" t="inlineStr">
        <is>
          <t>Köln</t>
        </is>
      </c>
    </row>
    <row r="331">
      <c r="A331" t="inlineStr">
        <is>
          <t>Severne HD Race</t>
        </is>
      </c>
      <c r="B331" s="3" t="n">
        <v>24</v>
      </c>
      <c r="C331" s="8" t="inlineStr"/>
      <c r="D331" t="inlineStr">
        <is>
          <t>SDM</t>
        </is>
      </c>
      <c r="E331" s="4" t="n">
        <v>55</v>
      </c>
      <c r="F331" t="inlineStr"/>
      <c r="G331" t="inlineStr">
        <is>
          <t>45661 Nordrhein-Westfalen - Recklinghausen</t>
        </is>
      </c>
      <c r="H331" s="5" t="n">
        <v>45518</v>
      </c>
      <c r="I331" t="inlineStr"/>
      <c r="J331" s="6">
        <f>HYPERLINK("https://www.kleinanzeigen.de/s-anzeige/severne-mastverlaengerung-hd-extension-sdm-laenge-24cm/2836439483-230-1986", "Link")</f>
        <v/>
      </c>
      <c r="K331" s="6">
        <f>HYPERLINK("C:\Projects\Kleinanzeigen-Scraper\offer_images\2836439483", "Link")</f>
        <v/>
      </c>
      <c r="L331" t="inlineStr">
        <is>
          <t>Thor</t>
        </is>
      </c>
      <c r="M331" s="6">
        <f>HYPERLINK("https://www.kleinanzeigen.de/s-bestandsliste.html?userId=2332887", "Link")</f>
        <v/>
      </c>
      <c r="N331" s="7" t="n">
        <v>45549.57679398148</v>
      </c>
      <c r="O331" s="3" t="inlineStr">
        <is>
          <t>72.57</t>
        </is>
      </c>
      <c r="P331" t="inlineStr">
        <is>
          <t>Köln</t>
        </is>
      </c>
    </row>
    <row r="332">
      <c r="A332" t="inlineStr">
        <is>
          <t>Neilpryde Matrix X3</t>
        </is>
      </c>
      <c r="B332" s="3" t="n">
        <v>460</v>
      </c>
      <c r="C332" s="8" t="inlineStr"/>
      <c r="D332" t="inlineStr"/>
      <c r="E332" s="4" t="inlineStr"/>
      <c r="F332" t="inlineStr">
        <is>
          <t>VB</t>
        </is>
      </c>
      <c r="G332" t="inlineStr">
        <is>
          <t>16225 Brandenburg - Eberswalde</t>
        </is>
      </c>
      <c r="H332" s="5" t="n">
        <v>45537</v>
      </c>
      <c r="I332" t="inlineStr"/>
      <c r="J332" s="6">
        <f>HYPERLINK("https://www.kleinanzeigen.de/s-anzeige/neilpryde-matrix-x3-460-imcs-25-mast-base-/2852559108-230-7721", "Link")</f>
        <v/>
      </c>
      <c r="K332" s="6">
        <f>HYPERLINK("C:\Projects\Kleinanzeigen-Scraper\offer_images\2852559108", "Link")</f>
        <v/>
      </c>
      <c r="L332" t="inlineStr">
        <is>
          <t>Daniel</t>
        </is>
      </c>
      <c r="M332" s="6">
        <f>HYPERLINK("https://www.kleinanzeigen.de/s-bestandsliste.html?userId=136179502", "Link")</f>
        <v/>
      </c>
      <c r="N332" s="7" t="n">
        <v>45549.57677083334</v>
      </c>
      <c r="O332" s="3" t="inlineStr">
        <is>
          <t>514.63</t>
        </is>
      </c>
      <c r="P332" t="inlineStr">
        <is>
          <t>Köln</t>
        </is>
      </c>
    </row>
    <row r="333">
      <c r="A333" t="inlineStr">
        <is>
          <t>Gun Sails Expert</t>
        </is>
      </c>
      <c r="B333" s="3" t="n">
        <v>460</v>
      </c>
      <c r="C333" s="8" t="n">
        <v>25</v>
      </c>
      <c r="D333" t="inlineStr">
        <is>
          <t>SDM</t>
        </is>
      </c>
      <c r="E333" s="4" t="n">
        <v>135</v>
      </c>
      <c r="F333" t="inlineStr">
        <is>
          <t>VB</t>
        </is>
      </c>
      <c r="G333" t="inlineStr">
        <is>
          <t>84416 Bayern - Taufkirchen Vils</t>
        </is>
      </c>
      <c r="H333" s="5" t="n">
        <v>45521</v>
      </c>
      <c r="I333" t="inlineStr"/>
      <c r="J333" s="6">
        <f>HYPERLINK("https://www.kleinanzeigen.de/s-anzeige/gun-sails-mast-expert-460-sdm/2839395727-230-13079", "Link")</f>
        <v/>
      </c>
      <c r="K333" s="6">
        <f>HYPERLINK("C:\Projects\Kleinanzeigen-Scraper\offer_images\2839395727", "Link")</f>
        <v/>
      </c>
      <c r="L333" t="inlineStr">
        <is>
          <t>Eisgruber Johann</t>
        </is>
      </c>
      <c r="M333" s="6">
        <f>HYPERLINK("https://www.kleinanzeigen.de/s-bestandsliste.html?userId=5539992", "Link")</f>
        <v/>
      </c>
      <c r="N333" s="7" t="n">
        <v>45549.57677083334</v>
      </c>
      <c r="O333" s="3" t="inlineStr">
        <is>
          <t>47.56</t>
        </is>
      </c>
      <c r="P333" t="inlineStr">
        <is>
          <t>München</t>
        </is>
      </c>
    </row>
    <row r="334">
      <c r="A334" t="inlineStr">
        <is>
          <t>Simmer SX4</t>
        </is>
      </c>
      <c r="B334" s="3" t="n">
        <v>340</v>
      </c>
      <c r="C334" s="8" t="inlineStr">
        <is>
          <t>40%</t>
        </is>
      </c>
      <c r="D334" t="inlineStr">
        <is>
          <t>RDM</t>
        </is>
      </c>
      <c r="E334" s="4" t="n">
        <v>75</v>
      </c>
      <c r="F334" t="inlineStr"/>
      <c r="G334" t="inlineStr">
        <is>
          <t>93128 Bayern - Regenstauf</t>
        </is>
      </c>
      <c r="H334" s="5" t="n">
        <v>45382</v>
      </c>
      <c r="I334" t="inlineStr"/>
      <c r="J334" s="6">
        <f>HYPERLINK("https://www.kleinanzeigen.de/s-anzeige/simmer-sx4-rdm-mast-340cm-15-imcs/2721947599-230-5781", "Link")</f>
        <v/>
      </c>
      <c r="K334" s="6">
        <f>HYPERLINK("C:\Projects\Kleinanzeigen-Scraper\offer_images\2721947599", "Link")</f>
        <v/>
      </c>
      <c r="L334" t="inlineStr">
        <is>
          <t>Stephan Wimmer</t>
        </is>
      </c>
      <c r="M334" s="6">
        <f>HYPERLINK("https://www.kleinanzeigen.de/s-bestandsliste.html?userId=30264076", "Link")</f>
        <v/>
      </c>
      <c r="N334" s="7" t="n">
        <v>45549.57674768518</v>
      </c>
      <c r="O334" s="3" t="inlineStr">
        <is>
          <t>120.91</t>
        </is>
      </c>
      <c r="P334" t="inlineStr">
        <is>
          <t>München</t>
        </is>
      </c>
    </row>
    <row r="335">
      <c r="A335" t="inlineStr">
        <is>
          <t>Simmer Style SC8</t>
        </is>
      </c>
      <c r="B335" s="3" t="n">
        <v>490</v>
      </c>
      <c r="C335" s="8" t="inlineStr">
        <is>
          <t>80%</t>
        </is>
      </c>
      <c r="D335" t="inlineStr">
        <is>
          <t>SDM</t>
        </is>
      </c>
      <c r="E335" s="4" t="n">
        <v>100</v>
      </c>
      <c r="F335" t="inlineStr">
        <is>
          <t>VB</t>
        </is>
      </c>
      <c r="G335" t="inlineStr">
        <is>
          <t>72622 Baden-Württemberg - Nürtingen</t>
        </is>
      </c>
      <c r="H335" s="5" t="n">
        <v>45538</v>
      </c>
      <c r="I335" t="inlineStr"/>
      <c r="J335" s="6">
        <f>HYPERLINK("https://www.kleinanzeigen.de/s-anzeige/windsurfmast-simmer-style-sc8-carbon-490cm-sdm/2853324158-230-8219", "Link")</f>
        <v/>
      </c>
      <c r="K335" s="6">
        <f>HYPERLINK("C:\Projects\Kleinanzeigen-Scraper\offer_images\2853324158", "Link")</f>
        <v/>
      </c>
      <c r="L335" t="inlineStr">
        <is>
          <t>Berger Jens</t>
        </is>
      </c>
      <c r="M335" s="6">
        <f>HYPERLINK("https://www.kleinanzeigen.de/s-bestandsliste.html?userId=15554123", "Link")</f>
        <v/>
      </c>
      <c r="N335" s="7" t="n">
        <v>45549.57672453704</v>
      </c>
      <c r="O335" s="3" t="inlineStr">
        <is>
          <t>26.22</t>
        </is>
      </c>
      <c r="P335" t="inlineStr">
        <is>
          <t>Böblingen</t>
        </is>
      </c>
    </row>
    <row r="336">
      <c r="A336" t="inlineStr">
        <is>
          <t>Neilpryde X3</t>
        </is>
      </c>
      <c r="B336" s="3" t="n">
        <v>430</v>
      </c>
      <c r="C336" s="8" t="inlineStr">
        <is>
          <t>30%</t>
        </is>
      </c>
      <c r="D336" t="inlineStr">
        <is>
          <t>SDM</t>
        </is>
      </c>
      <c r="E336" s="4" t="n">
        <v>25</v>
      </c>
      <c r="F336" t="inlineStr"/>
      <c r="G336" t="inlineStr">
        <is>
          <t>82223 Bayern - Eichenau</t>
        </is>
      </c>
      <c r="H336" s="5" t="n">
        <v>45537</v>
      </c>
      <c r="I336" t="inlineStr">
        <is>
          <t>Sold</t>
        </is>
      </c>
      <c r="J336" s="6">
        <f>HYPERLINK("https://www.kleinanzeigen.de/s-anzeige/neilpryde-neil-pryde-mast-x3-430cm-sdm/2852487215-230-16921", "Link")</f>
        <v/>
      </c>
      <c r="K336" s="6">
        <f>HYPERLINK("C:\Projects\Kleinanzeigen-Scraper\offer_images\2852487215", "Link")</f>
        <v/>
      </c>
      <c r="L336" t="inlineStr">
        <is>
          <t>Norbert</t>
        </is>
      </c>
      <c r="M336" s="6">
        <f>HYPERLINK("https://www.kleinanzeigen.de/s-bestandsliste.html?userId=15950319", "Link")</f>
        <v/>
      </c>
      <c r="N336" s="7" t="n">
        <v>45549.5766087963</v>
      </c>
      <c r="O336" s="3" t="inlineStr">
        <is>
          <t>19.02</t>
        </is>
      </c>
      <c r="P336" t="inlineStr">
        <is>
          <t>München</t>
        </is>
      </c>
    </row>
    <row r="337">
      <c r="A337" t="inlineStr">
        <is>
          <t>Naish Foil Mast</t>
        </is>
      </c>
      <c r="B337" s="3" t="n">
        <v>75</v>
      </c>
      <c r="C337" s="8" t="inlineStr"/>
      <c r="D337" t="inlineStr"/>
      <c r="E337" s="4" t="n">
        <v>589</v>
      </c>
      <c r="F337" t="inlineStr">
        <is>
          <t>VB</t>
        </is>
      </c>
      <c r="G337" t="inlineStr">
        <is>
          <t>82319 Bayern - Starnberg</t>
        </is>
      </c>
      <c r="H337" s="5" t="n">
        <v>45562</v>
      </c>
      <c r="I337" t="inlineStr"/>
      <c r="J337" s="6">
        <f>HYPERLINK("https://www.kleinanzeigen.de/s-anzeige/naish-foil-mast-aluminium-75-cm-2022/2076164664-230-5525", "Link")</f>
        <v/>
      </c>
      <c r="K337" s="6">
        <f>HYPERLINK("C:\Projects\Kleinanzeigen-Scraper\offer_images\2076164664", "Link")</f>
        <v/>
      </c>
      <c r="L337" t="inlineStr">
        <is>
          <t>No user name</t>
        </is>
      </c>
      <c r="M337" s="6">
        <f>HYPERLINK("https://www.kleinanzeigen.deNo user link", "Link")</f>
        <v/>
      </c>
      <c r="N337" s="7" t="n">
        <v>45549.57657407408</v>
      </c>
      <c r="O337" s="3" t="inlineStr">
        <is>
          <t>23.17</t>
        </is>
      </c>
      <c r="P337" t="inlineStr">
        <is>
          <t>München</t>
        </is>
      </c>
    </row>
    <row r="338">
      <c r="A338" t="inlineStr">
        <is>
          <t>Neilpryde</t>
        </is>
      </c>
      <c r="B338" s="3" t="n">
        <v>48</v>
      </c>
      <c r="C338" s="8" t="inlineStr"/>
      <c r="D338" t="inlineStr">
        <is>
          <t>SDM</t>
        </is>
      </c>
      <c r="E338" s="4" t="n">
        <v>129</v>
      </c>
      <c r="F338" t="inlineStr"/>
      <c r="G338" t="inlineStr">
        <is>
          <t>88090 Baden-Württemberg - Immenstaad</t>
        </is>
      </c>
      <c r="H338" s="5" t="n">
        <v>45455</v>
      </c>
      <c r="I338" t="inlineStr"/>
      <c r="J338" s="6">
        <f>HYPERLINK("https://www.kleinanzeigen.de/s-anzeige/neilpryde-neil-pryde-mastverlaengerung-alu-48-cm-sdm/2786412237-230-9216", "Link")</f>
        <v/>
      </c>
      <c r="K338" s="6">
        <f>HYPERLINK("C:\Projects\Kleinanzeigen-Scraper\offer_images\2786412237", "Link")</f>
        <v/>
      </c>
      <c r="L338" t="inlineStr">
        <is>
          <t>Stefan von der Nüll</t>
        </is>
      </c>
      <c r="M338" s="6">
        <f>HYPERLINK("https://www.kleinanzeigen.de/s-bestandsliste.html?userId=9767526", "Link")</f>
        <v/>
      </c>
      <c r="N338" s="7" t="n">
        <v>45549.57649305555</v>
      </c>
      <c r="O338" s="3" t="inlineStr">
        <is>
          <t>78.43</t>
        </is>
      </c>
      <c r="P338" t="inlineStr">
        <is>
          <t>Bonndorf</t>
        </is>
      </c>
    </row>
    <row r="339">
      <c r="A339" t="inlineStr">
        <is>
          <t>Ezzy Hookipa</t>
        </is>
      </c>
      <c r="B339" s="3" t="n">
        <v>430</v>
      </c>
      <c r="C339" s="8" t="inlineStr">
        <is>
          <t>91%</t>
        </is>
      </c>
      <c r="D339" t="inlineStr">
        <is>
          <t>RDM</t>
        </is>
      </c>
      <c r="E339" s="4" t="n">
        <v>249</v>
      </c>
      <c r="F339" t="inlineStr">
        <is>
          <t>VB</t>
        </is>
      </c>
      <c r="G339" t="inlineStr">
        <is>
          <t>04103 Leipzig - Leipzig, Zentrum</t>
        </is>
      </c>
      <c r="H339" s="5" t="n">
        <v>45485</v>
      </c>
      <c r="I339" t="inlineStr">
        <is>
          <t>Sold</t>
        </is>
      </c>
      <c r="J339" s="6">
        <f>HYPERLINK("https://www.kleinanzeigen.de/s-anzeige/windsurf-carbon-mast-ezzy-hookipa-rdm-430cm/2810518115-230-4259", "Link")</f>
        <v/>
      </c>
      <c r="K339" s="6">
        <f>HYPERLINK("C:\Projects\Kleinanzeigen-Scraper\offer_images\2810518115", "Link")</f>
        <v/>
      </c>
      <c r="L339" t="inlineStr">
        <is>
          <t>Stefano Holland-Cunz</t>
        </is>
      </c>
      <c r="M339" s="6">
        <f>HYPERLINK("https://www.kleinanzeigen.de/s-bestandsliste.html?userId=29949921", "Link")</f>
        <v/>
      </c>
      <c r="N339" s="7" t="n">
        <v>45549.57592592593</v>
      </c>
      <c r="O339" s="3" t="inlineStr">
        <is>
          <t>359.97</t>
        </is>
      </c>
      <c r="P339" t="inlineStr">
        <is>
          <t>München</t>
        </is>
      </c>
    </row>
    <row r="340">
      <c r="A340" t="inlineStr">
        <is>
          <t>Neilpryde SPX95</t>
        </is>
      </c>
      <c r="B340" s="3" t="n">
        <v>490</v>
      </c>
      <c r="C340" s="8" t="inlineStr">
        <is>
          <t>100%</t>
        </is>
      </c>
      <c r="D340" t="inlineStr">
        <is>
          <t>SDM</t>
        </is>
      </c>
      <c r="E340" s="4" t="n">
        <v>320</v>
      </c>
      <c r="F340" t="inlineStr">
        <is>
          <t>VB</t>
        </is>
      </c>
      <c r="G340" t="inlineStr">
        <is>
          <t>26639 Niedersachsen - Wiesmoor</t>
        </is>
      </c>
      <c r="H340" s="5" t="n">
        <v>45535</v>
      </c>
      <c r="I340" t="inlineStr">
        <is>
          <t>Sold</t>
        </is>
      </c>
      <c r="J340" s="6">
        <f>HYPERLINK("https://www.kleinanzeigen.de/s-anzeige/neilpryde-spx95-490cm-carbon-mast/2850488922-230-3039", "Link")</f>
        <v/>
      </c>
      <c r="K340" s="6">
        <f>HYPERLINK("C:\Projects\Kleinanzeigen-Scraper\offer_images\2850488922", "Link")</f>
        <v/>
      </c>
      <c r="L340" t="inlineStr">
        <is>
          <t>Till Böker</t>
        </is>
      </c>
      <c r="M340" s="6">
        <f>HYPERLINK("https://www.kleinanzeigen.de/s-bestandsliste.html?userId=67081080", "Link")</f>
        <v/>
      </c>
      <c r="N340" s="7" t="n">
        <v>45549.57590277777</v>
      </c>
      <c r="O340" s="3" t="inlineStr">
        <is>
          <t>279.93</t>
        </is>
      </c>
      <c r="P340" t="inlineStr">
        <is>
          <t>Köln</t>
        </is>
      </c>
    </row>
    <row r="341">
      <c r="A341" t="inlineStr">
        <is>
          <t>Point 7 Blackprime</t>
        </is>
      </c>
      <c r="B341" s="3" t="n">
        <v>370</v>
      </c>
      <c r="C341" s="8" t="inlineStr">
        <is>
          <t>100%</t>
        </is>
      </c>
      <c r="D341" t="inlineStr"/>
      <c r="E341" s="4" t="n">
        <v>245</v>
      </c>
      <c r="F341" t="inlineStr">
        <is>
          <t>VB</t>
        </is>
      </c>
      <c r="G341" t="inlineStr">
        <is>
          <t>71083 Baden-Württemberg - Herrenberg</t>
        </is>
      </c>
      <c r="H341" s="5" t="n">
        <v>45529</v>
      </c>
      <c r="I341" t="inlineStr"/>
      <c r="J341" s="6">
        <f>HYPERLINK("https://www.kleinanzeigen.de/s-anzeige/point-7-blackprime-370-mast-100-carbon/2846162171-230-8097", "Link")</f>
        <v/>
      </c>
      <c r="K341" s="6">
        <f>HYPERLINK("C:\Projects\Kleinanzeigen-Scraper\offer_images\2846162171", "Link")</f>
        <v/>
      </c>
      <c r="L341" t="inlineStr">
        <is>
          <t>Freitag Hans Peter</t>
        </is>
      </c>
      <c r="M341" s="6">
        <f>HYPERLINK("https://www.kleinanzeigen.de/s-bestandsliste.html?userId=29412546", "Link")</f>
        <v/>
      </c>
      <c r="N341" s="7" t="n">
        <v>45549.57584490741</v>
      </c>
      <c r="O341" s="3" t="inlineStr">
        <is>
          <t>12.18</t>
        </is>
      </c>
      <c r="P341" t="inlineStr">
        <is>
          <t>Böblingen</t>
        </is>
      </c>
    </row>
    <row r="342">
      <c r="A342" t="inlineStr">
        <is>
          <t>Neilpryde CK55</t>
        </is>
      </c>
      <c r="B342" s="3" t="n">
        <v>460</v>
      </c>
      <c r="C342" s="8" t="inlineStr"/>
      <c r="D342" t="inlineStr"/>
      <c r="E342" s="4" t="inlineStr">
        <is>
          <t>Zu verschenken</t>
        </is>
      </c>
      <c r="F342" t="inlineStr"/>
      <c r="G342" t="inlineStr">
        <is>
          <t>18320 Mecklenburg-Vorpommern - Ahrenshagen-Daskow</t>
        </is>
      </c>
      <c r="H342" s="5" t="n">
        <v>45510</v>
      </c>
      <c r="I342" t="inlineStr">
        <is>
          <t>Sold</t>
        </is>
      </c>
      <c r="J342" s="6">
        <f>HYPERLINK("https://www.kleinanzeigen.de/s-anzeige/surfmast-windsurfmast-neilpryde-ck55-4-60m/2830429885-230-24038", "Link")</f>
        <v/>
      </c>
      <c r="K342" s="6">
        <f>HYPERLINK("C:\Projects\Kleinanzeigen-Scraper\offer_images\2830429885", "Link")</f>
        <v/>
      </c>
      <c r="L342" t="inlineStr">
        <is>
          <t>Jochen Daske</t>
        </is>
      </c>
      <c r="M342" s="6">
        <f>HYPERLINK("https://www.kleinanzeigen.de/s-bestandsliste.html?userId=29575732", "Link")</f>
        <v/>
      </c>
      <c r="N342" s="7" t="n">
        <v>45549.57584490741</v>
      </c>
      <c r="O342" s="3" t="inlineStr">
        <is>
          <t>529.69</t>
        </is>
      </c>
      <c r="P342" t="inlineStr">
        <is>
          <t>Köln</t>
        </is>
      </c>
    </row>
    <row r="343">
      <c r="A343" t="inlineStr">
        <is>
          <t>Loftsails</t>
        </is>
      </c>
      <c r="B343" s="3" t="n">
        <v>400</v>
      </c>
      <c r="C343" s="8" t="inlineStr">
        <is>
          <t>100%</t>
        </is>
      </c>
      <c r="D343" t="inlineStr">
        <is>
          <t>SDM</t>
        </is>
      </c>
      <c r="E343" s="4" t="n">
        <v>70</v>
      </c>
      <c r="F343" t="inlineStr"/>
      <c r="G343" t="inlineStr">
        <is>
          <t>71093 Baden-Württemberg - Weil im Schönbuch</t>
        </is>
      </c>
      <c r="H343" s="5" t="n">
        <v>45513</v>
      </c>
      <c r="I343" t="inlineStr"/>
      <c r="J343" s="6">
        <f>HYPERLINK("https://www.kleinanzeigen.de/s-anzeige/loftsails-4m-sdm-mast-100-carbon/2832643456-230-8785", "Link")</f>
        <v/>
      </c>
      <c r="K343" s="6">
        <f>HYPERLINK("C:\Projects\Kleinanzeigen-Scraper\offer_images\2832643456", "Link")</f>
        <v/>
      </c>
      <c r="L343" t="inlineStr">
        <is>
          <t>Schorschi</t>
        </is>
      </c>
      <c r="M343" s="6">
        <f>HYPERLINK("https://www.kleinanzeigen.de/s-bestandsliste.html?userId=71398211", "Link")</f>
        <v/>
      </c>
      <c r="N343" s="7" t="n">
        <v>45549.57581018518</v>
      </c>
      <c r="O343" s="3" t="inlineStr">
        <is>
          <t>9.52</t>
        </is>
      </c>
      <c r="P343" t="inlineStr">
        <is>
          <t>Böblingen</t>
        </is>
      </c>
    </row>
    <row r="344">
      <c r="A344" t="inlineStr">
        <is>
          <t>EZZY Hookipa</t>
        </is>
      </c>
      <c r="B344" s="3" t="n">
        <v>460</v>
      </c>
      <c r="C344" s="8" t="inlineStr">
        <is>
          <t>90%</t>
        </is>
      </c>
      <c r="D344" t="inlineStr">
        <is>
          <t>RDM</t>
        </is>
      </c>
      <c r="E344" s="4" t="n">
        <v>569</v>
      </c>
      <c r="F344" t="inlineStr">
        <is>
          <t>VB</t>
        </is>
      </c>
      <c r="G344" t="inlineStr">
        <is>
          <t>22880 Kreis Pinneberg - Wedel</t>
        </is>
      </c>
      <c r="H344" s="5" t="n">
        <v>45544</v>
      </c>
      <c r="I344" t="inlineStr">
        <is>
          <t>Sold</t>
        </is>
      </c>
      <c r="J344" s="6">
        <f>HYPERLINK("https://www.kleinanzeigen.de/s-anzeige/ezzy-hookipa-rdm-mast-460-90-carbon-unbenutzt/2858610094-230-756", "Link")</f>
        <v/>
      </c>
      <c r="K344" s="6">
        <f>HYPERLINK("C:\Projects\Kleinanzeigen-Scraper\offer_images\2858610094", "Link")</f>
        <v/>
      </c>
      <c r="L344" t="inlineStr">
        <is>
          <t>Gert</t>
        </is>
      </c>
      <c r="M344" s="6">
        <f>HYPERLINK("https://www.kleinanzeigen.de/s-bestandsliste.html?userId=15687751", "Link")</f>
        <v/>
      </c>
      <c r="N344" s="7" t="n">
        <v>45549.57579861111</v>
      </c>
      <c r="O344" s="3" t="inlineStr">
        <is>
          <t>349.30</t>
        </is>
      </c>
      <c r="P344" t="inlineStr">
        <is>
          <t>Köln</t>
        </is>
      </c>
    </row>
    <row r="345">
      <c r="A345" t="inlineStr">
        <is>
          <t>Guns Sails Surf-Mast 460 Advantage</t>
        </is>
      </c>
      <c r="B345" s="3" t="n">
        <v>460</v>
      </c>
      <c r="C345" s="8" t="inlineStr"/>
      <c r="D345" t="inlineStr"/>
      <c r="E345" s="4" t="n">
        <v>95</v>
      </c>
      <c r="F345" t="inlineStr"/>
      <c r="G345" t="inlineStr">
        <is>
          <t>91459 Bayern - Markt Erlbach</t>
        </is>
      </c>
      <c r="H345" s="5" t="n">
        <v>45541</v>
      </c>
      <c r="I345" t="inlineStr"/>
      <c r="J345" s="6">
        <f>HYPERLINK("https://www.kleinanzeigen.de/s-anzeige/guns-sails-surf-mast-460-advantage-imcs-25/2856069384-230-6217", "Link")</f>
        <v/>
      </c>
      <c r="K345" s="6">
        <f>HYPERLINK("C:\Projects\Kleinanzeigen-Scraper\offer_images\2856069384", "Link")</f>
        <v/>
      </c>
      <c r="L345" t="inlineStr">
        <is>
          <t>Rudi</t>
        </is>
      </c>
      <c r="M345" s="6">
        <f>HYPERLINK("https://www.kleinanzeigen.de/s-bestandsliste.html?userId=16949531", "Link")</f>
        <v/>
      </c>
      <c r="N345" s="7" t="n">
        <v>45549.57576388889</v>
      </c>
      <c r="O345" s="3" t="inlineStr">
        <is>
          <t>151.87</t>
        </is>
      </c>
      <c r="P345" t="inlineStr">
        <is>
          <t>Böblingen</t>
        </is>
      </c>
    </row>
    <row r="346">
      <c r="A346" t="inlineStr">
        <is>
          <t>Severne RDM Red</t>
        </is>
      </c>
      <c r="B346" s="3" t="n">
        <v>400</v>
      </c>
      <c r="C346" s="8" t="inlineStr">
        <is>
          <t>100%</t>
        </is>
      </c>
      <c r="D346" t="inlineStr">
        <is>
          <t>RDM</t>
        </is>
      </c>
      <c r="E346" s="4" t="n">
        <v>520</v>
      </c>
      <c r="F346" t="inlineStr"/>
      <c r="G346" t="inlineStr">
        <is>
          <t>85598 Bayern - Baldham</t>
        </is>
      </c>
      <c r="H346" s="5" t="n">
        <v>45210</v>
      </c>
      <c r="I346" t="inlineStr"/>
      <c r="J346" s="6">
        <f>HYPERLINK("https://www.kleinanzeigen.de/s-anzeige/2023-severne-rdm-red-100-wave-400/2569159170-230-5580", "Link")</f>
        <v/>
      </c>
      <c r="K346" s="6">
        <f>HYPERLINK("C:\Projects\Kleinanzeigen-Scraper\offer_images\2569159170", "Link")</f>
        <v/>
      </c>
      <c r="L346" t="inlineStr">
        <is>
          <t>Florian</t>
        </is>
      </c>
      <c r="M346" s="6">
        <f>HYPERLINK("https://www.kleinanzeigen.de/s-bestandsliste.html?userId=50731680", "Link")</f>
        <v/>
      </c>
      <c r="N346" s="7" t="n">
        <v>45549.5756712963</v>
      </c>
      <c r="O346" s="3" t="inlineStr">
        <is>
          <t>16.41</t>
        </is>
      </c>
      <c r="P346" t="inlineStr">
        <is>
          <t>München</t>
        </is>
      </c>
    </row>
    <row r="347">
      <c r="A347" t="inlineStr">
        <is>
          <t>Severne Enigma</t>
        </is>
      </c>
      <c r="B347" s="3" t="n">
        <v>370</v>
      </c>
      <c r="C347" s="8" t="inlineStr">
        <is>
          <t>97%</t>
        </is>
      </c>
      <c r="D347" t="inlineStr">
        <is>
          <t>SDM</t>
        </is>
      </c>
      <c r="E347" s="4" t="n">
        <v>150</v>
      </c>
      <c r="F347" t="inlineStr"/>
      <c r="G347" t="inlineStr">
        <is>
          <t>82110 Bayern - Germering</t>
        </is>
      </c>
      <c r="H347" s="5" t="n">
        <v>45468</v>
      </c>
      <c r="I347" t="inlineStr"/>
      <c r="J347" s="6">
        <f>HYPERLINK("https://www.kleinanzeigen.de/s-anzeige/severne-masten-370-neu-enigma-red-line-windsurfen-sdm/2797265536-230-6326", "Link")</f>
        <v/>
      </c>
      <c r="K347" s="6">
        <f>HYPERLINK("C:\Projects\Kleinanzeigen-Scraper\offer_images\2797265536", "Link")</f>
        <v/>
      </c>
      <c r="L347" t="inlineStr">
        <is>
          <t>Christoph</t>
        </is>
      </c>
      <c r="M347" s="6">
        <f>HYPERLINK("https://www.kleinanzeigen.de/s-bestandsliste.html?userId=26609501", "Link")</f>
        <v/>
      </c>
      <c r="N347" s="7" t="n">
        <v>45549.57565972222</v>
      </c>
      <c r="O347" s="3" t="inlineStr">
        <is>
          <t>16.13</t>
        </is>
      </c>
      <c r="P347" t="inlineStr">
        <is>
          <t>München</t>
        </is>
      </c>
    </row>
    <row r="348">
      <c r="A348" t="inlineStr">
        <is>
          <t>Gun Sails</t>
        </is>
      </c>
      <c r="B348" s="3" t="n">
        <v>30</v>
      </c>
      <c r="C348" s="8" t="inlineStr"/>
      <c r="D348" t="inlineStr">
        <is>
          <t>SDM</t>
        </is>
      </c>
      <c r="E348" s="4" t="n">
        <v>22</v>
      </c>
      <c r="F348" t="inlineStr">
        <is>
          <t>VB</t>
        </is>
      </c>
      <c r="G348" t="inlineStr">
        <is>
          <t>18069 Bad Doberan - Landkreis - Lambrechtshagen</t>
        </is>
      </c>
      <c r="H348" s="5" t="n">
        <v>45492</v>
      </c>
      <c r="I348" t="inlineStr">
        <is>
          <t>Sold</t>
        </is>
      </c>
      <c r="J348" s="6">
        <f>HYPERLINK("https://www.kleinanzeigen.de/s-anzeige/gun-sails-mastverlaengerung-30cm-sdm/2816059660-230-16609", "Link")</f>
        <v/>
      </c>
      <c r="K348" s="6">
        <f>HYPERLINK("C:\Projects\Kleinanzeigen-Scraper\offer_images\2816059660", "Link")</f>
        <v/>
      </c>
      <c r="L348" t="inlineStr">
        <is>
          <t>Oliver</t>
        </is>
      </c>
      <c r="M348" s="6">
        <f>HYPERLINK("https://www.kleinanzeigen.de/s-bestandsliste.html?userId=44605693", "Link")</f>
        <v/>
      </c>
      <c r="N348" s="7" t="n">
        <v>45549.57556712963</v>
      </c>
      <c r="O348" s="3" t="inlineStr">
        <is>
          <t>493.58</t>
        </is>
      </c>
      <c r="P348" t="inlineStr">
        <is>
          <t>Köln</t>
        </is>
      </c>
    </row>
    <row r="349">
      <c r="A349" t="inlineStr">
        <is>
          <t>Neilpryde SPX 50</t>
        </is>
      </c>
      <c r="B349" s="3" t="n">
        <v>430</v>
      </c>
      <c r="C349" s="8" t="inlineStr">
        <is>
          <t>50%</t>
        </is>
      </c>
      <c r="D349" t="inlineStr">
        <is>
          <t>SDM</t>
        </is>
      </c>
      <c r="E349" s="4" t="n">
        <v>230</v>
      </c>
      <c r="F349" t="inlineStr">
        <is>
          <t>VB</t>
        </is>
      </c>
      <c r="G349" t="inlineStr">
        <is>
          <t>73272 Baden-Württemberg - Neidlingen</t>
        </is>
      </c>
      <c r="H349" s="5" t="n">
        <v>45446</v>
      </c>
      <c r="I349" t="inlineStr"/>
      <c r="J349" s="6">
        <f>HYPERLINK("https://www.kleinanzeigen.de/s-anzeige/neilpryde-spx-50-sdm-430-cm-neuwertig/2778742765-230-8457", "Link")</f>
        <v/>
      </c>
      <c r="K349" s="6">
        <f>HYPERLINK("C:\Projects\Kleinanzeigen-Scraper\offer_images\2778742765", "Link")</f>
        <v/>
      </c>
      <c r="L349" t="inlineStr">
        <is>
          <t>C.H.</t>
        </is>
      </c>
      <c r="M349" s="6">
        <f>HYPERLINK("https://www.kleinanzeigen.de/s-bestandsliste.html?userId=47071240", "Link")</f>
        <v/>
      </c>
      <c r="N349" s="7" t="n">
        <v>45549.57548611111</v>
      </c>
      <c r="O349" s="3" t="inlineStr">
        <is>
          <t>44.49</t>
        </is>
      </c>
      <c r="P349" t="inlineStr">
        <is>
          <t>Böblingen</t>
        </is>
      </c>
    </row>
    <row r="350">
      <c r="A350" t="inlineStr">
        <is>
          <t>Sailloft</t>
        </is>
      </c>
      <c r="B350" s="3" t="n">
        <v>460</v>
      </c>
      <c r="C350" s="8" t="inlineStr">
        <is>
          <t>100%</t>
        </is>
      </c>
      <c r="D350" t="inlineStr">
        <is>
          <t>RDM</t>
        </is>
      </c>
      <c r="E350" s="4" t="n">
        <v>240</v>
      </c>
      <c r="F350" t="inlineStr"/>
      <c r="G350" t="inlineStr">
        <is>
          <t>18146 Rostock - Dierkow</t>
        </is>
      </c>
      <c r="H350" s="5" t="n">
        <v>45530</v>
      </c>
      <c r="I350" t="inlineStr">
        <is>
          <t>Sold</t>
        </is>
      </c>
      <c r="J350" s="6">
        <f>HYPERLINK("https://www.kleinanzeigen.de/s-anzeige/-mast-carbon-rdm-sailloft-460cm-neuwertig-/2847078088-230-9537", "Link")</f>
        <v/>
      </c>
      <c r="K350" s="6">
        <f>HYPERLINK("C:\Projects\Kleinanzeigen-Scraper\offer_images\2847078088", "Link")</f>
        <v/>
      </c>
      <c r="L350" t="inlineStr">
        <is>
          <t>Ralf</t>
        </is>
      </c>
      <c r="M350" s="6">
        <f>HYPERLINK("https://www.kleinanzeigen.de/s-bestandsliste.html?userId=24676102", "Link")</f>
        <v/>
      </c>
      <c r="N350" s="7" t="n">
        <v>45549.57543981481</v>
      </c>
      <c r="O350" s="3" t="inlineStr">
        <is>
          <t>497.86</t>
        </is>
      </c>
      <c r="P350" t="inlineStr">
        <is>
          <t>Köln</t>
        </is>
      </c>
    </row>
    <row r="351">
      <c r="A351" t="inlineStr">
        <is>
          <t>Gun Sails LOOP</t>
        </is>
      </c>
      <c r="B351" s="3" t="n">
        <v>430</v>
      </c>
      <c r="C351" s="8" t="inlineStr"/>
      <c r="D351" t="inlineStr">
        <is>
          <t>SDM</t>
        </is>
      </c>
      <c r="E351" s="4" t="n">
        <v>55</v>
      </c>
      <c r="F351" t="inlineStr">
        <is>
          <t>VB</t>
        </is>
      </c>
      <c r="G351" t="inlineStr">
        <is>
          <t>23896 Schleswig-Holstein - Walksfelde</t>
        </is>
      </c>
      <c r="H351" s="5" t="n">
        <v>45435</v>
      </c>
      <c r="I351" t="inlineStr"/>
      <c r="J351" s="6">
        <f>HYPERLINK("https://www.kleinanzeigen.de/s-anzeige/gun-sails-loop-sdm-mast-430cm-wenig-benutzt/2768772430-230-19219", "Link")</f>
        <v/>
      </c>
      <c r="K351" s="6">
        <f>HYPERLINK("C:\Projects\Kleinanzeigen-Scraper\offer_images\2768772430", "Link")</f>
        <v/>
      </c>
      <c r="L351" t="inlineStr">
        <is>
          <t>Stephan</t>
        </is>
      </c>
      <c r="M351" s="6">
        <f>HYPERLINK("https://www.kleinanzeigen.de/s-bestandsliste.html?userId=7239691", "Link")</f>
        <v/>
      </c>
      <c r="N351" s="7" t="n">
        <v>45549.57539351852</v>
      </c>
      <c r="O351" s="3" t="inlineStr">
        <is>
          <t>390.02</t>
        </is>
      </c>
      <c r="P351" t="inlineStr">
        <is>
          <t>Köln</t>
        </is>
      </c>
    </row>
    <row r="352">
      <c r="A352" t="inlineStr">
        <is>
          <t>Neilpryde FLX 70</t>
        </is>
      </c>
      <c r="B352" s="3" t="n">
        <v>400</v>
      </c>
      <c r="C352" s="8" t="inlineStr">
        <is>
          <t>70%</t>
        </is>
      </c>
      <c r="D352" t="inlineStr">
        <is>
          <t>RDM</t>
        </is>
      </c>
      <c r="E352" s="4" t="n">
        <v>170</v>
      </c>
      <c r="F352" t="inlineStr">
        <is>
          <t>VB</t>
        </is>
      </c>
      <c r="G352" t="inlineStr">
        <is>
          <t>51399 Nordrhein-Westfalen - Burscheid</t>
        </is>
      </c>
      <c r="H352" s="5" t="n">
        <v>45493</v>
      </c>
      <c r="I352" t="inlineStr">
        <is>
          <t>Sold</t>
        </is>
      </c>
      <c r="J352" s="6">
        <f>HYPERLINK("https://www.kleinanzeigen.de/s-anzeige/neilpryde-mast-flx-70-rdm-400-carbon/2816677495-230-1512", "Link")</f>
        <v/>
      </c>
      <c r="K352" s="6">
        <f>HYPERLINK("C:\Projects\Kleinanzeigen-Scraper\offer_images\2816677495", "Link")</f>
        <v/>
      </c>
      <c r="L352" t="inlineStr">
        <is>
          <t>Guido Radermacher</t>
        </is>
      </c>
      <c r="M352" s="6">
        <f>HYPERLINK("https://www.kleinanzeigen.de/s-bestandsliste.html?userId=58539759", "Link")</f>
        <v/>
      </c>
      <c r="N352" s="7" t="n">
        <v>45549.57532407407</v>
      </c>
      <c r="O352" s="3" t="inlineStr">
        <is>
          <t>19.54</t>
        </is>
      </c>
      <c r="P352" t="inlineStr">
        <is>
          <t>Köln</t>
        </is>
      </c>
    </row>
    <row r="353">
      <c r="A353" t="inlineStr">
        <is>
          <t>Neilpryde Wavepro</t>
        </is>
      </c>
      <c r="B353" s="3" t="n">
        <v>430</v>
      </c>
      <c r="C353" s="8" t="inlineStr">
        <is>
          <t>41%</t>
        </is>
      </c>
      <c r="D353" t="inlineStr"/>
      <c r="E353" s="4" t="n">
        <v>150</v>
      </c>
      <c r="F353" t="inlineStr">
        <is>
          <t>VB</t>
        </is>
      </c>
      <c r="G353" t="inlineStr">
        <is>
          <t>24214 Schleswig-Holstein - Neudorf-Bornstein</t>
        </is>
      </c>
      <c r="H353" s="5" t="n">
        <v>45494</v>
      </c>
      <c r="I353" t="inlineStr">
        <is>
          <t>Sold</t>
        </is>
      </c>
      <c r="J353" s="6">
        <f>HYPERLINK("https://www.kleinanzeigen.de/s-anzeige/wavepro-neilpryde-430-imcs-2-lighttcarbonmast-fuer-surfboard/2817544268-230-17368", "Link")</f>
        <v/>
      </c>
      <c r="K353" s="6">
        <f>HYPERLINK("C:\Projects\Kleinanzeigen-Scraper\offer_images\2817544268", "Link")</f>
        <v/>
      </c>
      <c r="L353" t="inlineStr">
        <is>
          <t>Prechtl</t>
        </is>
      </c>
      <c r="M353" s="6">
        <f>HYPERLINK("https://www.kleinanzeigen.de/s-bestandsliste.html?userId=7075308", "Link")</f>
        <v/>
      </c>
      <c r="N353" s="7" t="n">
        <v>45549.57527777777</v>
      </c>
      <c r="O353" s="3" t="inlineStr">
        <is>
          <t>436.55</t>
        </is>
      </c>
      <c r="P353" t="inlineStr">
        <is>
          <t>Köln</t>
        </is>
      </c>
    </row>
    <row r="354">
      <c r="A354" t="inlineStr">
        <is>
          <t>Neilpryde TPX 100</t>
        </is>
      </c>
      <c r="B354" s="3" t="n">
        <v>520</v>
      </c>
      <c r="C354" s="8" t="inlineStr">
        <is>
          <t>100%</t>
        </is>
      </c>
      <c r="D354" t="inlineStr"/>
      <c r="E354" s="4" t="n">
        <v>525</v>
      </c>
      <c r="F354" t="inlineStr"/>
      <c r="G354" t="inlineStr">
        <is>
          <t>75334 Baden-Württemberg - Straubenhardt</t>
        </is>
      </c>
      <c r="H354" s="5" t="n">
        <v>45497</v>
      </c>
      <c r="I354" t="inlineStr">
        <is>
          <t>Sold</t>
        </is>
      </c>
      <c r="J354" s="6">
        <f>HYPERLINK("https://www.kleinanzeigen.de/s-anzeige/carbonmast-neilpryde-tpx-100-520-aus-2023/2819799488-230-8117", "Link")</f>
        <v/>
      </c>
      <c r="K354" s="6">
        <f>HYPERLINK("C:\Projects\Kleinanzeigen-Scraper\offer_images\2819799488", "Link")</f>
        <v/>
      </c>
      <c r="L354" t="inlineStr">
        <is>
          <t>Björn</t>
        </is>
      </c>
      <c r="M354" s="6">
        <f>HYPERLINK("https://www.kleinanzeigen.de/s-bestandsliste.html?userId=29930593", "Link")</f>
        <v/>
      </c>
      <c r="N354" s="7" t="n">
        <v>45549.57519675926</v>
      </c>
      <c r="O354" s="3" t="inlineStr">
        <is>
          <t>21.11</t>
        </is>
      </c>
      <c r="P354" t="inlineStr">
        <is>
          <t>Karlsruhe</t>
        </is>
      </c>
    </row>
    <row r="355">
      <c r="A355" t="inlineStr">
        <is>
          <t>Duotone Platinum Series</t>
        </is>
      </c>
      <c r="B355" s="3" t="n">
        <v>400</v>
      </c>
      <c r="C355" s="8" t="inlineStr">
        <is>
          <t>100%</t>
        </is>
      </c>
      <c r="D355" t="inlineStr">
        <is>
          <t>RDM</t>
        </is>
      </c>
      <c r="E355" s="4" t="n">
        <v>650</v>
      </c>
      <c r="F355" t="inlineStr">
        <is>
          <t>VB</t>
        </is>
      </c>
      <c r="G355" t="inlineStr">
        <is>
          <t>88634 Baden-Württemberg - Herdwangen-Schönach</t>
        </is>
      </c>
      <c r="H355" s="5" t="n">
        <v>45541</v>
      </c>
      <c r="I355" t="inlineStr">
        <is>
          <t>Sold</t>
        </is>
      </c>
      <c r="J355" s="6">
        <f>HYPERLINK("https://www.kleinanzeigen.de/s-anzeige/duotone-mast-platinum-series-rdm-400/2856131078-230-9210", "Link")</f>
        <v/>
      </c>
      <c r="K355" s="6">
        <f>HYPERLINK("C:\Projects\Kleinanzeigen-Scraper\offer_images\2856131078", "Link")</f>
        <v/>
      </c>
      <c r="L355" t="inlineStr">
        <is>
          <t>IvanFRB</t>
        </is>
      </c>
      <c r="M355" s="6">
        <f>HYPERLINK("https://www.kleinanzeigen.de/s-bestandsliste.html?userId=136742388", "Link")</f>
        <v/>
      </c>
      <c r="N355" s="7" t="n">
        <v>45549.57517361111</v>
      </c>
      <c r="O355" s="3" t="inlineStr">
        <is>
          <t>62.58</t>
        </is>
      </c>
      <c r="P355" t="inlineStr">
        <is>
          <t>Bonndorf</t>
        </is>
      </c>
    </row>
    <row r="356">
      <c r="A356" t="inlineStr">
        <is>
          <t>Gun Sails Cross</t>
        </is>
      </c>
      <c r="B356" s="3" t="n">
        <v>400</v>
      </c>
      <c r="C356" s="8" t="inlineStr">
        <is>
          <t>50%</t>
        </is>
      </c>
      <c r="D356" t="inlineStr">
        <is>
          <t>SDM</t>
        </is>
      </c>
      <c r="E356" s="4" t="n">
        <v>149</v>
      </c>
      <c r="F356" t="inlineStr">
        <is>
          <t>VB</t>
        </is>
      </c>
      <c r="G356" t="inlineStr">
        <is>
          <t>76228 Baden-Württemberg - Karlsruhe</t>
        </is>
      </c>
      <c r="H356" s="5" t="n">
        <v>45504</v>
      </c>
      <c r="I356" t="inlineStr"/>
      <c r="J356" s="6">
        <f>HYPERLINK("https://www.kleinanzeigen.de/s-anzeige/gun-sails-cross-wave-sdm-mast-teilbar-400cm-50-carbon-imcs-1/2825395471-230-9198", "Link")</f>
        <v/>
      </c>
      <c r="K356" s="6">
        <f>HYPERLINK("C:\Projects\Kleinanzeigen-Scraper\offer_images\2825395471", "Link")</f>
        <v/>
      </c>
      <c r="L356" t="inlineStr">
        <is>
          <t>Franz Steiner</t>
        </is>
      </c>
      <c r="M356" s="6">
        <f>HYPERLINK("https://www.kleinanzeigen.de/s-bestandsliste.html?userId=2683685", "Link")</f>
        <v/>
      </c>
      <c r="N356" s="7" t="n">
        <v>45549.57517361111</v>
      </c>
      <c r="O356" s="3" t="inlineStr">
        <is>
          <t>8.23</t>
        </is>
      </c>
      <c r="P356" t="inlineStr">
        <is>
          <t>Karlsruhe</t>
        </is>
      </c>
    </row>
    <row r="357">
      <c r="A357" t="inlineStr">
        <is>
          <t>GUN Sails Select</t>
        </is>
      </c>
      <c r="B357" s="3" t="n">
        <v>400</v>
      </c>
      <c r="C357" s="8" t="inlineStr">
        <is>
          <t>100%</t>
        </is>
      </c>
      <c r="D357" t="inlineStr">
        <is>
          <t>RDM</t>
        </is>
      </c>
      <c r="E357" s="4" t="n">
        <v>50</v>
      </c>
      <c r="F357" t="inlineStr">
        <is>
          <t>VB</t>
        </is>
      </c>
      <c r="G357" t="inlineStr">
        <is>
          <t>24235 Schleswig-Holstein - Laboe</t>
        </is>
      </c>
      <c r="H357" s="5" t="n">
        <v>45446</v>
      </c>
      <c r="I357" t="inlineStr"/>
      <c r="J357" s="6">
        <f>HYPERLINK("https://www.kleinanzeigen.de/s-anzeige/gun-sails-select-rdm-400-100-carbon-nur-mast-top-/2778676803-230-19055", "Link")</f>
        <v/>
      </c>
      <c r="K357" s="6">
        <f>HYPERLINK("C:\Projects\Kleinanzeigen-Scraper\offer_images\2778676803", "Link")</f>
        <v/>
      </c>
      <c r="L357" t="inlineStr">
        <is>
          <t>Daniel</t>
        </is>
      </c>
      <c r="M357" s="6">
        <f>HYPERLINK("https://www.kleinanzeigen.de/s-bestandsliste.html?userId=63131078", "Link")</f>
        <v/>
      </c>
      <c r="N357" s="7" t="n">
        <v>45549.57517361111</v>
      </c>
      <c r="O357" s="3" t="inlineStr">
        <is>
          <t>360.73</t>
        </is>
      </c>
      <c r="P357" t="inlineStr">
        <is>
          <t>Köln</t>
        </is>
      </c>
    </row>
    <row r="358">
      <c r="A358" t="inlineStr">
        <is>
          <t>Neilpryde Matrix X3</t>
        </is>
      </c>
      <c r="B358" s="3" t="n">
        <v>460</v>
      </c>
      <c r="C358" s="8" t="inlineStr"/>
      <c r="D358" t="inlineStr"/>
      <c r="E358" s="4" t="n">
        <v>50</v>
      </c>
      <c r="F358" t="inlineStr"/>
      <c r="G358" t="inlineStr">
        <is>
          <t>66123 Saarbrücken-Mitte - St Johann</t>
        </is>
      </c>
      <c r="H358" s="5" t="n">
        <v>45508</v>
      </c>
      <c r="I358" t="inlineStr"/>
      <c r="J358" s="6">
        <f>HYPERLINK("https://www.kleinanzeigen.de/s-anzeige/windsurf-mast-neilpryde-matrix-x3-460-cm/2828918620-230-392", "Link")</f>
        <v/>
      </c>
      <c r="K358" s="6">
        <f>HYPERLINK("C:\Projects\Kleinanzeigen-Scraper\offer_images\2828918620", "Link")</f>
        <v/>
      </c>
      <c r="L358" t="inlineStr">
        <is>
          <t>Jochen</t>
        </is>
      </c>
      <c r="M358" s="6">
        <f>HYPERLINK("https://www.kleinanzeigen.de/s-bestandsliste.html?userId=53644661", "Link")</f>
        <v/>
      </c>
      <c r="N358" s="7" t="n">
        <v>45549.57506944444</v>
      </c>
      <c r="O358" s="3" t="inlineStr">
        <is>
          <t>103.70</t>
        </is>
      </c>
      <c r="P358" t="inlineStr">
        <is>
          <t>Karlsruhe</t>
        </is>
      </c>
    </row>
    <row r="359">
      <c r="A359" t="inlineStr">
        <is>
          <t>Neilpryde X5</t>
        </is>
      </c>
      <c r="B359" s="3" t="n">
        <v>430</v>
      </c>
      <c r="C359" s="8" t="inlineStr"/>
      <c r="D359" t="inlineStr"/>
      <c r="E359" s="4" t="n">
        <v>130</v>
      </c>
      <c r="F359" t="inlineStr">
        <is>
          <t>VB</t>
        </is>
      </c>
      <c r="G359" t="inlineStr">
        <is>
          <t>29614 Niedersachsen - Soltau</t>
        </is>
      </c>
      <c r="H359" s="5" t="n">
        <v>45520</v>
      </c>
      <c r="I359" t="inlineStr"/>
      <c r="J359" s="6">
        <f>HYPERLINK("https://www.kleinanzeigen.de/s-anzeige/windsurfmast-neilpryde-x5-430-surfmast/2837917560-230-3257", "Link")</f>
        <v/>
      </c>
      <c r="K359" s="6">
        <f>HYPERLINK("C:\Projects\Kleinanzeigen-Scraper\offer_images\2837917560", "Link")</f>
        <v/>
      </c>
      <c r="L359" t="inlineStr">
        <is>
          <t>Dieter</t>
        </is>
      </c>
      <c r="M359" s="6">
        <f>HYPERLINK("https://www.kleinanzeigen.de/s-bestandsliste.html?userId=35923102", "Link")</f>
        <v/>
      </c>
      <c r="N359" s="7" t="n">
        <v>45549.5749537037</v>
      </c>
      <c r="O359" s="3" t="inlineStr">
        <is>
          <t>471.97</t>
        </is>
      </c>
      <c r="P359" t="inlineStr">
        <is>
          <t>Köln</t>
        </is>
      </c>
    </row>
    <row r="360">
      <c r="A360" t="inlineStr">
        <is>
          <t>Point 7 C100</t>
        </is>
      </c>
      <c r="B360" s="3" t="n">
        <v>490</v>
      </c>
      <c r="C360" s="8" t="inlineStr">
        <is>
          <t>100%</t>
        </is>
      </c>
      <c r="D360" t="inlineStr">
        <is>
          <t>SDM</t>
        </is>
      </c>
      <c r="E360" s="4" t="n">
        <v>380</v>
      </c>
      <c r="F360" t="inlineStr"/>
      <c r="G360" t="inlineStr">
        <is>
          <t>51103 Köln - Höhenberg</t>
        </is>
      </c>
      <c r="H360" s="5" t="n">
        <v>45435</v>
      </c>
      <c r="I360" t="inlineStr"/>
      <c r="J360" s="6">
        <f>HYPERLINK("https://www.kleinanzeigen.de/s-anzeige/point-7-mast-490-c100/2769004359-230-21981", "Link")</f>
        <v/>
      </c>
      <c r="K360" s="6">
        <f>HYPERLINK("C:\Projects\Kleinanzeigen-Scraper\offer_images\2769004359", "Link")</f>
        <v/>
      </c>
      <c r="L360" t="inlineStr">
        <is>
          <t>Mik</t>
        </is>
      </c>
      <c r="M360" s="6">
        <f>HYPERLINK("https://www.kleinanzeigen.de/s-bestandsliste.html?userId=963688", "Link")</f>
        <v/>
      </c>
      <c r="N360" s="7" t="n">
        <v>45549.57486111111</v>
      </c>
      <c r="O360" s="3" t="inlineStr">
        <is>
          <t>4.19</t>
        </is>
      </c>
      <c r="P360" t="inlineStr">
        <is>
          <t>Köln</t>
        </is>
      </c>
    </row>
    <row r="361">
      <c r="A361" t="inlineStr">
        <is>
          <t>NeilPryde CK55</t>
        </is>
      </c>
      <c r="B361" s="3" t="n">
        <v>460</v>
      </c>
      <c r="C361" s="8" t="inlineStr">
        <is>
          <t>55%</t>
        </is>
      </c>
      <c r="D361" t="inlineStr">
        <is>
          <t>SDM</t>
        </is>
      </c>
      <c r="E361" s="4" t="n">
        <v>30</v>
      </c>
      <c r="F361" t="inlineStr">
        <is>
          <t>VB</t>
        </is>
      </c>
      <c r="G361" t="inlineStr">
        <is>
          <t>21033 Bergedorf - Hamburg Lohbrügge</t>
        </is>
      </c>
      <c r="H361" s="5" t="n">
        <v>45542</v>
      </c>
      <c r="I361" t="inlineStr"/>
      <c r="J361" s="6">
        <f>HYPERLINK("https://www.kleinanzeigen.de/s-anzeige/neilpryde-ck55-sdm-460-imcs-25/2856591077-230-9516", "Link")</f>
        <v/>
      </c>
      <c r="K361" s="6">
        <f>HYPERLINK("C:\Projects\Kleinanzeigen-Scraper\offer_images\2856591077", "Link")</f>
        <v/>
      </c>
      <c r="L361" t="inlineStr">
        <is>
          <t>H-J H</t>
        </is>
      </c>
      <c r="M361" s="6">
        <f>HYPERLINK("https://www.kleinanzeigen.de/s-bestandsliste.html?userId=47252932", "Link")</f>
        <v/>
      </c>
      <c r="N361" s="7" t="n">
        <v>45549.57482638889</v>
      </c>
      <c r="O361" s="3" t="inlineStr">
        <is>
          <t>359.24</t>
        </is>
      </c>
      <c r="P361" t="inlineStr">
        <is>
          <t>Köln</t>
        </is>
      </c>
    </row>
    <row r="362">
      <c r="A362" t="inlineStr">
        <is>
          <t>Neilpryde FLX70</t>
        </is>
      </c>
      <c r="B362" s="3" t="n">
        <v>460</v>
      </c>
      <c r="C362" s="8" t="inlineStr"/>
      <c r="D362" t="inlineStr">
        <is>
          <t>SDM</t>
        </is>
      </c>
      <c r="E362" s="4" t="n">
        <v>190</v>
      </c>
      <c r="F362" t="inlineStr">
        <is>
          <t>VB</t>
        </is>
      </c>
      <c r="G362" t="inlineStr">
        <is>
          <t>81667 München - Au-Haidhausen</t>
        </is>
      </c>
      <c r="H362" s="5" t="n">
        <v>45524</v>
      </c>
      <c r="I362" t="inlineStr"/>
      <c r="J362" s="6">
        <f>HYPERLINK("https://www.kleinanzeigen.de/s-anzeige/neilpryde-flx70-sdm-460-neil-pryde-windsurf-mast/2841851683-230-6454", "Link")</f>
        <v/>
      </c>
      <c r="K362" s="6">
        <f>HYPERLINK("C:\Projects\Kleinanzeigen-Scraper\offer_images\2841851683", "Link")</f>
        <v/>
      </c>
      <c r="L362" t="inlineStr">
        <is>
          <t>Patrick</t>
        </is>
      </c>
      <c r="M362" s="6">
        <f>HYPERLINK("https://www.kleinanzeigen.de/s-bestandsliste.html?userId=36980025", "Link")</f>
        <v/>
      </c>
      <c r="N362" s="7" t="n">
        <v>45549.57474537037</v>
      </c>
      <c r="O362" s="3" t="inlineStr">
        <is>
          <t>2.06</t>
        </is>
      </c>
      <c r="P362" t="inlineStr">
        <is>
          <t>München</t>
        </is>
      </c>
    </row>
    <row r="363">
      <c r="A363" t="inlineStr">
        <is>
          <t>Gun Sails Loop C75</t>
        </is>
      </c>
      <c r="B363" s="3" t="n">
        <v>400</v>
      </c>
      <c r="C363" s="8" t="inlineStr">
        <is>
          <t>75%</t>
        </is>
      </c>
      <c r="D363" t="inlineStr">
        <is>
          <t>SDM</t>
        </is>
      </c>
      <c r="E363" s="4" t="n">
        <v>80</v>
      </c>
      <c r="F363" t="inlineStr"/>
      <c r="G363" t="inlineStr">
        <is>
          <t>81929 München - Bogenhausen</t>
        </is>
      </c>
      <c r="H363" s="5" t="n">
        <v>45528</v>
      </c>
      <c r="I363" t="inlineStr"/>
      <c r="J363" s="6">
        <f>HYPERLINK("https://www.kleinanzeigen.de/s-anzeige/400-cm-windsurfmast-gun-sails-loop-c75-75-carbon-sdm/2844890322-230-6526", "Link")</f>
        <v/>
      </c>
      <c r="K363" s="6">
        <f>HYPERLINK("C:\Projects\Kleinanzeigen-Scraper\offer_images\2844890322", "Link")</f>
        <v/>
      </c>
      <c r="L363" t="inlineStr">
        <is>
          <t>Thomas</t>
        </is>
      </c>
      <c r="M363" s="6">
        <f>HYPERLINK("https://www.kleinanzeigen.de/s-bestandsliste.html?userId=7284801", "Link")</f>
        <v/>
      </c>
      <c r="N363" s="7" t="n">
        <v>45549.57472222222</v>
      </c>
      <c r="O363" s="3" t="inlineStr">
        <is>
          <t>6.89</t>
        </is>
      </c>
      <c r="P363" t="inlineStr">
        <is>
          <t>München</t>
        </is>
      </c>
    </row>
    <row r="364">
      <c r="A364" t="inlineStr">
        <is>
          <t>Gun Sails Cross</t>
        </is>
      </c>
      <c r="B364" s="3" t="n">
        <v>460</v>
      </c>
      <c r="C364" s="8" t="inlineStr">
        <is>
          <t>55%</t>
        </is>
      </c>
      <c r="D364" t="inlineStr">
        <is>
          <t>SDM</t>
        </is>
      </c>
      <c r="E364" s="4" t="n">
        <v>169</v>
      </c>
      <c r="F364" t="inlineStr">
        <is>
          <t>VB</t>
        </is>
      </c>
      <c r="G364" t="inlineStr">
        <is>
          <t>76228 Baden-Württemberg - Karlsruhe</t>
        </is>
      </c>
      <c r="H364" s="5" t="n">
        <v>45504</v>
      </c>
      <c r="I364" t="inlineStr"/>
      <c r="J364" s="6">
        <f>HYPERLINK("https://www.kleinanzeigen.de/s-anzeige/gun-sails-cross-sdm-mast-teilbar-460cm-55-carbon-imcs-25/2825391574-230-9198", "Link")</f>
        <v/>
      </c>
      <c r="K364" s="6">
        <f>HYPERLINK("C:\Projects\Kleinanzeigen-Scraper\offer_images\2825391574", "Link")</f>
        <v/>
      </c>
      <c r="L364" t="inlineStr">
        <is>
          <t>Franz Steiner</t>
        </is>
      </c>
      <c r="M364" s="6">
        <f>HYPERLINK("https://www.kleinanzeigen.de/s-bestandsliste.html?userId=2683685", "Link")</f>
        <v/>
      </c>
      <c r="N364" s="7" t="n">
        <v>45549.57462962963</v>
      </c>
      <c r="O364" s="3" t="inlineStr">
        <is>
          <t>8.23</t>
        </is>
      </c>
      <c r="P364" t="inlineStr">
        <is>
          <t>Karlsruhe</t>
        </is>
      </c>
    </row>
    <row r="365">
      <c r="A365" t="inlineStr">
        <is>
          <t>Sailloft</t>
        </is>
      </c>
      <c r="B365" s="3" t="n">
        <v>490</v>
      </c>
      <c r="C365" s="8" t="inlineStr"/>
      <c r="D365" t="inlineStr"/>
      <c r="E365" s="4" t="n">
        <v>150</v>
      </c>
      <c r="F365" t="inlineStr">
        <is>
          <t>VB</t>
        </is>
      </c>
      <c r="G365" t="inlineStr">
        <is>
          <t>84524 Kr. Altötting - Neuötting</t>
        </is>
      </c>
      <c r="H365" s="5" t="n">
        <v>45526</v>
      </c>
      <c r="I365" t="inlineStr"/>
      <c r="J365" s="6">
        <f>HYPERLINK("https://www.kleinanzeigen.de/s-anzeige/sailloft-mast-490-kein-north-sails-neilpryde/2843865631-230-6629", "Link")</f>
        <v/>
      </c>
      <c r="K365" s="6">
        <f>HYPERLINK("C:\Projects\Kleinanzeigen-Scraper\offer_images\2843865631", "Link")</f>
        <v/>
      </c>
      <c r="L365" t="inlineStr">
        <is>
          <t>Sebastian Hoffmann</t>
        </is>
      </c>
      <c r="M365" s="6">
        <f>HYPERLINK("https://www.kleinanzeigen.de/s-bestandsliste.html?userId=33687656", "Link")</f>
        <v/>
      </c>
      <c r="N365" s="7" t="n">
        <v>45549.57462962963</v>
      </c>
      <c r="O365" s="3" t="inlineStr">
        <is>
          <t>87.16</t>
        </is>
      </c>
      <c r="P365" t="inlineStr">
        <is>
          <t>München</t>
        </is>
      </c>
    </row>
    <row r="366">
      <c r="A366" t="inlineStr">
        <is>
          <t>Duotone Platinum SLS</t>
        </is>
      </c>
      <c r="B366" s="3" t="n">
        <v>370</v>
      </c>
      <c r="C366" s="8" t="n">
        <v>100</v>
      </c>
      <c r="D366" t="inlineStr">
        <is>
          <t>RDM</t>
        </is>
      </c>
      <c r="E366" s="4" t="n">
        <v>600</v>
      </c>
      <c r="F366" t="inlineStr">
        <is>
          <t>VB</t>
        </is>
      </c>
      <c r="G366" t="inlineStr">
        <is>
          <t>91058 Bayern - Erlangen</t>
        </is>
      </c>
      <c r="H366" s="5" t="n">
        <v>45549</v>
      </c>
      <c r="I366" t="inlineStr">
        <is>
          <t>Sold</t>
        </is>
      </c>
      <c r="J366" s="6">
        <f>HYPERLINK("https://www.kleinanzeigen.de/s-anzeige/neu-duotone-platinum-sls-100-mast-370-rdm/2862690489-230-6801", "Link")</f>
        <v/>
      </c>
      <c r="K366" s="6">
        <f>HYPERLINK("C:\Projects\Kleinanzeigen-Scraper\offer_images\2862690489", "Link")</f>
        <v/>
      </c>
      <c r="L366" t="inlineStr">
        <is>
          <t>Florian Zorn</t>
        </is>
      </c>
      <c r="M366" s="6">
        <f>HYPERLINK("https://www.kleinanzeigen.de/s-bestandsliste.html?userId=24377449", "Link")</f>
        <v/>
      </c>
      <c r="N366" s="7" t="n">
        <v>45549.57456018519</v>
      </c>
      <c r="O366" s="3" t="inlineStr">
        <is>
          <t>163.84</t>
        </is>
      </c>
      <c r="P366" t="inlineStr">
        <is>
          <t>München</t>
        </is>
      </c>
    </row>
    <row r="367">
      <c r="A367" t="inlineStr">
        <is>
          <t>Gun Sails - Cross</t>
        </is>
      </c>
      <c r="B367" s="3" t="n">
        <v>400</v>
      </c>
      <c r="C367" s="8" t="inlineStr">
        <is>
          <t>50%</t>
        </is>
      </c>
      <c r="D367" t="inlineStr">
        <is>
          <t>RDM</t>
        </is>
      </c>
      <c r="E367" s="4" t="n">
        <v>150</v>
      </c>
      <c r="F367" t="inlineStr">
        <is>
          <t>VB</t>
        </is>
      </c>
      <c r="G367" t="inlineStr">
        <is>
          <t>71139 Baden-Württemberg - Ehningen</t>
        </is>
      </c>
      <c r="H367" s="5" t="n">
        <v>45534</v>
      </c>
      <c r="I367" t="inlineStr">
        <is>
          <t>Sold</t>
        </is>
      </c>
      <c r="J367" s="6">
        <f>HYPERLINK("https://www.kleinanzeigen.de/s-anzeige/gun-sails-mast-cross-rdm-400-imcs-19-50-carbon-wie-neu/2849835904-230-8788", "Link")</f>
        <v/>
      </c>
      <c r="K367" s="6">
        <f>HYPERLINK("C:\Projects\Kleinanzeigen-Scraper\offer_images\2849835904", "Link")</f>
        <v/>
      </c>
      <c r="L367" t="inlineStr">
        <is>
          <t>Norbert N</t>
        </is>
      </c>
      <c r="M367" s="6">
        <f>HYPERLINK("https://www.kleinanzeigen.de/s-bestandsliste.html?userId=7987926", "Link")</f>
        <v/>
      </c>
      <c r="N367" s="7" t="n">
        <v>45549.57435185185</v>
      </c>
      <c r="O367" s="3" t="inlineStr">
        <is>
          <t>3.02</t>
        </is>
      </c>
      <c r="P367" t="inlineStr">
        <is>
          <t>Böblingen</t>
        </is>
      </c>
    </row>
    <row r="368">
      <c r="A368" t="inlineStr">
        <is>
          <t>NeilPryde Integrated</t>
        </is>
      </c>
      <c r="B368" s="3" t="n">
        <v>490</v>
      </c>
      <c r="C368" s="8" t="inlineStr">
        <is>
          <t>30%</t>
        </is>
      </c>
      <c r="D368" t="inlineStr"/>
      <c r="E368" s="4" t="n">
        <v>50</v>
      </c>
      <c r="F368" t="inlineStr">
        <is>
          <t>VB</t>
        </is>
      </c>
      <c r="G368" t="inlineStr">
        <is>
          <t>97944 Baden-Württemberg - Boxberg</t>
        </is>
      </c>
      <c r="H368" s="5" t="n">
        <v>45453</v>
      </c>
      <c r="I368" t="inlineStr"/>
      <c r="J368" s="6">
        <f>HYPERLINK("https://www.kleinanzeigen.de/s-anzeige/neilpryde-integrated-30-490cm/2784869586-230-8639", "Link")</f>
        <v/>
      </c>
      <c r="K368" s="6">
        <f>HYPERLINK("C:\Projects\Kleinanzeigen-Scraper\offer_images\2784869586", "Link")</f>
        <v/>
      </c>
      <c r="L368" t="inlineStr">
        <is>
          <t>Bernd Braun</t>
        </is>
      </c>
      <c r="M368" s="6">
        <f>HYPERLINK("https://www.kleinanzeigen.de/s-bestandsliste.html?userId=25080406", "Link")</f>
        <v/>
      </c>
      <c r="N368" s="7" t="n">
        <v>45549.5743287037</v>
      </c>
      <c r="O368" s="3" t="inlineStr">
        <is>
          <t>101.19</t>
        </is>
      </c>
      <c r="P368" t="inlineStr">
        <is>
          <t>Böblingen</t>
        </is>
      </c>
    </row>
    <row r="369">
      <c r="A369" t="inlineStr">
        <is>
          <t>Fanatic AL 3.0</t>
        </is>
      </c>
      <c r="B369" s="3" t="n">
        <v>75</v>
      </c>
      <c r="C369" s="8" t="inlineStr"/>
      <c r="D369" t="inlineStr"/>
      <c r="E369" s="4" t="n">
        <v>160</v>
      </c>
      <c r="F369" t="inlineStr">
        <is>
          <t>VB</t>
        </is>
      </c>
      <c r="G369" t="inlineStr">
        <is>
          <t>59757 Nordrhein-Westfalen - Arnsberg</t>
        </is>
      </c>
      <c r="H369" s="5" t="n">
        <v>45543</v>
      </c>
      <c r="I369" t="inlineStr">
        <is>
          <t>Sold</t>
        </is>
      </c>
      <c r="J369" s="6">
        <f>HYPERLINK("https://www.kleinanzeigen.de/s-anzeige/fanatic-alu-mast-al-3-0-duotone-wingen-foil-wingfoil/2858036367-230-1813", "Link")</f>
        <v/>
      </c>
      <c r="K369" s="6">
        <f>HYPERLINK("C:\Projects\Kleinanzeigen-Scraper\offer_images\2858036367", "Link")</f>
        <v/>
      </c>
      <c r="L369" t="inlineStr">
        <is>
          <t>D.O</t>
        </is>
      </c>
      <c r="M369" s="6">
        <f>HYPERLINK("https://www.kleinanzeigen.de/s-bestandsliste.html?userId=13859757", "Link")</f>
        <v/>
      </c>
      <c r="N369" s="7" t="n">
        <v>45549.57420138889</v>
      </c>
      <c r="O369" s="3" t="inlineStr">
        <is>
          <t>87.70</t>
        </is>
      </c>
      <c r="P369" t="inlineStr">
        <is>
          <t>Köln</t>
        </is>
      </c>
    </row>
    <row r="370">
      <c r="A370" t="inlineStr">
        <is>
          <t>Starboard Aluminium Foilmast</t>
        </is>
      </c>
      <c r="B370" s="3" t="n">
        <v>95</v>
      </c>
      <c r="C370" s="8" t="inlineStr"/>
      <c r="D370" t="inlineStr"/>
      <c r="E370" s="4" t="n">
        <v>350</v>
      </c>
      <c r="F370" t="inlineStr"/>
      <c r="G370" t="inlineStr">
        <is>
          <t>78337 Baden-Württemberg - Öhningen</t>
        </is>
      </c>
      <c r="H370" s="5" t="n">
        <v>45543</v>
      </c>
      <c r="I370" t="inlineStr"/>
      <c r="J370" s="6">
        <f>HYPERLINK("https://www.kleinanzeigen.de/s-anzeige/starboard-aluminium-foilmast-iq-foil/2857432901-230-8189", "Link")</f>
        <v/>
      </c>
      <c r="K370" s="6">
        <f>HYPERLINK("C:\Projects\Kleinanzeigen-Scraper\offer_images\2857432901", "Link")</f>
        <v/>
      </c>
      <c r="L370" t="inlineStr">
        <is>
          <t>Matti Winkler</t>
        </is>
      </c>
      <c r="M370" s="6">
        <f>HYPERLINK("https://www.kleinanzeigen.de/s-bestandsliste.html?userId=132624773", "Link")</f>
        <v/>
      </c>
      <c r="N370" s="7" t="n">
        <v>45549.57420138889</v>
      </c>
      <c r="O370" s="3" t="inlineStr">
        <is>
          <t>44.23</t>
        </is>
      </c>
      <c r="P370" t="inlineStr">
        <is>
          <t>Bonndorf</t>
        </is>
      </c>
    </row>
    <row r="371">
      <c r="A371" t="inlineStr">
        <is>
          <t>Neilpryde X5</t>
        </is>
      </c>
      <c r="B371" s="3" t="n">
        <v>370</v>
      </c>
      <c r="C371" s="8" t="inlineStr"/>
      <c r="D371" t="inlineStr">
        <is>
          <t>SDM</t>
        </is>
      </c>
      <c r="E371" s="4" t="n">
        <v>30</v>
      </c>
      <c r="F371" t="inlineStr">
        <is>
          <t>VB</t>
        </is>
      </c>
      <c r="G371" t="inlineStr">
        <is>
          <t>22587 Altona - Hamburg Blankenese</t>
        </is>
      </c>
      <c r="H371" s="5" t="n">
        <v>45445</v>
      </c>
      <c r="I371" t="inlineStr">
        <is>
          <t>Sold</t>
        </is>
      </c>
      <c r="J371" s="6">
        <f>HYPERLINK("https://www.kleinanzeigen.de/s-anzeige/370-sdm-neilpryde-x5-windsurfmast/2778422203-230-9509", "Link")</f>
        <v/>
      </c>
      <c r="K371" s="6">
        <f>HYPERLINK("C:\Projects\Kleinanzeigen-Scraper\offer_images\2778422203", "Link")</f>
        <v/>
      </c>
      <c r="L371" t="inlineStr">
        <is>
          <t>E.Houtrouw</t>
        </is>
      </c>
      <c r="M371" s="6">
        <f>HYPERLINK("https://www.kleinanzeigen.de/s-bestandsliste.html?userId=4377277", "Link")</f>
        <v/>
      </c>
      <c r="N371" s="7" t="n">
        <v>45549.57417824074</v>
      </c>
      <c r="O371" s="3" t="inlineStr">
        <is>
          <t>349.90</t>
        </is>
      </c>
      <c r="P371" t="inlineStr">
        <is>
          <t>Köln</t>
        </is>
      </c>
    </row>
    <row r="372">
      <c r="A372" t="inlineStr">
        <is>
          <t>Neilpryde Intergrated-RIG U-Base</t>
        </is>
      </c>
      <c r="B372" s="3" t="n">
        <v>254.5</v>
      </c>
      <c r="C372" s="8" t="inlineStr"/>
      <c r="D372" t="inlineStr"/>
      <c r="E372" s="4" t="n">
        <v>45</v>
      </c>
      <c r="F372" t="inlineStr"/>
      <c r="G372" t="inlineStr">
        <is>
          <t>59320 Nordrhein-Westfalen - Ennigerloh</t>
        </is>
      </c>
      <c r="H372" s="5" t="n">
        <v>45509</v>
      </c>
      <c r="I372" t="inlineStr"/>
      <c r="J372" s="6">
        <f>HYPERLINK("https://www.kleinanzeigen.de/s-anzeige/mastverlaengerung-neilpryde-intergrated-rig-u-base-25/2829449832-230-1439", "Link")</f>
        <v/>
      </c>
      <c r="K372" s="6">
        <f>HYPERLINK("C:\Projects\Kleinanzeigen-Scraper\offer_images\2829449832", "Link")</f>
        <v/>
      </c>
      <c r="L372" t="inlineStr">
        <is>
          <t>MD</t>
        </is>
      </c>
      <c r="M372" s="6">
        <f>HYPERLINK("https://www.kleinanzeigen.de/s-bestandsliste.html?userId=14971628", "Link")</f>
        <v/>
      </c>
      <c r="N372" s="7" t="n">
        <v>45549.57408564815</v>
      </c>
      <c r="O372" s="3" t="inlineStr">
        <is>
          <t>126.09</t>
        </is>
      </c>
      <c r="P372" t="inlineStr">
        <is>
          <t>Köln</t>
        </is>
      </c>
    </row>
    <row r="373">
      <c r="A373" t="inlineStr">
        <is>
          <t>Neilpryde X5</t>
        </is>
      </c>
      <c r="B373" s="3" t="n">
        <v>490</v>
      </c>
      <c r="C373" s="8" t="inlineStr"/>
      <c r="D373" t="inlineStr"/>
      <c r="E373" s="4" t="n">
        <v>30</v>
      </c>
      <c r="F373" t="inlineStr"/>
      <c r="G373" t="inlineStr">
        <is>
          <t>82110 Bayern - Germering</t>
        </is>
      </c>
      <c r="H373" s="5" t="n">
        <v>45522</v>
      </c>
      <c r="I373" t="inlineStr"/>
      <c r="J373" s="6">
        <f>HYPERLINK("https://www.kleinanzeigen.de/s-anzeige/das-obere-teil-von-x5-neilpryde-mast-490-cm/2840498067-230-6326", "Link")</f>
        <v/>
      </c>
      <c r="K373" s="6">
        <f>HYPERLINK("C:\Projects\Kleinanzeigen-Scraper\offer_images\2840498067", "Link")</f>
        <v/>
      </c>
      <c r="L373" t="inlineStr">
        <is>
          <t>Delsor Johanna</t>
        </is>
      </c>
      <c r="M373" s="6">
        <f>HYPERLINK("https://www.kleinanzeigen.de/s-bestandsliste.html?userId=81189734", "Link")</f>
        <v/>
      </c>
      <c r="N373" s="7" t="n">
        <v>45549.57393518519</v>
      </c>
      <c r="O373" s="3" t="inlineStr">
        <is>
          <t>16.13</t>
        </is>
      </c>
      <c r="P373" t="inlineStr">
        <is>
          <t>München</t>
        </is>
      </c>
    </row>
    <row r="374">
      <c r="A374" t="inlineStr">
        <is>
          <t>Severne Blue Line</t>
        </is>
      </c>
      <c r="B374" s="3" t="n">
        <v>340</v>
      </c>
      <c r="C374" s="8" t="inlineStr"/>
      <c r="D374" t="inlineStr">
        <is>
          <t>RDM</t>
        </is>
      </c>
      <c r="E374" s="4" t="n">
        <v>299</v>
      </c>
      <c r="F374" t="inlineStr"/>
      <c r="G374" t="inlineStr">
        <is>
          <t>80799 München - Schwabing-West</t>
        </is>
      </c>
      <c r="H374" s="5" t="n">
        <v>45527</v>
      </c>
      <c r="I374" t="inlineStr"/>
      <c r="J374" s="6">
        <f>HYPERLINK("https://www.kleinanzeigen.de/s-anzeige/severne-blue-line-340-rdm-mast-2022/2844441062-230-16375", "Link")</f>
        <v/>
      </c>
      <c r="K374" s="6">
        <f>HYPERLINK("C:\Projects\Kleinanzeigen-Scraper\offer_images\2844441062", "Link")</f>
        <v/>
      </c>
      <c r="L374" t="inlineStr">
        <is>
          <t>PB</t>
        </is>
      </c>
      <c r="M374" s="6">
        <f>HYPERLINK("https://www.kleinanzeigen.de/s-bestandsliste.html?userId=11059575", "Link")</f>
        <v/>
      </c>
      <c r="N374" s="7" t="n">
        <v>45549.57390046296</v>
      </c>
      <c r="O374" s="3" t="inlineStr">
        <is>
          <t>1.66</t>
        </is>
      </c>
      <c r="P374" t="inlineStr">
        <is>
          <t>München</t>
        </is>
      </c>
    </row>
    <row r="375">
      <c r="A375" t="inlineStr">
        <is>
          <t>Gun Sails Loop C75</t>
        </is>
      </c>
      <c r="B375" s="3" t="n">
        <v>400</v>
      </c>
      <c r="C375" s="8" t="inlineStr">
        <is>
          <t>75%</t>
        </is>
      </c>
      <c r="D375" t="inlineStr">
        <is>
          <t>SDM</t>
        </is>
      </c>
      <c r="E375" s="4" t="n">
        <v>80</v>
      </c>
      <c r="F375" t="inlineStr"/>
      <c r="G375" t="inlineStr">
        <is>
          <t>81929 München - Bogenhausen</t>
        </is>
      </c>
      <c r="H375" s="5" t="n">
        <v>45549</v>
      </c>
      <c r="I375" t="inlineStr"/>
      <c r="J375" s="6">
        <f>HYPERLINK("https://www.kleinanzeigen.de/s-anzeige/400-cm-windsurfmast-gun-sails-loop-c75-75-carbon-sdm/2862971196-230-6526", "Link")</f>
        <v/>
      </c>
      <c r="K375" s="6">
        <f>HYPERLINK("C:\Projects\Kleinanzeigen-Scraper\offer_images\2862971196", "Link")</f>
        <v/>
      </c>
      <c r="L375" t="inlineStr">
        <is>
          <t>Thomas</t>
        </is>
      </c>
      <c r="M375" s="6">
        <f>HYPERLINK("https://www.kleinanzeigen.de/s-bestandsliste.html?userId=7284801", "Link")</f>
        <v/>
      </c>
      <c r="N375" s="7" t="n">
        <v>45549.57378472222</v>
      </c>
      <c r="O375" s="3" t="inlineStr">
        <is>
          <t>6.89</t>
        </is>
      </c>
      <c r="P375" t="inlineStr">
        <is>
          <t>München</t>
        </is>
      </c>
    </row>
    <row r="376">
      <c r="A376" t="inlineStr">
        <is>
          <t>Neilpryde Matrix65</t>
        </is>
      </c>
      <c r="B376" s="3" t="n">
        <v>430</v>
      </c>
      <c r="C376" s="8" t="inlineStr"/>
      <c r="D376" t="inlineStr">
        <is>
          <t>RDM</t>
        </is>
      </c>
      <c r="E376" s="4" t="n">
        <v>180</v>
      </c>
      <c r="F376" t="inlineStr"/>
      <c r="G376" t="inlineStr">
        <is>
          <t>21635 Niedersachsen - Jork</t>
        </is>
      </c>
      <c r="H376" s="5" t="n">
        <v>45457</v>
      </c>
      <c r="I376" t="inlineStr"/>
      <c r="J376" s="6">
        <f>HYPERLINK("https://www.kleinanzeigen.de/s-anzeige/neilpryde-matrix65-430-rdm-mast/2787756960-230-3291", "Link")</f>
        <v/>
      </c>
      <c r="K376" s="6">
        <f>HYPERLINK("C:\Projects\Kleinanzeigen-Scraper\offer_images\2787756960", "Link")</f>
        <v/>
      </c>
      <c r="L376" t="inlineStr">
        <is>
          <t>MU</t>
        </is>
      </c>
      <c r="M376" s="6">
        <f>HYPERLINK("https://www.kleinanzeigen.de/s-bestandsliste.html?userId=7562773", "Link")</f>
        <v/>
      </c>
      <c r="N376" s="7" t="n">
        <v>45549.57372685185</v>
      </c>
      <c r="O376" s="3" t="inlineStr">
        <is>
          <t>343.43</t>
        </is>
      </c>
      <c r="P376" t="inlineStr">
        <is>
          <t>Köln</t>
        </is>
      </c>
    </row>
    <row r="377">
      <c r="A377" t="inlineStr">
        <is>
          <t>Goya Hundred</t>
        </is>
      </c>
      <c r="B377" s="3" t="n">
        <v>370</v>
      </c>
      <c r="C377" s="8" t="inlineStr">
        <is>
          <t>100%</t>
        </is>
      </c>
      <c r="D377" t="inlineStr">
        <is>
          <t>RDM</t>
        </is>
      </c>
      <c r="E377" s="4" t="n">
        <v>500</v>
      </c>
      <c r="F377" t="inlineStr">
        <is>
          <t>VB</t>
        </is>
      </c>
      <c r="G377" t="inlineStr">
        <is>
          <t>84095 Kr. Landshut - Furth</t>
        </is>
      </c>
      <c r="H377" s="5" t="n">
        <v>45532</v>
      </c>
      <c r="I377" t="inlineStr"/>
      <c r="J377" s="6">
        <f>HYPERLINK("https://www.kleinanzeigen.de/s-anzeige/goya-hundred-100-carbon-mast-370cm/2848797744-230-6398", "Link")</f>
        <v/>
      </c>
      <c r="K377" s="6">
        <f>HYPERLINK("C:\Projects\Kleinanzeigen-Scraper\offer_images\2848797744", "Link")</f>
        <v/>
      </c>
      <c r="L377" t="inlineStr">
        <is>
          <t>Niklas</t>
        </is>
      </c>
      <c r="M377" s="6">
        <f>HYPERLINK("https://www.kleinanzeigen.de/s-bestandsliste.html?userId=22205576", "Link")</f>
        <v/>
      </c>
      <c r="N377" s="7" t="n">
        <v>45549.5737037037</v>
      </c>
      <c r="O377" s="3" t="inlineStr">
        <is>
          <t>60.37</t>
        </is>
      </c>
      <c r="P377" t="inlineStr">
        <is>
          <t>München</t>
        </is>
      </c>
    </row>
    <row r="378">
      <c r="A378" t="inlineStr">
        <is>
          <t>Neilpryde Wave X3</t>
        </is>
      </c>
      <c r="B378" s="3" t="n">
        <v>430</v>
      </c>
      <c r="C378" s="8" t="inlineStr"/>
      <c r="D378" t="inlineStr">
        <is>
          <t>SDM</t>
        </is>
      </c>
      <c r="E378" s="4" t="n">
        <v>40</v>
      </c>
      <c r="F378" t="inlineStr">
        <is>
          <t>VB</t>
        </is>
      </c>
      <c r="G378" t="inlineStr">
        <is>
          <t>21035 Hamburg - Bergedorf</t>
        </is>
      </c>
      <c r="H378" s="5" t="n">
        <v>45468</v>
      </c>
      <c r="I378" t="inlineStr">
        <is>
          <t>Sold</t>
        </is>
      </c>
      <c r="J378" s="6">
        <f>HYPERLINK("https://www.kleinanzeigen.de/s-anzeige/neilpryde-mast-wave-x3-430-imcs-21-sdm-windsurfen/2796797451-230-16432", "Link")</f>
        <v/>
      </c>
      <c r="K378" s="6">
        <f>HYPERLINK("C:\Projects\Kleinanzeigen-Scraper\offer_images\2796797451", "Link")</f>
        <v/>
      </c>
      <c r="L378" t="inlineStr">
        <is>
          <t>Fabian</t>
        </is>
      </c>
      <c r="M378" s="6">
        <f>HYPERLINK("https://www.kleinanzeigen.de/s-bestandsliste.html?userId=26635038", "Link")</f>
        <v/>
      </c>
      <c r="N378" s="7" t="n">
        <v>45549.57368055556</v>
      </c>
      <c r="O378" s="3" t="inlineStr">
        <is>
          <t>357.47</t>
        </is>
      </c>
      <c r="P378" t="inlineStr">
        <is>
          <t>Köln</t>
        </is>
      </c>
    </row>
    <row r="379">
      <c r="A379" t="inlineStr">
        <is>
          <t>Severne</t>
        </is>
      </c>
      <c r="B379" s="3" t="n">
        <v>36</v>
      </c>
      <c r="C379" s="8" t="inlineStr"/>
      <c r="D379" t="inlineStr">
        <is>
          <t>SDM</t>
        </is>
      </c>
      <c r="E379" s="4" t="n">
        <v>45</v>
      </c>
      <c r="F379" t="inlineStr"/>
      <c r="G379" t="inlineStr">
        <is>
          <t>22045 Wandsbek - Hamburg Tonndorf</t>
        </is>
      </c>
      <c r="H379" s="5" t="n">
        <v>45494</v>
      </c>
      <c r="I379" t="inlineStr">
        <is>
          <t>Sold</t>
        </is>
      </c>
      <c r="J379" s="6">
        <f>HYPERLINK("https://www.kleinanzeigen.de/s-anzeige/severne-mastverlaengerung-sdm/2817839534-230-17135", "Link")</f>
        <v/>
      </c>
      <c r="K379" s="6">
        <f>HYPERLINK("C:\Projects\Kleinanzeigen-Scraper\offer_images\2817839534", "Link")</f>
        <v/>
      </c>
      <c r="L379" t="inlineStr">
        <is>
          <t>Nadia J.</t>
        </is>
      </c>
      <c r="M379" s="6">
        <f>HYPERLINK("https://www.kleinanzeigen.de/s-bestandsliste.html?userId=79389459", "Link")</f>
        <v/>
      </c>
      <c r="N379" s="7" t="n">
        <v>45549.57363425926</v>
      </c>
      <c r="O379" s="3" t="inlineStr">
        <is>
          <t>364.91</t>
        </is>
      </c>
      <c r="P379" t="inlineStr">
        <is>
          <t>Köln</t>
        </is>
      </c>
    </row>
    <row r="380">
      <c r="A380" t="inlineStr">
        <is>
          <t>Sailloft red Line</t>
        </is>
      </c>
      <c r="B380" s="3" t="n">
        <v>400</v>
      </c>
      <c r="C380" s="8" t="inlineStr"/>
      <c r="D380" t="inlineStr"/>
      <c r="E380" s="4" t="n">
        <v>400</v>
      </c>
      <c r="F380" t="inlineStr">
        <is>
          <t>VB</t>
        </is>
      </c>
      <c r="G380" t="inlineStr">
        <is>
          <t>22761 Altona - Hamburg Bahrenfeld</t>
        </is>
      </c>
      <c r="H380" s="5" t="n">
        <v>45437</v>
      </c>
      <c r="I380" t="inlineStr">
        <is>
          <t>Sold</t>
        </is>
      </c>
      <c r="J380" s="6">
        <f>HYPERLINK("https://www.kleinanzeigen.de/s-anzeige/sailloft-red-line-mast-400-imcs-19cc/2770973868-230-9503", "Link")</f>
        <v/>
      </c>
      <c r="K380" s="6">
        <f>HYPERLINK("C:\Projects\Kleinanzeigen-Scraper\offer_images\2770973868", "Link")</f>
        <v/>
      </c>
      <c r="L380" t="inlineStr">
        <is>
          <t>Arne</t>
        </is>
      </c>
      <c r="M380" s="6">
        <f>HYPERLINK("https://www.kleinanzeigen.de/s-bestandsliste.html?userId=3759645", "Link")</f>
        <v/>
      </c>
      <c r="N380" s="7" t="n">
        <v>45549.57361111111</v>
      </c>
      <c r="O380" s="3" t="inlineStr">
        <is>
          <t>354.92</t>
        </is>
      </c>
      <c r="P380" t="inlineStr">
        <is>
          <t>Köln</t>
        </is>
      </c>
    </row>
    <row r="381">
      <c r="A381" t="inlineStr">
        <is>
          <t>Sailloft RDM 400 IMCS 19 CC</t>
        </is>
      </c>
      <c r="B381" s="3" t="n">
        <v>400</v>
      </c>
      <c r="C381" s="8" t="inlineStr">
        <is>
          <t>100%</t>
        </is>
      </c>
      <c r="D381" t="inlineStr">
        <is>
          <t>RDM</t>
        </is>
      </c>
      <c r="E381" s="4" t="n">
        <v>180</v>
      </c>
      <c r="F381" t="inlineStr"/>
      <c r="G381" t="inlineStr">
        <is>
          <t>59320 Nordrhein-Westfalen - Ennigerloh</t>
        </is>
      </c>
      <c r="H381" s="5" t="n">
        <v>45501</v>
      </c>
      <c r="I381" t="inlineStr"/>
      <c r="J381" s="6">
        <f>HYPERLINK("https://www.kleinanzeigen.de/s-anzeige/surfmast-sailloft-rdm-400-imcs-19-cc/2823403105-230-1439", "Link")</f>
        <v/>
      </c>
      <c r="K381" s="6">
        <f>HYPERLINK("C:\Projects\Kleinanzeigen-Scraper\offer_images\2823403105", "Link")</f>
        <v/>
      </c>
      <c r="L381" t="inlineStr">
        <is>
          <t>MD</t>
        </is>
      </c>
      <c r="M381" s="6">
        <f>HYPERLINK("https://www.kleinanzeigen.de/s-bestandsliste.html?userId=14971628", "Link")</f>
        <v/>
      </c>
      <c r="N381" s="7" t="n">
        <v>45549.57359953703</v>
      </c>
      <c r="O381" s="3" t="inlineStr">
        <is>
          <t>126.09</t>
        </is>
      </c>
      <c r="P381" t="inlineStr">
        <is>
          <t>Köln</t>
        </is>
      </c>
    </row>
    <row r="382">
      <c r="A382" t="inlineStr">
        <is>
          <t>Point 7</t>
        </is>
      </c>
      <c r="B382" s="3" t="n">
        <v>490</v>
      </c>
      <c r="C382" s="8" t="inlineStr">
        <is>
          <t>80%</t>
        </is>
      </c>
      <c r="D382" t="inlineStr"/>
      <c r="E382" s="4" t="n">
        <v>180</v>
      </c>
      <c r="F382" t="inlineStr">
        <is>
          <t>VB</t>
        </is>
      </c>
      <c r="G382" t="inlineStr">
        <is>
          <t>94032 Kr. Passau - Passau</t>
        </is>
      </c>
      <c r="H382" s="5" t="n">
        <v>45522</v>
      </c>
      <c r="I382" t="inlineStr"/>
      <c r="J382" s="6">
        <f>HYPERLINK("https://www.kleinanzeigen.de/s-anzeige/point-7-490cm-carbonmast-windsurf-80-incl-bag/2839734588-230-7482", "Link")</f>
        <v/>
      </c>
      <c r="K382" s="6">
        <f>HYPERLINK("C:\Projects\Kleinanzeigen-Scraper\offer_images\2839734588", "Link")</f>
        <v/>
      </c>
      <c r="L382" t="inlineStr">
        <is>
          <t>Martina</t>
        </is>
      </c>
      <c r="M382" s="6">
        <f>HYPERLINK("https://www.kleinanzeigen.de/s-bestandsliste.html?userId=34799798", "Link")</f>
        <v/>
      </c>
      <c r="N382" s="7" t="n">
        <v>45549.57355324074</v>
      </c>
      <c r="O382" s="3" t="inlineStr">
        <is>
          <t>147.66</t>
        </is>
      </c>
      <c r="P382" t="inlineStr">
        <is>
          <t>München</t>
        </is>
      </c>
    </row>
    <row r="383">
      <c r="A383" t="inlineStr">
        <is>
          <t>Severne BLUEline</t>
        </is>
      </c>
      <c r="B383" s="3" t="n">
        <v>400</v>
      </c>
      <c r="C383" s="8" t="inlineStr">
        <is>
          <t>75%</t>
        </is>
      </c>
      <c r="D383" t="inlineStr">
        <is>
          <t>SDM</t>
        </is>
      </c>
      <c r="E383" s="4" t="n">
        <v>200</v>
      </c>
      <c r="F383" t="inlineStr">
        <is>
          <t>VB</t>
        </is>
      </c>
      <c r="G383" t="inlineStr">
        <is>
          <t>85276 Bayern - Pfaffenhofen a.d. Ilm</t>
        </is>
      </c>
      <c r="H383" s="5" t="n">
        <v>45545</v>
      </c>
      <c r="I383" t="inlineStr"/>
      <c r="J383" s="6">
        <f>HYPERLINK("https://www.kleinanzeigen.de/s-anzeige/windsurfmast-severne-blueline-400-sdm-75-carbon/2859640329-230-5850", "Link")</f>
        <v/>
      </c>
      <c r="K383" s="6">
        <f>HYPERLINK("C:\Projects\Kleinanzeigen-Scraper\offer_images\2859640329", "Link")</f>
        <v/>
      </c>
      <c r="L383" t="inlineStr">
        <is>
          <t>Fillip</t>
        </is>
      </c>
      <c r="M383" s="6">
        <f>HYPERLINK("https://www.kleinanzeigen.de/s-bestandsliste.html?userId=65512741", "Link")</f>
        <v/>
      </c>
      <c r="N383" s="7" t="n">
        <v>45549.57342592593</v>
      </c>
      <c r="O383" s="3" t="inlineStr">
        <is>
          <t>47.13</t>
        </is>
      </c>
      <c r="P383" t="inlineStr">
        <is>
          <t>München</t>
        </is>
      </c>
    </row>
    <row r="384">
      <c r="A384" t="inlineStr">
        <is>
          <t>Gun Sails</t>
        </is>
      </c>
      <c r="B384" s="3" t="n">
        <v>430</v>
      </c>
      <c r="C384" s="8" t="inlineStr"/>
      <c r="D384" t="inlineStr">
        <is>
          <t>SDM</t>
        </is>
      </c>
      <c r="E384" s="4" t="n">
        <v>60</v>
      </c>
      <c r="F384" t="inlineStr"/>
      <c r="G384" t="inlineStr">
        <is>
          <t>14199 Berlin - Wilmersdorf</t>
        </is>
      </c>
      <c r="H384" s="5" t="n">
        <v>45440</v>
      </c>
      <c r="I384" t="inlineStr"/>
      <c r="J384" s="6">
        <f>HYPERLINK("https://www.kleinanzeigen.de/s-anzeige/gun-sails-windsurf-mast-430-sdm/2773539452-230-3541", "Link")</f>
        <v/>
      </c>
      <c r="K384" s="6">
        <f>HYPERLINK("C:\Projects\Kleinanzeigen-Scraper\offer_images\2773539452", "Link")</f>
        <v/>
      </c>
      <c r="L384" t="inlineStr">
        <is>
          <t>Schöneberger</t>
        </is>
      </c>
      <c r="M384" s="6">
        <f>HYPERLINK("https://www.kleinanzeigen.de/s-bestandsliste.html?userId=13556070", "Link")</f>
        <v/>
      </c>
      <c r="N384" s="7" t="n">
        <v>45549.57337962963</v>
      </c>
      <c r="O384" s="3" t="inlineStr">
        <is>
          <t>469.09</t>
        </is>
      </c>
      <c r="P384" t="inlineStr">
        <is>
          <t>Köln</t>
        </is>
      </c>
    </row>
    <row r="385">
      <c r="A385" t="inlineStr">
        <is>
          <t>Severne Mast red</t>
        </is>
      </c>
      <c r="B385" s="3" t="n">
        <v>430</v>
      </c>
      <c r="C385" s="8" t="inlineStr"/>
      <c r="D385" t="inlineStr">
        <is>
          <t>RDM</t>
        </is>
      </c>
      <c r="E385" s="4" t="n">
        <v>510</v>
      </c>
      <c r="F385" t="inlineStr"/>
      <c r="G385" t="inlineStr">
        <is>
          <t>86343 Bayern - Königsbrunn</t>
        </is>
      </c>
      <c r="H385" s="5" t="n">
        <v>45535</v>
      </c>
      <c r="I385" t="inlineStr">
        <is>
          <t>Sold</t>
        </is>
      </c>
      <c r="J385" s="6">
        <f>HYPERLINK("https://www.kleinanzeigen.de/s-anzeige/severne-mast-red-430-rdm/2850923769-230-7034", "Link")</f>
        <v/>
      </c>
      <c r="K385" s="6">
        <f>HYPERLINK("C:\Projects\Kleinanzeigen-Scraper\offer_images\2850923769", "Link")</f>
        <v/>
      </c>
      <c r="L385" t="inlineStr">
        <is>
          <t>Wolfgang Dennstädt</t>
        </is>
      </c>
      <c r="M385" s="6">
        <f>HYPERLINK("https://www.kleinanzeigen.de/s-bestandsliste.html?userId=20340449", "Link")</f>
        <v/>
      </c>
      <c r="N385" s="7" t="n">
        <v>45549.57335648148</v>
      </c>
      <c r="O385" s="3" t="inlineStr">
        <is>
          <t>52.97</t>
        </is>
      </c>
      <c r="P385" t="inlineStr">
        <is>
          <t>München</t>
        </is>
      </c>
    </row>
    <row r="386">
      <c r="A386" t="inlineStr">
        <is>
          <t>SEVERNE Red Line</t>
        </is>
      </c>
      <c r="B386" s="3" t="n">
        <v>370</v>
      </c>
      <c r="C386" s="8" t="inlineStr"/>
      <c r="D386" t="inlineStr">
        <is>
          <t>RDM</t>
        </is>
      </c>
      <c r="E386" s="4" t="n">
        <v>550</v>
      </c>
      <c r="F386" t="inlineStr"/>
      <c r="G386" t="inlineStr">
        <is>
          <t>20257 Eimsbüttel - Hamburg Eimsbüttel (Stadtteil)</t>
        </is>
      </c>
      <c r="H386" s="5" t="n">
        <v>45303</v>
      </c>
      <c r="I386" t="inlineStr">
        <is>
          <t>Sold</t>
        </is>
      </c>
      <c r="J386" s="6">
        <f>HYPERLINK("https://www.kleinanzeigen.de/s-anzeige/severne-mast-370-red-line-2022-rdm/2651060705-230-9429", "Link")</f>
        <v/>
      </c>
      <c r="K386" s="6">
        <f>HYPERLINK("C:\Projects\Kleinanzeigen-Scraper\offer_images\2651060705", "Link")</f>
        <v/>
      </c>
      <c r="L386" t="inlineStr">
        <is>
          <t>eckbert</t>
        </is>
      </c>
      <c r="M386" s="6">
        <f>HYPERLINK("https://www.kleinanzeigen.de/s-bestandsliste.html?userId=40296824", "Link")</f>
        <v/>
      </c>
      <c r="N386" s="7" t="n">
        <v>45549.57335648148</v>
      </c>
      <c r="O386" s="3" t="inlineStr">
        <is>
          <t>356.84</t>
        </is>
      </c>
      <c r="P386" t="inlineStr">
        <is>
          <t>Köln</t>
        </is>
      </c>
    </row>
    <row r="387">
      <c r="A387" t="inlineStr">
        <is>
          <t>SEVERNE Red Line</t>
        </is>
      </c>
      <c r="B387" s="3" t="n">
        <v>400</v>
      </c>
      <c r="C387" s="8" t="inlineStr"/>
      <c r="D387" t="inlineStr">
        <is>
          <t>RDM</t>
        </is>
      </c>
      <c r="E387" s="4" t="n">
        <v>600</v>
      </c>
      <c r="F387" t="inlineStr"/>
      <c r="G387" t="inlineStr">
        <is>
          <t>20257 Eimsbüttel - Hamburg Eimsbüttel (Stadtteil)</t>
        </is>
      </c>
      <c r="H387" s="5" t="n">
        <v>45303</v>
      </c>
      <c r="I387" t="inlineStr">
        <is>
          <t>Sold</t>
        </is>
      </c>
      <c r="J387" s="6">
        <f>HYPERLINK("https://www.kleinanzeigen.de/s-anzeige/severne-mast-400-red-line-2022-rdm/2651059096-230-9429", "Link")</f>
        <v/>
      </c>
      <c r="K387" s="6">
        <f>HYPERLINK("C:\Projects\Kleinanzeigen-Scraper\offer_images\2651059096", "Link")</f>
        <v/>
      </c>
      <c r="L387" t="inlineStr">
        <is>
          <t>eckbert</t>
        </is>
      </c>
      <c r="M387" s="6">
        <f>HYPERLINK("https://www.kleinanzeigen.de/s-bestandsliste.html?userId=40296824", "Link")</f>
        <v/>
      </c>
      <c r="N387" s="7" t="n">
        <v>45549.57310185185</v>
      </c>
      <c r="O387" s="3" t="inlineStr">
        <is>
          <t>356.84</t>
        </is>
      </c>
      <c r="P387" t="inlineStr">
        <is>
          <t>Köln</t>
        </is>
      </c>
    </row>
    <row r="388">
      <c r="A388" t="inlineStr">
        <is>
          <t>Sailloft</t>
        </is>
      </c>
      <c r="B388" s="3" t="n">
        <v>400</v>
      </c>
      <c r="C388" s="8" t="inlineStr"/>
      <c r="D388" t="inlineStr">
        <is>
          <t>SDM</t>
        </is>
      </c>
      <c r="E388" s="4" t="n">
        <v>285</v>
      </c>
      <c r="F388" t="inlineStr">
        <is>
          <t>VB</t>
        </is>
      </c>
      <c r="G388" t="inlineStr">
        <is>
          <t>10829 Berlin - Schöneberg</t>
        </is>
      </c>
      <c r="H388" s="5" t="n">
        <v>45422</v>
      </c>
      <c r="I388" t="inlineStr"/>
      <c r="J388" s="6">
        <f>HYPERLINK("https://www.kleinanzeigen.de/s-anzeige/sailloft-mast-400-imcs-19-cc/2757653311-230-3446", "Link")</f>
        <v/>
      </c>
      <c r="K388" s="6">
        <f>HYPERLINK("C:\Projects\Kleinanzeigen-Scraper\offer_images\2757653311", "Link")</f>
        <v/>
      </c>
      <c r="L388" t="inlineStr">
        <is>
          <t>Laß</t>
        </is>
      </c>
      <c r="M388" s="6">
        <f>HYPERLINK("https://www.kleinanzeigen.de/s-bestandsliste.html?userId=37611846", "Link")</f>
        <v/>
      </c>
      <c r="N388" s="7" t="n">
        <v>45549.5730787037</v>
      </c>
      <c r="O388" s="3" t="inlineStr">
        <is>
          <t>473.29</t>
        </is>
      </c>
      <c r="P388" t="inlineStr">
        <is>
          <t>Köln</t>
        </is>
      </c>
    </row>
    <row r="389">
      <c r="A389" t="inlineStr">
        <is>
          <t>Green Stick</t>
        </is>
      </c>
      <c r="B389" s="3" t="n">
        <v>460</v>
      </c>
      <c r="C389" s="8" t="inlineStr">
        <is>
          <t>35%</t>
        </is>
      </c>
      <c r="D389" t="inlineStr"/>
      <c r="E389" s="4" t="n">
        <v>85</v>
      </c>
      <c r="F389" t="inlineStr"/>
      <c r="G389" t="inlineStr">
        <is>
          <t>09111 Sachsen - Chemnitz</t>
        </is>
      </c>
      <c r="H389" s="5" t="n">
        <v>45547</v>
      </c>
      <c r="I389" t="inlineStr">
        <is>
          <t>Sold</t>
        </is>
      </c>
      <c r="J389" s="6">
        <f>HYPERLINK("https://www.kleinanzeigen.de/s-anzeige/windsurf-mast-460cm-mit-35-carbon-imcs-25/2861637335-230-3886", "Link")</f>
        <v/>
      </c>
      <c r="K389" s="6">
        <f>HYPERLINK("C:\Projects\Kleinanzeigen-Scraper\offer_images\2861637335", "Link")</f>
        <v/>
      </c>
      <c r="L389" t="inlineStr">
        <is>
          <t>olaf</t>
        </is>
      </c>
      <c r="M389" s="6">
        <f>HYPERLINK("https://www.kleinanzeigen.de/s-bestandsliste.html?userId=8857923", "Link")</f>
        <v/>
      </c>
      <c r="N389" s="7" t="n">
        <v>45549.57305555556</v>
      </c>
      <c r="O389" s="3" t="inlineStr">
        <is>
          <t>315.71</t>
        </is>
      </c>
      <c r="P389" t="inlineStr">
        <is>
          <t>München</t>
        </is>
      </c>
    </row>
    <row r="390">
      <c r="A390" t="inlineStr">
        <is>
          <t>Ezzy XT</t>
        </is>
      </c>
      <c r="B390" s="3" t="n">
        <v>400</v>
      </c>
      <c r="C390" s="8" t="inlineStr">
        <is>
          <t>60%</t>
        </is>
      </c>
      <c r="D390" t="inlineStr">
        <is>
          <t>RDM</t>
        </is>
      </c>
      <c r="E390" s="4" t="n">
        <v>170</v>
      </c>
      <c r="F390" t="inlineStr">
        <is>
          <t>VB</t>
        </is>
      </c>
      <c r="G390" t="inlineStr">
        <is>
          <t>48145 Münster (Westfalen) - Centrum</t>
        </is>
      </c>
      <c r="H390" s="5" t="n">
        <v>45542</v>
      </c>
      <c r="I390" t="inlineStr"/>
      <c r="J390" s="6">
        <f>HYPERLINK("https://www.kleinanzeigen.de/s-anzeige/ezzy-xt-rdm-windsurfmast-400-gut-bis-sehr-gut/2851779372-230-932", "Link")</f>
        <v/>
      </c>
      <c r="K390" s="6">
        <f>HYPERLINK("C:\Projects\Kleinanzeigen-Scraper\offer_images\2851779372", "Link")</f>
        <v/>
      </c>
      <c r="L390" t="inlineStr">
        <is>
          <t>Alessandro De Angelis</t>
        </is>
      </c>
      <c r="M390" s="6">
        <f>HYPERLINK("https://www.kleinanzeigen.de/s-bestandsliste.html?userId=32387325", "Link")</f>
        <v/>
      </c>
      <c r="N390" s="7" t="n">
        <v>45549.57285879629</v>
      </c>
      <c r="O390" s="3" t="inlineStr">
        <is>
          <t>124.19</t>
        </is>
      </c>
      <c r="P390" t="inlineStr">
        <is>
          <t>Köln</t>
        </is>
      </c>
    </row>
    <row r="391">
      <c r="A391" t="inlineStr">
        <is>
          <t>Neil Pryde UXT 28</t>
        </is>
      </c>
      <c r="B391" s="3" t="inlineStr"/>
      <c r="C391" s="8" t="inlineStr"/>
      <c r="D391" t="inlineStr">
        <is>
          <t>SDM</t>
        </is>
      </c>
      <c r="E391" s="4" t="n">
        <v>20</v>
      </c>
      <c r="F391" t="inlineStr"/>
      <c r="G391" t="inlineStr">
        <is>
          <t>81667 München - Au-Haidhausen</t>
        </is>
      </c>
      <c r="H391" s="5" t="n">
        <v>45443</v>
      </c>
      <c r="I391" t="inlineStr">
        <is>
          <t>Sold</t>
        </is>
      </c>
      <c r="J391" s="6">
        <f>HYPERLINK("https://www.kleinanzeigen.de/s-anzeige/mast-verlaengerung-uxt-28-neilpryde-/2775918640-230-6454", "Link")</f>
        <v/>
      </c>
      <c r="K391" s="6">
        <f>HYPERLINK("C:\Projects\Kleinanzeigen-Scraper\offer_images\2775918640", "Link")</f>
        <v/>
      </c>
      <c r="L391" t="inlineStr">
        <is>
          <t>Thomas Friedl</t>
        </is>
      </c>
      <c r="M391" s="6">
        <f>HYPERLINK("https://www.kleinanzeigen.de/s-bestandsliste.html?userId=37349105", "Link")</f>
        <v/>
      </c>
      <c r="N391" s="7" t="n">
        <v>45549.57268518519</v>
      </c>
      <c r="O391" s="3" t="inlineStr">
        <is>
          <t>2.06</t>
        </is>
      </c>
      <c r="P391" t="inlineStr">
        <is>
          <t>München</t>
        </is>
      </c>
    </row>
    <row r="392">
      <c r="A392" t="inlineStr">
        <is>
          <t>Gun Sails Cross</t>
        </is>
      </c>
      <c r="B392" s="3" t="n">
        <v>430</v>
      </c>
      <c r="C392" s="8" t="inlineStr"/>
      <c r="D392" t="inlineStr">
        <is>
          <t>SDM</t>
        </is>
      </c>
      <c r="E392" s="4" t="n">
        <v>160</v>
      </c>
      <c r="F392" t="inlineStr"/>
      <c r="G392" t="inlineStr">
        <is>
          <t>50259 Nordrhein-Westfalen - Pulheim</t>
        </is>
      </c>
      <c r="H392" s="5" t="n">
        <v>45223</v>
      </c>
      <c r="I392" t="inlineStr"/>
      <c r="J392" s="6">
        <f>HYPERLINK("https://www.kleinanzeigen.de/s-anzeige/gun-sail-surf-mast-430-cross/2582248440-230-1889", "Link")</f>
        <v/>
      </c>
      <c r="K392" s="6">
        <f>HYPERLINK("C:\Projects\Kleinanzeigen-Scraper\offer_images\2582248440", "Link")</f>
        <v/>
      </c>
      <c r="L392" t="inlineStr">
        <is>
          <t>G. Thomas</t>
        </is>
      </c>
      <c r="M392" s="6">
        <f>HYPERLINK("https://www.kleinanzeigen.de/s-bestandsliste.html?userId=9434781", "Link")</f>
        <v/>
      </c>
      <c r="N392" s="7" t="n">
        <v>45549.57263888889</v>
      </c>
      <c r="O392" s="3" t="inlineStr">
        <is>
          <t>13.20</t>
        </is>
      </c>
      <c r="P392" t="inlineStr">
        <is>
          <t>Köln</t>
        </is>
      </c>
    </row>
    <row r="393">
      <c r="A393" t="inlineStr">
        <is>
          <t>GUN SAILS Terminator C70</t>
        </is>
      </c>
      <c r="B393" s="3" t="n">
        <v>465</v>
      </c>
      <c r="C393" s="8" t="inlineStr"/>
      <c r="D393" t="inlineStr"/>
      <c r="E393" s="4" t="n">
        <v>69</v>
      </c>
      <c r="F393" t="inlineStr">
        <is>
          <t>VB</t>
        </is>
      </c>
      <c r="G393" t="inlineStr">
        <is>
          <t>24558 Schleswig-Holstein - Henstedt-Ulzburg</t>
        </is>
      </c>
      <c r="H393" s="5" t="n">
        <v>45480</v>
      </c>
      <c r="I393" t="inlineStr"/>
      <c r="J393" s="6">
        <f>HYPERLINK("https://www.kleinanzeigen.de/s-anzeige/gun-sails-mast-windsurfmast-terminator-c70-465cm-4-65m/2806984731-230-13734", "Link")</f>
        <v/>
      </c>
      <c r="K393" s="6">
        <f>HYPERLINK("C:\Projects\Kleinanzeigen-Scraper\offer_images\2806984731", "Link")</f>
        <v/>
      </c>
      <c r="L393" t="inlineStr">
        <is>
          <t>Privat</t>
        </is>
      </c>
      <c r="M393" s="6">
        <f>HYPERLINK("https://www.kleinanzeigen.de/s-bestandsliste.html?userId=48291089", "Link")</f>
        <v/>
      </c>
      <c r="N393" s="7" t="n">
        <v>45549.57258101852</v>
      </c>
      <c r="O393" s="3" t="inlineStr">
        <is>
          <t>379.46</t>
        </is>
      </c>
      <c r="P393" t="inlineStr">
        <is>
          <t>Köln</t>
        </is>
      </c>
    </row>
    <row r="394">
      <c r="A394" t="inlineStr">
        <is>
          <t>Naish Taper 75</t>
        </is>
      </c>
      <c r="B394" s="3" t="n">
        <v>400</v>
      </c>
      <c r="C394" s="8" t="inlineStr">
        <is>
          <t>75%</t>
        </is>
      </c>
      <c r="D394" t="inlineStr"/>
      <c r="E394" s="4" t="n">
        <v>60</v>
      </c>
      <c r="F394" t="inlineStr">
        <is>
          <t>VB</t>
        </is>
      </c>
      <c r="G394" t="inlineStr">
        <is>
          <t>22417 Hamburg-Nord - Hamburg Langenhorn</t>
        </is>
      </c>
      <c r="H394" s="5" t="n">
        <v>45543</v>
      </c>
      <c r="I394" t="inlineStr">
        <is>
          <t>Sold</t>
        </is>
      </c>
      <c r="J394" s="6">
        <f>HYPERLINK("https://www.kleinanzeigen.de/s-anzeige/surfmast-naish-taper-75-laenge-400-cm-75-carbon/2857521033-230-9489", "Link")</f>
        <v/>
      </c>
      <c r="K394" s="6">
        <f>HYPERLINK("C:\Projects\Kleinanzeigen-Scraper\offer_images\2857521033", "Link")</f>
        <v/>
      </c>
      <c r="L394" t="inlineStr">
        <is>
          <t>Schubert</t>
        </is>
      </c>
      <c r="M394" s="6">
        <f>HYPERLINK("https://www.kleinanzeigen.de/s-bestandsliste.html?userId=19609546", "Link")</f>
        <v/>
      </c>
      <c r="N394" s="7" t="n">
        <v>45549.57258101852</v>
      </c>
      <c r="O394" s="3" t="inlineStr">
        <is>
          <t>368.88</t>
        </is>
      </c>
      <c r="P394" t="inlineStr">
        <is>
          <t>Köln</t>
        </is>
      </c>
    </row>
    <row r="395">
      <c r="A395" t="inlineStr">
        <is>
          <t>Severne ApexPro</t>
        </is>
      </c>
      <c r="B395" s="3" t="n">
        <v>460</v>
      </c>
      <c r="C395" s="8" t="inlineStr"/>
      <c r="D395" t="inlineStr">
        <is>
          <t>SDM</t>
        </is>
      </c>
      <c r="E395" s="4" t="n">
        <v>530</v>
      </c>
      <c r="F395" t="inlineStr"/>
      <c r="G395" t="inlineStr">
        <is>
          <t>86343 Bayern - Königsbrunn</t>
        </is>
      </c>
      <c r="H395" s="5" t="n">
        <v>45535</v>
      </c>
      <c r="I395" t="inlineStr">
        <is>
          <t>Sold</t>
        </is>
      </c>
      <c r="J395" s="6">
        <f>HYPERLINK("https://www.kleinanzeigen.de/s-anzeige/severne-apexpro-460-sdm/2850928976-230-7034", "Link")</f>
        <v/>
      </c>
      <c r="K395" s="6">
        <f>HYPERLINK("C:\Projects\Kleinanzeigen-Scraper\offer_images\2850928976", "Link")</f>
        <v/>
      </c>
      <c r="L395" t="inlineStr">
        <is>
          <t>Wolfgang Dennstädt</t>
        </is>
      </c>
      <c r="M395" s="6">
        <f>HYPERLINK("https://www.kleinanzeigen.de/s-bestandsliste.html?userId=20340449", "Link")</f>
        <v/>
      </c>
      <c r="N395" s="7" t="n">
        <v>45549.57258101852</v>
      </c>
      <c r="O395" s="3" t="inlineStr">
        <is>
          <t>52.97</t>
        </is>
      </c>
      <c r="P395" t="inlineStr">
        <is>
          <t>München</t>
        </is>
      </c>
    </row>
    <row r="396">
      <c r="A396" t="inlineStr">
        <is>
          <t>Duotone Silver.70 Series</t>
        </is>
      </c>
      <c r="B396" s="3" t="n">
        <v>370</v>
      </c>
      <c r="C396" s="8" t="inlineStr">
        <is>
          <t>70%</t>
        </is>
      </c>
      <c r="D396" t="inlineStr">
        <is>
          <t>RDM</t>
        </is>
      </c>
      <c r="E396" s="4" t="n">
        <v>469</v>
      </c>
      <c r="F396" t="inlineStr"/>
      <c r="G396" t="inlineStr">
        <is>
          <t>82319 Bayern - Starnberg</t>
        </is>
      </c>
      <c r="H396" s="5" t="n">
        <v>45549</v>
      </c>
      <c r="I396" t="inlineStr">
        <is>
          <t>Sold</t>
        </is>
      </c>
      <c r="J396" s="6">
        <f>HYPERLINK("https://www.kleinanzeigen.de/s-anzeige/dtw-duotone-silver-70-series-mast-370-cm-rdm-neu-windsurf/1810555307-230-5525", "Link")</f>
        <v/>
      </c>
      <c r="K396" s="6">
        <f>HYPERLINK("C:\Projects\Kleinanzeigen-Scraper\offer_images\1810555307", "Link")</f>
        <v/>
      </c>
      <c r="L396" t="inlineStr">
        <is>
          <t>No user name</t>
        </is>
      </c>
      <c r="M396" s="6">
        <f>HYPERLINK("https://www.kleinanzeigen.deNo user link", "Link")</f>
        <v/>
      </c>
      <c r="N396" s="7" t="n">
        <v>45549.5724537037</v>
      </c>
      <c r="O396" s="3" t="inlineStr">
        <is>
          <t>23.17</t>
        </is>
      </c>
      <c r="P396" t="inlineStr">
        <is>
          <t>München</t>
        </is>
      </c>
    </row>
    <row r="397">
      <c r="A397" t="inlineStr">
        <is>
          <t>Severne HD</t>
        </is>
      </c>
      <c r="B397" s="3" t="n">
        <v>105</v>
      </c>
      <c r="C397" s="8" t="inlineStr"/>
      <c r="D397" t="inlineStr">
        <is>
          <t>SDM</t>
        </is>
      </c>
      <c r="E397" s="4" t="n">
        <v>60</v>
      </c>
      <c r="F397" t="inlineStr"/>
      <c r="G397" t="inlineStr">
        <is>
          <t>25421 Kreis Pinneberg - Pinneberg</t>
        </is>
      </c>
      <c r="H397" s="5" t="n">
        <v>45521</v>
      </c>
      <c r="I397" t="inlineStr"/>
      <c r="J397" s="6">
        <f>HYPERLINK("https://www.kleinanzeigen.de/s-anzeige/severne-hd-sdm-extension/2838661231-230-786", "Link")</f>
        <v/>
      </c>
      <c r="K397" s="6">
        <f>HYPERLINK("C:\Projects\Kleinanzeigen-Scraper\offer_images\2838661231", "Link")</f>
        <v/>
      </c>
      <c r="L397" t="inlineStr">
        <is>
          <t>Dennie Riechelman</t>
        </is>
      </c>
      <c r="M397" s="6">
        <f>HYPERLINK("https://www.kleinanzeigen.de/s-bestandsliste.html?userId=34994583", "Link")</f>
        <v/>
      </c>
      <c r="N397" s="7" t="n">
        <v>45549.57243055556</v>
      </c>
      <c r="O397" s="3" t="inlineStr">
        <is>
          <t>357.38</t>
        </is>
      </c>
      <c r="P397" t="inlineStr">
        <is>
          <t>Köln</t>
        </is>
      </c>
    </row>
    <row r="398">
      <c r="A398" t="inlineStr">
        <is>
          <t>Neilpryde Matrix X7</t>
        </is>
      </c>
      <c r="B398" s="3" t="n">
        <v>490</v>
      </c>
      <c r="C398" s="8" t="inlineStr">
        <is>
          <t>100%</t>
        </is>
      </c>
      <c r="D398" t="inlineStr"/>
      <c r="E398" s="4" t="n">
        <v>100</v>
      </c>
      <c r="F398" t="inlineStr">
        <is>
          <t>VB</t>
        </is>
      </c>
      <c r="G398" t="inlineStr">
        <is>
          <t>27578 Häfen - Bremerhaven</t>
        </is>
      </c>
      <c r="H398" s="5" t="n">
        <v>45519</v>
      </c>
      <c r="I398" t="inlineStr"/>
      <c r="J398" s="6">
        <f>HYPERLINK("https://www.kleinanzeigen.de/s-anzeige/neilpryde-matrix-x7-windsurfmast-vollcarbon/2837486386-230-54", "Link")</f>
        <v/>
      </c>
      <c r="K398" s="6">
        <f>HYPERLINK("C:\Projects\Kleinanzeigen-Scraper\offer_images\2837486386", "Link")</f>
        <v/>
      </c>
      <c r="L398" t="inlineStr">
        <is>
          <t>D. Hirtreiter</t>
        </is>
      </c>
      <c r="M398" s="6">
        <f>HYPERLINK("https://www.kleinanzeigen.de/s-bestandsliste.html?userId=85975022", "Link")</f>
        <v/>
      </c>
      <c r="N398" s="7" t="n">
        <v>45549.57243055556</v>
      </c>
      <c r="O398" s="3" t="inlineStr">
        <is>
          <t>315.40</t>
        </is>
      </c>
      <c r="P398" t="inlineStr">
        <is>
          <t>Köln</t>
        </is>
      </c>
    </row>
    <row r="399">
      <c r="A399" t="inlineStr">
        <is>
          <t>Epx Gun Sails</t>
        </is>
      </c>
      <c r="B399" s="3" t="n">
        <v>430</v>
      </c>
      <c r="C399" s="8" t="inlineStr"/>
      <c r="D399" t="inlineStr"/>
      <c r="E399" s="4" t="n">
        <v>70</v>
      </c>
      <c r="F399" t="inlineStr"/>
      <c r="G399" t="inlineStr">
        <is>
          <t>49196 Niedersachsen - Bad Laer</t>
        </is>
      </c>
      <c r="H399" s="5" t="n">
        <v>45500</v>
      </c>
      <c r="I399" t="inlineStr">
        <is>
          <t>Sold</t>
        </is>
      </c>
      <c r="J399" s="6">
        <f>HYPERLINK("https://www.kleinanzeigen.de/s-anzeige/epx-windsurfmast-430-gun-sails/2822534341-230-1633", "Link")</f>
        <v/>
      </c>
      <c r="K399" s="6">
        <f>HYPERLINK("C:\Projects\Kleinanzeigen-Scraper\offer_images\2822534341", "Link")</f>
        <v/>
      </c>
      <c r="L399" t="inlineStr">
        <is>
          <t>Aaron G</t>
        </is>
      </c>
      <c r="M399" s="6">
        <f>HYPERLINK("https://www.kleinanzeigen.de/s-bestandsliste.html?userId=74299464", "Link")</f>
        <v/>
      </c>
      <c r="N399" s="7" t="n">
        <v>45549.57243055556</v>
      </c>
      <c r="O399" s="3" t="inlineStr">
        <is>
          <t>150.47</t>
        </is>
      </c>
      <c r="P399" t="inlineStr">
        <is>
          <t>Köln</t>
        </is>
      </c>
    </row>
    <row r="400">
      <c r="A400" t="inlineStr">
        <is>
          <t>NAISH Wing Foil Mast Alu S27</t>
        </is>
      </c>
      <c r="B400" s="3" t="n">
        <v>95</v>
      </c>
      <c r="C400" s="8" t="inlineStr"/>
      <c r="D400" t="inlineStr"/>
      <c r="E400" s="4" t="n">
        <v>198</v>
      </c>
      <c r="F400" t="inlineStr"/>
      <c r="G400" t="inlineStr">
        <is>
          <t>82467 Bayern - Garmisch-Partenkirchen</t>
        </is>
      </c>
      <c r="H400" s="5" t="n">
        <v>45540</v>
      </c>
      <c r="I400" t="inlineStr">
        <is>
          <t>Sold</t>
        </is>
      </c>
      <c r="J400" s="6">
        <f>HYPERLINK("https://www.kleinanzeigen.de/s-anzeige/naish-wing-foil-mast-alu-s27-in-95-cm-neu-in-ovp/2854633667-230-6338", "Link")</f>
        <v/>
      </c>
      <c r="K400" s="6">
        <f>HYPERLINK("C:\Projects\Kleinanzeigen-Scraper\offer_images\2854633667", "Link")</f>
        <v/>
      </c>
      <c r="L400" t="inlineStr">
        <is>
          <t>Jürgen Mussmann</t>
        </is>
      </c>
      <c r="M400" s="6">
        <f>HYPERLINK("https://www.kleinanzeigen.de/s-bestandsliste.html?userId=12796836", "Link")</f>
        <v/>
      </c>
      <c r="N400" s="7" t="n">
        <v>45549.57240740741</v>
      </c>
      <c r="O400" s="3" t="inlineStr">
        <is>
          <t>80.76</t>
        </is>
      </c>
      <c r="P400" t="inlineStr">
        <is>
          <t>München</t>
        </is>
      </c>
    </row>
    <row r="401">
      <c r="A401" t="inlineStr">
        <is>
          <t>Neilpryde Matrix 2000 Wavepro</t>
        </is>
      </c>
      <c r="B401" s="3" t="n">
        <v>460</v>
      </c>
      <c r="C401" s="8" t="inlineStr"/>
      <c r="D401" t="inlineStr">
        <is>
          <t>SDM</t>
        </is>
      </c>
      <c r="E401" s="4" t="n">
        <v>99</v>
      </c>
      <c r="F401" t="inlineStr">
        <is>
          <t>VB</t>
        </is>
      </c>
      <c r="G401" t="inlineStr">
        <is>
          <t>76287 Baden-Württemberg - Rheinstetten</t>
        </is>
      </c>
      <c r="H401" s="5" t="n">
        <v>45548</v>
      </c>
      <c r="I401" t="inlineStr"/>
      <c r="J401" s="6">
        <f>HYPERLINK("https://www.kleinanzeigen.de/s-anzeige/neilpryde-matrix-2000-wavepro-460-sdm/2862374303-230-8166", "Link")</f>
        <v/>
      </c>
      <c r="K401" s="6">
        <f>HYPERLINK("C:\Projects\Kleinanzeigen-Scraper\offer_images\2862374303", "Link")</f>
        <v/>
      </c>
      <c r="L401" t="inlineStr">
        <is>
          <t>Dominik</t>
        </is>
      </c>
      <c r="M401" s="6">
        <f>HYPERLINK("https://www.kleinanzeigen.de/s-bestandsliste.html?userId=16948579", "Link")</f>
        <v/>
      </c>
      <c r="N401" s="7" t="n">
        <v>45549.57238425926</v>
      </c>
      <c r="O401" s="3" t="inlineStr">
        <is>
          <t>7.05</t>
        </is>
      </c>
      <c r="P401" t="inlineStr">
        <is>
          <t>Karlsruhe</t>
        </is>
      </c>
    </row>
    <row r="402">
      <c r="A402" t="inlineStr">
        <is>
          <t>Naish</t>
        </is>
      </c>
      <c r="B402" s="3" t="n">
        <v>85</v>
      </c>
      <c r="C402" s="8" t="inlineStr">
        <is>
          <t>35%</t>
        </is>
      </c>
      <c r="D402" t="inlineStr"/>
      <c r="E402" s="4" t="n">
        <v>299</v>
      </c>
      <c r="F402" t="inlineStr"/>
      <c r="G402" t="inlineStr">
        <is>
          <t>10318 Berlin - Lichtenberg</t>
        </is>
      </c>
      <c r="H402" s="5" t="n">
        <v>45536</v>
      </c>
      <c r="I402" t="inlineStr">
        <is>
          <t>Sold</t>
        </is>
      </c>
      <c r="J402" s="6">
        <f>HYPERLINK("https://www.kleinanzeigen.de/s-anzeige/naish-foil-mast-s-27-85cm-foil-kite-kitefoilmast-foilmast/2753393874-230-9681", "Link")</f>
        <v/>
      </c>
      <c r="K402" s="6">
        <f>HYPERLINK("C:\Projects\Kleinanzeigen-Scraper\offer_images\2753393874", "Link")</f>
        <v/>
      </c>
      <c r="L402" t="inlineStr">
        <is>
          <t>Thomas</t>
        </is>
      </c>
      <c r="M402" s="6">
        <f>HYPERLINK("https://www.kleinanzeigen.de/s-bestandsliste.html?userId=10369856", "Link")</f>
        <v/>
      </c>
      <c r="N402" s="7" t="n">
        <v>45549.57232638889</v>
      </c>
      <c r="O402" s="3" t="inlineStr">
        <is>
          <t>483.53</t>
        </is>
      </c>
      <c r="P402" t="inlineStr">
        <is>
          <t>Köln</t>
        </is>
      </c>
    </row>
    <row r="403">
      <c r="A403" t="inlineStr">
        <is>
          <t>Gun Sails Advantage</t>
        </is>
      </c>
      <c r="B403" s="3" t="n">
        <v>460</v>
      </c>
      <c r="C403" s="8" t="inlineStr">
        <is>
          <t>35%</t>
        </is>
      </c>
      <c r="D403" t="inlineStr">
        <is>
          <t>SDM</t>
        </is>
      </c>
      <c r="E403" s="4" t="n">
        <v>150</v>
      </c>
      <c r="F403" t="inlineStr"/>
      <c r="G403" t="inlineStr">
        <is>
          <t>18445 Mecklenburg-Vorpommern - Groß Mohrdorf</t>
        </is>
      </c>
      <c r="H403" s="5" t="n">
        <v>45428</v>
      </c>
      <c r="I403" t="inlineStr"/>
      <c r="J403" s="6">
        <f>HYPERLINK("https://www.kleinanzeigen.de/s-anzeige/gun-sails-mast-460-35-carbon/2762688609-230-26174", "Link")</f>
        <v/>
      </c>
      <c r="K403" s="6">
        <f>HYPERLINK("C:\Projects\Kleinanzeigen-Scraper\offer_images\2762688609", "Link")</f>
        <v/>
      </c>
      <c r="L403" t="inlineStr">
        <is>
          <t>Winny</t>
        </is>
      </c>
      <c r="M403" s="6">
        <f>HYPERLINK("https://www.kleinanzeigen.de/s-bestandsliste.html?userId=30281358", "Link")</f>
        <v/>
      </c>
      <c r="N403" s="7" t="n">
        <v>45549.57225694445</v>
      </c>
      <c r="O403" s="3" t="inlineStr">
        <is>
          <t>559.35</t>
        </is>
      </c>
      <c r="P403" t="inlineStr">
        <is>
          <t>Köln</t>
        </is>
      </c>
    </row>
    <row r="404">
      <c r="A404" t="inlineStr">
        <is>
          <t>Gun Sails Select</t>
        </is>
      </c>
      <c r="B404" s="3" t="n">
        <v>430</v>
      </c>
      <c r="C404" s="8" t="inlineStr">
        <is>
          <t>100%</t>
        </is>
      </c>
      <c r="D404" t="inlineStr">
        <is>
          <t>RDM</t>
        </is>
      </c>
      <c r="E404" s="4" t="n">
        <v>180</v>
      </c>
      <c r="F404" t="inlineStr"/>
      <c r="G404" t="inlineStr">
        <is>
          <t>23795 Schleswig-Holstein - Bad Segeberg</t>
        </is>
      </c>
      <c r="H404" s="5" t="n">
        <v>45548</v>
      </c>
      <c r="I404" t="inlineStr"/>
      <c r="J404" s="6">
        <f>HYPERLINK("https://www.kleinanzeigen.de/s-anzeige/gun-sails-mast-select-rdm-430-100-/2862296943-230-13372", "Link")</f>
        <v/>
      </c>
      <c r="K404" s="6">
        <f>HYPERLINK("C:\Projects\Kleinanzeigen-Scraper\offer_images\2862296943", "Link")</f>
        <v/>
      </c>
      <c r="L404" t="inlineStr">
        <is>
          <t>H.P.</t>
        </is>
      </c>
      <c r="M404" s="6">
        <f>HYPERLINK("https://www.kleinanzeigen.de/s-bestandsliste.html?userId=3587719", "Link")</f>
        <v/>
      </c>
      <c r="N404" s="7" t="n">
        <v>45549.57225694445</v>
      </c>
      <c r="O404" s="3" t="inlineStr">
        <is>
          <t>402.01</t>
        </is>
      </c>
      <c r="P404" t="inlineStr">
        <is>
          <t>Köln</t>
        </is>
      </c>
    </row>
    <row r="405">
      <c r="A405" t="inlineStr">
        <is>
          <t>Neilpryde</t>
        </is>
      </c>
      <c r="B405" s="3" t="n">
        <v>48</v>
      </c>
      <c r="C405" s="8" t="inlineStr"/>
      <c r="D405" t="inlineStr">
        <is>
          <t>SDM</t>
        </is>
      </c>
      <c r="E405" s="4" t="n">
        <v>79</v>
      </c>
      <c r="F405" t="inlineStr"/>
      <c r="G405" t="inlineStr">
        <is>
          <t>88090 Baden-Württemberg - Immenstaad</t>
        </is>
      </c>
      <c r="H405" s="5" t="n">
        <v>45455</v>
      </c>
      <c r="I405" t="inlineStr"/>
      <c r="J405" s="6">
        <f>HYPERLINK("https://www.kleinanzeigen.de/s-anzeige/neilpryde-neil-pryde-mastverlaengerung-alu-48-cm-sdm/2786415311-230-9216", "Link")</f>
        <v/>
      </c>
      <c r="K405" s="6">
        <f>HYPERLINK("C:\Projects\Kleinanzeigen-Scraper\offer_images\2786415311", "Link")</f>
        <v/>
      </c>
      <c r="L405" t="inlineStr">
        <is>
          <t>Stefan von der Nüll</t>
        </is>
      </c>
      <c r="M405" s="6">
        <f>HYPERLINK("https://www.kleinanzeigen.de/s-bestandsliste.html?userId=9767526", "Link")</f>
        <v/>
      </c>
      <c r="N405" s="7" t="n">
        <v>45549.57216435186</v>
      </c>
      <c r="O405" s="3" t="inlineStr">
        <is>
          <t>78.43</t>
        </is>
      </c>
      <c r="P405" t="inlineStr">
        <is>
          <t>Bonndorf</t>
        </is>
      </c>
    </row>
    <row r="406">
      <c r="A406" t="inlineStr">
        <is>
          <t>NeilPryde SPX 65</t>
        </is>
      </c>
      <c r="B406" s="3" t="n">
        <v>400</v>
      </c>
      <c r="C406" s="8" t="inlineStr">
        <is>
          <t>100%</t>
        </is>
      </c>
      <c r="D406" t="inlineStr">
        <is>
          <t>RDM</t>
        </is>
      </c>
      <c r="E406" s="4" t="n">
        <v>270</v>
      </c>
      <c r="F406" t="inlineStr">
        <is>
          <t>VB</t>
        </is>
      </c>
      <c r="G406" t="inlineStr">
        <is>
          <t>83727 Bayern - Schliersee</t>
        </is>
      </c>
      <c r="H406" s="5" t="n">
        <v>45524</v>
      </c>
      <c r="I406" t="inlineStr"/>
      <c r="J406" s="6">
        <f>HYPERLINK("https://www.kleinanzeigen.de/s-anzeige/mast-neilpryde-spx-65-rdm-400/2842282159-230-5897", "Link")</f>
        <v/>
      </c>
      <c r="K406" s="6">
        <f>HYPERLINK("C:\Projects\Kleinanzeigen-Scraper\offer_images\2842282159", "Link")</f>
        <v/>
      </c>
      <c r="L406" t="inlineStr">
        <is>
          <t>JF</t>
        </is>
      </c>
      <c r="M406" s="6">
        <f>HYPERLINK("https://www.kleinanzeigen.de/s-bestandsliste.html?userId=129339459", "Link")</f>
        <v/>
      </c>
      <c r="N406" s="7" t="n">
        <v>45549.57210648148</v>
      </c>
      <c r="O406" s="3" t="inlineStr">
        <is>
          <t>54.23</t>
        </is>
      </c>
      <c r="P406" t="inlineStr">
        <is>
          <t>München</t>
        </is>
      </c>
    </row>
    <row r="407">
      <c r="A407" t="inlineStr">
        <is>
          <t>North Sails Power XT Needle</t>
        </is>
      </c>
      <c r="B407" s="3" t="n">
        <v>42</v>
      </c>
      <c r="C407" s="8" t="inlineStr"/>
      <c r="D407" t="inlineStr">
        <is>
          <t>RDM</t>
        </is>
      </c>
      <c r="E407" s="4" t="n">
        <v>119</v>
      </c>
      <c r="F407" t="inlineStr">
        <is>
          <t>VB</t>
        </is>
      </c>
      <c r="G407" t="inlineStr">
        <is>
          <t>76287 Baden-Württemberg - Rheinstetten</t>
        </is>
      </c>
      <c r="H407" s="5" t="n">
        <v>45548</v>
      </c>
      <c r="I407" t="inlineStr">
        <is>
          <t>Sold</t>
        </is>
      </c>
      <c r="J407" s="6">
        <f>HYPERLINK("https://www.kleinanzeigen.de/s-anzeige/north-sails-power-xt-needle-42-rdm-mastverlaengerung-ratsche/2862457396-230-8166", "Link")</f>
        <v/>
      </c>
      <c r="K407" s="6">
        <f>HYPERLINK("C:\Projects\Kleinanzeigen-Scraper\offer_images\2862457396", "Link")</f>
        <v/>
      </c>
      <c r="L407" t="inlineStr">
        <is>
          <t>Dominik</t>
        </is>
      </c>
      <c r="M407" s="6">
        <f>HYPERLINK("https://www.kleinanzeigen.de/s-bestandsliste.html?userId=16948579", "Link")</f>
        <v/>
      </c>
      <c r="N407" s="7" t="n">
        <v>45549.57208333333</v>
      </c>
      <c r="O407" s="3" t="inlineStr">
        <is>
          <t>7.05</t>
        </is>
      </c>
      <c r="P407" t="inlineStr">
        <is>
          <t>Karlsruhe</t>
        </is>
      </c>
    </row>
    <row r="408">
      <c r="A408" t="inlineStr">
        <is>
          <t>Gun Sails Energy</t>
        </is>
      </c>
      <c r="B408" s="3" t="n">
        <v>460</v>
      </c>
      <c r="C408" s="8" t="inlineStr">
        <is>
          <t>35%</t>
        </is>
      </c>
      <c r="D408" t="inlineStr"/>
      <c r="E408" s="4" t="n">
        <v>40</v>
      </c>
      <c r="F408" t="inlineStr"/>
      <c r="G408" t="inlineStr">
        <is>
          <t>38678 Niedersachsen - Clausthal-Zellerfeld</t>
        </is>
      </c>
      <c r="H408" s="5" t="n">
        <v>45511</v>
      </c>
      <c r="I408" t="inlineStr">
        <is>
          <t>Sold</t>
        </is>
      </c>
      <c r="J408" s="6">
        <f>HYPERLINK("https://www.kleinanzeigen.de/s-anzeige/gun-sails-mast-energy-460-c35-cc/2831140711-230-14378", "Link")</f>
        <v/>
      </c>
      <c r="K408" s="6">
        <f>HYPERLINK("C:\Projects\Kleinanzeigen-Scraper\offer_images\2831140711", "Link")</f>
        <v/>
      </c>
      <c r="L408" t="inlineStr">
        <is>
          <t>Jürgen Alich</t>
        </is>
      </c>
      <c r="M408" s="6">
        <f>HYPERLINK("https://www.kleinanzeigen.de/s-bestandsliste.html?userId=34847286", "Link")</f>
        <v/>
      </c>
      <c r="N408" s="7" t="n">
        <v>45549.57208333333</v>
      </c>
      <c r="O408" s="3" t="inlineStr">
        <is>
          <t>254.15</t>
        </is>
      </c>
      <c r="P408" t="inlineStr">
        <is>
          <t>Köln</t>
        </is>
      </c>
    </row>
    <row r="409">
      <c r="A409" t="inlineStr">
        <is>
          <t>Neilpryde TPX 100</t>
        </is>
      </c>
      <c r="B409" s="3" t="n">
        <v>460</v>
      </c>
      <c r="C409" s="8" t="inlineStr">
        <is>
          <t>100%</t>
        </is>
      </c>
      <c r="D409" t="inlineStr">
        <is>
          <t>RDM</t>
        </is>
      </c>
      <c r="E409" s="4" t="n">
        <v>400</v>
      </c>
      <c r="F409" t="inlineStr">
        <is>
          <t>VB</t>
        </is>
      </c>
      <c r="G409" t="inlineStr">
        <is>
          <t>88074 Baden-Württemberg - Meckenbeuren</t>
        </is>
      </c>
      <c r="H409" s="5" t="n">
        <v>45538</v>
      </c>
      <c r="I409" t="inlineStr"/>
      <c r="J409" s="6">
        <f>HYPERLINK("https://www.kleinanzeigen.de/s-anzeige/neilpryde-tpx-100-rdm-460cm/2853440363-230-8349", "Link")</f>
        <v/>
      </c>
      <c r="K409" s="6">
        <f>HYPERLINK("C:\Projects\Kleinanzeigen-Scraper\offer_images\2853440363", "Link")</f>
        <v/>
      </c>
      <c r="L409" t="inlineStr">
        <is>
          <t>Dennis E.</t>
        </is>
      </c>
      <c r="M409" s="6">
        <f>HYPERLINK("https://www.kleinanzeigen.de/s-bestandsliste.html?userId=12947484", "Link")</f>
        <v/>
      </c>
      <c r="N409" s="7" t="n">
        <v>45549.57197916666</v>
      </c>
      <c r="O409" s="3" t="inlineStr">
        <is>
          <t>93.37</t>
        </is>
      </c>
      <c r="P409" t="inlineStr">
        <is>
          <t>Bonndorf</t>
        </is>
      </c>
    </row>
    <row r="410">
      <c r="A410" t="inlineStr">
        <is>
          <t>Sailloft C100</t>
        </is>
      </c>
      <c r="B410" s="3" t="n">
        <v>490</v>
      </c>
      <c r="C410" s="8" t="inlineStr"/>
      <c r="D410" t="inlineStr"/>
      <c r="E410" s="4" t="n">
        <v>400</v>
      </c>
      <c r="F410" t="inlineStr">
        <is>
          <t>VB</t>
        </is>
      </c>
      <c r="G410" t="inlineStr">
        <is>
          <t>88287 Baden-Württemberg - Grünkraut</t>
        </is>
      </c>
      <c r="H410" s="5" t="n">
        <v>45496</v>
      </c>
      <c r="I410" t="inlineStr">
        <is>
          <t>Sold</t>
        </is>
      </c>
      <c r="J410" s="6">
        <f>HYPERLINK("https://www.kleinanzeigen.de/s-anzeige/sailloft-mast-c100-490cm/2819480330-230-9227", "Link")</f>
        <v/>
      </c>
      <c r="K410" s="6">
        <f>HYPERLINK("C:\Projects\Kleinanzeigen-Scraper\offer_images\2819480330", "Link")</f>
        <v/>
      </c>
      <c r="L410" t="inlineStr">
        <is>
          <t>RICHARD</t>
        </is>
      </c>
      <c r="M410" s="6">
        <f>HYPERLINK("https://www.kleinanzeigen.de/s-bestandsliste.html?userId=26415858", "Link")</f>
        <v/>
      </c>
      <c r="N410" s="7" t="n">
        <v>45549.57188657407</v>
      </c>
      <c r="O410" s="3" t="inlineStr">
        <is>
          <t>98.85</t>
        </is>
      </c>
      <c r="P410" t="inlineStr">
        <is>
          <t>Bonndorf</t>
        </is>
      </c>
    </row>
    <row r="411">
      <c r="A411" t="inlineStr">
        <is>
          <t>Severne Mast Red</t>
        </is>
      </c>
      <c r="B411" s="3" t="n">
        <v>400</v>
      </c>
      <c r="C411" s="8" t="inlineStr"/>
      <c r="D411" t="inlineStr">
        <is>
          <t>RDM</t>
        </is>
      </c>
      <c r="E411" s="4" t="n">
        <v>500</v>
      </c>
      <c r="F411" t="inlineStr"/>
      <c r="G411" t="inlineStr">
        <is>
          <t>86343 Bayern - Königsbrunn</t>
        </is>
      </c>
      <c r="H411" s="5" t="n">
        <v>45535</v>
      </c>
      <c r="I411" t="inlineStr">
        <is>
          <t>Sold</t>
        </is>
      </c>
      <c r="J411" s="6">
        <f>HYPERLINK("https://www.kleinanzeigen.de/s-anzeige/severne-mast-red-400-rdm/2850921192-230-7034", "Link")</f>
        <v/>
      </c>
      <c r="K411" s="6">
        <f>HYPERLINK("C:\Projects\Kleinanzeigen-Scraper\offer_images\2850921192", "Link")</f>
        <v/>
      </c>
      <c r="L411" t="inlineStr">
        <is>
          <t>Wolfgang Dennstädt</t>
        </is>
      </c>
      <c r="M411" s="6">
        <f>HYPERLINK("https://www.kleinanzeigen.de/s-bestandsliste.html?userId=20340449", "Link")</f>
        <v/>
      </c>
      <c r="N411" s="7" t="n">
        <v>45549.5718287037</v>
      </c>
      <c r="O411" s="3" t="inlineStr">
        <is>
          <t>52.97</t>
        </is>
      </c>
      <c r="P411" t="inlineStr">
        <is>
          <t>München</t>
        </is>
      </c>
    </row>
    <row r="412">
      <c r="A412" t="inlineStr">
        <is>
          <t>Neilpryde Matrix x7</t>
        </is>
      </c>
      <c r="B412" s="3" t="n">
        <v>520</v>
      </c>
      <c r="C412" s="8" t="inlineStr">
        <is>
          <t>100%</t>
        </is>
      </c>
      <c r="D412" t="inlineStr"/>
      <c r="E412" s="4" t="n">
        <v>160</v>
      </c>
      <c r="F412" t="inlineStr">
        <is>
          <t>VB</t>
        </is>
      </c>
      <c r="G412" t="inlineStr">
        <is>
          <t>27578 Häfen - Bremerhaven</t>
        </is>
      </c>
      <c r="H412" s="5" t="n">
        <v>45519</v>
      </c>
      <c r="I412" t="inlineStr"/>
      <c r="J412" s="6">
        <f>HYPERLINK("https://www.kleinanzeigen.de/s-anzeige/neilpryde-matrix-x7-windsurfmast-vollcarbon/2837493206-230-54", "Link")</f>
        <v/>
      </c>
      <c r="K412" s="6">
        <f>HYPERLINK("C:\Projects\Kleinanzeigen-Scraper\offer_images\2837493206", "Link")</f>
        <v/>
      </c>
      <c r="L412" t="inlineStr">
        <is>
          <t>D. Hirtreiter</t>
        </is>
      </c>
      <c r="M412" s="6">
        <f>HYPERLINK("https://www.kleinanzeigen.de/s-bestandsliste.html?userId=85975022", "Link")</f>
        <v/>
      </c>
      <c r="N412" s="7" t="n">
        <v>45549.57173611111</v>
      </c>
      <c r="O412" s="3" t="inlineStr">
        <is>
          <t>315.40</t>
        </is>
      </c>
      <c r="P412" t="inlineStr">
        <is>
          <t>Köln</t>
        </is>
      </c>
    </row>
    <row r="413">
      <c r="A413" t="inlineStr">
        <is>
          <t>Naish</t>
        </is>
      </c>
      <c r="B413" s="3" t="n">
        <v>75</v>
      </c>
      <c r="C413" s="8" t="inlineStr"/>
      <c r="D413" t="inlineStr"/>
      <c r="E413" s="4" t="n">
        <v>299</v>
      </c>
      <c r="F413" t="inlineStr"/>
      <c r="G413" t="inlineStr">
        <is>
          <t>85521 Kr. München - Ottobrunn</t>
        </is>
      </c>
      <c r="H413" s="5" t="n">
        <v>45540</v>
      </c>
      <c r="I413" t="inlineStr"/>
      <c r="J413" s="6">
        <f>HYPERLINK("https://www.kleinanzeigen.de/s-anzeige/naish-foilmast-alu-75cm/2855340604-230-15597", "Link")</f>
        <v/>
      </c>
      <c r="K413" s="6">
        <f>HYPERLINK("C:\Projects\Kleinanzeigen-Scraper\offer_images\2855340604", "Link")</f>
        <v/>
      </c>
      <c r="L413" t="inlineStr">
        <is>
          <t>Dieter Raditsch</t>
        </is>
      </c>
      <c r="M413" s="6">
        <f>HYPERLINK("https://www.kleinanzeigen.de/s-bestandsliste.html?userId=123269547", "Link")</f>
        <v/>
      </c>
      <c r="N413" s="7" t="n">
        <v>45549.57171296296</v>
      </c>
      <c r="O413" s="3" t="inlineStr">
        <is>
          <t>11.05</t>
        </is>
      </c>
      <c r="P413" t="inlineStr">
        <is>
          <t>München</t>
        </is>
      </c>
    </row>
    <row r="414">
      <c r="A414" t="inlineStr">
        <is>
          <t>Duotone Spirit SLS</t>
        </is>
      </c>
      <c r="B414" s="3" t="n">
        <v>90</v>
      </c>
      <c r="C414" s="8" t="inlineStr">
        <is>
          <t>100%</t>
        </is>
      </c>
      <c r="D414" t="inlineStr"/>
      <c r="E414" s="4" t="n">
        <v>499</v>
      </c>
      <c r="F414" t="inlineStr"/>
      <c r="G414" t="inlineStr">
        <is>
          <t>28213 Schwachhausen - Neu Schwachhausen</t>
        </is>
      </c>
      <c r="H414" s="5" t="n">
        <v>45538</v>
      </c>
      <c r="I414" t="inlineStr">
        <is>
          <t>Sold</t>
        </is>
      </c>
      <c r="J414" s="6">
        <f>HYPERLINK("https://www.kleinanzeigen.de/s-anzeige/duotone-sls-90cm-carbon-mast-spirit-wingfoil-kitefoil/2853765771-230-21", "Link")</f>
        <v/>
      </c>
      <c r="K414" s="6">
        <f>HYPERLINK("C:\Projects\Kleinanzeigen-Scraper\offer_images\2853765771", "Link")</f>
        <v/>
      </c>
      <c r="L414" t="inlineStr">
        <is>
          <t>TM</t>
        </is>
      </c>
      <c r="M414" s="6">
        <f>HYPERLINK("https://www.kleinanzeigen.de/s-bestandsliste.html?userId=83051803", "Link")</f>
        <v/>
      </c>
      <c r="N414" s="7" t="n">
        <v>45549.57168981482</v>
      </c>
      <c r="O414" s="3" t="inlineStr">
        <is>
          <t>272.28</t>
        </is>
      </c>
      <c r="P414" t="inlineStr">
        <is>
          <t>Köln</t>
        </is>
      </c>
    </row>
    <row r="415">
      <c r="A415" t="inlineStr">
        <is>
          <t>North Sails Xcellerator</t>
        </is>
      </c>
      <c r="B415" s="3" t="n">
        <v>430</v>
      </c>
      <c r="C415" s="8" t="inlineStr"/>
      <c r="D415" t="inlineStr"/>
      <c r="E415" s="4" t="n">
        <v>66</v>
      </c>
      <c r="F415" t="inlineStr">
        <is>
          <t>VB</t>
        </is>
      </c>
      <c r="G415" t="inlineStr">
        <is>
          <t>71384 Baden-Württemberg - Weinstadt</t>
        </is>
      </c>
      <c r="H415" s="5" t="n">
        <v>45545</v>
      </c>
      <c r="I415" t="inlineStr">
        <is>
          <t>Sold</t>
        </is>
      </c>
      <c r="J415" s="6">
        <f>HYPERLINK("https://www.kleinanzeigen.de/s-anzeige/north-sails-mast-xcellerator-430-21cc/2859642296-230-8386", "Link")</f>
        <v/>
      </c>
      <c r="K415" s="6">
        <f>HYPERLINK("C:\Projects\Kleinanzeigen-Scraper\offer_images\2859642296", "Link")</f>
        <v/>
      </c>
      <c r="L415" t="inlineStr">
        <is>
          <t>Frank</t>
        </is>
      </c>
      <c r="M415" s="6">
        <f>HYPERLINK("https://www.kleinanzeigen.de/s-bestandsliste.html?userId=5342134", "Link")</f>
        <v/>
      </c>
      <c r="N415" s="7" t="n">
        <v>45549.57167824074</v>
      </c>
      <c r="O415" s="3" t="inlineStr">
        <is>
          <t>33.53</t>
        </is>
      </c>
      <c r="P415" t="inlineStr">
        <is>
          <t>Böblingen</t>
        </is>
      </c>
    </row>
    <row r="416">
      <c r="A416" t="inlineStr">
        <is>
          <t>North</t>
        </is>
      </c>
      <c r="B416" s="3" t="n">
        <v>430</v>
      </c>
      <c r="C416" s="8" t="inlineStr">
        <is>
          <t>50%</t>
        </is>
      </c>
      <c r="D416" t="inlineStr">
        <is>
          <t>SDM</t>
        </is>
      </c>
      <c r="E416" s="4" t="n">
        <v>80</v>
      </c>
      <c r="F416" t="inlineStr"/>
      <c r="G416" t="inlineStr">
        <is>
          <t>85635 Kr. München - Höhenkirchen-Siegertsbrunn</t>
        </is>
      </c>
      <c r="H416" s="5" t="n">
        <v>45538</v>
      </c>
      <c r="I416" t="inlineStr">
        <is>
          <t>Sold</t>
        </is>
      </c>
      <c r="J416" s="6">
        <f>HYPERLINK("https://www.kleinanzeigen.de/s-anzeige/430er-north-sdm-mast-50-carbon/2853544569-230-5513", "Link")</f>
        <v/>
      </c>
      <c r="K416" s="6">
        <f>HYPERLINK("C:\Projects\Kleinanzeigen-Scraper\offer_images\2853544569", "Link")</f>
        <v/>
      </c>
      <c r="L416" t="inlineStr">
        <is>
          <t>Rainer W.</t>
        </is>
      </c>
      <c r="M416" s="6">
        <f>HYPERLINK("https://www.kleinanzeigen.de/s-bestandsliste.html?userId=30249788", "Link")</f>
        <v/>
      </c>
      <c r="N416" s="7" t="n">
        <v>45549.57166666666</v>
      </c>
      <c r="O416" s="3" t="inlineStr">
        <is>
          <t>18.14</t>
        </is>
      </c>
      <c r="P416" t="inlineStr">
        <is>
          <t>München</t>
        </is>
      </c>
    </row>
    <row r="417">
      <c r="A417" t="inlineStr">
        <is>
          <t>Neilpryde Neil Pryde Carbon Mast X6</t>
        </is>
      </c>
      <c r="B417" s="3" t="n">
        <v>490</v>
      </c>
      <c r="C417" s="8" t="inlineStr">
        <is>
          <t>90%</t>
        </is>
      </c>
      <c r="D417" t="inlineStr"/>
      <c r="E417" s="4" t="n">
        <v>150</v>
      </c>
      <c r="F417" t="inlineStr">
        <is>
          <t>VB</t>
        </is>
      </c>
      <c r="G417" t="inlineStr">
        <is>
          <t>50858 Köln - Junkersdorf</t>
        </is>
      </c>
      <c r="H417" s="5" t="n">
        <v>45530</v>
      </c>
      <c r="I417" t="inlineStr">
        <is>
          <t>Sold</t>
        </is>
      </c>
      <c r="J417" s="6">
        <f>HYPERLINK("https://www.kleinanzeigen.de/s-anzeige/reserviert-neilpryde-neil-pryde-carbon-mast-x6-490-cm/2847251007-230-17139", "Link")</f>
        <v/>
      </c>
      <c r="K417" s="6">
        <f>HYPERLINK("C:\Projects\Kleinanzeigen-Scraper\offer_images\2847251007", "Link")</f>
        <v/>
      </c>
      <c r="L417" t="inlineStr">
        <is>
          <t>Ingo Riemann</t>
        </is>
      </c>
      <c r="M417" s="6">
        <f>HYPERLINK("https://www.kleinanzeigen.de/s-bestandsliste.html?userId=54165116", "Link")</f>
        <v/>
      </c>
      <c r="N417" s="7" t="n">
        <v>45549.57165509259</v>
      </c>
      <c r="O417" s="3" t="inlineStr">
        <is>
          <t>7.26</t>
        </is>
      </c>
      <c r="P417" t="inlineStr">
        <is>
          <t>Köln</t>
        </is>
      </c>
    </row>
    <row r="418">
      <c r="A418" t="inlineStr">
        <is>
          <t>Neilpryde X9 Matrix</t>
        </is>
      </c>
      <c r="B418" s="3" t="n">
        <v>530</v>
      </c>
      <c r="C418" s="8" t="inlineStr"/>
      <c r="D418" t="inlineStr"/>
      <c r="E418" s="4" t="n">
        <v>170</v>
      </c>
      <c r="F418" t="inlineStr">
        <is>
          <t>VB</t>
        </is>
      </c>
      <c r="G418" t="inlineStr">
        <is>
          <t>12587 Berlin - Köpenick</t>
        </is>
      </c>
      <c r="H418" s="5" t="n">
        <v>45528</v>
      </c>
      <c r="I418" t="inlineStr"/>
      <c r="J418" s="6">
        <f>HYPERLINK("https://www.kleinanzeigen.de/s-anzeige/neilpryde-mast-x9-matrix-530-haerte-34-/2845299803-230-3374", "Link")</f>
        <v/>
      </c>
      <c r="K418" s="6">
        <f>HYPERLINK("C:\Projects\Kleinanzeigen-Scraper\offer_images\2845299803", "Link")</f>
        <v/>
      </c>
      <c r="L418" t="inlineStr">
        <is>
          <t>Müller</t>
        </is>
      </c>
      <c r="M418" s="6">
        <f>HYPERLINK("https://www.kleinanzeigen.de/s-bestandsliste.html?userId=5985090", "Link")</f>
        <v/>
      </c>
      <c r="N418" s="7" t="n">
        <v>45549.57152777778</v>
      </c>
      <c r="O418" s="3" t="inlineStr">
        <is>
          <t>490.72</t>
        </is>
      </c>
      <c r="P418" t="inlineStr">
        <is>
          <t>Köln</t>
        </is>
      </c>
    </row>
    <row r="419">
      <c r="A419" t="inlineStr">
        <is>
          <t>Neilpryde Extension XT 26</t>
        </is>
      </c>
      <c r="B419" s="3" t="inlineStr"/>
      <c r="C419" s="8" t="inlineStr"/>
      <c r="D419" t="inlineStr"/>
      <c r="E419" s="4" t="n">
        <v>15</v>
      </c>
      <c r="F419" t="inlineStr"/>
      <c r="G419" t="inlineStr">
        <is>
          <t>21635 Niedersachsen - Jork</t>
        </is>
      </c>
      <c r="H419" s="5" t="n">
        <v>45538</v>
      </c>
      <c r="I419" t="inlineStr"/>
      <c r="J419" s="6">
        <f>HYPERLINK("https://www.kleinanzeigen.de/s-anzeige/neilpryde-mastverlaengerung-extension-xt-26/2853364721-230-3291", "Link")</f>
        <v/>
      </c>
      <c r="K419" s="6">
        <f>HYPERLINK("C:\Projects\Kleinanzeigen-Scraper\offer_images\2853364721", "Link")</f>
        <v/>
      </c>
      <c r="L419" t="inlineStr">
        <is>
          <t>MU</t>
        </is>
      </c>
      <c r="M419" s="6">
        <f>HYPERLINK("https://www.kleinanzeigen.de/s-bestandsliste.html?userId=7562773", "Link")</f>
        <v/>
      </c>
      <c r="N419" s="7" t="n">
        <v>45549.57142361111</v>
      </c>
      <c r="O419" s="3" t="inlineStr">
        <is>
          <t>343.43</t>
        </is>
      </c>
      <c r="P419" t="inlineStr">
        <is>
          <t>Köln</t>
        </is>
      </c>
    </row>
    <row r="420">
      <c r="A420" t="inlineStr">
        <is>
          <t>Caas Powerwave</t>
        </is>
      </c>
      <c r="B420" s="3" t="n">
        <v>400</v>
      </c>
      <c r="C420" s="8" t="inlineStr">
        <is>
          <t>75%</t>
        </is>
      </c>
      <c r="D420" t="inlineStr"/>
      <c r="E420" s="4" t="n">
        <v>169</v>
      </c>
      <c r="F420" t="inlineStr">
        <is>
          <t>VB</t>
        </is>
      </c>
      <c r="G420" t="inlineStr">
        <is>
          <t>20251 Hamburg-Nord - Hamburg Eppendorf</t>
        </is>
      </c>
      <c r="H420" s="5" t="n">
        <v>45371</v>
      </c>
      <c r="I420" t="inlineStr"/>
      <c r="J420" s="6">
        <f>HYPERLINK("https://www.kleinanzeigen.de/s-anzeige/mast-surfmast-caas-wie-goya-powerwave-400cm-75-carbon/2711835861-230-9475", "Link")</f>
        <v/>
      </c>
      <c r="K420" s="6">
        <f>HYPERLINK("C:\Projects\Kleinanzeigen-Scraper\offer_images\2711835861", "Link")</f>
        <v/>
      </c>
      <c r="L420" t="inlineStr">
        <is>
          <t>Felix S.</t>
        </is>
      </c>
      <c r="M420" s="6">
        <f>HYPERLINK("https://www.kleinanzeigen.de/s-bestandsliste.html?userId=23995242", "Link")</f>
        <v/>
      </c>
      <c r="N420" s="7" t="n">
        <v>45549.57137731482</v>
      </c>
      <c r="O420" s="3" t="inlineStr">
        <is>
          <t>360.06</t>
        </is>
      </c>
      <c r="P420" t="inlineStr">
        <is>
          <t>Köln</t>
        </is>
      </c>
    </row>
    <row r="421">
      <c r="A421" t="inlineStr">
        <is>
          <t>Gunsails Advantage</t>
        </is>
      </c>
      <c r="B421" s="3" t="n">
        <v>460</v>
      </c>
      <c r="C421" s="8" t="inlineStr">
        <is>
          <t>35%</t>
        </is>
      </c>
      <c r="D421" t="inlineStr">
        <is>
          <t>SDM</t>
        </is>
      </c>
      <c r="E421" s="4" t="n">
        <v>90</v>
      </c>
      <c r="F421" t="inlineStr">
        <is>
          <t>VB</t>
        </is>
      </c>
      <c r="G421" t="inlineStr">
        <is>
          <t>61191 Hessen - Rosbach (v d Höhe)</t>
        </is>
      </c>
      <c r="H421" s="5" t="n">
        <v>45506</v>
      </c>
      <c r="I421" t="inlineStr">
        <is>
          <t>Sold</t>
        </is>
      </c>
      <c r="J421" s="6">
        <f>HYPERLINK("https://www.kleinanzeigen.de/s-anzeige/gunsails-advantage-mast-sdm-460-35-carbon-gun-sails/2827220885-230-4568", "Link")</f>
        <v/>
      </c>
      <c r="K421" s="6">
        <f>HYPERLINK("C:\Projects\Kleinanzeigen-Scraper\offer_images\2827220885", "Link")</f>
        <v/>
      </c>
      <c r="L421" t="inlineStr">
        <is>
          <t>Streb</t>
        </is>
      </c>
      <c r="M421" s="6">
        <f>HYPERLINK("https://www.kleinanzeigen.de/s-bestandsliste.html?userId=19468762", "Link")</f>
        <v/>
      </c>
      <c r="N421" s="7" t="n">
        <v>45549.57130787037</v>
      </c>
      <c r="O421" s="3" t="inlineStr">
        <is>
          <t>143.44</t>
        </is>
      </c>
      <c r="P421" t="inlineStr">
        <is>
          <t>Karlsruhe</t>
        </is>
      </c>
    </row>
    <row r="422">
      <c r="A422" t="inlineStr">
        <is>
          <t>North Platinum Aero2.0</t>
        </is>
      </c>
      <c r="B422" s="3" t="n">
        <v>430</v>
      </c>
      <c r="C422" s="8" t="inlineStr">
        <is>
          <t>100%</t>
        </is>
      </c>
      <c r="D422" t="inlineStr">
        <is>
          <t>RDM</t>
        </is>
      </c>
      <c r="E422" s="4" t="n">
        <v>290</v>
      </c>
      <c r="F422" t="inlineStr"/>
      <c r="G422" t="inlineStr">
        <is>
          <t>47809 Nordrhein-Westfalen - Krefeld</t>
        </is>
      </c>
      <c r="H422" s="5" t="n">
        <v>45546</v>
      </c>
      <c r="I422" t="inlineStr">
        <is>
          <t>Sold</t>
        </is>
      </c>
      <c r="J422" s="6">
        <f>HYPERLINK("https://www.kleinanzeigen.de/s-anzeige/north-sails-platinum-aero2-0-mast-430-rdm/2860105907-230-1979", "Link")</f>
        <v/>
      </c>
      <c r="K422" s="6">
        <f>HYPERLINK("C:\Projects\Kleinanzeigen-Scraper\offer_images\2860105907", "Link")</f>
        <v/>
      </c>
      <c r="L422" t="inlineStr">
        <is>
          <t>Paul Neukirchen</t>
        </is>
      </c>
      <c r="M422" s="6">
        <f>HYPERLINK("https://www.kleinanzeigen.de/s-bestandsliste.html?userId=5345982", "Link")</f>
        <v/>
      </c>
      <c r="N422" s="7" t="n">
        <v>45549.57130787037</v>
      </c>
      <c r="O422" s="3" t="inlineStr">
        <is>
          <t>48.58</t>
        </is>
      </c>
      <c r="P422" t="inlineStr">
        <is>
          <t>Köln</t>
        </is>
      </c>
    </row>
    <row r="423">
      <c r="A423" t="inlineStr">
        <is>
          <t>Neilpryde FLX70</t>
        </is>
      </c>
      <c r="B423" s="3" t="n">
        <v>400</v>
      </c>
      <c r="C423" s="8" t="inlineStr">
        <is>
          <t>70%</t>
        </is>
      </c>
      <c r="D423" t="inlineStr">
        <is>
          <t>SDM</t>
        </is>
      </c>
      <c r="E423" s="4" t="n">
        <v>150</v>
      </c>
      <c r="F423" t="inlineStr">
        <is>
          <t>VB</t>
        </is>
      </c>
      <c r="G423" t="inlineStr">
        <is>
          <t>85386 Bayern - Eching (Kr Freising)</t>
        </is>
      </c>
      <c r="H423" s="5" t="n">
        <v>45454</v>
      </c>
      <c r="I423" t="inlineStr"/>
      <c r="J423" s="6">
        <f>HYPERLINK("https://www.kleinanzeigen.de/s-anzeige/neilpryde-flx70-400-carbon-windsurf-mast-sdm/2785959787-230-6618", "Link")</f>
        <v/>
      </c>
      <c r="K423" s="6">
        <f>HYPERLINK("C:\Projects\Kleinanzeigen-Scraper\offer_images\2785959787", "Link")</f>
        <v/>
      </c>
      <c r="L423" t="inlineStr">
        <is>
          <t>LKH_MUC</t>
        </is>
      </c>
      <c r="M423" s="6">
        <f>HYPERLINK("https://www.kleinanzeigen.de/s-bestandsliste.html?userId=140634069", "Link")</f>
        <v/>
      </c>
      <c r="N423" s="7" t="n">
        <v>45549.57122685185</v>
      </c>
      <c r="O423" s="3" t="inlineStr">
        <is>
          <t>18.75</t>
        </is>
      </c>
      <c r="P423" t="inlineStr">
        <is>
          <t>München</t>
        </is>
      </c>
    </row>
    <row r="424">
      <c r="A424" t="inlineStr">
        <is>
          <t>Severne RDM Blue</t>
        </is>
      </c>
      <c r="B424" s="3" t="n">
        <v>460</v>
      </c>
      <c r="C424" s="8" t="inlineStr"/>
      <c r="D424" t="inlineStr">
        <is>
          <t>RDM</t>
        </is>
      </c>
      <c r="E424" s="4" t="n">
        <v>490</v>
      </c>
      <c r="F424" t="inlineStr"/>
      <c r="G424" t="inlineStr">
        <is>
          <t>52134 Nordrhein-Westfalen - Herzogenrath</t>
        </is>
      </c>
      <c r="H424" s="5" t="n">
        <v>45538</v>
      </c>
      <c r="I424" t="inlineStr">
        <is>
          <t>Sold</t>
        </is>
      </c>
      <c r="J424" s="6">
        <f>HYPERLINK("https://www.kleinanzeigen.de/s-anzeige/severne-mast-rdm-blue-460/2853113678-230-1712", "Link")</f>
        <v/>
      </c>
      <c r="K424" s="6">
        <f>HYPERLINK("C:\Projects\Kleinanzeigen-Scraper\offer_images\2853113678", "Link")</f>
        <v/>
      </c>
      <c r="L424" t="inlineStr">
        <is>
          <t>Karin Buchholz</t>
        </is>
      </c>
      <c r="M424" s="6">
        <f>HYPERLINK("https://www.kleinanzeigen.de/s-bestandsliste.html?userId=31104342", "Link")</f>
        <v/>
      </c>
      <c r="N424" s="7" t="n">
        <v>45549.5712037037</v>
      </c>
      <c r="O424" s="3" t="inlineStr">
        <is>
          <t>59.57</t>
        </is>
      </c>
      <c r="P424" t="inlineStr">
        <is>
          <t>Köln</t>
        </is>
      </c>
    </row>
    <row r="425">
      <c r="A425" t="inlineStr">
        <is>
          <t>Neil Pryde FLX 40</t>
        </is>
      </c>
      <c r="B425" s="3" t="n">
        <v>400</v>
      </c>
      <c r="C425" s="8" t="inlineStr">
        <is>
          <t>40%</t>
        </is>
      </c>
      <c r="D425" t="inlineStr">
        <is>
          <t>SDM</t>
        </is>
      </c>
      <c r="E425" s="4" t="n">
        <v>70</v>
      </c>
      <c r="F425" t="inlineStr">
        <is>
          <t>VB</t>
        </is>
      </c>
      <c r="G425" t="inlineStr">
        <is>
          <t>24235 Schleswig-Holstein - Stein (Probstei)</t>
        </is>
      </c>
      <c r="H425" s="5" t="n">
        <v>45537</v>
      </c>
      <c r="I425" t="inlineStr"/>
      <c r="J425" s="6">
        <f>HYPERLINK("https://www.kleinanzeigen.de/s-anzeige/surfmast-neilpryde-4-metersdm/2852221017-230-19456", "Link")</f>
        <v/>
      </c>
      <c r="K425" s="6">
        <f>HYPERLINK("C:\Projects\Kleinanzeigen-Scraper\offer_images\2852221017", "Link")</f>
        <v/>
      </c>
      <c r="L425" t="inlineStr">
        <is>
          <t>Thomas Redetzky</t>
        </is>
      </c>
      <c r="M425" s="6">
        <f>HYPERLINK("https://www.kleinanzeigen.de/s-bestandsliste.html?userId=42018641", "Link")</f>
        <v/>
      </c>
      <c r="N425" s="7" t="n">
        <v>45549.57107638889</v>
      </c>
      <c r="O425" s="3" t="inlineStr">
        <is>
          <t>443.73</t>
        </is>
      </c>
      <c r="P425" t="inlineStr">
        <is>
          <t>Köln</t>
        </is>
      </c>
    </row>
    <row r="426">
      <c r="A426" t="inlineStr">
        <is>
          <t>NeilPryde SPX 65</t>
        </is>
      </c>
      <c r="B426" s="3" t="n">
        <v>400</v>
      </c>
      <c r="C426" s="8" t="inlineStr"/>
      <c r="D426" t="inlineStr">
        <is>
          <t>RDM</t>
        </is>
      </c>
      <c r="E426" s="4" t="n">
        <v>250</v>
      </c>
      <c r="F426" t="inlineStr">
        <is>
          <t>VB</t>
        </is>
      </c>
      <c r="G426" t="inlineStr">
        <is>
          <t>18055 Rostock - Stadtmitte</t>
        </is>
      </c>
      <c r="H426" s="5" t="n">
        <v>45532</v>
      </c>
      <c r="I426" t="inlineStr">
        <is>
          <t>Sold</t>
        </is>
      </c>
      <c r="J426" s="6">
        <f>HYPERLINK("https://www.kleinanzeigen.de/s-anzeige/neilpryde-spx-65-rdm-400-mast/2848733866-230-157", "Link")</f>
        <v/>
      </c>
      <c r="K426" s="6">
        <f>HYPERLINK("C:\Projects\Kleinanzeigen-Scraper\offer_images\2848733866", "Link")</f>
        <v/>
      </c>
      <c r="L426" t="inlineStr">
        <is>
          <t>Chiara Krack</t>
        </is>
      </c>
      <c r="M426" s="6">
        <f>HYPERLINK("https://www.kleinanzeigen.de/s-bestandsliste.html?userId=77546793", "Link")</f>
        <v/>
      </c>
      <c r="N426" s="7" t="n">
        <v>45549.57103009259</v>
      </c>
      <c r="O426" s="3" t="inlineStr">
        <is>
          <t>496.50</t>
        </is>
      </c>
      <c r="P426" t="inlineStr">
        <is>
          <t>Köln</t>
        </is>
      </c>
    </row>
    <row r="427">
      <c r="A427" t="inlineStr">
        <is>
          <t>Naish Foil</t>
        </is>
      </c>
      <c r="B427" s="3" t="n">
        <v>85</v>
      </c>
      <c r="C427" s="8" t="inlineStr"/>
      <c r="D427" t="inlineStr"/>
      <c r="E427" s="4" t="n">
        <v>349</v>
      </c>
      <c r="F427" t="inlineStr">
        <is>
          <t>VB</t>
        </is>
      </c>
      <c r="G427" t="inlineStr">
        <is>
          <t>26125 Niedersachsen - Oldenburg</t>
        </is>
      </c>
      <c r="H427" s="5" t="n">
        <v>45545</v>
      </c>
      <c r="I427" t="inlineStr">
        <is>
          <t>Sold</t>
        </is>
      </c>
      <c r="J427" s="6">
        <f>HYPERLINK("https://www.kleinanzeigen.de/s-anzeige/naish-foil-zubehoer-foil-mast-alloy-2023-85-cm/2859562416-230-3111", "Link")</f>
        <v/>
      </c>
      <c r="K427" s="6">
        <f>HYPERLINK("C:\Projects\Kleinanzeigen-Scraper\offer_images\2859562416", "Link")</f>
        <v/>
      </c>
      <c r="L427" t="inlineStr">
        <is>
          <t>No user name</t>
        </is>
      </c>
      <c r="M427" s="6">
        <f>HYPERLINK("https://www.kleinanzeigen.deNo user link", "Link")</f>
        <v/>
      </c>
      <c r="N427" s="7" t="n">
        <v>45549.57098379629</v>
      </c>
      <c r="O427" s="3" t="inlineStr">
        <is>
          <t>264.10</t>
        </is>
      </c>
      <c r="P427" t="inlineStr">
        <is>
          <t>Köln</t>
        </is>
      </c>
    </row>
    <row r="428">
      <c r="A428" t="inlineStr">
        <is>
          <t>RRD Mast-Verlängerung</t>
        </is>
      </c>
      <c r="B428" s="3" t="n">
        <v>46</v>
      </c>
      <c r="C428" s="8" t="inlineStr">
        <is>
          <t>100%</t>
        </is>
      </c>
      <c r="D428" t="inlineStr">
        <is>
          <t>RDM</t>
        </is>
      </c>
      <c r="E428" s="4" t="n">
        <v>130</v>
      </c>
      <c r="F428" t="inlineStr"/>
      <c r="G428" t="inlineStr">
        <is>
          <t>45145 Essen-West - Frohnhausen</t>
        </is>
      </c>
      <c r="H428" s="5" t="n">
        <v>45491</v>
      </c>
      <c r="I428" t="inlineStr"/>
      <c r="J428" s="6">
        <f>HYPERLINK("https://www.kleinanzeigen.de/s-anzeige/rrd-mast-verlaengerung-carbon-rdm-46/2815081749-230-2054", "Link")</f>
        <v/>
      </c>
      <c r="K428" s="6">
        <f>HYPERLINK("C:\Projects\Kleinanzeigen-Scraper\offer_images\2815081749", "Link")</f>
        <v/>
      </c>
      <c r="L428" t="inlineStr">
        <is>
          <t>Nikolaus</t>
        </is>
      </c>
      <c r="M428" s="6">
        <f>HYPERLINK("https://www.kleinanzeigen.de/s-bestandsliste.html?userId=63400707", "Link")</f>
        <v/>
      </c>
      <c r="N428" s="7" t="n">
        <v>45549.57087962963</v>
      </c>
      <c r="O428" s="3" t="inlineStr">
        <is>
          <t>56.41</t>
        </is>
      </c>
      <c r="P428" t="inlineStr">
        <is>
          <t>Köln</t>
        </is>
      </c>
    </row>
    <row r="429">
      <c r="A429" t="inlineStr">
        <is>
          <t>NEILPRYDE Carbongabel X 9</t>
        </is>
      </c>
      <c r="B429" s="3" t="inlineStr">
        <is>
          <t>200-250</t>
        </is>
      </c>
      <c r="C429" s="8" t="inlineStr"/>
      <c r="D429" t="inlineStr"/>
      <c r="E429" s="4" t="n">
        <v>130</v>
      </c>
      <c r="F429" t="inlineStr"/>
      <c r="G429" t="inlineStr">
        <is>
          <t>22147 Wandsbek - Hamburg Rahlstedt</t>
        </is>
      </c>
      <c r="H429" s="5" t="n">
        <v>45553</v>
      </c>
      <c r="I429" t="inlineStr"/>
      <c r="J429" s="6">
        <f>HYPERLINK("https://www.kleinanzeigen.de/s-anzeige/neilpryde-carbongabel-x-9-200-bis-250/2853563924-230-9458", "Link")</f>
        <v/>
      </c>
      <c r="K429" s="6">
        <f>HYPERLINK("C:\Projects\Kleinanzeigen-Scraper\offer_images\2853563924", "Link")</f>
        <v/>
      </c>
      <c r="L429" t="inlineStr">
        <is>
          <t>Andreas Höchst</t>
        </is>
      </c>
      <c r="M429" s="6">
        <f>HYPERLINK("https://www.kleinanzeigen.de/s-bestandsliste.html?userId=30635251", "Link")</f>
        <v/>
      </c>
      <c r="N429" s="7" t="n">
        <v>45549.57085648148</v>
      </c>
      <c r="O429" s="3" t="inlineStr">
        <is>
          <t>367.83</t>
        </is>
      </c>
      <c r="P429" t="inlineStr">
        <is>
          <t>Köln</t>
        </is>
      </c>
    </row>
    <row r="430">
      <c r="A430" t="inlineStr">
        <is>
          <t>Severne ARC APEX</t>
        </is>
      </c>
      <c r="B430" s="3" t="n">
        <v>400</v>
      </c>
      <c r="C430" s="8" t="inlineStr">
        <is>
          <t>100%</t>
        </is>
      </c>
      <c r="D430" t="inlineStr"/>
      <c r="E430" s="4" t="n">
        <v>300</v>
      </c>
      <c r="F430" t="inlineStr">
        <is>
          <t>VB</t>
        </is>
      </c>
      <c r="G430" t="inlineStr">
        <is>
          <t>85276 Bayern - Pfaffenhofen a.d. Ilm</t>
        </is>
      </c>
      <c r="H430" s="5" t="n">
        <v>45545</v>
      </c>
      <c r="I430" t="inlineStr"/>
      <c r="J430" s="6">
        <f>HYPERLINK("https://www.kleinanzeigen.de/s-anzeige/severne-arc-apex-rc-490-100-carbon/2859643900-230-5850", "Link")</f>
        <v/>
      </c>
      <c r="K430" s="6">
        <f>HYPERLINK("C:\Projects\Kleinanzeigen-Scraper\offer_images\2859643900", "Link")</f>
        <v/>
      </c>
      <c r="L430" t="inlineStr">
        <is>
          <t>Fillip</t>
        </is>
      </c>
      <c r="M430" s="6">
        <f>HYPERLINK("https://www.kleinanzeigen.de/s-bestandsliste.html?userId=65512741", "Link")</f>
        <v/>
      </c>
      <c r="N430" s="7" t="n">
        <v>45549.57085648148</v>
      </c>
      <c r="O430" s="3" t="inlineStr">
        <is>
          <t>47.13</t>
        </is>
      </c>
      <c r="P430" t="inlineStr">
        <is>
          <t>München</t>
        </is>
      </c>
    </row>
    <row r="431">
      <c r="A431" t="inlineStr">
        <is>
          <t>Neilpryde UXT-48</t>
        </is>
      </c>
      <c r="B431" s="3" t="inlineStr"/>
      <c r="C431" s="8" t="inlineStr"/>
      <c r="D431" t="inlineStr">
        <is>
          <t>SDM</t>
        </is>
      </c>
      <c r="E431" s="4" t="n">
        <v>25</v>
      </c>
      <c r="F431" t="inlineStr"/>
      <c r="G431" t="inlineStr">
        <is>
          <t>51379 Nordrhein-Westfalen - Leverkusen</t>
        </is>
      </c>
      <c r="H431" s="5" t="n">
        <v>45511</v>
      </c>
      <c r="I431" t="inlineStr">
        <is>
          <t>Sold</t>
        </is>
      </c>
      <c r="J431" s="6">
        <f>HYPERLINK("https://www.kleinanzeigen.de/s-anzeige/neilpryde-uxt-48-mastverlaengerung/2831228809-230-1991", "Link")</f>
        <v/>
      </c>
      <c r="K431" s="6">
        <f>HYPERLINK("C:\Projects\Kleinanzeigen-Scraper\offer_images\2831228809", "Link")</f>
        <v/>
      </c>
      <c r="L431" t="inlineStr">
        <is>
          <t>Thorsten</t>
        </is>
      </c>
      <c r="M431" s="6">
        <f>HYPERLINK("https://www.kleinanzeigen.de/s-bestandsliste.html?userId=3477057", "Link")</f>
        <v/>
      </c>
      <c r="N431" s="7" t="n">
        <v>45549.57078703704</v>
      </c>
      <c r="O431" s="3" t="inlineStr">
        <is>
          <t>14.88</t>
        </is>
      </c>
      <c r="P431" t="inlineStr">
        <is>
          <t>Köln</t>
        </is>
      </c>
    </row>
    <row r="432">
      <c r="A432" t="inlineStr">
        <is>
          <t>GUNSAILS SDM Select</t>
        </is>
      </c>
      <c r="B432" s="3" t="n">
        <v>430</v>
      </c>
      <c r="C432" s="8" t="inlineStr">
        <is>
          <t>100%</t>
        </is>
      </c>
      <c r="D432" t="inlineStr">
        <is>
          <t>SDM</t>
        </is>
      </c>
      <c r="E432" s="4" t="inlineStr">
        <is>
          <t>: 95</t>
        </is>
      </c>
      <c r="F432" t="inlineStr">
        <is>
          <t>VB</t>
        </is>
      </c>
      <c r="G432" t="inlineStr">
        <is>
          <t>80637 München</t>
        </is>
      </c>
      <c r="H432" s="5" t="n">
        <v>45547</v>
      </c>
      <c r="I432" t="inlineStr">
        <is>
          <t>Sold</t>
        </is>
      </c>
      <c r="J432" s="6">
        <f>HYPERLINK("https://www.dailydose.de/kleinanzeigen/detail.htm?ai=422464&amp;cf=kk&amp;pg=2&amp;ci=2", "Link")</f>
        <v/>
      </c>
      <c r="K432" s="6">
        <f>HYPERLINK("C:\Projects\Kleinanzeigen-Scraper\offer_images\422464", "Link")</f>
        <v/>
      </c>
      <c r="L432" t="inlineStr">
        <is>
          <t>Surfmischi</t>
        </is>
      </c>
      <c r="M432" s="6">
        <f>HYPERLINK("https://www.dailydose.de/kleinanzeigen/user/22579", "Link")</f>
        <v/>
      </c>
      <c r="N432" s="7" t="n">
        <v>45548.55023148148</v>
      </c>
      <c r="O432" s="3" t="inlineStr">
        <is>
          <t>3.94</t>
        </is>
      </c>
      <c r="P432" t="inlineStr">
        <is>
          <t>München</t>
        </is>
      </c>
    </row>
    <row r="433">
      <c r="A433" t="inlineStr">
        <is>
          <t>Point-7 CARBON EXTENSION</t>
        </is>
      </c>
      <c r="B433" s="3" t="inlineStr">
        <is>
          <t>28-44</t>
        </is>
      </c>
      <c r="C433" s="8" t="inlineStr">
        <is>
          <t>high</t>
        </is>
      </c>
      <c r="D433" t="inlineStr">
        <is>
          <t>RDM and SDM</t>
        </is>
      </c>
      <c r="E433" s="4" t="n">
        <v>189</v>
      </c>
      <c r="F433" t="inlineStr"/>
      <c r="G433" t="inlineStr">
        <is>
          <t>82319 Bayern - Starnberg</t>
        </is>
      </c>
      <c r="H433" s="5" t="n">
        <v>45547</v>
      </c>
      <c r="I433" t="inlineStr"/>
      <c r="J433" s="6">
        <f>HYPERLINK("https://www.kleinanzeigen.de/s-anzeige/point-7-carbon-extension-windsurf-verlaengerung/1808971325-230-5525", "Link")</f>
        <v/>
      </c>
      <c r="K433" s="6">
        <f>HYPERLINK("C:\Projects\Kleinanzeigen-Scraper\offer_images\1808971325", "Link")</f>
        <v/>
      </c>
      <c r="L433" t="inlineStr">
        <is>
          <t>No user name</t>
        </is>
      </c>
      <c r="M433" s="6">
        <f>HYPERLINK("https://www.kleinanzeigen.deNo user link", "Link")</f>
        <v/>
      </c>
      <c r="N433" s="7" t="n">
        <v>45548.54952546296</v>
      </c>
      <c r="O433" s="3" t="inlineStr">
        <is>
          <t>23.17</t>
        </is>
      </c>
      <c r="P433" t="inlineStr">
        <is>
          <t>München</t>
        </is>
      </c>
    </row>
    <row r="434">
      <c r="A434" t="inlineStr">
        <is>
          <t>RRD Flow</t>
        </is>
      </c>
      <c r="B434" s="3" t="n">
        <v>430</v>
      </c>
      <c r="C434" s="8" t="inlineStr">
        <is>
          <t>35%</t>
        </is>
      </c>
      <c r="D434" t="inlineStr">
        <is>
          <t>RDM</t>
        </is>
      </c>
      <c r="E434" s="4" t="n">
        <v>100</v>
      </c>
      <c r="F434" t="inlineStr">
        <is>
          <t>VB</t>
        </is>
      </c>
      <c r="G434" t="inlineStr">
        <is>
          <t>92637 Bayern - Weiden (Oberpfalz)</t>
        </is>
      </c>
      <c r="H434" s="5" t="n">
        <v>45547</v>
      </c>
      <c r="I434" t="inlineStr">
        <is>
          <t>Sold</t>
        </is>
      </c>
      <c r="J434" s="6">
        <f>HYPERLINK("https://www.kleinanzeigen.de/s-anzeige/windsurfen-mast-430-cm-rrd-carbon-windsurfmast-flow/2861323318-230-7219", "Link")</f>
        <v/>
      </c>
      <c r="K434" s="6">
        <f>HYPERLINK("C:\Projects\Kleinanzeigen-Scraper\offer_images\2861323318", "Link")</f>
        <v/>
      </c>
      <c r="L434" t="inlineStr">
        <is>
          <t>Ge.Ro.</t>
        </is>
      </c>
      <c r="M434" s="6">
        <f>HYPERLINK("https://www.kleinanzeigen.de/s-bestandsliste.html?userId=32298751", "Link")</f>
        <v/>
      </c>
      <c r="N434" s="7" t="n">
        <v>45548.54950231482</v>
      </c>
      <c r="O434" s="3" t="inlineStr">
        <is>
          <t>176.14</t>
        </is>
      </c>
      <c r="P434" t="inlineStr">
        <is>
          <t>München</t>
        </is>
      </c>
    </row>
    <row r="435">
      <c r="A435" t="inlineStr">
        <is>
          <t>Neilpryde X3</t>
        </is>
      </c>
      <c r="B435" s="3" t="n">
        <v>490</v>
      </c>
      <c r="C435" s="8" t="inlineStr"/>
      <c r="D435" t="inlineStr"/>
      <c r="E435" s="4" t="n">
        <v>50</v>
      </c>
      <c r="F435" t="inlineStr"/>
      <c r="G435" t="inlineStr">
        <is>
          <t>13597 Berlin - Spandau</t>
        </is>
      </c>
      <c r="H435" s="5" t="n">
        <v>45546</v>
      </c>
      <c r="I435" t="inlineStr">
        <is>
          <t>Sold</t>
        </is>
      </c>
      <c r="J435" s="6">
        <f>HYPERLINK("https://www.kleinanzeigen.de/s-anzeige/neilpryde-x3-windsurf-mast/2860816672-230-3431", "Link")</f>
        <v/>
      </c>
      <c r="K435" s="6">
        <f>HYPERLINK("C:\Projects\Kleinanzeigen-Scraper\offer_images\2860816672", "Link")</f>
        <v/>
      </c>
      <c r="L435" t="inlineStr">
        <is>
          <t>Tobias</t>
        </is>
      </c>
      <c r="M435" s="6">
        <f>HYPERLINK("https://www.kleinanzeigen.de/s-bestandsliste.html?userId=33453558", "Link")</f>
        <v/>
      </c>
      <c r="N435" s="7" t="n">
        <v>45548.54925925926</v>
      </c>
      <c r="O435" s="3" t="inlineStr">
        <is>
          <t>465.78</t>
        </is>
      </c>
      <c r="P435" t="inlineStr">
        <is>
          <t>Köln</t>
        </is>
      </c>
    </row>
    <row r="436">
      <c r="A436" t="inlineStr">
        <is>
          <t>Gaastra GA Mast</t>
        </is>
      </c>
      <c r="B436" s="3" t="n">
        <v>460</v>
      </c>
      <c r="C436" s="8" t="inlineStr">
        <is>
          <t>100%</t>
        </is>
      </c>
      <c r="D436" t="inlineStr">
        <is>
          <t>SDM</t>
        </is>
      </c>
      <c r="E436" s="4" t="n">
        <v>350</v>
      </c>
      <c r="F436" t="inlineStr"/>
      <c r="G436" t="inlineStr">
        <is>
          <t>30855 Langenhagen</t>
        </is>
      </c>
      <c r="H436" s="5" t="n">
        <v>45547</v>
      </c>
      <c r="I436" t="inlineStr"/>
      <c r="J436" s="6">
        <f>HYPERLINK("https://www.dailydose.de/kleinanzeigen/detail.htm?ai=422440&amp;cf=kk&amp;pg=2&amp;ci=2", "Link")</f>
        <v/>
      </c>
      <c r="K436" s="6">
        <f>HYPERLINK("C:\Projects\Kleinanzeigen-Scraper\offer_images\422440", "Link")</f>
        <v/>
      </c>
      <c r="L436" t="inlineStr">
        <is>
          <t>h_81</t>
        </is>
      </c>
      <c r="M436" s="6">
        <f>HYPERLINK("https://www.dailydose.de/kleinanzeigen/user/10786", "Link")</f>
        <v/>
      </c>
      <c r="N436" s="7" t="n">
        <v>45547.55571759259</v>
      </c>
      <c r="O436" s="3" t="inlineStr">
        <is>
          <t>255.34</t>
        </is>
      </c>
      <c r="P436" t="inlineStr">
        <is>
          <t>Köln</t>
        </is>
      </c>
    </row>
    <row r="437">
      <c r="A437" t="inlineStr">
        <is>
          <t>GUNSAILS RDM Expert</t>
        </is>
      </c>
      <c r="B437" s="3" t="n">
        <v>400</v>
      </c>
      <c r="C437" s="8" t="inlineStr"/>
      <c r="D437" t="inlineStr">
        <is>
          <t>RDM</t>
        </is>
      </c>
      <c r="E437" s="4" t="n">
        <v>270</v>
      </c>
      <c r="F437" t="inlineStr"/>
      <c r="G437" t="inlineStr">
        <is>
          <t>Kiel, HH, DK</t>
        </is>
      </c>
      <c r="H437" s="5" t="n">
        <v>45547</v>
      </c>
      <c r="I437" t="inlineStr">
        <is>
          <t>Sold</t>
        </is>
      </c>
      <c r="J437" s="6">
        <f>HYPERLINK("https://www.dailydose.de/kleinanzeigen/detail.htm?ai=422445&amp;cf=kk&amp;pg=1&amp;ci=2", "Link")</f>
        <v/>
      </c>
      <c r="K437" s="6">
        <f>HYPERLINK("C:\Projects\Kleinanzeigen-Scraper\offer_images\422445", "Link")</f>
        <v/>
      </c>
      <c r="L437" t="inlineStr">
        <is>
          <t>Strand</t>
        </is>
      </c>
      <c r="M437" s="6">
        <f>HYPERLINK("https://www.dailydose.de/kleinanzeigen/user/2078", "Link")</f>
        <v/>
      </c>
      <c r="N437" s="7" t="n">
        <v>45547.55333333334</v>
      </c>
      <c r="O437" s="3" t="inlineStr">
        <is>
          <t>435.55</t>
        </is>
      </c>
      <c r="P437" t="inlineStr">
        <is>
          <t>Köln</t>
        </is>
      </c>
    </row>
    <row r="438">
      <c r="A438" t="inlineStr">
        <is>
          <t>Unifiber</t>
        </is>
      </c>
      <c r="B438" s="3" t="n">
        <v>340</v>
      </c>
      <c r="C438" s="8" t="inlineStr">
        <is>
          <t>80%</t>
        </is>
      </c>
      <c r="D438" t="inlineStr">
        <is>
          <t>RDM</t>
        </is>
      </c>
      <c r="E438" s="4" t="n">
        <v>145</v>
      </c>
      <c r="F438" t="inlineStr"/>
      <c r="G438" t="inlineStr">
        <is>
          <t>23775  Großenbrode</t>
        </is>
      </c>
      <c r="H438" s="5" t="n">
        <v>45547</v>
      </c>
      <c r="I438" t="inlineStr">
        <is>
          <t>Sold</t>
        </is>
      </c>
      <c r="J438" s="6">
        <f>HYPERLINK("https://www.dailydose.de/kleinanzeigen/detail.htm?ai=422434&amp;cf=kk&amp;pg=1&amp;ci=2", "Link")</f>
        <v/>
      </c>
      <c r="K438" s="6">
        <f>HYPERLINK("C:\Projects\Kleinanzeigen-Scraper\offer_images\422434", "Link")</f>
        <v/>
      </c>
      <c r="L438" t="inlineStr">
        <is>
          <t>Holger_156</t>
        </is>
      </c>
      <c r="M438" s="6">
        <f>HYPERLINK("https://www.dailydose.de/kleinanzeigen/user/10571", "Link")</f>
        <v/>
      </c>
      <c r="N438" s="7" t="n">
        <v>45547.55307870371</v>
      </c>
      <c r="O438" s="3" t="inlineStr">
        <is>
          <t>471.97</t>
        </is>
      </c>
      <c r="P438" t="inlineStr">
        <is>
          <t>Köln</t>
        </is>
      </c>
    </row>
    <row r="439">
      <c r="A439" t="inlineStr"/>
      <c r="B439" s="3" t="inlineStr"/>
      <c r="C439" s="8" t="inlineStr"/>
      <c r="D439" t="inlineStr">
        <is>
          <t>SDM</t>
        </is>
      </c>
      <c r="E439" s="4" t="n">
        <v>50</v>
      </c>
      <c r="F439" t="inlineStr"/>
      <c r="G439" t="inlineStr">
        <is>
          <t>40221 Düsseldorf - Unterbilk</t>
        </is>
      </c>
      <c r="H439" s="5" t="n">
        <v>45546</v>
      </c>
      <c r="I439" t="inlineStr">
        <is>
          <t>Sold</t>
        </is>
      </c>
      <c r="J439" s="6">
        <f>HYPERLINK("https://www.kleinanzeigen.de/s-anzeige/windsurf-mastverlaengerungen-70-30-cm-mastfuss-base-sdm/2860220710-230-29950", "Link")</f>
        <v/>
      </c>
      <c r="K439" s="6">
        <f>HYPERLINK("C:\Projects\Kleinanzeigen-Scraper\offer_images\2860220710", "Link")</f>
        <v/>
      </c>
      <c r="L439" t="inlineStr">
        <is>
          <t>So_oder_So</t>
        </is>
      </c>
      <c r="M439" s="6">
        <f>HYPERLINK("https://www.kleinanzeigen.de/s-bestandsliste.html?userId=62512814", "Link")</f>
        <v/>
      </c>
      <c r="N439" s="7" t="n">
        <v>45547.55200231481</v>
      </c>
      <c r="O439" s="3" t="inlineStr">
        <is>
          <t>32.31</t>
        </is>
      </c>
      <c r="P439" t="inlineStr">
        <is>
          <t>Köln</t>
        </is>
      </c>
    </row>
    <row r="440">
      <c r="A440" t="inlineStr">
        <is>
          <t>Neilpryde SPX65</t>
        </is>
      </c>
      <c r="B440" s="3" t="n">
        <v>430</v>
      </c>
      <c r="C440" s="8" t="inlineStr">
        <is>
          <t>65%</t>
        </is>
      </c>
      <c r="D440" t="inlineStr">
        <is>
          <t>RDM</t>
        </is>
      </c>
      <c r="E440" s="4" t="n">
        <v>250</v>
      </c>
      <c r="F440" t="inlineStr">
        <is>
          <t>VB</t>
        </is>
      </c>
      <c r="G440" t="inlineStr">
        <is>
          <t>82211 Bayern - Herrsching</t>
        </is>
      </c>
      <c r="H440" s="5" t="n">
        <v>45546</v>
      </c>
      <c r="I440" t="inlineStr"/>
      <c r="J440" s="6">
        <f>HYPERLINK("https://www.kleinanzeigen.de/s-anzeige/neilpryde-windsurf-mast-430cm-spx65-rdm-mast/2860794571-230-5520", "Link")</f>
        <v/>
      </c>
      <c r="K440" s="6">
        <f>HYPERLINK("C:\Projects\Kleinanzeigen-Scraper\offer_images\2860794571", "Link")</f>
        <v/>
      </c>
      <c r="L440" t="inlineStr">
        <is>
          <t>Oliver</t>
        </is>
      </c>
      <c r="M440" s="6">
        <f>HYPERLINK("https://www.kleinanzeigen.de/s-bestandsliste.html?userId=17846362", "Link")</f>
        <v/>
      </c>
      <c r="N440" s="7" t="n">
        <v>45547.55175925926</v>
      </c>
      <c r="O440" s="3" t="inlineStr">
        <is>
          <t>32.73</t>
        </is>
      </c>
      <c r="P440" t="inlineStr">
        <is>
          <t>München</t>
        </is>
      </c>
    </row>
    <row r="441">
      <c r="A441" t="inlineStr">
        <is>
          <t>UP/BIC</t>
        </is>
      </c>
      <c r="B441" s="3" t="n">
        <v>460</v>
      </c>
      <c r="C441" s="8" t="inlineStr">
        <is>
          <t>45%</t>
        </is>
      </c>
      <c r="D441" t="inlineStr">
        <is>
          <t>SDM</t>
        </is>
      </c>
      <c r="E441" s="4" t="n">
        <v>40</v>
      </c>
      <c r="F441" t="inlineStr"/>
      <c r="G441" t="inlineStr">
        <is>
          <t>76448 Baden-Württemberg - Durmersheim</t>
        </is>
      </c>
      <c r="H441" s="5" t="n">
        <v>45546</v>
      </c>
      <c r="I441" t="inlineStr">
        <is>
          <t>Sold</t>
        </is>
      </c>
      <c r="J441" s="6">
        <f>HYPERLINK("https://www.kleinanzeigen.de/s-anzeige/windsurfen-460-cm-carbonmast-45-sdm-imcs-24-5-up-bic-2-4-kg/2860260138-230-8165", "Link")</f>
        <v/>
      </c>
      <c r="K441" s="6">
        <f>HYPERLINK("C:\Projects\Kleinanzeigen-Scraper\offer_images\2860260138", "Link")</f>
        <v/>
      </c>
      <c r="L441" t="inlineStr">
        <is>
          <t>Thomas S.</t>
        </is>
      </c>
      <c r="M441" s="6">
        <f>HYPERLINK("https://www.kleinanzeigen.de/s-bestandsliste.html?userId=61821198", "Link")</f>
        <v/>
      </c>
      <c r="N441" s="7" t="n">
        <v>45547.55168981481</v>
      </c>
      <c r="O441" s="3" t="inlineStr">
        <is>
          <t>10.55</t>
        </is>
      </c>
      <c r="P441" t="inlineStr">
        <is>
          <t>Karlsruhe</t>
        </is>
      </c>
    </row>
    <row r="442">
      <c r="A442" t="inlineStr">
        <is>
          <t>Gaastra</t>
        </is>
      </c>
      <c r="B442" s="3" t="n">
        <v>430</v>
      </c>
      <c r="C442" s="8" t="inlineStr">
        <is>
          <t>75%</t>
        </is>
      </c>
      <c r="D442" t="inlineStr">
        <is>
          <t>RDM</t>
        </is>
      </c>
      <c r="E442" s="4" t="n">
        <v>150</v>
      </c>
      <c r="F442" t="inlineStr"/>
      <c r="G442" t="inlineStr">
        <is>
          <t>24937 Schleswig-Holstein - Flensburg</t>
        </is>
      </c>
      <c r="H442" s="5" t="n">
        <v>45540</v>
      </c>
      <c r="I442" t="inlineStr">
        <is>
          <t>Sold</t>
        </is>
      </c>
      <c r="J442" s="6">
        <f>HYPERLINK("https://www.kleinanzeigen.de/s-anzeige/windsurf-mast-gaastra-430-rdm-75-/2855225892-230-718", "Link")</f>
        <v/>
      </c>
      <c r="K442" s="6">
        <f>HYPERLINK("C:\Projects\Kleinanzeigen-Scraper\offer_images\2855225892", "Link")</f>
        <v/>
      </c>
      <c r="L442" t="inlineStr">
        <is>
          <t>Dietmar Harbeck</t>
        </is>
      </c>
      <c r="M442" s="6">
        <f>HYPERLINK("https://www.kleinanzeigen.de/s-bestandsliste.html?userId=45089597", "Link")</f>
        <v/>
      </c>
      <c r="N442" s="7" t="n">
        <v>45547.55131944444</v>
      </c>
      <c r="O442" s="3" t="inlineStr">
        <is>
          <t>458.80</t>
        </is>
      </c>
      <c r="P442" t="inlineStr">
        <is>
          <t>Köln</t>
        </is>
      </c>
    </row>
    <row r="443">
      <c r="A443" t="inlineStr">
        <is>
          <t>Sailloft</t>
        </is>
      </c>
      <c r="B443" s="3" t="n">
        <v>400</v>
      </c>
      <c r="C443" s="8" t="inlineStr">
        <is>
          <t>100%</t>
        </is>
      </c>
      <c r="D443" t="inlineStr">
        <is>
          <t>RDM</t>
        </is>
      </c>
      <c r="E443" s="4" t="inlineStr">
        <is>
          <t>225 Stck.</t>
        </is>
      </c>
      <c r="F443" t="inlineStr"/>
      <c r="G443" t="inlineStr">
        <is>
          <t>23775 Großenbrode</t>
        </is>
      </c>
      <c r="H443" s="5" t="n">
        <v>45546</v>
      </c>
      <c r="I443" t="inlineStr">
        <is>
          <t>Sold</t>
        </is>
      </c>
      <c r="J443" s="6">
        <f>HYPERLINK("https://www.dailydose.de/kleinanzeigen/detail.htm?ai=422383&amp;cf=kk&amp;pg=1&amp;ci=2", "Link")</f>
        <v/>
      </c>
      <c r="K443" s="6">
        <f>HYPERLINK("C:\Projects\Kleinanzeigen-Scraper\offer_images\422383", "Link")</f>
        <v/>
      </c>
      <c r="L443" t="inlineStr">
        <is>
          <t>Holger_156</t>
        </is>
      </c>
      <c r="M443" s="6">
        <f>HYPERLINK("https://www.dailydose.de/kleinanzeigen/user/10571", "Link")</f>
        <v/>
      </c>
      <c r="N443" s="7" t="n">
        <v>45546.57915509259</v>
      </c>
      <c r="O443" s="3" t="inlineStr">
        <is>
          <t>471.97</t>
        </is>
      </c>
      <c r="P443" t="inlineStr">
        <is>
          <t>Köln</t>
        </is>
      </c>
    </row>
    <row r="444">
      <c r="A444" t="inlineStr">
        <is>
          <t>Lorch Silberpfeil</t>
        </is>
      </c>
      <c r="B444" s="3" t="n">
        <v>460</v>
      </c>
      <c r="C444" s="8" t="inlineStr">
        <is>
          <t>75%</t>
        </is>
      </c>
      <c r="D444" t="inlineStr">
        <is>
          <t>SDM</t>
        </is>
      </c>
      <c r="E444" s="4" t="n">
        <v>130</v>
      </c>
      <c r="F444" t="inlineStr"/>
      <c r="G444" t="inlineStr">
        <is>
          <t>Stuttgart</t>
        </is>
      </c>
      <c r="H444" s="5" t="n">
        <v>45546</v>
      </c>
      <c r="I444" t="inlineStr"/>
      <c r="J444" s="6">
        <f>HYPERLINK("https://www.dailydose.de/kleinanzeigen/detail.htm?ai=422381&amp;cf=kk&amp;pg=2&amp;ci=2", "Link")</f>
        <v/>
      </c>
      <c r="K444" s="6">
        <f>HYPERLINK("C:\Projects\Kleinanzeigen-Scraper\offer_images\422381", "Link")</f>
        <v/>
      </c>
      <c r="L444" t="inlineStr">
        <is>
          <t>Roman_96</t>
        </is>
      </c>
      <c r="M444" s="6">
        <f>HYPERLINK("https://www.dailydose.de/kleinanzeigen/user/20905", "Link")</f>
        <v/>
      </c>
      <c r="N444" s="7" t="n">
        <v>45546.57818287037</v>
      </c>
      <c r="O444" s="3" t="inlineStr">
        <is>
          <t>18.71</t>
        </is>
      </c>
      <c r="P444" t="inlineStr">
        <is>
          <t>Böblingen</t>
        </is>
      </c>
    </row>
    <row r="445">
      <c r="A445" t="inlineStr">
        <is>
          <t>North Sails Sting C35</t>
        </is>
      </c>
      <c r="B445" s="3" t="n">
        <v>400</v>
      </c>
      <c r="C445" s="8" t="inlineStr">
        <is>
          <t>35%</t>
        </is>
      </c>
      <c r="D445" t="inlineStr">
        <is>
          <t>SDM</t>
        </is>
      </c>
      <c r="E445" s="4" t="n">
        <v>35</v>
      </c>
      <c r="F445" t="inlineStr">
        <is>
          <t>VB</t>
        </is>
      </c>
      <c r="G445" t="inlineStr">
        <is>
          <t>19230 Mecklenburg-Vorpommern - Hoort</t>
        </is>
      </c>
      <c r="H445" s="5" t="n">
        <v>45543</v>
      </c>
      <c r="I445" t="inlineStr">
        <is>
          <t>Sold</t>
        </is>
      </c>
      <c r="J445" s="6">
        <f>HYPERLINK("https://www.kleinanzeigen.de/s-anzeige/windsurfen-mast-sdm-400-north-sails/2857757401-230-25011", "Link")</f>
        <v/>
      </c>
      <c r="K445" s="6">
        <f>HYPERLINK("C:\Projects\Kleinanzeigen-Scraper\offer_images\2857757401", "Link")</f>
        <v/>
      </c>
      <c r="L445" t="inlineStr">
        <is>
          <t>Andre</t>
        </is>
      </c>
      <c r="M445" s="6">
        <f>HYPERLINK("https://www.kleinanzeigen.de/s-bestandsliste.html?userId=26896216", "Link")</f>
        <v/>
      </c>
      <c r="N445" s="7" t="n">
        <v>45546.57628472222</v>
      </c>
      <c r="O445" s="3" t="inlineStr">
        <is>
          <t>400.92</t>
        </is>
      </c>
      <c r="P445" t="inlineStr">
        <is>
          <t>Köln</t>
        </is>
      </c>
    </row>
    <row r="446">
      <c r="A446" t="inlineStr">
        <is>
          <t>Fanatic</t>
        </is>
      </c>
      <c r="B446" s="3" t="n">
        <v>470</v>
      </c>
      <c r="C446" s="8" t="inlineStr"/>
      <c r="D446" t="inlineStr"/>
      <c r="E446" s="4" t="inlineStr">
        <is>
          <t>Zu verschenken</t>
        </is>
      </c>
      <c r="F446" t="inlineStr"/>
      <c r="G446" t="inlineStr">
        <is>
          <t>92318 Bayern - Neumarkt i.d.OPf.</t>
        </is>
      </c>
      <c r="H446" s="5" t="n">
        <v>45545</v>
      </c>
      <c r="I446" t="inlineStr">
        <is>
          <t>Sold</t>
        </is>
      </c>
      <c r="J446" s="6">
        <f>HYPERLINK("https://www.kleinanzeigen.de/s-anzeige/mast-fuer-surfsegel-windsurfen-von-fanatic/2859597108-230-6588", "Link")</f>
        <v/>
      </c>
      <c r="K446" s="6">
        <f>HYPERLINK("C:\Projects\Kleinanzeigen-Scraper\offer_images\2859597108", "Link")</f>
        <v/>
      </c>
      <c r="L446" t="inlineStr">
        <is>
          <t>Marco</t>
        </is>
      </c>
      <c r="M446" s="6">
        <f>HYPERLINK("https://www.kleinanzeigen.de/s-bestandsliste.html?userId=89015990", "Link")</f>
        <v/>
      </c>
      <c r="N446" s="7" t="n">
        <v>45546.57597222222</v>
      </c>
      <c r="O446" s="3" t="inlineStr">
        <is>
          <t>126.78</t>
        </is>
      </c>
      <c r="P446" t="inlineStr">
        <is>
          <t>München</t>
        </is>
      </c>
    </row>
    <row r="447">
      <c r="A447" t="inlineStr">
        <is>
          <t>Ezzy XT</t>
        </is>
      </c>
      <c r="B447" s="3" t="n">
        <v>430</v>
      </c>
      <c r="C447" s="8" t="inlineStr"/>
      <c r="D447" t="inlineStr">
        <is>
          <t>RDM</t>
        </is>
      </c>
      <c r="E447" s="4" t="n">
        <v>75</v>
      </c>
      <c r="F447" t="inlineStr">
        <is>
          <t>VB</t>
        </is>
      </c>
      <c r="G447" t="inlineStr">
        <is>
          <t>48145 Münster (Westfalen) - Centrum</t>
        </is>
      </c>
      <c r="H447" s="5" t="n">
        <v>45542</v>
      </c>
      <c r="I447" t="inlineStr"/>
      <c r="J447" s="6">
        <f>HYPERLINK("https://www.kleinanzeigen.de/s-anzeige/ezzy-xt-rdm-430-windsurf-masttop/2851784772-230-932", "Link")</f>
        <v/>
      </c>
      <c r="K447" s="6">
        <f>HYPERLINK("C:\Projects\Kleinanzeigen-Scraper\offer_images\2851784772", "Link")</f>
        <v/>
      </c>
      <c r="L447" t="inlineStr">
        <is>
          <t>Alessandro De Angelis</t>
        </is>
      </c>
      <c r="M447" s="6">
        <f>HYPERLINK("https://www.kleinanzeigen.de/s-bestandsliste.html?userId=32387325", "Link")</f>
        <v/>
      </c>
      <c r="N447" s="7" t="n">
        <v>45546.57589120371</v>
      </c>
      <c r="O447" s="3" t="inlineStr">
        <is>
          <t>124.19</t>
        </is>
      </c>
      <c r="P447" t="inlineStr">
        <is>
          <t>Köln</t>
        </is>
      </c>
    </row>
    <row r="448">
      <c r="A448" t="inlineStr">
        <is>
          <t>Fiberspar Reflex</t>
        </is>
      </c>
      <c r="B448" s="3" t="n">
        <v>430</v>
      </c>
      <c r="C448" s="8" t="inlineStr"/>
      <c r="D448" t="inlineStr"/>
      <c r="E448" s="4" t="n">
        <v>40</v>
      </c>
      <c r="F448" t="inlineStr">
        <is>
          <t>VB</t>
        </is>
      </c>
      <c r="G448" t="inlineStr">
        <is>
          <t>45359 Essen - Essen-Borbeck</t>
        </is>
      </c>
      <c r="H448" s="5" t="n">
        <v>45542</v>
      </c>
      <c r="I448" t="inlineStr">
        <is>
          <t>Sold</t>
        </is>
      </c>
      <c r="J448" s="6">
        <f>HYPERLINK("https://www.kleinanzeigen.de/s-anzeige/surfmast-windsurfen-fiberspar-reflex-430-cm/2856489563-241-2034", "Link")</f>
        <v/>
      </c>
      <c r="K448" s="6">
        <f>HYPERLINK("C:\Projects\Kleinanzeigen-Scraper\offer_images\2856489563", "Link")</f>
        <v/>
      </c>
      <c r="L448" t="inlineStr">
        <is>
          <t>Klaus Wientgens</t>
        </is>
      </c>
      <c r="M448" s="6">
        <f>HYPERLINK("https://www.kleinanzeigen.de/s-bestandsliste.html?userId=4524911", "Link")</f>
        <v/>
      </c>
      <c r="N448" s="7" t="n">
        <v>45546.57584490741</v>
      </c>
      <c r="O448" s="3" t="inlineStr">
        <is>
          <t>58.66</t>
        </is>
      </c>
      <c r="P448" t="inlineStr">
        <is>
          <t>Köln</t>
        </is>
      </c>
    </row>
    <row r="449">
      <c r="A449" t="inlineStr">
        <is>
          <t>Prolimit</t>
        </is>
      </c>
      <c r="B449" s="3" t="n">
        <v>30</v>
      </c>
      <c r="C449" s="8" t="inlineStr"/>
      <c r="D449" t="inlineStr"/>
      <c r="E449" s="4" t="n">
        <v>29</v>
      </c>
      <c r="F449" t="inlineStr">
        <is>
          <t>VB</t>
        </is>
      </c>
      <c r="G449" t="inlineStr">
        <is>
          <t>40789 Nordrhein-Westfalen - Monheim am Rhein</t>
        </is>
      </c>
      <c r="H449" s="5" t="n">
        <v>45543</v>
      </c>
      <c r="I449" t="inlineStr">
        <is>
          <t>Sold</t>
        </is>
      </c>
      <c r="J449" s="6">
        <f>HYPERLINK("https://www.kleinanzeigen.de/s-anzeige/windsurfen-mastverlaengerung-30cm-von-prolimit/2857785181-230-1116", "Link")</f>
        <v/>
      </c>
      <c r="K449" s="6">
        <f>HYPERLINK("C:\Projects\Kleinanzeigen-Scraper\offer_images\2857785181", "Link")</f>
        <v/>
      </c>
      <c r="L449" t="inlineStr">
        <is>
          <t>Anne Langenfeld</t>
        </is>
      </c>
      <c r="M449" s="6">
        <f>HYPERLINK("https://www.kleinanzeigen.de/s-bestandsliste.html?userId=34911340", "Link")</f>
        <v/>
      </c>
      <c r="N449" s="7" t="n">
        <v>45546.57579861111</v>
      </c>
      <c r="O449" s="3" t="inlineStr">
        <is>
          <t>18.00</t>
        </is>
      </c>
      <c r="P449" t="inlineStr">
        <is>
          <t>Köln</t>
        </is>
      </c>
    </row>
    <row r="450">
      <c r="A450" t="inlineStr">
        <is>
          <t>Tekkno Sport 400 Channel 30</t>
        </is>
      </c>
      <c r="B450" s="3" t="n">
        <v>400</v>
      </c>
      <c r="C450" s="8" t="inlineStr"/>
      <c r="D450" t="inlineStr">
        <is>
          <t>SDM</t>
        </is>
      </c>
      <c r="E450" s="4" t="n">
        <v>45</v>
      </c>
      <c r="F450" t="inlineStr"/>
      <c r="G450" t="inlineStr">
        <is>
          <t>24340 Schleswig-Holstein - Eckernförde</t>
        </is>
      </c>
      <c r="H450" s="5" t="n">
        <v>45543</v>
      </c>
      <c r="I450" t="inlineStr">
        <is>
          <t>Sold</t>
        </is>
      </c>
      <c r="J450" s="6">
        <f>HYPERLINK("https://www.kleinanzeigen.de/s-anzeige/masten-windsurfen-sdm-4-0-4-35-4-65/2857890420-230-13234", "Link")</f>
        <v/>
      </c>
      <c r="K450" s="6">
        <f>HYPERLINK("C:\Projects\Kleinanzeigen-Scraper\offer_images\2857890420", "Link")</f>
        <v/>
      </c>
      <c r="L450" t="inlineStr">
        <is>
          <t>Timo Buske</t>
        </is>
      </c>
      <c r="M450" s="6">
        <f>HYPERLINK("https://www.kleinanzeigen.de/s-bestandsliste.html?userId=131534641", "Link")</f>
        <v/>
      </c>
      <c r="N450" s="7" t="n">
        <v>45546.57556712963</v>
      </c>
      <c r="O450" s="3" t="inlineStr">
        <is>
          <t>434.69</t>
        </is>
      </c>
      <c r="P450" t="inlineStr">
        <is>
          <t>Köln</t>
        </is>
      </c>
    </row>
    <row r="451">
      <c r="A451" t="inlineStr">
        <is>
          <t>GunSails CROSS</t>
        </is>
      </c>
      <c r="B451" s="3" t="n">
        <v>400</v>
      </c>
      <c r="C451" s="8" t="inlineStr">
        <is>
          <t>50%</t>
        </is>
      </c>
      <c r="D451" t="inlineStr">
        <is>
          <t>RDM</t>
        </is>
      </c>
      <c r="E451" s="4" t="n">
        <v>99</v>
      </c>
      <c r="F451" t="inlineStr">
        <is>
          <t>VB</t>
        </is>
      </c>
      <c r="G451" t="inlineStr">
        <is>
          <t>40789 Nordrhein-Westfalen - Monheim am Rhein</t>
        </is>
      </c>
      <c r="H451" s="5" t="n">
        <v>45543</v>
      </c>
      <c r="I451" t="inlineStr">
        <is>
          <t>Sold</t>
        </is>
      </c>
      <c r="J451" s="6">
        <f>HYPERLINK("https://www.kleinanzeigen.de/s-anzeige/2x-windsurf-masten-rdm-400cm-laenge-carbon/2857740522-230-1116", "Link")</f>
        <v/>
      </c>
      <c r="K451" s="6">
        <f>HYPERLINK("C:\Projects\Kleinanzeigen-Scraper\offer_images\2857740522", "Link")</f>
        <v/>
      </c>
      <c r="L451" t="inlineStr">
        <is>
          <t>Anne Langenfeld</t>
        </is>
      </c>
      <c r="M451" s="6">
        <f>HYPERLINK("https://www.kleinanzeigen.de/s-bestandsliste.html?userId=34911340", "Link")</f>
        <v/>
      </c>
      <c r="N451" s="7" t="n">
        <v>45546.57543981481</v>
      </c>
      <c r="O451" s="3" t="inlineStr">
        <is>
          <t>18.00</t>
        </is>
      </c>
      <c r="P451" t="inlineStr">
        <is>
          <t>Köln</t>
        </is>
      </c>
    </row>
    <row r="452">
      <c r="A452" t="inlineStr">
        <is>
          <t>Neil Pryde X6</t>
        </is>
      </c>
      <c r="B452" s="3" t="n">
        <v>400</v>
      </c>
      <c r="C452" s="8" t="inlineStr">
        <is>
          <t>55%</t>
        </is>
      </c>
      <c r="D452" t="inlineStr">
        <is>
          <t>SDM</t>
        </is>
      </c>
      <c r="E452" s="4" t="n">
        <v>110</v>
      </c>
      <c r="F452" t="inlineStr">
        <is>
          <t>VB</t>
        </is>
      </c>
      <c r="G452" t="inlineStr">
        <is>
          <t>23909 Ratzeburg</t>
        </is>
      </c>
      <c r="H452" s="5" t="n">
        <v>45545</v>
      </c>
      <c r="I452" t="inlineStr"/>
      <c r="J452" s="6">
        <f>HYPERLINK("https://www.dailydose.de/kleinanzeigen/detail.htm?ai=422334&amp;cf=kk&amp;pg=2&amp;ci=2", "Link")</f>
        <v/>
      </c>
      <c r="K452" s="6">
        <f>HYPERLINK("C:\Projects\Kleinanzeigen-Scraper\offer_images\422334", "Link")</f>
        <v/>
      </c>
      <c r="L452" t="inlineStr">
        <is>
          <t>Insider</t>
        </is>
      </c>
      <c r="M452" s="6">
        <f>HYPERLINK("https://www.dailydose.de/kleinanzeigen/user/20603", "Link")</f>
        <v/>
      </c>
      <c r="N452" s="7" t="n">
        <v>45545.86543981481</v>
      </c>
      <c r="O452" s="3" t="inlineStr">
        <is>
          <t>401.75</t>
        </is>
      </c>
      <c r="P452" t="inlineStr">
        <is>
          <t>Köln</t>
        </is>
      </c>
    </row>
    <row r="453">
      <c r="A453" t="inlineStr">
        <is>
          <t>NEIL PRYDE SPX 65</t>
        </is>
      </c>
      <c r="B453" s="3" t="n">
        <v>430</v>
      </c>
      <c r="C453" s="8" t="inlineStr">
        <is>
          <t>65%</t>
        </is>
      </c>
      <c r="D453" t="inlineStr">
        <is>
          <t>RDM</t>
        </is>
      </c>
      <c r="E453" s="4" t="n">
        <v>269</v>
      </c>
      <c r="F453" t="inlineStr">
        <is>
          <t>VB</t>
        </is>
      </c>
      <c r="G453" t="inlineStr">
        <is>
          <t>97072 Würzburg</t>
        </is>
      </c>
      <c r="H453" s="5" t="n">
        <v>45545</v>
      </c>
      <c r="I453" t="inlineStr">
        <is>
          <t>Sold</t>
        </is>
      </c>
      <c r="J453" s="6">
        <f>HYPERLINK("https://www.dailydose.de/kleinanzeigen/detail.htm?ai=422325&amp;cf=kk&amp;pg=2&amp;ci=2", "Link")</f>
        <v/>
      </c>
      <c r="K453" s="6">
        <f>HYPERLINK("C:\Projects\Kleinanzeigen-Scraper\offer_images\422325", "Link")</f>
        <v/>
      </c>
      <c r="L453" t="inlineStr">
        <is>
          <t>Heiner_36</t>
        </is>
      </c>
      <c r="M453" s="6">
        <f>HYPERLINK("https://www.dailydose.de/kleinanzeigen/user/10167", "Link")</f>
        <v/>
      </c>
      <c r="N453" s="7" t="n">
        <v>45545.86530092593</v>
      </c>
      <c r="O453" s="3" t="inlineStr">
        <is>
          <t>141.22</t>
        </is>
      </c>
      <c r="P453" t="inlineStr">
        <is>
          <t>Karlsruhe</t>
        </is>
      </c>
    </row>
    <row r="454">
      <c r="A454" t="inlineStr">
        <is>
          <t>Caas</t>
        </is>
      </c>
      <c r="B454" s="3" t="n">
        <v>400</v>
      </c>
      <c r="C454" s="8" t="inlineStr">
        <is>
          <t>75%</t>
        </is>
      </c>
      <c r="D454" t="inlineStr">
        <is>
          <t>RDM</t>
        </is>
      </c>
      <c r="E454" s="4" t="n">
        <v>135</v>
      </c>
      <c r="F454" t="inlineStr"/>
      <c r="G454" t="inlineStr">
        <is>
          <t>Makkum</t>
        </is>
      </c>
      <c r="H454" s="5" t="n">
        <v>45544</v>
      </c>
      <c r="I454" t="inlineStr">
        <is>
          <t>Sold</t>
        </is>
      </c>
      <c r="J454" s="6">
        <f>HYPERLINK("https://www.dailydose.de/kleinanzeigen/detail.htm?ai=422302&amp;cf=kk&amp;pg=2&amp;ci=2", "Link")</f>
        <v/>
      </c>
      <c r="K454" s="6">
        <f>HYPERLINK("C:\Projects\Kleinanzeigen-Scraper\offer_images\422302", "Link")</f>
        <v/>
      </c>
      <c r="L454" t="inlineStr">
        <is>
          <t>Robert_21</t>
        </is>
      </c>
      <c r="M454" s="6">
        <f>HYPERLINK("https://www.dailydose.de/kleinanzeigen/user/9424", "Link")</f>
        <v/>
      </c>
      <c r="N454" s="7" t="n">
        <v>45545.86310185185</v>
      </c>
      <c r="O454" s="3" t="inlineStr">
        <is>
          <t>258.34</t>
        </is>
      </c>
      <c r="P454" t="inlineStr">
        <is>
          <t>Köln</t>
        </is>
      </c>
    </row>
    <row r="455">
      <c r="A455" t="inlineStr">
        <is>
          <t>Neil Pryde X3</t>
        </is>
      </c>
      <c r="B455" s="3" t="n">
        <v>370</v>
      </c>
      <c r="C455" s="8" t="inlineStr">
        <is>
          <t>30%</t>
        </is>
      </c>
      <c r="D455" t="inlineStr">
        <is>
          <t>SDM</t>
        </is>
      </c>
      <c r="E455" s="4" t="n">
        <v>75</v>
      </c>
      <c r="F455" t="inlineStr">
        <is>
          <t>VB</t>
        </is>
      </c>
      <c r="G455" t="inlineStr">
        <is>
          <t>23909 Ratzeburg</t>
        </is>
      </c>
      <c r="H455" s="5" t="n">
        <v>45545</v>
      </c>
      <c r="I455" t="inlineStr">
        <is>
          <t>Sold</t>
        </is>
      </c>
      <c r="J455" s="6">
        <f>HYPERLINK("https://www.dailydose.de/kleinanzeigen/detail.htm?ai=422333&amp;cf=kk&amp;pg=1&amp;ci=2", "Link")</f>
        <v/>
      </c>
      <c r="K455" s="6">
        <f>HYPERLINK("C:\Projects\Kleinanzeigen-Scraper\offer_images\422333", "Link")</f>
        <v/>
      </c>
      <c r="L455" t="inlineStr">
        <is>
          <t>Insider</t>
        </is>
      </c>
      <c r="M455" s="6">
        <f>HYPERLINK("https://www.dailydose.de/kleinanzeigen/user/20603", "Link")</f>
        <v/>
      </c>
      <c r="N455" s="7" t="n">
        <v>45545.8624537037</v>
      </c>
      <c r="O455" s="3" t="inlineStr">
        <is>
          <t>401.75</t>
        </is>
      </c>
      <c r="P455" t="inlineStr">
        <is>
          <t>Köln</t>
        </is>
      </c>
    </row>
    <row r="456">
      <c r="A456" t="inlineStr">
        <is>
          <t>Gaastra 370</t>
        </is>
      </c>
      <c r="B456" s="3" t="n">
        <v>370</v>
      </c>
      <c r="C456" s="8" t="n">
        <v>100</v>
      </c>
      <c r="D456" t="inlineStr">
        <is>
          <t>RDM</t>
        </is>
      </c>
      <c r="E456" s="4" t="n">
        <v>100</v>
      </c>
      <c r="F456" t="inlineStr"/>
      <c r="G456" t="inlineStr">
        <is>
          <t>Luzern</t>
        </is>
      </c>
      <c r="H456" s="5" t="n">
        <v>45544</v>
      </c>
      <c r="I456" t="inlineStr">
        <is>
          <t>Sold</t>
        </is>
      </c>
      <c r="J456" s="6">
        <f>HYPERLINK("https://www.dailydose.de/kleinanzeigen/detail.htm?ai=422300&amp;cf=kk&amp;pg=2&amp;ci=2", "Link")</f>
        <v/>
      </c>
      <c r="K456" s="6">
        <f>HYPERLINK("C:\Projects\Kleinanzeigen-Scraper\offer_images\422300", "Link")</f>
        <v/>
      </c>
      <c r="L456" t="inlineStr">
        <is>
          <t>AdrianU</t>
        </is>
      </c>
      <c r="M456" s="6">
        <f>HYPERLINK("https://www.dailydose.de/kleinanzeigen/user/26375", "Link")</f>
        <v/>
      </c>
      <c r="N456" s="7" t="n">
        <v>45545.86216435185</v>
      </c>
      <c r="O456" s="3" t="inlineStr">
        <is>
          <t>85.19</t>
        </is>
      </c>
      <c r="P456" t="inlineStr">
        <is>
          <t>Bonndorf</t>
        </is>
      </c>
    </row>
    <row r="457">
      <c r="A457" t="inlineStr">
        <is>
          <t>North Uni.XT</t>
        </is>
      </c>
      <c r="B457" s="3" t="n">
        <v>28</v>
      </c>
      <c r="C457" s="8" t="inlineStr"/>
      <c r="D457" t="inlineStr">
        <is>
          <t>SDM</t>
        </is>
      </c>
      <c r="E457" s="4" t="n">
        <v>80</v>
      </c>
      <c r="F457" t="inlineStr"/>
      <c r="G457" t="inlineStr">
        <is>
          <t>67071 Rheinland-Pfalz - Ludwigshafen</t>
        </is>
      </c>
      <c r="H457" s="5" t="n">
        <v>45544</v>
      </c>
      <c r="I457" t="inlineStr">
        <is>
          <t>Sold</t>
        </is>
      </c>
      <c r="J457" s="6">
        <f>HYPERLINK("https://www.kleinanzeigen.de/s-anzeige/north-windsurf-verlaengerung-uni-xt-sdm-28-cm-neu-/2858869007-230-5191", "Link")</f>
        <v/>
      </c>
      <c r="K457" s="6">
        <f>HYPERLINK("C:\Projects\Kleinanzeigen-Scraper\offer_images\2858869007", "Link")</f>
        <v/>
      </c>
      <c r="L457" t="inlineStr">
        <is>
          <t>Peter</t>
        </is>
      </c>
      <c r="M457" s="6">
        <f>HYPERLINK("https://www.kleinanzeigen.de/s-bestandsliste.html?userId=35224675", "Link")</f>
        <v/>
      </c>
      <c r="N457" s="7" t="n">
        <v>45545.86168981482</v>
      </c>
      <c r="O457" s="3" t="inlineStr">
        <is>
          <t>52.34</t>
        </is>
      </c>
      <c r="P457" t="inlineStr">
        <is>
          <t>Karlsruhe</t>
        </is>
      </c>
    </row>
    <row r="458">
      <c r="A458" t="inlineStr">
        <is>
          <t>XC 50</t>
        </is>
      </c>
      <c r="B458" s="3" t="n">
        <v>400</v>
      </c>
      <c r="C458" s="8" t="inlineStr"/>
      <c r="D458" t="inlineStr"/>
      <c r="E458" s="4" t="n">
        <v>20</v>
      </c>
      <c r="F458" t="inlineStr">
        <is>
          <t>VB</t>
        </is>
      </c>
      <c r="G458" t="inlineStr">
        <is>
          <t>24114 Schleswig-Holstein - Kiel</t>
        </is>
      </c>
      <c r="H458" s="5" t="n">
        <v>45544</v>
      </c>
      <c r="I458" t="inlineStr">
        <is>
          <t>Sold</t>
        </is>
      </c>
      <c r="J458" s="6">
        <f>HYPERLINK("https://www.kleinanzeigen.de/s-anzeige/windsurf-mast-xc-50/2858852249-230-697", "Link")</f>
        <v/>
      </c>
      <c r="K458" s="6">
        <f>HYPERLINK("C:\Projects\Kleinanzeigen-Scraper\offer_images\2858852249", "Link")</f>
        <v/>
      </c>
      <c r="L458" t="inlineStr">
        <is>
          <t>Sandra Mörschel</t>
        </is>
      </c>
      <c r="M458" s="6">
        <f>HYPERLINK("https://www.kleinanzeigen.de/s-bestandsliste.html?userId=5244741", "Link")</f>
        <v/>
      </c>
      <c r="N458" s="7" t="n">
        <v>45545.86162037037</v>
      </c>
      <c r="O458" s="3" t="inlineStr">
        <is>
          <t>431.59</t>
        </is>
      </c>
      <c r="P458" t="inlineStr">
        <is>
          <t>Köln</t>
        </is>
      </c>
    </row>
    <row r="459">
      <c r="A459" t="inlineStr">
        <is>
          <t>ProLimit Predator C55</t>
        </is>
      </c>
      <c r="B459" s="3" t="n">
        <v>430</v>
      </c>
      <c r="C459" s="8" t="inlineStr">
        <is>
          <t>55%</t>
        </is>
      </c>
      <c r="D459" t="inlineStr">
        <is>
          <t>SDM</t>
        </is>
      </c>
      <c r="E459" s="4" t="n">
        <v>45</v>
      </c>
      <c r="F459" t="inlineStr">
        <is>
          <t>VB</t>
        </is>
      </c>
      <c r="G459" t="inlineStr">
        <is>
          <t>19230 Mecklenburg-Vorpommern - Hoort</t>
        </is>
      </c>
      <c r="H459" s="5" t="n">
        <v>45543</v>
      </c>
      <c r="I459" t="inlineStr">
        <is>
          <t>Sold</t>
        </is>
      </c>
      <c r="J459" s="6">
        <f>HYPERLINK("https://www.kleinanzeigen.de/s-anzeige/windsurfen-surfmast-prolimit-430/2857732562-230-25011", "Link")</f>
        <v/>
      </c>
      <c r="K459" s="6">
        <f>HYPERLINK("C:\Projects\Kleinanzeigen-Scraper\offer_images\2857732562", "Link")</f>
        <v/>
      </c>
      <c r="L459" t="inlineStr">
        <is>
          <t>Andre</t>
        </is>
      </c>
      <c r="M459" s="6">
        <f>HYPERLINK("https://www.kleinanzeigen.de/s-bestandsliste.html?userId=26896216", "Link")</f>
        <v/>
      </c>
      <c r="N459" s="7" t="n">
        <v>45545.86119212963</v>
      </c>
      <c r="O459" s="3" t="inlineStr">
        <is>
          <t>400.92</t>
        </is>
      </c>
      <c r="P459" t="inlineStr">
        <is>
          <t>Köln</t>
        </is>
      </c>
    </row>
    <row r="460">
      <c r="A460" t="inlineStr">
        <is>
          <t>Gun Sails EXPERT</t>
        </is>
      </c>
      <c r="B460" s="3" t="n">
        <v>430</v>
      </c>
      <c r="C460" s="8" t="inlineStr">
        <is>
          <t>70%</t>
        </is>
      </c>
      <c r="D460" t="inlineStr">
        <is>
          <t>RDM</t>
        </is>
      </c>
      <c r="E460" s="4" t="n">
        <v>175</v>
      </c>
      <c r="F460" t="inlineStr">
        <is>
          <t>VB</t>
        </is>
      </c>
      <c r="G460" t="inlineStr">
        <is>
          <t>23909 Ratzebiurg</t>
        </is>
      </c>
      <c r="H460" s="5" t="n">
        <v>45543</v>
      </c>
      <c r="I460" t="inlineStr">
        <is>
          <t>Sold</t>
        </is>
      </c>
      <c r="J460" s="6">
        <f>HYPERLINK("https://www.dailydose.de/kleinanzeigen/detail.htm?ai=422226&amp;cf=kk&amp;pg=1&amp;ci=2", "Link")</f>
        <v/>
      </c>
      <c r="K460" s="6">
        <f>HYPERLINK("C:\Projects\Kleinanzeigen-Scraper\offer_images\422226", "Link")</f>
        <v/>
      </c>
      <c r="L460" t="inlineStr">
        <is>
          <t>Insider</t>
        </is>
      </c>
      <c r="M460" s="6">
        <f>HYPERLINK("https://www.dailydose.de/kleinanzeigen/user/20603", "Link")</f>
        <v/>
      </c>
      <c r="N460" s="7" t="n">
        <v>45544.75168981482</v>
      </c>
      <c r="O460" s="3" t="inlineStr">
        <is>
          <t>401.75</t>
        </is>
      </c>
      <c r="P460" t="inlineStr">
        <is>
          <t>Köln</t>
        </is>
      </c>
    </row>
    <row r="461">
      <c r="A461" t="inlineStr">
        <is>
          <t>S2 Maui North Shore</t>
        </is>
      </c>
      <c r="B461" s="3" t="n">
        <v>340</v>
      </c>
      <c r="C461" s="8" t="inlineStr">
        <is>
          <t>100%</t>
        </is>
      </c>
      <c r="D461" t="inlineStr">
        <is>
          <t>RDM</t>
        </is>
      </c>
      <c r="E461" s="4" t="n">
        <v>360</v>
      </c>
      <c r="F461" t="inlineStr"/>
      <c r="G461" t="inlineStr">
        <is>
          <t>Kiel, Bremen, Sylt</t>
        </is>
      </c>
      <c r="H461" s="5" t="n">
        <v>45544</v>
      </c>
      <c r="I461" t="inlineStr"/>
      <c r="J461" s="6">
        <f>HYPERLINK("https://www.dailydose.de/kleinanzeigen/detail.htm?ai=422287&amp;cf=kk&amp;pg=2&amp;ci=2", "Link")</f>
        <v/>
      </c>
      <c r="K461" s="6">
        <f>HYPERLINK("C:\Projects\Kleinanzeigen-Scraper\offer_images\422287", "Link")</f>
        <v/>
      </c>
      <c r="L461" t="inlineStr">
        <is>
          <t>sybille</t>
        </is>
      </c>
      <c r="M461" s="6">
        <f>HYPERLINK("https://www.dailydose.de/kleinanzeigen/user/22818", "Link")</f>
        <v/>
      </c>
      <c r="N461" s="7" t="n">
        <v>45544.75103009259</v>
      </c>
      <c r="O461" s="3" t="inlineStr">
        <is>
          <t>271.41</t>
        </is>
      </c>
      <c r="P461" t="inlineStr">
        <is>
          <t>Köln</t>
        </is>
      </c>
    </row>
    <row r="462">
      <c r="A462" t="inlineStr">
        <is>
          <t>CHALLENGER</t>
        </is>
      </c>
      <c r="B462" s="3" t="n">
        <v>430</v>
      </c>
      <c r="C462" s="8" t="inlineStr">
        <is>
          <t>77%</t>
        </is>
      </c>
      <c r="D462" t="inlineStr">
        <is>
          <t>RDM</t>
        </is>
      </c>
      <c r="E462" s="4" t="n">
        <v>175</v>
      </c>
      <c r="F462" t="inlineStr">
        <is>
          <t>VB</t>
        </is>
      </c>
      <c r="G462" t="inlineStr">
        <is>
          <t>23909 Ratzeburg</t>
        </is>
      </c>
      <c r="H462" s="5" t="n">
        <v>45543</v>
      </c>
      <c r="I462" t="inlineStr">
        <is>
          <t>Sold</t>
        </is>
      </c>
      <c r="J462" s="6">
        <f>HYPERLINK("https://www.dailydose.de/kleinanzeigen/detail.htm?ai=422227&amp;cf=kk&amp;pg=1&amp;ci=2", "Link")</f>
        <v/>
      </c>
      <c r="K462" s="6">
        <f>HYPERLINK("C:\Projects\Kleinanzeigen-Scraper\offer_images\422227", "Link")</f>
        <v/>
      </c>
      <c r="L462" t="inlineStr">
        <is>
          <t>Insider</t>
        </is>
      </c>
      <c r="M462" s="6">
        <f>HYPERLINK("https://www.dailydose.de/kleinanzeigen/user/20603", "Link")</f>
        <v/>
      </c>
      <c r="N462" s="7" t="n">
        <v>45544.74990740741</v>
      </c>
      <c r="O462" s="3" t="inlineStr">
        <is>
          <t>401.75</t>
        </is>
      </c>
      <c r="P462" t="inlineStr">
        <is>
          <t>Köln</t>
        </is>
      </c>
    </row>
    <row r="463">
      <c r="A463" t="inlineStr">
        <is>
          <t>Gunsails Cross</t>
        </is>
      </c>
      <c r="B463" s="3" t="n">
        <v>400</v>
      </c>
      <c r="C463" s="8" t="inlineStr">
        <is>
          <t>50%</t>
        </is>
      </c>
      <c r="D463" t="inlineStr">
        <is>
          <t>RDM</t>
        </is>
      </c>
      <c r="E463" s="4" t="n">
        <v>100</v>
      </c>
      <c r="F463" t="inlineStr"/>
      <c r="G463" t="inlineStr">
        <is>
          <t>24222 Schwentinental  OT Klausdorf</t>
        </is>
      </c>
      <c r="H463" s="5" t="n">
        <v>45544</v>
      </c>
      <c r="I463" t="inlineStr">
        <is>
          <t>Sold</t>
        </is>
      </c>
      <c r="J463" s="6">
        <f>HYPERLINK("https://www.dailydose.de/kleinanzeigen/detail.htm?ai=422261&amp;cf=kk&amp;pg=1&amp;ci=2", "Link")</f>
        <v/>
      </c>
      <c r="K463" s="6">
        <f>HYPERLINK("C:\Projects\Kleinanzeigen-Scraper\offer_images\422261", "Link")</f>
        <v/>
      </c>
      <c r="L463" t="inlineStr">
        <is>
          <t>Sven_54</t>
        </is>
      </c>
      <c r="M463" s="6">
        <f>HYPERLINK("https://www.dailydose.de/kleinanzeigen/user/20513", "Link")</f>
        <v/>
      </c>
      <c r="N463" s="7" t="n">
        <v>45544.74987268518</v>
      </c>
      <c r="O463" s="3" t="inlineStr">
        <is>
          <t>433.89</t>
        </is>
      </c>
      <c r="P463" t="inlineStr">
        <is>
          <t>Köln</t>
        </is>
      </c>
    </row>
    <row r="464">
      <c r="A464" t="inlineStr">
        <is>
          <t>North Sails (DUOTONE) Blacklabel</t>
        </is>
      </c>
      <c r="B464" s="3" t="n">
        <v>460</v>
      </c>
      <c r="C464" s="8" t="inlineStr">
        <is>
          <t>75%</t>
        </is>
      </c>
      <c r="D464" t="inlineStr">
        <is>
          <t>SDM</t>
        </is>
      </c>
      <c r="E464" s="4" t="n">
        <v>150</v>
      </c>
      <c r="F464" t="inlineStr">
        <is>
          <t>VB</t>
        </is>
      </c>
      <c r="G464" t="inlineStr">
        <is>
          <t>23909 Ratzeburg</t>
        </is>
      </c>
      <c r="H464" s="5" t="n">
        <v>45543</v>
      </c>
      <c r="I464" t="inlineStr">
        <is>
          <t>Sold</t>
        </is>
      </c>
      <c r="J464" s="6">
        <f>HYPERLINK("https://www.dailydose.de/kleinanzeigen/detail.htm?ai=422230&amp;cf=kk&amp;pg=1&amp;ci=2", "Link")</f>
        <v/>
      </c>
      <c r="K464" s="6">
        <f>HYPERLINK("C:\Projects\Kleinanzeigen-Scraper\offer_images\422230", "Link")</f>
        <v/>
      </c>
      <c r="L464" t="inlineStr">
        <is>
          <t>Insider</t>
        </is>
      </c>
      <c r="M464" s="6">
        <f>HYPERLINK("https://www.dailydose.de/kleinanzeigen/user/20603", "Link")</f>
        <v/>
      </c>
      <c r="N464" s="7" t="n">
        <v>45544.74971064815</v>
      </c>
      <c r="O464" s="3" t="inlineStr">
        <is>
          <t>401.75</t>
        </is>
      </c>
      <c r="P464" t="inlineStr">
        <is>
          <t>Köln</t>
        </is>
      </c>
    </row>
    <row r="465">
      <c r="A465" t="inlineStr">
        <is>
          <t>CAAS Extreme Wave</t>
        </is>
      </c>
      <c r="B465" s="3" t="n">
        <v>370</v>
      </c>
      <c r="C465" s="8" t="inlineStr">
        <is>
          <t>100%</t>
        </is>
      </c>
      <c r="D465" t="inlineStr">
        <is>
          <t>RDM</t>
        </is>
      </c>
      <c r="E465" s="4" t="n">
        <v>250</v>
      </c>
      <c r="F465" t="inlineStr"/>
      <c r="G465" t="inlineStr">
        <is>
          <t>Kiel, Bremen, Sylt</t>
        </is>
      </c>
      <c r="H465" s="5" t="n">
        <v>45544</v>
      </c>
      <c r="I465" t="inlineStr"/>
      <c r="J465" s="6">
        <f>HYPERLINK("https://www.dailydose.de/kleinanzeigen/detail.htm?ai=422288&amp;cf=kk&amp;pg=2&amp;ci=2", "Link")</f>
        <v/>
      </c>
      <c r="K465" s="6">
        <f>HYPERLINK("C:\Projects\Kleinanzeigen-Scraper\offer_images\422288", "Link")</f>
        <v/>
      </c>
      <c r="L465" t="inlineStr">
        <is>
          <t>sybille</t>
        </is>
      </c>
      <c r="M465" s="6">
        <f>HYPERLINK("https://www.dailydose.de/kleinanzeigen/user/22818", "Link")</f>
        <v/>
      </c>
      <c r="N465" s="7" t="n">
        <v>45544.74961805555</v>
      </c>
      <c r="O465" s="3" t="inlineStr">
        <is>
          <t>271.41</t>
        </is>
      </c>
      <c r="P465" t="inlineStr">
        <is>
          <t>Köln</t>
        </is>
      </c>
    </row>
    <row r="466">
      <c r="A466" t="inlineStr">
        <is>
          <t>S2 Maui Mast Peahi 90</t>
        </is>
      </c>
      <c r="B466" s="3" t="n">
        <v>340</v>
      </c>
      <c r="C466" s="8" t="inlineStr"/>
      <c r="D466" t="inlineStr"/>
      <c r="E466" s="4" t="n">
        <v>250</v>
      </c>
      <c r="F466" t="inlineStr"/>
      <c r="G466" t="inlineStr">
        <is>
          <t>24944 Flensburg</t>
        </is>
      </c>
      <c r="H466" s="5" t="n">
        <v>45543</v>
      </c>
      <c r="I466" t="inlineStr">
        <is>
          <t>Sold</t>
        </is>
      </c>
      <c r="J466" s="6">
        <f>HYPERLINK("https://www.dailydose.de/kleinanzeigen/detail.htm?ai=422253&amp;cf=kk&amp;pg=1&amp;ci=2", "Link")</f>
        <v/>
      </c>
      <c r="K466" s="6">
        <f>HYPERLINK("C:\Projects\Kleinanzeigen-Scraper\offer_images\422253", "Link")</f>
        <v/>
      </c>
      <c r="L466" t="inlineStr">
        <is>
          <t>marc_133</t>
        </is>
      </c>
      <c r="M466" s="6">
        <f>HYPERLINK("https://www.dailydose.de/kleinanzeigen/user/15302", "Link")</f>
        <v/>
      </c>
      <c r="N466" s="7" t="n">
        <v>45544.749375</v>
      </c>
      <c r="O466" s="3" t="inlineStr">
        <is>
          <t>462.42</t>
        </is>
      </c>
      <c r="P466" t="inlineStr">
        <is>
          <t>Köln</t>
        </is>
      </c>
    </row>
    <row r="467">
      <c r="A467" t="inlineStr">
        <is>
          <t>EZZY Hookipa</t>
        </is>
      </c>
      <c r="B467" s="3" t="n">
        <v>460</v>
      </c>
      <c r="C467" s="8" t="inlineStr">
        <is>
          <t>90%</t>
        </is>
      </c>
      <c r="D467" t="inlineStr">
        <is>
          <t>RDM</t>
        </is>
      </c>
      <c r="E467" s="4" t="n">
        <v>569</v>
      </c>
      <c r="F467" t="inlineStr">
        <is>
          <t>VB</t>
        </is>
      </c>
      <c r="G467" t="inlineStr">
        <is>
          <t>22880 Wedel</t>
        </is>
      </c>
      <c r="H467" s="5" t="n">
        <v>45544</v>
      </c>
      <c r="I467" t="inlineStr">
        <is>
          <t>Sold</t>
        </is>
      </c>
      <c r="J467" s="6">
        <f>HYPERLINK("https://www.dailydose.de/kleinanzeigen/detail.htm?ai=422283&amp;cf=kk&amp;pg=2&amp;ci=2", "Link")</f>
        <v/>
      </c>
      <c r="K467" s="6">
        <f>HYPERLINK("C:\Projects\Kleinanzeigen-Scraper\offer_images\422283", "Link")</f>
        <v/>
      </c>
      <c r="L467" t="inlineStr">
        <is>
          <t>sailor</t>
        </is>
      </c>
      <c r="M467" s="6">
        <f>HYPERLINK("https://www.dailydose.de/kleinanzeigen/user/22380", "Link")</f>
        <v/>
      </c>
      <c r="N467" s="7" t="n">
        <v>45544.74915509259</v>
      </c>
      <c r="O467" s="3" t="inlineStr">
        <is>
          <t>349.30</t>
        </is>
      </c>
      <c r="P467" t="inlineStr">
        <is>
          <t>Köln</t>
        </is>
      </c>
    </row>
    <row r="468">
      <c r="A468" t="inlineStr">
        <is>
          <t>Tushingham</t>
        </is>
      </c>
      <c r="B468" s="3" t="n">
        <v>400</v>
      </c>
      <c r="C468" s="8" t="inlineStr">
        <is>
          <t>100%</t>
        </is>
      </c>
      <c r="D468" t="inlineStr">
        <is>
          <t>RDM</t>
        </is>
      </c>
      <c r="E468" s="4" t="n">
        <v>190</v>
      </c>
      <c r="F468" t="inlineStr"/>
      <c r="G468" t="inlineStr">
        <is>
          <t>47800 Nordrhein-Westfalen - Krefeld</t>
        </is>
      </c>
      <c r="H468" s="5" t="n">
        <v>45544</v>
      </c>
      <c r="I468" t="inlineStr">
        <is>
          <t>Sold</t>
        </is>
      </c>
      <c r="J468" s="6">
        <f>HYPERLINK("https://www.kleinanzeigen.de/s-anzeige/windsurf-mast-tushingham-400-100-carbon-rdm-wave/2858701562-230-1975", "Link")</f>
        <v/>
      </c>
      <c r="K468" s="6">
        <f>HYPERLINK("C:\Projects\Kleinanzeigen-Scraper\offer_images\2858701562", "Link")</f>
        <v/>
      </c>
      <c r="L468" t="inlineStr">
        <is>
          <t>Mats</t>
        </is>
      </c>
      <c r="M468" s="6">
        <f>HYPERLINK("https://www.kleinanzeigen.de/s-bestandsliste.html?userId=33403312", "Link")</f>
        <v/>
      </c>
      <c r="N468" s="7" t="n">
        <v>45544.74841435185</v>
      </c>
      <c r="O468" s="3" t="inlineStr">
        <is>
          <t>51.49</t>
        </is>
      </c>
      <c r="P468" t="inlineStr">
        <is>
          <t>Köln</t>
        </is>
      </c>
    </row>
    <row r="469">
      <c r="A469" t="inlineStr">
        <is>
          <t>Gunsails RDM Classic</t>
        </is>
      </c>
      <c r="B469" s="3" t="inlineStr">
        <is>
          <t>15, 30</t>
        </is>
      </c>
      <c r="C469" s="8" t="inlineStr"/>
      <c r="D469" t="inlineStr">
        <is>
          <t>RDM</t>
        </is>
      </c>
      <c r="E469" s="4" t="n">
        <v>25</v>
      </c>
      <c r="F469" t="inlineStr"/>
      <c r="G469" t="inlineStr">
        <is>
          <t>24939 Schleswig-Holstein - Flensburg</t>
        </is>
      </c>
      <c r="H469" s="5" t="n">
        <v>45543</v>
      </c>
      <c r="I469" t="inlineStr">
        <is>
          <t>Sold</t>
        </is>
      </c>
      <c r="J469" s="6">
        <f>HYPERLINK("https://www.kleinanzeigen.de/s-anzeige/windsurf-mast-verlaengerung-rdm-classic-von-gunsails-15cm-und-30cm/2857602689-230-717", "Link")</f>
        <v/>
      </c>
      <c r="K469" s="6">
        <f>HYPERLINK("C:\Projects\Kleinanzeigen-Scraper\offer_images\2857602689", "Link")</f>
        <v/>
      </c>
      <c r="L469" t="inlineStr">
        <is>
          <t>Jan</t>
        </is>
      </c>
      <c r="M469" s="6">
        <f>HYPERLINK("https://www.kleinanzeigen.de/s-bestandsliste.html?userId=26622503", "Link")</f>
        <v/>
      </c>
      <c r="N469" s="7" t="n">
        <v>45544.74840277778</v>
      </c>
      <c r="O469" s="3" t="inlineStr">
        <is>
          <t>460.36</t>
        </is>
      </c>
      <c r="P469" t="inlineStr">
        <is>
          <t>Köln</t>
        </is>
      </c>
    </row>
    <row r="470">
      <c r="A470" t="inlineStr">
        <is>
          <t>Severne Redline</t>
        </is>
      </c>
      <c r="B470" s="3" t="n">
        <v>400</v>
      </c>
      <c r="C470" s="8" t="inlineStr">
        <is>
          <t>100%</t>
        </is>
      </c>
      <c r="D470" t="inlineStr">
        <is>
          <t>RDM</t>
        </is>
      </c>
      <c r="E470" s="4" t="n">
        <v>250</v>
      </c>
      <c r="F470" t="inlineStr"/>
      <c r="G470" t="inlineStr">
        <is>
          <t>47800 Nordrhein-Westfalen - Krefeld</t>
        </is>
      </c>
      <c r="H470" s="5" t="n">
        <v>45544</v>
      </c>
      <c r="I470" t="inlineStr">
        <is>
          <t>Sold</t>
        </is>
      </c>
      <c r="J470" s="6">
        <f>HYPERLINK("https://www.kleinanzeigen.de/s-anzeige/mast-severne-redline-400-19-100-carbon-rdm-windsurfen-wave/2858695948-230-1975", "Link")</f>
        <v/>
      </c>
      <c r="K470" s="6">
        <f>HYPERLINK("C:\Projects\Kleinanzeigen-Scraper\offer_images\2858695948", "Link")</f>
        <v/>
      </c>
      <c r="L470" t="inlineStr">
        <is>
          <t>Mats</t>
        </is>
      </c>
      <c r="M470" s="6">
        <f>HYPERLINK("https://www.kleinanzeigen.de/s-bestandsliste.html?userId=33403312", "Link")</f>
        <v/>
      </c>
      <c r="N470" s="7" t="n">
        <v>45544.74828703704</v>
      </c>
      <c r="O470" s="3" t="inlineStr">
        <is>
          <t>51.49</t>
        </is>
      </c>
      <c r="P470" t="inlineStr">
        <is>
          <t>Köln</t>
        </is>
      </c>
    </row>
    <row r="471">
      <c r="A471" t="inlineStr">
        <is>
          <t>Duotone Gold</t>
        </is>
      </c>
      <c r="B471" s="3" t="n">
        <v>460</v>
      </c>
      <c r="C471" s="8" t="n">
        <v>90</v>
      </c>
      <c r="D471" t="inlineStr">
        <is>
          <t>SDM</t>
        </is>
      </c>
      <c r="E471" s="4" t="n">
        <v>400</v>
      </c>
      <c r="F471" t="inlineStr"/>
      <c r="G471" t="inlineStr">
        <is>
          <t>16515 Brandenburg - Oranienburg</t>
        </is>
      </c>
      <c r="H471" s="5" t="n">
        <v>45543</v>
      </c>
      <c r="I471" t="inlineStr">
        <is>
          <t>Sold</t>
        </is>
      </c>
      <c r="J471" s="6">
        <f>HYPERLINK("https://www.kleinanzeigen.de/s-anzeige/duotone-gold-mast-460-surfmast-windsurfen/2857940278-230-7814", "Link")</f>
        <v/>
      </c>
      <c r="K471" s="6">
        <f>HYPERLINK("C:\Projects\Kleinanzeigen-Scraper\offer_images\2857940278", "Link")</f>
        <v/>
      </c>
      <c r="L471" t="inlineStr">
        <is>
          <t>DW</t>
        </is>
      </c>
      <c r="M471" s="6">
        <f>HYPERLINK("https://www.kleinanzeigen.de/s-bestandsliste.html?userId=7064273", "Link")</f>
        <v/>
      </c>
      <c r="N471" s="7" t="n">
        <v>45544.74824074074</v>
      </c>
      <c r="O471" s="3" t="inlineStr">
        <is>
          <t>483.59</t>
        </is>
      </c>
      <c r="P471" t="inlineStr">
        <is>
          <t>Köln</t>
        </is>
      </c>
    </row>
    <row r="472">
      <c r="A472" t="inlineStr">
        <is>
          <t>Duetone Black.50 Series</t>
        </is>
      </c>
      <c r="B472" s="3" t="n">
        <v>400</v>
      </c>
      <c r="C472" s="8" t="inlineStr"/>
      <c r="D472" t="inlineStr">
        <is>
          <t>RDM</t>
        </is>
      </c>
      <c r="E472" s="4" t="n">
        <v>150</v>
      </c>
      <c r="F472" t="inlineStr"/>
      <c r="G472" t="inlineStr">
        <is>
          <t>81547 München - Untergiesing-Harlaching</t>
        </is>
      </c>
      <c r="H472" s="5" t="n">
        <v>45543</v>
      </c>
      <c r="I472" t="inlineStr">
        <is>
          <t>Sold</t>
        </is>
      </c>
      <c r="J472" s="6">
        <f>HYPERLINK("https://www.kleinanzeigen.de/s-anzeige/duetone-rdm-400-windsurf-mast-black-50-series/2857236990-230-6428", "Link")</f>
        <v/>
      </c>
      <c r="K472" s="6">
        <f>HYPERLINK("C:\Projects\Kleinanzeigen-Scraper\offer_images\2857236990", "Link")</f>
        <v/>
      </c>
      <c r="L472" t="inlineStr">
        <is>
          <t>Stefan Miller</t>
        </is>
      </c>
      <c r="M472" s="6">
        <f>HYPERLINK("https://www.kleinanzeigen.de/s-bestandsliste.html?userId=57108886", "Link")</f>
        <v/>
      </c>
      <c r="N472" s="7" t="n">
        <v>45544.74822916667</v>
      </c>
      <c r="O472" s="3" t="inlineStr">
        <is>
          <t>3.83</t>
        </is>
      </c>
      <c r="P472" t="inlineStr">
        <is>
          <t>München</t>
        </is>
      </c>
    </row>
    <row r="473">
      <c r="A473" t="inlineStr">
        <is>
          <t>Severne Red</t>
        </is>
      </c>
      <c r="B473" s="3" t="n">
        <v>370</v>
      </c>
      <c r="C473" s="8" t="inlineStr">
        <is>
          <t>100%</t>
        </is>
      </c>
      <c r="D473" t="inlineStr">
        <is>
          <t>RDM</t>
        </is>
      </c>
      <c r="E473" s="4" t="n">
        <v>425</v>
      </c>
      <c r="F473" t="inlineStr"/>
      <c r="G473" t="inlineStr">
        <is>
          <t>80799 München</t>
        </is>
      </c>
      <c r="H473" s="5" t="n">
        <v>45542</v>
      </c>
      <c r="I473" t="inlineStr"/>
      <c r="J473" s="6">
        <f>HYPERLINK("https://www.dailydose.de/kleinanzeigen/detail.htm?ai=422185&amp;cf=kk&amp;pg=3&amp;ci=2", "Link")</f>
        <v/>
      </c>
      <c r="K473" s="6">
        <f>HYPERLINK("C:\Projects\Kleinanzeigen-Scraper\offer_images\422185", "Link")</f>
        <v/>
      </c>
      <c r="L473" t="inlineStr">
        <is>
          <t>surf_freeke</t>
        </is>
      </c>
      <c r="M473" s="6">
        <f>HYPERLINK("https://www.dailydose.de/kleinanzeigen/user/504", "Link")</f>
        <v/>
      </c>
      <c r="N473" s="7" t="n">
        <v>45543.55070601852</v>
      </c>
      <c r="O473" s="3" t="inlineStr">
        <is>
          <t>1.66</t>
        </is>
      </c>
      <c r="P473" t="inlineStr">
        <is>
          <t>München</t>
        </is>
      </c>
    </row>
    <row r="474">
      <c r="A474" t="inlineStr">
        <is>
          <t>Severne Red</t>
        </is>
      </c>
      <c r="B474" s="3" t="n">
        <v>340</v>
      </c>
      <c r="C474" s="8" t="inlineStr">
        <is>
          <t>90%</t>
        </is>
      </c>
      <c r="D474" t="inlineStr">
        <is>
          <t>RDM</t>
        </is>
      </c>
      <c r="E474" s="4" t="n">
        <v>299</v>
      </c>
      <c r="F474" t="inlineStr"/>
      <c r="G474" t="inlineStr">
        <is>
          <t>80799 München</t>
        </is>
      </c>
      <c r="H474" s="5" t="n">
        <v>45542</v>
      </c>
      <c r="I474" t="inlineStr"/>
      <c r="J474" s="6">
        <f>HYPERLINK("https://www.dailydose.de/kleinanzeigen/detail.htm?ai=422187&amp;cf=kk&amp;pg=2&amp;ci=2", "Link")</f>
        <v/>
      </c>
      <c r="K474" s="6">
        <f>HYPERLINK("C:\Projects\Kleinanzeigen-Scraper\offer_images\422187", "Link")</f>
        <v/>
      </c>
      <c r="L474" t="inlineStr">
        <is>
          <t>surf_freeke</t>
        </is>
      </c>
      <c r="M474" s="6">
        <f>HYPERLINK("https://www.dailydose.de/kleinanzeigen/user/504", "Link")</f>
        <v/>
      </c>
      <c r="N474" s="7" t="n">
        <v>45543.5497800926</v>
      </c>
      <c r="O474" s="3" t="inlineStr">
        <is>
          <t>1.66</t>
        </is>
      </c>
      <c r="P474" t="inlineStr">
        <is>
          <t>München</t>
        </is>
      </c>
    </row>
    <row r="475">
      <c r="A475" t="inlineStr">
        <is>
          <t>Gunsails C25</t>
        </is>
      </c>
      <c r="B475" s="3" t="n">
        <v>400</v>
      </c>
      <c r="C475" s="8" t="inlineStr">
        <is>
          <t>25%</t>
        </is>
      </c>
      <c r="D475" t="inlineStr">
        <is>
          <t>SDM</t>
        </is>
      </c>
      <c r="E475" s="4" t="n">
        <v>55</v>
      </c>
      <c r="F475" t="inlineStr">
        <is>
          <t>VB</t>
        </is>
      </c>
      <c r="G475" t="inlineStr">
        <is>
          <t>86574 Bayern - Petersdorf</t>
        </is>
      </c>
      <c r="H475" s="5" t="n">
        <v>45541</v>
      </c>
      <c r="I475" t="inlineStr">
        <is>
          <t>Sold</t>
        </is>
      </c>
      <c r="J475" s="6">
        <f>HYPERLINK("https://www.kleinanzeigen.de/s-anzeige/windsurf-mast-carbon-gunsails-c25-400-cm/2855765549-230-7198", "Link")</f>
        <v/>
      </c>
      <c r="K475" s="6">
        <f>HYPERLINK("C:\Projects\Kleinanzeigen-Scraper\offer_images\2855765549", "Link")</f>
        <v/>
      </c>
      <c r="L475" t="inlineStr">
        <is>
          <t>Fabian Heigemeir</t>
        </is>
      </c>
      <c r="M475" s="6">
        <f>HYPERLINK("https://www.kleinanzeigen.de/s-bestandsliste.html?userId=121280439", "Link")</f>
        <v/>
      </c>
      <c r="N475" s="7" t="n">
        <v>45543.54928240741</v>
      </c>
      <c r="O475" s="3" t="inlineStr">
        <is>
          <t>60.10</t>
        </is>
      </c>
      <c r="P475" t="inlineStr">
        <is>
          <t>München</t>
        </is>
      </c>
    </row>
    <row r="476">
      <c r="A476" t="inlineStr">
        <is>
          <t>Gunsails C25</t>
        </is>
      </c>
      <c r="B476" s="3" t="n">
        <v>370</v>
      </c>
      <c r="C476" s="8" t="inlineStr">
        <is>
          <t>25%</t>
        </is>
      </c>
      <c r="D476" t="inlineStr">
        <is>
          <t>SDM</t>
        </is>
      </c>
      <c r="E476" s="4" t="n">
        <v>65</v>
      </c>
      <c r="F476" t="inlineStr"/>
      <c r="G476" t="inlineStr">
        <is>
          <t>86574 Bayern - Petersdorf</t>
        </is>
      </c>
      <c r="H476" s="5" t="n">
        <v>45541</v>
      </c>
      <c r="I476" t="inlineStr">
        <is>
          <t>Sold</t>
        </is>
      </c>
      <c r="J476" s="6">
        <f>HYPERLINK("https://www.kleinanzeigen.de/s-anzeige/windsurf-mast-carbon-370-cm-gunsails-c25/2855768688-230-7198", "Link")</f>
        <v/>
      </c>
      <c r="K476" s="6">
        <f>HYPERLINK("C:\Projects\Kleinanzeigen-Scraper\offer_images\2855768688", "Link")</f>
        <v/>
      </c>
      <c r="L476" t="inlineStr">
        <is>
          <t>Fabian Heigemeir</t>
        </is>
      </c>
      <c r="M476" s="6">
        <f>HYPERLINK("https://www.kleinanzeigen.de/s-bestandsliste.html?userId=121280439", "Link")</f>
        <v/>
      </c>
      <c r="N476" s="7" t="n">
        <v>45543.54881944445</v>
      </c>
      <c r="O476" s="3" t="inlineStr">
        <is>
          <t>60.10</t>
        </is>
      </c>
      <c r="P476" t="inlineStr">
        <is>
          <t>München</t>
        </is>
      </c>
    </row>
    <row r="477">
      <c r="A477" t="inlineStr">
        <is>
          <t>Fiberspar Freeride / Wave</t>
        </is>
      </c>
      <c r="B477" s="3" t="n">
        <v>460</v>
      </c>
      <c r="C477" s="8" t="inlineStr">
        <is>
          <t>30%</t>
        </is>
      </c>
      <c r="D477" t="inlineStr">
        <is>
          <t>SDM</t>
        </is>
      </c>
      <c r="E477" s="4" t="n">
        <v>50</v>
      </c>
      <c r="F477" t="inlineStr"/>
      <c r="G477" t="inlineStr">
        <is>
          <t>86574 Bayern - Petersdorf</t>
        </is>
      </c>
      <c r="H477" s="5" t="n">
        <v>45541</v>
      </c>
      <c r="I477" t="inlineStr">
        <is>
          <t>Sold</t>
        </is>
      </c>
      <c r="J477" s="6">
        <f>HYPERLINK("https://www.kleinanzeigen.de/s-anzeige/windsurf-mast-carbon-sdm-460-cm-fiberspar-freeride-wave/2855761373-230-7198", "Link")</f>
        <v/>
      </c>
      <c r="K477" s="6">
        <f>HYPERLINK("C:\Projects\Kleinanzeigen-Scraper\offer_images\2855761373", "Link")</f>
        <v/>
      </c>
      <c r="L477" t="inlineStr">
        <is>
          <t>Fabian Heigemeir</t>
        </is>
      </c>
      <c r="M477" s="6">
        <f>HYPERLINK("https://www.kleinanzeigen.de/s-bestandsliste.html?userId=121280439", "Link")</f>
        <v/>
      </c>
      <c r="N477" s="7" t="n">
        <v>45543.54831018519</v>
      </c>
      <c r="O477" s="3" t="inlineStr">
        <is>
          <t>60.10</t>
        </is>
      </c>
      <c r="P477" t="inlineStr">
        <is>
          <t>München</t>
        </is>
      </c>
    </row>
    <row r="478">
      <c r="A478" t="inlineStr">
        <is>
          <t>Duotone Platinum</t>
        </is>
      </c>
      <c r="B478" s="3" t="n">
        <v>460</v>
      </c>
      <c r="C478" s="8" t="inlineStr"/>
      <c r="D478" t="inlineStr"/>
      <c r="E478" s="4" t="n">
        <v>360</v>
      </c>
      <c r="F478" t="inlineStr"/>
      <c r="G478" t="inlineStr">
        <is>
          <t>67454 Hassloch</t>
        </is>
      </c>
      <c r="H478" s="5" t="n">
        <v>45542</v>
      </c>
      <c r="I478" t="inlineStr">
        <is>
          <t>Sold</t>
        </is>
      </c>
      <c r="J478" s="6">
        <f>HYPERLINK("https://www.dailydose.de/kleinanzeigen/detail.htm?ai=422160&amp;cf=kk&amp;pg=1&amp;ci=2", "Link")</f>
        <v/>
      </c>
      <c r="K478" s="6">
        <f>HYPERLINK("C:\Projects\Kleinanzeigen-Scraper\offer_images\422160", "Link")</f>
        <v/>
      </c>
      <c r="L478" t="inlineStr">
        <is>
          <t>thorsten_134</t>
        </is>
      </c>
      <c r="M478" s="6">
        <f>HYPERLINK("https://www.dailydose.de/kleinanzeigen/user/23439", "Link")</f>
        <v/>
      </c>
      <c r="N478" s="7" t="n">
        <v>45542.78284722222</v>
      </c>
      <c r="O478" s="3" t="inlineStr">
        <is>
          <t>38.68</t>
        </is>
      </c>
      <c r="P478" t="inlineStr">
        <is>
          <t>Karlsruhe</t>
        </is>
      </c>
    </row>
    <row r="479">
      <c r="A479" t="inlineStr">
        <is>
          <t>Duotone Platinum</t>
        </is>
      </c>
      <c r="B479" s="3" t="n">
        <v>430</v>
      </c>
      <c r="C479" s="8" t="inlineStr"/>
      <c r="D479" t="inlineStr"/>
      <c r="E479" s="4" t="n">
        <v>360</v>
      </c>
      <c r="F479" t="inlineStr"/>
      <c r="G479" t="inlineStr">
        <is>
          <t>67454 Hassloch</t>
        </is>
      </c>
      <c r="H479" s="5" t="n">
        <v>45542</v>
      </c>
      <c r="I479" t="inlineStr">
        <is>
          <t>Sold</t>
        </is>
      </c>
      <c r="J479" s="6">
        <f>HYPERLINK("https://www.dailydose.de/kleinanzeigen/detail.htm?ai=422159&amp;cf=kk&amp;pg=1&amp;ci=2", "Link")</f>
        <v/>
      </c>
      <c r="K479" s="6">
        <f>HYPERLINK("C:\Projects\Kleinanzeigen-Scraper\offer_images\422159", "Link")</f>
        <v/>
      </c>
      <c r="L479" t="inlineStr">
        <is>
          <t>thorsten_134</t>
        </is>
      </c>
      <c r="M479" s="6">
        <f>HYPERLINK("https://www.dailydose.de/kleinanzeigen/user/23439", "Link")</f>
        <v/>
      </c>
      <c r="N479" s="7" t="n">
        <v>45542.78267361111</v>
      </c>
      <c r="O479" s="3" t="inlineStr">
        <is>
          <t>38.68</t>
        </is>
      </c>
      <c r="P479" t="inlineStr">
        <is>
          <t>Karlsruhe</t>
        </is>
      </c>
    </row>
    <row r="480">
      <c r="A480" t="inlineStr">
        <is>
          <t>Severne Red Line</t>
        </is>
      </c>
      <c r="B480" s="3" t="n">
        <v>400</v>
      </c>
      <c r="C480" s="8" t="inlineStr">
        <is>
          <t>100%</t>
        </is>
      </c>
      <c r="D480" t="inlineStr">
        <is>
          <t>RDM</t>
        </is>
      </c>
      <c r="E480" s="4" t="n">
        <v>200</v>
      </c>
      <c r="F480" t="inlineStr"/>
      <c r="G480" t="inlineStr">
        <is>
          <t>23568 Lübeck</t>
        </is>
      </c>
      <c r="H480" s="5" t="n">
        <v>45542</v>
      </c>
      <c r="I480" t="inlineStr">
        <is>
          <t>Sold</t>
        </is>
      </c>
      <c r="J480" s="6">
        <f>HYPERLINK("https://www.dailydose.de/kleinanzeigen/detail.htm?ai=422155&amp;cf=kk&amp;pg=1&amp;ci=2", "Link")</f>
        <v/>
      </c>
      <c r="K480" s="6">
        <f>HYPERLINK("C:\Projects\Kleinanzeigen-Scraper\offer_images\422155", "Link")</f>
        <v/>
      </c>
      <c r="L480" t="inlineStr">
        <is>
          <t>Lasse_130</t>
        </is>
      </c>
      <c r="M480" s="6">
        <f>HYPERLINK("https://www.dailydose.de/kleinanzeigen/user/14114", "Link")</f>
        <v/>
      </c>
      <c r="N480" s="7" t="n">
        <v>45542.78181712963</v>
      </c>
      <c r="O480" s="3" t="inlineStr">
        <is>
          <t>418.25</t>
        </is>
      </c>
      <c r="P480" t="inlineStr">
        <is>
          <t>Köln</t>
        </is>
      </c>
    </row>
    <row r="481">
      <c r="A481" t="inlineStr">
        <is>
          <t>Duotone Platinum</t>
        </is>
      </c>
      <c r="B481" s="3" t="n">
        <v>490</v>
      </c>
      <c r="C481" s="8" t="inlineStr"/>
      <c r="D481" t="inlineStr"/>
      <c r="E481" s="4" t="n">
        <v>399</v>
      </c>
      <c r="F481" t="inlineStr"/>
      <c r="G481" t="inlineStr">
        <is>
          <t>67454 Hassloch</t>
        </is>
      </c>
      <c r="H481" s="5" t="n">
        <v>45542</v>
      </c>
      <c r="I481" t="inlineStr">
        <is>
          <t>Sold</t>
        </is>
      </c>
      <c r="J481" s="6">
        <f>HYPERLINK("https://www.dailydose.de/kleinanzeigen/detail.htm?ai=422158&amp;cf=kk&amp;pg=2&amp;ci=2", "Link")</f>
        <v/>
      </c>
      <c r="K481" s="6">
        <f>HYPERLINK("C:\Projects\Kleinanzeigen-Scraper\offer_images\422158", "Link")</f>
        <v/>
      </c>
      <c r="L481" t="inlineStr">
        <is>
          <t>thorsten_134</t>
        </is>
      </c>
      <c r="M481" s="6">
        <f>HYPERLINK("https://www.dailydose.de/kleinanzeigen/user/23439", "Link")</f>
        <v/>
      </c>
      <c r="N481" s="7" t="n">
        <v>45542.78138888889</v>
      </c>
      <c r="O481" s="3" t="inlineStr">
        <is>
          <t>38.68</t>
        </is>
      </c>
      <c r="P481" t="inlineStr">
        <is>
          <t>Karlsruhe</t>
        </is>
      </c>
    </row>
    <row r="482">
      <c r="A482" t="inlineStr">
        <is>
          <t>Duotone Platinum Series</t>
        </is>
      </c>
      <c r="B482" s="3" t="n">
        <v>400</v>
      </c>
      <c r="C482" s="8" t="inlineStr">
        <is>
          <t>100%</t>
        </is>
      </c>
      <c r="D482" t="inlineStr">
        <is>
          <t>RDM</t>
        </is>
      </c>
      <c r="E482" s="4" t="n">
        <v>650</v>
      </c>
      <c r="F482" t="inlineStr"/>
      <c r="G482" t="inlineStr">
        <is>
          <t>88634 Herdwang-Schönach</t>
        </is>
      </c>
      <c r="H482" s="5" t="n">
        <v>45541</v>
      </c>
      <c r="I482" t="inlineStr">
        <is>
          <t>Sold</t>
        </is>
      </c>
      <c r="J482" s="6">
        <f>HYPERLINK("https://www.dailydose.de/kleinanzeigen/detail.htm?ai=422144&amp;cf=kk&amp;pg=2&amp;ci=2", "Link")</f>
        <v/>
      </c>
      <c r="K482" s="6">
        <f>HYPERLINK("C:\Projects\Kleinanzeigen-Scraper\offer_images\422144", "Link")</f>
        <v/>
      </c>
      <c r="L482" t="inlineStr">
        <is>
          <t>IvanFrb</t>
        </is>
      </c>
      <c r="M482" s="6">
        <f>HYPERLINK("https://www.dailydose.de/kleinanzeigen/user/25918", "Link")</f>
        <v/>
      </c>
      <c r="N482" s="7" t="n">
        <v>45542.78109953704</v>
      </c>
      <c r="O482" s="3" t="inlineStr">
        <is>
          <t>62.58</t>
        </is>
      </c>
      <c r="P482" t="inlineStr">
        <is>
          <t>Bonndorf</t>
        </is>
      </c>
    </row>
    <row r="483">
      <c r="A483" t="inlineStr">
        <is>
          <t>Northsails</t>
        </is>
      </c>
      <c r="B483" s="3" t="n">
        <v>460</v>
      </c>
      <c r="C483" s="8" t="inlineStr">
        <is>
          <t>30%</t>
        </is>
      </c>
      <c r="D483" t="inlineStr"/>
      <c r="E483" s="4" t="n">
        <v>50</v>
      </c>
      <c r="F483" t="inlineStr">
        <is>
          <t>VB</t>
        </is>
      </c>
      <c r="G483" t="inlineStr">
        <is>
          <t>45359 Essen - Essen-Borbeck</t>
        </is>
      </c>
      <c r="H483" s="5" t="n">
        <v>45542</v>
      </c>
      <c r="I483" t="inlineStr">
        <is>
          <t>Sold</t>
        </is>
      </c>
      <c r="J483" s="6">
        <f>HYPERLINK("https://www.kleinanzeigen.de/s-anzeige/surfmast-northsails-windsurfen-cm-30-carbon/2856492639-230-2034", "Link")</f>
        <v/>
      </c>
      <c r="K483" s="6">
        <f>HYPERLINK("C:\Projects\Kleinanzeigen-Scraper\offer_images\2856492639", "Link")</f>
        <v/>
      </c>
      <c r="L483" t="inlineStr">
        <is>
          <t>Klaus Wientgens</t>
        </is>
      </c>
      <c r="M483" s="6">
        <f>HYPERLINK("https://www.kleinanzeigen.de/s-bestandsliste.html?userId=4524911", "Link")</f>
        <v/>
      </c>
      <c r="N483" s="7" t="n">
        <v>45542.78048611111</v>
      </c>
      <c r="O483" s="3" t="inlineStr">
        <is>
          <t>58.66</t>
        </is>
      </c>
      <c r="P483" t="inlineStr">
        <is>
          <t>Köln</t>
        </is>
      </c>
    </row>
    <row r="484">
      <c r="A484" t="inlineStr">
        <is>
          <t>Northsails Xcellerator</t>
        </is>
      </c>
      <c r="B484" s="3" t="n">
        <v>480</v>
      </c>
      <c r="C484" s="8" t="inlineStr"/>
      <c r="D484" t="inlineStr"/>
      <c r="E484" s="4" t="n">
        <v>85</v>
      </c>
      <c r="F484" t="inlineStr">
        <is>
          <t>VB</t>
        </is>
      </c>
      <c r="G484" t="inlineStr">
        <is>
          <t>45359 Essen - Essen-Borbeck</t>
        </is>
      </c>
      <c r="H484" s="5" t="n">
        <v>45542</v>
      </c>
      <c r="I484" t="inlineStr">
        <is>
          <t>Sold</t>
        </is>
      </c>
      <c r="J484" s="6">
        <f>HYPERLINK("https://www.kleinanzeigen.de/s-anzeige/northsails-windsurfen-surfmast-xcellerator-480-cm/2856486556-241-2034", "Link")</f>
        <v/>
      </c>
      <c r="K484" s="6">
        <f>HYPERLINK("C:\Projects\Kleinanzeigen-Scraper\offer_images\2856486556", "Link")</f>
        <v/>
      </c>
      <c r="L484" t="inlineStr">
        <is>
          <t>Klaus Wientgens</t>
        </is>
      </c>
      <c r="M484" s="6">
        <f>HYPERLINK("https://www.kleinanzeigen.de/s-bestandsliste.html?userId=4524911", "Link")</f>
        <v/>
      </c>
      <c r="N484" s="7" t="n">
        <v>45542.78041666667</v>
      </c>
      <c r="O484" s="3" t="inlineStr">
        <is>
          <t>58.66</t>
        </is>
      </c>
      <c r="P484" t="inlineStr">
        <is>
          <t>Köln</t>
        </is>
      </c>
    </row>
    <row r="485">
      <c r="A485" t="inlineStr">
        <is>
          <t>GA Gaastra C70</t>
        </is>
      </c>
      <c r="B485" s="3" t="n">
        <v>460</v>
      </c>
      <c r="C485" s="8" t="inlineStr">
        <is>
          <t>70%</t>
        </is>
      </c>
      <c r="D485" t="inlineStr">
        <is>
          <t>SDM</t>
        </is>
      </c>
      <c r="E485" s="4" t="n">
        <v>220</v>
      </c>
      <c r="F485" t="inlineStr">
        <is>
          <t>VB</t>
        </is>
      </c>
      <c r="G485" t="inlineStr">
        <is>
          <t>24975 Schleswig-Holstein - Maasbüll</t>
        </is>
      </c>
      <c r="H485" s="5" t="n">
        <v>45542</v>
      </c>
      <c r="I485" t="inlineStr"/>
      <c r="J485" s="6">
        <f>HYPERLINK("https://www.kleinanzeigen.de/s-anzeige/ga-gaastra-c70-460cm-windsurf-mast/2856556029-230-725", "Link")</f>
        <v/>
      </c>
      <c r="K485" s="6">
        <f>HYPERLINK("C:\Projects\Kleinanzeigen-Scraper\offer_images\2856556029", "Link")</f>
        <v/>
      </c>
      <c r="L485" t="inlineStr">
        <is>
          <t>Mo</t>
        </is>
      </c>
      <c r="M485" s="6">
        <f>HYPERLINK("https://www.kleinanzeigen.de/s-bestandsliste.html?userId=9081421", "Link")</f>
        <v/>
      </c>
      <c r="N485" s="7" t="n">
        <v>45542.78033564815</v>
      </c>
      <c r="O485" s="3" t="inlineStr">
        <is>
          <t>458.46</t>
        </is>
      </c>
      <c r="P485" t="inlineStr">
        <is>
          <t>Köln</t>
        </is>
      </c>
    </row>
    <row r="486">
      <c r="A486" t="inlineStr"/>
      <c r="B486" s="3" t="n">
        <v>465</v>
      </c>
      <c r="C486" s="8" t="inlineStr"/>
      <c r="D486" t="inlineStr">
        <is>
          <t>SDM</t>
        </is>
      </c>
      <c r="E486" s="4" t="n">
        <v>10</v>
      </c>
      <c r="F486" t="inlineStr"/>
      <c r="G486" t="inlineStr">
        <is>
          <t>51379 Nordrhein-Westfalen - Leverkusen</t>
        </is>
      </c>
      <c r="H486" s="5" t="n">
        <v>45539</v>
      </c>
      <c r="I486" t="inlineStr">
        <is>
          <t>Sold</t>
        </is>
      </c>
      <c r="J486" s="6">
        <f>HYPERLINK("https://www.kleinanzeigen.de/s-anzeige/mast-windsurfen-465cm-teilbar-viole/2854517387-230-1991", "Link")</f>
        <v/>
      </c>
      <c r="K486" s="6">
        <f>HYPERLINK("C:\Projects\Kleinanzeigen-Scraper\offer_images\2854517387", "Link")</f>
        <v/>
      </c>
      <c r="L486" t="inlineStr">
        <is>
          <t>Thorsten</t>
        </is>
      </c>
      <c r="M486" s="6">
        <f>HYPERLINK("https://www.kleinanzeigen.de/s-bestandsliste.html?userId=3477057", "Link")</f>
        <v/>
      </c>
      <c r="N486" s="7" t="n">
        <v>45542.77952546296</v>
      </c>
      <c r="O486" s="3" t="inlineStr">
        <is>
          <t>14.88</t>
        </is>
      </c>
      <c r="P486" t="inlineStr">
        <is>
          <t>Köln</t>
        </is>
      </c>
    </row>
    <row r="487">
      <c r="A487" t="inlineStr">
        <is>
          <t>Duotone Platinium</t>
        </is>
      </c>
      <c r="B487" s="3" t="n">
        <v>370</v>
      </c>
      <c r="C487" s="8" t="inlineStr"/>
      <c r="D487" t="inlineStr">
        <is>
          <t>RDM</t>
        </is>
      </c>
      <c r="E487" s="4" t="n">
        <v>420</v>
      </c>
      <c r="F487" t="inlineStr"/>
      <c r="G487" t="inlineStr">
        <is>
          <t>58540 Meinerzhagen</t>
        </is>
      </c>
      <c r="H487" s="5" t="n">
        <v>45540</v>
      </c>
      <c r="I487" t="inlineStr">
        <is>
          <t>Sold</t>
        </is>
      </c>
      <c r="J487" s="6">
        <f>HYPERLINK("https://www.dailydose.de/kleinanzeigen/detail.htm?ai=422095&amp;cf=kk&amp;pg=1&amp;ci=2", "Link")</f>
        <v/>
      </c>
      <c r="K487" s="6">
        <f>HYPERLINK("C:\Projects\Kleinanzeigen-Scraper\offer_images\422095", "Link")</f>
        <v/>
      </c>
      <c r="L487" t="inlineStr">
        <is>
          <t>tivitac</t>
        </is>
      </c>
      <c r="M487" s="6">
        <f>HYPERLINK("https://www.dailydose.de/kleinanzeigen/user/1938", "Link")</f>
        <v/>
      </c>
      <c r="N487" s="7" t="n">
        <v>45541.57043981482</v>
      </c>
      <c r="O487" s="3" t="inlineStr">
        <is>
          <t>56.25</t>
        </is>
      </c>
      <c r="P487" t="inlineStr">
        <is>
          <t>Köln</t>
        </is>
      </c>
    </row>
    <row r="488">
      <c r="A488" t="inlineStr">
        <is>
          <t>Duotone Platinium</t>
        </is>
      </c>
      <c r="B488" s="3" t="n">
        <v>340</v>
      </c>
      <c r="C488" s="8" t="inlineStr"/>
      <c r="D488" t="inlineStr">
        <is>
          <t>RDM</t>
        </is>
      </c>
      <c r="E488" s="4" t="n">
        <v>380</v>
      </c>
      <c r="F488" t="inlineStr"/>
      <c r="G488" t="inlineStr">
        <is>
          <t>58540 Meinerzhagen</t>
        </is>
      </c>
      <c r="H488" s="5" t="n">
        <v>45540</v>
      </c>
      <c r="I488" t="inlineStr">
        <is>
          <t>Sold</t>
        </is>
      </c>
      <c r="J488" s="6">
        <f>HYPERLINK("https://www.dailydose.de/kleinanzeigen/detail.htm?ai=422094&amp;cf=kk&amp;pg=1&amp;ci=2", "Link")</f>
        <v/>
      </c>
      <c r="K488" s="6">
        <f>HYPERLINK("C:\Projects\Kleinanzeigen-Scraper\offer_images\422094", "Link")</f>
        <v/>
      </c>
      <c r="L488" t="inlineStr">
        <is>
          <t>tivitac</t>
        </is>
      </c>
      <c r="M488" s="6">
        <f>HYPERLINK("https://www.dailydose.de/kleinanzeigen/user/1938", "Link")</f>
        <v/>
      </c>
      <c r="N488" s="7" t="n">
        <v>45541.5697337963</v>
      </c>
      <c r="O488" s="3" t="inlineStr">
        <is>
          <t>56.25</t>
        </is>
      </c>
      <c r="P488" t="inlineStr">
        <is>
          <t>Köln</t>
        </is>
      </c>
    </row>
    <row r="489">
      <c r="A489" t="inlineStr">
        <is>
          <t>Mistral Black Magic</t>
        </is>
      </c>
      <c r="B489" s="3" t="n">
        <v>460</v>
      </c>
      <c r="C489" s="8" t="inlineStr">
        <is>
          <t>100%</t>
        </is>
      </c>
      <c r="D489" t="inlineStr">
        <is>
          <t>SDM</t>
        </is>
      </c>
      <c r="E489" s="4" t="n">
        <v>99</v>
      </c>
      <c r="F489" t="inlineStr">
        <is>
          <t>VB</t>
        </is>
      </c>
      <c r="G489" t="inlineStr">
        <is>
          <t>14798 Brandenburg - Havelsee</t>
        </is>
      </c>
      <c r="H489" s="5" t="n">
        <v>45541</v>
      </c>
      <c r="I489" t="inlineStr">
        <is>
          <t>Sold</t>
        </is>
      </c>
      <c r="J489" s="6">
        <f>HYPERLINK("https://www.kleinanzeigen.de/s-anzeige/mistral-carbon-windsurf-sdm-mast-4-60-cm-black-magic-slalom-460/2570559992-211-18626", "Link")</f>
        <v/>
      </c>
      <c r="K489" s="6">
        <f>HYPERLINK("C:\Projects\Kleinanzeigen-Scraper\offer_images\2570559992", "Link")</f>
        <v/>
      </c>
      <c r="L489" t="inlineStr">
        <is>
          <t>No user name</t>
        </is>
      </c>
      <c r="M489" s="6">
        <f>HYPERLINK("https://www.kleinanzeigen.deNo user link", "Link")</f>
        <v/>
      </c>
      <c r="N489" s="7" t="n">
        <v>45541.56688657407</v>
      </c>
      <c r="O489" s="3" t="inlineStr">
        <is>
          <t>417.47</t>
        </is>
      </c>
      <c r="P489" t="inlineStr">
        <is>
          <t>Köln</t>
        </is>
      </c>
    </row>
    <row r="490">
      <c r="A490" t="inlineStr">
        <is>
          <t>Tekno Sport</t>
        </is>
      </c>
      <c r="B490" s="3" t="n">
        <v>40</v>
      </c>
      <c r="C490" s="8" t="inlineStr"/>
      <c r="D490" t="inlineStr">
        <is>
          <t>SDM</t>
        </is>
      </c>
      <c r="E490" s="4" t="n">
        <v>5</v>
      </c>
      <c r="F490" t="inlineStr"/>
      <c r="G490" t="inlineStr">
        <is>
          <t>33178 Nordrhein-Westfalen - Borchen</t>
        </is>
      </c>
      <c r="H490" s="5" t="n">
        <v>45540</v>
      </c>
      <c r="I490" t="inlineStr">
        <is>
          <t>Sold</t>
        </is>
      </c>
      <c r="J490" s="6">
        <f>HYPERLINK("https://www.kleinanzeigen.de/s-anzeige/windsurf-mastfussverlaenderung-alu-40-cm-sdm-extension/2855023309-230-2159", "Link")</f>
        <v/>
      </c>
      <c r="K490" s="6">
        <f>HYPERLINK("C:\Projects\Kleinanzeigen-Scraper\offer_images\2855023309", "Link")</f>
        <v/>
      </c>
      <c r="L490" t="inlineStr">
        <is>
          <t>Ralf</t>
        </is>
      </c>
      <c r="M490" s="6">
        <f>HYPERLINK("https://www.kleinanzeigen.de/s-bestandsliste.html?userId=26352479", "Link")</f>
        <v/>
      </c>
      <c r="N490" s="7" t="n">
        <v>45541.5666087963</v>
      </c>
      <c r="O490" s="3" t="inlineStr">
        <is>
          <t>147.29</t>
        </is>
      </c>
      <c r="P490" t="inlineStr">
        <is>
          <t>Köln</t>
        </is>
      </c>
    </row>
    <row r="491">
      <c r="A491" t="inlineStr"/>
      <c r="B491" s="3" t="n">
        <v>465</v>
      </c>
      <c r="C491" s="8" t="inlineStr"/>
      <c r="D491" t="inlineStr"/>
      <c r="E491" s="4" t="inlineStr">
        <is>
          <t>Zu verschenken</t>
        </is>
      </c>
      <c r="F491" t="inlineStr"/>
      <c r="G491" t="inlineStr">
        <is>
          <t>14974 Brandenburg - Ludwigsfelde</t>
        </is>
      </c>
      <c r="H491" s="5" t="n">
        <v>45540</v>
      </c>
      <c r="I491" t="inlineStr">
        <is>
          <t>Sold</t>
        </is>
      </c>
      <c r="J491" s="6">
        <f>HYPERLINK("https://www.kleinanzeigen.de/s-anzeige/gfk-mast-laenge-4-65-m-ungeteilt-fuer-windsurfen-zu-verschenken/2854957757-230-7793", "Link")</f>
        <v/>
      </c>
      <c r="K491" s="6">
        <f>HYPERLINK("C:\Projects\Kleinanzeigen-Scraper\offer_images\2854957757", "Link")</f>
        <v/>
      </c>
      <c r="L491" t="inlineStr">
        <is>
          <t>Stefan Knöfel</t>
        </is>
      </c>
      <c r="M491" s="6">
        <f>HYPERLINK("https://www.kleinanzeigen.de/s-bestandsliste.html?userId=70780820", "Link")</f>
        <v/>
      </c>
      <c r="N491" s="7" t="n">
        <v>45541.56637731481</v>
      </c>
      <c r="O491" s="3" t="inlineStr">
        <is>
          <t>459.86</t>
        </is>
      </c>
      <c r="P491" t="inlineStr">
        <is>
          <t>Köln</t>
        </is>
      </c>
    </row>
    <row r="492">
      <c r="A492" t="inlineStr">
        <is>
          <t>Duotone Gold 90</t>
        </is>
      </c>
      <c r="B492" s="3" t="n">
        <v>430</v>
      </c>
      <c r="C492" s="8" t="inlineStr">
        <is>
          <t>90%</t>
        </is>
      </c>
      <c r="D492" t="inlineStr">
        <is>
          <t>RDM</t>
        </is>
      </c>
      <c r="E492" s="4" t="n">
        <v>379</v>
      </c>
      <c r="F492" t="inlineStr"/>
      <c r="G492" t="inlineStr">
        <is>
          <t>22307 Hamburg</t>
        </is>
      </c>
      <c r="H492" s="5" t="n">
        <v>45540</v>
      </c>
      <c r="I492" t="inlineStr"/>
      <c r="J492" s="6">
        <f>HYPERLINK("https://www.dailydose.de/kleinanzeigen/detail.htm?ai=422058&amp;cf=kk&amp;pg=3&amp;ci=2", "Link")</f>
        <v/>
      </c>
      <c r="K492" s="6">
        <f>HYPERLINK("C:\Projects\Kleinanzeigen-Scraper\offer_images\422058", "Link")</f>
        <v/>
      </c>
      <c r="L492" t="inlineStr">
        <is>
          <t>Christoph_120</t>
        </is>
      </c>
      <c r="M492" s="6">
        <f>HYPERLINK("https://www.dailydose.de/kleinanzeigen/user/11896", "Link")</f>
        <v/>
      </c>
      <c r="N492" s="7" t="n">
        <v>45540.56609953703</v>
      </c>
      <c r="O492" s="3" t="inlineStr">
        <is>
          <t>362.75</t>
        </is>
      </c>
      <c r="P492" t="inlineStr">
        <is>
          <t>Köln</t>
        </is>
      </c>
    </row>
    <row r="493">
      <c r="A493" t="inlineStr"/>
      <c r="B493" s="3" t="n">
        <v>460</v>
      </c>
      <c r="C493" s="8" t="inlineStr">
        <is>
          <t>100%</t>
        </is>
      </c>
      <c r="D493" t="inlineStr">
        <is>
          <t>SDM</t>
        </is>
      </c>
      <c r="E493" s="4" t="n">
        <v>85</v>
      </c>
      <c r="F493" t="inlineStr"/>
      <c r="G493" t="inlineStr">
        <is>
          <t>09117 Chemnitz - Rabenstein</t>
        </is>
      </c>
      <c r="H493" s="5" t="n">
        <v>45539</v>
      </c>
      <c r="I493" t="inlineStr">
        <is>
          <t>Sold</t>
        </is>
      </c>
      <c r="J493" s="6">
        <f>HYPERLINK("https://www.kleinanzeigen.de/s-anzeige/mast-460-sdm-windsurfen-100-carbon/2854312471-230-26066", "Link")</f>
        <v/>
      </c>
      <c r="K493" s="6">
        <f>HYPERLINK("C:\Projects\Kleinanzeigen-Scraper\offer_images\2854312471", "Link")</f>
        <v/>
      </c>
      <c r="L493" t="inlineStr">
        <is>
          <t>Frank Dittmar</t>
        </is>
      </c>
      <c r="M493" s="6">
        <f>HYPERLINK("https://www.kleinanzeigen.de/s-bestandsliste.html?userId=9853269", "Link")</f>
        <v/>
      </c>
      <c r="N493" s="7" t="n">
        <v>45540.56430555556</v>
      </c>
      <c r="O493" s="3" t="inlineStr">
        <is>
          <t>312.37</t>
        </is>
      </c>
      <c r="P493" t="inlineStr">
        <is>
          <t>München</t>
        </is>
      </c>
    </row>
    <row r="494">
      <c r="A494" t="inlineStr">
        <is>
          <t>Tecno Limits</t>
        </is>
      </c>
      <c r="B494" s="3" t="n">
        <v>45</v>
      </c>
      <c r="C494" s="8" t="inlineStr">
        <is>
          <t>100%</t>
        </is>
      </c>
      <c r="D494" t="inlineStr">
        <is>
          <t>RDM</t>
        </is>
      </c>
      <c r="E494" s="4" t="n">
        <v>34</v>
      </c>
      <c r="F494" t="inlineStr">
        <is>
          <t>VB</t>
        </is>
      </c>
      <c r="G494" t="inlineStr">
        <is>
          <t>23669 Kreis Ostholstein - Timmendorfer Strand</t>
        </is>
      </c>
      <c r="H494" s="5" t="n">
        <v>45540</v>
      </c>
      <c r="I494" t="inlineStr">
        <is>
          <t>Sold</t>
        </is>
      </c>
      <c r="J494" s="6">
        <f>HYPERLINK("https://www.kleinanzeigen.de/s-anzeige/mastverlaengerung-windsurfen-carbon/2854892062-230-442", "Link")</f>
        <v/>
      </c>
      <c r="K494" s="6">
        <f>HYPERLINK("C:\Projects\Kleinanzeigen-Scraper\offer_images\2854892062", "Link")</f>
        <v/>
      </c>
      <c r="L494" t="inlineStr">
        <is>
          <t>Sebastian</t>
        </is>
      </c>
      <c r="M494" s="6">
        <f>HYPERLINK("https://www.kleinanzeigen.de/s-bestandsliste.html?userId=14768769", "Link")</f>
        <v/>
      </c>
      <c r="N494" s="7" t="n">
        <v>45540.56428240741</v>
      </c>
      <c r="O494" s="3" t="inlineStr">
        <is>
          <t>425.88</t>
        </is>
      </c>
      <c r="P494" t="inlineStr">
        <is>
          <t>Köln</t>
        </is>
      </c>
    </row>
    <row r="495">
      <c r="A495" t="inlineStr">
        <is>
          <t>Goya Fifty</t>
        </is>
      </c>
      <c r="B495" s="3" t="n">
        <v>310</v>
      </c>
      <c r="C495" s="8" t="inlineStr">
        <is>
          <t>50%</t>
        </is>
      </c>
      <c r="D495" t="inlineStr">
        <is>
          <t>RDM</t>
        </is>
      </c>
      <c r="E495" s="4" t="n">
        <v>215</v>
      </c>
      <c r="F495" t="inlineStr"/>
      <c r="G495" t="inlineStr">
        <is>
          <t>82319 Bayern - Starnberg</t>
        </is>
      </c>
      <c r="H495" s="5" t="n">
        <v>45540</v>
      </c>
      <c r="I495" t="inlineStr"/>
      <c r="J495" s="6">
        <f>HYPERLINK("https://www.kleinanzeigen.de/s-anzeige/goya-fifty-rdm-50-carbon-mast-310-cm-windsurf/2185226671-230-5525", "Link")</f>
        <v/>
      </c>
      <c r="K495" s="6">
        <f>HYPERLINK("C:\Projects\Kleinanzeigen-Scraper\offer_images\2185226671", "Link")</f>
        <v/>
      </c>
      <c r="L495" t="inlineStr">
        <is>
          <t>No user name</t>
        </is>
      </c>
      <c r="M495" s="6">
        <f>HYPERLINK("https://www.kleinanzeigen.deNo user link", "Link")</f>
        <v/>
      </c>
      <c r="N495" s="7" t="n">
        <v>45540.56427083333</v>
      </c>
      <c r="O495" s="3" t="inlineStr">
        <is>
          <t>23.17</t>
        </is>
      </c>
      <c r="P495" t="inlineStr">
        <is>
          <t>München</t>
        </is>
      </c>
    </row>
    <row r="496">
      <c r="A496" t="inlineStr">
        <is>
          <t>NeilPryde</t>
        </is>
      </c>
      <c r="B496" s="3" t="n">
        <v>28</v>
      </c>
      <c r="C496" s="8" t="inlineStr"/>
      <c r="D496" t="inlineStr">
        <is>
          <t>SDM</t>
        </is>
      </c>
      <c r="E496" s="4" t="n">
        <v>20</v>
      </c>
      <c r="F496" t="inlineStr"/>
      <c r="G496" t="inlineStr">
        <is>
          <t>17440 Mecklenburg-Vorpommern - Kröslin</t>
        </is>
      </c>
      <c r="H496" s="5" t="n">
        <v>45539</v>
      </c>
      <c r="I496" t="inlineStr"/>
      <c r="J496" s="6">
        <f>HYPERLINK("https://www.kleinanzeigen.de/s-anzeige/neilpryde-mastverlaengerung-28cm-sdm-masten-surfen-windsurfen/2854509413-230-19430", "Link")</f>
        <v/>
      </c>
      <c r="K496" s="6">
        <f>HYPERLINK("C:\Projects\Kleinanzeigen-Scraper\offer_images\2854509413", "Link")</f>
        <v/>
      </c>
      <c r="L496" t="inlineStr">
        <is>
          <t>Peter31</t>
        </is>
      </c>
      <c r="M496" s="6">
        <f>HYPERLINK("https://www.kleinanzeigen.de/s-bestandsliste.html?userId=3838575", "Link")</f>
        <v/>
      </c>
      <c r="N496" s="7" t="n">
        <v>45540.56355324074</v>
      </c>
      <c r="O496" s="3" t="inlineStr">
        <is>
          <t>572.60</t>
        </is>
      </c>
      <c r="P496" t="inlineStr">
        <is>
          <t>Köln</t>
        </is>
      </c>
    </row>
    <row r="497">
      <c r="A497" t="inlineStr">
        <is>
          <t>Fiberspar RDM</t>
        </is>
      </c>
      <c r="B497" s="3" t="n">
        <v>430</v>
      </c>
      <c r="C497" s="8" t="inlineStr">
        <is>
          <t>95%</t>
        </is>
      </c>
      <c r="D497" t="inlineStr">
        <is>
          <t>RDM</t>
        </is>
      </c>
      <c r="E497" s="4" t="n">
        <v>195</v>
      </c>
      <c r="F497" t="inlineStr"/>
      <c r="G497" t="inlineStr">
        <is>
          <t>69198 Schriesheim</t>
        </is>
      </c>
      <c r="H497" s="5" t="n">
        <v>45539</v>
      </c>
      <c r="I497" t="inlineStr"/>
      <c r="J497" s="6">
        <f>HYPERLINK("https://www.dailydose.de/kleinanzeigen/detail.htm?ai=422013&amp;cf=kk&amp;pg=3&amp;ci=2", "Link")</f>
        <v/>
      </c>
      <c r="K497" s="6">
        <f>HYPERLINK("C:\Projects\Kleinanzeigen-Scraper\offer_images\422013", "Link")</f>
        <v/>
      </c>
      <c r="L497" t="inlineStr">
        <is>
          <t>Sven_81</t>
        </is>
      </c>
      <c r="M497" s="6">
        <f>HYPERLINK("https://www.dailydose.de/kleinanzeigen/user/25642", "Link")</f>
        <v/>
      </c>
      <c r="N497" s="7" t="n">
        <v>45539.58921296296</v>
      </c>
      <c r="O497" s="3" t="inlineStr">
        <is>
          <t>57.18</t>
        </is>
      </c>
      <c r="P497" t="inlineStr">
        <is>
          <t>Karlsruhe</t>
        </is>
      </c>
    </row>
    <row r="498">
      <c r="A498" t="inlineStr"/>
      <c r="B498" s="3" t="n">
        <v>25</v>
      </c>
      <c r="C498" s="8" t="inlineStr"/>
      <c r="D498" t="inlineStr"/>
      <c r="E498" s="4" t="n">
        <v>25</v>
      </c>
      <c r="F498" t="inlineStr">
        <is>
          <t>VB</t>
        </is>
      </c>
      <c r="G498" t="inlineStr">
        <is>
          <t>72622 Baden-Württemberg - Nürtingen</t>
        </is>
      </c>
      <c r="H498" s="5" t="n">
        <v>45538</v>
      </c>
      <c r="I498" t="inlineStr">
        <is>
          <t>Sold</t>
        </is>
      </c>
      <c r="J498" s="6">
        <f>HYPERLINK("https://www.kleinanzeigen.de/s-anzeige/windsurf-mastverlaengerung-25cm-skinni/2853336735-230-8219", "Link")</f>
        <v/>
      </c>
      <c r="K498" s="6">
        <f>HYPERLINK("C:\Projects\Kleinanzeigen-Scraper\offer_images\2853336735", "Link")</f>
        <v/>
      </c>
      <c r="L498" t="inlineStr">
        <is>
          <t>Berger Jens</t>
        </is>
      </c>
      <c r="M498" s="6">
        <f>HYPERLINK("https://www.kleinanzeigen.de/s-bestandsliste.html?userId=15554123", "Link")</f>
        <v/>
      </c>
      <c r="N498" s="7" t="n">
        <v>45539.58600694445</v>
      </c>
      <c r="O498" s="3" t="inlineStr">
        <is>
          <t>26.22</t>
        </is>
      </c>
      <c r="P498" t="inlineStr">
        <is>
          <t>Böblingen</t>
        </is>
      </c>
    </row>
    <row r="499">
      <c r="A499" t="inlineStr"/>
      <c r="B499" s="3" t="n">
        <v>40</v>
      </c>
      <c r="C499" s="8" t="inlineStr"/>
      <c r="D499" t="inlineStr">
        <is>
          <t>SDM</t>
        </is>
      </c>
      <c r="E499" s="4" t="n">
        <v>20</v>
      </c>
      <c r="F499" t="inlineStr">
        <is>
          <t>VB</t>
        </is>
      </c>
      <c r="G499" t="inlineStr">
        <is>
          <t>72622 Baden-Württemberg - Nürtingen</t>
        </is>
      </c>
      <c r="H499" s="5" t="n">
        <v>45538</v>
      </c>
      <c r="I499" t="inlineStr">
        <is>
          <t>Sold</t>
        </is>
      </c>
      <c r="J499" s="6">
        <f>HYPERLINK("https://www.kleinanzeigen.de/s-anzeige/windsurf-mastverlaengerung-40cm/2853334728-230-8219", "Link")</f>
        <v/>
      </c>
      <c r="K499" s="6">
        <f>HYPERLINK("C:\Projects\Kleinanzeigen-Scraper\offer_images\2853334728", "Link")</f>
        <v/>
      </c>
      <c r="L499" t="inlineStr">
        <is>
          <t>Berger Jens</t>
        </is>
      </c>
      <c r="M499" s="6">
        <f>HYPERLINK("https://www.kleinanzeigen.de/s-bestandsliste.html?userId=15554123", "Link")</f>
        <v/>
      </c>
      <c r="N499" s="7" t="n">
        <v>45539.5847337963</v>
      </c>
      <c r="O499" s="3" t="inlineStr">
        <is>
          <t>26.22</t>
        </is>
      </c>
      <c r="P499" t="inlineStr">
        <is>
          <t>Böblingen</t>
        </is>
      </c>
    </row>
    <row r="500">
      <c r="A500" t="inlineStr"/>
      <c r="B500" s="3" t="n">
        <v>15</v>
      </c>
      <c r="C500" s="8" t="inlineStr"/>
      <c r="D500" t="inlineStr">
        <is>
          <t>SDM</t>
        </is>
      </c>
      <c r="E500" s="4" t="n">
        <v>25</v>
      </c>
      <c r="F500" t="inlineStr">
        <is>
          <t>VB</t>
        </is>
      </c>
      <c r="G500" t="inlineStr">
        <is>
          <t>72622 Baden-Württemberg - Nürtingen</t>
        </is>
      </c>
      <c r="H500" s="5" t="n">
        <v>45538</v>
      </c>
      <c r="I500" t="inlineStr">
        <is>
          <t>Sold</t>
        </is>
      </c>
      <c r="J500" s="6">
        <f>HYPERLINK("https://www.kleinanzeigen.de/s-anzeige/windsurf-mastverlaengerung-15cm/2853332821-230-8219", "Link")</f>
        <v/>
      </c>
      <c r="K500" s="6">
        <f>HYPERLINK("C:\Projects\Kleinanzeigen-Scraper\offer_images\2853332821", "Link")</f>
        <v/>
      </c>
      <c r="L500" t="inlineStr">
        <is>
          <t>Berger Jens</t>
        </is>
      </c>
      <c r="M500" s="6">
        <f>HYPERLINK("https://www.kleinanzeigen.de/s-bestandsliste.html?userId=15554123", "Link")</f>
        <v/>
      </c>
      <c r="N500" s="7" t="n">
        <v>45539.58460648148</v>
      </c>
      <c r="O500" s="3" t="inlineStr">
        <is>
          <t>26.22</t>
        </is>
      </c>
      <c r="P500" t="inlineStr">
        <is>
          <t>Böblingen</t>
        </is>
      </c>
    </row>
    <row r="501">
      <c r="A501" t="inlineStr">
        <is>
          <t>MauiSails 370 SRS</t>
        </is>
      </c>
      <c r="B501" s="3" t="n">
        <v>370</v>
      </c>
      <c r="C501" s="8" t="inlineStr">
        <is>
          <t>75%</t>
        </is>
      </c>
      <c r="D501" t="inlineStr">
        <is>
          <t>RDM</t>
        </is>
      </c>
      <c r="E501" s="4" t="n">
        <v>100</v>
      </c>
      <c r="F501" t="inlineStr"/>
      <c r="G501" t="inlineStr">
        <is>
          <t>22299 Hamburg</t>
        </is>
      </c>
      <c r="H501" s="5" t="n">
        <v>45537</v>
      </c>
      <c r="I501" t="inlineStr"/>
      <c r="J501" s="6">
        <f>HYPERLINK("https://www.dailydose.de/kleinanzeigen/detail.htm?ai=421955&amp;cf=kk&amp;pg=3&amp;ci=2", "Link")</f>
        <v/>
      </c>
      <c r="K501" s="6">
        <f>HYPERLINK("C:\Projects\Kleinanzeigen-Scraper\offer_images\421955", "Link")</f>
        <v/>
      </c>
      <c r="L501" t="inlineStr">
        <is>
          <t>Jona_28</t>
        </is>
      </c>
      <c r="M501" s="6">
        <f>HYPERLINK("https://www.dailydose.de/kleinanzeigen/user/12162", "Link")</f>
        <v/>
      </c>
      <c r="N501" s="7" t="n">
        <v>45538.57106481482</v>
      </c>
      <c r="O501" s="3" t="inlineStr">
        <is>
          <t>360.73</t>
        </is>
      </c>
      <c r="P501" t="inlineStr">
        <is>
          <t>Köln</t>
        </is>
      </c>
    </row>
    <row r="502">
      <c r="A502" t="inlineStr">
        <is>
          <t>MauiSails 400 SRS</t>
        </is>
      </c>
      <c r="B502" s="3" t="n">
        <v>400</v>
      </c>
      <c r="C502" s="8" t="inlineStr">
        <is>
          <t>75%</t>
        </is>
      </c>
      <c r="D502" t="inlineStr">
        <is>
          <t>RDM</t>
        </is>
      </c>
      <c r="E502" s="4" t="n">
        <v>100</v>
      </c>
      <c r="F502" t="inlineStr"/>
      <c r="G502" t="inlineStr">
        <is>
          <t>22299 Hamburg</t>
        </is>
      </c>
      <c r="H502" s="5" t="n">
        <v>45537</v>
      </c>
      <c r="I502" t="inlineStr"/>
      <c r="J502" s="6">
        <f>HYPERLINK("https://www.dailydose.de/kleinanzeigen/detail.htm?ai=421956&amp;cf=kk&amp;pg=3&amp;ci=2", "Link")</f>
        <v/>
      </c>
      <c r="K502" s="6">
        <f>HYPERLINK("C:\Projects\Kleinanzeigen-Scraper\offer_images\421956", "Link")</f>
        <v/>
      </c>
      <c r="L502" t="inlineStr">
        <is>
          <t>Jona_28</t>
        </is>
      </c>
      <c r="M502" s="6">
        <f>HYPERLINK("https://www.dailydose.de/kleinanzeigen/user/12162", "Link")</f>
        <v/>
      </c>
      <c r="N502" s="7" t="n">
        <v>45538.56893518518</v>
      </c>
      <c r="O502" s="3" t="inlineStr">
        <is>
          <t>360.73</t>
        </is>
      </c>
      <c r="P502" t="inlineStr">
        <is>
          <t>Köln</t>
        </is>
      </c>
    </row>
    <row r="503">
      <c r="A503" t="inlineStr">
        <is>
          <t>NEIL PRYDE SPX</t>
        </is>
      </c>
      <c r="B503" s="3" t="n">
        <v>430</v>
      </c>
      <c r="C503" s="8" t="inlineStr">
        <is>
          <t>65%</t>
        </is>
      </c>
      <c r="D503" t="inlineStr">
        <is>
          <t>RDM</t>
        </is>
      </c>
      <c r="E503" s="4" t="n">
        <v>269</v>
      </c>
      <c r="F503" t="inlineStr">
        <is>
          <t>VB</t>
        </is>
      </c>
      <c r="G503" t="inlineStr">
        <is>
          <t>97072 Würzburg</t>
        </is>
      </c>
      <c r="H503" s="5" t="n">
        <v>45537</v>
      </c>
      <c r="I503" t="inlineStr">
        <is>
          <t>Sold</t>
        </is>
      </c>
      <c r="J503" s="6">
        <f>HYPERLINK("https://www.dailydose.de/kleinanzeigen/detail.htm?ai=421946&amp;cf=kk&amp;pg=1&amp;ci=2", "Link")</f>
        <v/>
      </c>
      <c r="K503" s="6">
        <f>HYPERLINK("C:\Projects\Kleinanzeigen-Scraper\offer_images\421946", "Link")</f>
        <v/>
      </c>
      <c r="L503" t="inlineStr">
        <is>
          <t>Heiner_36</t>
        </is>
      </c>
      <c r="M503" s="6">
        <f>HYPERLINK("https://www.dailydose.de/kleinanzeigen/user/10167", "Link")</f>
        <v/>
      </c>
      <c r="N503" s="7" t="n">
        <v>45538.56778935185</v>
      </c>
      <c r="O503" s="3" t="inlineStr">
        <is>
          <t>141.22</t>
        </is>
      </c>
      <c r="P503" t="inlineStr">
        <is>
          <t>Karlsruhe</t>
        </is>
      </c>
    </row>
    <row r="504">
      <c r="A504" t="inlineStr"/>
      <c r="B504" s="3" t="n">
        <v>465</v>
      </c>
      <c r="C504" s="8" t="inlineStr"/>
      <c r="D504" t="inlineStr"/>
      <c r="E504" s="4" t="inlineStr"/>
      <c r="F504" t="inlineStr">
        <is>
          <t>VB</t>
        </is>
      </c>
      <c r="G504" t="inlineStr">
        <is>
          <t>24782 Schleswig-Holstein - Büdelsdorf</t>
        </is>
      </c>
      <c r="H504" s="5" t="n">
        <v>45530</v>
      </c>
      <c r="I504" t="inlineStr">
        <is>
          <t>Sold</t>
        </is>
      </c>
      <c r="J504" s="6">
        <f>HYPERLINK("https://www.kleinanzeigen.de/s-anzeige/mast-windsurfen-4-65/2846993054-230-18947", "Link")</f>
        <v/>
      </c>
      <c r="K504" s="6">
        <f>HYPERLINK("C:\Projects\Kleinanzeigen-Scraper\offer_images\2846993054", "Link")</f>
        <v/>
      </c>
      <c r="L504" t="inlineStr">
        <is>
          <t>Ri</t>
        </is>
      </c>
      <c r="M504" s="6">
        <f>HYPERLINK("https://www.kleinanzeigen.de/s-bestandsliste.html?userId=22381178", "Link")</f>
        <v/>
      </c>
      <c r="N504" s="7" t="n">
        <v>45538.56700231481</v>
      </c>
      <c r="O504" s="3" t="inlineStr">
        <is>
          <t>419.12</t>
        </is>
      </c>
      <c r="P504" t="inlineStr">
        <is>
          <t>Köln</t>
        </is>
      </c>
    </row>
    <row r="505">
      <c r="A505" t="inlineStr"/>
      <c r="B505" s="3" t="inlineStr"/>
      <c r="C505" s="8" t="inlineStr"/>
      <c r="D505" t="inlineStr"/>
      <c r="E505" s="4" t="inlineStr"/>
      <c r="F505" t="inlineStr">
        <is>
          <t>VB</t>
        </is>
      </c>
      <c r="G505" t="inlineStr">
        <is>
          <t>24782 Schleswig-Holstein - Büdelsdorf</t>
        </is>
      </c>
      <c r="H505" s="5" t="n">
        <v>45530</v>
      </c>
      <c r="I505" t="inlineStr">
        <is>
          <t>Sold</t>
        </is>
      </c>
      <c r="J505" s="6">
        <f>HYPERLINK("https://www.kleinanzeigen.de/s-anzeige/mast-windsurfen/2846994615-230-18947", "Link")</f>
        <v/>
      </c>
      <c r="K505" s="6">
        <f>HYPERLINK("C:\Projects\Kleinanzeigen-Scraper\offer_images\2846994615", "Link")</f>
        <v/>
      </c>
      <c r="L505" t="inlineStr">
        <is>
          <t>Ri</t>
        </is>
      </c>
      <c r="M505" s="6">
        <f>HYPERLINK("https://www.kleinanzeigen.de/s-bestandsliste.html?userId=22381178", "Link")</f>
        <v/>
      </c>
      <c r="N505" s="7" t="n">
        <v>45538.56693287037</v>
      </c>
      <c r="O505" s="3" t="inlineStr">
        <is>
          <t>419.12</t>
        </is>
      </c>
      <c r="P505" t="inlineStr">
        <is>
          <t>Köln</t>
        </is>
      </c>
    </row>
    <row r="506">
      <c r="A506" t="inlineStr"/>
      <c r="B506" s="3" t="n">
        <v>465</v>
      </c>
      <c r="C506" s="8" t="inlineStr"/>
      <c r="D506" t="inlineStr"/>
      <c r="E506" s="4" t="inlineStr"/>
      <c r="F506" t="inlineStr">
        <is>
          <t>VB</t>
        </is>
      </c>
      <c r="G506" t="inlineStr">
        <is>
          <t>24782 Schleswig-Holstein - Büdelsdorf</t>
        </is>
      </c>
      <c r="H506" s="5" t="n">
        <v>45530</v>
      </c>
      <c r="I506" t="inlineStr">
        <is>
          <t>Sold</t>
        </is>
      </c>
      <c r="J506" s="6">
        <f>HYPERLINK("https://www.kleinanzeigen.de/s-anzeige/mast-4-65-windsurfen-wassersport/2846995796-230-18947", "Link")</f>
        <v/>
      </c>
      <c r="K506" s="6">
        <f>HYPERLINK("C:\Projects\Kleinanzeigen-Scraper\offer_images\2846995796", "Link")</f>
        <v/>
      </c>
      <c r="L506" t="inlineStr">
        <is>
          <t>Ri</t>
        </is>
      </c>
      <c r="M506" s="6">
        <f>HYPERLINK("https://www.kleinanzeigen.de/s-bestandsliste.html?userId=22381178", "Link")</f>
        <v/>
      </c>
      <c r="N506" s="7" t="n">
        <v>45538.56686342593</v>
      </c>
      <c r="O506" s="3" t="inlineStr">
        <is>
          <t>419.12</t>
        </is>
      </c>
      <c r="P506" t="inlineStr">
        <is>
          <t>Köln</t>
        </is>
      </c>
    </row>
    <row r="507">
      <c r="A507" t="inlineStr">
        <is>
          <t>North Sails Sting Drop Shape</t>
        </is>
      </c>
      <c r="B507" s="3" t="n">
        <v>460</v>
      </c>
      <c r="C507" s="8" t="inlineStr">
        <is>
          <t>30%</t>
        </is>
      </c>
      <c r="D507" t="inlineStr"/>
      <c r="E507" s="4" t="n">
        <v>10</v>
      </c>
      <c r="F507" t="inlineStr"/>
      <c r="G507" t="inlineStr">
        <is>
          <t>25980 Sylt - Westerland</t>
        </is>
      </c>
      <c r="H507" s="5" t="n">
        <v>45530</v>
      </c>
      <c r="I507" t="inlineStr">
        <is>
          <t>Sold</t>
        </is>
      </c>
      <c r="J507" s="6">
        <f>HYPERLINK("https://www.kleinanzeigen.de/s-anzeige/north-sails-460-cm-windsurf-mast-sting-drop-shape-c30/2847015891-230-634", "Link")</f>
        <v/>
      </c>
      <c r="K507" s="6">
        <f>HYPERLINK("C:\Projects\Kleinanzeigen-Scraper\offer_images\2847015891", "Link")</f>
        <v/>
      </c>
      <c r="L507" t="inlineStr">
        <is>
          <t>Jan</t>
        </is>
      </c>
      <c r="M507" s="6">
        <f>HYPERLINK("https://www.kleinanzeigen.de/s-bestandsliste.html?userId=25803133", "Link")</f>
        <v/>
      </c>
      <c r="N507" s="7" t="n">
        <v>45538.56672453704</v>
      </c>
      <c r="O507" s="3" t="inlineStr">
        <is>
          <t>448.30</t>
        </is>
      </c>
      <c r="P507" t="inlineStr">
        <is>
          <t>Köln</t>
        </is>
      </c>
    </row>
    <row r="508">
      <c r="A508" t="inlineStr"/>
      <c r="B508" s="3" t="n">
        <v>490</v>
      </c>
      <c r="C508" s="8" t="inlineStr"/>
      <c r="D508" t="inlineStr"/>
      <c r="E508" s="4" t="inlineStr"/>
      <c r="F508" t="inlineStr">
        <is>
          <t>VB</t>
        </is>
      </c>
      <c r="G508" t="inlineStr">
        <is>
          <t>24782 Schleswig-Holstein - Büdelsdorf</t>
        </is>
      </c>
      <c r="H508" s="5" t="n">
        <v>45530</v>
      </c>
      <c r="I508" t="inlineStr">
        <is>
          <t>Sold</t>
        </is>
      </c>
      <c r="J508" s="6">
        <f>HYPERLINK("https://www.kleinanzeigen.de/s-anzeige/mast-windsurfen-wassersport/2846975086-230-18947", "Link")</f>
        <v/>
      </c>
      <c r="K508" s="6">
        <f>HYPERLINK("C:\Projects\Kleinanzeigen-Scraper\offer_images\2846975086", "Link")</f>
        <v/>
      </c>
      <c r="L508" t="inlineStr">
        <is>
          <t>Ri</t>
        </is>
      </c>
      <c r="M508" s="6">
        <f>HYPERLINK("https://www.kleinanzeigen.de/s-bestandsliste.html?userId=22381178", "Link")</f>
        <v/>
      </c>
      <c r="N508" s="7" t="n">
        <v>45538.5666087963</v>
      </c>
      <c r="O508" s="3" t="inlineStr">
        <is>
          <t>419.12</t>
        </is>
      </c>
      <c r="P508" t="inlineStr">
        <is>
          <t>Köln</t>
        </is>
      </c>
    </row>
    <row r="509">
      <c r="A509" t="inlineStr">
        <is>
          <t>Unifiber</t>
        </is>
      </c>
      <c r="B509" s="3" t="n">
        <v>490</v>
      </c>
      <c r="C509" s="8" t="inlineStr">
        <is>
          <t>100%</t>
        </is>
      </c>
      <c r="D509" t="inlineStr">
        <is>
          <t>SDM</t>
        </is>
      </c>
      <c r="E509" s="4" t="n">
        <v>200</v>
      </c>
      <c r="F509" t="inlineStr"/>
      <c r="G509" t="inlineStr">
        <is>
          <t>82211 Bayern - Herrsching</t>
        </is>
      </c>
      <c r="H509" s="5" t="n">
        <v>45537</v>
      </c>
      <c r="I509" t="inlineStr">
        <is>
          <t>Sold</t>
        </is>
      </c>
      <c r="J509" s="6">
        <f>HYPERLINK("https://www.kleinanzeigen.de/s-anzeige/unifiber-490-sdm-windsurf-mast-100-carbon/2852966134-230-5520", "Link")</f>
        <v/>
      </c>
      <c r="K509" s="6">
        <f>HYPERLINK("C:\Projects\Kleinanzeigen-Scraper\offer_images\2852966134", "Link")</f>
        <v/>
      </c>
      <c r="L509" t="inlineStr">
        <is>
          <t>Oliver</t>
        </is>
      </c>
      <c r="M509" s="6">
        <f>HYPERLINK("https://www.kleinanzeigen.de/s-bestandsliste.html?userId=17846362", "Link")</f>
        <v/>
      </c>
      <c r="N509" s="7" t="n">
        <v>45538.56641203703</v>
      </c>
      <c r="O509" s="3" t="inlineStr">
        <is>
          <t>32.73</t>
        </is>
      </c>
      <c r="P509" t="inlineStr">
        <is>
          <t>München</t>
        </is>
      </c>
    </row>
    <row r="510">
      <c r="A510" t="inlineStr">
        <is>
          <t>PACIFICMASTS LANCE 30</t>
        </is>
      </c>
      <c r="B510" s="3" t="n">
        <v>400</v>
      </c>
      <c r="C510" s="8" t="inlineStr"/>
      <c r="D510" t="inlineStr">
        <is>
          <t>SDM</t>
        </is>
      </c>
      <c r="E510" s="4" t="n">
        <v>75</v>
      </c>
      <c r="F510" t="inlineStr">
        <is>
          <t>VB</t>
        </is>
      </c>
      <c r="G510" t="inlineStr">
        <is>
          <t>01326 Dresden - Loschwitz</t>
        </is>
      </c>
      <c r="H510" s="5" t="n">
        <v>45536</v>
      </c>
      <c r="I510" t="inlineStr">
        <is>
          <t>Sold</t>
        </is>
      </c>
      <c r="J510" s="6">
        <f>HYPERLINK("https://www.kleinanzeigen.de/s-anzeige/windsurf-sdm-mast-400-19cc-pacificmasts-lance-30/2852178283-230-3830", "Link")</f>
        <v/>
      </c>
      <c r="K510" s="6">
        <f>HYPERLINK("C:\Projects\Kleinanzeigen-Scraper\offer_images\2852178283", "Link")</f>
        <v/>
      </c>
      <c r="L510" t="inlineStr">
        <is>
          <t>Peter</t>
        </is>
      </c>
      <c r="M510" s="6">
        <f>HYPERLINK("https://www.kleinanzeigen.de/s-bestandsliste.html?userId=24095757", "Link")</f>
        <v/>
      </c>
      <c r="N510" s="7" t="n">
        <v>45537.57849537037</v>
      </c>
      <c r="O510" s="3" t="inlineStr">
        <is>
          <t>362.41</t>
        </is>
      </c>
      <c r="P510" t="inlineStr">
        <is>
          <t>München</t>
        </is>
      </c>
    </row>
    <row r="511">
      <c r="A511" t="inlineStr">
        <is>
          <t>Northsails Space Tech Carbon XC 40</t>
        </is>
      </c>
      <c r="B511" s="3" t="n">
        <v>460</v>
      </c>
      <c r="C511" s="8" t="n">
        <v>28</v>
      </c>
      <c r="D511" t="inlineStr">
        <is>
          <t>SDM</t>
        </is>
      </c>
      <c r="E511" s="4" t="n">
        <v>85</v>
      </c>
      <c r="F511" t="inlineStr">
        <is>
          <t>VB</t>
        </is>
      </c>
      <c r="G511" t="inlineStr">
        <is>
          <t>01326 Dresden - Loschwitz</t>
        </is>
      </c>
      <c r="H511" s="5" t="n">
        <v>45536</v>
      </c>
      <c r="I511" t="inlineStr">
        <is>
          <t>Sold</t>
        </is>
      </c>
      <c r="J511" s="6">
        <f>HYPERLINK("https://www.kleinanzeigen.de/s-anzeige/windsurf-sdm-mast-460-28-cc-northsails-space-tech-carbon-xc-40/2852179501-230-3830", "Link")</f>
        <v/>
      </c>
      <c r="K511" s="6">
        <f>HYPERLINK("C:\Projects\Kleinanzeigen-Scraper\offer_images\2852179501", "Link")</f>
        <v/>
      </c>
      <c r="L511" t="inlineStr">
        <is>
          <t>Peter</t>
        </is>
      </c>
      <c r="M511" s="6">
        <f>HYPERLINK("https://www.kleinanzeigen.de/s-bestandsliste.html?userId=24095757", "Link")</f>
        <v/>
      </c>
      <c r="N511" s="7" t="n">
        <v>45537.57837962963</v>
      </c>
      <c r="O511" s="3" t="inlineStr">
        <is>
          <t>362.41</t>
        </is>
      </c>
      <c r="P511" t="inlineStr">
        <is>
          <t>München</t>
        </is>
      </c>
    </row>
    <row r="512">
      <c r="A512" t="inlineStr">
        <is>
          <t>ONE</t>
        </is>
      </c>
      <c r="B512" s="3" t="n">
        <v>430</v>
      </c>
      <c r="C512" s="8" t="inlineStr">
        <is>
          <t>75%</t>
        </is>
      </c>
      <c r="D512" t="inlineStr">
        <is>
          <t>RDM</t>
        </is>
      </c>
      <c r="E512" s="4" t="n">
        <v>140</v>
      </c>
      <c r="F512" t="inlineStr"/>
      <c r="G512" t="inlineStr">
        <is>
          <t>18069 Rostock - Reutershagen</t>
        </is>
      </c>
      <c r="H512" s="5" t="n">
        <v>45537</v>
      </c>
      <c r="I512" t="inlineStr">
        <is>
          <t>Sold</t>
        </is>
      </c>
      <c r="J512" s="6">
        <f>HYPERLINK("https://www.kleinanzeigen.de/s-anzeige/mast-rdm-430-75-carbon-cc-one-windsurf-naish/2852474736-230-159", "Link")</f>
        <v/>
      </c>
      <c r="K512" s="6">
        <f>HYPERLINK("C:\Projects\Kleinanzeigen-Scraper\offer_images\2852474736", "Link")</f>
        <v/>
      </c>
      <c r="L512" t="inlineStr">
        <is>
          <t>Thomas</t>
        </is>
      </c>
      <c r="M512" s="6">
        <f>HYPERLINK("https://www.kleinanzeigen.de/s-bestandsliste.html?userId=33327", "Link")</f>
        <v/>
      </c>
      <c r="N512" s="7" t="n">
        <v>45537.57825231482</v>
      </c>
      <c r="O512" s="3" t="inlineStr">
        <is>
          <t>493.58</t>
        </is>
      </c>
      <c r="P512" t="inlineStr">
        <is>
          <t>Köln</t>
        </is>
      </c>
    </row>
    <row r="513">
      <c r="A513" t="inlineStr">
        <is>
          <t>Northsails Race Tech</t>
        </is>
      </c>
      <c r="B513" s="3" t="n">
        <v>465</v>
      </c>
      <c r="C513" s="8" t="inlineStr"/>
      <c r="D513" t="inlineStr">
        <is>
          <t>SDM</t>
        </is>
      </c>
      <c r="E513" s="4" t="n">
        <v>85</v>
      </c>
      <c r="F513" t="inlineStr">
        <is>
          <t>VB</t>
        </is>
      </c>
      <c r="G513" t="inlineStr">
        <is>
          <t>01326 Dresden - Loschwitz</t>
        </is>
      </c>
      <c r="H513" s="5" t="n">
        <v>45536</v>
      </c>
      <c r="I513" t="inlineStr">
        <is>
          <t>Sold</t>
        </is>
      </c>
      <c r="J513" s="6">
        <f>HYPERLINK("https://www.kleinanzeigen.de/s-anzeige/windsurf-sdm-mast-465-cm-imcs-27-cc-northsails-race-tech-carbon/2852179968-230-3830", "Link")</f>
        <v/>
      </c>
      <c r="K513" s="6">
        <f>HYPERLINK("C:\Projects\Kleinanzeigen-Scraper\offer_images\2852179968", "Link")</f>
        <v/>
      </c>
      <c r="L513" t="inlineStr">
        <is>
          <t>Peter</t>
        </is>
      </c>
      <c r="M513" s="6">
        <f>HYPERLINK("https://www.kleinanzeigen.de/s-bestandsliste.html?userId=24095757", "Link")</f>
        <v/>
      </c>
      <c r="N513" s="7" t="n">
        <v>45537.57809027778</v>
      </c>
      <c r="O513" s="3" t="inlineStr">
        <is>
          <t>362.41</t>
        </is>
      </c>
      <c r="P513" t="inlineStr">
        <is>
          <t>München</t>
        </is>
      </c>
    </row>
    <row r="514">
      <c r="A514" t="inlineStr">
        <is>
          <t>Ascan</t>
        </is>
      </c>
      <c r="B514" s="3" t="n">
        <v>45</v>
      </c>
      <c r="C514" s="8" t="inlineStr"/>
      <c r="D514" t="inlineStr">
        <is>
          <t>SDM</t>
        </is>
      </c>
      <c r="E514" s="4" t="n">
        <v>20</v>
      </c>
      <c r="F514" t="inlineStr"/>
      <c r="G514" t="inlineStr">
        <is>
          <t>10557 Mitte - Tiergarten</t>
        </is>
      </c>
      <c r="H514" s="5" t="n">
        <v>45537</v>
      </c>
      <c r="I514" t="inlineStr">
        <is>
          <t>Sold</t>
        </is>
      </c>
      <c r="J514" s="6">
        <f>HYPERLINK("https://www.kleinanzeigen.de/s-anzeige/mastverlaengerung-45-cm-sdm-windsurfen/2852182116-230-3502", "Link")</f>
        <v/>
      </c>
      <c r="K514" s="6">
        <f>HYPERLINK("C:\Projects\Kleinanzeigen-Scraper\offer_images\2852182116", "Link")</f>
        <v/>
      </c>
      <c r="L514" t="inlineStr">
        <is>
          <t>Fabian Becher</t>
        </is>
      </c>
      <c r="M514" s="6">
        <f>HYPERLINK("https://www.kleinanzeigen.de/s-bestandsliste.html?userId=14821328", "Link")</f>
        <v/>
      </c>
      <c r="N514" s="7" t="n">
        <v>45537.57806712963</v>
      </c>
      <c r="O514" s="3" t="inlineStr">
        <is>
          <t>475.20</t>
        </is>
      </c>
      <c r="P514" t="inlineStr">
        <is>
          <t>Köln</t>
        </is>
      </c>
    </row>
    <row r="515">
      <c r="A515" t="inlineStr">
        <is>
          <t>Unifiber</t>
        </is>
      </c>
      <c r="B515" s="3" t="n">
        <v>45</v>
      </c>
      <c r="C515" s="8" t="inlineStr"/>
      <c r="D515" t="inlineStr">
        <is>
          <t>SDM</t>
        </is>
      </c>
      <c r="E515" s="4" t="n">
        <v>20</v>
      </c>
      <c r="F515" t="inlineStr">
        <is>
          <t>VB</t>
        </is>
      </c>
      <c r="G515" t="inlineStr">
        <is>
          <t>82256 Bayern - Fürstenfeldbruck</t>
        </is>
      </c>
      <c r="H515" s="5" t="n">
        <v>45537</v>
      </c>
      <c r="I515" t="inlineStr">
        <is>
          <t>Sold</t>
        </is>
      </c>
      <c r="J515" s="6">
        <f>HYPERLINK("https://www.kleinanzeigen.de/s-anzeige/unifiber-sdm-mast-verlaengerung-45cm-windsurf/2852497447-230-6311", "Link")</f>
        <v/>
      </c>
      <c r="K515" s="6">
        <f>HYPERLINK("C:\Projects\Kleinanzeigen-Scraper\offer_images\2852497447", "Link")</f>
        <v/>
      </c>
      <c r="L515" t="inlineStr">
        <is>
          <t>Florian</t>
        </is>
      </c>
      <c r="M515" s="6">
        <f>HYPERLINK("https://www.kleinanzeigen.de/s-bestandsliste.html?userId=58735837", "Link")</f>
        <v/>
      </c>
      <c r="N515" s="7" t="n">
        <v>45537.57804398148</v>
      </c>
      <c r="O515" s="3" t="inlineStr">
        <is>
          <t>25.37</t>
        </is>
      </c>
      <c r="P515" t="inlineStr">
        <is>
          <t>München</t>
        </is>
      </c>
    </row>
    <row r="516">
      <c r="A516" t="inlineStr">
        <is>
          <t>KA Sails</t>
        </is>
      </c>
      <c r="B516" s="3" t="n">
        <v>400</v>
      </c>
      <c r="C516" s="8" t="inlineStr">
        <is>
          <t>75%</t>
        </is>
      </c>
      <c r="D516" t="inlineStr">
        <is>
          <t>SDM</t>
        </is>
      </c>
      <c r="E516" s="4" t="n">
        <v>80</v>
      </c>
      <c r="F516" t="inlineStr">
        <is>
          <t>VB</t>
        </is>
      </c>
      <c r="G516" t="inlineStr">
        <is>
          <t>82256 Bayern - Fürstenfeldbruck</t>
        </is>
      </c>
      <c r="H516" s="5" t="n">
        <v>45537</v>
      </c>
      <c r="I516" t="inlineStr">
        <is>
          <t>Sold</t>
        </is>
      </c>
      <c r="J516" s="6">
        <f>HYPERLINK("https://www.kleinanzeigen.de/s-anzeige/ka-sails-sdm-400-windsurf-mast-75-/2852481388-230-6311", "Link")</f>
        <v/>
      </c>
      <c r="K516" s="6">
        <f>HYPERLINK("C:\Projects\Kleinanzeigen-Scraper\offer_images\2852481388", "Link")</f>
        <v/>
      </c>
      <c r="L516" t="inlineStr">
        <is>
          <t>Florian</t>
        </is>
      </c>
      <c r="M516" s="6">
        <f>HYPERLINK("https://www.kleinanzeigen.de/s-bestandsliste.html?userId=58735837", "Link")</f>
        <v/>
      </c>
      <c r="N516" s="7" t="n">
        <v>45537.57799768518</v>
      </c>
      <c r="O516" s="3" t="inlineStr">
        <is>
          <t>25.37</t>
        </is>
      </c>
      <c r="P516" t="inlineStr">
        <is>
          <t>München</t>
        </is>
      </c>
    </row>
    <row r="517">
      <c r="A517" t="inlineStr">
        <is>
          <t>Point 7</t>
        </is>
      </c>
      <c r="B517" s="3" t="n">
        <v>460</v>
      </c>
      <c r="C517" s="8" t="inlineStr">
        <is>
          <t>80%</t>
        </is>
      </c>
      <c r="D517" t="inlineStr">
        <is>
          <t>SDM</t>
        </is>
      </c>
      <c r="E517" s="4" t="n">
        <v>290</v>
      </c>
      <c r="F517" t="inlineStr">
        <is>
          <t>VB</t>
        </is>
      </c>
      <c r="G517" t="inlineStr">
        <is>
          <t>81371 München - Sendling</t>
        </is>
      </c>
      <c r="H517" s="5" t="n">
        <v>45537</v>
      </c>
      <c r="I517" t="inlineStr"/>
      <c r="J517" s="6">
        <f>HYPERLINK("https://www.kleinanzeigen.de/s-anzeige/point-7-windsurf-mast-460sdm-80-/2852370537-230-6416", "Link")</f>
        <v/>
      </c>
      <c r="K517" s="6">
        <f>HYPERLINK("C:\Projects\Kleinanzeigen-Scraper\offer_images\2852370537", "Link")</f>
        <v/>
      </c>
      <c r="L517" t="inlineStr">
        <is>
          <t>dominik</t>
        </is>
      </c>
      <c r="M517" s="6">
        <f>HYPERLINK("https://www.kleinanzeigen.de/s-bestandsliste.html?userId=30358238", "Link")</f>
        <v/>
      </c>
      <c r="N517" s="7" t="n">
        <v>45537.57789351852</v>
      </c>
      <c r="O517" s="3" t="inlineStr">
        <is>
          <t>2.76</t>
        </is>
      </c>
      <c r="P517" t="inlineStr">
        <is>
          <t>München</t>
        </is>
      </c>
    </row>
    <row r="518">
      <c r="A518" t="inlineStr">
        <is>
          <t>Fiberspar Relax 3200</t>
        </is>
      </c>
      <c r="B518" s="3" t="n">
        <v>430</v>
      </c>
      <c r="C518" s="8" t="inlineStr">
        <is>
          <t>30%</t>
        </is>
      </c>
      <c r="D518" t="inlineStr">
        <is>
          <t>SDM</t>
        </is>
      </c>
      <c r="E518" s="4" t="n">
        <v>60</v>
      </c>
      <c r="F518" t="inlineStr">
        <is>
          <t>VB</t>
        </is>
      </c>
      <c r="G518" t="inlineStr">
        <is>
          <t>01326 Dresden - Loschwitz</t>
        </is>
      </c>
      <c r="H518" s="5" t="n">
        <v>45536</v>
      </c>
      <c r="I518" t="inlineStr">
        <is>
          <t>Sold</t>
        </is>
      </c>
      <c r="J518" s="6">
        <f>HYPERLINK("https://www.kleinanzeigen.de/s-anzeige/windsurf-sdm-mast-430-25-21-cc-fiberspar-relax-3200/2852180450-230-3830", "Link")</f>
        <v/>
      </c>
      <c r="K518" s="6">
        <f>HYPERLINK("C:\Projects\Kleinanzeigen-Scraper\offer_images\2852180450", "Link")</f>
        <v/>
      </c>
      <c r="L518" t="inlineStr">
        <is>
          <t>Peter</t>
        </is>
      </c>
      <c r="M518" s="6">
        <f>HYPERLINK("https://www.kleinanzeigen.de/s-bestandsliste.html?userId=24095757", "Link")</f>
        <v/>
      </c>
      <c r="N518" s="7" t="n">
        <v>45537.57776620371</v>
      </c>
      <c r="O518" s="3" t="inlineStr">
        <is>
          <t>362.41</t>
        </is>
      </c>
      <c r="P518" t="inlineStr">
        <is>
          <t>München</t>
        </is>
      </c>
    </row>
    <row r="519">
      <c r="A519" t="inlineStr">
        <is>
          <t>Klepper</t>
        </is>
      </c>
      <c r="B519" s="3" t="n">
        <v>465</v>
      </c>
      <c r="C519" s="8" t="inlineStr"/>
      <c r="D519" t="inlineStr">
        <is>
          <t>SDM</t>
        </is>
      </c>
      <c r="E519" s="4" t="inlineStr">
        <is>
          <t>Zu verschenken</t>
        </is>
      </c>
      <c r="F519" t="inlineStr"/>
      <c r="G519" t="inlineStr">
        <is>
          <t>10629 Berlin - Charlottenburg</t>
        </is>
      </c>
      <c r="H519" s="5" t="n">
        <v>45537</v>
      </c>
      <c r="I519" t="inlineStr">
        <is>
          <t>Sold</t>
        </is>
      </c>
      <c r="J519" s="6">
        <f>HYPERLINK("https://www.kleinanzeigen.de/s-anzeige/windsurf-mast-sdm-465-von-klepper/2852389212-230-3341", "Link")</f>
        <v/>
      </c>
      <c r="K519" s="6">
        <f>HYPERLINK("C:\Projects\Kleinanzeigen-Scraper\offer_images\2852389212", "Link")</f>
        <v/>
      </c>
      <c r="L519" t="inlineStr">
        <is>
          <t>Arne Semmler</t>
        </is>
      </c>
      <c r="M519" s="6">
        <f>HYPERLINK("https://www.kleinanzeigen.de/s-bestandsliste.html?userId=44101424", "Link")</f>
        <v/>
      </c>
      <c r="N519" s="7" t="n">
        <v>45537.57763888889</v>
      </c>
      <c r="O519" s="3" t="inlineStr">
        <is>
          <t>470.41</t>
        </is>
      </c>
      <c r="P519" t="inlineStr">
        <is>
          <t>Köln</t>
        </is>
      </c>
    </row>
    <row r="520">
      <c r="A520" t="inlineStr">
        <is>
          <t>Klepper</t>
        </is>
      </c>
      <c r="B520" s="3" t="n">
        <v>485</v>
      </c>
      <c r="C520" s="8" t="inlineStr"/>
      <c r="D520" t="inlineStr"/>
      <c r="E520" s="4" t="inlineStr">
        <is>
          <t>Zu verschenken</t>
        </is>
      </c>
      <c r="F520" t="inlineStr"/>
      <c r="G520" t="inlineStr">
        <is>
          <t>84431 Bayern - Heldenstein</t>
        </is>
      </c>
      <c r="H520" s="5" t="n">
        <v>45530</v>
      </c>
      <c r="I520" t="inlineStr">
        <is>
          <t>Sold</t>
        </is>
      </c>
      <c r="J520" s="6">
        <f>HYPERLINK("https://www.kleinanzeigen.de/s-anzeige/mast-windsurfen-fahnen-mast/2847189742-23-24294", "Link")</f>
        <v/>
      </c>
      <c r="K520" s="6">
        <f>HYPERLINK("C:\Projects\Kleinanzeigen-Scraper\offer_images\2847189742", "Link")</f>
        <v/>
      </c>
      <c r="L520" t="inlineStr">
        <is>
          <t>Bachmeier K</t>
        </is>
      </c>
      <c r="M520" s="6">
        <f>HYPERLINK("https://www.kleinanzeigen.de/s-bestandsliste.html?userId=28586263", "Link")</f>
        <v/>
      </c>
      <c r="N520" s="7" t="n">
        <v>45536.97876157407</v>
      </c>
      <c r="O520" s="3" t="inlineStr">
        <is>
          <t>58.99</t>
        </is>
      </c>
      <c r="P520" t="inlineStr">
        <is>
          <t>München</t>
        </is>
      </c>
    </row>
    <row r="521">
      <c r="A521" t="inlineStr">
        <is>
          <t>Neil Pryde C6</t>
        </is>
      </c>
      <c r="B521" s="3" t="n">
        <v>460</v>
      </c>
      <c r="C521" s="8" t="inlineStr">
        <is>
          <t>80%</t>
        </is>
      </c>
      <c r="D521" t="inlineStr"/>
      <c r="E521" s="4" t="n">
        <v>150</v>
      </c>
      <c r="F521" t="inlineStr"/>
      <c r="G521" t="inlineStr">
        <is>
          <t>10557 Mitte - Tiergarten</t>
        </is>
      </c>
      <c r="H521" s="5" t="n">
        <v>45536</v>
      </c>
      <c r="I521" t="inlineStr">
        <is>
          <t>Sold</t>
        </is>
      </c>
      <c r="J521" s="6">
        <f>HYPERLINK("https://www.kleinanzeigen.de/s-anzeige/mast-neil-pryde-c6-460-cm-windsurfen/2852170372-230-3502", "Link")</f>
        <v/>
      </c>
      <c r="K521" s="6">
        <f>HYPERLINK("C:\Projects\Kleinanzeigen-Scraper\offer_images\2852170372", "Link")</f>
        <v/>
      </c>
      <c r="L521" t="inlineStr">
        <is>
          <t>Fabian Becher</t>
        </is>
      </c>
      <c r="M521" s="6">
        <f>HYPERLINK("https://www.kleinanzeigen.de/s-bestandsliste.html?userId=14821328", "Link")</f>
        <v/>
      </c>
      <c r="N521" s="7" t="n">
        <v>45536.97815972222</v>
      </c>
      <c r="O521" s="3" t="inlineStr">
        <is>
          <t>475.20</t>
        </is>
      </c>
      <c r="P521" t="inlineStr">
        <is>
          <t>Köln</t>
        </is>
      </c>
    </row>
    <row r="522">
      <c r="A522" t="inlineStr">
        <is>
          <t>North Sails Gold Mast</t>
        </is>
      </c>
      <c r="B522" s="3" t="n">
        <v>460</v>
      </c>
      <c r="C522" s="8" t="inlineStr">
        <is>
          <t>75%</t>
        </is>
      </c>
      <c r="D522" t="inlineStr">
        <is>
          <t>SDM</t>
        </is>
      </c>
      <c r="E522" s="4" t="n">
        <v>150</v>
      </c>
      <c r="F522" t="inlineStr"/>
      <c r="G522" t="inlineStr">
        <is>
          <t>16515 Brandenburg - Oranienburg</t>
        </is>
      </c>
      <c r="H522" s="5" t="n">
        <v>45532</v>
      </c>
      <c r="I522" t="inlineStr">
        <is>
          <t>Sold</t>
        </is>
      </c>
      <c r="J522" s="6">
        <f>HYPERLINK("https://www.kleinanzeigen.de/s-anzeige/north-sails-duotone-gold-mast-460-windsurfmast-windsurfen/2848207560-230-7814", "Link")</f>
        <v/>
      </c>
      <c r="K522" s="6">
        <f>HYPERLINK("C:\Projects\Kleinanzeigen-Scraper\offer_images\2848207560", "Link")</f>
        <v/>
      </c>
      <c r="L522" t="inlineStr">
        <is>
          <t>DW</t>
        </is>
      </c>
      <c r="M522" s="6">
        <f>HYPERLINK("https://www.kleinanzeigen.de/s-bestandsliste.html?userId=7064273", "Link")</f>
        <v/>
      </c>
      <c r="N522" s="7" t="n">
        <v>45536.96863425926</v>
      </c>
      <c r="O522" s="3" t="inlineStr">
        <is>
          <t>483.59</t>
        </is>
      </c>
      <c r="P522" t="inlineStr">
        <is>
          <t>Köln</t>
        </is>
      </c>
    </row>
    <row r="523">
      <c r="A523" t="inlineStr">
        <is>
          <t>enemii</t>
        </is>
      </c>
      <c r="B523" s="3" t="n">
        <v>370</v>
      </c>
      <c r="C523" s="8" t="inlineStr">
        <is>
          <t>100%</t>
        </is>
      </c>
      <c r="D523" t="inlineStr">
        <is>
          <t>RDM</t>
        </is>
      </c>
      <c r="E523" s="4" t="n">
        <v>140</v>
      </c>
      <c r="F523" t="inlineStr"/>
      <c r="G523" t="inlineStr">
        <is>
          <t>31515 Niedersachsen - Wunstorf</t>
        </is>
      </c>
      <c r="H523" s="5" t="n">
        <v>45536</v>
      </c>
      <c r="I523" t="inlineStr">
        <is>
          <t>Sold</t>
        </is>
      </c>
      <c r="J523" s="6">
        <f>HYPERLINK("https://www.kleinanzeigen.de/s-anzeige/enemii-rdm-370-100-carbon-windsurf-mast/2852160410-230-2930", "Link")</f>
        <v/>
      </c>
      <c r="K523" s="6">
        <f>HYPERLINK("C:\Projects\Kleinanzeigen-Scraper\offer_images\2852160410", "Link")</f>
        <v/>
      </c>
      <c r="L523" t="inlineStr">
        <is>
          <t>Björn</t>
        </is>
      </c>
      <c r="M523" s="6">
        <f>HYPERLINK("https://www.kleinanzeigen.de/s-bestandsliste.html?userId=47648804", "Link")</f>
        <v/>
      </c>
      <c r="N523" s="7" t="n">
        <v>45536.96856481482</v>
      </c>
      <c r="O523" s="3" t="inlineStr">
        <is>
          <t>236.47</t>
        </is>
      </c>
      <c r="P523" t="inlineStr">
        <is>
          <t>Köln</t>
        </is>
      </c>
    </row>
    <row r="524">
      <c r="A524" t="inlineStr">
        <is>
          <t>North Sails</t>
        </is>
      </c>
      <c r="B524" s="3" t="n">
        <v>465</v>
      </c>
      <c r="C524" s="8" t="inlineStr"/>
      <c r="D524" t="inlineStr">
        <is>
          <t>SDM</t>
        </is>
      </c>
      <c r="E524" s="4" t="n">
        <v>10</v>
      </c>
      <c r="F524" t="inlineStr"/>
      <c r="G524" t="inlineStr">
        <is>
          <t>07546 Thüringen - Gera</t>
        </is>
      </c>
      <c r="H524" s="5" t="n">
        <v>45529</v>
      </c>
      <c r="I524" t="inlineStr">
        <is>
          <t>Sold</t>
        </is>
      </c>
      <c r="J524" s="6">
        <f>HYPERLINK("https://www.kleinanzeigen.de/s-anzeige/mast-ns-4-65-m-windsurfen-north-sails/2846430162-230-3792", "Link")</f>
        <v/>
      </c>
      <c r="K524" s="6">
        <f>HYPERLINK("C:\Projects\Kleinanzeigen-Scraper\offer_images\2846430162", "Link")</f>
        <v/>
      </c>
      <c r="L524" t="inlineStr">
        <is>
          <t>Matthias</t>
        </is>
      </c>
      <c r="M524" s="6">
        <f>HYPERLINK("https://www.kleinanzeigen.de/s-bestandsliste.html?userId=11993870", "Link")</f>
        <v/>
      </c>
      <c r="N524" s="7" t="n">
        <v>45536.96849537037</v>
      </c>
      <c r="O524" s="3" t="inlineStr">
        <is>
          <t>307.63</t>
        </is>
      </c>
      <c r="P524" t="inlineStr">
        <is>
          <t>München</t>
        </is>
      </c>
    </row>
    <row r="525">
      <c r="A525" t="inlineStr">
        <is>
          <t>enemii RDM</t>
        </is>
      </c>
      <c r="B525" s="3" t="n">
        <v>400</v>
      </c>
      <c r="C525" s="8" t="inlineStr">
        <is>
          <t>100%</t>
        </is>
      </c>
      <c r="D525" t="inlineStr">
        <is>
          <t>RDM</t>
        </is>
      </c>
      <c r="E525" s="4" t="n">
        <v>145</v>
      </c>
      <c r="F525" t="inlineStr"/>
      <c r="G525" t="inlineStr">
        <is>
          <t>31515 Niedersachsen - Wunstorf</t>
        </is>
      </c>
      <c r="H525" s="5" t="n">
        <v>45536</v>
      </c>
      <c r="I525" t="inlineStr">
        <is>
          <t>Sold</t>
        </is>
      </c>
      <c r="J525" s="6">
        <f>HYPERLINK("https://www.kleinanzeigen.de/s-anzeige/enemii-rdm-400-100-carbon-windsurf-mast/2852157298-230-2930", "Link")</f>
        <v/>
      </c>
      <c r="K525" s="6">
        <f>HYPERLINK("C:\Projects\Kleinanzeigen-Scraper\offer_images\2852157298", "Link")</f>
        <v/>
      </c>
      <c r="L525" t="inlineStr">
        <is>
          <t>Björn</t>
        </is>
      </c>
      <c r="M525" s="6">
        <f>HYPERLINK("https://www.kleinanzeigen.de/s-bestandsliste.html?userId=47648804", "Link")</f>
        <v/>
      </c>
      <c r="N525" s="7" t="n">
        <v>45536.96832175926</v>
      </c>
      <c r="O525" s="3" t="inlineStr">
        <is>
          <t>236.47</t>
        </is>
      </c>
      <c r="P525" t="inlineStr">
        <is>
          <t>Köln</t>
        </is>
      </c>
    </row>
    <row r="526">
      <c r="A526" t="inlineStr">
        <is>
          <t>Gastra Sails</t>
        </is>
      </c>
      <c r="B526" s="3" t="n">
        <v>405</v>
      </c>
      <c r="C526" s="8" t="inlineStr"/>
      <c r="D526" t="inlineStr"/>
      <c r="E526" s="4" t="n">
        <v>10</v>
      </c>
      <c r="F526" t="inlineStr">
        <is>
          <t>VB</t>
        </is>
      </c>
      <c r="G526" t="inlineStr">
        <is>
          <t>45699 Nordrhein-Westfalen - Herten</t>
        </is>
      </c>
      <c r="H526" s="5" t="n">
        <v>45529</v>
      </c>
      <c r="I526" t="inlineStr">
        <is>
          <t>Sold</t>
        </is>
      </c>
      <c r="J526" s="6">
        <f>HYPERLINK("https://www.kleinanzeigen.de/s-anzeige/windsurf-mast/2845802275-230-1832", "Link")</f>
        <v/>
      </c>
      <c r="K526" s="6">
        <f>HYPERLINK("C:\Projects\Kleinanzeigen-Scraper\offer_images\2845802275", "Link")</f>
        <v/>
      </c>
      <c r="L526" t="inlineStr">
        <is>
          <t>V.P.</t>
        </is>
      </c>
      <c r="M526" s="6">
        <f>HYPERLINK("https://www.kleinanzeigen.de/s-bestandsliste.html?userId=10829434", "Link")</f>
        <v/>
      </c>
      <c r="N526" s="7" t="n">
        <v>45536.96825231481</v>
      </c>
      <c r="O526" s="3" t="inlineStr">
        <is>
          <t>73.42</t>
        </is>
      </c>
      <c r="P526" t="inlineStr">
        <is>
          <t>Köln</t>
        </is>
      </c>
    </row>
    <row r="527">
      <c r="A527" t="inlineStr">
        <is>
          <t>North Sails AL-75</t>
        </is>
      </c>
      <c r="B527" s="3" t="n">
        <v>220</v>
      </c>
      <c r="C527" s="8" t="inlineStr"/>
      <c r="D527" t="inlineStr"/>
      <c r="E527" s="4" t="n">
        <v>10</v>
      </c>
      <c r="F527" t="inlineStr"/>
      <c r="G527" t="inlineStr">
        <is>
          <t>81476 München - Thalk.Obersendl.-Forsten-Fürstenr.-Solln</t>
        </is>
      </c>
      <c r="H527" s="5" t="n">
        <v>45536</v>
      </c>
      <c r="I527" t="inlineStr">
        <is>
          <t>Sold</t>
        </is>
      </c>
      <c r="J527" s="6">
        <f>HYPERLINK("https://www.kleinanzeigen.de/s-anzeige/windsurfen/2851330301-230-6436", "Link")</f>
        <v/>
      </c>
      <c r="K527" s="6">
        <f>HYPERLINK("C:\Projects\Kleinanzeigen-Scraper\offer_images\2851330301", "Link")</f>
        <v/>
      </c>
      <c r="L527" t="inlineStr">
        <is>
          <t>R.R</t>
        </is>
      </c>
      <c r="M527" s="6">
        <f>HYPERLINK("https://www.kleinanzeigen.de/s-bestandsliste.html?userId=135566434", "Link")</f>
        <v/>
      </c>
      <c r="N527" s="7" t="n">
        <v>45536.96820601852</v>
      </c>
      <c r="O527" s="3" t="inlineStr">
        <is>
          <t>8.19</t>
        </is>
      </c>
      <c r="P527" t="inlineStr">
        <is>
          <t>München</t>
        </is>
      </c>
    </row>
    <row r="528">
      <c r="A528" t="inlineStr">
        <is>
          <t>enemii</t>
        </is>
      </c>
      <c r="B528" s="3" t="n">
        <v>430</v>
      </c>
      <c r="C528" s="8" t="inlineStr">
        <is>
          <t>100%</t>
        </is>
      </c>
      <c r="D528" t="inlineStr">
        <is>
          <t>RDM</t>
        </is>
      </c>
      <c r="E528" s="4" t="n">
        <v>150</v>
      </c>
      <c r="F528" t="inlineStr"/>
      <c r="G528" t="inlineStr">
        <is>
          <t>31515 Niedersachsen - Wunstorf</t>
        </is>
      </c>
      <c r="H528" s="5" t="n">
        <v>45536</v>
      </c>
      <c r="I528" t="inlineStr">
        <is>
          <t>Sold</t>
        </is>
      </c>
      <c r="J528" s="6">
        <f>HYPERLINK("https://www.kleinanzeigen.de/s-anzeige/enemii-rdm-430-100-carbon-windsurf-mast/2852158558-230-2930", "Link")</f>
        <v/>
      </c>
      <c r="K528" s="6">
        <f>HYPERLINK("C:\Projects\Kleinanzeigen-Scraper\offer_images\2852158558", "Link")</f>
        <v/>
      </c>
      <c r="L528" t="inlineStr">
        <is>
          <t>Björn</t>
        </is>
      </c>
      <c r="M528" s="6">
        <f>HYPERLINK("https://www.kleinanzeigen.de/s-bestandsliste.html?userId=47648804", "Link")</f>
        <v/>
      </c>
      <c r="N528" s="7" t="n">
        <v>45536.96809027778</v>
      </c>
      <c r="O528" s="3" t="inlineStr">
        <is>
          <t>236.47</t>
        </is>
      </c>
      <c r="P528" t="inlineStr">
        <is>
          <t>Köln</t>
        </is>
      </c>
    </row>
    <row r="529">
      <c r="A529" t="inlineStr">
        <is>
          <t>Yes Performance</t>
        </is>
      </c>
      <c r="B529" s="3" t="n">
        <v>430</v>
      </c>
      <c r="C529" s="8" t="inlineStr">
        <is>
          <t>75%</t>
        </is>
      </c>
      <c r="D529" t="inlineStr">
        <is>
          <t>SDM</t>
        </is>
      </c>
      <c r="E529" s="4" t="n">
        <v>100</v>
      </c>
      <c r="F529" t="inlineStr">
        <is>
          <t>VB</t>
        </is>
      </c>
      <c r="G529" t="inlineStr">
        <is>
          <t>18069 Rostock - Reutershagen</t>
        </is>
      </c>
      <c r="H529" s="5" t="n">
        <v>45536</v>
      </c>
      <c r="I529" t="inlineStr">
        <is>
          <t>Sold</t>
        </is>
      </c>
      <c r="J529" s="6">
        <f>HYPERLINK("https://www.kleinanzeigen.de/s-anzeige/430-mast-yes-performance-freeride-wave-freestyle-slalom-windsurf/2851337321-230-159", "Link")</f>
        <v/>
      </c>
      <c r="K529" s="6">
        <f>HYPERLINK("C:\Projects\Kleinanzeigen-Scraper\offer_images\2851337321", "Link")</f>
        <v/>
      </c>
      <c r="L529" t="inlineStr">
        <is>
          <t>MW</t>
        </is>
      </c>
      <c r="M529" s="6">
        <f>HYPERLINK("https://www.kleinanzeigen.de/s-bestandsliste.html?userId=6587328", "Link")</f>
        <v/>
      </c>
      <c r="N529" s="7" t="n">
        <v>45536.96807870371</v>
      </c>
      <c r="O529" s="3" t="inlineStr">
        <is>
          <t>493.58</t>
        </is>
      </c>
      <c r="P529" t="inlineStr">
        <is>
          <t>Köln</t>
        </is>
      </c>
    </row>
    <row r="530">
      <c r="A530" t="inlineStr">
        <is>
          <t>Gunsails Select</t>
        </is>
      </c>
      <c r="B530" s="3" t="n">
        <v>400</v>
      </c>
      <c r="C530" s="8" t="inlineStr">
        <is>
          <t>100%</t>
        </is>
      </c>
      <c r="D530" t="inlineStr">
        <is>
          <t>RDM</t>
        </is>
      </c>
      <c r="E530" s="4" t="n">
        <v>275</v>
      </c>
      <c r="F530" t="inlineStr"/>
      <c r="G530" t="inlineStr">
        <is>
          <t>66125 Saarbrücken-Dudweiler - Dudweiler</t>
        </is>
      </c>
      <c r="H530" s="5" t="n">
        <v>45530</v>
      </c>
      <c r="I530" t="inlineStr">
        <is>
          <t>Sold</t>
        </is>
      </c>
      <c r="J530" s="6">
        <f>HYPERLINK("https://www.kleinanzeigen.de/s-anzeige/gunsails-select-400-windsurf-mast/2846780093-230-390", "Link")</f>
        <v/>
      </c>
      <c r="K530" s="6">
        <f>HYPERLINK("C:\Projects\Kleinanzeigen-Scraper\offer_images\2846780093", "Link")</f>
        <v/>
      </c>
      <c r="L530" t="inlineStr">
        <is>
          <t>florian jung</t>
        </is>
      </c>
      <c r="M530" s="6">
        <f>HYPERLINK("https://www.kleinanzeigen.de/s-bestandsliste.html?userId=35582255", "Link")</f>
        <v/>
      </c>
      <c r="N530" s="7" t="n">
        <v>45536.96807870371</v>
      </c>
      <c r="O530" s="3" t="inlineStr">
        <is>
          <t>104.07</t>
        </is>
      </c>
      <c r="P530" t="inlineStr">
        <is>
          <t>Karlsruhe</t>
        </is>
      </c>
    </row>
    <row r="531">
      <c r="A531" t="inlineStr">
        <is>
          <t>North Sting</t>
        </is>
      </c>
      <c r="B531" s="3" t="n">
        <v>400</v>
      </c>
      <c r="C531" s="8" t="inlineStr"/>
      <c r="D531" t="inlineStr"/>
      <c r="E531" s="4" t="n">
        <v>29</v>
      </c>
      <c r="F531" t="inlineStr">
        <is>
          <t>VB</t>
        </is>
      </c>
      <c r="G531" t="inlineStr">
        <is>
          <t>90766 Fürth</t>
        </is>
      </c>
      <c r="H531" s="5" t="n">
        <v>45535</v>
      </c>
      <c r="I531" t="inlineStr"/>
      <c r="J531" s="6">
        <f>HYPERLINK("https://www.dailydose.de/kleinanzeigen/detail.htm?ai=421863&amp;cf=kk&amp;pg=3&amp;ci=2", "Link")</f>
        <v/>
      </c>
      <c r="K531" s="6">
        <f>HYPERLINK("C:\Projects\Kleinanzeigen-Scraper\offer_images\421863", "Link")</f>
        <v/>
      </c>
      <c r="L531" t="inlineStr">
        <is>
          <t>SR</t>
        </is>
      </c>
      <c r="M531" s="6">
        <f>HYPERLINK("https://www.dailydose.de/kleinanzeigen/user/19806", "Link")</f>
        <v/>
      </c>
      <c r="N531" s="7" t="n">
        <v>45536.91459490741</v>
      </c>
      <c r="O531" s="3" t="inlineStr">
        <is>
          <t>156.36</t>
        </is>
      </c>
      <c r="P531" t="inlineStr">
        <is>
          <t>München</t>
        </is>
      </c>
    </row>
    <row r="532">
      <c r="A532" t="inlineStr">
        <is>
          <t>Freeride Wave MSC 25CC</t>
        </is>
      </c>
      <c r="B532" s="3" t="n">
        <v>465</v>
      </c>
      <c r="C532" s="8" t="inlineStr"/>
      <c r="D532" t="inlineStr"/>
      <c r="E532" s="4" t="n">
        <v>80</v>
      </c>
      <c r="F532" t="inlineStr"/>
      <c r="G532" t="inlineStr">
        <is>
          <t>50999 Köln</t>
        </is>
      </c>
      <c r="H532" s="5" t="n">
        <v>45476</v>
      </c>
      <c r="I532" t="inlineStr"/>
      <c r="J532" s="6">
        <f>HYPERLINK("https://www.dailydose.de/kleinanzeigen/detail.htm?ai=418833&amp;cf=kk&amp;pg=5&amp;ci=2", "Link")</f>
        <v/>
      </c>
      <c r="K532" s="6">
        <f>HYPERLINK("C:\Projects\Kleinanzeigen-Scraper\offer_images\418833", "Link")</f>
        <v/>
      </c>
      <c r="L532" t="inlineStr">
        <is>
          <t>Katja_154</t>
        </is>
      </c>
      <c r="M532" s="6">
        <f>HYPERLINK("https://www.dailydose.de/kleinanzeigen/user/13227", "Link")</f>
        <v/>
      </c>
      <c r="N532" s="7" t="n">
        <v>45536.91459490741</v>
      </c>
      <c r="O532" s="3" t="inlineStr">
        <is>
          <t>7.80</t>
        </is>
      </c>
      <c r="P532" t="inlineStr">
        <is>
          <t>Köln</t>
        </is>
      </c>
    </row>
    <row r="533">
      <c r="A533" t="inlineStr">
        <is>
          <t>Goya</t>
        </is>
      </c>
      <c r="B533" s="3" t="n">
        <v>295</v>
      </c>
      <c r="C533" s="8" t="inlineStr"/>
      <c r="D533" t="inlineStr">
        <is>
          <t>RDM</t>
        </is>
      </c>
      <c r="E533" s="4" t="n">
        <v>150</v>
      </c>
      <c r="F533" t="inlineStr">
        <is>
          <t>VB</t>
        </is>
      </c>
      <c r="G533" t="inlineStr">
        <is>
          <t>85301 Schweitenkirchen</t>
        </is>
      </c>
      <c r="H533" s="5" t="n">
        <v>45487</v>
      </c>
      <c r="I533" t="inlineStr"/>
      <c r="J533" s="6">
        <f>HYPERLINK("https://www.dailydose.de/kleinanzeigen/detail.htm?ai=419372&amp;cf=kk&amp;pg=4&amp;ci=2", "Link")</f>
        <v/>
      </c>
      <c r="K533" s="6">
        <f>HYPERLINK("C:\Projects\Kleinanzeigen-Scraper\offer_images\419372", "Link")</f>
        <v/>
      </c>
      <c r="L533" t="inlineStr">
        <is>
          <t>Michael Lau</t>
        </is>
      </c>
      <c r="M533" s="6">
        <f>HYPERLINK("https://www.dailydose.de/kleinanzeigen/user/16683", "Link")</f>
        <v/>
      </c>
      <c r="N533" s="7" t="n">
        <v>45536.91459490741</v>
      </c>
      <c r="O533" s="3" t="inlineStr">
        <is>
          <t>43.29</t>
        </is>
      </c>
      <c r="P533" t="inlineStr">
        <is>
          <t>München</t>
        </is>
      </c>
    </row>
    <row r="534">
      <c r="A534" t="inlineStr">
        <is>
          <t>Neil Pryde X6</t>
        </is>
      </c>
      <c r="B534" s="3" t="n">
        <v>400</v>
      </c>
      <c r="C534" s="8" t="inlineStr"/>
      <c r="D534" t="inlineStr">
        <is>
          <t>SDM</t>
        </is>
      </c>
      <c r="E534" s="4" t="n">
        <v>170</v>
      </c>
      <c r="F534" t="inlineStr"/>
      <c r="G534" t="inlineStr">
        <is>
          <t>Bremen</t>
        </is>
      </c>
      <c r="H534" s="5" t="n">
        <v>45452</v>
      </c>
      <c r="I534" t="inlineStr"/>
      <c r="J534" s="6">
        <f>HYPERLINK("https://www.dailydose.de/kleinanzeigen/detail.htm?ai=417636&amp;cf=kk&amp;pg=5&amp;ci=2", "Link")</f>
        <v/>
      </c>
      <c r="K534" s="6">
        <f>HYPERLINK("C:\Projects\Kleinanzeigen-Scraper\offer_images\417636", "Link")</f>
        <v/>
      </c>
      <c r="L534" t="inlineStr">
        <is>
          <t>Heisenberg</t>
        </is>
      </c>
      <c r="M534" s="6">
        <f>HYPERLINK("https://www.dailydose.de/kleinanzeigen/user/1637", "Link")</f>
        <v/>
      </c>
      <c r="N534" s="7" t="n">
        <v>45536.91459490741</v>
      </c>
      <c r="O534" s="3" t="inlineStr">
        <is>
          <t>269.36</t>
        </is>
      </c>
      <c r="P534" t="inlineStr">
        <is>
          <t>Köln</t>
        </is>
      </c>
    </row>
    <row r="535">
      <c r="A535" t="inlineStr">
        <is>
          <t>Duotone Platinum Series</t>
        </is>
      </c>
      <c r="B535" s="3" t="n">
        <v>430</v>
      </c>
      <c r="C535" s="8" t="inlineStr"/>
      <c r="D535" t="inlineStr"/>
      <c r="E535" s="4" t="n">
        <v>125</v>
      </c>
      <c r="F535" t="inlineStr"/>
      <c r="G535" t="inlineStr">
        <is>
          <t>24118 Kiel</t>
        </is>
      </c>
      <c r="H535" s="5" t="n">
        <v>45479</v>
      </c>
      <c r="I535" t="inlineStr">
        <is>
          <t>Sold</t>
        </is>
      </c>
      <c r="J535" s="6">
        <f>HYPERLINK("https://www.dailydose.de/kleinanzeigen/detail.htm?ai=418947&amp;cf=kk&amp;pg=4&amp;ci=2", "Link")</f>
        <v/>
      </c>
      <c r="K535" s="6">
        <f>HYPERLINK("C:\Projects\Kleinanzeigen-Scraper\offer_images\418947", "Link")</f>
        <v/>
      </c>
      <c r="L535" t="inlineStr">
        <is>
          <t>Jonas_Naumann</t>
        </is>
      </c>
      <c r="M535" s="6">
        <f>HYPERLINK("https://www.dailydose.de/kleinanzeigen/user/26099", "Link")</f>
        <v/>
      </c>
      <c r="N535" s="7" t="n">
        <v>45536.91456018519</v>
      </c>
      <c r="O535" s="3" t="inlineStr">
        <is>
          <t>434.29</t>
        </is>
      </c>
      <c r="P535" t="inlineStr">
        <is>
          <t>Köln</t>
        </is>
      </c>
    </row>
    <row r="536">
      <c r="A536" t="inlineStr">
        <is>
          <t>Severne Mast IQ Foil RDM Blue</t>
        </is>
      </c>
      <c r="B536" s="3" t="n">
        <v>460</v>
      </c>
      <c r="C536" s="8" t="inlineStr"/>
      <c r="D536" t="inlineStr">
        <is>
          <t>RDM</t>
        </is>
      </c>
      <c r="E536" s="4" t="n">
        <v>375</v>
      </c>
      <c r="F536" t="inlineStr">
        <is>
          <t>VB</t>
        </is>
      </c>
      <c r="G536" t="inlineStr">
        <is>
          <t>25704 Meldorf</t>
        </is>
      </c>
      <c r="H536" s="5" t="n">
        <v>45454</v>
      </c>
      <c r="I536" t="inlineStr"/>
      <c r="J536" s="6">
        <f>HYPERLINK("https://www.dailydose.de/kleinanzeigen/detail.htm?ai=417680&amp;cf=kk&amp;pg=5&amp;ci=2", "Link")</f>
        <v/>
      </c>
      <c r="K536" s="6">
        <f>HYPERLINK("C:\Projects\Kleinanzeigen-Scraper\offer_images\417680", "Link")</f>
        <v/>
      </c>
      <c r="L536" t="inlineStr">
        <is>
          <t>Bergmann</t>
        </is>
      </c>
      <c r="M536" s="6">
        <f>HYPERLINK("https://www.dailydose.de/kleinanzeigen/user/20016", "Link")</f>
        <v/>
      </c>
      <c r="N536" s="7" t="n">
        <v>45536.91449074074</v>
      </c>
      <c r="O536" s="3" t="inlineStr">
        <is>
          <t>379.74</t>
        </is>
      </c>
      <c r="P536" t="inlineStr">
        <is>
          <t>Köln</t>
        </is>
      </c>
    </row>
    <row r="537">
      <c r="A537" t="inlineStr">
        <is>
          <t>North Sails Silver</t>
        </is>
      </c>
      <c r="B537" s="3" t="n">
        <v>430</v>
      </c>
      <c r="C537" s="8" t="inlineStr"/>
      <c r="D537" t="inlineStr">
        <is>
          <t>SDM</t>
        </is>
      </c>
      <c r="E537" s="4" t="n">
        <v>140</v>
      </c>
      <c r="F537" t="inlineStr"/>
      <c r="G537" t="inlineStr">
        <is>
          <t>87642 Buching</t>
        </is>
      </c>
      <c r="H537" s="5" t="n">
        <v>45435</v>
      </c>
      <c r="I537" t="inlineStr">
        <is>
          <t>Sold</t>
        </is>
      </c>
      <c r="J537" s="6">
        <f>HYPERLINK("https://www.dailydose.de/kleinanzeigen/detail.htm?ai=416518&amp;cf=kk&amp;pg=5&amp;ci=2", "Link")</f>
        <v/>
      </c>
      <c r="K537" s="6">
        <f>HYPERLINK("C:\Projects\Kleinanzeigen-Scraper\offer_images\416518", "Link")</f>
        <v/>
      </c>
      <c r="L537" t="inlineStr">
        <is>
          <t>Wolfgang_15</t>
        </is>
      </c>
      <c r="M537" s="6">
        <f>HYPERLINK("https://www.dailydose.de/kleinanzeigen/user/24981", "Link")</f>
        <v/>
      </c>
      <c r="N537" s="7" t="n">
        <v>45536.91445601852</v>
      </c>
      <c r="O537" s="3" t="inlineStr">
        <is>
          <t>78.22</t>
        </is>
      </c>
      <c r="P537" t="inlineStr">
        <is>
          <t>München</t>
        </is>
      </c>
    </row>
    <row r="538">
      <c r="A538" t="inlineStr">
        <is>
          <t>Severne Apex</t>
        </is>
      </c>
      <c r="B538" s="3" t="n">
        <v>530</v>
      </c>
      <c r="C538" s="8" t="inlineStr"/>
      <c r="D538" t="inlineStr"/>
      <c r="E538" s="4" t="n">
        <v>430</v>
      </c>
      <c r="F538" t="inlineStr">
        <is>
          <t>VB</t>
        </is>
      </c>
      <c r="G538" t="inlineStr">
        <is>
          <t>31535 Neustadt / Hannover</t>
        </is>
      </c>
      <c r="H538" s="5" t="n">
        <v>45460</v>
      </c>
      <c r="I538" t="inlineStr"/>
      <c r="J538" s="6">
        <f>HYPERLINK("https://www.dailydose.de/kleinanzeigen/detail.htm?ai=418035&amp;cf=kk&amp;pg=5&amp;ci=2", "Link")</f>
        <v/>
      </c>
      <c r="K538" s="6">
        <f>HYPERLINK("C:\Projects\Kleinanzeigen-Scraper\offer_images\418035", "Link")</f>
        <v/>
      </c>
      <c r="L538" t="inlineStr">
        <is>
          <t>Tim Wunderlich</t>
        </is>
      </c>
      <c r="M538" s="6">
        <f>HYPERLINK("https://www.dailydose.de/kleinanzeigen/user/23695", "Link")</f>
        <v/>
      </c>
      <c r="N538" s="7" t="n">
        <v>45536.91442129629</v>
      </c>
      <c r="O538" s="3" t="inlineStr">
        <is>
          <t>248.74</t>
        </is>
      </c>
      <c r="P538" t="inlineStr">
        <is>
          <t>Köln</t>
        </is>
      </c>
    </row>
    <row r="539">
      <c r="A539" t="inlineStr">
        <is>
          <t>CAAS</t>
        </is>
      </c>
      <c r="B539" s="3" t="n">
        <v>430</v>
      </c>
      <c r="C539" s="8" t="inlineStr">
        <is>
          <t>100%</t>
        </is>
      </c>
      <c r="D539" t="inlineStr">
        <is>
          <t>SDM</t>
        </is>
      </c>
      <c r="E539" s="4" t="n">
        <v>75</v>
      </c>
      <c r="F539" t="inlineStr"/>
      <c r="G539" t="inlineStr">
        <is>
          <t>23816</t>
        </is>
      </c>
      <c r="H539" s="5" t="n">
        <v>45526</v>
      </c>
      <c r="I539" t="inlineStr">
        <is>
          <t>Sold</t>
        </is>
      </c>
      <c r="J539" s="6">
        <f>HYPERLINK("https://www.dailydose.de/kleinanzeigen/detail.htm?ai=421266&amp;cf=kk&amp;pg=3&amp;ci=2", "Link")</f>
        <v/>
      </c>
      <c r="K539" s="6">
        <f>HYPERLINK("C:\Projects\Kleinanzeigen-Scraper\offer_images\421266", "Link")</f>
        <v/>
      </c>
      <c r="L539" t="inlineStr">
        <is>
          <t>henning_167</t>
        </is>
      </c>
      <c r="M539" s="6">
        <f>HYPERLINK("https://www.dailydose.de/kleinanzeigen/user/10083", "Link")</f>
        <v/>
      </c>
      <c r="N539" s="7" t="n">
        <v>45536.91442129629</v>
      </c>
      <c r="O539" s="3" t="inlineStr">
        <is>
          <t>393.75</t>
        </is>
      </c>
      <c r="P539" t="inlineStr">
        <is>
          <t>Köln</t>
        </is>
      </c>
    </row>
    <row r="540">
      <c r="A540" t="inlineStr">
        <is>
          <t>North Sails</t>
        </is>
      </c>
      <c r="B540" s="3" t="n">
        <v>370</v>
      </c>
      <c r="C540" s="8" t="inlineStr">
        <is>
          <t>70%</t>
        </is>
      </c>
      <c r="D540" t="inlineStr"/>
      <c r="E540" s="4" t="n">
        <v>199</v>
      </c>
      <c r="F540" t="inlineStr">
        <is>
          <t>VB</t>
        </is>
      </c>
      <c r="G540" t="inlineStr">
        <is>
          <t>91126 Schwabach</t>
        </is>
      </c>
      <c r="H540" s="5" t="n">
        <v>45501</v>
      </c>
      <c r="I540" t="inlineStr">
        <is>
          <t>Sold</t>
        </is>
      </c>
      <c r="J540" s="6">
        <f>HYPERLINK("https://www.dailydose.de/kleinanzeigen/detail.htm?ai=420077&amp;cf=kk&amp;pg=3&amp;ci=2", "Link")</f>
        <v/>
      </c>
      <c r="K540" s="6">
        <f>HYPERLINK("C:\Projects\Kleinanzeigen-Scraper\offer_images\420077", "Link")</f>
        <v/>
      </c>
      <c r="L540" t="inlineStr">
        <is>
          <t>ulf-de-wolf</t>
        </is>
      </c>
      <c r="M540" s="6">
        <f>HYPERLINK("https://www.dailydose.de/kleinanzeigen/user/24270", "Link")</f>
        <v/>
      </c>
      <c r="N540" s="7" t="n">
        <v>45536.91442129629</v>
      </c>
      <c r="O540" s="3" t="inlineStr">
        <is>
          <t>137.42</t>
        </is>
      </c>
      <c r="P540" t="inlineStr">
        <is>
          <t>München</t>
        </is>
      </c>
    </row>
    <row r="541">
      <c r="A541" t="inlineStr">
        <is>
          <t>Neilpryde Matrix65</t>
        </is>
      </c>
      <c r="B541" s="3" t="n">
        <v>430</v>
      </c>
      <c r="C541" s="8" t="inlineStr"/>
      <c r="D541" t="inlineStr">
        <is>
          <t>RDM</t>
        </is>
      </c>
      <c r="E541" s="4" t="n">
        <v>180</v>
      </c>
      <c r="F541" t="inlineStr"/>
      <c r="G541" t="inlineStr">
        <is>
          <t>21635 Jork</t>
        </is>
      </c>
      <c r="H541" s="5" t="n">
        <v>45457</v>
      </c>
      <c r="I541" t="inlineStr"/>
      <c r="J541" s="6">
        <f>HYPERLINK("https://www.dailydose.de/kleinanzeigen/detail.htm?ai=417874&amp;cf=kk&amp;pg=5&amp;ci=2", "Link")</f>
        <v/>
      </c>
      <c r="K541" s="6">
        <f>HYPERLINK("C:\Projects\Kleinanzeigen-Scraper\offer_images\417874", "Link")</f>
        <v/>
      </c>
      <c r="L541" t="inlineStr">
        <is>
          <t>Jarne</t>
        </is>
      </c>
      <c r="M541" s="6">
        <f>HYPERLINK("https://www.dailydose.de/kleinanzeigen/user/11845", "Link")</f>
        <v/>
      </c>
      <c r="N541" s="7" t="n">
        <v>45536.91442129629</v>
      </c>
      <c r="O541" s="3" t="inlineStr">
        <is>
          <t>343.43</t>
        </is>
      </c>
      <c r="P541" t="inlineStr">
        <is>
          <t>Köln</t>
        </is>
      </c>
    </row>
    <row r="542">
      <c r="A542" t="inlineStr">
        <is>
          <t>Neil Pryde TPX 100</t>
        </is>
      </c>
      <c r="B542" s="3" t="n">
        <v>430</v>
      </c>
      <c r="C542" s="8" t="inlineStr">
        <is>
          <t>100%</t>
        </is>
      </c>
      <c r="D542" t="inlineStr">
        <is>
          <t>SDM</t>
        </is>
      </c>
      <c r="E542" s="4" t="n">
        <v>450</v>
      </c>
      <c r="F542" t="inlineStr"/>
      <c r="G542" t="inlineStr">
        <is>
          <t>82211 Herrsching a. Ammersee</t>
        </is>
      </c>
      <c r="H542" s="5" t="n">
        <v>45428</v>
      </c>
      <c r="I542" t="inlineStr">
        <is>
          <t>Sold</t>
        </is>
      </c>
      <c r="J542" s="6">
        <f>HYPERLINK("https://www.dailydose.de/kleinanzeigen/detail.htm?ai=416151&amp;cf=kk&amp;pg=5&amp;ci=2", "Link")</f>
        <v/>
      </c>
      <c r="K542" s="6">
        <f>HYPERLINK("C:\Projects\Kleinanzeigen-Scraper\offer_images\416151", "Link")</f>
        <v/>
      </c>
      <c r="L542" t="inlineStr">
        <is>
          <t>Andy Laufer_62</t>
        </is>
      </c>
      <c r="M542" s="6">
        <f>HYPERLINK("https://www.dailydose.de/kleinanzeigen/user/3717", "Link")</f>
        <v/>
      </c>
      <c r="N542" s="7" t="n">
        <v>45536.91436342592</v>
      </c>
      <c r="O542" s="3" t="inlineStr">
        <is>
          <t>32.73</t>
        </is>
      </c>
      <c r="P542" t="inlineStr">
        <is>
          <t>München</t>
        </is>
      </c>
    </row>
    <row r="543">
      <c r="A543" t="inlineStr">
        <is>
          <t>Unifiber</t>
        </is>
      </c>
      <c r="B543" s="3" t="n">
        <v>400</v>
      </c>
      <c r="C543" s="8" t="inlineStr">
        <is>
          <t>100%</t>
        </is>
      </c>
      <c r="D543" t="inlineStr">
        <is>
          <t>RDM</t>
        </is>
      </c>
      <c r="E543" s="4" t="n">
        <v>250</v>
      </c>
      <c r="F543" t="inlineStr"/>
      <c r="G543" t="inlineStr">
        <is>
          <t>86807 Buchloe</t>
        </is>
      </c>
      <c r="H543" s="5" t="n">
        <v>45531</v>
      </c>
      <c r="I543" t="inlineStr"/>
      <c r="J543" s="6">
        <f>HYPERLINK("https://www.dailydose.de/kleinanzeigen/detail.htm?ai=421607&amp;cf=kk&amp;pg=3&amp;ci=2", "Link")</f>
        <v/>
      </c>
      <c r="K543" s="6">
        <f>HYPERLINK("C:\Projects\Kleinanzeigen-Scraper\offer_images\421607", "Link")</f>
        <v/>
      </c>
      <c r="L543" t="inlineStr">
        <is>
          <t>surficus_84</t>
        </is>
      </c>
      <c r="M543" s="6">
        <f>HYPERLINK("https://www.dailydose.de/kleinanzeigen/user/22532", "Link")</f>
        <v/>
      </c>
      <c r="N543" s="7" t="n">
        <v>45536.91436342592</v>
      </c>
      <c r="O543" s="3" t="inlineStr">
        <is>
          <t>63.47</t>
        </is>
      </c>
      <c r="P543" t="inlineStr">
        <is>
          <t>München</t>
        </is>
      </c>
    </row>
    <row r="544">
      <c r="A544" t="inlineStr">
        <is>
          <t>Neil Pryde X6</t>
        </is>
      </c>
      <c r="B544" s="3" t="n">
        <v>460</v>
      </c>
      <c r="C544" s="8" t="inlineStr">
        <is>
          <t>80%</t>
        </is>
      </c>
      <c r="D544" t="inlineStr">
        <is>
          <t>SDM</t>
        </is>
      </c>
      <c r="E544" s="4" t="n">
        <v>150</v>
      </c>
      <c r="F544" t="inlineStr">
        <is>
          <t>VB</t>
        </is>
      </c>
      <c r="G544" t="inlineStr">
        <is>
          <t>23769 Fehmarn</t>
        </is>
      </c>
      <c r="H544" s="5" t="n">
        <v>45526</v>
      </c>
      <c r="I544" t="inlineStr">
        <is>
          <t>Sold</t>
        </is>
      </c>
      <c r="J544" s="6">
        <f>HYPERLINK("https://www.dailydose.de/kleinanzeigen/detail.htm?ai=421281&amp;cf=kk&amp;pg=2&amp;ci=2", "Link")</f>
        <v/>
      </c>
      <c r="K544" s="6">
        <f>HYPERLINK("C:\Projects\Kleinanzeigen-Scraper\offer_images\421281", "Link")</f>
        <v/>
      </c>
      <c r="L544" t="inlineStr">
        <is>
          <t>Insider</t>
        </is>
      </c>
      <c r="M544" s="6">
        <f>HYPERLINK("https://www.dailydose.de/kleinanzeigen/user/20603", "Link")</f>
        <v/>
      </c>
      <c r="N544" s="7" t="n">
        <v>45536.91436342592</v>
      </c>
      <c r="O544" s="3" t="inlineStr">
        <is>
          <t>483.01</t>
        </is>
      </c>
      <c r="P544" t="inlineStr">
        <is>
          <t>Köln</t>
        </is>
      </c>
    </row>
    <row r="545">
      <c r="A545" t="inlineStr">
        <is>
          <t>Severne Gorilla RDM CC</t>
        </is>
      </c>
      <c r="B545" s="3" t="n">
        <v>400</v>
      </c>
      <c r="C545" s="8" t="inlineStr"/>
      <c r="D545" t="inlineStr">
        <is>
          <t>RDM</t>
        </is>
      </c>
      <c r="E545" s="4" t="n">
        <v>320</v>
      </c>
      <c r="F545" t="inlineStr"/>
      <c r="G545" t="inlineStr">
        <is>
          <t>München</t>
        </is>
      </c>
      <c r="H545" s="5" t="n">
        <v>45514</v>
      </c>
      <c r="I545" t="inlineStr"/>
      <c r="J545" s="6">
        <f>HYPERLINK("https://www.dailydose.de/kleinanzeigen/detail.htm?ai=420687&amp;cf=kk&amp;pg=4&amp;ci=2", "Link")</f>
        <v/>
      </c>
      <c r="K545" s="6">
        <f>HYPERLINK("C:\Projects\Kleinanzeigen-Scraper\offer_images\420687", "Link")</f>
        <v/>
      </c>
      <c r="L545" t="inlineStr">
        <is>
          <t>OntheRocks</t>
        </is>
      </c>
      <c r="M545" s="6">
        <f>HYPERLINK("https://www.dailydose.de/kleinanzeigen/user/18001", "Link")</f>
        <v/>
      </c>
      <c r="N545" s="7" t="n">
        <v>45536.9143287037</v>
      </c>
      <c r="O545" s="3" t="inlineStr">
        <is>
          <t>0.21</t>
        </is>
      </c>
      <c r="P545" t="inlineStr">
        <is>
          <t>München</t>
        </is>
      </c>
    </row>
    <row r="546">
      <c r="A546" t="inlineStr">
        <is>
          <t>North Sting</t>
        </is>
      </c>
      <c r="B546" s="3" t="n">
        <v>460</v>
      </c>
      <c r="C546" s="8" t="inlineStr">
        <is>
          <t>30%</t>
        </is>
      </c>
      <c r="D546" t="inlineStr">
        <is>
          <t>SDM</t>
        </is>
      </c>
      <c r="E546" s="4" t="n">
        <v>40</v>
      </c>
      <c r="F546" t="inlineStr"/>
      <c r="G546" t="inlineStr">
        <is>
          <t>22337 Hamburg</t>
        </is>
      </c>
      <c r="H546" s="5" t="n">
        <v>45470</v>
      </c>
      <c r="I546" t="inlineStr"/>
      <c r="J546" s="6">
        <f>HYPERLINK("https://www.dailydose.de/kleinanzeigen/detail.htm?ai=418509&amp;cf=kk&amp;pg=5&amp;ci=2", "Link")</f>
        <v/>
      </c>
      <c r="K546" s="6">
        <f>HYPERLINK("C:\Projects\Kleinanzeigen-Scraper\offer_images\418509", "Link")</f>
        <v/>
      </c>
      <c r="L546" t="inlineStr">
        <is>
          <t>Hacki-HH</t>
        </is>
      </c>
      <c r="M546" s="6">
        <f>HYPERLINK("https://www.dailydose.de/kleinanzeigen/user/26148", "Link")</f>
        <v/>
      </c>
      <c r="N546" s="7" t="n">
        <v>45536.9143287037</v>
      </c>
      <c r="O546" s="3" t="inlineStr">
        <is>
          <t>365.38</t>
        </is>
      </c>
      <c r="P546" t="inlineStr">
        <is>
          <t>Köln</t>
        </is>
      </c>
    </row>
    <row r="547">
      <c r="A547" t="inlineStr">
        <is>
          <t>Neilpryde X9</t>
        </is>
      </c>
      <c r="B547" s="3" t="inlineStr">
        <is>
          <t>180-230, 200-250</t>
        </is>
      </c>
      <c r="C547" s="8" t="inlineStr"/>
      <c r="D547" t="inlineStr"/>
      <c r="E547" s="4" t="n">
        <v>275</v>
      </c>
      <c r="F547" t="inlineStr"/>
      <c r="G547" t="inlineStr">
        <is>
          <t>80999 München</t>
        </is>
      </c>
      <c r="H547" s="5" t="n">
        <v>45479</v>
      </c>
      <c r="I547" t="inlineStr"/>
      <c r="J547" s="6">
        <f>HYPERLINK("https://www.dailydose.de/kleinanzeigen/detail.htm?ai=418940&amp;cf=kk&amp;pg=4&amp;ci=13", "Link")</f>
        <v/>
      </c>
      <c r="K547" s="6">
        <f>HYPERLINK("C:\Projects\Kleinanzeigen-Scraper\offer_images\418940", "Link")</f>
        <v/>
      </c>
      <c r="L547" t="inlineStr">
        <is>
          <t>Frank_60</t>
        </is>
      </c>
      <c r="M547" s="6">
        <f>HYPERLINK("https://www.dailydose.de/kleinanzeigen/user/3348", "Link")</f>
        <v/>
      </c>
      <c r="N547" s="7" t="n">
        <v>45536.9143287037</v>
      </c>
      <c r="O547" s="3" t="inlineStr">
        <is>
          <t>11.32</t>
        </is>
      </c>
      <c r="P547" t="inlineStr">
        <is>
          <t>München</t>
        </is>
      </c>
    </row>
    <row r="548">
      <c r="A548" t="inlineStr">
        <is>
          <t>Pro Limit</t>
        </is>
      </c>
      <c r="B548" s="3" t="n">
        <v>430</v>
      </c>
      <c r="C548" s="8" t="inlineStr">
        <is>
          <t>60%</t>
        </is>
      </c>
      <c r="D548" t="inlineStr">
        <is>
          <t>RDM</t>
        </is>
      </c>
      <c r="E548" s="4" t="n">
        <v>99</v>
      </c>
      <c r="F548" t="inlineStr"/>
      <c r="G548" t="inlineStr">
        <is>
          <t>86179 Augsburg</t>
        </is>
      </c>
      <c r="H548" s="5" t="n">
        <v>45495</v>
      </c>
      <c r="I548" t="inlineStr"/>
      <c r="J548" s="6">
        <f>HYPERLINK("https://www.dailydose.de/kleinanzeigen/detail.htm?ai=419840&amp;cf=kk&amp;pg=4&amp;ci=2", "Link")</f>
        <v/>
      </c>
      <c r="K548" s="6">
        <f>HYPERLINK("C:\Projects\Kleinanzeigen-Scraper\offer_images\419840", "Link")</f>
        <v/>
      </c>
      <c r="L548" t="inlineStr">
        <is>
          <t>Surfbirdy</t>
        </is>
      </c>
      <c r="M548" s="6">
        <f>HYPERLINK("https://www.dailydose.de/kleinanzeigen/user/1947", "Link")</f>
        <v/>
      </c>
      <c r="N548" s="7" t="n">
        <v>45536.91429398148</v>
      </c>
      <c r="O548" s="3" t="inlineStr">
        <is>
          <t>51.96</t>
        </is>
      </c>
      <c r="P548" t="inlineStr">
        <is>
          <t>München</t>
        </is>
      </c>
    </row>
    <row r="549">
      <c r="A549" t="inlineStr">
        <is>
          <t>CAAS Power Wave</t>
        </is>
      </c>
      <c r="B549" s="3" t="n">
        <v>400</v>
      </c>
      <c r="C549" s="8" t="n">
        <v>100</v>
      </c>
      <c r="D549" t="inlineStr">
        <is>
          <t>RDM</t>
        </is>
      </c>
      <c r="E549" s="4" t="n">
        <v>220</v>
      </c>
      <c r="F549" t="inlineStr"/>
      <c r="G549" t="inlineStr">
        <is>
          <t>38104 Braunschweig</t>
        </is>
      </c>
      <c r="H549" s="5" t="n">
        <v>45534</v>
      </c>
      <c r="I549" t="inlineStr">
        <is>
          <t>Sold</t>
        </is>
      </c>
      <c r="J549" s="6">
        <f>HYPERLINK("https://www.dailydose.de/kleinanzeigen/detail.htm?ai=421761&amp;cf=kk&amp;pg=3&amp;ci=2", "Link")</f>
        <v/>
      </c>
      <c r="K549" s="6">
        <f>HYPERLINK("C:\Projects\Kleinanzeigen-Scraper\offer_images\421761", "Link")</f>
        <v/>
      </c>
      <c r="L549" t="inlineStr">
        <is>
          <t>Matthias_14</t>
        </is>
      </c>
      <c r="M549" s="6">
        <f>HYPERLINK("https://www.dailydose.de/kleinanzeigen/user/14805", "Link")</f>
        <v/>
      </c>
      <c r="N549" s="7" t="n">
        <v>45536.91425925926</v>
      </c>
      <c r="O549" s="3" t="inlineStr">
        <is>
          <t>291.30</t>
        </is>
      </c>
      <c r="P549" t="inlineStr">
        <is>
          <t>Köln</t>
        </is>
      </c>
    </row>
    <row r="550">
      <c r="A550" t="inlineStr">
        <is>
          <t>North Gold</t>
        </is>
      </c>
      <c r="B550" s="3" t="n">
        <v>400</v>
      </c>
      <c r="C550" s="8" t="inlineStr">
        <is>
          <t>75%</t>
        </is>
      </c>
      <c r="D550" t="inlineStr"/>
      <c r="E550" s="4" t="n">
        <v>100</v>
      </c>
      <c r="F550" t="inlineStr"/>
      <c r="G550" t="inlineStr">
        <is>
          <t>22926 Ahrensburg</t>
        </is>
      </c>
      <c r="H550" s="5" t="n">
        <v>45472</v>
      </c>
      <c r="I550" t="inlineStr"/>
      <c r="J550" s="6">
        <f>HYPERLINK("https://www.dailydose.de/kleinanzeigen/detail.htm?ai=418617&amp;cf=kk&amp;pg=5&amp;ci=2", "Link")</f>
        <v/>
      </c>
      <c r="K550" s="6">
        <f>HYPERLINK("C:\Projects\Kleinanzeigen-Scraper\offer_images\418617", "Link")</f>
        <v/>
      </c>
      <c r="L550" t="inlineStr">
        <is>
          <t>Tim_5</t>
        </is>
      </c>
      <c r="M550" s="6">
        <f>HYPERLINK("https://www.dailydose.de/kleinanzeigen/user/22899", "Link")</f>
        <v/>
      </c>
      <c r="N550" s="7" t="n">
        <v>45536.91425925926</v>
      </c>
      <c r="O550" s="3" t="inlineStr">
        <is>
          <t>377.16</t>
        </is>
      </c>
      <c r="P550" t="inlineStr">
        <is>
          <t>Köln</t>
        </is>
      </c>
    </row>
    <row r="551">
      <c r="A551" t="inlineStr">
        <is>
          <t>Sailoft Red line</t>
        </is>
      </c>
      <c r="B551" s="3" t="n">
        <v>520</v>
      </c>
      <c r="C551" s="8" t="inlineStr">
        <is>
          <t>100%</t>
        </is>
      </c>
      <c r="D551" t="inlineStr"/>
      <c r="E551" s="4" t="n">
        <v>189</v>
      </c>
      <c r="F551" t="inlineStr">
        <is>
          <t>VB</t>
        </is>
      </c>
      <c r="G551" t="inlineStr">
        <is>
          <t>90766 Fürth</t>
        </is>
      </c>
      <c r="H551" s="5" t="n">
        <v>45504</v>
      </c>
      <c r="I551" t="inlineStr"/>
      <c r="J551" s="6">
        <f>HYPERLINK("https://www.dailydose.de/kleinanzeigen/detail.htm?ai=420215&amp;cf=kk&amp;pg=4&amp;ci=2", "Link")</f>
        <v/>
      </c>
      <c r="K551" s="6">
        <f>HYPERLINK("C:\Projects\Kleinanzeigen-Scraper\offer_images\420215", "Link")</f>
        <v/>
      </c>
      <c r="L551" t="inlineStr">
        <is>
          <t>SR</t>
        </is>
      </c>
      <c r="M551" s="6">
        <f>HYPERLINK("https://www.dailydose.de/kleinanzeigen/user/19806", "Link")</f>
        <v/>
      </c>
      <c r="N551" s="7" t="n">
        <v>45536.91413194445</v>
      </c>
      <c r="O551" s="3" t="inlineStr">
        <is>
          <t>156.36</t>
        </is>
      </c>
      <c r="P551" t="inlineStr">
        <is>
          <t>München</t>
        </is>
      </c>
    </row>
    <row r="552">
      <c r="A552" t="inlineStr">
        <is>
          <t>Severne Gorilla</t>
        </is>
      </c>
      <c r="B552" s="3" t="n">
        <v>430</v>
      </c>
      <c r="C552" s="8" t="inlineStr">
        <is>
          <t>75%</t>
        </is>
      </c>
      <c r="D552" t="inlineStr"/>
      <c r="E552" s="4" t="n">
        <v>250</v>
      </c>
      <c r="F552" t="inlineStr"/>
      <c r="G552" t="inlineStr">
        <is>
          <t>22083 Hamburg</t>
        </is>
      </c>
      <c r="H552" s="5" t="n">
        <v>45485</v>
      </c>
      <c r="I552" t="inlineStr"/>
      <c r="J552" s="6">
        <f>HYPERLINK("https://www.dailydose.de/kleinanzeigen/detail.htm?ai=419240&amp;cf=kk&amp;pg=5&amp;ci=2", "Link")</f>
        <v/>
      </c>
      <c r="K552" s="6">
        <f>HYPERLINK("C:\Projects\Kleinanzeigen-Scraper\offer_images\419240", "Link")</f>
        <v/>
      </c>
      <c r="L552" t="inlineStr">
        <is>
          <t>Chris_56</t>
        </is>
      </c>
      <c r="M552" s="6">
        <f>HYPERLINK("https://www.dailydose.de/kleinanzeigen/user/5988", "Link")</f>
        <v/>
      </c>
      <c r="N552" s="7" t="n">
        <v>45536.91413194445</v>
      </c>
      <c r="O552" s="3" t="inlineStr">
        <is>
          <t>360.58</t>
        </is>
      </c>
      <c r="P552" t="inlineStr">
        <is>
          <t>Köln</t>
        </is>
      </c>
    </row>
    <row r="553">
      <c r="A553" t="inlineStr">
        <is>
          <t>NeilPryde CK 75</t>
        </is>
      </c>
      <c r="B553" s="3" t="n">
        <v>460</v>
      </c>
      <c r="C553" s="8" t="inlineStr"/>
      <c r="D553" t="inlineStr">
        <is>
          <t>SDM</t>
        </is>
      </c>
      <c r="E553" s="4" t="n">
        <v>45</v>
      </c>
      <c r="F553" t="inlineStr">
        <is>
          <t>VB</t>
        </is>
      </c>
      <c r="G553" t="inlineStr">
        <is>
          <t>82205 Gilching</t>
        </is>
      </c>
      <c r="H553" s="5" t="n">
        <v>45533</v>
      </c>
      <c r="I553" t="inlineStr"/>
      <c r="J553" s="6">
        <f>HYPERLINK("https://www.dailydose.de/kleinanzeigen/detail.htm?ai=421700&amp;cf=kk&amp;pg=3&amp;ci=2", "Link")</f>
        <v/>
      </c>
      <c r="K553" s="6">
        <f>HYPERLINK("C:\Projects\Kleinanzeigen-Scraper\offer_images\421700", "Link")</f>
        <v/>
      </c>
      <c r="L553" t="inlineStr">
        <is>
          <t>algla</t>
        </is>
      </c>
      <c r="M553" s="6">
        <f>HYPERLINK("https://www.dailydose.de/kleinanzeigen/user/3111", "Link")</f>
        <v/>
      </c>
      <c r="N553" s="7" t="n">
        <v>45536.91409722222</v>
      </c>
      <c r="O553" s="3" t="inlineStr">
        <is>
          <t>23.04</t>
        </is>
      </c>
      <c r="P553" t="inlineStr">
        <is>
          <t>München</t>
        </is>
      </c>
    </row>
    <row r="554">
      <c r="A554" t="inlineStr">
        <is>
          <t>Severne ApexPro</t>
        </is>
      </c>
      <c r="B554" s="3" t="n">
        <v>460</v>
      </c>
      <c r="C554" s="8" t="inlineStr"/>
      <c r="D554" t="inlineStr"/>
      <c r="E554" s="4" t="inlineStr"/>
      <c r="F554" t="inlineStr">
        <is>
          <t>VB</t>
        </is>
      </c>
      <c r="G554" t="inlineStr">
        <is>
          <t>Thüringen</t>
        </is>
      </c>
      <c r="H554" s="5" t="n">
        <v>45529</v>
      </c>
      <c r="I554" t="inlineStr"/>
      <c r="J554" s="6">
        <f>HYPERLINK("https://www.dailydose.de/kleinanzeigen/detail.htm?ai=421418&amp;cf=kk&amp;pg=3&amp;ci=2", "Link")</f>
        <v/>
      </c>
      <c r="K554" s="6">
        <f>HYPERLINK("C:\Projects\Kleinanzeigen-Scraper\offer_images\421418", "Link")</f>
        <v/>
      </c>
      <c r="L554" t="inlineStr">
        <is>
          <t>Patrick_SOK</t>
        </is>
      </c>
      <c r="M554" s="6">
        <f>HYPERLINK("https://www.dailydose.de/kleinanzeigen/user/915", "Link")</f>
        <v/>
      </c>
      <c r="N554" s="7" t="n">
        <v>45536.9140625</v>
      </c>
      <c r="O554" s="3" t="inlineStr">
        <is>
          <t>283.10</t>
        </is>
      </c>
      <c r="P554" t="inlineStr">
        <is>
          <t>Karlsruhe</t>
        </is>
      </c>
    </row>
    <row r="555">
      <c r="A555" t="inlineStr">
        <is>
          <t>Neil Pryde X6</t>
        </is>
      </c>
      <c r="B555" s="3" t="n">
        <v>460</v>
      </c>
      <c r="C555" s="8" t="inlineStr">
        <is>
          <t>60%</t>
        </is>
      </c>
      <c r="D555" t="inlineStr">
        <is>
          <t>SDM</t>
        </is>
      </c>
      <c r="E555" s="4" t="n">
        <v>50</v>
      </c>
      <c r="F555" t="inlineStr">
        <is>
          <t>VB</t>
        </is>
      </c>
      <c r="G555" t="inlineStr">
        <is>
          <t>48249 Dülmen</t>
        </is>
      </c>
      <c r="H555" s="5" t="n">
        <v>45496</v>
      </c>
      <c r="I555" t="inlineStr"/>
      <c r="J555" s="6">
        <f>HYPERLINK("https://www.dailydose.de/kleinanzeigen/detail.htm?ai=419865&amp;cf=kk&amp;pg=4&amp;ci=2", "Link")</f>
        <v/>
      </c>
      <c r="K555" s="6">
        <f>HYPERLINK("C:\Projects\Kleinanzeigen-Scraper\offer_images\419865", "Link")</f>
        <v/>
      </c>
      <c r="L555" t="inlineStr">
        <is>
          <t>Jochen_197</t>
        </is>
      </c>
      <c r="M555" s="6">
        <f>HYPERLINK("https://www.dailydose.de/kleinanzeigen/user/12170", "Link")</f>
        <v/>
      </c>
      <c r="N555" s="7" t="n">
        <v>45536.9140625</v>
      </c>
      <c r="O555" s="3" t="inlineStr">
        <is>
          <t>105.23</t>
        </is>
      </c>
      <c r="P555" t="inlineStr">
        <is>
          <t>Köln</t>
        </is>
      </c>
    </row>
    <row r="556">
      <c r="A556" t="inlineStr">
        <is>
          <t>Fiberspar</t>
        </is>
      </c>
      <c r="B556" s="3" t="n">
        <v>450</v>
      </c>
      <c r="C556" s="8" t="inlineStr">
        <is>
          <t>40%</t>
        </is>
      </c>
      <c r="D556" t="inlineStr"/>
      <c r="E556" s="4" t="n">
        <v>40</v>
      </c>
      <c r="F556" t="inlineStr"/>
      <c r="G556" t="inlineStr">
        <is>
          <t>59425 Unna</t>
        </is>
      </c>
      <c r="H556" s="5" t="n">
        <v>45487</v>
      </c>
      <c r="I556" t="inlineStr"/>
      <c r="J556" s="6">
        <f>HYPERLINK("https://www.dailydose.de/kleinanzeigen/detail.htm?ai=419400&amp;cf=kk&amp;pg=4&amp;ci=2", "Link")</f>
        <v/>
      </c>
      <c r="K556" s="6">
        <f>HYPERLINK("C:\Projects\Kleinanzeigen-Scraper\offer_images\419400", "Link")</f>
        <v/>
      </c>
      <c r="L556" t="inlineStr">
        <is>
          <t>yannick1</t>
        </is>
      </c>
      <c r="M556" s="6">
        <f>HYPERLINK("https://www.dailydose.de/kleinanzeigen/user/2871", "Link")</f>
        <v/>
      </c>
      <c r="N556" s="7" t="n">
        <v>45536.9140625</v>
      </c>
      <c r="O556" s="3" t="inlineStr">
        <is>
          <t>85.80</t>
        </is>
      </c>
      <c r="P556" t="inlineStr">
        <is>
          <t>Köln</t>
        </is>
      </c>
    </row>
    <row r="557">
      <c r="A557" t="inlineStr">
        <is>
          <t>Neilpryde Freeride</t>
        </is>
      </c>
      <c r="B557" s="3" t="n">
        <v>490</v>
      </c>
      <c r="C557" s="8" t="inlineStr">
        <is>
          <t>45%</t>
        </is>
      </c>
      <c r="D557" t="inlineStr">
        <is>
          <t>SDM</t>
        </is>
      </c>
      <c r="E557" s="4" t="n">
        <v>111</v>
      </c>
      <c r="F557" t="inlineStr"/>
      <c r="G557" t="inlineStr">
        <is>
          <t>12527 Berlin</t>
        </is>
      </c>
      <c r="H557" s="5" t="n">
        <v>45486</v>
      </c>
      <c r="I557" t="inlineStr"/>
      <c r="J557" s="6">
        <f>HYPERLINK("https://www.dailydose.de/kleinanzeigen/detail.htm?ai=419297&amp;cf=kk&amp;pg=5&amp;ci=2", "Link")</f>
        <v/>
      </c>
      <c r="K557" s="6">
        <f>HYPERLINK("C:\Projects\Kleinanzeigen-Scraper\offer_images\419297", "Link")</f>
        <v/>
      </c>
      <c r="L557" t="inlineStr">
        <is>
          <t>newt3</t>
        </is>
      </c>
      <c r="M557" s="6">
        <f>HYPERLINK("https://www.dailydose.de/kleinanzeigen/user/22148", "Link")</f>
        <v/>
      </c>
      <c r="N557" s="7" t="n">
        <v>45536.91402777778</v>
      </c>
      <c r="O557" s="3" t="inlineStr">
        <is>
          <t>487.71</t>
        </is>
      </c>
      <c r="P557" t="inlineStr">
        <is>
          <t>Köln</t>
        </is>
      </c>
    </row>
    <row r="558">
      <c r="A558" t="inlineStr">
        <is>
          <t>YES PERFORMANCE</t>
        </is>
      </c>
      <c r="B558" s="3" t="n">
        <v>430</v>
      </c>
      <c r="C558" s="8" t="inlineStr">
        <is>
          <t>70%</t>
        </is>
      </c>
      <c r="D558" t="inlineStr">
        <is>
          <t>SDM</t>
        </is>
      </c>
      <c r="E558" s="4" t="n">
        <v>140</v>
      </c>
      <c r="F558" t="inlineStr">
        <is>
          <t>VB</t>
        </is>
      </c>
      <c r="G558" t="inlineStr">
        <is>
          <t>13589 BERLIN</t>
        </is>
      </c>
      <c r="H558" s="5" t="n">
        <v>45466</v>
      </c>
      <c r="I558" t="inlineStr"/>
      <c r="J558" s="6">
        <f>HYPERLINK("https://www.dailydose.de/kleinanzeigen/detail.htm?ai=418331&amp;cf=kk&amp;pg=5&amp;ci=2", "Link")</f>
        <v/>
      </c>
      <c r="K558" s="6">
        <f>HYPERLINK("C:\Projects\Kleinanzeigen-Scraper\offer_images\418331", "Link")</f>
        <v/>
      </c>
      <c r="L558" t="inlineStr">
        <is>
          <t>DocWave</t>
        </is>
      </c>
      <c r="M558" s="6">
        <f>HYPERLINK("https://www.dailydose.de/kleinanzeigen/user/7138", "Link")</f>
        <v/>
      </c>
      <c r="N558" s="7" t="n">
        <v>45536.91400462963</v>
      </c>
      <c r="O558" s="3" t="inlineStr">
        <is>
          <t>463.63</t>
        </is>
      </c>
      <c r="P558" t="inlineStr">
        <is>
          <t>Köln</t>
        </is>
      </c>
    </row>
    <row r="559">
      <c r="A559" t="inlineStr">
        <is>
          <t>Tecno Limits Bionic</t>
        </is>
      </c>
      <c r="B559" s="3" t="n">
        <v>370</v>
      </c>
      <c r="C559" s="8" t="inlineStr">
        <is>
          <t>100%</t>
        </is>
      </c>
      <c r="D559" t="inlineStr">
        <is>
          <t>RDM</t>
        </is>
      </c>
      <c r="E559" s="4" t="n">
        <v>250</v>
      </c>
      <c r="F559" t="inlineStr"/>
      <c r="G559" t="inlineStr">
        <is>
          <t>20457 Hamburg</t>
        </is>
      </c>
      <c r="H559" s="5" t="n">
        <v>45417</v>
      </c>
      <c r="I559" t="inlineStr">
        <is>
          <t>Sold</t>
        </is>
      </c>
      <c r="J559" s="6">
        <f>HYPERLINK("https://www.dailydose.de/kleinanzeigen/detail.htm?ai=415511&amp;cf=kk&amp;pg=5&amp;ci=2", "Link")</f>
        <v/>
      </c>
      <c r="K559" s="6">
        <f>HYPERLINK("C:\Projects\Kleinanzeigen-Scraper\offer_images\415511", "Link")</f>
        <v/>
      </c>
      <c r="L559" t="inlineStr">
        <is>
          <t>Irieman</t>
        </is>
      </c>
      <c r="M559" s="6">
        <f>HYPERLINK("https://www.dailydose.de/kleinanzeigen/user/10662", "Link")</f>
        <v/>
      </c>
      <c r="N559" s="7" t="n">
        <v>45536.91400462963</v>
      </c>
      <c r="O559" s="3" t="inlineStr">
        <is>
          <t>354.54</t>
        </is>
      </c>
      <c r="P559" t="inlineStr">
        <is>
          <t>Köln</t>
        </is>
      </c>
    </row>
    <row r="560">
      <c r="A560" t="inlineStr">
        <is>
          <t>Gun Sails</t>
        </is>
      </c>
      <c r="B560" s="3" t="n">
        <v>400</v>
      </c>
      <c r="C560" s="8" t="inlineStr">
        <is>
          <t>50%</t>
        </is>
      </c>
      <c r="D560" t="inlineStr">
        <is>
          <t>SDM</t>
        </is>
      </c>
      <c r="E560" s="4" t="n">
        <v>130</v>
      </c>
      <c r="F560" t="inlineStr">
        <is>
          <t>VB</t>
        </is>
      </c>
      <c r="G560" t="inlineStr">
        <is>
          <t>21502 Geesthacht</t>
        </is>
      </c>
      <c r="H560" s="5" t="n">
        <v>45532</v>
      </c>
      <c r="I560" t="inlineStr">
        <is>
          <t>Sold</t>
        </is>
      </c>
      <c r="J560" s="6">
        <f>HYPERLINK("https://www.dailydose.de/kleinanzeigen/detail.htm?ai=421655&amp;cf=kk&amp;pg=2&amp;ci=2", "Link")</f>
        <v/>
      </c>
      <c r="K560" s="6">
        <f>HYPERLINK("C:\Projects\Kleinanzeigen-Scraper\offer_images\421655", "Link")</f>
        <v/>
      </c>
      <c r="L560" t="inlineStr">
        <is>
          <t>oavp</t>
        </is>
      </c>
      <c r="M560" s="6">
        <f>HYPERLINK("https://www.dailydose.de/kleinanzeigen/user/26332", "Link")</f>
        <v/>
      </c>
      <c r="N560" s="7" t="n">
        <v>45536.91395833333</v>
      </c>
      <c r="O560" s="3" t="inlineStr">
        <is>
          <t>364.52</t>
        </is>
      </c>
      <c r="P560" t="inlineStr">
        <is>
          <t>Köln</t>
        </is>
      </c>
    </row>
    <row r="561">
      <c r="A561" t="inlineStr">
        <is>
          <t>Neil Pryde NP, Mast X65</t>
        </is>
      </c>
      <c r="B561" s="3" t="n">
        <v>400</v>
      </c>
      <c r="C561" s="8" t="inlineStr"/>
      <c r="D561" t="inlineStr">
        <is>
          <t>RDM</t>
        </is>
      </c>
      <c r="E561" s="4" t="n">
        <v>50</v>
      </c>
      <c r="F561" t="inlineStr">
        <is>
          <t>VB</t>
        </is>
      </c>
      <c r="G561" t="inlineStr">
        <is>
          <t>85221 Dachau</t>
        </is>
      </c>
      <c r="H561" s="5" t="n">
        <v>45492</v>
      </c>
      <c r="I561" t="inlineStr">
        <is>
          <t>Sold</t>
        </is>
      </c>
      <c r="J561" s="6">
        <f>HYPERLINK("https://www.dailydose.de/kleinanzeigen/detail.htm?ai=419654&amp;cf=kk&amp;pg=3&amp;ci=2", "Link")</f>
        <v/>
      </c>
      <c r="K561" s="6">
        <f>HYPERLINK("C:\Projects\Kleinanzeigen-Scraper\offer_images\419654", "Link")</f>
        <v/>
      </c>
      <c r="L561" t="inlineStr">
        <is>
          <t>felix_ahr</t>
        </is>
      </c>
      <c r="M561" s="6">
        <f>HYPERLINK("https://www.dailydose.de/kleinanzeigen/user/26203", "Link")</f>
        <v/>
      </c>
      <c r="N561" s="7" t="n">
        <v>45536.91395833333</v>
      </c>
      <c r="O561" s="3" t="inlineStr">
        <is>
          <t>16.19</t>
        </is>
      </c>
      <c r="P561" t="inlineStr">
        <is>
          <t>München</t>
        </is>
      </c>
    </row>
    <row r="562">
      <c r="A562" t="inlineStr">
        <is>
          <t>GUN Select</t>
        </is>
      </c>
      <c r="B562" s="3" t="n">
        <v>460</v>
      </c>
      <c r="C562" s="8" t="inlineStr">
        <is>
          <t>100%</t>
        </is>
      </c>
      <c r="D562" t="inlineStr">
        <is>
          <t>RDM</t>
        </is>
      </c>
      <c r="E562" s="4" t="n">
        <v>300</v>
      </c>
      <c r="F562" t="inlineStr">
        <is>
          <t>VB</t>
        </is>
      </c>
      <c r="G562" t="inlineStr">
        <is>
          <t>12587 Berlin</t>
        </is>
      </c>
      <c r="H562" s="5" t="n">
        <v>45445</v>
      </c>
      <c r="I562" t="inlineStr">
        <is>
          <t>Sold</t>
        </is>
      </c>
      <c r="J562" s="6">
        <f>HYPERLINK("https://www.dailydose.de/kleinanzeigen/detail.htm?ai=417141&amp;cf=kk&amp;pg=5&amp;ci=2", "Link")</f>
        <v/>
      </c>
      <c r="K562" s="6">
        <f>HYPERLINK("C:\Projects\Kleinanzeigen-Scraper\offer_images\417141", "Link")</f>
        <v/>
      </c>
      <c r="L562" t="inlineStr">
        <is>
          <t>Robio</t>
        </is>
      </c>
      <c r="M562" s="6">
        <f>HYPERLINK("https://www.dailydose.de/kleinanzeigen/user/25976", "Link")</f>
        <v/>
      </c>
      <c r="N562" s="7" t="n">
        <v>45536.91390046296</v>
      </c>
      <c r="O562" s="3" t="inlineStr">
        <is>
          <t>490.72</t>
        </is>
      </c>
      <c r="P562" t="inlineStr">
        <is>
          <t>Köln</t>
        </is>
      </c>
    </row>
    <row r="563">
      <c r="A563" t="inlineStr">
        <is>
          <t>Gaastra HT-Mast</t>
        </is>
      </c>
      <c r="B563" s="3" t="n">
        <v>460</v>
      </c>
      <c r="C563" s="8" t="inlineStr">
        <is>
          <t>30%</t>
        </is>
      </c>
      <c r="D563" t="inlineStr"/>
      <c r="E563" s="4" t="n">
        <v>30</v>
      </c>
      <c r="F563" t="inlineStr"/>
      <c r="G563" t="inlineStr">
        <is>
          <t>87437 Kempten</t>
        </is>
      </c>
      <c r="H563" s="5" t="n">
        <v>45442</v>
      </c>
      <c r="I563" t="inlineStr">
        <is>
          <t>Sold</t>
        </is>
      </c>
      <c r="J563" s="6">
        <f>HYPERLINK("https://www.dailydose.de/kleinanzeigen/detail.htm?ai=416977&amp;cf=kk&amp;pg=5&amp;ci=2", "Link")</f>
        <v/>
      </c>
      <c r="K563" s="6">
        <f>HYPERLINK("C:\Projects\Kleinanzeigen-Scraper\offer_images\416977", "Link")</f>
        <v/>
      </c>
      <c r="L563" t="inlineStr">
        <is>
          <t>FranzJosef</t>
        </is>
      </c>
      <c r="M563" s="6">
        <f>HYPERLINK("https://www.dailydose.de/kleinanzeigen/user/26040", "Link")</f>
        <v/>
      </c>
      <c r="N563" s="7" t="n">
        <v>45536.91388888889</v>
      </c>
      <c r="O563" s="3" t="inlineStr">
        <is>
          <t>101.34</t>
        </is>
      </c>
      <c r="P563" t="inlineStr">
        <is>
          <t>München</t>
        </is>
      </c>
    </row>
    <row r="564">
      <c r="A564" t="inlineStr">
        <is>
          <t>Neil Pryde X3</t>
        </is>
      </c>
      <c r="B564" s="3" t="n">
        <v>490</v>
      </c>
      <c r="C564" s="8" t="inlineStr"/>
      <c r="D564" t="inlineStr">
        <is>
          <t>SDM</t>
        </is>
      </c>
      <c r="E564" s="4" t="n">
        <v>120</v>
      </c>
      <c r="F564" t="inlineStr"/>
      <c r="G564" t="inlineStr">
        <is>
          <t>41189 Mönchengladbach</t>
        </is>
      </c>
      <c r="H564" s="5" t="n">
        <v>45448</v>
      </c>
      <c r="I564" t="inlineStr">
        <is>
          <t>Sold</t>
        </is>
      </c>
      <c r="J564" s="6">
        <f>HYPERLINK("https://www.dailydose.de/kleinanzeigen/detail.htm?ai=417373&amp;cf=kk&amp;pg=5&amp;ci=2", "Link")</f>
        <v/>
      </c>
      <c r="K564" s="6">
        <f>HYPERLINK("C:\Projects\Kleinanzeigen-Scraper\offer_images\417373", "Link")</f>
        <v/>
      </c>
      <c r="L564" t="inlineStr">
        <is>
          <t>Hardy_105</t>
        </is>
      </c>
      <c r="M564" s="6">
        <f>HYPERLINK("https://www.dailydose.de/kleinanzeigen/user/9964", "Link")</f>
        <v/>
      </c>
      <c r="N564" s="7" t="n">
        <v>45536.9137962963</v>
      </c>
      <c r="O564" s="3" t="inlineStr">
        <is>
          <t>43.31</t>
        </is>
      </c>
      <c r="P564" t="inlineStr">
        <is>
          <t>Köln</t>
        </is>
      </c>
    </row>
    <row r="565">
      <c r="A565" t="inlineStr">
        <is>
          <t>NeilPryde C 30</t>
        </is>
      </c>
      <c r="B565" s="3" t="n">
        <v>430</v>
      </c>
      <c r="C565" s="8" t="inlineStr"/>
      <c r="D565" t="inlineStr">
        <is>
          <t>SDM</t>
        </is>
      </c>
      <c r="E565" s="4" t="n">
        <v>25</v>
      </c>
      <c r="F565" t="inlineStr">
        <is>
          <t>VB</t>
        </is>
      </c>
      <c r="G565" t="inlineStr">
        <is>
          <t>82205 GILCHING</t>
        </is>
      </c>
      <c r="H565" s="5" t="n">
        <v>45533</v>
      </c>
      <c r="I565" t="inlineStr"/>
      <c r="J565" s="6">
        <f>HYPERLINK("https://www.dailydose.de/kleinanzeigen/detail.htm?ai=421694&amp;cf=kk&amp;pg=3&amp;ci=2", "Link")</f>
        <v/>
      </c>
      <c r="K565" s="6">
        <f>HYPERLINK("C:\Projects\Kleinanzeigen-Scraper\offer_images\421694", "Link")</f>
        <v/>
      </c>
      <c r="L565" t="inlineStr">
        <is>
          <t>algla</t>
        </is>
      </c>
      <c r="M565" s="6">
        <f>HYPERLINK("https://www.dailydose.de/kleinanzeigen/user/3111", "Link")</f>
        <v/>
      </c>
      <c r="N565" s="7" t="n">
        <v>45536.91373842592</v>
      </c>
      <c r="O565" s="3" t="inlineStr">
        <is>
          <t>23.04</t>
        </is>
      </c>
      <c r="P565" t="inlineStr">
        <is>
          <t>München</t>
        </is>
      </c>
    </row>
    <row r="566">
      <c r="A566" t="inlineStr">
        <is>
          <t>Gaastra</t>
        </is>
      </c>
      <c r="B566" s="3" t="n">
        <v>460</v>
      </c>
      <c r="C566" s="8" t="inlineStr">
        <is>
          <t>75%</t>
        </is>
      </c>
      <c r="D566" t="inlineStr">
        <is>
          <t>SDM</t>
        </is>
      </c>
      <c r="E566" s="4" t="n">
        <v>80</v>
      </c>
      <c r="F566" t="inlineStr">
        <is>
          <t>VB</t>
        </is>
      </c>
      <c r="G566" t="inlineStr">
        <is>
          <t>81825 München</t>
        </is>
      </c>
      <c r="H566" s="5" t="n">
        <v>45495</v>
      </c>
      <c r="I566" t="inlineStr">
        <is>
          <t>Sold</t>
        </is>
      </c>
      <c r="J566" s="6">
        <f>HYPERLINK("https://www.dailydose.de/kleinanzeigen/detail.htm?ai=419797&amp;cf=kk&amp;pg=4&amp;ci=2", "Link")</f>
        <v/>
      </c>
      <c r="K566" s="6">
        <f>HYPERLINK("C:\Projects\Kleinanzeigen-Scraper\offer_images\419797", "Link")</f>
        <v/>
      </c>
      <c r="L566" t="inlineStr">
        <is>
          <t>wolficek</t>
        </is>
      </c>
      <c r="M566" s="6">
        <f>HYPERLINK("https://www.dailydose.de/kleinanzeigen/user/25301", "Link")</f>
        <v/>
      </c>
      <c r="N566" s="7" t="n">
        <v>45536.91370370371</v>
      </c>
      <c r="O566" s="3" t="inlineStr">
        <is>
          <t>6.25</t>
        </is>
      </c>
      <c r="P566" t="inlineStr">
        <is>
          <t>München</t>
        </is>
      </c>
    </row>
    <row r="567">
      <c r="A567" t="inlineStr">
        <is>
          <t>Unifiber Enduro</t>
        </is>
      </c>
      <c r="B567" s="3" t="n">
        <v>430</v>
      </c>
      <c r="C567" s="8" t="n">
        <v>40</v>
      </c>
      <c r="D567" t="inlineStr">
        <is>
          <t>RDM</t>
        </is>
      </c>
      <c r="E567" s="4" t="n">
        <v>150</v>
      </c>
      <c r="F567" t="inlineStr"/>
      <c r="G567" t="inlineStr">
        <is>
          <t>50999 Köln</t>
        </is>
      </c>
      <c r="H567" s="5" t="n">
        <v>45476</v>
      </c>
      <c r="I567" t="inlineStr">
        <is>
          <t>Sold</t>
        </is>
      </c>
      <c r="J567" s="6">
        <f>HYPERLINK("https://www.dailydose.de/kleinanzeigen/detail.htm?ai=418831&amp;cf=kk&amp;pg=4&amp;ci=2", "Link")</f>
        <v/>
      </c>
      <c r="K567" s="6">
        <f>HYPERLINK("C:\Projects\Kleinanzeigen-Scraper\offer_images\418831", "Link")</f>
        <v/>
      </c>
      <c r="L567" t="inlineStr">
        <is>
          <t>Katja_154</t>
        </is>
      </c>
      <c r="M567" s="6">
        <f>HYPERLINK("https://www.dailydose.de/kleinanzeigen/user/13227", "Link")</f>
        <v/>
      </c>
      <c r="N567" s="7" t="n">
        <v>45536.91370370371</v>
      </c>
      <c r="O567" s="3" t="inlineStr">
        <is>
          <t>7.80</t>
        </is>
      </c>
      <c r="P567" t="inlineStr">
        <is>
          <t>Köln</t>
        </is>
      </c>
    </row>
    <row r="568">
      <c r="A568" t="inlineStr">
        <is>
          <t>Dutone Gold</t>
        </is>
      </c>
      <c r="B568" s="3" t="inlineStr">
        <is>
          <t>370-400</t>
        </is>
      </c>
      <c r="C568" s="8" t="inlineStr"/>
      <c r="D568" t="inlineStr">
        <is>
          <t>RDM</t>
        </is>
      </c>
      <c r="E568" s="4" t="n">
        <v>550</v>
      </c>
      <c r="F568" t="inlineStr"/>
      <c r="G568" t="inlineStr">
        <is>
          <t>Versand Versand</t>
        </is>
      </c>
      <c r="H568" s="5" t="n">
        <v>45504</v>
      </c>
      <c r="I568" t="inlineStr">
        <is>
          <t>Sold</t>
        </is>
      </c>
      <c r="J568" s="6">
        <f>HYPERLINK("https://www.dailydose.de/kleinanzeigen/detail.htm?ai=420245&amp;cf=kk&amp;pg=3&amp;ci=2", "Link")</f>
        <v/>
      </c>
      <c r="K568" s="6">
        <f>HYPERLINK("C:\Projects\Kleinanzeigen-Scraper\offer_images\420245", "Link")</f>
        <v/>
      </c>
      <c r="L568" t="inlineStr">
        <is>
          <t>WingDing</t>
        </is>
      </c>
      <c r="M568" s="6">
        <f>HYPERLINK("https://www.dailydose.de/kleinanzeigen/user/21852", "Link")</f>
        <v/>
      </c>
      <c r="N568" s="7" t="n">
        <v>45536.91366898148</v>
      </c>
      <c r="O568" s="3" t="inlineStr">
        <is>
          <t>343.40</t>
        </is>
      </c>
      <c r="P568" t="inlineStr">
        <is>
          <t>München</t>
        </is>
      </c>
    </row>
    <row r="569">
      <c r="A569" t="inlineStr">
        <is>
          <t>North Sails Platinum</t>
        </is>
      </c>
      <c r="B569" s="3" t="n">
        <v>460</v>
      </c>
      <c r="C569" s="8" t="inlineStr"/>
      <c r="D569" t="inlineStr">
        <is>
          <t>SDM</t>
        </is>
      </c>
      <c r="E569" s="4" t="n">
        <v>99</v>
      </c>
      <c r="F569" t="inlineStr"/>
      <c r="G569" t="inlineStr">
        <is>
          <t>22417 Hamburg</t>
        </is>
      </c>
      <c r="H569" s="5" t="n">
        <v>45429</v>
      </c>
      <c r="I569" t="inlineStr">
        <is>
          <t>Sold</t>
        </is>
      </c>
      <c r="J569" s="6">
        <f>HYPERLINK("https://www.dailydose.de/kleinanzeigen/detail.htm?ai=416186&amp;cf=kk&amp;pg=5&amp;ci=2", "Link")</f>
        <v/>
      </c>
      <c r="K569" s="6">
        <f>HYPERLINK("C:\Projects\Kleinanzeigen-Scraper\offer_images\416186", "Link")</f>
        <v/>
      </c>
      <c r="L569" t="inlineStr">
        <is>
          <t>David_84</t>
        </is>
      </c>
      <c r="M569" s="6">
        <f>HYPERLINK("https://www.dailydose.de/kleinanzeigen/user/6662", "Link")</f>
        <v/>
      </c>
      <c r="N569" s="7" t="n">
        <v>45536.91366898148</v>
      </c>
      <c r="O569" s="3" t="inlineStr">
        <is>
          <t>368.88</t>
        </is>
      </c>
      <c r="P569" t="inlineStr">
        <is>
          <t>Köln</t>
        </is>
      </c>
    </row>
    <row r="570">
      <c r="A570" t="inlineStr">
        <is>
          <t>Maverx 430</t>
        </is>
      </c>
      <c r="B570" s="3" t="n">
        <v>430</v>
      </c>
      <c r="C570" s="8" t="inlineStr">
        <is>
          <t>100%</t>
        </is>
      </c>
      <c r="D570" t="inlineStr">
        <is>
          <t>RDM</t>
        </is>
      </c>
      <c r="E570" s="4" t="n">
        <v>340</v>
      </c>
      <c r="F570" t="inlineStr"/>
      <c r="G570" t="inlineStr">
        <is>
          <t>Muenchen Ingolstadt</t>
        </is>
      </c>
      <c r="H570" s="5" t="n">
        <v>45510</v>
      </c>
      <c r="I570" t="inlineStr"/>
      <c r="J570" s="6">
        <f>HYPERLINK("https://www.dailydose.de/kleinanzeigen/detail.htm?ai=420505&amp;cf=kk&amp;pg=4&amp;ci=2", "Link")</f>
        <v/>
      </c>
      <c r="K570" s="6">
        <f>HYPERLINK("C:\Projects\Kleinanzeigen-Scraper\offer_images\420505", "Link")</f>
        <v/>
      </c>
      <c r="L570" t="inlineStr">
        <is>
          <t>OntheRocks</t>
        </is>
      </c>
      <c r="M570" s="6">
        <f>HYPERLINK("https://www.dailydose.de/kleinanzeigen/user/18001", "Link")</f>
        <v/>
      </c>
      <c r="N570" s="7" t="n">
        <v>45536.91363425926</v>
      </c>
      <c r="O570" s="3" t="inlineStr">
        <is>
          <t>0.21</t>
        </is>
      </c>
      <c r="P570" t="inlineStr">
        <is>
          <t>München</t>
        </is>
      </c>
    </row>
    <row r="571">
      <c r="A571" t="inlineStr">
        <is>
          <t>PLATINUM</t>
        </is>
      </c>
      <c r="B571" s="3" t="n">
        <v>340</v>
      </c>
      <c r="C571" s="8" t="inlineStr"/>
      <c r="D571" t="inlineStr">
        <is>
          <t>RDM</t>
        </is>
      </c>
      <c r="E571" s="4" t="n">
        <v>390</v>
      </c>
      <c r="F571" t="inlineStr"/>
      <c r="G571" t="inlineStr">
        <is>
          <t>35096 Weimar</t>
        </is>
      </c>
      <c r="H571" s="5" t="n">
        <v>45536</v>
      </c>
      <c r="I571" t="inlineStr"/>
      <c r="J571" s="6">
        <f>HYPERLINK("https://www.dailydose.de/kleinanzeigen/detail.htm?ai=421907&amp;cf=kk&amp;pg=3&amp;ci=2", "Link")</f>
        <v/>
      </c>
      <c r="K571" s="6">
        <f>HYPERLINK("C:\Projects\Kleinanzeigen-Scraper\offer_images\421907", "Link")</f>
        <v/>
      </c>
      <c r="L571" t="inlineStr">
        <is>
          <t>Harald Dorndorf</t>
        </is>
      </c>
      <c r="M571" s="6">
        <f>HYPERLINK("https://www.dailydose.de/kleinanzeigen/user/11063", "Link")</f>
        <v/>
      </c>
      <c r="N571" s="7" t="n">
        <v>45536.91363425926</v>
      </c>
      <c r="O571" s="3" t="inlineStr">
        <is>
          <t>124.91</t>
        </is>
      </c>
      <c r="P571" t="inlineStr">
        <is>
          <t>Köln</t>
        </is>
      </c>
    </row>
    <row r="572">
      <c r="A572" t="inlineStr">
        <is>
          <t>NORTH Excellerator</t>
        </is>
      </c>
      <c r="B572" s="3" t="n">
        <v>4.9</v>
      </c>
      <c r="C572" s="8" t="inlineStr"/>
      <c r="D572" t="inlineStr"/>
      <c r="E572" s="4" t="n">
        <v>80</v>
      </c>
      <c r="F572" t="inlineStr"/>
      <c r="G572" t="inlineStr">
        <is>
          <t>22453 Hamburg / Gardasee</t>
        </is>
      </c>
      <c r="H572" s="5" t="n">
        <v>45466</v>
      </c>
      <c r="I572" t="inlineStr"/>
      <c r="J572" s="6">
        <f>HYPERLINK("https://www.dailydose.de/kleinanzeigen/detail.htm?ai=418324&amp;cf=kk&amp;pg=5&amp;ci=2", "Link")</f>
        <v/>
      </c>
      <c r="K572" s="6">
        <f>HYPERLINK("C:\Projects\Kleinanzeigen-Scraper\offer_images\418324", "Link")</f>
        <v/>
      </c>
      <c r="L572" t="inlineStr">
        <is>
          <t>Max_111</t>
        </is>
      </c>
      <c r="M572" s="6">
        <f>HYPERLINK("https://www.dailydose.de/kleinanzeigen/user/22360", "Link")</f>
        <v/>
      </c>
      <c r="N572" s="7" t="n">
        <v>45536.91363425926</v>
      </c>
      <c r="O572" s="3" t="inlineStr">
        <is>
          <t>361.03</t>
        </is>
      </c>
      <c r="P572" t="inlineStr">
        <is>
          <t>Köln</t>
        </is>
      </c>
    </row>
    <row r="573">
      <c r="A573" t="inlineStr">
        <is>
          <t>Powerex</t>
        </is>
      </c>
      <c r="B573" s="3" t="n">
        <v>490</v>
      </c>
      <c r="C573" s="8" t="inlineStr">
        <is>
          <t>80%</t>
        </is>
      </c>
      <c r="D573" t="inlineStr">
        <is>
          <t>SDM</t>
        </is>
      </c>
      <c r="E573" s="4" t="n">
        <v>139</v>
      </c>
      <c r="F573" t="inlineStr"/>
      <c r="G573" t="inlineStr">
        <is>
          <t>12526 BERLIN</t>
        </is>
      </c>
      <c r="H573" s="5" t="n">
        <v>45490</v>
      </c>
      <c r="I573" t="inlineStr">
        <is>
          <t>Sold</t>
        </is>
      </c>
      <c r="J573" s="6">
        <f>HYPERLINK("https://www.dailydose.de/kleinanzeigen/detail.htm?ai=419515&amp;cf=kk&amp;pg=4&amp;ci=2", "Link")</f>
        <v/>
      </c>
      <c r="K573" s="6">
        <f>HYPERLINK("C:\Projects\Kleinanzeigen-Scraper\offer_images\419515", "Link")</f>
        <v/>
      </c>
      <c r="L573" t="inlineStr">
        <is>
          <t>surfi_159</t>
        </is>
      </c>
      <c r="M573" s="6">
        <f>HYPERLINK("https://www.dailydose.de/kleinanzeigen/user/17564", "Link")</f>
        <v/>
      </c>
      <c r="N573" s="7" t="n">
        <v>45536.91361111111</v>
      </c>
      <c r="O573" s="3" t="inlineStr">
        <is>
          <t>484.42</t>
        </is>
      </c>
      <c r="P573" t="inlineStr">
        <is>
          <t>Köln</t>
        </is>
      </c>
    </row>
    <row r="574">
      <c r="A574" t="inlineStr">
        <is>
          <t>Gunsails Advance</t>
        </is>
      </c>
      <c r="B574" s="3" t="n">
        <v>460</v>
      </c>
      <c r="C574" s="8" t="inlineStr"/>
      <c r="D574" t="inlineStr">
        <is>
          <t>SDM</t>
        </is>
      </c>
      <c r="E574" s="4" t="n">
        <v>100</v>
      </c>
      <c r="F574" t="inlineStr">
        <is>
          <t>VB</t>
        </is>
      </c>
      <c r="G574" t="inlineStr">
        <is>
          <t>Bremen</t>
        </is>
      </c>
      <c r="H574" s="5" t="n">
        <v>45425</v>
      </c>
      <c r="I574" t="inlineStr">
        <is>
          <t>Sold</t>
        </is>
      </c>
      <c r="J574" s="6">
        <f>HYPERLINK("https://www.dailydose.de/kleinanzeigen/detail.htm?ai=415965&amp;cf=kk&amp;pg=5&amp;ci=2", "Link")</f>
        <v/>
      </c>
      <c r="K574" s="6">
        <f>HYPERLINK("C:\Projects\Kleinanzeigen-Scraper\offer_images\415965", "Link")</f>
        <v/>
      </c>
      <c r="L574" t="inlineStr">
        <is>
          <t>Deik</t>
        </is>
      </c>
      <c r="M574" s="6">
        <f>HYPERLINK("https://www.dailydose.de/kleinanzeigen/user/6721", "Link")</f>
        <v/>
      </c>
      <c r="N574" s="7" t="n">
        <v>45536.91357638889</v>
      </c>
      <c r="O574" s="3" t="inlineStr">
        <is>
          <t>269.36</t>
        </is>
      </c>
      <c r="P574" t="inlineStr">
        <is>
          <t>Köln</t>
        </is>
      </c>
    </row>
    <row r="575">
      <c r="A575" t="inlineStr">
        <is>
          <t>Gaastra C55</t>
        </is>
      </c>
      <c r="B575" s="3" t="n">
        <v>460</v>
      </c>
      <c r="C575" s="8" t="inlineStr">
        <is>
          <t>55%</t>
        </is>
      </c>
      <c r="D575" t="inlineStr">
        <is>
          <t>SDM</t>
        </is>
      </c>
      <c r="E575" s="4" t="n">
        <v>111</v>
      </c>
      <c r="F575" t="inlineStr">
        <is>
          <t>VB</t>
        </is>
      </c>
      <c r="G575" t="inlineStr">
        <is>
          <t>23909 Ratzeburg</t>
        </is>
      </c>
      <c r="H575" s="5" t="n">
        <v>45534</v>
      </c>
      <c r="I575" t="inlineStr">
        <is>
          <t>Sold</t>
        </is>
      </c>
      <c r="J575" s="6">
        <f>HYPERLINK("https://www.dailydose.de/kleinanzeigen/detail.htm?ai=421770&amp;cf=kk&amp;pg=2&amp;ci=2", "Link")</f>
        <v/>
      </c>
      <c r="K575" s="6">
        <f>HYPERLINK("C:\Projects\Kleinanzeigen-Scraper\offer_images\421770", "Link")</f>
        <v/>
      </c>
      <c r="L575" t="inlineStr">
        <is>
          <t>Insider</t>
        </is>
      </c>
      <c r="M575" s="6">
        <f>HYPERLINK("https://www.dailydose.de/kleinanzeigen/user/20603", "Link")</f>
        <v/>
      </c>
      <c r="N575" s="7" t="n">
        <v>45536.91354166667</v>
      </c>
      <c r="O575" s="3" t="inlineStr">
        <is>
          <t>401.75</t>
        </is>
      </c>
      <c r="P575" t="inlineStr">
        <is>
          <t>Köln</t>
        </is>
      </c>
    </row>
    <row r="576">
      <c r="A576" t="inlineStr">
        <is>
          <t>NP Mast X9</t>
        </is>
      </c>
      <c r="B576" s="3" t="n">
        <v>430</v>
      </c>
      <c r="C576" s="8" t="inlineStr">
        <is>
          <t>100%</t>
        </is>
      </c>
      <c r="D576" t="inlineStr">
        <is>
          <t>SDM</t>
        </is>
      </c>
      <c r="E576" s="4" t="n">
        <v>150</v>
      </c>
      <c r="F576" t="inlineStr">
        <is>
          <t>VB</t>
        </is>
      </c>
      <c r="G576" t="inlineStr">
        <is>
          <t>83714 Miesbach</t>
        </is>
      </c>
      <c r="H576" s="5" t="n">
        <v>45514</v>
      </c>
      <c r="I576" t="inlineStr"/>
      <c r="J576" s="6">
        <f>HYPERLINK("https://www.dailydose.de/kleinanzeigen/detail.htm?ai=420705&amp;cf=kk&amp;pg=4&amp;ci=2", "Link")</f>
        <v/>
      </c>
      <c r="K576" s="6">
        <f>HYPERLINK("C:\Projects\Kleinanzeigen-Scraper\offer_images\420705", "Link")</f>
        <v/>
      </c>
      <c r="L576" t="inlineStr">
        <is>
          <t>Elfi</t>
        </is>
      </c>
      <c r="M576" s="6">
        <f>HYPERLINK("https://www.dailydose.de/kleinanzeigen/user/10174", "Link")</f>
        <v/>
      </c>
      <c r="N576" s="7" t="n">
        <v>45536.91354166667</v>
      </c>
      <c r="O576" s="3" t="inlineStr">
        <is>
          <t>41.62</t>
        </is>
      </c>
      <c r="P576" t="inlineStr">
        <is>
          <t>München</t>
        </is>
      </c>
    </row>
    <row r="577">
      <c r="A577" t="inlineStr">
        <is>
          <t>Gaastra</t>
        </is>
      </c>
      <c r="B577" s="3" t="n">
        <v>400</v>
      </c>
      <c r="C577" s="8" t="inlineStr">
        <is>
          <t>60%</t>
        </is>
      </c>
      <c r="D577" t="inlineStr">
        <is>
          <t>RDM</t>
        </is>
      </c>
      <c r="E577" s="4" t="n">
        <v>99</v>
      </c>
      <c r="F577" t="inlineStr"/>
      <c r="G577" t="inlineStr">
        <is>
          <t>18057 HRO/HGW</t>
        </is>
      </c>
      <c r="H577" s="5" t="n">
        <v>45498</v>
      </c>
      <c r="I577" t="inlineStr"/>
      <c r="J577" s="6">
        <f>HYPERLINK("https://www.dailydose.de/kleinanzeigen/detail.htm?ai=419958&amp;cf=kk&amp;pg=4&amp;ci=2", "Link")</f>
        <v/>
      </c>
      <c r="K577" s="6">
        <f>HYPERLINK("C:\Projects\Kleinanzeigen-Scraper\offer_images\419958", "Link")</f>
        <v/>
      </c>
      <c r="L577" t="inlineStr">
        <is>
          <t>MARKO_24</t>
        </is>
      </c>
      <c r="M577" s="6">
        <f>HYPERLINK("https://www.dailydose.de/kleinanzeigen/user/15652", "Link")</f>
        <v/>
      </c>
      <c r="N577" s="7" t="n">
        <v>45536.9134837963</v>
      </c>
      <c r="O577" s="3" t="inlineStr">
        <is>
          <t>494.07</t>
        </is>
      </c>
      <c r="P577" t="inlineStr">
        <is>
          <t>Köln</t>
        </is>
      </c>
    </row>
    <row r="578">
      <c r="A578" t="inlineStr">
        <is>
          <t>Neilpryde TPX 100</t>
        </is>
      </c>
      <c r="B578" s="3" t="n">
        <v>400</v>
      </c>
      <c r="C578" s="8" t="inlineStr">
        <is>
          <t>100%</t>
        </is>
      </c>
      <c r="D578" t="inlineStr">
        <is>
          <t>RDM</t>
        </is>
      </c>
      <c r="E578" s="4" t="n">
        <v>600</v>
      </c>
      <c r="F578" t="inlineStr"/>
      <c r="G578" t="inlineStr">
        <is>
          <t>1060 Wien</t>
        </is>
      </c>
      <c r="H578" s="5" t="n">
        <v>45429</v>
      </c>
      <c r="I578" t="inlineStr">
        <is>
          <t>Sold</t>
        </is>
      </c>
      <c r="J578" s="6">
        <f>HYPERLINK("https://www.dailydose.de/kleinanzeigen/detail.htm?ai=416181&amp;cf=kk&amp;pg=5&amp;ci=2", "Link")</f>
        <v/>
      </c>
      <c r="K578" s="6">
        <f>HYPERLINK("C:\Projects\Kleinanzeigen-Scraper\offer_images\416181", "Link")</f>
        <v/>
      </c>
      <c r="L578" t="inlineStr">
        <is>
          <t>Poolshark</t>
        </is>
      </c>
      <c r="M578" s="6">
        <f>HYPERLINK("https://www.dailydose.de/kleinanzeigen/user/19243", "Link")</f>
        <v/>
      </c>
      <c r="N578" s="7" t="n">
        <v>45536.91341435185</v>
      </c>
      <c r="O578" s="3" t="inlineStr">
        <is>
          <t>355.95</t>
        </is>
      </c>
      <c r="P578" t="inlineStr">
        <is>
          <t>München</t>
        </is>
      </c>
    </row>
    <row r="579">
      <c r="A579" t="inlineStr">
        <is>
          <t>Ezzy Hookipa</t>
        </is>
      </c>
      <c r="B579" s="3" t="n">
        <v>400</v>
      </c>
      <c r="C579" s="8" t="inlineStr"/>
      <c r="D579" t="inlineStr"/>
      <c r="E579" s="4" t="n">
        <v>240</v>
      </c>
      <c r="F579" t="inlineStr">
        <is>
          <t>VB</t>
        </is>
      </c>
      <c r="G579" t="inlineStr">
        <is>
          <t>24105 Kiel</t>
        </is>
      </c>
      <c r="H579" s="5" t="n">
        <v>45530</v>
      </c>
      <c r="I579" t="inlineStr">
        <is>
          <t>Sold</t>
        </is>
      </c>
      <c r="J579" s="6">
        <f>HYPERLINK("https://www.dailydose.de/kleinanzeigen/detail.htm?ai=421458&amp;cf=kk&amp;pg=3&amp;ci=2", "Link")</f>
        <v/>
      </c>
      <c r="K579" s="6">
        <f>HYPERLINK("C:\Projects\Kleinanzeigen-Scraper\offer_images\421458", "Link")</f>
        <v/>
      </c>
      <c r="L579" t="inlineStr">
        <is>
          <t>seder74</t>
        </is>
      </c>
      <c r="M579" s="6">
        <f>HYPERLINK("https://www.dailydose.de/kleinanzeigen/user/257", "Link")</f>
        <v/>
      </c>
      <c r="N579" s="7" t="n">
        <v>45536.91341435185</v>
      </c>
      <c r="O579" s="3" t="inlineStr">
        <is>
          <t>435.05</t>
        </is>
      </c>
      <c r="P579" t="inlineStr">
        <is>
          <t>Köln</t>
        </is>
      </c>
    </row>
    <row r="580">
      <c r="A580" t="inlineStr">
        <is>
          <t>i-99 Mast RDM C100</t>
        </is>
      </c>
      <c r="B580" s="3" t="n">
        <v>370</v>
      </c>
      <c r="C580" s="8" t="n">
        <v>100</v>
      </c>
      <c r="D580" t="inlineStr">
        <is>
          <t>RDM</t>
        </is>
      </c>
      <c r="E580" s="4" t="n">
        <v>350</v>
      </c>
      <c r="F580" t="inlineStr"/>
      <c r="G580" t="inlineStr">
        <is>
          <t>94372 Rattiszell</t>
        </is>
      </c>
      <c r="H580" s="5" t="n">
        <v>45467</v>
      </c>
      <c r="I580" t="inlineStr"/>
      <c r="J580" s="6">
        <f>HYPERLINK("https://www.dailydose.de/kleinanzeigen/detail.htm?ai=418396&amp;cf=kk&amp;pg=5&amp;ci=2", "Link")</f>
        <v/>
      </c>
      <c r="K580" s="6">
        <f>HYPERLINK("C:\Projects\Kleinanzeigen-Scraper\offer_images\418396", "Link")</f>
        <v/>
      </c>
      <c r="L580" t="inlineStr">
        <is>
          <t>Sit</t>
        </is>
      </c>
      <c r="M580" s="6">
        <f>HYPERLINK("https://www.dailydose.de/kleinanzeigen/user/21345", "Link")</f>
        <v/>
      </c>
      <c r="N580" s="7" t="n">
        <v>45536.91332175926</v>
      </c>
      <c r="O580" s="3" t="inlineStr">
        <is>
          <t>126.46</t>
        </is>
      </c>
      <c r="P580" t="inlineStr">
        <is>
          <t>München</t>
        </is>
      </c>
    </row>
    <row r="581">
      <c r="A581" t="inlineStr">
        <is>
          <t>Severne RDM Blue</t>
        </is>
      </c>
      <c r="B581" s="3" t="n">
        <v>460</v>
      </c>
      <c r="C581" s="8" t="inlineStr"/>
      <c r="D581" t="inlineStr">
        <is>
          <t>RDM</t>
        </is>
      </c>
      <c r="E581" s="4" t="n">
        <v>490</v>
      </c>
      <c r="F581" t="inlineStr"/>
      <c r="G581" t="inlineStr">
        <is>
          <t>52134 Herzogenrath</t>
        </is>
      </c>
      <c r="H581" s="5" t="n">
        <v>45532</v>
      </c>
      <c r="I581" t="inlineStr">
        <is>
          <t>Sold</t>
        </is>
      </c>
      <c r="J581" s="6">
        <f>HYPERLINK("https://www.dailydose.de/kleinanzeigen/detail.htm?ai=421658&amp;cf=kk&amp;pg=3&amp;ci=2", "Link")</f>
        <v/>
      </c>
      <c r="K581" s="6">
        <f>HYPERLINK("C:\Projects\Kleinanzeigen-Scraper\offer_images\421658", "Link")</f>
        <v/>
      </c>
      <c r="L581" t="inlineStr">
        <is>
          <t>Absproge</t>
        </is>
      </c>
      <c r="M581" s="6">
        <f>HYPERLINK("https://www.dailydose.de/kleinanzeigen/user/26019", "Link")</f>
        <v/>
      </c>
      <c r="N581" s="7" t="n">
        <v>45536.91332175926</v>
      </c>
      <c r="O581" s="3" t="inlineStr">
        <is>
          <t>59.57</t>
        </is>
      </c>
      <c r="P581" t="inlineStr">
        <is>
          <t>Köln</t>
        </is>
      </c>
    </row>
    <row r="582">
      <c r="A582" t="inlineStr">
        <is>
          <t>Severne Gorilla</t>
        </is>
      </c>
      <c r="B582" s="3" t="n">
        <v>400</v>
      </c>
      <c r="C582" s="8" t="inlineStr"/>
      <c r="D582" t="inlineStr">
        <is>
          <t>RDM</t>
        </is>
      </c>
      <c r="E582" s="4" t="n">
        <v>250</v>
      </c>
      <c r="F582" t="inlineStr"/>
      <c r="G582" t="inlineStr">
        <is>
          <t>23769 Fehmarn</t>
        </is>
      </c>
      <c r="H582" s="5" t="n">
        <v>45449</v>
      </c>
      <c r="I582" t="inlineStr"/>
      <c r="J582" s="6">
        <f>HYPERLINK("https://www.dailydose.de/kleinanzeigen/detail.htm?ai=417438&amp;cf=kk&amp;pg=5&amp;ci=2", "Link")</f>
        <v/>
      </c>
      <c r="K582" s="6">
        <f>HYPERLINK("C:\Projects\Kleinanzeigen-Scraper\offer_images\417438", "Link")</f>
        <v/>
      </c>
      <c r="L582" t="inlineStr">
        <is>
          <t>Gold</t>
        </is>
      </c>
      <c r="M582" s="6">
        <f>HYPERLINK("https://www.dailydose.de/kleinanzeigen/user/10200", "Link")</f>
        <v/>
      </c>
      <c r="N582" s="7" t="n">
        <v>45536.91328703704</v>
      </c>
      <c r="O582" s="3" t="inlineStr">
        <is>
          <t>483.01</t>
        </is>
      </c>
      <c r="P582" t="inlineStr">
        <is>
          <t>Köln</t>
        </is>
      </c>
    </row>
    <row r="583">
      <c r="A583" t="inlineStr">
        <is>
          <t>North Exellerator Viper</t>
        </is>
      </c>
      <c r="B583" s="3" t="n">
        <v>490</v>
      </c>
      <c r="C583" s="8" t="inlineStr">
        <is>
          <t>100%</t>
        </is>
      </c>
      <c r="D583" t="inlineStr"/>
      <c r="E583" s="4" t="n">
        <v>175</v>
      </c>
      <c r="F583" t="inlineStr">
        <is>
          <t>VB</t>
        </is>
      </c>
      <c r="G583" t="inlineStr">
        <is>
          <t>25489 Haselau</t>
        </is>
      </c>
      <c r="H583" s="5" t="n">
        <v>45502</v>
      </c>
      <c r="I583" t="inlineStr">
        <is>
          <t>Sold</t>
        </is>
      </c>
      <c r="J583" s="6">
        <f>HYPERLINK("https://www.dailydose.de/kleinanzeigen/detail.htm?ai=420170&amp;cf=kk&amp;pg=4&amp;ci=2", "Link")</f>
        <v/>
      </c>
      <c r="K583" s="6">
        <f>HYPERLINK("C:\Projects\Kleinanzeigen-Scraper\offer_images\420170", "Link")</f>
        <v/>
      </c>
      <c r="L583" t="inlineStr">
        <is>
          <t>werner_53</t>
        </is>
      </c>
      <c r="M583" s="6">
        <f>HYPERLINK("https://www.dailydose.de/kleinanzeigen/user/24738", "Link")</f>
        <v/>
      </c>
      <c r="N583" s="7" t="n">
        <v>45536.91328703704</v>
      </c>
      <c r="O583" s="3" t="inlineStr">
        <is>
          <t>349.68</t>
        </is>
      </c>
      <c r="P583" t="inlineStr">
        <is>
          <t>Köln</t>
        </is>
      </c>
    </row>
    <row r="584">
      <c r="A584" t="inlineStr">
        <is>
          <t>Severne Gorilla</t>
        </is>
      </c>
      <c r="B584" s="3" t="n">
        <v>400</v>
      </c>
      <c r="C584" s="8" t="inlineStr"/>
      <c r="D584" t="inlineStr">
        <is>
          <t>RDM</t>
        </is>
      </c>
      <c r="E584" s="4" t="n">
        <v>250</v>
      </c>
      <c r="F584" t="inlineStr"/>
      <c r="G584" t="inlineStr">
        <is>
          <t>23769 oder 28357 Fehmarn oder Bremen</t>
        </is>
      </c>
      <c r="H584" s="5" t="n">
        <v>45534</v>
      </c>
      <c r="I584" t="inlineStr"/>
      <c r="J584" s="6">
        <f>HYPERLINK("https://www.dailydose.de/kleinanzeigen/detail.htm?ai=421801&amp;cf=kk&amp;pg=3&amp;ci=2", "Link")</f>
        <v/>
      </c>
      <c r="K584" s="6">
        <f>HYPERLINK("C:\Projects\Kleinanzeigen-Scraper\offer_images\421801", "Link")</f>
        <v/>
      </c>
      <c r="L584" t="inlineStr">
        <is>
          <t>Gold</t>
        </is>
      </c>
      <c r="M584" s="6">
        <f>HYPERLINK("https://www.dailydose.de/kleinanzeigen/user/10200", "Link")</f>
        <v/>
      </c>
      <c r="N584" s="7" t="n">
        <v>45536.91325231481</v>
      </c>
      <c r="O584" s="3" t="inlineStr">
        <is>
          <t>483.01</t>
        </is>
      </c>
      <c r="P584" t="inlineStr">
        <is>
          <t>Köln</t>
        </is>
      </c>
    </row>
    <row r="585">
      <c r="A585" t="inlineStr">
        <is>
          <t>Unifiber</t>
        </is>
      </c>
      <c r="B585" s="3" t="n">
        <v>460</v>
      </c>
      <c r="C585" s="8" t="inlineStr">
        <is>
          <t>100%</t>
        </is>
      </c>
      <c r="D585" t="inlineStr">
        <is>
          <t>RDM</t>
        </is>
      </c>
      <c r="E585" s="4" t="n">
        <v>280</v>
      </c>
      <c r="F585" t="inlineStr"/>
      <c r="G585" t="inlineStr">
        <is>
          <t>86807 Buchloe</t>
        </is>
      </c>
      <c r="H585" s="5" t="n">
        <v>45531</v>
      </c>
      <c r="I585" t="inlineStr"/>
      <c r="J585" s="6">
        <f>HYPERLINK("https://www.dailydose.de/kleinanzeigen/detail.htm?ai=421605&amp;cf=kk&amp;pg=3&amp;ci=2", "Link")</f>
        <v/>
      </c>
      <c r="K585" s="6">
        <f>HYPERLINK("C:\Projects\Kleinanzeigen-Scraper\offer_images\421605", "Link")</f>
        <v/>
      </c>
      <c r="L585" t="inlineStr">
        <is>
          <t>surficus_84</t>
        </is>
      </c>
      <c r="M585" s="6">
        <f>HYPERLINK("https://www.dailydose.de/kleinanzeigen/user/22532", "Link")</f>
        <v/>
      </c>
      <c r="N585" s="7" t="n">
        <v>45536.91319444445</v>
      </c>
      <c r="O585" s="3" t="inlineStr">
        <is>
          <t>63.47</t>
        </is>
      </c>
      <c r="P585" t="inlineStr">
        <is>
          <t>München</t>
        </is>
      </c>
    </row>
    <row r="586">
      <c r="A586" t="inlineStr">
        <is>
          <t>RRD</t>
        </is>
      </c>
      <c r="B586" s="3" t="n">
        <v>400</v>
      </c>
      <c r="C586" s="8" t="inlineStr">
        <is>
          <t>60%</t>
        </is>
      </c>
      <c r="D586" t="inlineStr">
        <is>
          <t>RDM</t>
        </is>
      </c>
      <c r="E586" s="4" t="n">
        <v>100</v>
      </c>
      <c r="F586" t="inlineStr"/>
      <c r="G586" t="inlineStr">
        <is>
          <t>24105 Kiel</t>
        </is>
      </c>
      <c r="H586" s="5" t="n">
        <v>45428</v>
      </c>
      <c r="I586" t="inlineStr">
        <is>
          <t>Sold</t>
        </is>
      </c>
      <c r="J586" s="6">
        <f>HYPERLINK("https://www.dailydose.de/kleinanzeigen/detail.htm?ai=416152&amp;cf=kk&amp;pg=5&amp;ci=2", "Link")</f>
        <v/>
      </c>
      <c r="K586" s="6">
        <f>HYPERLINK("C:\Projects\Kleinanzeigen-Scraper\offer_images\416152", "Link")</f>
        <v/>
      </c>
      <c r="L586" t="inlineStr">
        <is>
          <t>Max_195</t>
        </is>
      </c>
      <c r="M586" s="6">
        <f>HYPERLINK("https://www.dailydose.de/kleinanzeigen/user/16244", "Link")</f>
        <v/>
      </c>
      <c r="N586" s="7" t="n">
        <v>45536.91319444445</v>
      </c>
      <c r="O586" s="3" t="inlineStr">
        <is>
          <t>435.05</t>
        </is>
      </c>
      <c r="P586" t="inlineStr">
        <is>
          <t>Köln</t>
        </is>
      </c>
    </row>
    <row r="587">
      <c r="A587" t="inlineStr">
        <is>
          <t>Gun Sails Mast select</t>
        </is>
      </c>
      <c r="B587" s="3" t="n">
        <v>400</v>
      </c>
      <c r="C587" s="8" t="inlineStr">
        <is>
          <t>100%</t>
        </is>
      </c>
      <c r="D587" t="inlineStr"/>
      <c r="E587" s="4" t="n">
        <v>280</v>
      </c>
      <c r="F587" t="inlineStr"/>
      <c r="G587" t="inlineStr">
        <is>
          <t>66125 saarbrücken</t>
        </is>
      </c>
      <c r="H587" s="5" t="n">
        <v>45530</v>
      </c>
      <c r="I587" t="inlineStr"/>
      <c r="J587" s="6">
        <f>HYPERLINK("https://www.dailydose.de/kleinanzeigen/detail.htm?ai=421487&amp;cf=kk&amp;pg=3&amp;ci=2", "Link")</f>
        <v/>
      </c>
      <c r="K587" s="6">
        <f>HYPERLINK("C:\Projects\Kleinanzeigen-Scraper\offer_images\421487", "Link")</f>
        <v/>
      </c>
      <c r="L587" t="inlineStr">
        <is>
          <t>flow</t>
        </is>
      </c>
      <c r="M587" s="6">
        <f>HYPERLINK("https://www.dailydose.de/kleinanzeigen/user/8414", "Link")</f>
        <v/>
      </c>
      <c r="N587" s="7" t="n">
        <v>45536.91313657408</v>
      </c>
      <c r="O587" s="3" t="inlineStr">
        <is>
          <t>104.07</t>
        </is>
      </c>
      <c r="P587" t="inlineStr">
        <is>
          <t>Karlsruhe</t>
        </is>
      </c>
    </row>
    <row r="588">
      <c r="A588" t="inlineStr">
        <is>
          <t>Gaastra</t>
        </is>
      </c>
      <c r="B588" s="3" t="n">
        <v>370</v>
      </c>
      <c r="C588" s="8" t="inlineStr">
        <is>
          <t>75%</t>
        </is>
      </c>
      <c r="D588" t="inlineStr">
        <is>
          <t>RDM</t>
        </is>
      </c>
      <c r="E588" s="4" t="n">
        <v>110</v>
      </c>
      <c r="F588" t="inlineStr">
        <is>
          <t>VB</t>
        </is>
      </c>
      <c r="G588" t="inlineStr">
        <is>
          <t>24103 Kiel</t>
        </is>
      </c>
      <c r="H588" s="5" t="n">
        <v>45532</v>
      </c>
      <c r="I588" t="inlineStr"/>
      <c r="J588" s="6">
        <f>HYPERLINK("https://www.dailydose.de/kleinanzeigen/detail.htm?ai=421642&amp;cf=kk&amp;pg=3&amp;ci=2", "Link")</f>
        <v/>
      </c>
      <c r="K588" s="6">
        <f>HYPERLINK("C:\Projects\Kleinanzeigen-Scraper\offer_images\421642", "Link")</f>
        <v/>
      </c>
      <c r="L588" t="inlineStr">
        <is>
          <t>Wiebke_172</t>
        </is>
      </c>
      <c r="M588" s="6">
        <f>HYPERLINK("https://www.dailydose.de/kleinanzeigen/user/25015", "Link")</f>
        <v/>
      </c>
      <c r="N588" s="7" t="n">
        <v>45536.91298611111</v>
      </c>
      <c r="O588" s="3" t="inlineStr">
        <is>
          <t>433.13</t>
        </is>
      </c>
      <c r="P588" t="inlineStr">
        <is>
          <t>Köln</t>
        </is>
      </c>
    </row>
    <row r="589">
      <c r="A589" t="inlineStr">
        <is>
          <t>Sevene Red</t>
        </is>
      </c>
      <c r="B589" s="3" t="n">
        <v>400</v>
      </c>
      <c r="C589" s="8" t="inlineStr"/>
      <c r="D589" t="inlineStr"/>
      <c r="E589" s="4" t="n">
        <v>550</v>
      </c>
      <c r="F589" t="inlineStr">
        <is>
          <t>VB</t>
        </is>
      </c>
      <c r="G589" t="inlineStr">
        <is>
          <t>78315 Radolfzell</t>
        </is>
      </c>
      <c r="H589" s="5" t="n">
        <v>45531</v>
      </c>
      <c r="I589" t="inlineStr"/>
      <c r="J589" s="6">
        <f>HYPERLINK("https://www.dailydose.de/kleinanzeigen/detail.htm?ai=421528&amp;cf=kk&amp;pg=3&amp;ci=2", "Link")</f>
        <v/>
      </c>
      <c r="K589" s="6">
        <f>HYPERLINK("C:\Projects\Kleinanzeigen-Scraper\offer_images\421528", "Link")</f>
        <v/>
      </c>
      <c r="L589" t="inlineStr">
        <is>
          <t>Lorch G</t>
        </is>
      </c>
      <c r="M589" s="6">
        <f>HYPERLINK("https://www.dailydose.de/kleinanzeigen/user/10943", "Link")</f>
        <v/>
      </c>
      <c r="N589" s="7" t="n">
        <v>45536.9128587963</v>
      </c>
      <c r="O589" s="3" t="inlineStr">
        <is>
          <t>48.46</t>
        </is>
      </c>
      <c r="P589" t="inlineStr">
        <is>
          <t>Bonndorf</t>
        </is>
      </c>
    </row>
    <row r="590">
      <c r="A590" t="inlineStr">
        <is>
          <t>GunSails Mast 460 C35</t>
        </is>
      </c>
      <c r="B590" s="3" t="n">
        <v>460</v>
      </c>
      <c r="C590" s="8" t="n">
        <v>35</v>
      </c>
      <c r="D590" t="inlineStr">
        <is>
          <t>SDM</t>
        </is>
      </c>
      <c r="E590" s="4" t="n">
        <v>50</v>
      </c>
      <c r="F590" t="inlineStr">
        <is>
          <t>VB</t>
        </is>
      </c>
      <c r="G590" t="inlineStr">
        <is>
          <t>28205 Bremen</t>
        </is>
      </c>
      <c r="H590" s="5" t="n">
        <v>45500</v>
      </c>
      <c r="I590" t="inlineStr"/>
      <c r="J590" s="6">
        <f>HYPERLINK("https://www.dailydose.de/kleinanzeigen/detail.htm?ai=420025&amp;cf=kk&amp;pg=4&amp;ci=2", "Link")</f>
        <v/>
      </c>
      <c r="K590" s="6">
        <f>HYPERLINK("C:\Projects\Kleinanzeigen-Scraper\offer_images\420025", "Link")</f>
        <v/>
      </c>
      <c r="L590" t="inlineStr">
        <is>
          <t>Axel88</t>
        </is>
      </c>
      <c r="M590" s="6">
        <f>HYPERLINK("https://www.dailydose.de/kleinanzeigen/user/26192", "Link")</f>
        <v/>
      </c>
      <c r="N590" s="7" t="n">
        <v>45536.91280092593</v>
      </c>
      <c r="O590" s="3" t="inlineStr">
        <is>
          <t>269.99</t>
        </is>
      </c>
      <c r="P590" t="inlineStr">
        <is>
          <t>Köln</t>
        </is>
      </c>
    </row>
    <row r="591">
      <c r="A591" t="inlineStr">
        <is>
          <t>Challenger Aero</t>
        </is>
      </c>
      <c r="B591" s="3" t="n">
        <v>520</v>
      </c>
      <c r="C591" s="8" t="inlineStr">
        <is>
          <t>100%</t>
        </is>
      </c>
      <c r="D591" t="inlineStr"/>
      <c r="E591" s="4" t="n">
        <v>150</v>
      </c>
      <c r="F591" t="inlineStr">
        <is>
          <t>VB</t>
        </is>
      </c>
      <c r="G591" t="inlineStr">
        <is>
          <t>59846  Sundern</t>
        </is>
      </c>
      <c r="H591" s="5" t="n">
        <v>45497</v>
      </c>
      <c r="I591" t="inlineStr">
        <is>
          <t>Sold</t>
        </is>
      </c>
      <c r="J591" s="6">
        <f>HYPERLINK("https://www.dailydose.de/kleinanzeigen/detail.htm?ai=419937&amp;cf=kk&amp;pg=4&amp;ci=2", "Link")</f>
        <v/>
      </c>
      <c r="K591" s="6">
        <f>HYPERLINK("C:\Projects\Kleinanzeigen-Scraper\offer_images\419937", "Link")</f>
        <v/>
      </c>
      <c r="L591" t="inlineStr">
        <is>
          <t>Andreas_92</t>
        </is>
      </c>
      <c r="M591" s="6">
        <f>HYPERLINK("https://www.dailydose.de/kleinanzeigen/user/3605", "Link")</f>
        <v/>
      </c>
      <c r="N591" s="7" t="n">
        <v>45536.91278935185</v>
      </c>
      <c r="O591" s="3" t="inlineStr">
        <is>
          <t>82.38</t>
        </is>
      </c>
      <c r="P591" t="inlineStr">
        <is>
          <t>Köln</t>
        </is>
      </c>
    </row>
    <row r="592">
      <c r="A592" t="inlineStr">
        <is>
          <t>RRD</t>
        </is>
      </c>
      <c r="B592" s="3" t="n">
        <v>400</v>
      </c>
      <c r="C592" s="8" t="inlineStr">
        <is>
          <t>100%</t>
        </is>
      </c>
      <c r="D592" t="inlineStr">
        <is>
          <t>RDM</t>
        </is>
      </c>
      <c r="E592" s="4" t="n">
        <v>200</v>
      </c>
      <c r="F592" t="inlineStr"/>
      <c r="G592" t="inlineStr">
        <is>
          <t>63486 bruchköbel</t>
        </is>
      </c>
      <c r="H592" s="5" t="n">
        <v>45503</v>
      </c>
      <c r="I592" t="inlineStr"/>
      <c r="J592" s="6">
        <f>HYPERLINK("https://www.dailydose.de/kleinanzeigen/detail.htm?ai=420185&amp;cf=kk&amp;pg=4&amp;ci=2", "Link")</f>
        <v/>
      </c>
      <c r="K592" s="6">
        <f>HYPERLINK("C:\Projects\Kleinanzeigen-Scraper\offer_images\420185", "Link")</f>
        <v/>
      </c>
      <c r="L592" t="inlineStr">
        <is>
          <t>j_15</t>
        </is>
      </c>
      <c r="M592" s="6">
        <f>HYPERLINK("https://www.dailydose.de/kleinanzeigen/user/13405", "Link")</f>
        <v/>
      </c>
      <c r="N592" s="7" t="n">
        <v>45536.91276620371</v>
      </c>
      <c r="O592" s="3" t="inlineStr">
        <is>
          <t>136.28</t>
        </is>
      </c>
      <c r="P592" t="inlineStr">
        <is>
          <t>Karlsruhe</t>
        </is>
      </c>
    </row>
    <row r="593">
      <c r="A593" t="inlineStr">
        <is>
          <t>Severne</t>
        </is>
      </c>
      <c r="B593" s="3" t="n">
        <v>430</v>
      </c>
      <c r="C593" s="8" t="inlineStr">
        <is>
          <t>100%</t>
        </is>
      </c>
      <c r="D593" t="inlineStr">
        <is>
          <t>RDM</t>
        </is>
      </c>
      <c r="E593" s="4" t="n">
        <v>435</v>
      </c>
      <c r="F593" t="inlineStr"/>
      <c r="G593" t="inlineStr">
        <is>
          <t>91619 b. Nürnberg</t>
        </is>
      </c>
      <c r="H593" s="5" t="n">
        <v>45530</v>
      </c>
      <c r="I593" t="inlineStr"/>
      <c r="J593" s="6">
        <f>HYPERLINK("https://www.dailydose.de/kleinanzeigen/detail.htm?ai=421508&amp;cf=kk&amp;pg=3&amp;ci=2", "Link")</f>
        <v/>
      </c>
      <c r="K593" s="6">
        <f>HYPERLINK("C:\Projects\Kleinanzeigen-Scraper\offer_images\421508", "Link")</f>
        <v/>
      </c>
      <c r="L593" t="inlineStr">
        <is>
          <t>Ralf_31</t>
        </is>
      </c>
      <c r="M593" s="6">
        <f>HYPERLINK("https://www.dailydose.de/kleinanzeigen/user/13888", "Link")</f>
        <v/>
      </c>
      <c r="N593" s="7" t="n">
        <v>45536.91273148148</v>
      </c>
      <c r="O593" s="3" t="inlineStr">
        <is>
          <t>138.44</t>
        </is>
      </c>
      <c r="P593" t="inlineStr">
        <is>
          <t>Böblingen</t>
        </is>
      </c>
    </row>
    <row r="594">
      <c r="A594" t="inlineStr">
        <is>
          <t>NeilPryde SPX 95</t>
        </is>
      </c>
      <c r="B594" s="3" t="n">
        <v>490</v>
      </c>
      <c r="C594" s="8" t="inlineStr"/>
      <c r="D594" t="inlineStr"/>
      <c r="E594" s="4" t="n">
        <v>390</v>
      </c>
      <c r="F594" t="inlineStr">
        <is>
          <t>VB</t>
        </is>
      </c>
      <c r="G594" t="inlineStr">
        <is>
          <t>47807 Krefeld</t>
        </is>
      </c>
      <c r="H594" s="5" t="n">
        <v>45465</v>
      </c>
      <c r="I594" t="inlineStr"/>
      <c r="J594" s="6">
        <f>HYPERLINK("https://www.dailydose.de/kleinanzeigen/detail.htm?ai=418254&amp;cf=kk&amp;pg=5&amp;ci=2", "Link")</f>
        <v/>
      </c>
      <c r="K594" s="6">
        <f>HYPERLINK("C:\Projects\Kleinanzeigen-Scraper\offer_images\418254", "Link")</f>
        <v/>
      </c>
      <c r="L594" t="inlineStr">
        <is>
          <t>Surfinator</t>
        </is>
      </c>
      <c r="M594" s="6">
        <f>HYPERLINK("https://www.dailydose.de/kleinanzeigen/user/5618", "Link")</f>
        <v/>
      </c>
      <c r="N594" s="7" t="n">
        <v>45536.91269675926</v>
      </c>
      <c r="O594" s="3" t="inlineStr">
        <is>
          <t>48.26</t>
        </is>
      </c>
      <c r="P594" t="inlineStr">
        <is>
          <t>Köln</t>
        </is>
      </c>
    </row>
    <row r="595">
      <c r="A595" t="inlineStr">
        <is>
          <t>Gunsails Cross</t>
        </is>
      </c>
      <c r="B595" s="3" t="n">
        <v>460</v>
      </c>
      <c r="C595" s="8" t="inlineStr">
        <is>
          <t>50%</t>
        </is>
      </c>
      <c r="D595" t="inlineStr">
        <is>
          <t>RDM</t>
        </is>
      </c>
      <c r="E595" s="4" t="n">
        <v>180</v>
      </c>
      <c r="F595" t="inlineStr">
        <is>
          <t>VB</t>
        </is>
      </c>
      <c r="G595" t="inlineStr">
        <is>
          <t>38116 Braunschweig</t>
        </is>
      </c>
      <c r="H595" s="5" t="n">
        <v>45477</v>
      </c>
      <c r="I595" t="inlineStr"/>
      <c r="J595" s="6">
        <f>HYPERLINK("https://www.dailydose.de/kleinanzeigen/detail.htm?ai=418860&amp;cf=kk&amp;pg=5&amp;ci=2", "Link")</f>
        <v/>
      </c>
      <c r="K595" s="6">
        <f>HYPERLINK("C:\Projects\Kleinanzeigen-Scraper\offer_images\418860", "Link")</f>
        <v/>
      </c>
      <c r="L595" t="inlineStr">
        <is>
          <t>Tim B_23</t>
        </is>
      </c>
      <c r="M595" s="6">
        <f>HYPERLINK("https://www.dailydose.de/kleinanzeigen/user/23548", "Link")</f>
        <v/>
      </c>
      <c r="N595" s="7" t="n">
        <v>45536.91266203704</v>
      </c>
      <c r="O595" s="3" t="inlineStr">
        <is>
          <t>283.60</t>
        </is>
      </c>
      <c r="P595" t="inlineStr">
        <is>
          <t>Köln</t>
        </is>
      </c>
    </row>
    <row r="596">
      <c r="A596" t="inlineStr">
        <is>
          <t>Duotone Platinum Series SLS</t>
        </is>
      </c>
      <c r="B596" s="3" t="n">
        <v>430</v>
      </c>
      <c r="C596" s="8" t="inlineStr"/>
      <c r="D596" t="inlineStr">
        <is>
          <t>SDM</t>
        </is>
      </c>
      <c r="E596" s="4" t="n">
        <v>497</v>
      </c>
      <c r="F596" t="inlineStr"/>
      <c r="G596" t="inlineStr">
        <is>
          <t>24118 Kiel</t>
        </is>
      </c>
      <c r="H596" s="5" t="n">
        <v>45484</v>
      </c>
      <c r="I596" t="inlineStr">
        <is>
          <t>Sold</t>
        </is>
      </c>
      <c r="J596" s="6">
        <f>HYPERLINK("https://www.dailydose.de/kleinanzeigen/detail.htm?ai=419210&amp;cf=kk&amp;pg=4&amp;ci=2", "Link")</f>
        <v/>
      </c>
      <c r="K596" s="6">
        <f>HYPERLINK("C:\Projects\Kleinanzeigen-Scraper\offer_images\419210", "Link")</f>
        <v/>
      </c>
      <c r="L596" t="inlineStr">
        <is>
          <t>Jonas_Naumann</t>
        </is>
      </c>
      <c r="M596" s="6">
        <f>HYPERLINK("https://www.dailydose.de/kleinanzeigen/user/26099", "Link")</f>
        <v/>
      </c>
      <c r="N596" s="7" t="n">
        <v>45536.91256944444</v>
      </c>
      <c r="O596" s="3" t="inlineStr">
        <is>
          <t>434.29</t>
        </is>
      </c>
      <c r="P596" t="inlineStr">
        <is>
          <t>Köln</t>
        </is>
      </c>
    </row>
    <row r="597">
      <c r="A597" t="inlineStr">
        <is>
          <t>Local Spirit Aero 50</t>
        </is>
      </c>
      <c r="B597" s="3" t="n">
        <v>400</v>
      </c>
      <c r="C597" s="8" t="inlineStr"/>
      <c r="D597" t="inlineStr"/>
      <c r="E597" s="4" t="n">
        <v>60</v>
      </c>
      <c r="F597" t="inlineStr"/>
      <c r="G597" t="inlineStr">
        <is>
          <t>20457 Hamburg</t>
        </is>
      </c>
      <c r="H597" s="5" t="n">
        <v>45417</v>
      </c>
      <c r="I597" t="inlineStr">
        <is>
          <t>Sold</t>
        </is>
      </c>
      <c r="J597" s="6">
        <f>HYPERLINK("https://www.dailydose.de/kleinanzeigen/detail.htm?ai=415520&amp;cf=kk&amp;pg=5&amp;ci=2", "Link")</f>
        <v/>
      </c>
      <c r="K597" s="6">
        <f>HYPERLINK("C:\Projects\Kleinanzeigen-Scraper\offer_images\415520", "Link")</f>
        <v/>
      </c>
      <c r="L597" t="inlineStr">
        <is>
          <t>Irieman</t>
        </is>
      </c>
      <c r="M597" s="6">
        <f>HYPERLINK("https://www.dailydose.de/kleinanzeigen/user/10662", "Link")</f>
        <v/>
      </c>
      <c r="N597" s="7" t="n">
        <v>45536.91253472222</v>
      </c>
      <c r="O597" s="3" t="inlineStr">
        <is>
          <t>354.54</t>
        </is>
      </c>
      <c r="P597" t="inlineStr">
        <is>
          <t>Köln</t>
        </is>
      </c>
    </row>
    <row r="598">
      <c r="A598" t="inlineStr">
        <is>
          <t>Unifiber</t>
        </is>
      </c>
      <c r="B598" s="3" t="n">
        <v>430</v>
      </c>
      <c r="C598" s="8" t="inlineStr">
        <is>
          <t>100%</t>
        </is>
      </c>
      <c r="D598" t="inlineStr">
        <is>
          <t>RDM</t>
        </is>
      </c>
      <c r="E598" s="4" t="n">
        <v>250</v>
      </c>
      <c r="F598" t="inlineStr"/>
      <c r="G598" t="inlineStr">
        <is>
          <t>86807 Buchloe</t>
        </is>
      </c>
      <c r="H598" s="5" t="n">
        <v>45531</v>
      </c>
      <c r="I598" t="inlineStr"/>
      <c r="J598" s="6">
        <f>HYPERLINK("https://www.dailydose.de/kleinanzeigen/detail.htm?ai=421606&amp;cf=kk&amp;pg=3&amp;ci=2", "Link")</f>
        <v/>
      </c>
      <c r="K598" s="6">
        <f>HYPERLINK("C:\Projects\Kleinanzeigen-Scraper\offer_images\421606", "Link")</f>
        <v/>
      </c>
      <c r="L598" t="inlineStr">
        <is>
          <t>surficus_84</t>
        </is>
      </c>
      <c r="M598" s="6">
        <f>HYPERLINK("https://www.dailydose.de/kleinanzeigen/user/22532", "Link")</f>
        <v/>
      </c>
      <c r="N598" s="7" t="n">
        <v>45536.91253472222</v>
      </c>
      <c r="O598" s="3" t="inlineStr">
        <is>
          <t>63.47</t>
        </is>
      </c>
      <c r="P598" t="inlineStr">
        <is>
          <t>München</t>
        </is>
      </c>
    </row>
    <row r="599">
      <c r="A599" t="inlineStr">
        <is>
          <t>Neil Pryde C30</t>
        </is>
      </c>
      <c r="B599" s="3" t="n">
        <v>490</v>
      </c>
      <c r="C599" s="8" t="inlineStr">
        <is>
          <t>30%</t>
        </is>
      </c>
      <c r="D599" t="inlineStr"/>
      <c r="E599" s="4" t="n">
        <v>40</v>
      </c>
      <c r="F599" t="inlineStr"/>
      <c r="G599" t="inlineStr">
        <is>
          <t>51427 Bergisch Gladbach</t>
        </is>
      </c>
      <c r="H599" s="5" t="n">
        <v>45490</v>
      </c>
      <c r="I599" t="inlineStr"/>
      <c r="J599" s="6">
        <f>HYPERLINK("https://www.dailydose.de/kleinanzeigen/detail.htm?ai=419567&amp;cf=kk&amp;pg=4&amp;ci=2", "Link")</f>
        <v/>
      </c>
      <c r="K599" s="6">
        <f>HYPERLINK("C:\Projects\Kleinanzeigen-Scraper\offer_images\419567", "Link")</f>
        <v/>
      </c>
      <c r="L599" t="inlineStr">
        <is>
          <t>E. Hoffmann_84</t>
        </is>
      </c>
      <c r="M599" s="6">
        <f>HYPERLINK("https://www.dailydose.de/kleinanzeigen/user/7775", "Link")</f>
        <v/>
      </c>
      <c r="N599" s="7" t="n">
        <v>45536.91251157408</v>
      </c>
      <c r="O599" s="3" t="inlineStr">
        <is>
          <t>12.28</t>
        </is>
      </c>
      <c r="P599" t="inlineStr">
        <is>
          <t>Köln</t>
        </is>
      </c>
    </row>
    <row r="600">
      <c r="A600" t="inlineStr">
        <is>
          <t>Gun Sails Loop</t>
        </is>
      </c>
      <c r="B600" s="3" t="n">
        <v>370</v>
      </c>
      <c r="C600" s="8" t="inlineStr">
        <is>
          <t>75%</t>
        </is>
      </c>
      <c r="D600" t="inlineStr">
        <is>
          <t>SDM</t>
        </is>
      </c>
      <c r="E600" s="4" t="n">
        <v>70</v>
      </c>
      <c r="F600" t="inlineStr">
        <is>
          <t>VB</t>
        </is>
      </c>
      <c r="G600" t="inlineStr">
        <is>
          <t>80339 München</t>
        </is>
      </c>
      <c r="H600" s="5" t="n">
        <v>45502</v>
      </c>
      <c r="I600" t="inlineStr">
        <is>
          <t>Sold</t>
        </is>
      </c>
      <c r="J600" s="6">
        <f>HYPERLINK("https://www.dailydose.de/kleinanzeigen/detail.htm?ai=420126&amp;cf=kk&amp;pg=4&amp;ci=2", "Link")</f>
        <v/>
      </c>
      <c r="K600" s="6">
        <f>HYPERLINK("C:\Projects\Kleinanzeigen-Scraper\offer_images\420126", "Link")</f>
        <v/>
      </c>
      <c r="L600" t="inlineStr">
        <is>
          <t>Timo Kusior</t>
        </is>
      </c>
      <c r="M600" s="6">
        <f>HYPERLINK("https://www.dailydose.de/kleinanzeigen/user/23642", "Link")</f>
        <v/>
      </c>
      <c r="N600" s="7" t="n">
        <v>45536.91251157408</v>
      </c>
      <c r="O600" s="3" t="inlineStr">
        <is>
          <t>2.57</t>
        </is>
      </c>
      <c r="P600" t="inlineStr">
        <is>
          <t>München</t>
        </is>
      </c>
    </row>
    <row r="601">
      <c r="A601" t="inlineStr">
        <is>
          <t>Hotsails Maui Monster</t>
        </is>
      </c>
      <c r="B601" s="3" t="n">
        <v>370</v>
      </c>
      <c r="C601" s="8" t="inlineStr">
        <is>
          <t>65%</t>
        </is>
      </c>
      <c r="D601" t="inlineStr">
        <is>
          <t>RDM</t>
        </is>
      </c>
      <c r="E601" s="4" t="n">
        <v>249</v>
      </c>
      <c r="F601" t="inlineStr"/>
      <c r="G601" t="inlineStr">
        <is>
          <t>27639 Fehmarn</t>
        </is>
      </c>
      <c r="H601" s="5" t="n">
        <v>45449</v>
      </c>
      <c r="I601" t="inlineStr">
        <is>
          <t>Sold</t>
        </is>
      </c>
      <c r="J601" s="6">
        <f>HYPERLINK("https://www.dailydose.de/kleinanzeigen/detail.htm?ai=417437&amp;cf=kk&amp;pg=5&amp;ci=2", "Link")</f>
        <v/>
      </c>
      <c r="K601" s="6">
        <f>HYPERLINK("C:\Projects\Kleinanzeigen-Scraper\offer_images\417437", "Link")</f>
        <v/>
      </c>
      <c r="L601" t="inlineStr">
        <is>
          <t>Gold</t>
        </is>
      </c>
      <c r="M601" s="6">
        <f>HYPERLINK("https://www.dailydose.de/kleinanzeigen/user/10200", "Link")</f>
        <v/>
      </c>
      <c r="N601" s="7" t="n">
        <v>45536.91247685185</v>
      </c>
      <c r="O601" s="3" t="inlineStr">
        <is>
          <t>332.52</t>
        </is>
      </c>
      <c r="P601" t="inlineStr">
        <is>
          <t>Köln</t>
        </is>
      </c>
    </row>
    <row r="602">
      <c r="A602" t="inlineStr">
        <is>
          <t>North Xcellerator</t>
        </is>
      </c>
      <c r="B602" s="3" t="n">
        <v>490</v>
      </c>
      <c r="C602" s="8" t="inlineStr">
        <is>
          <t>60%</t>
        </is>
      </c>
      <c r="D602" t="inlineStr">
        <is>
          <t>SDM</t>
        </is>
      </c>
      <c r="E602" s="4" t="n">
        <v>80</v>
      </c>
      <c r="F602" t="inlineStr"/>
      <c r="G602" t="inlineStr">
        <is>
          <t>22453 Hamburg</t>
        </is>
      </c>
      <c r="H602" s="5" t="n">
        <v>45468</v>
      </c>
      <c r="I602" t="inlineStr"/>
      <c r="J602" s="6">
        <f>HYPERLINK("https://www.dailydose.de/kleinanzeigen/detail.htm?ai=418446&amp;cf=kk&amp;pg=5&amp;ci=2", "Link")</f>
        <v/>
      </c>
      <c r="K602" s="6">
        <f>HYPERLINK("C:\Projects\Kleinanzeigen-Scraper\offer_images\418446", "Link")</f>
        <v/>
      </c>
      <c r="L602" t="inlineStr">
        <is>
          <t>Max_111</t>
        </is>
      </c>
      <c r="M602" s="6">
        <f>HYPERLINK("https://www.dailydose.de/kleinanzeigen/user/22360", "Link")</f>
        <v/>
      </c>
      <c r="N602" s="7" t="n">
        <v>45536.91247685185</v>
      </c>
      <c r="O602" s="3" t="inlineStr">
        <is>
          <t>361.03</t>
        </is>
      </c>
      <c r="P602" t="inlineStr">
        <is>
          <t>Köln</t>
        </is>
      </c>
    </row>
    <row r="603">
      <c r="A603" t="inlineStr">
        <is>
          <t>North Sails Black Label</t>
        </is>
      </c>
      <c r="B603" s="3" t="n">
        <v>370</v>
      </c>
      <c r="C603" s="8" t="inlineStr">
        <is>
          <t>100%</t>
        </is>
      </c>
      <c r="D603" t="inlineStr">
        <is>
          <t>RDM</t>
        </is>
      </c>
      <c r="E603" s="4" t="n">
        <v>150</v>
      </c>
      <c r="F603" t="inlineStr">
        <is>
          <t>VB</t>
        </is>
      </c>
      <c r="G603" t="inlineStr">
        <is>
          <t>21502 Geesthacht</t>
        </is>
      </c>
      <c r="H603" s="5" t="n">
        <v>45532</v>
      </c>
      <c r="I603" t="inlineStr">
        <is>
          <t>Sold</t>
        </is>
      </c>
      <c r="J603" s="6">
        <f>HYPERLINK("https://www.dailydose.de/kleinanzeigen/detail.htm?ai=421653&amp;cf=kk&amp;pg=2&amp;ci=2", "Link")</f>
        <v/>
      </c>
      <c r="K603" s="6">
        <f>HYPERLINK("C:\Projects\Kleinanzeigen-Scraper\offer_images\421653", "Link")</f>
        <v/>
      </c>
      <c r="L603" t="inlineStr">
        <is>
          <t>oavp</t>
        </is>
      </c>
      <c r="M603" s="6">
        <f>HYPERLINK("https://www.dailydose.de/kleinanzeigen/user/26332", "Link")</f>
        <v/>
      </c>
      <c r="N603" s="7" t="n">
        <v>45536.91240740741</v>
      </c>
      <c r="O603" s="3" t="inlineStr">
        <is>
          <t>364.52</t>
        </is>
      </c>
      <c r="P603" t="inlineStr">
        <is>
          <t>Köln</t>
        </is>
      </c>
    </row>
    <row r="604">
      <c r="A604" t="inlineStr">
        <is>
          <t>Gaastra</t>
        </is>
      </c>
      <c r="B604" s="3" t="n">
        <v>490</v>
      </c>
      <c r="C604" s="8" t="inlineStr">
        <is>
          <t>100%</t>
        </is>
      </c>
      <c r="D604" t="inlineStr">
        <is>
          <t>SDM</t>
        </is>
      </c>
      <c r="E604" s="4" t="n">
        <v>350</v>
      </c>
      <c r="F604" t="inlineStr"/>
      <c r="G604" t="inlineStr">
        <is>
          <t>24539 Neumünster</t>
        </is>
      </c>
      <c r="H604" s="5" t="n">
        <v>45509</v>
      </c>
      <c r="I604" t="inlineStr"/>
      <c r="J604" s="6">
        <f>HYPERLINK("https://www.dailydose.de/kleinanzeigen/detail.htm?ai=420451&amp;cf=kk&amp;pg=4&amp;ci=2", "Link")</f>
        <v/>
      </c>
      <c r="K604" s="6">
        <f>HYPERLINK("C:\Projects\Kleinanzeigen-Scraper\offer_images\420451", "Link")</f>
        <v/>
      </c>
      <c r="L604" t="inlineStr">
        <is>
          <t>Lars Bubelach</t>
        </is>
      </c>
      <c r="M604" s="6">
        <f>HYPERLINK("https://www.dailydose.de/kleinanzeigen/user/14076", "Link")</f>
        <v/>
      </c>
      <c r="N604" s="7" t="n">
        <v>45536.91240740741</v>
      </c>
      <c r="O604" s="3" t="inlineStr">
        <is>
          <t>402.09</t>
        </is>
      </c>
      <c r="P604" t="inlineStr">
        <is>
          <t>Köln</t>
        </is>
      </c>
    </row>
    <row r="605">
      <c r="A605" t="inlineStr">
        <is>
          <t>YES PERFORMANCE</t>
        </is>
      </c>
      <c r="B605" s="3" t="n">
        <v>430</v>
      </c>
      <c r="C605" s="8" t="inlineStr">
        <is>
          <t>70%</t>
        </is>
      </c>
      <c r="D605" t="inlineStr">
        <is>
          <t>SDM</t>
        </is>
      </c>
      <c r="E605" s="4" t="n">
        <v>150</v>
      </c>
      <c r="F605" t="inlineStr">
        <is>
          <t>VB</t>
        </is>
      </c>
      <c r="G605" t="inlineStr">
        <is>
          <t>13589 BERLIN</t>
        </is>
      </c>
      <c r="H605" s="5" t="n">
        <v>45466</v>
      </c>
      <c r="I605" t="inlineStr"/>
      <c r="J605" s="6">
        <f>HYPERLINK("https://www.dailydose.de/kleinanzeigen/detail.htm?ai=418330&amp;cf=kk&amp;pg=5&amp;ci=2", "Link")</f>
        <v/>
      </c>
      <c r="K605" s="6">
        <f>HYPERLINK("C:\Projects\Kleinanzeigen-Scraper\offer_images\418330", "Link")</f>
        <v/>
      </c>
      <c r="L605" t="inlineStr">
        <is>
          <t>DocWave</t>
        </is>
      </c>
      <c r="M605" s="6">
        <f>HYPERLINK("https://www.dailydose.de/kleinanzeigen/user/7138", "Link")</f>
        <v/>
      </c>
      <c r="N605" s="7" t="n">
        <v>45536.91238425926</v>
      </c>
      <c r="O605" s="3" t="inlineStr">
        <is>
          <t>463.63</t>
        </is>
      </c>
      <c r="P605" t="inlineStr">
        <is>
          <t>Köln</t>
        </is>
      </c>
    </row>
    <row r="606">
      <c r="A606" t="inlineStr">
        <is>
          <t>GUNSAILS RDM Expert</t>
        </is>
      </c>
      <c r="B606" s="3" t="n">
        <v>400</v>
      </c>
      <c r="C606" s="8" t="inlineStr"/>
      <c r="D606" t="inlineStr">
        <is>
          <t>RDM</t>
        </is>
      </c>
      <c r="E606" s="4" t="n">
        <v>270</v>
      </c>
      <c r="F606" t="inlineStr"/>
      <c r="G606" t="inlineStr">
        <is>
          <t>Kiel, Hamburg, DK</t>
        </is>
      </c>
      <c r="H606" s="5" t="n">
        <v>45482</v>
      </c>
      <c r="I606" t="inlineStr">
        <is>
          <t>Sold</t>
        </is>
      </c>
      <c r="J606" s="6">
        <f>HYPERLINK("https://www.dailydose.de/kleinanzeigen/detail.htm?ai=419094&amp;cf=kk&amp;pg=4&amp;ci=2", "Link")</f>
        <v/>
      </c>
      <c r="K606" s="6">
        <f>HYPERLINK("C:\Projects\Kleinanzeigen-Scraper\offer_images\419094", "Link")</f>
        <v/>
      </c>
      <c r="L606" t="inlineStr">
        <is>
          <t>Strand</t>
        </is>
      </c>
      <c r="M606" s="6">
        <f>HYPERLINK("https://www.dailydose.de/kleinanzeigen/user/2078", "Link")</f>
        <v/>
      </c>
      <c r="N606" s="7" t="n">
        <v>45536.91238425926</v>
      </c>
      <c r="O606" s="3" t="inlineStr">
        <is>
          <t>575.52</t>
        </is>
      </c>
      <c r="P606" t="inlineStr">
        <is>
          <t>Köln</t>
        </is>
      </c>
    </row>
    <row r="607">
      <c r="A607" t="inlineStr">
        <is>
          <t>S2 Maui Venom</t>
        </is>
      </c>
      <c r="B607" s="3" t="n">
        <v>490</v>
      </c>
      <c r="C607" s="8" t="inlineStr">
        <is>
          <t>100%</t>
        </is>
      </c>
      <c r="D607" t="inlineStr">
        <is>
          <t>SDM</t>
        </is>
      </c>
      <c r="E607" s="4" t="n">
        <v>350</v>
      </c>
      <c r="F607" t="inlineStr"/>
      <c r="G607" t="inlineStr">
        <is>
          <t>23769 Fehmarn</t>
        </is>
      </c>
      <c r="H607" s="5" t="n">
        <v>45498</v>
      </c>
      <c r="I607" t="inlineStr"/>
      <c r="J607" s="6">
        <f>HYPERLINK("https://www.dailydose.de/kleinanzeigen/detail.htm?ai=419971&amp;cf=kk&amp;pg=4&amp;ci=2", "Link")</f>
        <v/>
      </c>
      <c r="K607" s="6">
        <f>HYPERLINK("C:\Projects\Kleinanzeigen-Scraper\offer_images\419971", "Link")</f>
        <v/>
      </c>
      <c r="L607" t="inlineStr">
        <is>
          <t>Estefan</t>
        </is>
      </c>
      <c r="M607" s="6">
        <f>HYPERLINK("https://www.dailydose.de/kleinanzeigen/user/21987", "Link")</f>
        <v/>
      </c>
      <c r="N607" s="7" t="n">
        <v>45536.91234953704</v>
      </c>
      <c r="O607" s="3" t="inlineStr">
        <is>
          <t>483.01</t>
        </is>
      </c>
      <c r="P607" t="inlineStr">
        <is>
          <t>Köln</t>
        </is>
      </c>
    </row>
    <row r="608">
      <c r="A608" t="inlineStr"/>
      <c r="B608" s="3" t="inlineStr">
        <is>
          <t>370-400</t>
        </is>
      </c>
      <c r="C608" s="8" t="inlineStr">
        <is>
          <t>30%</t>
        </is>
      </c>
      <c r="D608" t="inlineStr">
        <is>
          <t>SDM</t>
        </is>
      </c>
      <c r="E608" s="4" t="n">
        <v>55</v>
      </c>
      <c r="F608" t="inlineStr"/>
      <c r="G608" t="inlineStr">
        <is>
          <t>85435 Erding</t>
        </is>
      </c>
      <c r="H608" s="5" t="n">
        <v>45513</v>
      </c>
      <c r="I608" t="inlineStr"/>
      <c r="J608" s="6">
        <f>HYPERLINK("https://www.dailydose.de/kleinanzeigen/detail.htm?ai=420618&amp;cf=kk&amp;pg=4&amp;ci=2", "Link")</f>
        <v/>
      </c>
      <c r="K608" s="6">
        <f>HYPERLINK("C:\Projects\Kleinanzeigen-Scraper\offer_images\420618", "Link")</f>
        <v/>
      </c>
      <c r="L608" t="inlineStr">
        <is>
          <t>Oleksandr Polyvanov</t>
        </is>
      </c>
      <c r="M608" s="6">
        <f>HYPERLINK("https://www.dailydose.de/kleinanzeigen/user/3143", "Link")</f>
        <v/>
      </c>
      <c r="N608" s="7" t="n">
        <v>45536.91231481481</v>
      </c>
      <c r="O608" s="3" t="inlineStr">
        <is>
          <t>32.53</t>
        </is>
      </c>
      <c r="P608" t="inlineStr">
        <is>
          <t>München</t>
        </is>
      </c>
    </row>
    <row r="609">
      <c r="A609" t="inlineStr">
        <is>
          <t>Gun Sails Energy</t>
        </is>
      </c>
      <c r="B609" s="3" t="n">
        <v>460</v>
      </c>
      <c r="C609" s="8" t="inlineStr">
        <is>
          <t>35%</t>
        </is>
      </c>
      <c r="D609" t="inlineStr"/>
      <c r="E609" s="4" t="n">
        <v>40</v>
      </c>
      <c r="F609" t="inlineStr"/>
      <c r="G609" t="inlineStr">
        <is>
          <t>38678</t>
        </is>
      </c>
      <c r="H609" s="5" t="n">
        <v>45529</v>
      </c>
      <c r="I609" t="inlineStr">
        <is>
          <t>Sold</t>
        </is>
      </c>
      <c r="J609" s="6">
        <f>HYPERLINK("https://www.dailydose.de/kleinanzeigen/detail.htm?ai=421423&amp;cf=kk&amp;pg=3&amp;ci=2", "Link")</f>
        <v/>
      </c>
      <c r="K609" s="6">
        <f>HYPERLINK("C:\Projects\Kleinanzeigen-Scraper\offer_images\421423", "Link")</f>
        <v/>
      </c>
      <c r="L609" t="inlineStr">
        <is>
          <t>J.A.</t>
        </is>
      </c>
      <c r="M609" s="6">
        <f>HYPERLINK("https://www.dailydose.de/kleinanzeigen/user/3313", "Link")</f>
        <v/>
      </c>
      <c r="N609" s="7" t="n">
        <v>45536.91231481481</v>
      </c>
      <c r="O609" s="3" t="inlineStr">
        <is>
          <t>254.15</t>
        </is>
      </c>
      <c r="P609" t="inlineStr">
        <is>
          <t>Köln</t>
        </is>
      </c>
    </row>
    <row r="610">
      <c r="A610" t="inlineStr">
        <is>
          <t>Rushwind 430 C50</t>
        </is>
      </c>
      <c r="B610" s="3" t="n">
        <v>430</v>
      </c>
      <c r="C610" s="8" t="n">
        <v>50</v>
      </c>
      <c r="D610" t="inlineStr">
        <is>
          <t>SDM</t>
        </is>
      </c>
      <c r="E610" s="4" t="n">
        <v>20</v>
      </c>
      <c r="F610" t="inlineStr"/>
      <c r="G610" t="inlineStr">
        <is>
          <t>21423 Winsen (Luhe)</t>
        </is>
      </c>
      <c r="H610" s="5" t="n">
        <v>45536</v>
      </c>
      <c r="I610" t="inlineStr"/>
      <c r="J610" s="6">
        <f>HYPERLINK("https://www.dailydose.de/kleinanzeigen/detail.htm?ai=421894&amp;cf=kk&amp;pg=3&amp;ci=2", "Link")</f>
        <v/>
      </c>
      <c r="K610" s="6">
        <f>HYPERLINK("C:\Projects\Kleinanzeigen-Scraper\offer_images\421894", "Link")</f>
        <v/>
      </c>
      <c r="L610" t="inlineStr">
        <is>
          <t>Torsten_281</t>
        </is>
      </c>
      <c r="M610" s="6">
        <f>HYPERLINK("https://www.dailydose.de/kleinanzeigen/user/24189", "Link")</f>
        <v/>
      </c>
      <c r="N610" s="7" t="n">
        <v>45536.91224537037</v>
      </c>
      <c r="O610" s="3" t="inlineStr">
        <is>
          <t>349.14</t>
        </is>
      </c>
      <c r="P610" t="inlineStr">
        <is>
          <t>Köln</t>
        </is>
      </c>
    </row>
    <row r="611">
      <c r="A611" t="inlineStr">
        <is>
          <t>Duotone / North Sails</t>
        </is>
      </c>
      <c r="B611" s="3" t="inlineStr">
        <is>
          <t>400, 430</t>
        </is>
      </c>
      <c r="C611" s="8" t="inlineStr"/>
      <c r="D611" t="inlineStr">
        <is>
          <t>RDM</t>
        </is>
      </c>
      <c r="E611" s="4" t="inlineStr"/>
      <c r="F611" t="inlineStr">
        <is>
          <t>VB</t>
        </is>
      </c>
      <c r="G611" t="inlineStr">
        <is>
          <t>82229 Seefeld</t>
        </is>
      </c>
      <c r="H611" s="5" t="n">
        <v>45508</v>
      </c>
      <c r="I611" t="inlineStr"/>
      <c r="J611" s="6">
        <f>HYPERLINK("https://www.dailydose.de/kleinanzeigen/detail.htm?ai=420403&amp;cf=kk&amp;pg=4&amp;ci=2", "Link")</f>
        <v/>
      </c>
      <c r="K611" s="6">
        <f>HYPERLINK("C:\Projects\Kleinanzeigen-Scraper\offer_images\420403", "Link")</f>
        <v/>
      </c>
      <c r="L611" t="inlineStr">
        <is>
          <t>Robin_81</t>
        </is>
      </c>
      <c r="M611" s="6">
        <f>HYPERLINK("https://www.dailydose.de/kleinanzeigen/user/20083", "Link")</f>
        <v/>
      </c>
      <c r="N611" s="7" t="n">
        <v>45536.91224537037</v>
      </c>
      <c r="O611" s="3" t="inlineStr">
        <is>
          <t>27.49</t>
        </is>
      </c>
      <c r="P611" t="inlineStr">
        <is>
          <t>München</t>
        </is>
      </c>
    </row>
    <row r="612">
      <c r="A612" t="inlineStr">
        <is>
          <t>MaverX Superleggero</t>
        </is>
      </c>
      <c r="B612" s="3" t="n">
        <v>370</v>
      </c>
      <c r="C612" s="8" t="inlineStr">
        <is>
          <t>100%</t>
        </is>
      </c>
      <c r="D612" t="inlineStr"/>
      <c r="E612" s="4" t="n">
        <v>280</v>
      </c>
      <c r="F612" t="inlineStr"/>
      <c r="G612" t="inlineStr">
        <is>
          <t>17491 Greifswald</t>
        </is>
      </c>
      <c r="H612" s="5" t="n">
        <v>45462</v>
      </c>
      <c r="I612" t="inlineStr"/>
      <c r="J612" s="6">
        <f>HYPERLINK("https://www.dailydose.de/kleinanzeigen/detail.htm?ai=418117&amp;cf=kk&amp;pg=5&amp;ci=2", "Link")</f>
        <v/>
      </c>
      <c r="K612" s="6">
        <f>HYPERLINK("C:\Projects\Kleinanzeigen-Scraper\offer_images\418117", "Link")</f>
        <v/>
      </c>
      <c r="L612" t="inlineStr">
        <is>
          <t>Anna_HGW</t>
        </is>
      </c>
      <c r="M612" s="6">
        <f>HYPERLINK("https://www.dailydose.de/kleinanzeigen/user/26126", "Link")</f>
        <v/>
      </c>
      <c r="N612" s="7" t="n">
        <v>45536.91221064814</v>
      </c>
      <c r="O612" s="3" t="inlineStr">
        <is>
          <t>559.49</t>
        </is>
      </c>
      <c r="P612" t="inlineStr">
        <is>
          <t>Köln</t>
        </is>
      </c>
    </row>
    <row r="613">
      <c r="A613" t="inlineStr">
        <is>
          <t>Viper</t>
        </is>
      </c>
      <c r="B613" s="3" t="n">
        <v>400</v>
      </c>
      <c r="C613" s="8" t="inlineStr">
        <is>
          <t>100%</t>
        </is>
      </c>
      <c r="D613" t="inlineStr"/>
      <c r="E613" s="4" t="n">
        <v>90</v>
      </c>
      <c r="F613" t="inlineStr"/>
      <c r="G613" t="inlineStr">
        <is>
          <t>23847 Bliestorf</t>
        </is>
      </c>
      <c r="H613" s="5" t="n">
        <v>45529</v>
      </c>
      <c r="I613" t="inlineStr"/>
      <c r="J613" s="6">
        <f>HYPERLINK("https://www.dailydose.de/kleinanzeigen/detail.htm?ai=421401&amp;cf=kk&amp;pg=3&amp;ci=2", "Link")</f>
        <v/>
      </c>
      <c r="K613" s="6">
        <f>HYPERLINK("C:\Projects\Kleinanzeigen-Scraper\offer_images\421401", "Link")</f>
        <v/>
      </c>
      <c r="L613" t="inlineStr">
        <is>
          <t>Ingo Jaacks</t>
        </is>
      </c>
      <c r="M613" s="6">
        <f>HYPERLINK("https://www.dailydose.de/kleinanzeigen/user/11228", "Link")</f>
        <v/>
      </c>
      <c r="N613" s="7" t="n">
        <v>45536.91221064814</v>
      </c>
      <c r="O613" s="3" t="inlineStr">
        <is>
          <t>393.54</t>
        </is>
      </c>
      <c r="P613" t="inlineStr">
        <is>
          <t>Köln</t>
        </is>
      </c>
    </row>
    <row r="614">
      <c r="A614" t="inlineStr">
        <is>
          <t>North Platinium Serie</t>
        </is>
      </c>
      <c r="B614" s="3" t="n">
        <v>370</v>
      </c>
      <c r="C614" s="8" t="inlineStr">
        <is>
          <t>100%</t>
        </is>
      </c>
      <c r="D614" t="inlineStr">
        <is>
          <t>SDM</t>
        </is>
      </c>
      <c r="E614" s="4" t="n">
        <v>140</v>
      </c>
      <c r="F614" t="inlineStr"/>
      <c r="G614" t="inlineStr">
        <is>
          <t>51429 Nähe Köln</t>
        </is>
      </c>
      <c r="H614" s="5" t="n">
        <v>45454</v>
      </c>
      <c r="I614" t="inlineStr"/>
      <c r="J614" s="6">
        <f>HYPERLINK("https://www.dailydose.de/kleinanzeigen/detail.htm?ai=417700&amp;cf=kk&amp;pg=5&amp;ci=2", "Link")</f>
        <v/>
      </c>
      <c r="K614" s="6">
        <f>HYPERLINK("C:\Projects\Kleinanzeigen-Scraper\offer_images\417700", "Link")</f>
        <v/>
      </c>
      <c r="L614" t="inlineStr">
        <is>
          <t>Louven</t>
        </is>
      </c>
      <c r="M614" s="6">
        <f>HYPERLINK("https://www.dailydose.de/kleinanzeigen/user/13948", "Link")</f>
        <v/>
      </c>
      <c r="N614" s="7" t="n">
        <v>45536.9121875</v>
      </c>
      <c r="O614" s="3" t="inlineStr">
        <is>
          <t>17.71</t>
        </is>
      </c>
      <c r="P614" t="inlineStr">
        <is>
          <t>Köln</t>
        </is>
      </c>
    </row>
    <row r="615">
      <c r="A615" t="inlineStr">
        <is>
          <t>Gaastra</t>
        </is>
      </c>
      <c r="B615" s="3" t="n">
        <v>400</v>
      </c>
      <c r="C615" s="8" t="inlineStr">
        <is>
          <t>60%</t>
        </is>
      </c>
      <c r="D615" t="inlineStr">
        <is>
          <t>RDM</t>
        </is>
      </c>
      <c r="E615" s="4" t="n">
        <v>120</v>
      </c>
      <c r="F615" t="inlineStr">
        <is>
          <t>VB</t>
        </is>
      </c>
      <c r="G615" t="inlineStr">
        <is>
          <t>47259 Duisburg</t>
        </is>
      </c>
      <c r="H615" s="5" t="n">
        <v>45529</v>
      </c>
      <c r="I615" t="inlineStr"/>
      <c r="J615" s="6">
        <f>HYPERLINK("https://www.dailydose.de/kleinanzeigen/detail.htm?ai=421393&amp;cf=kk&amp;pg=3&amp;ci=2", "Link")</f>
        <v/>
      </c>
      <c r="K615" s="6">
        <f>HYPERLINK("C:\Projects\Kleinanzeigen-Scraper\offer_images\421393", "Link")</f>
        <v/>
      </c>
      <c r="L615" t="inlineStr">
        <is>
          <t>Christoph Laux</t>
        </is>
      </c>
      <c r="M615" s="6">
        <f>HYPERLINK("https://www.dailydose.de/kleinanzeigen/user/6012", "Link")</f>
        <v/>
      </c>
      <c r="N615" s="7" t="n">
        <v>45536.9121875</v>
      </c>
      <c r="O615" s="3" t="inlineStr">
        <is>
          <t>49.13</t>
        </is>
      </c>
      <c r="P615" t="inlineStr">
        <is>
          <t>Köln</t>
        </is>
      </c>
    </row>
    <row r="616">
      <c r="A616" t="inlineStr">
        <is>
          <t>Neilpryde Wave</t>
        </is>
      </c>
      <c r="B616" s="3" t="n">
        <v>400</v>
      </c>
      <c r="C616" s="8" t="inlineStr"/>
      <c r="D616" t="inlineStr">
        <is>
          <t>SDM</t>
        </is>
      </c>
      <c r="E616" s="4" t="n">
        <v>25</v>
      </c>
      <c r="F616" t="inlineStr">
        <is>
          <t>VB</t>
        </is>
      </c>
      <c r="G616" t="inlineStr">
        <is>
          <t>24109 Kiel</t>
        </is>
      </c>
      <c r="H616" s="5" t="n">
        <v>45535</v>
      </c>
      <c r="I616" t="inlineStr"/>
      <c r="J616" s="6">
        <f>HYPERLINK("https://www.dailydose.de/kleinanzeigen/detail.htm?ai=421842&amp;cf=kk&amp;pg=3&amp;ci=2", "Link")</f>
        <v/>
      </c>
      <c r="K616" s="6">
        <f>HYPERLINK("C:\Projects\Kleinanzeigen-Scraper\offer_images\421842", "Link")</f>
        <v/>
      </c>
      <c r="L616" t="inlineStr">
        <is>
          <t>Simon_84</t>
        </is>
      </c>
      <c r="M616" s="6">
        <f>HYPERLINK("https://www.dailydose.de/kleinanzeigen/user/21444", "Link")</f>
        <v/>
      </c>
      <c r="N616" s="7" t="n">
        <v>45536.9121875</v>
      </c>
      <c r="O616" s="3" t="inlineStr">
        <is>
          <t>429.71</t>
        </is>
      </c>
      <c r="P616" t="inlineStr">
        <is>
          <t>Köln</t>
        </is>
      </c>
    </row>
    <row r="617">
      <c r="A617" t="inlineStr">
        <is>
          <t>Gun</t>
        </is>
      </c>
      <c r="B617" s="3" t="n">
        <v>430</v>
      </c>
      <c r="C617" s="8" t="inlineStr">
        <is>
          <t>100%</t>
        </is>
      </c>
      <c r="D617" t="inlineStr"/>
      <c r="E617" s="4" t="n">
        <v>180</v>
      </c>
      <c r="F617" t="inlineStr"/>
      <c r="G617" t="inlineStr">
        <is>
          <t>91619 b. Nürnberg</t>
        </is>
      </c>
      <c r="H617" s="5" t="n">
        <v>45530</v>
      </c>
      <c r="I617" t="inlineStr"/>
      <c r="J617" s="6">
        <f>HYPERLINK("https://www.dailydose.de/kleinanzeigen/detail.htm?ai=421512&amp;cf=kk&amp;pg=3&amp;ci=2", "Link")</f>
        <v/>
      </c>
      <c r="K617" s="6">
        <f>HYPERLINK("C:\Projects\Kleinanzeigen-Scraper\offer_images\421512", "Link")</f>
        <v/>
      </c>
      <c r="L617" t="inlineStr">
        <is>
          <t>Ralf_31</t>
        </is>
      </c>
      <c r="M617" s="6">
        <f>HYPERLINK("https://www.dailydose.de/kleinanzeigen/user/13888", "Link")</f>
        <v/>
      </c>
      <c r="N617" s="7" t="n">
        <v>45536.91215277778</v>
      </c>
      <c r="O617" s="3" t="inlineStr">
        <is>
          <t>138.44</t>
        </is>
      </c>
      <c r="P617" t="inlineStr">
        <is>
          <t>Böblingen</t>
        </is>
      </c>
    </row>
    <row r="618">
      <c r="A618" t="inlineStr">
        <is>
          <t>North XC40</t>
        </is>
      </c>
      <c r="B618" s="3" t="n">
        <v>440</v>
      </c>
      <c r="C618" s="8" t="n">
        <v>40</v>
      </c>
      <c r="D618" t="inlineStr">
        <is>
          <t>SDM</t>
        </is>
      </c>
      <c r="E618" s="4" t="n">
        <v>30</v>
      </c>
      <c r="F618" t="inlineStr"/>
      <c r="G618" t="inlineStr">
        <is>
          <t>30625 Hannover</t>
        </is>
      </c>
      <c r="H618" s="5" t="n">
        <v>45452</v>
      </c>
      <c r="I618" t="inlineStr"/>
      <c r="J618" s="6">
        <f>HYPERLINK("https://www.dailydose.de/kleinanzeigen/detail.htm?ai=417638&amp;cf=kk&amp;pg=5&amp;ci=2", "Link")</f>
        <v/>
      </c>
      <c r="K618" s="6">
        <f>HYPERLINK("C:\Projects\Kleinanzeigen-Scraper\offer_images\417638", "Link")</f>
        <v/>
      </c>
      <c r="L618" t="inlineStr">
        <is>
          <t>surftorte</t>
        </is>
      </c>
      <c r="M618" s="6">
        <f>HYPERLINK("https://www.dailydose.de/kleinanzeigen/user/19357", "Link")</f>
        <v/>
      </c>
      <c r="N618" s="7" t="n">
        <v>45536.91215277778</v>
      </c>
      <c r="O618" s="3" t="inlineStr">
        <is>
          <t>253.30</t>
        </is>
      </c>
      <c r="P618" t="inlineStr">
        <is>
          <t>Köln</t>
        </is>
      </c>
    </row>
    <row r="619">
      <c r="A619" t="inlineStr">
        <is>
          <t>Duotone Platinum SLS</t>
        </is>
      </c>
      <c r="B619" s="3" t="n">
        <v>370</v>
      </c>
      <c r="C619" s="8" t="n">
        <v>100</v>
      </c>
      <c r="D619" t="inlineStr">
        <is>
          <t>RDM</t>
        </is>
      </c>
      <c r="E619" s="4" t="n">
        <v>600</v>
      </c>
      <c r="F619" t="inlineStr">
        <is>
          <t>VB</t>
        </is>
      </c>
      <c r="G619" t="inlineStr">
        <is>
          <t>91058 Erlangen</t>
        </is>
      </c>
      <c r="H619" s="5" t="n">
        <v>45533</v>
      </c>
      <c r="I619" t="inlineStr"/>
      <c r="J619" s="6">
        <f>HYPERLINK("https://www.dailydose.de/kleinanzeigen/detail.htm?ai=421738&amp;cf=kk&amp;pg=3&amp;ci=2", "Link")</f>
        <v/>
      </c>
      <c r="K619" s="6">
        <f>HYPERLINK("C:\Projects\Kleinanzeigen-Scraper\offer_images\421738", "Link")</f>
        <v/>
      </c>
      <c r="L619" t="inlineStr">
        <is>
          <t>DuoFan</t>
        </is>
      </c>
      <c r="M619" s="6">
        <f>HYPERLINK("https://www.dailydose.de/kleinanzeigen/user/8393", "Link")</f>
        <v/>
      </c>
      <c r="N619" s="7" t="n">
        <v>45536.91215277778</v>
      </c>
      <c r="O619" s="3" t="inlineStr">
        <is>
          <t>163.84</t>
        </is>
      </c>
      <c r="P619" t="inlineStr">
        <is>
          <t>München</t>
        </is>
      </c>
    </row>
    <row r="620">
      <c r="A620" t="inlineStr">
        <is>
          <t>STX One</t>
        </is>
      </c>
      <c r="B620" s="3" t="n">
        <v>430</v>
      </c>
      <c r="C620" s="8" t="inlineStr">
        <is>
          <t>75%</t>
        </is>
      </c>
      <c r="D620" t="inlineStr">
        <is>
          <t>SDM</t>
        </is>
      </c>
      <c r="E620" s="4" t="inlineStr"/>
      <c r="F620" t="inlineStr"/>
      <c r="G620" t="inlineStr">
        <is>
          <t>München Ingolstadt</t>
        </is>
      </c>
      <c r="H620" s="5" t="n">
        <v>45511</v>
      </c>
      <c r="I620" t="inlineStr"/>
      <c r="J620" s="6">
        <f>HYPERLINK("https://www.dailydose.de/kleinanzeigen/detail.htm?ai=420553&amp;cf=kk&amp;pg=4&amp;ci=2", "Link")</f>
        <v/>
      </c>
      <c r="K620" s="6">
        <f>HYPERLINK("C:\Projects\Kleinanzeigen-Scraper\offer_images\420553", "Link")</f>
        <v/>
      </c>
      <c r="L620" t="inlineStr">
        <is>
          <t>OntheRocks</t>
        </is>
      </c>
      <c r="M620" s="6">
        <f>HYPERLINK("https://www.dailydose.de/kleinanzeigen/user/18001", "Link")</f>
        <v/>
      </c>
      <c r="N620" s="7" t="n">
        <v>45536.91208333334</v>
      </c>
      <c r="O620" s="3" t="inlineStr">
        <is>
          <t>405.50</t>
        </is>
      </c>
      <c r="P620" t="inlineStr">
        <is>
          <t>München</t>
        </is>
      </c>
    </row>
    <row r="621">
      <c r="A621" t="inlineStr">
        <is>
          <t>Gun Sail Advantage</t>
        </is>
      </c>
      <c r="B621" s="3" t="n">
        <v>430</v>
      </c>
      <c r="C621" s="8" t="inlineStr"/>
      <c r="D621" t="inlineStr">
        <is>
          <t>RDM</t>
        </is>
      </c>
      <c r="E621" s="4" t="n">
        <v>50</v>
      </c>
      <c r="F621" t="inlineStr">
        <is>
          <t>VB</t>
        </is>
      </c>
      <c r="G621" t="inlineStr">
        <is>
          <t>47249 Duisburg</t>
        </is>
      </c>
      <c r="H621" s="5" t="n">
        <v>45498</v>
      </c>
      <c r="I621" t="inlineStr">
        <is>
          <t>Sold</t>
        </is>
      </c>
      <c r="J621" s="6">
        <f>HYPERLINK("https://www.dailydose.de/kleinanzeigen/detail.htm?ai=419966&amp;cf=kk&amp;pg=3&amp;ci=2", "Link")</f>
        <v/>
      </c>
      <c r="K621" s="6">
        <f>HYPERLINK("C:\Projects\Kleinanzeigen-Scraper\offer_images\419966", "Link")</f>
        <v/>
      </c>
      <c r="L621" t="inlineStr">
        <is>
          <t>Guido_3</t>
        </is>
      </c>
      <c r="M621" s="6">
        <f>HYPERLINK("https://www.dailydose.de/kleinanzeigen/user/8056", "Link")</f>
        <v/>
      </c>
      <c r="N621" s="7" t="n">
        <v>45536.91204861111</v>
      </c>
      <c r="O621" s="3" t="inlineStr">
        <is>
          <t>51.56</t>
        </is>
      </c>
      <c r="P621" t="inlineStr">
        <is>
          <t>Köln</t>
        </is>
      </c>
    </row>
    <row r="622">
      <c r="A622" t="inlineStr">
        <is>
          <t>S2 Maui North Shore</t>
        </is>
      </c>
      <c r="B622" s="3" t="n">
        <v>340</v>
      </c>
      <c r="C622" s="8" t="inlineStr">
        <is>
          <t>100%</t>
        </is>
      </c>
      <c r="D622" t="inlineStr">
        <is>
          <t>RDM</t>
        </is>
      </c>
      <c r="E622" s="4" t="n">
        <v>360</v>
      </c>
      <c r="F622" t="inlineStr"/>
      <c r="G622" t="inlineStr">
        <is>
          <t>Kiel, Pozo, Sylt, Bremen</t>
        </is>
      </c>
      <c r="H622" s="5" t="n">
        <v>45477</v>
      </c>
      <c r="I622" t="inlineStr">
        <is>
          <t>Sold</t>
        </is>
      </c>
      <c r="J622" s="6">
        <f>HYPERLINK("https://www.dailydose.de/kleinanzeigen/detail.htm?ai=418846&amp;cf=kk&amp;pg=4&amp;ci=2", "Link")</f>
        <v/>
      </c>
      <c r="K622" s="6">
        <f>HYPERLINK("C:\Projects\Kleinanzeigen-Scraper\offer_images\418846", "Link")</f>
        <v/>
      </c>
      <c r="L622" t="inlineStr">
        <is>
          <t>sybille</t>
        </is>
      </c>
      <c r="M622" s="6">
        <f>HYPERLINK("https://www.dailydose.de/kleinanzeigen/user/22818", "Link")</f>
        <v/>
      </c>
      <c r="N622" s="7" t="n">
        <v>45536.91199074074</v>
      </c>
      <c r="O622" s="3" t="inlineStr">
        <is>
          <t>438.20</t>
        </is>
      </c>
      <c r="P622" t="inlineStr">
        <is>
          <t>Köln</t>
        </is>
      </c>
    </row>
    <row r="623">
      <c r="A623" t="inlineStr">
        <is>
          <t>Gaastra GA Sails</t>
        </is>
      </c>
      <c r="B623" s="3" t="n">
        <v>460</v>
      </c>
      <c r="C623" s="8" t="inlineStr">
        <is>
          <t>75%</t>
        </is>
      </c>
      <c r="D623" t="inlineStr">
        <is>
          <t>SDM</t>
        </is>
      </c>
      <c r="E623" s="4" t="n">
        <v>185</v>
      </c>
      <c r="F623" t="inlineStr"/>
      <c r="G623" t="inlineStr">
        <is>
          <t>47269 Duisburg</t>
        </is>
      </c>
      <c r="H623" s="5" t="n">
        <v>45531</v>
      </c>
      <c r="I623" t="inlineStr"/>
      <c r="J623" s="6">
        <f>HYPERLINK("https://www.dailydose.de/kleinanzeigen/detail.htm?ai=421608&amp;cf=kk&amp;pg=3&amp;ci=2", "Link")</f>
        <v/>
      </c>
      <c r="K623" s="6">
        <f>HYPERLINK("C:\Projects\Kleinanzeigen-Scraper\offer_images\421608", "Link")</f>
        <v/>
      </c>
      <c r="L623" t="inlineStr">
        <is>
          <t>oldschool_70</t>
        </is>
      </c>
      <c r="M623" s="6">
        <f>HYPERLINK("https://www.dailydose.de/kleinanzeigen/user/12078", "Link")</f>
        <v/>
      </c>
      <c r="N623" s="7" t="n">
        <v>45536.91199074074</v>
      </c>
      <c r="O623" s="3" t="inlineStr">
        <is>
          <t>48.06</t>
        </is>
      </c>
      <c r="P623" t="inlineStr">
        <is>
          <t>Köln</t>
        </is>
      </c>
    </row>
    <row r="624">
      <c r="A624" t="inlineStr">
        <is>
          <t>ART CC27</t>
        </is>
      </c>
      <c r="B624" s="3" t="n">
        <v>480</v>
      </c>
      <c r="C624" s="8" t="inlineStr">
        <is>
          <t>100%</t>
        </is>
      </c>
      <c r="D624" t="inlineStr"/>
      <c r="E624" s="4" t="n">
        <v>80</v>
      </c>
      <c r="F624" t="inlineStr"/>
      <c r="G624" t="inlineStr">
        <is>
          <t>87437 Kempten</t>
        </is>
      </c>
      <c r="H624" s="5" t="n">
        <v>45442</v>
      </c>
      <c r="I624" t="inlineStr">
        <is>
          <t>Sold</t>
        </is>
      </c>
      <c r="J624" s="6">
        <f>HYPERLINK("https://www.dailydose.de/kleinanzeigen/detail.htm?ai=416981&amp;cf=kk&amp;pg=5&amp;ci=2", "Link")</f>
        <v/>
      </c>
      <c r="K624" s="6">
        <f>HYPERLINK("C:\Projects\Kleinanzeigen-Scraper\offer_images\416981", "Link")</f>
        <v/>
      </c>
      <c r="L624" t="inlineStr">
        <is>
          <t>FranzJosef</t>
        </is>
      </c>
      <c r="M624" s="6">
        <f>HYPERLINK("https://www.dailydose.de/kleinanzeigen/user/26040", "Link")</f>
        <v/>
      </c>
      <c r="N624" s="7" t="n">
        <v>45536.91195601852</v>
      </c>
      <c r="O624" s="3" t="inlineStr">
        <is>
          <t>101.34</t>
        </is>
      </c>
      <c r="P624" t="inlineStr">
        <is>
          <t>München</t>
        </is>
      </c>
    </row>
    <row r="625">
      <c r="A625" t="inlineStr">
        <is>
          <t>Gun Sails LOOP C75</t>
        </is>
      </c>
      <c r="B625" s="3" t="n">
        <v>430</v>
      </c>
      <c r="C625" s="8" t="inlineStr">
        <is>
          <t>75%</t>
        </is>
      </c>
      <c r="D625" t="inlineStr">
        <is>
          <t>SDM</t>
        </is>
      </c>
      <c r="E625" s="4" t="n">
        <v>99</v>
      </c>
      <c r="F625" t="inlineStr">
        <is>
          <t>VB</t>
        </is>
      </c>
      <c r="G625" t="inlineStr">
        <is>
          <t>23769 Fehmarn</t>
        </is>
      </c>
      <c r="H625" s="5" t="n">
        <v>45527</v>
      </c>
      <c r="I625" t="inlineStr">
        <is>
          <t>Sold</t>
        </is>
      </c>
      <c r="J625" s="6">
        <f>HYPERLINK("https://www.dailydose.de/kleinanzeigen/detail.htm?ai=421297&amp;cf=kk&amp;pg=2&amp;ci=2", "Link")</f>
        <v/>
      </c>
      <c r="K625" s="6">
        <f>HYPERLINK("C:\Projects\Kleinanzeigen-Scraper\offer_images\421297", "Link")</f>
        <v/>
      </c>
      <c r="L625" t="inlineStr">
        <is>
          <t>Insider</t>
        </is>
      </c>
      <c r="M625" s="6">
        <f>HYPERLINK("https://www.dailydose.de/kleinanzeigen/user/20603", "Link")</f>
        <v/>
      </c>
      <c r="N625" s="7" t="n">
        <v>45536.91188657407</v>
      </c>
      <c r="O625" s="3" t="inlineStr">
        <is>
          <t>483.01</t>
        </is>
      </c>
      <c r="P625" t="inlineStr">
        <is>
          <t>Köln</t>
        </is>
      </c>
    </row>
    <row r="626">
      <c r="A626" t="inlineStr">
        <is>
          <t>Unifiber</t>
        </is>
      </c>
      <c r="B626" s="3" t="n">
        <v>370</v>
      </c>
      <c r="C626" s="8" t="inlineStr">
        <is>
          <t>100%</t>
        </is>
      </c>
      <c r="D626" t="inlineStr"/>
      <c r="E626" s="4" t="n">
        <v>50</v>
      </c>
      <c r="F626" t="inlineStr">
        <is>
          <t>VB</t>
        </is>
      </c>
      <c r="G626" t="inlineStr">
        <is>
          <t>24106 KIEL</t>
        </is>
      </c>
      <c r="H626" s="5" t="n">
        <v>45437</v>
      </c>
      <c r="I626" t="inlineStr">
        <is>
          <t>Sold</t>
        </is>
      </c>
      <c r="J626" s="6">
        <f>HYPERLINK("https://www.dailydose.de/kleinanzeigen/detail.htm?ai=416651&amp;cf=kk&amp;pg=5&amp;ci=2", "Link")</f>
        <v/>
      </c>
      <c r="K626" s="6">
        <f>HYPERLINK("C:\Projects\Kleinanzeigen-Scraper\offer_images\416651", "Link")</f>
        <v/>
      </c>
      <c r="L626" t="inlineStr">
        <is>
          <t>Okke</t>
        </is>
      </c>
      <c r="M626" s="6">
        <f>HYPERLINK("https://www.dailydose.de/kleinanzeigen/user/18129", "Link")</f>
        <v/>
      </c>
      <c r="N626" s="7" t="n">
        <v>45536.91185185185</v>
      </c>
      <c r="O626" s="3" t="inlineStr">
        <is>
          <t>436.03</t>
        </is>
      </c>
      <c r="P626" t="inlineStr">
        <is>
          <t>Köln</t>
        </is>
      </c>
    </row>
    <row r="627">
      <c r="A627" t="inlineStr">
        <is>
          <t>Point 7</t>
        </is>
      </c>
      <c r="B627" s="3" t="n">
        <v>400</v>
      </c>
      <c r="C627" s="8" t="inlineStr"/>
      <c r="D627" t="inlineStr">
        <is>
          <t>RDM</t>
        </is>
      </c>
      <c r="E627" s="4" t="n">
        <v>1</v>
      </c>
      <c r="F627" t="inlineStr"/>
      <c r="G627" t="inlineStr">
        <is>
          <t>23556 Lübeck</t>
        </is>
      </c>
      <c r="H627" s="5" t="n">
        <v>45466</v>
      </c>
      <c r="I627" t="inlineStr"/>
      <c r="J627" s="6">
        <f>HYPERLINK("https://www.dailydose.de/kleinanzeigen/detail.htm?ai=418366&amp;cf=kk&amp;pg=5&amp;ci=2", "Link")</f>
        <v/>
      </c>
      <c r="K627" s="6">
        <f>HYPERLINK("C:\Projects\Kleinanzeigen-Scraper\offer_images\418366", "Link")</f>
        <v/>
      </c>
      <c r="L627" t="inlineStr">
        <is>
          <t>Mikel_112</t>
        </is>
      </c>
      <c r="M627" s="6">
        <f>HYPERLINK("https://www.dailydose.de/kleinanzeigen/user/24825", "Link")</f>
        <v/>
      </c>
      <c r="N627" s="7" t="n">
        <v>45536.91185185185</v>
      </c>
      <c r="O627" s="3" t="inlineStr">
        <is>
          <t>409.59</t>
        </is>
      </c>
      <c r="P627" t="inlineStr">
        <is>
          <t>Köln</t>
        </is>
      </c>
    </row>
    <row r="628">
      <c r="A628" t="inlineStr">
        <is>
          <t>GOYA</t>
        </is>
      </c>
      <c r="B628" s="3" t="n">
        <v>400</v>
      </c>
      <c r="C628" s="8" t="inlineStr">
        <is>
          <t>90%</t>
        </is>
      </c>
      <c r="D628" t="inlineStr">
        <is>
          <t>RDM</t>
        </is>
      </c>
      <c r="E628" s="4" t="n">
        <v>300</v>
      </c>
      <c r="F628" t="inlineStr"/>
      <c r="G628" t="inlineStr">
        <is>
          <t>33790 Halle (Westf.)</t>
        </is>
      </c>
      <c r="H628" s="5" t="n">
        <v>45431</v>
      </c>
      <c r="I628" t="inlineStr">
        <is>
          <t>Sold</t>
        </is>
      </c>
      <c r="J628" s="6">
        <f>HYPERLINK("https://www.dailydose.de/kleinanzeigen/detail.htm?ai=416300&amp;cf=kk&amp;pg=5&amp;ci=2", "Link")</f>
        <v/>
      </c>
      <c r="K628" s="6">
        <f>HYPERLINK("C:\Projects\Kleinanzeigen-Scraper\offer_images\416300", "Link")</f>
        <v/>
      </c>
      <c r="L628" t="inlineStr">
        <is>
          <t>surfaholic@web.de</t>
        </is>
      </c>
      <c r="M628" s="6">
        <f>HYPERLINK("https://www.dailydose.de/kleinanzeigen/user/924", "Link")</f>
        <v/>
      </c>
      <c r="N628" s="7" t="n">
        <v>45536.91179398148</v>
      </c>
      <c r="O628" s="3" t="inlineStr">
        <is>
          <t>154.26</t>
        </is>
      </c>
      <c r="P628" t="inlineStr">
        <is>
          <t>Köln</t>
        </is>
      </c>
    </row>
    <row r="629">
      <c r="A629" t="inlineStr">
        <is>
          <t>Simmer RDM 11</t>
        </is>
      </c>
      <c r="B629" s="3" t="n">
        <v>400</v>
      </c>
      <c r="C629" s="8" t="inlineStr">
        <is>
          <t>100%</t>
        </is>
      </c>
      <c r="D629" t="inlineStr">
        <is>
          <t>RDM</t>
        </is>
      </c>
      <c r="E629" s="4" t="n">
        <v>350</v>
      </c>
      <c r="F629" t="inlineStr"/>
      <c r="G629" t="inlineStr">
        <is>
          <t>33803 Steinhagen</t>
        </is>
      </c>
      <c r="H629" s="5" t="n">
        <v>45498</v>
      </c>
      <c r="I629" t="inlineStr"/>
      <c r="J629" s="6">
        <f>HYPERLINK("https://www.dailydose.de/kleinanzeigen/detail.htm?ai=419953&amp;cf=kk&amp;pg=4&amp;ci=2", "Link")</f>
        <v/>
      </c>
      <c r="K629" s="6">
        <f>HYPERLINK("C:\Projects\Kleinanzeigen-Scraper\offer_images\419953", "Link")</f>
        <v/>
      </c>
      <c r="L629" t="inlineStr">
        <is>
          <t>Zitronenfalter</t>
        </is>
      </c>
      <c r="M629" s="6">
        <f>HYPERLINK("https://www.dailydose.de/kleinanzeigen/user/6155", "Link")</f>
        <v/>
      </c>
      <c r="N629" s="7" t="n">
        <v>45536.91164351852</v>
      </c>
      <c r="O629" s="3" t="inlineStr">
        <is>
          <t>153.21</t>
        </is>
      </c>
      <c r="P629" t="inlineStr">
        <is>
          <t>Köln</t>
        </is>
      </c>
    </row>
    <row r="630">
      <c r="A630" t="inlineStr">
        <is>
          <t>GunSail</t>
        </is>
      </c>
      <c r="B630" s="3" t="n">
        <v>430</v>
      </c>
      <c r="C630" s="8" t="inlineStr">
        <is>
          <t>C35</t>
        </is>
      </c>
      <c r="D630" t="inlineStr">
        <is>
          <t>SDM</t>
        </is>
      </c>
      <c r="E630" s="4" t="n">
        <v>50</v>
      </c>
      <c r="F630" t="inlineStr">
        <is>
          <t>VB</t>
        </is>
      </c>
      <c r="G630" t="inlineStr">
        <is>
          <t>28205 Bremen</t>
        </is>
      </c>
      <c r="H630" s="5" t="n">
        <v>45500</v>
      </c>
      <c r="I630" t="inlineStr"/>
      <c r="J630" s="6">
        <f>HYPERLINK("https://www.dailydose.de/kleinanzeigen/detail.htm?ai=420026&amp;cf=kk&amp;pg=4&amp;ci=2", "Link")</f>
        <v/>
      </c>
      <c r="K630" s="6">
        <f>HYPERLINK("C:\Projects\Kleinanzeigen-Scraper\offer_images\420026", "Link")</f>
        <v/>
      </c>
      <c r="L630" t="inlineStr">
        <is>
          <t>Axel88</t>
        </is>
      </c>
      <c r="M630" s="6">
        <f>HYPERLINK("https://www.dailydose.de/kleinanzeigen/user/26192", "Link")</f>
        <v/>
      </c>
      <c r="N630" s="7" t="n">
        <v>45536.91164351852</v>
      </c>
      <c r="O630" s="3" t="inlineStr">
        <is>
          <t>269.99</t>
        </is>
      </c>
      <c r="P630" t="inlineStr">
        <is>
          <t>Köln</t>
        </is>
      </c>
    </row>
    <row r="631">
      <c r="A631" t="inlineStr">
        <is>
          <t>Gaastra</t>
        </is>
      </c>
      <c r="B631" s="3" t="n">
        <v>400</v>
      </c>
      <c r="C631" s="8" t="inlineStr">
        <is>
          <t>60%</t>
        </is>
      </c>
      <c r="D631" t="inlineStr"/>
      <c r="E631" s="4" t="n">
        <v>90</v>
      </c>
      <c r="F631" t="inlineStr"/>
      <c r="G631" t="inlineStr">
        <is>
          <t>18057 Rostock</t>
        </is>
      </c>
      <c r="H631" s="5" t="n">
        <v>45530</v>
      </c>
      <c r="I631" t="inlineStr">
        <is>
          <t>Sold</t>
        </is>
      </c>
      <c r="J631" s="6">
        <f>HYPERLINK("https://www.dailydose.de/kleinanzeigen/detail.htm?ai=421461&amp;cf=kk&amp;pg=3&amp;ci=2", "Link")</f>
        <v/>
      </c>
      <c r="K631" s="6">
        <f>HYPERLINK("C:\Projects\Kleinanzeigen-Scraper\offer_images\421461", "Link")</f>
        <v/>
      </c>
      <c r="L631" t="inlineStr">
        <is>
          <t>Marko333</t>
        </is>
      </c>
      <c r="M631" s="6">
        <f>HYPERLINK("https://www.dailydose.de/kleinanzeigen/user/26327", "Link")</f>
        <v/>
      </c>
      <c r="N631" s="7" t="n">
        <v>45536.9116087963</v>
      </c>
      <c r="O631" s="3" t="inlineStr">
        <is>
          <t>494.07</t>
        </is>
      </c>
      <c r="P631" t="inlineStr">
        <is>
          <t>Köln</t>
        </is>
      </c>
    </row>
    <row r="632">
      <c r="A632" t="inlineStr">
        <is>
          <t>340 caas CC Curve</t>
        </is>
      </c>
      <c r="B632" s="3" t="inlineStr"/>
      <c r="C632" s="8" t="n">
        <v>100</v>
      </c>
      <c r="D632" t="inlineStr"/>
      <c r="E632" s="4" t="n">
        <v>130</v>
      </c>
      <c r="F632" t="inlineStr"/>
      <c r="G632" t="inlineStr">
        <is>
          <t>24944 Flensburg</t>
        </is>
      </c>
      <c r="H632" s="5" t="n">
        <v>45529</v>
      </c>
      <c r="I632" t="inlineStr">
        <is>
          <t>Sold</t>
        </is>
      </c>
      <c r="J632" s="6">
        <f>HYPERLINK("https://www.dailydose.de/kleinanzeigen/detail.htm?ai=421425&amp;cf=kk&amp;pg=2&amp;ci=2", "Link")</f>
        <v/>
      </c>
      <c r="K632" s="6">
        <f>HYPERLINK("C:\Projects\Kleinanzeigen-Scraper\offer_images\421425", "Link")</f>
        <v/>
      </c>
      <c r="L632" t="inlineStr">
        <is>
          <t>marc_133</t>
        </is>
      </c>
      <c r="M632" s="6">
        <f>HYPERLINK("https://www.dailydose.de/kleinanzeigen/user/15302", "Link")</f>
        <v/>
      </c>
      <c r="N632" s="7" t="n">
        <v>45536.91158564815</v>
      </c>
      <c r="O632" s="3" t="inlineStr">
        <is>
          <t>462.42</t>
        </is>
      </c>
      <c r="P632" t="inlineStr">
        <is>
          <t>Köln</t>
        </is>
      </c>
    </row>
    <row r="633">
      <c r="A633" t="inlineStr">
        <is>
          <t>Xenon</t>
        </is>
      </c>
      <c r="B633" s="3" t="n">
        <v>400</v>
      </c>
      <c r="C633" s="8" t="inlineStr">
        <is>
          <t>100%</t>
        </is>
      </c>
      <c r="D633" t="inlineStr"/>
      <c r="E633" s="4" t="n">
        <v>125</v>
      </c>
      <c r="F633" t="inlineStr">
        <is>
          <t>VB</t>
        </is>
      </c>
      <c r="G633" t="inlineStr">
        <is>
          <t>25489 Haselau</t>
        </is>
      </c>
      <c r="H633" s="5" t="n">
        <v>45502</v>
      </c>
      <c r="I633" t="inlineStr">
        <is>
          <t>Sold</t>
        </is>
      </c>
      <c r="J633" s="6">
        <f>HYPERLINK("https://www.dailydose.de/kleinanzeigen/detail.htm?ai=420171&amp;cf=kk&amp;pg=4&amp;ci=2", "Link")</f>
        <v/>
      </c>
      <c r="K633" s="6">
        <f>HYPERLINK("C:\Projects\Kleinanzeigen-Scraper\offer_images\420171", "Link")</f>
        <v/>
      </c>
      <c r="L633" t="inlineStr">
        <is>
          <t>werner_53</t>
        </is>
      </c>
      <c r="M633" s="6">
        <f>HYPERLINK("https://www.dailydose.de/kleinanzeigen/user/24738", "Link")</f>
        <v/>
      </c>
      <c r="N633" s="7" t="n">
        <v>45536.91158564815</v>
      </c>
      <c r="O633" s="3" t="inlineStr">
        <is>
          <t>349.68</t>
        </is>
      </c>
      <c r="P633" t="inlineStr">
        <is>
          <t>Köln</t>
        </is>
      </c>
    </row>
    <row r="634">
      <c r="A634" t="inlineStr">
        <is>
          <t>North</t>
        </is>
      </c>
      <c r="B634" s="3" t="n">
        <v>400</v>
      </c>
      <c r="C634" s="8" t="inlineStr">
        <is>
          <t>75%</t>
        </is>
      </c>
      <c r="D634" t="inlineStr">
        <is>
          <t>SDM</t>
        </is>
      </c>
      <c r="E634" s="4" t="n">
        <v>50</v>
      </c>
      <c r="F634" t="inlineStr"/>
      <c r="G634" t="inlineStr">
        <is>
          <t>82538 Geretsried</t>
        </is>
      </c>
      <c r="H634" s="5" t="n">
        <v>45434</v>
      </c>
      <c r="I634" t="inlineStr">
        <is>
          <t>Sold</t>
        </is>
      </c>
      <c r="J634" s="6">
        <f>HYPERLINK("https://www.dailydose.de/kleinanzeigen/detail.htm?ai=416437&amp;cf=kk&amp;pg=5&amp;ci=2", "Link")</f>
        <v/>
      </c>
      <c r="K634" s="6">
        <f>HYPERLINK("C:\Projects\Kleinanzeigen-Scraper\offer_images\416437", "Link")</f>
        <v/>
      </c>
      <c r="L634" t="inlineStr">
        <is>
          <t>G. Auer</t>
        </is>
      </c>
      <c r="M634" s="6">
        <f>HYPERLINK("https://www.dailydose.de/kleinanzeigen/user/9543", "Link")</f>
        <v/>
      </c>
      <c r="N634" s="7" t="n">
        <v>45536.91148148148</v>
      </c>
      <c r="O634" s="3" t="inlineStr">
        <is>
          <t>30.25</t>
        </is>
      </c>
      <c r="P634" t="inlineStr">
        <is>
          <t>München</t>
        </is>
      </c>
    </row>
    <row r="635">
      <c r="A635" t="inlineStr">
        <is>
          <t>STX</t>
        </is>
      </c>
      <c r="B635" s="3" t="n">
        <v>370</v>
      </c>
      <c r="C635" s="8" t="inlineStr">
        <is>
          <t>40%</t>
        </is>
      </c>
      <c r="D635" t="inlineStr">
        <is>
          <t>SDM</t>
        </is>
      </c>
      <c r="E635" s="4" t="n">
        <v>35</v>
      </c>
      <c r="F635" t="inlineStr"/>
      <c r="G635" t="inlineStr">
        <is>
          <t>58300 Wetter</t>
        </is>
      </c>
      <c r="H635" s="5" t="n">
        <v>45477</v>
      </c>
      <c r="I635" t="inlineStr"/>
      <c r="J635" s="6">
        <f>HYPERLINK("https://www.dailydose.de/kleinanzeigen/detail.htm?ai=418854&amp;cf=kk&amp;pg=5&amp;ci=2", "Link")</f>
        <v/>
      </c>
      <c r="K635" s="6">
        <f>HYPERLINK("C:\Projects\Kleinanzeigen-Scraper\offer_images\418854", "Link")</f>
        <v/>
      </c>
      <c r="L635" t="inlineStr">
        <is>
          <t>Lorenzosrrd</t>
        </is>
      </c>
      <c r="M635" s="6">
        <f>HYPERLINK("https://www.dailydose.de/kleinanzeigen/user/2134", "Link")</f>
        <v/>
      </c>
      <c r="N635" s="7" t="n">
        <v>45536.91138888889</v>
      </c>
      <c r="O635" s="3" t="inlineStr">
        <is>
          <t>56.63</t>
        </is>
      </c>
      <c r="P635" t="inlineStr">
        <is>
          <t>Köln</t>
        </is>
      </c>
    </row>
    <row r="636">
      <c r="A636" t="inlineStr">
        <is>
          <t>GA Sails</t>
        </is>
      </c>
      <c r="B636" s="3" t="n">
        <v>400</v>
      </c>
      <c r="C636" s="8" t="inlineStr">
        <is>
          <t>75%</t>
        </is>
      </c>
      <c r="D636" t="inlineStr">
        <is>
          <t>RDM</t>
        </is>
      </c>
      <c r="E636" s="4" t="n">
        <v>290</v>
      </c>
      <c r="F636" t="inlineStr"/>
      <c r="G636" t="inlineStr">
        <is>
          <t>Kiel, Hamburg, DK</t>
        </is>
      </c>
      <c r="H636" s="5" t="n">
        <v>45482</v>
      </c>
      <c r="I636" t="inlineStr">
        <is>
          <t>Sold</t>
        </is>
      </c>
      <c r="J636" s="6">
        <f>HYPERLINK("https://www.dailydose.de/kleinanzeigen/detail.htm?ai=419093&amp;cf=kk&amp;pg=4&amp;ci=2", "Link")</f>
        <v/>
      </c>
      <c r="K636" s="6">
        <f>HYPERLINK("C:\Projects\Kleinanzeigen-Scraper\offer_images\419093", "Link")</f>
        <v/>
      </c>
      <c r="L636" t="inlineStr">
        <is>
          <t>Strand</t>
        </is>
      </c>
      <c r="M636" s="6">
        <f>HYPERLINK("https://www.dailydose.de/kleinanzeigen/user/2078", "Link")</f>
        <v/>
      </c>
      <c r="N636" s="7" t="n">
        <v>45536.91135416667</v>
      </c>
      <c r="O636" s="3" t="inlineStr">
        <is>
          <t>575.52</t>
        </is>
      </c>
      <c r="P636" t="inlineStr">
        <is>
          <t>Köln</t>
        </is>
      </c>
    </row>
    <row r="637">
      <c r="A637" t="inlineStr">
        <is>
          <t>Severne Red</t>
        </is>
      </c>
      <c r="B637" s="3" t="n">
        <v>400</v>
      </c>
      <c r="C637" s="8" t="inlineStr">
        <is>
          <t>100%</t>
        </is>
      </c>
      <c r="D637" t="inlineStr">
        <is>
          <t>RDM</t>
        </is>
      </c>
      <c r="E637" s="4" t="n">
        <v>480</v>
      </c>
      <c r="F637" t="inlineStr"/>
      <c r="G637" t="inlineStr">
        <is>
          <t>18055 Rostock</t>
        </is>
      </c>
      <c r="H637" s="5" t="n">
        <v>45520</v>
      </c>
      <c r="I637" t="inlineStr">
        <is>
          <t>Sold</t>
        </is>
      </c>
      <c r="J637" s="6">
        <f>HYPERLINK("https://www.dailydose.de/kleinanzeigen/detail.htm?ai=420987&amp;cf=kk&amp;pg=2&amp;ci=2", "Link")</f>
        <v/>
      </c>
      <c r="K637" s="6">
        <f>HYPERLINK("C:\Projects\Kleinanzeigen-Scraper\offer_images\420987", "Link")</f>
        <v/>
      </c>
      <c r="L637" t="inlineStr">
        <is>
          <t>freestyler</t>
        </is>
      </c>
      <c r="M637" s="6">
        <f>HYPERLINK("https://www.dailydose.de/kleinanzeigen/user/857", "Link")</f>
        <v/>
      </c>
      <c r="N637" s="7" t="n">
        <v>45536.91131944444</v>
      </c>
      <c r="O637" s="3" t="inlineStr">
        <is>
          <t>496.50</t>
        </is>
      </c>
      <c r="P637" t="inlineStr">
        <is>
          <t>Köln</t>
        </is>
      </c>
    </row>
    <row r="638">
      <c r="A638" t="inlineStr">
        <is>
          <t>Gaastra C75</t>
        </is>
      </c>
      <c r="B638" s="3" t="n">
        <v>460</v>
      </c>
      <c r="C638" s="8" t="inlineStr">
        <is>
          <t>75%</t>
        </is>
      </c>
      <c r="D638" t="inlineStr">
        <is>
          <t>SDM</t>
        </is>
      </c>
      <c r="E638" s="4" t="n">
        <v>150</v>
      </c>
      <c r="F638" t="inlineStr">
        <is>
          <t>VB</t>
        </is>
      </c>
      <c r="G638" t="inlineStr">
        <is>
          <t>23909 Ratzeburg</t>
        </is>
      </c>
      <c r="H638" s="5" t="n">
        <v>45534</v>
      </c>
      <c r="I638" t="inlineStr">
        <is>
          <t>Sold</t>
        </is>
      </c>
      <c r="J638" s="6">
        <f>HYPERLINK("https://www.dailydose.de/kleinanzeigen/detail.htm?ai=421769&amp;cf=kk&amp;pg=1&amp;ci=2", "Link")</f>
        <v/>
      </c>
      <c r="K638" s="6">
        <f>HYPERLINK("C:\Projects\Kleinanzeigen-Scraper\offer_images\421769", "Link")</f>
        <v/>
      </c>
      <c r="L638" t="inlineStr">
        <is>
          <t>Insider</t>
        </is>
      </c>
      <c r="M638" s="6">
        <f>HYPERLINK("https://www.dailydose.de/kleinanzeigen/user/20603", "Link")</f>
        <v/>
      </c>
      <c r="N638" s="7" t="n">
        <v>45536.9112037037</v>
      </c>
      <c r="O638" s="3" t="inlineStr">
        <is>
          <t>401.75</t>
        </is>
      </c>
      <c r="P638" t="inlineStr">
        <is>
          <t>Köln</t>
        </is>
      </c>
    </row>
    <row r="639">
      <c r="A639" t="inlineStr">
        <is>
          <t>Neilpryde X3</t>
        </is>
      </c>
      <c r="B639" s="3" t="n">
        <v>370</v>
      </c>
      <c r="C639" s="8" t="inlineStr"/>
      <c r="D639" t="inlineStr"/>
      <c r="E639" s="4" t="n">
        <v>85</v>
      </c>
      <c r="F639" t="inlineStr"/>
      <c r="G639" t="inlineStr">
        <is>
          <t>45219 Essen</t>
        </is>
      </c>
      <c r="H639" s="5" t="n">
        <v>45529</v>
      </c>
      <c r="I639" t="inlineStr"/>
      <c r="J639" s="6">
        <f>HYPERLINK("https://www.dailydose.de/kleinanzeigen/detail.htm?ai=421410&amp;cf=kk&amp;pg=3&amp;ci=2", "Link")</f>
        <v/>
      </c>
      <c r="K639" s="6">
        <f>HYPERLINK("C:\Projects\Kleinanzeigen-Scraper\offer_images\421410", "Link")</f>
        <v/>
      </c>
      <c r="L639" t="inlineStr">
        <is>
          <t>fredpit</t>
        </is>
      </c>
      <c r="M639" s="6">
        <f>HYPERLINK("https://www.dailydose.de/kleinanzeigen/user/3306", "Link")</f>
        <v/>
      </c>
      <c r="N639" s="7" t="n">
        <v>45536.91119212963</v>
      </c>
      <c r="O639" s="3" t="inlineStr">
        <is>
          <t>47.62</t>
        </is>
      </c>
      <c r="P639" t="inlineStr">
        <is>
          <t>Köln</t>
        </is>
      </c>
    </row>
    <row r="640">
      <c r="A640" t="inlineStr">
        <is>
          <t>Ezzy Legacy</t>
        </is>
      </c>
      <c r="B640" s="3" t="n">
        <v>430</v>
      </c>
      <c r="C640" s="8" t="inlineStr">
        <is>
          <t>60%</t>
        </is>
      </c>
      <c r="D640" t="inlineStr">
        <is>
          <t>RDM</t>
        </is>
      </c>
      <c r="E640" s="4" t="n">
        <v>95</v>
      </c>
      <c r="F640" t="inlineStr"/>
      <c r="G640" t="inlineStr">
        <is>
          <t>24837 Schleswig</t>
        </is>
      </c>
      <c r="H640" s="5" t="n">
        <v>45463</v>
      </c>
      <c r="I640" t="inlineStr"/>
      <c r="J640" s="6">
        <f>HYPERLINK("https://www.dailydose.de/kleinanzeigen/detail.htm?ai=418167&amp;cf=kk&amp;pg=5&amp;ci=2", "Link")</f>
        <v/>
      </c>
      <c r="K640" s="6">
        <f>HYPERLINK("C:\Projects\Kleinanzeigen-Scraper\offer_images\418167", "Link")</f>
        <v/>
      </c>
      <c r="L640" t="inlineStr">
        <is>
          <t>Surfer_97</t>
        </is>
      </c>
      <c r="M640" s="6">
        <f>HYPERLINK("https://www.dailydose.de/kleinanzeigen/user/5291", "Link")</f>
        <v/>
      </c>
      <c r="N640" s="7" t="n">
        <v>45536.91109953704</v>
      </c>
      <c r="O640" s="3" t="inlineStr">
        <is>
          <t>435.51</t>
        </is>
      </c>
      <c r="P640" t="inlineStr">
        <is>
          <t>Köln</t>
        </is>
      </c>
    </row>
    <row r="641">
      <c r="A641" t="inlineStr">
        <is>
          <t>Neilpryde TPX 100</t>
        </is>
      </c>
      <c r="B641" s="3" t="n">
        <v>460</v>
      </c>
      <c r="C641" s="8" t="inlineStr"/>
      <c r="D641" t="inlineStr">
        <is>
          <t>SDM</t>
        </is>
      </c>
      <c r="E641" s="4" t="n">
        <v>475</v>
      </c>
      <c r="F641" t="inlineStr"/>
      <c r="G641" t="inlineStr">
        <is>
          <t>33758 Schloß Holte</t>
        </is>
      </c>
      <c r="H641" s="5" t="n">
        <v>45529</v>
      </c>
      <c r="I641" t="inlineStr">
        <is>
          <t>Sold</t>
        </is>
      </c>
      <c r="J641" s="6">
        <f>HYPERLINK("https://www.dailydose.de/kleinanzeigen/detail.htm?ai=421416&amp;cf=kk&amp;pg=2&amp;ci=2", "Link")</f>
        <v/>
      </c>
      <c r="K641" s="6">
        <f>HYPERLINK("C:\Projects\Kleinanzeigen-Scraper\offer_images\421416", "Link")</f>
        <v/>
      </c>
      <c r="L641" t="inlineStr">
        <is>
          <t>table__top</t>
        </is>
      </c>
      <c r="M641" s="6">
        <f>HYPERLINK("https://www.dailydose.de/kleinanzeigen/user/808", "Link")</f>
        <v/>
      </c>
      <c r="N641" s="7" t="n">
        <v>45536.91106481481</v>
      </c>
      <c r="O641" s="3" t="inlineStr">
        <is>
          <t>158.29</t>
        </is>
      </c>
      <c r="P641" t="inlineStr">
        <is>
          <t>Köln</t>
        </is>
      </c>
    </row>
    <row r="642">
      <c r="A642" t="inlineStr">
        <is>
          <t>NP Mast X9</t>
        </is>
      </c>
      <c r="B642" s="3" t="n">
        <v>370</v>
      </c>
      <c r="C642" s="8" t="inlineStr">
        <is>
          <t>100%</t>
        </is>
      </c>
      <c r="D642" t="inlineStr">
        <is>
          <t>SDM</t>
        </is>
      </c>
      <c r="E642" s="4" t="n">
        <v>150</v>
      </c>
      <c r="F642" t="inlineStr">
        <is>
          <t>VB</t>
        </is>
      </c>
      <c r="G642" t="inlineStr">
        <is>
          <t>83714 Miesbach</t>
        </is>
      </c>
      <c r="H642" s="5" t="n">
        <v>45514</v>
      </c>
      <c r="I642" t="inlineStr"/>
      <c r="J642" s="6">
        <f>HYPERLINK("https://www.dailydose.de/kleinanzeigen/detail.htm?ai=420704&amp;cf=kk&amp;pg=4&amp;ci=2", "Link")</f>
        <v/>
      </c>
      <c r="K642" s="6">
        <f>HYPERLINK("C:\Projects\Kleinanzeigen-Scraper\offer_images\420704", "Link")</f>
        <v/>
      </c>
      <c r="L642" t="inlineStr">
        <is>
          <t>Elfi</t>
        </is>
      </c>
      <c r="M642" s="6">
        <f>HYPERLINK("https://www.dailydose.de/kleinanzeigen/user/10174", "Link")</f>
        <v/>
      </c>
      <c r="N642" s="7" t="n">
        <v>45536.91104166667</v>
      </c>
      <c r="O642" s="3" t="inlineStr">
        <is>
          <t>41.62</t>
        </is>
      </c>
      <c r="P642" t="inlineStr">
        <is>
          <t>München</t>
        </is>
      </c>
    </row>
    <row r="643">
      <c r="A643" t="inlineStr">
        <is>
          <t>Duotone PLATINUM Aero</t>
        </is>
      </c>
      <c r="B643" s="3" t="n">
        <v>430</v>
      </c>
      <c r="C643" s="8" t="inlineStr"/>
      <c r="D643" t="inlineStr">
        <is>
          <t>RDM</t>
        </is>
      </c>
      <c r="E643" s="4" t="n">
        <v>550</v>
      </c>
      <c r="F643" t="inlineStr"/>
      <c r="G643" t="inlineStr">
        <is>
          <t>Lindau</t>
        </is>
      </c>
      <c r="H643" s="5" t="n">
        <v>45471</v>
      </c>
      <c r="I643" t="inlineStr"/>
      <c r="J643" s="6">
        <f>HYPERLINK("https://www.dailydose.de/kleinanzeigen/detail.htm?ai=418542&amp;cf=kk&amp;pg=5&amp;ci=2", "Link")</f>
        <v/>
      </c>
      <c r="K643" s="6">
        <f>HYPERLINK("C:\Projects\Kleinanzeigen-Scraper\offer_images\418542", "Link")</f>
        <v/>
      </c>
      <c r="L643" t="inlineStr">
        <is>
          <t>Johannes_33</t>
        </is>
      </c>
      <c r="M643" s="6">
        <f>HYPERLINK("https://www.dailydose.de/kleinanzeigen/user/11481", "Link")</f>
        <v/>
      </c>
      <c r="N643" s="7" t="n">
        <v>45536.91100694444</v>
      </c>
      <c r="O643" s="3" t="inlineStr">
        <is>
          <t>431.64</t>
        </is>
      </c>
      <c r="P643" t="inlineStr">
        <is>
          <t>Köln</t>
        </is>
      </c>
    </row>
    <row r="644">
      <c r="A644" t="inlineStr">
        <is>
          <t>Ezzy Legacy</t>
        </is>
      </c>
      <c r="B644" s="3" t="n">
        <v>460</v>
      </c>
      <c r="C644" s="8" t="inlineStr"/>
      <c r="D644" t="inlineStr"/>
      <c r="E644" s="4" t="n">
        <v>250</v>
      </c>
      <c r="F644" t="inlineStr"/>
      <c r="G644" t="inlineStr">
        <is>
          <t>45711 Datteln</t>
        </is>
      </c>
      <c r="H644" s="5" t="n">
        <v>45522</v>
      </c>
      <c r="I644" t="inlineStr">
        <is>
          <t>Sold</t>
        </is>
      </c>
      <c r="J644" s="6">
        <f>HYPERLINK("https://www.dailydose.de/kleinanzeigen/detail.htm?ai=421110&amp;cf=kk&amp;pg=2&amp;ci=2", "Link")</f>
        <v/>
      </c>
      <c r="K644" s="6">
        <f>HYPERLINK("C:\Projects\Kleinanzeigen-Scraper\offer_images\421110", "Link")</f>
        <v/>
      </c>
      <c r="L644" t="inlineStr">
        <is>
          <t>Freddy_179</t>
        </is>
      </c>
      <c r="M644" s="6">
        <f>HYPERLINK("https://www.dailydose.de/kleinanzeigen/user/8777", "Link")</f>
        <v/>
      </c>
      <c r="N644" s="7" t="n">
        <v>45536.91097222222</v>
      </c>
      <c r="O644" s="3" t="inlineStr">
        <is>
          <t>83.86</t>
        </is>
      </c>
      <c r="P644" t="inlineStr">
        <is>
          <t>Köln</t>
        </is>
      </c>
    </row>
    <row r="645">
      <c r="A645" t="inlineStr">
        <is>
          <t>Sailloft Reflex</t>
        </is>
      </c>
      <c r="B645" s="3" t="n">
        <v>430</v>
      </c>
      <c r="C645" s="8" t="n">
        <v>80</v>
      </c>
      <c r="D645" t="inlineStr">
        <is>
          <t>SDM</t>
        </is>
      </c>
      <c r="E645" s="4" t="n">
        <v>250</v>
      </c>
      <c r="F645" t="inlineStr">
        <is>
          <t>VB</t>
        </is>
      </c>
      <c r="G645" t="inlineStr">
        <is>
          <t>Nähe Bielefeld</t>
        </is>
      </c>
      <c r="H645" s="5" t="n">
        <v>45510</v>
      </c>
      <c r="I645" t="inlineStr"/>
      <c r="J645" s="6">
        <f>HYPERLINK("https://www.dailydose.de/kleinanzeigen/detail.htm?ai=420516&amp;cf=kk&amp;pg=4&amp;ci=2", "Link")</f>
        <v/>
      </c>
      <c r="K645" s="6">
        <f>HYPERLINK("C:\Projects\Kleinanzeigen-Scraper\offer_images\420516", "Link")</f>
        <v/>
      </c>
      <c r="L645" t="inlineStr">
        <is>
          <t>AR</t>
        </is>
      </c>
      <c r="M645" s="6">
        <f>HYPERLINK("https://www.dailydose.de/kleinanzeigen/user/4186", "Link")</f>
        <v/>
      </c>
      <c r="N645" s="7" t="n">
        <v>45536.9109375</v>
      </c>
      <c r="O645" s="3" t="inlineStr">
        <is>
          <t>159.54</t>
        </is>
      </c>
      <c r="P645" t="inlineStr">
        <is>
          <t>Köln</t>
        </is>
      </c>
    </row>
    <row r="646">
      <c r="A646" t="inlineStr">
        <is>
          <t>NeilPryde CK 75</t>
        </is>
      </c>
      <c r="B646" s="3" t="n">
        <v>460</v>
      </c>
      <c r="C646" s="8" t="n">
        <v>75</v>
      </c>
      <c r="D646" t="inlineStr">
        <is>
          <t>SDM</t>
        </is>
      </c>
      <c r="E646" s="4" t="n">
        <v>45</v>
      </c>
      <c r="F646" t="inlineStr">
        <is>
          <t>VB</t>
        </is>
      </c>
      <c r="G646" t="inlineStr">
        <is>
          <t>82205 Gilching</t>
        </is>
      </c>
      <c r="H646" s="5" t="n">
        <v>45533</v>
      </c>
      <c r="I646" t="inlineStr"/>
      <c r="J646" s="6">
        <f>HYPERLINK("https://www.dailydose.de/kleinanzeigen/detail.htm?ai=421699&amp;cf=kk&amp;pg=3&amp;ci=2", "Link")</f>
        <v/>
      </c>
      <c r="K646" s="6">
        <f>HYPERLINK("C:\Projects\Kleinanzeigen-Scraper\offer_images\421699", "Link")</f>
        <v/>
      </c>
      <c r="L646" t="inlineStr">
        <is>
          <t>algla</t>
        </is>
      </c>
      <c r="M646" s="6">
        <f>HYPERLINK("https://www.dailydose.de/kleinanzeigen/user/3111", "Link")</f>
        <v/>
      </c>
      <c r="N646" s="7" t="n">
        <v>45536.91090277778</v>
      </c>
      <c r="O646" s="3" t="inlineStr">
        <is>
          <t>23.04</t>
        </is>
      </c>
      <c r="P646" t="inlineStr">
        <is>
          <t>München</t>
        </is>
      </c>
    </row>
    <row r="647">
      <c r="A647" t="inlineStr">
        <is>
          <t>OEM</t>
        </is>
      </c>
      <c r="B647" s="3" t="inlineStr">
        <is>
          <t>Various lengths</t>
        </is>
      </c>
      <c r="C647" s="8" t="inlineStr">
        <is>
          <t>90%</t>
        </is>
      </c>
      <c r="D647" t="inlineStr">
        <is>
          <t>RDM</t>
        </is>
      </c>
      <c r="E647" s="4" t="n">
        <v>230</v>
      </c>
      <c r="F647" t="inlineStr"/>
      <c r="G647" t="inlineStr">
        <is>
          <t>22395 Hamburg</t>
        </is>
      </c>
      <c r="H647" s="5" t="n">
        <v>45447</v>
      </c>
      <c r="I647" t="inlineStr">
        <is>
          <t>Sold</t>
        </is>
      </c>
      <c r="J647" s="6">
        <f>HYPERLINK("https://www.dailydose.de/kleinanzeigen/detail.htm?ai=417304&amp;cf=kk&amp;pg=5&amp;ci=2", "Link")</f>
        <v/>
      </c>
      <c r="K647" s="6">
        <f>HYPERLINK("C:\Projects\Kleinanzeigen-Scraper\offer_images\417304", "Link")</f>
        <v/>
      </c>
      <c r="L647" t="inlineStr">
        <is>
          <t>Heiko_37</t>
        </is>
      </c>
      <c r="M647" s="6">
        <f>HYPERLINK("https://www.dailydose.de/kleinanzeigen/user/10476", "Link")</f>
        <v/>
      </c>
      <c r="N647" s="7" t="n">
        <v>45536.91087962963</v>
      </c>
      <c r="O647" s="3" t="inlineStr">
        <is>
          <t>372.75</t>
        </is>
      </c>
      <c r="P647" t="inlineStr">
        <is>
          <t>Köln</t>
        </is>
      </c>
    </row>
    <row r="648">
      <c r="A648" t="inlineStr">
        <is>
          <t>Goya Mast</t>
        </is>
      </c>
      <c r="B648" s="3" t="n">
        <v>400</v>
      </c>
      <c r="C648" s="8" t="inlineStr">
        <is>
          <t>70%</t>
        </is>
      </c>
      <c r="D648" t="inlineStr">
        <is>
          <t>RDM</t>
        </is>
      </c>
      <c r="E648" s="4" t="n">
        <v>230</v>
      </c>
      <c r="F648" t="inlineStr">
        <is>
          <t>VB</t>
        </is>
      </c>
      <c r="G648" t="inlineStr">
        <is>
          <t>85301 Schweitenkirchen</t>
        </is>
      </c>
      <c r="H648" s="5" t="n">
        <v>45487</v>
      </c>
      <c r="I648" t="inlineStr">
        <is>
          <t>Sold</t>
        </is>
      </c>
      <c r="J648" s="6">
        <f>HYPERLINK("https://www.dailydose.de/kleinanzeigen/detail.htm?ai=419367&amp;cf=kk&amp;pg=4&amp;ci=2", "Link")</f>
        <v/>
      </c>
      <c r="K648" s="6">
        <f>HYPERLINK("C:\Projects\Kleinanzeigen-Scraper\offer_images\419367", "Link")</f>
        <v/>
      </c>
      <c r="L648" t="inlineStr">
        <is>
          <t>Michael Lau</t>
        </is>
      </c>
      <c r="M648" s="6">
        <f>HYPERLINK("https://www.dailydose.de/kleinanzeigen/user/16683", "Link")</f>
        <v/>
      </c>
      <c r="N648" s="7" t="n">
        <v>45536.91087962963</v>
      </c>
      <c r="O648" s="3" t="inlineStr">
        <is>
          <t>43.29</t>
        </is>
      </c>
      <c r="P648" t="inlineStr">
        <is>
          <t>München</t>
        </is>
      </c>
    </row>
    <row r="649">
      <c r="A649" t="inlineStr">
        <is>
          <t>Duotone Uni XT</t>
        </is>
      </c>
      <c r="B649" s="3" t="n">
        <v>36</v>
      </c>
      <c r="C649" s="8" t="inlineStr"/>
      <c r="D649" t="inlineStr">
        <is>
          <t>RDM</t>
        </is>
      </c>
      <c r="E649" s="4" t="n">
        <v>65</v>
      </c>
      <c r="F649" t="inlineStr">
        <is>
          <t>VB</t>
        </is>
      </c>
      <c r="G649" t="inlineStr">
        <is>
          <t>85301 Schweitenkirchen</t>
        </is>
      </c>
      <c r="H649" s="5" t="n">
        <v>45487</v>
      </c>
      <c r="I649" t="inlineStr"/>
      <c r="J649" s="6">
        <f>HYPERLINK("https://www.dailydose.de/kleinanzeigen/detail.htm?ai=419377&amp;cf=kk&amp;pg=4&amp;ci=2", "Link")</f>
        <v/>
      </c>
      <c r="K649" s="6">
        <f>HYPERLINK("C:\Projects\Kleinanzeigen-Scraper\offer_images\419377", "Link")</f>
        <v/>
      </c>
      <c r="L649" t="inlineStr">
        <is>
          <t>Michael Lau</t>
        </is>
      </c>
      <c r="M649" s="6">
        <f>HYPERLINK("https://www.dailydose.de/kleinanzeigen/user/16683", "Link")</f>
        <v/>
      </c>
      <c r="N649" s="7" t="n">
        <v>45536.91075231481</v>
      </c>
      <c r="O649" s="3" t="inlineStr">
        <is>
          <t>43.29</t>
        </is>
      </c>
      <c r="P649" t="inlineStr">
        <is>
          <t>München</t>
        </is>
      </c>
    </row>
    <row r="650">
      <c r="A650" t="inlineStr">
        <is>
          <t>Gun Sails Advantage</t>
        </is>
      </c>
      <c r="B650" s="3" t="n">
        <v>400</v>
      </c>
      <c r="C650" s="8" t="inlineStr"/>
      <c r="D650" t="inlineStr">
        <is>
          <t>RDM</t>
        </is>
      </c>
      <c r="E650" s="4" t="n">
        <v>50</v>
      </c>
      <c r="F650" t="inlineStr">
        <is>
          <t>VB</t>
        </is>
      </c>
      <c r="G650" t="inlineStr">
        <is>
          <t>47249 Duisburg</t>
        </is>
      </c>
      <c r="H650" s="5" t="n">
        <v>45498</v>
      </c>
      <c r="I650" t="inlineStr">
        <is>
          <t>Sold</t>
        </is>
      </c>
      <c r="J650" s="6">
        <f>HYPERLINK("https://www.dailydose.de/kleinanzeigen/detail.htm?ai=419965&amp;cf=kk&amp;pg=4&amp;ci=2", "Link")</f>
        <v/>
      </c>
      <c r="K650" s="6">
        <f>HYPERLINK("C:\Projects\Kleinanzeigen-Scraper\offer_images\419965", "Link")</f>
        <v/>
      </c>
      <c r="L650" t="inlineStr">
        <is>
          <t>Guido_3</t>
        </is>
      </c>
      <c r="M650" s="6">
        <f>HYPERLINK("https://www.dailydose.de/kleinanzeigen/user/8056", "Link")</f>
        <v/>
      </c>
      <c r="N650" s="7" t="n">
        <v>45536.91071759259</v>
      </c>
      <c r="O650" s="3" t="inlineStr">
        <is>
          <t>51.56</t>
        </is>
      </c>
      <c r="P650" t="inlineStr">
        <is>
          <t>Köln</t>
        </is>
      </c>
    </row>
    <row r="651">
      <c r="A651" t="inlineStr">
        <is>
          <t>JP X35</t>
        </is>
      </c>
      <c r="B651" s="3" t="n">
        <v>460</v>
      </c>
      <c r="C651" s="8" t="inlineStr"/>
      <c r="D651" t="inlineStr"/>
      <c r="E651" s="4" t="n">
        <v>50</v>
      </c>
      <c r="F651" t="inlineStr">
        <is>
          <t>VB</t>
        </is>
      </c>
      <c r="G651" t="inlineStr">
        <is>
          <t>07955 Auma-Weidatal</t>
        </is>
      </c>
      <c r="H651" s="5" t="n">
        <v>45460</v>
      </c>
      <c r="I651" t="inlineStr"/>
      <c r="J651" s="6">
        <f>HYPERLINK("https://www.dailydose.de/kleinanzeigen/detail.htm?ai=418024&amp;cf=kk&amp;pg=5&amp;ci=2", "Link")</f>
        <v/>
      </c>
      <c r="K651" s="6">
        <f>HYPERLINK("C:\Projects\Kleinanzeigen-Scraper\offer_images\418024", "Link")</f>
        <v/>
      </c>
      <c r="L651" t="inlineStr">
        <is>
          <t>Sebastian_197</t>
        </is>
      </c>
      <c r="M651" s="6">
        <f>HYPERLINK("https://www.dailydose.de/kleinanzeigen/user/21144", "Link")</f>
        <v/>
      </c>
      <c r="N651" s="7" t="n">
        <v>45536.91071759259</v>
      </c>
      <c r="O651" s="3" t="inlineStr">
        <is>
          <t>286.81</t>
        </is>
      </c>
      <c r="P651" t="inlineStr">
        <is>
          <t>München</t>
        </is>
      </c>
    </row>
    <row r="652">
      <c r="A652" t="inlineStr">
        <is>
          <t>Severne SDM</t>
        </is>
      </c>
      <c r="B652" s="3" t="n">
        <v>430</v>
      </c>
      <c r="C652" s="8" t="inlineStr">
        <is>
          <t>40%</t>
        </is>
      </c>
      <c r="D652" t="inlineStr">
        <is>
          <t>SDM</t>
        </is>
      </c>
      <c r="E652" s="4" t="n">
        <v>75</v>
      </c>
      <c r="F652" t="inlineStr"/>
      <c r="G652" t="inlineStr">
        <is>
          <t>33617 Bielefeld</t>
        </is>
      </c>
      <c r="H652" s="5" t="n">
        <v>45524</v>
      </c>
      <c r="I652" t="inlineStr"/>
      <c r="J652" s="6">
        <f>HYPERLINK("https://www.dailydose.de/kleinanzeigen/detail.htm?ai=421211&amp;cf=kk&amp;pg=4&amp;ci=2", "Link")</f>
        <v/>
      </c>
      <c r="K652" s="6">
        <f>HYPERLINK("C:\Projects\Kleinanzeigen-Scraper\offer_images\421211", "Link")</f>
        <v/>
      </c>
      <c r="L652" t="inlineStr">
        <is>
          <t>Krzysztof</t>
        </is>
      </c>
      <c r="M652" s="6">
        <f>HYPERLINK("https://www.dailydose.de/kleinanzeigen/user/13851", "Link")</f>
        <v/>
      </c>
      <c r="N652" s="7" t="n">
        <v>45536.91064814815</v>
      </c>
      <c r="O652" s="3" t="inlineStr">
        <is>
          <t>160.92</t>
        </is>
      </c>
      <c r="P652" t="inlineStr">
        <is>
          <t>Köln</t>
        </is>
      </c>
    </row>
    <row r="653">
      <c r="A653" t="inlineStr">
        <is>
          <t>Gaastra</t>
        </is>
      </c>
      <c r="B653" s="3" t="n">
        <v>430</v>
      </c>
      <c r="C653" s="8" t="inlineStr"/>
      <c r="D653" t="inlineStr">
        <is>
          <t>SDM</t>
        </is>
      </c>
      <c r="E653" s="4" t="n">
        <v>150</v>
      </c>
      <c r="F653" t="inlineStr"/>
      <c r="G653" t="inlineStr">
        <is>
          <t>23769 Strukkamp</t>
        </is>
      </c>
      <c r="H653" s="5" t="n">
        <v>45516</v>
      </c>
      <c r="I653" t="inlineStr"/>
      <c r="J653" s="6">
        <f>HYPERLINK("https://www.dailydose.de/kleinanzeigen/detail.htm?ai=420775&amp;cf=kk&amp;pg=4&amp;ci=2", "Link")</f>
        <v/>
      </c>
      <c r="K653" s="6">
        <f>HYPERLINK("C:\Projects\Kleinanzeigen-Scraper\offer_images\420775", "Link")</f>
        <v/>
      </c>
      <c r="L653" t="inlineStr">
        <is>
          <t>Felix_88</t>
        </is>
      </c>
      <c r="M653" s="6">
        <f>HYPERLINK("https://www.dailydose.de/kleinanzeigen/user/8229", "Link")</f>
        <v/>
      </c>
      <c r="N653" s="7" t="n">
        <v>45536.91059027778</v>
      </c>
      <c r="O653" s="3" t="inlineStr">
        <is>
          <t>483.01</t>
        </is>
      </c>
      <c r="P653" t="inlineStr">
        <is>
          <t>Köln</t>
        </is>
      </c>
    </row>
    <row r="654">
      <c r="A654" t="inlineStr">
        <is>
          <t>Unifiber Skinny</t>
        </is>
      </c>
      <c r="B654" s="3" t="n">
        <v>370</v>
      </c>
      <c r="C654" s="8" t="n">
        <v>40</v>
      </c>
      <c r="D654" t="inlineStr"/>
      <c r="E654" s="4" t="n">
        <v>50</v>
      </c>
      <c r="F654" t="inlineStr"/>
      <c r="G654" t="inlineStr">
        <is>
          <t>50733 Köln</t>
        </is>
      </c>
      <c r="H654" s="5" t="n">
        <v>45483</v>
      </c>
      <c r="I654" t="inlineStr">
        <is>
          <t>Sold</t>
        </is>
      </c>
      <c r="J654" s="6">
        <f>HYPERLINK("https://www.dailydose.de/kleinanzeigen/detail.htm?ai=419130&amp;cf=kk&amp;pg=4&amp;ci=2", "Link")</f>
        <v/>
      </c>
      <c r="K654" s="6">
        <f>HYPERLINK("C:\Projects\Kleinanzeigen-Scraper\offer_images\419130", "Link")</f>
        <v/>
      </c>
      <c r="L654" t="inlineStr">
        <is>
          <t>Frank Grueter</t>
        </is>
      </c>
      <c r="M654" s="6">
        <f>HYPERLINK("https://www.dailydose.de/kleinanzeigen/user/8614", "Link")</f>
        <v/>
      </c>
      <c r="N654" s="7" t="n">
        <v>45536.91059027778</v>
      </c>
      <c r="O654" s="3" t="inlineStr">
        <is>
          <t>2.91</t>
        </is>
      </c>
      <c r="P654" t="inlineStr">
        <is>
          <t>Köln</t>
        </is>
      </c>
    </row>
    <row r="655">
      <c r="A655" t="inlineStr">
        <is>
          <t>Fanatic Dynamic Curve</t>
        </is>
      </c>
      <c r="B655" s="3" t="n">
        <v>470</v>
      </c>
      <c r="C655" s="8" t="inlineStr"/>
      <c r="D655" t="inlineStr">
        <is>
          <t>SDM</t>
        </is>
      </c>
      <c r="E655" s="4" t="n">
        <v>39</v>
      </c>
      <c r="F655" t="inlineStr"/>
      <c r="G655" t="inlineStr">
        <is>
          <t>44797 Bochum - Bochum-Süd</t>
        </is>
      </c>
      <c r="H655" s="5" t="n">
        <v>45535</v>
      </c>
      <c r="I655" t="inlineStr">
        <is>
          <t>Sold</t>
        </is>
      </c>
      <c r="J655" s="6">
        <f>HYPERLINK("https://www.kleinanzeigen.de/s-anzeige/windsurf-surf-mast-470-cm-carbon-sdm/2850974949-230-1950", "Link")</f>
        <v/>
      </c>
      <c r="K655" s="6">
        <f>HYPERLINK("C:\Projects\Kleinanzeigen-Scraper\offer_images\2850974949", "Link")</f>
        <v/>
      </c>
      <c r="L655" t="inlineStr">
        <is>
          <t>Andreas</t>
        </is>
      </c>
      <c r="M655" s="6">
        <f>HYPERLINK("https://www.kleinanzeigen.de/s-bestandsliste.html?userId=12635410", "Link")</f>
        <v/>
      </c>
      <c r="N655" s="7" t="n">
        <v>45536.91052083333</v>
      </c>
      <c r="O655" s="3" t="inlineStr">
        <is>
          <t>57.12</t>
        </is>
      </c>
      <c r="P655" t="inlineStr">
        <is>
          <t>Köln</t>
        </is>
      </c>
    </row>
    <row r="656">
      <c r="A656" t="inlineStr">
        <is>
          <t>Technofiber</t>
        </is>
      </c>
      <c r="B656" s="3" t="n">
        <v>460</v>
      </c>
      <c r="C656" s="8" t="inlineStr">
        <is>
          <t>30%</t>
        </is>
      </c>
      <c r="D656" t="inlineStr">
        <is>
          <t>SDM</t>
        </is>
      </c>
      <c r="E656" s="4" t="n">
        <v>30</v>
      </c>
      <c r="F656" t="inlineStr"/>
      <c r="G656" t="inlineStr">
        <is>
          <t>22303 Hamburg-Nord - Hamburg Winterhude</t>
        </is>
      </c>
      <c r="H656" s="5" t="n">
        <v>45535</v>
      </c>
      <c r="I656" t="inlineStr">
        <is>
          <t>Sold</t>
        </is>
      </c>
      <c r="J656" s="6">
        <f>HYPERLINK("https://www.kleinanzeigen.de/s-anzeige/mast-sdm-windsurfen-technofiber-460cm-30-carbon/2851103650-230-9482", "Link")</f>
        <v/>
      </c>
      <c r="K656" s="6">
        <f>HYPERLINK("C:\Projects\Kleinanzeigen-Scraper\offer_images\2851103650", "Link")</f>
        <v/>
      </c>
      <c r="L656" t="inlineStr">
        <is>
          <t>Daniel</t>
        </is>
      </c>
      <c r="M656" s="6">
        <f>HYPERLINK("https://www.kleinanzeigen.de/s-bestandsliste.html?userId=33396736", "Link")</f>
        <v/>
      </c>
      <c r="N656" s="7" t="n">
        <v>45536.91048611111</v>
      </c>
      <c r="O656" s="3" t="inlineStr">
        <is>
          <t>361.45</t>
        </is>
      </c>
      <c r="P656" t="inlineStr">
        <is>
          <t>Köln</t>
        </is>
      </c>
    </row>
    <row r="657">
      <c r="A657" t="inlineStr">
        <is>
          <t>Gunsails Select</t>
        </is>
      </c>
      <c r="B657" s="3" t="n">
        <v>430</v>
      </c>
      <c r="C657" s="8" t="inlineStr">
        <is>
          <t>100%</t>
        </is>
      </c>
      <c r="D657" t="inlineStr">
        <is>
          <t>SDM</t>
        </is>
      </c>
      <c r="E657" s="4" t="n">
        <v>300</v>
      </c>
      <c r="F657" t="inlineStr"/>
      <c r="G657" t="inlineStr">
        <is>
          <t>21493 Herzogtum Lauenburg - Schwarzenbek</t>
        </is>
      </c>
      <c r="H657" s="5" t="n">
        <v>45535</v>
      </c>
      <c r="I657" t="inlineStr">
        <is>
          <t>Sold</t>
        </is>
      </c>
      <c r="J657" s="6">
        <f>HYPERLINK("https://www.kleinanzeigen.de/s-anzeige/gunsails-select-430er-mast-sdm-100-carbon-windsurfen/2850485652-230-746", "Link")</f>
        <v/>
      </c>
      <c r="K657" s="6">
        <f>HYPERLINK("C:\Projects\Kleinanzeigen-Scraper\offer_images\2850485652", "Link")</f>
        <v/>
      </c>
      <c r="L657" t="inlineStr">
        <is>
          <t>Sebastian</t>
        </is>
      </c>
      <c r="M657" s="6">
        <f>HYPERLINK("https://www.kleinanzeigen.de/s-bestandsliste.html?userId=141573193", "Link")</f>
        <v/>
      </c>
      <c r="N657" s="7" t="n">
        <v>45536.91046296297</v>
      </c>
      <c r="O657" s="3" t="inlineStr">
        <is>
          <t>378.85</t>
        </is>
      </c>
      <c r="P657" t="inlineStr">
        <is>
          <t>Köln</t>
        </is>
      </c>
    </row>
    <row r="658">
      <c r="A658" t="inlineStr"/>
      <c r="B658" s="3" t="n">
        <v>430</v>
      </c>
      <c r="C658" s="8" t="inlineStr">
        <is>
          <t>100%</t>
        </is>
      </c>
      <c r="D658" t="inlineStr">
        <is>
          <t>SDM</t>
        </is>
      </c>
      <c r="E658" s="4" t="n">
        <v>39</v>
      </c>
      <c r="F658" t="inlineStr"/>
      <c r="G658" t="inlineStr">
        <is>
          <t>44797 Bochum - Bochum-Süd</t>
        </is>
      </c>
      <c r="H658" s="5" t="n">
        <v>45535</v>
      </c>
      <c r="I658" t="inlineStr">
        <is>
          <t>Sold</t>
        </is>
      </c>
      <c r="J658" s="6">
        <f>HYPERLINK("https://www.kleinanzeigen.de/s-anzeige/windsurf-surf-mast-430-cm-carbon-sdm/2850977898-230-1950", "Link")</f>
        <v/>
      </c>
      <c r="K658" s="6">
        <f>HYPERLINK("C:\Projects\Kleinanzeigen-Scraper\offer_images\2850977898", "Link")</f>
        <v/>
      </c>
      <c r="L658" t="inlineStr">
        <is>
          <t>Andreas</t>
        </is>
      </c>
      <c r="M658" s="6">
        <f>HYPERLINK("https://www.kleinanzeigen.de/s-bestandsliste.html?userId=12635410", "Link")</f>
        <v/>
      </c>
      <c r="N658" s="7" t="n">
        <v>45536.91043981481</v>
      </c>
      <c r="O658" s="3" t="inlineStr">
        <is>
          <t>57.12</t>
        </is>
      </c>
      <c r="P658" t="inlineStr">
        <is>
          <t>Köln</t>
        </is>
      </c>
    </row>
    <row r="659">
      <c r="A659" t="inlineStr"/>
      <c r="B659" s="3" t="n">
        <v>490</v>
      </c>
      <c r="C659" s="8" t="inlineStr"/>
      <c r="D659" t="inlineStr">
        <is>
          <t>SDM</t>
        </is>
      </c>
      <c r="E659" s="4" t="n">
        <v>39</v>
      </c>
      <c r="F659" t="inlineStr"/>
      <c r="G659" t="inlineStr">
        <is>
          <t>44797 Bochum - Bochum-Süd</t>
        </is>
      </c>
      <c r="H659" s="5" t="n">
        <v>45535</v>
      </c>
      <c r="I659" t="inlineStr">
        <is>
          <t>Sold</t>
        </is>
      </c>
      <c r="J659" s="6">
        <f>HYPERLINK("https://www.kleinanzeigen.de/s-anzeige/windsurf-surf-mast-490-cm-carbon-sdm/2850970445-230-1950", "Link")</f>
        <v/>
      </c>
      <c r="K659" s="6">
        <f>HYPERLINK("C:\Projects\Kleinanzeigen-Scraper\offer_images\2850970445", "Link")</f>
        <v/>
      </c>
      <c r="L659" t="inlineStr">
        <is>
          <t>Andreas</t>
        </is>
      </c>
      <c r="M659" s="6">
        <f>HYPERLINK("https://www.kleinanzeigen.de/s-bestandsliste.html?userId=12635410", "Link")</f>
        <v/>
      </c>
      <c r="N659" s="7" t="n">
        <v>45536.91042824074</v>
      </c>
      <c r="O659" s="3" t="inlineStr">
        <is>
          <t>57.12</t>
        </is>
      </c>
      <c r="P659" t="inlineStr">
        <is>
          <t>Köln</t>
        </is>
      </c>
    </row>
    <row r="660">
      <c r="A660" t="inlineStr">
        <is>
          <t>North Sails Space Tech</t>
        </is>
      </c>
      <c r="B660" s="3" t="n">
        <v>460</v>
      </c>
      <c r="C660" s="8" t="inlineStr">
        <is>
          <t>100%</t>
        </is>
      </c>
      <c r="D660" t="inlineStr"/>
      <c r="E660" s="4" t="n">
        <v>35</v>
      </c>
      <c r="F660" t="inlineStr"/>
      <c r="G660" t="inlineStr">
        <is>
          <t>22587 Altona - Hamburg Blankenese</t>
        </is>
      </c>
      <c r="H660" s="5" t="n">
        <v>45533</v>
      </c>
      <c r="I660" t="inlineStr">
        <is>
          <t>Sold</t>
        </is>
      </c>
      <c r="J660" s="6">
        <f>HYPERLINK("https://www.kleinanzeigen.de/s-anzeige/windsurf-mast-carbon-460-von-north-sails/2849221293-230-9509", "Link")</f>
        <v/>
      </c>
      <c r="K660" s="6">
        <f>HYPERLINK("C:\Projects\Kleinanzeigen-Scraper\offer_images\2849221293", "Link")</f>
        <v/>
      </c>
      <c r="L660" t="inlineStr">
        <is>
          <t>Andrea H</t>
        </is>
      </c>
      <c r="M660" s="6">
        <f>HYPERLINK("https://www.kleinanzeigen.de/s-bestandsliste.html?userId=6748191", "Link")</f>
        <v/>
      </c>
      <c r="N660" s="7" t="n">
        <v>45536.91039351852</v>
      </c>
      <c r="O660" s="3" t="inlineStr">
        <is>
          <t>349.90</t>
        </is>
      </c>
      <c r="P660" t="inlineStr">
        <is>
          <t>Köln</t>
        </is>
      </c>
    </row>
    <row r="661">
      <c r="A661" t="inlineStr">
        <is>
          <t>Powerex</t>
        </is>
      </c>
      <c r="B661" s="3" t="n">
        <v>490</v>
      </c>
      <c r="C661" s="8" t="inlineStr"/>
      <c r="D661" t="inlineStr"/>
      <c r="E661" s="4" t="n">
        <v>50</v>
      </c>
      <c r="F661" t="inlineStr"/>
      <c r="G661" t="inlineStr">
        <is>
          <t>13055 Berlin - Hohenschönhausen</t>
        </is>
      </c>
      <c r="H661" s="5" t="n">
        <v>45534</v>
      </c>
      <c r="I661" t="inlineStr">
        <is>
          <t>Sold</t>
        </is>
      </c>
      <c r="J661" s="6">
        <f>HYPERLINK("https://www.kleinanzeigen.de/s-anzeige/windsurf-mast-carbon-490-powerex/2849848315-230-3358", "Link")</f>
        <v/>
      </c>
      <c r="K661" s="6">
        <f>HYPERLINK("C:\Projects\Kleinanzeigen-Scraper\offer_images\2849848315", "Link")</f>
        <v/>
      </c>
      <c r="L661" t="inlineStr">
        <is>
          <t>anchovis</t>
        </is>
      </c>
      <c r="M661" s="6">
        <f>HYPERLINK("https://www.kleinanzeigen.de/s-bestandsliste.html?userId=21748234", "Link")</f>
        <v/>
      </c>
      <c r="N661" s="7" t="n">
        <v>45536.91038194444</v>
      </c>
      <c r="O661" s="3" t="inlineStr">
        <is>
          <t>484.27</t>
        </is>
      </c>
      <c r="P661" t="inlineStr">
        <is>
          <t>Köln</t>
        </is>
      </c>
    </row>
    <row r="662">
      <c r="A662" t="inlineStr">
        <is>
          <t>Riderspar Reflex</t>
        </is>
      </c>
      <c r="B662" s="3" t="inlineStr"/>
      <c r="C662" s="8" t="inlineStr"/>
      <c r="D662" t="inlineStr"/>
      <c r="E662" s="4" t="inlineStr"/>
      <c r="F662" t="inlineStr">
        <is>
          <t>VB</t>
        </is>
      </c>
      <c r="G662" t="inlineStr">
        <is>
          <t>24782 Schleswig-Holstein - Büdelsdorf</t>
        </is>
      </c>
      <c r="H662" s="5" t="n">
        <v>45530</v>
      </c>
      <c r="I662" t="inlineStr">
        <is>
          <t>Sold</t>
        </is>
      </c>
      <c r="J662" s="6">
        <f>HYPERLINK("https://www.kleinanzeigen.de/s-anzeige/mast-windsurfen/2847052953-230-18947", "Link")</f>
        <v/>
      </c>
      <c r="K662" s="6">
        <f>HYPERLINK("C:\Projects\Kleinanzeigen-Scraper\offer_images\2847052953", "Link")</f>
        <v/>
      </c>
      <c r="L662" t="inlineStr">
        <is>
          <t>Ri</t>
        </is>
      </c>
      <c r="M662" s="6">
        <f>HYPERLINK("https://www.kleinanzeigen.de/s-bestandsliste.html?userId=22381178", "Link")</f>
        <v/>
      </c>
      <c r="N662" s="7" t="n">
        <v>45536.91038194444</v>
      </c>
      <c r="O662" s="3" t="inlineStr">
        <is>
          <t>419.12</t>
        </is>
      </c>
      <c r="P662" t="inlineStr">
        <is>
          <t>Köln</t>
        </is>
      </c>
    </row>
    <row r="663">
      <c r="A663" t="inlineStr">
        <is>
          <t>Space Tech</t>
        </is>
      </c>
      <c r="B663" s="3" t="n">
        <v>400</v>
      </c>
      <c r="C663" s="8" t="inlineStr">
        <is>
          <t>40%</t>
        </is>
      </c>
      <c r="D663" t="inlineStr">
        <is>
          <t>SDM</t>
        </is>
      </c>
      <c r="E663" s="4" t="n">
        <v>35</v>
      </c>
      <c r="F663" t="inlineStr"/>
      <c r="G663" t="inlineStr">
        <is>
          <t>24105 Schleswig-Holstein - Kiel</t>
        </is>
      </c>
      <c r="H663" s="5" t="n">
        <v>45527</v>
      </c>
      <c r="I663" t="inlineStr">
        <is>
          <t>Sold</t>
        </is>
      </c>
      <c r="J663" s="6">
        <f>HYPERLINK("https://www.kleinanzeigen.de/s-anzeige/windsurf-mast-400-sdm/2844134365-230-708", "Link")</f>
        <v/>
      </c>
      <c r="K663" s="6">
        <f>HYPERLINK("C:\Projects\Kleinanzeigen-Scraper\offer_images\2844134365", "Link")</f>
        <v/>
      </c>
      <c r="L663" t="inlineStr">
        <is>
          <t>Martin B</t>
        </is>
      </c>
      <c r="M663" s="6">
        <f>HYPERLINK("https://www.kleinanzeigen.de/s-bestandsliste.html?userId=20701253", "Link")</f>
        <v/>
      </c>
      <c r="N663" s="7" t="n">
        <v>45536.91037037037</v>
      </c>
      <c r="O663" s="3" t="inlineStr">
        <is>
          <t>435.05</t>
        </is>
      </c>
      <c r="P663" t="inlineStr">
        <is>
          <t>Köln</t>
        </is>
      </c>
    </row>
    <row r="664">
      <c r="A664" t="inlineStr"/>
      <c r="B664" s="3" t="inlineStr"/>
      <c r="C664" s="8" t="inlineStr"/>
      <c r="D664" t="inlineStr"/>
      <c r="E664" s="4" t="n">
        <v>49</v>
      </c>
      <c r="F664" t="inlineStr">
        <is>
          <t>VB</t>
        </is>
      </c>
      <c r="G664" t="inlineStr">
        <is>
          <t>37124 Niedersachsen - Rosdorf</t>
        </is>
      </c>
      <c r="H664" s="5" t="n">
        <v>45564</v>
      </c>
      <c r="I664" t="inlineStr"/>
      <c r="J664" s="6">
        <f>HYPERLINK("https://www.kleinanzeigen.de/s-anzeige/windsurf-mast-u-oberteile-gfk-u-alu-ersatzteile-fahnenmast-1784-/1901929585-230-3133", "Link")</f>
        <v/>
      </c>
      <c r="K664" s="6">
        <f>HYPERLINK("C:\Projects\Kleinanzeigen-Scraper\offer_images\1901929585", "Link")</f>
        <v/>
      </c>
      <c r="L664" t="inlineStr">
        <is>
          <t>No user name</t>
        </is>
      </c>
      <c r="M664" s="6">
        <f>HYPERLINK("https://www.kleinanzeigen.deNo user link", "Link")</f>
        <v/>
      </c>
      <c r="N664" s="7" t="n">
        <v>45536.9103587963</v>
      </c>
      <c r="O664" s="3" t="inlineStr">
        <is>
          <t>214.72</t>
        </is>
      </c>
      <c r="P664" t="inlineStr">
        <is>
          <t>Köln</t>
        </is>
      </c>
    </row>
    <row r="665">
      <c r="A665" t="inlineStr">
        <is>
          <t>North Gold</t>
        </is>
      </c>
      <c r="B665" s="3" t="n">
        <v>430</v>
      </c>
      <c r="C665" s="8" t="inlineStr"/>
      <c r="D665" t="inlineStr"/>
      <c r="E665" s="4" t="n">
        <v>60</v>
      </c>
      <c r="F665" t="inlineStr">
        <is>
          <t>VB</t>
        </is>
      </c>
      <c r="G665" t="inlineStr">
        <is>
          <t>44534 Nordrhein-Westfalen - Lünen</t>
        </is>
      </c>
      <c r="H665" s="5" t="n">
        <v>45535</v>
      </c>
      <c r="I665" t="inlineStr">
        <is>
          <t>Sold</t>
        </is>
      </c>
      <c r="J665" s="6">
        <f>HYPERLINK("https://www.kleinanzeigen.de/s-anzeige/north-windsurf-mast/2850814544-230-1754", "Link")</f>
        <v/>
      </c>
      <c r="K665" s="6">
        <f>HYPERLINK("C:\Projects\Kleinanzeigen-Scraper\offer_images\2850814544", "Link")</f>
        <v/>
      </c>
      <c r="L665" t="inlineStr">
        <is>
          <t>T.Z</t>
        </is>
      </c>
      <c r="M665" s="6">
        <f>HYPERLINK("https://www.kleinanzeigen.de/s-bestandsliste.html?userId=4015512", "Link")</f>
        <v/>
      </c>
      <c r="N665" s="7" t="n">
        <v>45536.91033564815</v>
      </c>
      <c r="O665" s="3" t="inlineStr">
        <is>
          <t>85.74</t>
        </is>
      </c>
      <c r="P665" t="inlineStr">
        <is>
          <t>Köln</t>
        </is>
      </c>
    </row>
    <row r="666">
      <c r="A666" t="inlineStr">
        <is>
          <t>Challenger Enduro</t>
        </is>
      </c>
      <c r="B666" s="3" t="n">
        <v>370</v>
      </c>
      <c r="C666" s="8" t="inlineStr"/>
      <c r="D666" t="inlineStr"/>
      <c r="E666" s="4" t="n">
        <v>100</v>
      </c>
      <c r="F666" t="inlineStr">
        <is>
          <t>VB</t>
        </is>
      </c>
      <c r="G666" t="inlineStr">
        <is>
          <t>81369 München - Sendling</t>
        </is>
      </c>
      <c r="H666" s="5" t="n">
        <v>45526</v>
      </c>
      <c r="I666" t="inlineStr">
        <is>
          <t>Sold</t>
        </is>
      </c>
      <c r="J666" s="6">
        <f>HYPERLINK("https://www.kleinanzeigen.de/s-anzeige/windsurfen-carbonmast-segelmast-370cm-enduro/2843603453-230-16382", "Link")</f>
        <v/>
      </c>
      <c r="K666" s="6">
        <f>HYPERLINK("C:\Projects\Kleinanzeigen-Scraper\offer_images\2843603453", "Link")</f>
        <v/>
      </c>
      <c r="L666" t="inlineStr">
        <is>
          <t>Moritz von Unold</t>
        </is>
      </c>
      <c r="M666" s="6">
        <f>HYPERLINK("https://www.kleinanzeigen.de/s-bestandsliste.html?userId=24552406", "Link")</f>
        <v/>
      </c>
      <c r="N666" s="7" t="n">
        <v>45536.91032407407</v>
      </c>
      <c r="O666" s="3" t="inlineStr">
        <is>
          <t>4.53</t>
        </is>
      </c>
      <c r="P666" t="inlineStr">
        <is>
          <t>München</t>
        </is>
      </c>
    </row>
    <row r="667">
      <c r="A667" t="inlineStr">
        <is>
          <t>North Red</t>
        </is>
      </c>
      <c r="B667" s="3" t="n">
        <v>460</v>
      </c>
      <c r="C667" s="8" t="inlineStr">
        <is>
          <t>35%</t>
        </is>
      </c>
      <c r="D667" t="inlineStr">
        <is>
          <t>SDM</t>
        </is>
      </c>
      <c r="E667" s="4" t="n">
        <v>60</v>
      </c>
      <c r="F667" t="inlineStr"/>
      <c r="G667" t="inlineStr">
        <is>
          <t>10557 Mitte - Tiergarten</t>
        </is>
      </c>
      <c r="H667" s="5" t="n">
        <v>45535</v>
      </c>
      <c r="I667" t="inlineStr">
        <is>
          <t>Sold</t>
        </is>
      </c>
      <c r="J667" s="6">
        <f>HYPERLINK("https://www.kleinanzeigen.de/s-anzeige/mast-north-red-460-cm-sdm-windsurfen/2851018331-230-3502", "Link")</f>
        <v/>
      </c>
      <c r="K667" s="6">
        <f>HYPERLINK("C:\Projects\Kleinanzeigen-Scraper\offer_images\2851018331", "Link")</f>
        <v/>
      </c>
      <c r="L667" t="inlineStr">
        <is>
          <t>Fabian Becher</t>
        </is>
      </c>
      <c r="M667" s="6">
        <f>HYPERLINK("https://www.kleinanzeigen.de/s-bestandsliste.html?userId=14821328", "Link")</f>
        <v/>
      </c>
      <c r="N667" s="7" t="n">
        <v>45536.91028935185</v>
      </c>
      <c r="O667" s="3" t="inlineStr">
        <is>
          <t>475.20</t>
        </is>
      </c>
      <c r="P667" t="inlineStr">
        <is>
          <t>Köln</t>
        </is>
      </c>
    </row>
    <row r="668">
      <c r="A668" t="inlineStr">
        <is>
          <t>Gaasta</t>
        </is>
      </c>
      <c r="B668" s="3" t="n">
        <v>490</v>
      </c>
      <c r="C668" s="8" t="inlineStr">
        <is>
          <t>75%</t>
        </is>
      </c>
      <c r="D668" t="inlineStr">
        <is>
          <t>SDM</t>
        </is>
      </c>
      <c r="E668" s="4" t="n">
        <v>85</v>
      </c>
      <c r="F668" t="inlineStr">
        <is>
          <t>VB</t>
        </is>
      </c>
      <c r="G668" t="inlineStr">
        <is>
          <t>24937 Schleswig-Holstein - Flensburg</t>
        </is>
      </c>
      <c r="H668" s="5" t="n">
        <v>45528</v>
      </c>
      <c r="I668" t="inlineStr">
        <is>
          <t>Sold</t>
        </is>
      </c>
      <c r="J668" s="6">
        <f>HYPERLINK("https://www.kleinanzeigen.de/s-anzeige/windsurf-mast-gaasta-sdm-490-75-/2845177104-230-718", "Link")</f>
        <v/>
      </c>
      <c r="K668" s="6">
        <f>HYPERLINK("C:\Projects\Kleinanzeigen-Scraper\offer_images\2845177104", "Link")</f>
        <v/>
      </c>
      <c r="L668" t="inlineStr">
        <is>
          <t>Dietmar Harbeck</t>
        </is>
      </c>
      <c r="M668" s="6">
        <f>HYPERLINK("https://www.kleinanzeigen.de/s-bestandsliste.html?userId=45089597", "Link")</f>
        <v/>
      </c>
      <c r="N668" s="7" t="n">
        <v>45536.91028935185</v>
      </c>
      <c r="O668" s="3" t="inlineStr">
        <is>
          <t>458.80</t>
        </is>
      </c>
      <c r="P668" t="inlineStr">
        <is>
          <t>Köln</t>
        </is>
      </c>
    </row>
    <row r="669">
      <c r="A669" t="inlineStr">
        <is>
          <t>Prolimit</t>
        </is>
      </c>
      <c r="B669" s="3" t="n">
        <v>48</v>
      </c>
      <c r="C669" s="8" t="inlineStr"/>
      <c r="D669" t="inlineStr"/>
      <c r="E669" s="4" t="n">
        <v>15</v>
      </c>
      <c r="F669" t="inlineStr"/>
      <c r="G669" t="inlineStr">
        <is>
          <t>22303 Hamburg-Nord - Hamburg Winterhude</t>
        </is>
      </c>
      <c r="H669" s="5" t="n">
        <v>45536</v>
      </c>
      <c r="I669" t="inlineStr">
        <is>
          <t>Sold</t>
        </is>
      </c>
      <c r="J669" s="6">
        <f>HYPERLINK("https://www.kleinanzeigen.de/s-anzeige/prolimit-mastverlaengerung-extension-base-48cm-windsurfen/2851877199-230-9482", "Link")</f>
        <v/>
      </c>
      <c r="K669" s="6">
        <f>HYPERLINK("C:\Projects\Kleinanzeigen-Scraper\offer_images\2851877199", "Link")</f>
        <v/>
      </c>
      <c r="L669" t="inlineStr">
        <is>
          <t>Daniel</t>
        </is>
      </c>
      <c r="M669" s="6">
        <f>HYPERLINK("https://www.kleinanzeigen.de/s-bestandsliste.html?userId=33396736", "Link")</f>
        <v/>
      </c>
      <c r="N669" s="7" t="n">
        <v>45536.9102662037</v>
      </c>
      <c r="O669" s="3" t="inlineStr">
        <is>
          <t>361.45</t>
        </is>
      </c>
      <c r="P669" t="inlineStr">
        <is>
          <t>Köln</t>
        </is>
      </c>
    </row>
    <row r="670">
      <c r="A670" t="inlineStr"/>
      <c r="B670" s="3" t="n">
        <v>460</v>
      </c>
      <c r="C670" s="8" t="inlineStr"/>
      <c r="D670" t="inlineStr"/>
      <c r="E670" s="4" t="n">
        <v>40</v>
      </c>
      <c r="F670" t="inlineStr"/>
      <c r="G670" t="inlineStr">
        <is>
          <t>81369 München - Sendling</t>
        </is>
      </c>
      <c r="H670" s="5" t="n">
        <v>45526</v>
      </c>
      <c r="I670" t="inlineStr">
        <is>
          <t>Sold</t>
        </is>
      </c>
      <c r="J670" s="6">
        <f>HYPERLINK("https://www.kleinanzeigen.de/s-anzeige/carbonmast-windsurfen-460cm/2843606404-230-16382", "Link")</f>
        <v/>
      </c>
      <c r="K670" s="6">
        <f>HYPERLINK("C:\Projects\Kleinanzeigen-Scraper\offer_images\2843606404", "Link")</f>
        <v/>
      </c>
      <c r="L670" t="inlineStr">
        <is>
          <t>Moritz von Unold</t>
        </is>
      </c>
      <c r="M670" s="6">
        <f>HYPERLINK("https://www.kleinanzeigen.de/s-bestandsliste.html?userId=24552406", "Link")</f>
        <v/>
      </c>
      <c r="N670" s="7" t="n">
        <v>45536.9102199074</v>
      </c>
      <c r="O670" s="3" t="inlineStr">
        <is>
          <t>4.53</t>
        </is>
      </c>
      <c r="P670" t="inlineStr">
        <is>
          <t>München</t>
        </is>
      </c>
    </row>
    <row r="671">
      <c r="A671" t="inlineStr">
        <is>
          <t>NeilPryde MXT</t>
        </is>
      </c>
      <c r="B671" s="3" t="n">
        <v>34</v>
      </c>
      <c r="C671" s="8" t="inlineStr">
        <is>
          <t>100%</t>
        </is>
      </c>
      <c r="D671" t="inlineStr">
        <is>
          <t>RDM</t>
        </is>
      </c>
      <c r="E671" s="4" t="n">
        <v>349</v>
      </c>
      <c r="F671" t="inlineStr"/>
      <c r="G671" t="inlineStr">
        <is>
          <t>82319 Bayern - Starnberg</t>
        </is>
      </c>
      <c r="H671" s="5" t="n">
        <v>45565</v>
      </c>
      <c r="I671" t="inlineStr"/>
      <c r="J671" s="6">
        <f>HYPERLINK("https://www.kleinanzeigen.de/s-anzeige/neilpryde-mxt-rdm-34-cm-carbon-extension-windsurf-mastverlaenger/1799124251-230-5525", "Link")</f>
        <v/>
      </c>
      <c r="K671" s="6">
        <f>HYPERLINK("C:\Projects\Kleinanzeigen-Scraper\offer_images\1799124251", "Link")</f>
        <v/>
      </c>
      <c r="L671" t="inlineStr">
        <is>
          <t>No user name</t>
        </is>
      </c>
      <c r="M671" s="6">
        <f>HYPERLINK("https://www.kleinanzeigen.deNo user link", "Link")</f>
        <v/>
      </c>
      <c r="N671" s="7" t="n">
        <v>45536.91020833333</v>
      </c>
      <c r="O671" s="3" t="inlineStr">
        <is>
          <t>23.17</t>
        </is>
      </c>
      <c r="P671" t="inlineStr">
        <is>
          <t>München</t>
        </is>
      </c>
    </row>
    <row r="672">
      <c r="A672" t="inlineStr">
        <is>
          <t>Northsails Silver</t>
        </is>
      </c>
      <c r="B672" s="3" t="n">
        <v>430</v>
      </c>
      <c r="C672" s="8" t="inlineStr">
        <is>
          <t>55%</t>
        </is>
      </c>
      <c r="D672" t="inlineStr">
        <is>
          <t>SDM</t>
        </is>
      </c>
      <c r="E672" s="4" t="n">
        <v>100</v>
      </c>
      <c r="F672" t="inlineStr"/>
      <c r="G672" t="inlineStr">
        <is>
          <t>85586 Bayern - Poing</t>
        </is>
      </c>
      <c r="H672" s="5" t="n">
        <v>45536</v>
      </c>
      <c r="I672" t="inlineStr">
        <is>
          <t>Sold</t>
        </is>
      </c>
      <c r="J672" s="6">
        <f>HYPERLINK("https://www.kleinanzeigen.de/s-anzeige/windsurf-mast-northsails-silver-4-30-m/2851173746-230-5579", "Link")</f>
        <v/>
      </c>
      <c r="K672" s="6">
        <f>HYPERLINK("C:\Projects\Kleinanzeigen-Scraper\offer_images\2851173746", "Link")</f>
        <v/>
      </c>
      <c r="L672" t="inlineStr">
        <is>
          <t>Lars</t>
        </is>
      </c>
      <c r="M672" s="6">
        <f>HYPERLINK("https://www.kleinanzeigen.de/s-bestandsliste.html?userId=84093014", "Link")</f>
        <v/>
      </c>
      <c r="N672" s="7" t="n">
        <v>45536.91019675926</v>
      </c>
      <c r="O672" s="3" t="inlineStr">
        <is>
          <t>17.56</t>
        </is>
      </c>
      <c r="P672" t="inlineStr">
        <is>
          <t>München</t>
        </is>
      </c>
    </row>
    <row r="673">
      <c r="A673" t="inlineStr">
        <is>
          <t>Tribord</t>
        </is>
      </c>
      <c r="B673" s="3" t="n">
        <v>460</v>
      </c>
      <c r="C673" s="8" t="inlineStr"/>
      <c r="D673" t="inlineStr">
        <is>
          <t>SDM</t>
        </is>
      </c>
      <c r="E673" s="4" t="n">
        <v>39</v>
      </c>
      <c r="F673" t="inlineStr"/>
      <c r="G673" t="inlineStr">
        <is>
          <t>44797 Bochum - Bochum-Süd</t>
        </is>
      </c>
      <c r="H673" s="5" t="n">
        <v>45535</v>
      </c>
      <c r="I673" t="inlineStr">
        <is>
          <t>Sold</t>
        </is>
      </c>
      <c r="J673" s="6">
        <f>HYPERLINK("https://www.kleinanzeigen.de/s-anzeige/windsurf-surf-mast-460-cm-carbon-sdm/2850973699-230-1950", "Link")</f>
        <v/>
      </c>
      <c r="K673" s="6">
        <f>HYPERLINK("C:\Projects\Kleinanzeigen-Scraper\offer_images\2850973699", "Link")</f>
        <v/>
      </c>
      <c r="L673" t="inlineStr">
        <is>
          <t>Andreas</t>
        </is>
      </c>
      <c r="M673" s="6">
        <f>HYPERLINK("https://www.kleinanzeigen.de/s-bestandsliste.html?userId=12635410", "Link")</f>
        <v/>
      </c>
      <c r="N673" s="7" t="n">
        <v>45536.91016203703</v>
      </c>
      <c r="O673" s="3" t="inlineStr">
        <is>
          <t>57.12</t>
        </is>
      </c>
      <c r="P673" t="inlineStr">
        <is>
          <t>Köln</t>
        </is>
      </c>
    </row>
    <row r="674">
      <c r="A674" t="inlineStr">
        <is>
          <t>D.F.C. SLALOM</t>
        </is>
      </c>
      <c r="B674" s="3" t="n">
        <v>460</v>
      </c>
      <c r="C674" s="8" t="inlineStr">
        <is>
          <t>0%</t>
        </is>
      </c>
      <c r="D674" t="inlineStr"/>
      <c r="E674" s="4" t="n">
        <v>125</v>
      </c>
      <c r="F674" t="inlineStr"/>
      <c r="G674" t="inlineStr">
        <is>
          <t>37124 Niedersachsen - Rosdorf</t>
        </is>
      </c>
      <c r="H674" s="5" t="n">
        <v>45566</v>
      </c>
      <c r="I674" t="inlineStr"/>
      <c r="J674" s="6">
        <f>HYPERLINK("https://www.kleinanzeigen.de/s-anzeige/windsurf-mast-d-f-c-u-c30-laenge-4-60-m-neu-2168-/2181999874-211-3133", "Link")</f>
        <v/>
      </c>
      <c r="K674" s="6">
        <f>HYPERLINK("C:\Projects\Kleinanzeigen-Scraper\offer_images\2181999874", "Link")</f>
        <v/>
      </c>
      <c r="L674" t="inlineStr">
        <is>
          <t>No user name</t>
        </is>
      </c>
      <c r="M674" s="6">
        <f>HYPERLINK("https://www.kleinanzeigen.deNo user link", "Link")</f>
        <v/>
      </c>
      <c r="N674" s="7" t="n">
        <v>45536.91016203703</v>
      </c>
      <c r="O674" s="3" t="inlineStr">
        <is>
          <t>214.72</t>
        </is>
      </c>
      <c r="P674" t="inlineStr">
        <is>
          <t>Köln</t>
        </is>
      </c>
    </row>
    <row r="675">
      <c r="A675" t="inlineStr">
        <is>
          <t>Neil Pryde X35</t>
        </is>
      </c>
      <c r="B675" s="3" t="n">
        <v>350</v>
      </c>
      <c r="C675" s="8" t="inlineStr"/>
      <c r="D675" t="inlineStr">
        <is>
          <t>RDM</t>
        </is>
      </c>
      <c r="E675" s="4" t="n">
        <v>100</v>
      </c>
      <c r="F675" t="inlineStr">
        <is>
          <t>VB</t>
        </is>
      </c>
      <c r="G675" t="inlineStr">
        <is>
          <t>81929 München - Bogenhausen</t>
        </is>
      </c>
      <c r="H675" s="5" t="n">
        <v>45527</v>
      </c>
      <c r="I675" t="inlineStr">
        <is>
          <t>Sold</t>
        </is>
      </c>
      <c r="J675" s="6">
        <f>HYPERLINK("https://www.kleinanzeigen.de/s-anzeige/neil-pryde-windsurf-carbon-mast-x35-350/2844015979-230-6526", "Link")</f>
        <v/>
      </c>
      <c r="K675" s="6">
        <f>HYPERLINK("C:\Projects\Kleinanzeigen-Scraper\offer_images\2844015979", "Link")</f>
        <v/>
      </c>
      <c r="L675" t="inlineStr">
        <is>
          <t>Michael Rathgeber</t>
        </is>
      </c>
      <c r="M675" s="6">
        <f>HYPERLINK("https://www.kleinanzeigen.de/s-bestandsliste.html?userId=18266806", "Link")</f>
        <v/>
      </c>
      <c r="N675" s="7" t="n">
        <v>45536.91011574074</v>
      </c>
      <c r="O675" s="3" t="inlineStr">
        <is>
          <t>6.89</t>
        </is>
      </c>
      <c r="P675" t="inlineStr">
        <is>
          <t>München</t>
        </is>
      </c>
    </row>
    <row r="676">
      <c r="A676" t="inlineStr">
        <is>
          <t>North</t>
        </is>
      </c>
      <c r="B676" s="3" t="inlineStr">
        <is>
          <t>460, 430, 370</t>
        </is>
      </c>
      <c r="C676" s="8" t="inlineStr"/>
      <c r="D676" t="inlineStr"/>
      <c r="E676" s="4" t="n">
        <v>20</v>
      </c>
      <c r="F676" t="inlineStr"/>
      <c r="G676" t="inlineStr">
        <is>
          <t>22143 Wandsbek - Hamburg Rahlstedt</t>
        </is>
      </c>
      <c r="H676" s="5" t="n">
        <v>45536</v>
      </c>
      <c r="I676" t="inlineStr">
        <is>
          <t>Sold</t>
        </is>
      </c>
      <c r="J676" s="6">
        <f>HYPERLINK("https://www.kleinanzeigen.de/s-anzeige/windsurfen-masten-north-460-430-sting-north-sails/2852085166-230-9455", "Link")</f>
        <v/>
      </c>
      <c r="K676" s="6">
        <f>HYPERLINK("C:\Projects\Kleinanzeigen-Scraper\offer_images\2852085166", "Link")</f>
        <v/>
      </c>
      <c r="L676" t="inlineStr">
        <is>
          <t>Anya</t>
        </is>
      </c>
      <c r="M676" s="6">
        <f>HYPERLINK("https://www.kleinanzeigen.de/s-bestandsliste.html?userId=5274841", "Link")</f>
        <v/>
      </c>
      <c r="N676" s="7" t="n">
        <v>45536.9100925926</v>
      </c>
      <c r="O676" s="3" t="inlineStr">
        <is>
          <t>368.45</t>
        </is>
      </c>
      <c r="P676" t="inlineStr">
        <is>
          <t>Köln</t>
        </is>
      </c>
    </row>
    <row r="677">
      <c r="A677" t="inlineStr">
        <is>
          <t>Neilpryde SPX70</t>
        </is>
      </c>
      <c r="B677" s="3" t="n">
        <v>400</v>
      </c>
      <c r="C677" s="8" t="inlineStr">
        <is>
          <t>70%</t>
        </is>
      </c>
      <c r="D677" t="inlineStr">
        <is>
          <t>RDM</t>
        </is>
      </c>
      <c r="E677" s="4" t="n">
        <v>329</v>
      </c>
      <c r="F677" t="inlineStr">
        <is>
          <t>VB</t>
        </is>
      </c>
      <c r="G677" t="inlineStr">
        <is>
          <t>82049 Bayern - Pullach</t>
        </is>
      </c>
      <c r="H677" s="5" t="n">
        <v>45528</v>
      </c>
      <c r="I677" t="inlineStr"/>
      <c r="J677" s="6">
        <f>HYPERLINK("https://www.kleinanzeigen.de/s-anzeige/neilpryde-spx70-400cm-rdm-windsurf-mast-2022/2845220042-230-6190", "Link")</f>
        <v/>
      </c>
      <c r="K677" s="6">
        <f>HYPERLINK("C:\Projects\Kleinanzeigen-Scraper\offer_images\2845220042", "Link")</f>
        <v/>
      </c>
      <c r="L677" t="inlineStr">
        <is>
          <t>Florian</t>
        </is>
      </c>
      <c r="M677" s="6">
        <f>HYPERLINK("https://www.kleinanzeigen.de/s-bestandsliste.html?userId=23886423", "Link")</f>
        <v/>
      </c>
      <c r="N677" s="7" t="n">
        <v>45536.91006944444</v>
      </c>
      <c r="O677" s="3" t="inlineStr">
        <is>
          <t>9.62</t>
        </is>
      </c>
      <c r="P677" t="inlineStr">
        <is>
          <t>München</t>
        </is>
      </c>
    </row>
    <row r="678">
      <c r="A678" t="inlineStr"/>
      <c r="B678" s="3" t="n">
        <v>490</v>
      </c>
      <c r="C678" s="8" t="inlineStr"/>
      <c r="D678" t="inlineStr">
        <is>
          <t>SDM</t>
        </is>
      </c>
      <c r="E678" s="4" t="n">
        <v>39</v>
      </c>
      <c r="F678" t="inlineStr"/>
      <c r="G678" t="inlineStr">
        <is>
          <t>44797 Bochum - Bochum-Süd</t>
        </is>
      </c>
      <c r="H678" s="5" t="n">
        <v>45535</v>
      </c>
      <c r="I678" t="inlineStr">
        <is>
          <t>Sold</t>
        </is>
      </c>
      <c r="J678" s="6">
        <f>HYPERLINK("https://www.kleinanzeigen.de/s-anzeige/windsurf-surf-mast-490-cm-carbon-sdm/2850976148-230-1950", "Link")</f>
        <v/>
      </c>
      <c r="K678" s="6">
        <f>HYPERLINK("C:\Projects\Kleinanzeigen-Scraper\offer_images\2850976148", "Link")</f>
        <v/>
      </c>
      <c r="L678" t="inlineStr">
        <is>
          <t>Andreas</t>
        </is>
      </c>
      <c r="M678" s="6">
        <f>HYPERLINK("https://www.kleinanzeigen.de/s-bestandsliste.html?userId=12635410", "Link")</f>
        <v/>
      </c>
      <c r="N678" s="7" t="n">
        <v>45536.9100462963</v>
      </c>
      <c r="O678" s="3" t="inlineStr">
        <is>
          <t>57.12</t>
        </is>
      </c>
      <c r="P678" t="inlineStr">
        <is>
          <t>Köln</t>
        </is>
      </c>
    </row>
    <row r="679">
      <c r="A679" t="inlineStr">
        <is>
          <t>Pacific Masts Lance 30</t>
        </is>
      </c>
      <c r="B679" s="3" t="n">
        <v>460</v>
      </c>
      <c r="C679" s="8" t="inlineStr"/>
      <c r="D679" t="inlineStr"/>
      <c r="E679" s="4" t="n">
        <v>50</v>
      </c>
      <c r="F679" t="inlineStr"/>
      <c r="G679" t="inlineStr">
        <is>
          <t>59821 Nordrhein-Westfalen - Arnsberg</t>
        </is>
      </c>
      <c r="H679" s="5" t="n">
        <v>45534</v>
      </c>
      <c r="I679" t="inlineStr">
        <is>
          <t>Sold</t>
        </is>
      </c>
      <c r="J679" s="6">
        <f>HYPERLINK("https://www.kleinanzeigen.de/s-anzeige/surfmast-460-windsurfen/2850170838-230-1811", "Link")</f>
        <v/>
      </c>
      <c r="K679" s="6">
        <f>HYPERLINK("C:\Projects\Kleinanzeigen-Scraper\offer_images\2850170838", "Link")</f>
        <v/>
      </c>
      <c r="L679" t="inlineStr">
        <is>
          <t>Frank</t>
        </is>
      </c>
      <c r="M679" s="6">
        <f>HYPERLINK("https://www.kleinanzeigen.de/s-bestandsliste.html?userId=4267971", "Link")</f>
        <v/>
      </c>
      <c r="N679" s="7" t="n">
        <v>45536.91003472222</v>
      </c>
      <c r="O679" s="3" t="inlineStr">
        <is>
          <t>91.46</t>
        </is>
      </c>
      <c r="P679" t="inlineStr">
        <is>
          <t>Köln</t>
        </is>
      </c>
    </row>
    <row r="680">
      <c r="A680" t="inlineStr">
        <is>
          <t>Northsails Uni Xt</t>
        </is>
      </c>
      <c r="B680" s="3" t="n">
        <v>42</v>
      </c>
      <c r="C680" s="8" t="inlineStr"/>
      <c r="D680" t="inlineStr">
        <is>
          <t>SDM</t>
        </is>
      </c>
      <c r="E680" s="4" t="n">
        <v>35</v>
      </c>
      <c r="F680" t="inlineStr">
        <is>
          <t>VB</t>
        </is>
      </c>
      <c r="G680" t="inlineStr">
        <is>
          <t>45359 Essen - Essen-Borbeck</t>
        </is>
      </c>
      <c r="H680" s="5" t="n">
        <v>45536</v>
      </c>
      <c r="I680" t="inlineStr">
        <is>
          <t>Sold</t>
        </is>
      </c>
      <c r="J680" s="6">
        <f>HYPERLINK("https://www.kleinanzeigen.de/s-anzeige/northsails-uni-xt-42-cm-windsurfen-/2851643786-241-2034", "Link")</f>
        <v/>
      </c>
      <c r="K680" s="6">
        <f>HYPERLINK("C:\Projects\Kleinanzeigen-Scraper\offer_images\2851643786", "Link")</f>
        <v/>
      </c>
      <c r="L680" t="inlineStr">
        <is>
          <t>Klaus Wientgens</t>
        </is>
      </c>
      <c r="M680" s="6">
        <f>HYPERLINK("https://www.kleinanzeigen.de/s-bestandsliste.html?userId=4524911", "Link")</f>
        <v/>
      </c>
      <c r="N680" s="7" t="n">
        <v>45536.91001157407</v>
      </c>
      <c r="O680" s="3" t="inlineStr">
        <is>
          <t>58.66</t>
        </is>
      </c>
      <c r="P680" t="inlineStr">
        <is>
          <t>Köln</t>
        </is>
      </c>
    </row>
    <row r="681">
      <c r="A681" t="inlineStr">
        <is>
          <t>Dynamic Fiber</t>
        </is>
      </c>
      <c r="B681" s="3" t="n">
        <v>460</v>
      </c>
      <c r="C681" s="8" t="inlineStr">
        <is>
          <t>30%</t>
        </is>
      </c>
      <c r="D681" t="inlineStr">
        <is>
          <t>SDM</t>
        </is>
      </c>
      <c r="E681" s="4" t="n">
        <v>10</v>
      </c>
      <c r="F681" t="inlineStr"/>
      <c r="G681" t="inlineStr">
        <is>
          <t>44309 Dortmund - Brackel</t>
        </is>
      </c>
      <c r="H681" s="5" t="n">
        <v>45527</v>
      </c>
      <c r="I681" t="inlineStr">
        <is>
          <t>Sold</t>
        </is>
      </c>
      <c r="J681" s="6">
        <f>HYPERLINK("https://www.kleinanzeigen.de/s-anzeige/windsurf-mast-sdm-460er-30-c/2844058576-230-1100", "Link")</f>
        <v/>
      </c>
      <c r="K681" s="6">
        <f>HYPERLINK("C:\Projects\Kleinanzeigen-Scraper\offer_images\2844058576", "Link")</f>
        <v/>
      </c>
      <c r="L681" t="inlineStr">
        <is>
          <t>Ulrich Gräf</t>
        </is>
      </c>
      <c r="M681" s="6">
        <f>HYPERLINK("https://www.kleinanzeigen.de/s-bestandsliste.html?userId=64477337", "Link")</f>
        <v/>
      </c>
      <c r="N681" s="7" t="n">
        <v>45536.91001157407</v>
      </c>
      <c r="O681" s="3" t="inlineStr">
        <is>
          <t>77.66</t>
        </is>
      </c>
      <c r="P681" t="inlineStr">
        <is>
          <t>Köln</t>
        </is>
      </c>
    </row>
    <row r="682">
      <c r="A682" t="inlineStr">
        <is>
          <t>North Sails</t>
        </is>
      </c>
      <c r="B682" s="3" t="n">
        <v>465</v>
      </c>
      <c r="C682" s="8" t="inlineStr"/>
      <c r="D682" t="inlineStr"/>
      <c r="E682" s="4" t="n">
        <v>69</v>
      </c>
      <c r="F682" t="inlineStr">
        <is>
          <t>VB</t>
        </is>
      </c>
      <c r="G682" t="inlineStr">
        <is>
          <t>37124 Niedersachsen - Rosdorf</t>
        </is>
      </c>
      <c r="H682" s="5" t="n">
        <v>45566</v>
      </c>
      <c r="I682" t="inlineStr"/>
      <c r="J682" s="6">
        <f>HYPERLINK("https://www.kleinanzeigen.de/s-anzeige/windsurfer-surf-mast-div-north-sails-gebr-2167-/2182019359-230-3133", "Link")</f>
        <v/>
      </c>
      <c r="K682" s="6">
        <f>HYPERLINK("C:\Projects\Kleinanzeigen-Scraper\offer_images\2182019359", "Link")</f>
        <v/>
      </c>
      <c r="L682" t="inlineStr">
        <is>
          <t>No user name</t>
        </is>
      </c>
      <c r="M682" s="6">
        <f>HYPERLINK("https://www.kleinanzeigen.deNo user link", "Link")</f>
        <v/>
      </c>
      <c r="N682" s="7" t="n">
        <v>45536.90996527778</v>
      </c>
      <c r="O682" s="3" t="inlineStr">
        <is>
          <t>214.72</t>
        </is>
      </c>
      <c r="P682" t="inlineStr">
        <is>
          <t>Köln</t>
        </is>
      </c>
    </row>
    <row r="683">
      <c r="A683" t="inlineStr">
        <is>
          <t>Neilpryde Freeride Pro</t>
        </is>
      </c>
      <c r="B683" s="3" t="n">
        <v>460</v>
      </c>
      <c r="C683" s="8" t="inlineStr">
        <is>
          <t>Carbon fiber</t>
        </is>
      </c>
      <c r="D683" t="inlineStr"/>
      <c r="E683" s="4" t="n">
        <v>69</v>
      </c>
      <c r="F683" t="inlineStr"/>
      <c r="G683" t="inlineStr">
        <is>
          <t>82229 Bayern - Seefeld</t>
        </is>
      </c>
      <c r="H683" s="5" t="n">
        <v>45535</v>
      </c>
      <c r="I683" t="inlineStr">
        <is>
          <t>Sold</t>
        </is>
      </c>
      <c r="J683" s="6">
        <f>HYPERLINK("https://www.kleinanzeigen.de/s-anzeige/neilpryde-freeride-pro-windsurf-mast-460cm/2850455712-230-5519", "Link")</f>
        <v/>
      </c>
      <c r="K683" s="6">
        <f>HYPERLINK("C:\Projects\Kleinanzeigen-Scraper\offer_images\2850455712", "Link")</f>
        <v/>
      </c>
      <c r="L683" t="inlineStr">
        <is>
          <t>Tobias</t>
        </is>
      </c>
      <c r="M683" s="6">
        <f>HYPERLINK("https://www.kleinanzeigen.de/s-bestandsliste.html?userId=26072985", "Link")</f>
        <v/>
      </c>
      <c r="N683" s="7" t="n">
        <v>45536.90996527778</v>
      </c>
      <c r="O683" s="3" t="inlineStr">
        <is>
          <t>27.49</t>
        </is>
      </c>
      <c r="P683" t="inlineStr">
        <is>
          <t>München</t>
        </is>
      </c>
    </row>
    <row r="684">
      <c r="A684" t="inlineStr">
        <is>
          <t>STX</t>
        </is>
      </c>
      <c r="B684" s="3" t="n">
        <v>370</v>
      </c>
      <c r="C684" s="8" t="inlineStr">
        <is>
          <t>40%</t>
        </is>
      </c>
      <c r="D684" t="inlineStr">
        <is>
          <t>RDM</t>
        </is>
      </c>
      <c r="E684" s="4" t="n">
        <v>90</v>
      </c>
      <c r="F684" t="inlineStr">
        <is>
          <t>VB</t>
        </is>
      </c>
      <c r="G684" t="inlineStr">
        <is>
          <t>83629 Bayern - Weyarn</t>
        </is>
      </c>
      <c r="H684" s="5" t="n">
        <v>45535</v>
      </c>
      <c r="I684" t="inlineStr">
        <is>
          <t>Sold</t>
        </is>
      </c>
      <c r="J684" s="6">
        <f>HYPERLINK("https://www.kleinanzeigen.de/s-anzeige/windsurf-mast-rdm-stx-370-cm-40-carbon-imcs17-constant-curve/2850790543-230-5899", "Link")</f>
        <v/>
      </c>
      <c r="K684" s="6">
        <f>HYPERLINK("C:\Projects\Kleinanzeigen-Scraper\offer_images\2850790543", "Link")</f>
        <v/>
      </c>
      <c r="L684" t="inlineStr">
        <is>
          <t>Matthias Suttner</t>
        </is>
      </c>
      <c r="M684" s="6">
        <f>HYPERLINK("https://www.kleinanzeigen.de/s-bestandsliste.html?userId=6793008", "Link")</f>
        <v/>
      </c>
      <c r="N684" s="7" t="n">
        <v>45536.90994212963</v>
      </c>
      <c r="O684" s="3" t="inlineStr">
        <is>
          <t>36.36</t>
        </is>
      </c>
      <c r="P684" t="inlineStr">
        <is>
          <t>München</t>
        </is>
      </c>
    </row>
    <row r="685">
      <c r="A685" t="inlineStr">
        <is>
          <t>Gaastra</t>
        </is>
      </c>
      <c r="B685" s="3" t="n">
        <v>430</v>
      </c>
      <c r="C685" s="8" t="inlineStr">
        <is>
          <t>75%</t>
        </is>
      </c>
      <c r="D685" t="inlineStr">
        <is>
          <t>RDM</t>
        </is>
      </c>
      <c r="E685" s="4" t="n">
        <v>120</v>
      </c>
      <c r="F685" t="inlineStr">
        <is>
          <t>VB</t>
        </is>
      </c>
      <c r="G685" t="inlineStr">
        <is>
          <t>51467 Nordrhein-Westfalen - Bergisch Gladbach</t>
        </is>
      </c>
      <c r="H685" s="5" t="n">
        <v>45536</v>
      </c>
      <c r="I685" t="inlineStr">
        <is>
          <t>Sold</t>
        </is>
      </c>
      <c r="J685" s="6">
        <f>HYPERLINK("https://www.kleinanzeigen.de/s-anzeige/gaastra-windsurf-mast-430cm-75-carbon-rdm/2851614217-230-1589", "Link")</f>
        <v/>
      </c>
      <c r="K685" s="6">
        <f>HYPERLINK("C:\Projects\Kleinanzeigen-Scraper\offer_images\2851614217", "Link")</f>
        <v/>
      </c>
      <c r="L685" t="inlineStr">
        <is>
          <t>Sven</t>
        </is>
      </c>
      <c r="M685" s="6">
        <f>HYPERLINK("https://www.kleinanzeigen.de/s-bestandsliste.html?userId=20956320", "Link")</f>
        <v/>
      </c>
      <c r="N685" s="7" t="n">
        <v>45536.90989583333</v>
      </c>
      <c r="O685" s="3" t="inlineStr">
        <is>
          <t>12.13</t>
        </is>
      </c>
      <c r="P685" t="inlineStr">
        <is>
          <t>Köln</t>
        </is>
      </c>
    </row>
    <row r="686">
      <c r="A686" t="inlineStr">
        <is>
          <t>Art</t>
        </is>
      </c>
      <c r="B686" s="3" t="n">
        <v>470</v>
      </c>
      <c r="C686" s="8" t="inlineStr">
        <is>
          <t>20%</t>
        </is>
      </c>
      <c r="D686" t="inlineStr">
        <is>
          <t>SDM</t>
        </is>
      </c>
      <c r="E686" s="4" t="n">
        <v>55</v>
      </c>
      <c r="F686" t="inlineStr">
        <is>
          <t>VB</t>
        </is>
      </c>
      <c r="G686" t="inlineStr">
        <is>
          <t>88367 Baden-Württemberg - Hohentengen</t>
        </is>
      </c>
      <c r="H686" s="5" t="n">
        <v>45535</v>
      </c>
      <c r="I686" t="inlineStr">
        <is>
          <t>Sold</t>
        </is>
      </c>
      <c r="J686" s="6">
        <f>HYPERLINK("https://www.kleinanzeigen.de/s-anzeige/windsurf-mast-art-sdm-470/2850484216-230-8729", "Link")</f>
        <v/>
      </c>
      <c r="K686" s="6">
        <f>HYPERLINK("C:\Projects\Kleinanzeigen-Scraper\offer_images\2850484216", "Link")</f>
        <v/>
      </c>
      <c r="L686" t="inlineStr">
        <is>
          <t>C. Bessei</t>
        </is>
      </c>
      <c r="M686" s="6">
        <f>HYPERLINK("https://www.kleinanzeigen.de/s-bestandsliste.html?userId=85102833", "Link")</f>
        <v/>
      </c>
      <c r="N686" s="7" t="n">
        <v>45536.90989583333</v>
      </c>
      <c r="O686" s="3" t="inlineStr">
        <is>
          <t>78.25</t>
        </is>
      </c>
      <c r="P686" t="inlineStr">
        <is>
          <t>Böblingen</t>
        </is>
      </c>
    </row>
    <row r="687">
      <c r="A687" t="inlineStr">
        <is>
          <t>North Sails silver</t>
        </is>
      </c>
      <c r="B687" s="3" t="n">
        <v>430</v>
      </c>
      <c r="C687" s="8" t="inlineStr">
        <is>
          <t>30%</t>
        </is>
      </c>
      <c r="D687" t="inlineStr">
        <is>
          <t>SDM</t>
        </is>
      </c>
      <c r="E687" s="4" t="n">
        <v>60</v>
      </c>
      <c r="F687" t="inlineStr"/>
      <c r="G687" t="inlineStr">
        <is>
          <t>22303 Hamburg-Nord - Hamburg Winterhude</t>
        </is>
      </c>
      <c r="H687" s="5" t="n">
        <v>45535</v>
      </c>
      <c r="I687" t="inlineStr">
        <is>
          <t>Sold</t>
        </is>
      </c>
      <c r="J687" s="6">
        <f>HYPERLINK("https://www.kleinanzeigen.de/s-anzeige/north-sails-silver-mast-sdm-windsurfen-430cm-30-carbon/2851104956-230-9482", "Link")</f>
        <v/>
      </c>
      <c r="K687" s="6">
        <f>HYPERLINK("C:\Projects\Kleinanzeigen-Scraper\offer_images\2851104956", "Link")</f>
        <v/>
      </c>
      <c r="L687" t="inlineStr">
        <is>
          <t>Daniel</t>
        </is>
      </c>
      <c r="M687" s="6">
        <f>HYPERLINK("https://www.kleinanzeigen.de/s-bestandsliste.html?userId=33396736", "Link")</f>
        <v/>
      </c>
      <c r="N687" s="7" t="n">
        <v>45536.90989583333</v>
      </c>
      <c r="O687" s="3" t="inlineStr">
        <is>
          <t>361.45</t>
        </is>
      </c>
      <c r="P687" t="inlineStr">
        <is>
          <t>Köln</t>
        </is>
      </c>
    </row>
    <row r="688">
      <c r="A688" t="inlineStr">
        <is>
          <t>Neilpryde X9</t>
        </is>
      </c>
      <c r="B688" s="3" t="n">
        <v>430</v>
      </c>
      <c r="C688" s="8" t="inlineStr">
        <is>
          <t>90%</t>
        </is>
      </c>
      <c r="D688" t="inlineStr"/>
      <c r="E688" s="4" t="n">
        <v>99</v>
      </c>
      <c r="F688" t="inlineStr"/>
      <c r="G688" t="inlineStr">
        <is>
          <t>50858 Köln - Junkersdorf</t>
        </is>
      </c>
      <c r="H688" s="5" t="n">
        <v>45531</v>
      </c>
      <c r="I688" t="inlineStr">
        <is>
          <t>Sold</t>
        </is>
      </c>
      <c r="J688" s="6">
        <f>HYPERLINK("https://www.kleinanzeigen.de/s-anzeige/reserviert-neilpryde-x9-carbon-mast-430-cm-neil-pryde-windsurfen/2847677365-230-17139", "Link")</f>
        <v/>
      </c>
      <c r="K688" s="6">
        <f>HYPERLINK("C:\Projects\Kleinanzeigen-Scraper\offer_images\2847677365", "Link")</f>
        <v/>
      </c>
      <c r="L688" t="inlineStr">
        <is>
          <t>Ingo Riemann</t>
        </is>
      </c>
      <c r="M688" s="6">
        <f>HYPERLINK("https://www.kleinanzeigen.de/s-bestandsliste.html?userId=54165116", "Link")</f>
        <v/>
      </c>
      <c r="N688" s="7" t="n">
        <v>45536.90987268519</v>
      </c>
      <c r="O688" s="3" t="inlineStr">
        <is>
          <t>7.26</t>
        </is>
      </c>
      <c r="P688" t="inlineStr">
        <is>
          <t>Köln</t>
        </is>
      </c>
    </row>
    <row r="689">
      <c r="A689" t="inlineStr">
        <is>
          <t>North Sails Xcellerator Viper</t>
        </is>
      </c>
      <c r="B689" s="3" t="n">
        <v>430</v>
      </c>
      <c r="C689" s="8" t="inlineStr">
        <is>
          <t>100%</t>
        </is>
      </c>
      <c r="D689" t="inlineStr"/>
      <c r="E689" s="4" t="n">
        <v>99</v>
      </c>
      <c r="F689" t="inlineStr"/>
      <c r="G689" t="inlineStr">
        <is>
          <t>82229 Bayern - Seefeld</t>
        </is>
      </c>
      <c r="H689" s="5" t="n">
        <v>45535</v>
      </c>
      <c r="I689" t="inlineStr">
        <is>
          <t>Sold</t>
        </is>
      </c>
      <c r="J689" s="6">
        <f>HYPERLINK("https://www.kleinanzeigen.de/s-anzeige/north-sails-xcellerator-viper-wave-100-carbon-windsurf-mast-430/2850450316-230-5519", "Link")</f>
        <v/>
      </c>
      <c r="K689" s="6">
        <f>HYPERLINK("C:\Projects\Kleinanzeigen-Scraper\offer_images\2850450316", "Link")</f>
        <v/>
      </c>
      <c r="L689" t="inlineStr">
        <is>
          <t>Tobias</t>
        </is>
      </c>
      <c r="M689" s="6">
        <f>HYPERLINK("https://www.kleinanzeigen.de/s-bestandsliste.html?userId=26072985", "Link")</f>
        <v/>
      </c>
      <c r="N689" s="7" t="n">
        <v>45536.90987268519</v>
      </c>
      <c r="O689" s="3" t="inlineStr">
        <is>
          <t>27.49</t>
        </is>
      </c>
      <c r="P689" t="inlineStr">
        <is>
          <t>München</t>
        </is>
      </c>
    </row>
    <row r="690">
      <c r="A690" t="inlineStr">
        <is>
          <t>SMD C70</t>
        </is>
      </c>
      <c r="B690" s="3" t="n">
        <v>430</v>
      </c>
      <c r="C690" s="8" t="inlineStr">
        <is>
          <t>70%</t>
        </is>
      </c>
      <c r="D690" t="inlineStr">
        <is>
          <t>SDM</t>
        </is>
      </c>
      <c r="E690" s="4" t="n">
        <v>120</v>
      </c>
      <c r="F690" t="inlineStr"/>
      <c r="G690" t="inlineStr">
        <is>
          <t>10179 Berlin - Mitte</t>
        </is>
      </c>
      <c r="H690" s="5" t="n">
        <v>45534</v>
      </c>
      <c r="I690" t="inlineStr">
        <is>
          <t>Sold</t>
        </is>
      </c>
      <c r="J690" s="6">
        <f>HYPERLINK("https://www.kleinanzeigen.de/s-anzeige/smd-mast-430-c70-ga-surfbrett-windsurfen/2850082446-230-3521", "Link")</f>
        <v/>
      </c>
      <c r="K690" s="6">
        <f>HYPERLINK("C:\Projects\Kleinanzeigen-Scraper\offer_images\2850082446", "Link")</f>
        <v/>
      </c>
      <c r="L690" t="inlineStr">
        <is>
          <t>Daniel</t>
        </is>
      </c>
      <c r="M690" s="6">
        <f>HYPERLINK("https://www.kleinanzeigen.de/s-bestandsliste.html?userId=47013193", "Link")</f>
        <v/>
      </c>
      <c r="N690" s="7" t="n">
        <v>45536.90983796296</v>
      </c>
      <c r="O690" s="3" t="inlineStr">
        <is>
          <t>477.91</t>
        </is>
      </c>
      <c r="P690" t="inlineStr">
        <is>
          <t>Köln</t>
        </is>
      </c>
    </row>
    <row r="691">
      <c r="A691" t="inlineStr">
        <is>
          <t>Gaastra C70</t>
        </is>
      </c>
      <c r="B691" s="3" t="n">
        <v>430</v>
      </c>
      <c r="C691" s="8" t="inlineStr"/>
      <c r="D691" t="inlineStr">
        <is>
          <t>SDM</t>
        </is>
      </c>
      <c r="E691" s="4" t="n">
        <v>200</v>
      </c>
      <c r="F691" t="inlineStr">
        <is>
          <t>VB</t>
        </is>
      </c>
      <c r="G691" t="inlineStr">
        <is>
          <t>58313 Nordrhein-Westfalen - Herdecke</t>
        </is>
      </c>
      <c r="H691" s="5" t="n">
        <v>45527</v>
      </c>
      <c r="I691" t="inlineStr">
        <is>
          <t>Sold</t>
        </is>
      </c>
      <c r="J691" s="6">
        <f>HYPERLINK("https://www.kleinanzeigen.de/s-anzeige/mast-gaastra-c70-windsurfen-430/2844184998-230-1423", "Link")</f>
        <v/>
      </c>
      <c r="K691" s="6">
        <f>HYPERLINK("C:\Projects\Kleinanzeigen-Scraper\offer_images\2844184998", "Link")</f>
        <v/>
      </c>
      <c r="L691" t="inlineStr">
        <is>
          <t>Michael</t>
        </is>
      </c>
      <c r="M691" s="6">
        <f>HYPERLINK("https://www.kleinanzeigen.de/s-bestandsliste.html?userId=10084291", "Link")</f>
        <v/>
      </c>
      <c r="N691" s="7" t="n">
        <v>45536.90976851852</v>
      </c>
      <c r="O691" s="3" t="inlineStr">
        <is>
          <t>62.57</t>
        </is>
      </c>
      <c r="P691" t="inlineStr">
        <is>
          <t>Köln</t>
        </is>
      </c>
    </row>
    <row r="692">
      <c r="A692" t="inlineStr"/>
      <c r="B692" s="3" t="n">
        <v>460</v>
      </c>
      <c r="C692" s="8" t="n">
        <v>60</v>
      </c>
      <c r="D692" t="inlineStr">
        <is>
          <t>SDM</t>
        </is>
      </c>
      <c r="E692" s="4" t="n">
        <v>39</v>
      </c>
      <c r="F692" t="inlineStr"/>
      <c r="G692" t="inlineStr">
        <is>
          <t>44797 Bochum - Bochum-Süd</t>
        </is>
      </c>
      <c r="H692" s="5" t="n">
        <v>45535</v>
      </c>
      <c r="I692" t="inlineStr">
        <is>
          <t>Sold</t>
        </is>
      </c>
      <c r="J692" s="6">
        <f>HYPERLINK("https://www.kleinanzeigen.de/s-anzeige/windsurf-surf-mast-460-cm-carbon-sdm/2850962530-230-1950", "Link")</f>
        <v/>
      </c>
      <c r="K692" s="6">
        <f>HYPERLINK("C:\Projects\Kleinanzeigen-Scraper\offer_images\2850962530", "Link")</f>
        <v/>
      </c>
      <c r="L692" t="inlineStr">
        <is>
          <t>Andreas</t>
        </is>
      </c>
      <c r="M692" s="6">
        <f>HYPERLINK("https://www.kleinanzeigen.de/s-bestandsliste.html?userId=12635410", "Link")</f>
        <v/>
      </c>
      <c r="N692" s="7" t="n">
        <v>45536.90974537037</v>
      </c>
      <c r="O692" s="3" t="inlineStr">
        <is>
          <t>57.12</t>
        </is>
      </c>
      <c r="P692" t="inlineStr">
        <is>
          <t>Köln</t>
        </is>
      </c>
    </row>
    <row r="693">
      <c r="A693" t="inlineStr">
        <is>
          <t>Severne ARC</t>
        </is>
      </c>
      <c r="B693" s="3" t="n">
        <v>490</v>
      </c>
      <c r="C693" s="8" t="inlineStr"/>
      <c r="D693" t="inlineStr"/>
      <c r="E693" s="4" t="n">
        <v>250</v>
      </c>
      <c r="F693" t="inlineStr"/>
      <c r="G693" t="inlineStr">
        <is>
          <t>83410 Bayern - Laufen</t>
        </is>
      </c>
      <c r="H693" s="5" t="n">
        <v>45536</v>
      </c>
      <c r="I693" t="inlineStr">
        <is>
          <t>Sold</t>
        </is>
      </c>
      <c r="J693" s="6">
        <f>HYPERLINK("https://www.kleinanzeigen.de/s-anzeige/severne-arc-490-windsurf-mast/2851760518-230-6272", "Link")</f>
        <v/>
      </c>
      <c r="K693" s="6">
        <f>HYPERLINK("C:\Projects\Kleinanzeigen-Scraper\offer_images\2851760518", "Link")</f>
        <v/>
      </c>
      <c r="L693" t="inlineStr">
        <is>
          <t>Thomas</t>
        </is>
      </c>
      <c r="M693" s="6">
        <f>HYPERLINK("https://www.kleinanzeigen.de/s-bestandsliste.html?userId=42398991", "Link")</f>
        <v/>
      </c>
      <c r="N693" s="7" t="n">
        <v>45536.9096412037</v>
      </c>
      <c r="O693" s="3" t="inlineStr">
        <is>
          <t>99.90</t>
        </is>
      </c>
      <c r="P693" t="inlineStr">
        <is>
          <t>München</t>
        </is>
      </c>
    </row>
    <row r="694">
      <c r="A694" t="inlineStr">
        <is>
          <t>Starboard IQ</t>
        </is>
      </c>
      <c r="B694" s="3" t="inlineStr"/>
      <c r="C694" s="8" t="inlineStr"/>
      <c r="D694" t="inlineStr"/>
      <c r="E694" s="4" t="n">
        <v>600</v>
      </c>
      <c r="F694" t="inlineStr"/>
      <c r="G694" t="inlineStr">
        <is>
          <t>24222 Schleswig-Holstein - Schwentinental</t>
        </is>
      </c>
      <c r="H694" s="5" t="n">
        <v>45536</v>
      </c>
      <c r="I694" t="inlineStr">
        <is>
          <t>Sold</t>
        </is>
      </c>
      <c r="J694" s="6">
        <f>HYPERLINK("https://www.kleinanzeigen.de/s-anzeige/starboard-iq-windsurf-foil-mast-windfoilen/2851909113-230-13377", "Link")</f>
        <v/>
      </c>
      <c r="K694" s="6">
        <f>HYPERLINK("C:\Projects\Kleinanzeigen-Scraper\offer_images\2851909113", "Link")</f>
        <v/>
      </c>
      <c r="L694" t="inlineStr">
        <is>
          <t>Moritz</t>
        </is>
      </c>
      <c r="M694" s="6">
        <f>HYPERLINK("https://www.kleinanzeigen.de/s-bestandsliste.html?userId=10680857", "Link")</f>
        <v/>
      </c>
      <c r="N694" s="7" t="n">
        <v>45536.90961805556</v>
      </c>
      <c r="O694" s="3" t="inlineStr">
        <is>
          <t>433.89</t>
        </is>
      </c>
      <c r="P694" t="inlineStr">
        <is>
          <t>Köln</t>
        </is>
      </c>
    </row>
    <row r="695">
      <c r="A695" t="inlineStr">
        <is>
          <t>F2 Arrows</t>
        </is>
      </c>
      <c r="B695" s="3" t="n">
        <v>435</v>
      </c>
      <c r="C695" s="8" t="inlineStr"/>
      <c r="D695" t="inlineStr">
        <is>
          <t>SDM</t>
        </is>
      </c>
      <c r="E695" s="4" t="n">
        <v>55</v>
      </c>
      <c r="F695" t="inlineStr">
        <is>
          <t>VB</t>
        </is>
      </c>
      <c r="G695" t="inlineStr">
        <is>
          <t>88367 Baden-Württemberg - Hohentengen</t>
        </is>
      </c>
      <c r="H695" s="5" t="n">
        <v>45535</v>
      </c>
      <c r="I695" t="inlineStr">
        <is>
          <t>Sold</t>
        </is>
      </c>
      <c r="J695" s="6">
        <f>HYPERLINK("https://www.kleinanzeigen.de/s-anzeige/windsurf-mast-f2-arrows-sdm-435cm/2850493495-230-8729", "Link")</f>
        <v/>
      </c>
      <c r="K695" s="6">
        <f>HYPERLINK("C:\Projects\Kleinanzeigen-Scraper\offer_images\2850493495", "Link")</f>
        <v/>
      </c>
      <c r="L695" t="inlineStr">
        <is>
          <t>C. Bessei</t>
        </is>
      </c>
      <c r="M695" s="6">
        <f>HYPERLINK("https://www.kleinanzeigen.de/s-bestandsliste.html?userId=85102833", "Link")</f>
        <v/>
      </c>
      <c r="N695" s="7" t="n">
        <v>45536.90959490741</v>
      </c>
      <c r="O695" s="3" t="inlineStr">
        <is>
          <t>78.25</t>
        </is>
      </c>
      <c r="P695" t="inlineStr">
        <is>
          <t>Böblingen</t>
        </is>
      </c>
    </row>
    <row r="696">
      <c r="A696" t="inlineStr">
        <is>
          <t>North Sails Multi Curve</t>
        </is>
      </c>
      <c r="B696" s="3" t="n">
        <v>245</v>
      </c>
      <c r="C696" s="8" t="inlineStr">
        <is>
          <t>30%</t>
        </is>
      </c>
      <c r="D696" t="inlineStr"/>
      <c r="E696" s="4" t="n">
        <v>15</v>
      </c>
      <c r="F696" t="inlineStr"/>
      <c r="G696" t="inlineStr">
        <is>
          <t>81476 München - Thalk.Obersendl.-Forsten-Fürstenr.-Solln</t>
        </is>
      </c>
      <c r="H696" s="5" t="n">
        <v>45536</v>
      </c>
      <c r="I696" t="inlineStr">
        <is>
          <t>Sold</t>
        </is>
      </c>
      <c r="J696" s="6">
        <f>HYPERLINK("https://www.kleinanzeigen.de/s-anzeige/windsurfen/2851337953-230-6436", "Link")</f>
        <v/>
      </c>
      <c r="K696" s="6">
        <f>HYPERLINK("C:\Projects\Kleinanzeigen-Scraper\offer_images\2851337953", "Link")</f>
        <v/>
      </c>
      <c r="L696" t="inlineStr">
        <is>
          <t>R.R</t>
        </is>
      </c>
      <c r="M696" s="6">
        <f>HYPERLINK("https://www.kleinanzeigen.de/s-bestandsliste.html?userId=135566434", "Link")</f>
        <v/>
      </c>
      <c r="N696" s="7" t="n">
        <v>45536.90959490741</v>
      </c>
      <c r="O696" s="3" t="inlineStr">
        <is>
          <t>8.19</t>
        </is>
      </c>
      <c r="P696" t="inlineStr">
        <is>
          <t>München</t>
        </is>
      </c>
    </row>
    <row r="697">
      <c r="A697" t="inlineStr">
        <is>
          <t>Mistral</t>
        </is>
      </c>
      <c r="B697" s="3" t="n">
        <v>27.5</v>
      </c>
      <c r="C697" s="8" t="inlineStr"/>
      <c r="D697" t="inlineStr">
        <is>
          <t>SDM</t>
        </is>
      </c>
      <c r="E697" s="4" t="n">
        <v>15</v>
      </c>
      <c r="F697" t="inlineStr"/>
      <c r="G697" t="inlineStr">
        <is>
          <t>12169 Berlin - Steglitz</t>
        </is>
      </c>
      <c r="H697" s="5" t="n">
        <v>45531</v>
      </c>
      <c r="I697" t="inlineStr">
        <is>
          <t>Sold</t>
        </is>
      </c>
      <c r="J697" s="6">
        <f>HYPERLINK("https://www.kleinanzeigen.de/s-anzeige/mistral-mastverlaengerung-sdm-27-5-windsurfen/2847698178-230-3420", "Link")</f>
        <v/>
      </c>
      <c r="K697" s="6">
        <f>HYPERLINK("C:\Projects\Kleinanzeigen-Scraper\offer_images\2847698178", "Link")</f>
        <v/>
      </c>
      <c r="L697" t="inlineStr">
        <is>
          <t>Privat</t>
        </is>
      </c>
      <c r="M697" s="6">
        <f>HYPERLINK("https://www.kleinanzeigen.de/s-bestandsliste.html?userId=58928440", "Link")</f>
        <v/>
      </c>
      <c r="N697" s="7" t="n">
        <v>45536.90951388889</v>
      </c>
      <c r="O697" s="3" t="inlineStr">
        <is>
          <t>471.13</t>
        </is>
      </c>
      <c r="P697" t="inlineStr">
        <is>
          <t>Köln</t>
        </is>
      </c>
    </row>
    <row r="698">
      <c r="A698" t="inlineStr">
        <is>
          <t>Neilpryde</t>
        </is>
      </c>
      <c r="B698" s="3" t="inlineStr"/>
      <c r="C698" s="8" t="inlineStr"/>
      <c r="D698" t="inlineStr"/>
      <c r="E698" s="4" t="n">
        <v>500</v>
      </c>
      <c r="F698" t="inlineStr">
        <is>
          <t>VB</t>
        </is>
      </c>
      <c r="G698" t="inlineStr">
        <is>
          <t>24222 Schleswig-Holstein - Schwentinental</t>
        </is>
      </c>
      <c r="H698" s="5" t="n">
        <v>45536</v>
      </c>
      <c r="I698" t="inlineStr"/>
      <c r="J698" s="6">
        <f>HYPERLINK("https://www.kleinanzeigen.de/s-anzeige/neilpryde-windfoil-mast-windsurfen-foil/2851916723-230-13377", "Link")</f>
        <v/>
      </c>
      <c r="K698" s="6">
        <f>HYPERLINK("C:\Projects\Kleinanzeigen-Scraper\offer_images\2851916723", "Link")</f>
        <v/>
      </c>
      <c r="L698" t="inlineStr">
        <is>
          <t>Moritz</t>
        </is>
      </c>
      <c r="M698" s="6">
        <f>HYPERLINK("https://www.kleinanzeigen.de/s-bestandsliste.html?userId=10680857", "Link")</f>
        <v/>
      </c>
      <c r="N698" s="7" t="n">
        <v>45536.90949074074</v>
      </c>
      <c r="O698" s="3" t="inlineStr">
        <is>
          <t>433.89</t>
        </is>
      </c>
      <c r="P698" t="inlineStr">
        <is>
          <t>Köln</t>
        </is>
      </c>
    </row>
    <row r="699">
      <c r="A699" t="inlineStr">
        <is>
          <t>Northsails Silver</t>
        </is>
      </c>
      <c r="B699" s="3" t="n">
        <v>490</v>
      </c>
      <c r="C699" s="8" t="inlineStr"/>
      <c r="D699" t="inlineStr"/>
      <c r="E699" s="4" t="n">
        <v>100</v>
      </c>
      <c r="F699" t="inlineStr"/>
      <c r="G699" t="inlineStr">
        <is>
          <t>85586 Bayern - Poing</t>
        </is>
      </c>
      <c r="H699" s="5" t="n">
        <v>45536</v>
      </c>
      <c r="I699" t="inlineStr">
        <is>
          <t>Sold</t>
        </is>
      </c>
      <c r="J699" s="6">
        <f>HYPERLINK("https://www.kleinanzeigen.de/s-anzeige/windsurf-mast-northsails-silver-4-90-m/2851174959-230-5579", "Link")</f>
        <v/>
      </c>
      <c r="K699" s="6">
        <f>HYPERLINK("C:\Projects\Kleinanzeigen-Scraper\offer_images\2851174959", "Link")</f>
        <v/>
      </c>
      <c r="L699" t="inlineStr">
        <is>
          <t>Lars</t>
        </is>
      </c>
      <c r="M699" s="6">
        <f>HYPERLINK("https://www.kleinanzeigen.de/s-bestandsliste.html?userId=84093014", "Link")</f>
        <v/>
      </c>
      <c r="N699" s="7" t="n">
        <v>45536.90949074074</v>
      </c>
      <c r="O699" s="3" t="inlineStr">
        <is>
          <t>17.56</t>
        </is>
      </c>
      <c r="P699" t="inlineStr">
        <is>
          <t>München</t>
        </is>
      </c>
    </row>
    <row r="700">
      <c r="A700" t="inlineStr"/>
      <c r="B700" s="3" t="inlineStr"/>
      <c r="C700" s="8" t="inlineStr"/>
      <c r="D700" t="inlineStr"/>
      <c r="E700" s="4" t="n">
        <v>20</v>
      </c>
      <c r="F700" t="inlineStr">
        <is>
          <t>VB</t>
        </is>
      </c>
      <c r="G700" t="inlineStr">
        <is>
          <t>86949 Bayern - Windach</t>
        </is>
      </c>
      <c r="H700" s="5" t="n">
        <v>45536</v>
      </c>
      <c r="I700" t="inlineStr">
        <is>
          <t>Sold</t>
        </is>
      </c>
      <c r="J700" s="6">
        <f>HYPERLINK("https://www.kleinanzeigen.de/s-anzeige/windsurfen-windsurfmast-mast/2851459870-230-7064", "Link")</f>
        <v/>
      </c>
      <c r="K700" s="6">
        <f>HYPERLINK("C:\Projects\Kleinanzeigen-Scraper\offer_images\2851459870", "Link")</f>
        <v/>
      </c>
      <c r="L700" t="inlineStr">
        <is>
          <t>Kema</t>
        </is>
      </c>
      <c r="M700" s="6">
        <f>HYPERLINK("https://www.kleinanzeigen.de/s-bestandsliste.html?userId=82282072", "Link")</f>
        <v/>
      </c>
      <c r="N700" s="7" t="n">
        <v>45536.9094675926</v>
      </c>
      <c r="O700" s="3" t="inlineStr">
        <is>
          <t>41.08</t>
        </is>
      </c>
      <c r="P700" t="inlineStr">
        <is>
          <t>München</t>
        </is>
      </c>
    </row>
    <row r="701">
      <c r="A701" t="inlineStr">
        <is>
          <t>Gaastra</t>
        </is>
      </c>
      <c r="B701" s="3" t="n">
        <v>430</v>
      </c>
      <c r="C701" s="8" t="inlineStr">
        <is>
          <t>75%</t>
        </is>
      </c>
      <c r="D701" t="inlineStr"/>
      <c r="E701" s="4" t="n">
        <v>125</v>
      </c>
      <c r="F701" t="inlineStr">
        <is>
          <t>VB</t>
        </is>
      </c>
      <c r="G701" t="inlineStr">
        <is>
          <t>71088 Baden-Württemberg - Holzgerlingen</t>
        </is>
      </c>
      <c r="H701" s="5" t="n">
        <v>45534</v>
      </c>
      <c r="I701" t="inlineStr"/>
      <c r="J701" s="6">
        <f>HYPERLINK("https://www.kleinanzeigen.de/s-anzeige/gaastra-mast-430-cm-75-carbon-windsurf/2850079702-230-8786", "Link")</f>
        <v/>
      </c>
      <c r="K701" s="6">
        <f>HYPERLINK("C:\Projects\Kleinanzeigen-Scraper\offer_images\2850079702", "Link")</f>
        <v/>
      </c>
      <c r="L701" t="inlineStr">
        <is>
          <t>Wolff</t>
        </is>
      </c>
      <c r="M701" s="6">
        <f>HYPERLINK("https://www.kleinanzeigen.de/s-bestandsliste.html?userId=37784847", "Link")</f>
        <v/>
      </c>
      <c r="N701" s="7" t="n">
        <v>45535.5928125</v>
      </c>
      <c r="O701" s="3" t="inlineStr">
        <is>
          <t>4.76</t>
        </is>
      </c>
      <c r="P701" t="inlineStr">
        <is>
          <t>Böblingen</t>
        </is>
      </c>
    </row>
    <row r="702">
      <c r="A702" t="inlineStr">
        <is>
          <t>Unifiber C60</t>
        </is>
      </c>
      <c r="B702" s="3" t="n">
        <v>430</v>
      </c>
      <c r="C702" s="8" t="inlineStr"/>
      <c r="D702" t="inlineStr">
        <is>
          <t>RDM</t>
        </is>
      </c>
      <c r="E702" s="4" t="inlineStr"/>
      <c r="F702" t="inlineStr">
        <is>
          <t>VB</t>
        </is>
      </c>
      <c r="G702" t="inlineStr">
        <is>
          <t>70374 Stuttgart - Bad Cannstatt</t>
        </is>
      </c>
      <c r="H702" s="5" t="n">
        <v>45533</v>
      </c>
      <c r="I702" t="inlineStr">
        <is>
          <t>Sold</t>
        </is>
      </c>
      <c r="J702" s="6">
        <f>HYPERLINK("https://www.kleinanzeigen.de/s-anzeige/mast-base-unifiber-c60-rdm-430-windsurfen/2848959976-230-9335", "Link")</f>
        <v/>
      </c>
      <c r="K702" s="6">
        <f>HYPERLINK("C:\Projects\Kleinanzeigen-Scraper\offer_images\2848959976", "Link")</f>
        <v/>
      </c>
      <c r="L702" t="inlineStr">
        <is>
          <t>Stephan</t>
        </is>
      </c>
      <c r="M702" s="6">
        <f>HYPERLINK("https://www.kleinanzeigen.de/s-bestandsliste.html?userId=35669520", "Link")</f>
        <v/>
      </c>
      <c r="N702" s="7" t="n">
        <v>45533.55915509259</v>
      </c>
      <c r="O702" s="3" t="inlineStr">
        <is>
          <t>24.40</t>
        </is>
      </c>
      <c r="P702" t="inlineStr">
        <is>
          <t>Böblingen</t>
        </is>
      </c>
    </row>
    <row r="703">
      <c r="A703" t="inlineStr">
        <is>
          <t>Arrows Magic Stix 9</t>
        </is>
      </c>
      <c r="B703" s="3" t="n">
        <v>460</v>
      </c>
      <c r="C703" s="8" t="inlineStr">
        <is>
          <t>80%</t>
        </is>
      </c>
      <c r="D703" t="inlineStr">
        <is>
          <t>SDM</t>
        </is>
      </c>
      <c r="E703" s="4" t="n">
        <v>100</v>
      </c>
      <c r="F703" t="inlineStr">
        <is>
          <t>VB</t>
        </is>
      </c>
      <c r="G703" t="inlineStr">
        <is>
          <t>66564 Saarland - Ottweiler</t>
        </is>
      </c>
      <c r="H703" s="5" t="n">
        <v>45531</v>
      </c>
      <c r="I703" t="inlineStr">
        <is>
          <t>Sold</t>
        </is>
      </c>
      <c r="J703" s="6">
        <f>HYPERLINK("https://www.kleinanzeigen.de/s-anzeige/windsurf-mast-4-60-m-arrows-magic-stix-9/2848101396-230-347", "Link")</f>
        <v/>
      </c>
      <c r="K703" s="6">
        <f>HYPERLINK("C:\Projects\Kleinanzeigen-Scraper\offer_images\2848101396", "Link")</f>
        <v/>
      </c>
      <c r="L703" t="inlineStr">
        <is>
          <t>Hans</t>
        </is>
      </c>
      <c r="M703" s="6">
        <f>HYPERLINK("https://www.kleinanzeigen.de/s-bestandsliste.html?userId=17552175", "Link")</f>
        <v/>
      </c>
      <c r="N703" s="7" t="n">
        <v>45533.55913194444</v>
      </c>
      <c r="O703" s="3" t="inlineStr">
        <is>
          <t>96.82</t>
        </is>
      </c>
      <c r="P703" t="inlineStr">
        <is>
          <t>Karlsruhe</t>
        </is>
      </c>
    </row>
    <row r="704">
      <c r="A704" t="inlineStr">
        <is>
          <t>Neil Pryde Mast 430 CK35</t>
        </is>
      </c>
      <c r="B704" s="3" t="n">
        <v>430</v>
      </c>
      <c r="C704" s="8" t="inlineStr"/>
      <c r="D704" t="inlineStr">
        <is>
          <t>SDM</t>
        </is>
      </c>
      <c r="E704" s="4" t="n">
        <v>90</v>
      </c>
      <c r="F704" t="inlineStr"/>
      <c r="G704" t="inlineStr">
        <is>
          <t>70374 Stuttgart - Bad Cannstatt</t>
        </is>
      </c>
      <c r="H704" s="5" t="n">
        <v>45533</v>
      </c>
      <c r="I704" t="inlineStr">
        <is>
          <t>Sold</t>
        </is>
      </c>
      <c r="J704" s="6">
        <f>HYPERLINK("https://www.kleinanzeigen.de/s-anzeige/neil-pryde-mast-430-ck35-sdm-windsurfen/2848961315-230-9335", "Link")</f>
        <v/>
      </c>
      <c r="K704" s="6">
        <f>HYPERLINK("C:\Projects\Kleinanzeigen-Scraper\offer_images\2848961315", "Link")</f>
        <v/>
      </c>
      <c r="L704" t="inlineStr">
        <is>
          <t>Stephan</t>
        </is>
      </c>
      <c r="M704" s="6">
        <f>HYPERLINK("https://www.kleinanzeigen.de/s-bestandsliste.html?userId=35669520", "Link")</f>
        <v/>
      </c>
      <c r="N704" s="7" t="n">
        <v>45533.55892361111</v>
      </c>
      <c r="O704" s="3" t="inlineStr">
        <is>
          <t>24.40</t>
        </is>
      </c>
      <c r="P704" t="inlineStr">
        <is>
          <t>Böblingen</t>
        </is>
      </c>
    </row>
    <row r="705">
      <c r="A705" t="inlineStr">
        <is>
          <t>Goya Seventy</t>
        </is>
      </c>
      <c r="B705" s="3" t="n">
        <v>460</v>
      </c>
      <c r="C705" s="8" t="inlineStr">
        <is>
          <t>70%</t>
        </is>
      </c>
      <c r="D705" t="inlineStr">
        <is>
          <t>SDM</t>
        </is>
      </c>
      <c r="E705" s="4" t="n">
        <v>200</v>
      </c>
      <c r="F705" t="inlineStr"/>
      <c r="G705" t="inlineStr">
        <is>
          <t>Stuttgart</t>
        </is>
      </c>
      <c r="H705" s="5" t="n">
        <v>45527</v>
      </c>
      <c r="I705" t="inlineStr"/>
      <c r="J705" s="6">
        <f>HYPERLINK("https://www.dailydose.de/kleinanzeigen/detail.htm?ai=421321&amp;cf=kk&amp;pg=3&amp;ci=2", "Link")</f>
        <v/>
      </c>
      <c r="K705" s="6">
        <f>HYPERLINK("C:\Projects\Kleinanzeigen-Scraper\offer_images\421321", "Link")</f>
        <v/>
      </c>
      <c r="L705" t="inlineStr">
        <is>
          <t>Roman_96</t>
        </is>
      </c>
      <c r="M705" s="6">
        <f>HYPERLINK("https://www.dailydose.de/kleinanzeigen/user/20905", "Link")</f>
        <v/>
      </c>
      <c r="N705" s="7" t="n">
        <v>45531.37986111111</v>
      </c>
      <c r="O705" s="3" t="inlineStr">
        <is>
          <t>18.71</t>
        </is>
      </c>
      <c r="P705" t="inlineStr">
        <is>
          <t>Böblingen</t>
        </is>
      </c>
    </row>
    <row r="706">
      <c r="A706" t="inlineStr">
        <is>
          <t>Ezzy</t>
        </is>
      </c>
      <c r="B706" s="3" t="n">
        <v>400</v>
      </c>
      <c r="C706" s="8" t="inlineStr">
        <is>
          <t>91%</t>
        </is>
      </c>
      <c r="D706" t="inlineStr">
        <is>
          <t>RDM</t>
        </is>
      </c>
      <c r="E706" s="4" t="n">
        <v>260</v>
      </c>
      <c r="F706" t="inlineStr"/>
      <c r="G706" t="inlineStr">
        <is>
          <t>Stuttgart</t>
        </is>
      </c>
      <c r="H706" s="5" t="n">
        <v>45530</v>
      </c>
      <c r="I706" t="inlineStr">
        <is>
          <t>Sold</t>
        </is>
      </c>
      <c r="J706" s="6">
        <f>HYPERLINK("https://www.dailydose.de/kleinanzeigen/detail.htm?ai=421448&amp;cf=kk&amp;pg=1&amp;ci=2", "Link")</f>
        <v/>
      </c>
      <c r="K706" s="6">
        <f>HYPERLINK("C:\Projects\Kleinanzeigen-Scraper\offer_images\421448", "Link")</f>
        <v/>
      </c>
      <c r="L706" t="inlineStr">
        <is>
          <t>Roman_96</t>
        </is>
      </c>
      <c r="M706" s="6">
        <f>HYPERLINK("https://www.dailydose.de/kleinanzeigen/user/20905", "Link")</f>
        <v/>
      </c>
      <c r="N706" s="7" t="n">
        <v>45531.37972222222</v>
      </c>
      <c r="O706" s="3" t="inlineStr">
        <is>
          <t>18.71</t>
        </is>
      </c>
      <c r="P706" t="inlineStr">
        <is>
          <t>Böblingen</t>
        </is>
      </c>
    </row>
    <row r="707">
      <c r="A707" t="inlineStr">
        <is>
          <t>Neilpryde X9</t>
        </is>
      </c>
      <c r="B707" s="3" t="n">
        <v>400</v>
      </c>
      <c r="C707" s="8" t="inlineStr">
        <is>
          <t>100%</t>
        </is>
      </c>
      <c r="D707" t="inlineStr">
        <is>
          <t>SDM</t>
        </is>
      </c>
      <c r="E707" s="4" t="n">
        <v>120</v>
      </c>
      <c r="F707" t="inlineStr"/>
      <c r="G707" t="inlineStr">
        <is>
          <t>Stuttgart</t>
        </is>
      </c>
      <c r="H707" s="5" t="n">
        <v>45527</v>
      </c>
      <c r="I707" t="inlineStr">
        <is>
          <t>Sold</t>
        </is>
      </c>
      <c r="J707" s="6">
        <f>HYPERLINK("https://www.dailydose.de/kleinanzeigen/detail.htm?ai=421326&amp;cf=kk&amp;pg=2&amp;ci=2", "Link")</f>
        <v/>
      </c>
      <c r="K707" s="6">
        <f>HYPERLINK("C:\Projects\Kleinanzeigen-Scraper\offer_images\421326", "Link")</f>
        <v/>
      </c>
      <c r="L707" t="inlineStr">
        <is>
          <t>Roman_96</t>
        </is>
      </c>
      <c r="M707" s="6">
        <f>HYPERLINK("https://www.dailydose.de/kleinanzeigen/user/20905", "Link")</f>
        <v/>
      </c>
      <c r="N707" s="7" t="n">
        <v>45531.3796875</v>
      </c>
      <c r="O707" s="3" t="inlineStr">
        <is>
          <t>18.71</t>
        </is>
      </c>
      <c r="P707" t="inlineStr">
        <is>
          <t>Böblingen</t>
        </is>
      </c>
    </row>
    <row r="708">
      <c r="A708" t="inlineStr"/>
      <c r="B708" s="3" t="n">
        <v>310</v>
      </c>
      <c r="C708" s="8" t="inlineStr"/>
      <c r="D708" t="inlineStr"/>
      <c r="E708" s="4" t="n">
        <v>25</v>
      </c>
      <c r="F708" t="inlineStr"/>
      <c r="G708" t="inlineStr">
        <is>
          <t>76149 Baden-Württemberg - Karlsruhe</t>
        </is>
      </c>
      <c r="H708" s="5" t="n">
        <v>45527</v>
      </c>
      <c r="I708" t="inlineStr">
        <is>
          <t>Sold</t>
        </is>
      </c>
      <c r="J708" s="6">
        <f>HYPERLINK("https://www.kleinanzeigen.de/s-anzeige/mast-310-kinder-segel-rig-windsurfen-segel/2844385883-230-9196", "Link")</f>
        <v/>
      </c>
      <c r="K708" s="6">
        <f>HYPERLINK("C:\Projects\Kleinanzeigen-Scraper\offer_images\2844385883", "Link")</f>
        <v/>
      </c>
      <c r="L708" t="inlineStr">
        <is>
          <t>THJ</t>
        </is>
      </c>
      <c r="M708" s="6">
        <f>HYPERLINK("https://www.kleinanzeigen.de/s-bestandsliste.html?userId=21189431", "Link")</f>
        <v/>
      </c>
      <c r="N708" s="7" t="n">
        <v>45531.37873842593</v>
      </c>
      <c r="O708" s="3" t="inlineStr">
        <is>
          <t>4.81</t>
        </is>
      </c>
      <c r="P708" t="inlineStr">
        <is>
          <t>Karlsruhe</t>
        </is>
      </c>
    </row>
    <row r="709">
      <c r="A709" t="inlineStr"/>
      <c r="B709" s="3" t="n">
        <v>430</v>
      </c>
      <c r="C709" s="8" t="n">
        <v>35</v>
      </c>
      <c r="D709" t="inlineStr">
        <is>
          <t>SDM</t>
        </is>
      </c>
      <c r="E709" s="4" t="n">
        <v>30</v>
      </c>
      <c r="F709" t="inlineStr"/>
      <c r="G709" t="inlineStr">
        <is>
          <t>76149 Baden-Württemberg - Karlsruhe</t>
        </is>
      </c>
      <c r="H709" s="5" t="n">
        <v>45527</v>
      </c>
      <c r="I709" t="inlineStr">
        <is>
          <t>Sold</t>
        </is>
      </c>
      <c r="J709" s="6">
        <f>HYPERLINK("https://www.kleinanzeigen.de/s-anzeige/surf-mast-430cm-35c-sdm-windsurfen/2844391866-230-9196", "Link")</f>
        <v/>
      </c>
      <c r="K709" s="6">
        <f>HYPERLINK("C:\Projects\Kleinanzeigen-Scraper\offer_images\2844391866", "Link")</f>
        <v/>
      </c>
      <c r="L709" t="inlineStr">
        <is>
          <t>THJ</t>
        </is>
      </c>
      <c r="M709" s="6">
        <f>HYPERLINK("https://www.kleinanzeigen.de/s-bestandsliste.html?userId=21189431", "Link")</f>
        <v/>
      </c>
      <c r="N709" s="7" t="n">
        <v>45531.37861111111</v>
      </c>
      <c r="O709" s="3" t="inlineStr">
        <is>
          <t>4.81</t>
        </is>
      </c>
      <c r="P709" t="inlineStr">
        <is>
          <t>Karlsruhe</t>
        </is>
      </c>
    </row>
    <row r="710">
      <c r="A710" t="inlineStr">
        <is>
          <t>Fiber Spar</t>
        </is>
      </c>
      <c r="B710" s="3" t="n">
        <v>480</v>
      </c>
      <c r="C710" s="8" t="inlineStr">
        <is>
          <t>100%</t>
        </is>
      </c>
      <c r="D710" t="inlineStr"/>
      <c r="E710" s="4" t="n">
        <v>49</v>
      </c>
      <c r="F710" t="inlineStr">
        <is>
          <t>VB</t>
        </is>
      </c>
      <c r="G710" t="inlineStr">
        <is>
          <t>72290 Baden-Württemberg - Loßburg</t>
        </is>
      </c>
      <c r="H710" s="5" t="n">
        <v>45521</v>
      </c>
      <c r="I710" t="inlineStr">
        <is>
          <t>Sold</t>
        </is>
      </c>
      <c r="J710" s="6">
        <f>HYPERLINK("https://www.kleinanzeigen.de/s-anzeige/windsurf-mast-fiberspar-4-80m-100-carbon/2838922256-230-17626", "Link")</f>
        <v/>
      </c>
      <c r="K710" s="6">
        <f>HYPERLINK("C:\Projects\Kleinanzeigen-Scraper\offer_images\2838922256", "Link")</f>
        <v/>
      </c>
      <c r="L710" t="inlineStr">
        <is>
          <t>K.-H. Kowatsch</t>
        </is>
      </c>
      <c r="M710" s="6">
        <f>HYPERLINK("https://www.kleinanzeigen.de/s-bestandsliste.html?userId=7914917", "Link")</f>
        <v/>
      </c>
      <c r="N710" s="7" t="n">
        <v>45522.63939814815</v>
      </c>
      <c r="O710" s="3" t="inlineStr">
        <is>
          <t>48.67</t>
        </is>
      </c>
      <c r="P710" t="inlineStr">
        <is>
          <t>Böblingen</t>
        </is>
      </c>
    </row>
    <row r="711">
      <c r="A711" t="inlineStr">
        <is>
          <t>Eckla Surftechnik</t>
        </is>
      </c>
      <c r="B711" s="3" t="n">
        <v>481</v>
      </c>
      <c r="C711" s="8" t="inlineStr"/>
      <c r="D711" t="inlineStr"/>
      <c r="E711" s="4" t="inlineStr">
        <is>
          <t>No price</t>
        </is>
      </c>
      <c r="F711" t="inlineStr"/>
      <c r="G711" t="inlineStr">
        <is>
          <t>78052 Baden-Württemberg - Villingen-Schwenningen</t>
        </is>
      </c>
      <c r="H711" s="5" t="n">
        <v>45522</v>
      </c>
      <c r="I711" t="inlineStr">
        <is>
          <t>Sold</t>
        </is>
      </c>
      <c r="J711" s="6">
        <f>HYPERLINK("https://www.kleinanzeigen.de/s-anzeige/windsurf-mast-laenge-4-81-meter/2839533430-192-9103", "Link")</f>
        <v/>
      </c>
      <c r="K711" s="6">
        <f>HYPERLINK("C:\Projects\Kleinanzeigen-Scraper\offer_images\2839533430", "Link")</f>
        <v/>
      </c>
      <c r="L711" t="inlineStr">
        <is>
          <t>Ruppert</t>
        </is>
      </c>
      <c r="M711" s="6">
        <f>HYPERLINK("https://www.kleinanzeigen.de/s-bestandsliste.html?userId=50597780", "Link")</f>
        <v/>
      </c>
      <c r="N711" s="7" t="n">
        <v>45522.63936342593</v>
      </c>
      <c r="O711" s="3" t="inlineStr">
        <is>
          <t>25.58</t>
        </is>
      </c>
      <c r="P711" t="inlineStr">
        <is>
          <t>Bonndorf</t>
        </is>
      </c>
    </row>
    <row r="712">
      <c r="A712" t="inlineStr">
        <is>
          <t>Gun Sails</t>
        </is>
      </c>
      <c r="B712" s="3" t="n">
        <v>45</v>
      </c>
      <c r="C712" s="8" t="inlineStr"/>
      <c r="D712" t="inlineStr"/>
      <c r="E712" s="4" t="n">
        <v>18</v>
      </c>
      <c r="F712" t="inlineStr">
        <is>
          <t>VB</t>
        </is>
      </c>
      <c r="G712" t="inlineStr">
        <is>
          <t>79350 Baden-Württemberg - Sexau</t>
        </is>
      </c>
      <c r="H712" s="5" t="n">
        <v>45519</v>
      </c>
      <c r="I712" t="inlineStr">
        <is>
          <t>Sold</t>
        </is>
      </c>
      <c r="J712" s="6">
        <f>HYPERLINK("https://www.kleinanzeigen.de/s-anzeige/windsurf-mastverlaengerung-gun-sails-45-cm/2837316644-230-8288", "Link")</f>
        <v/>
      </c>
      <c r="K712" s="6">
        <f>HYPERLINK("C:\Projects\Kleinanzeigen-Scraper\offer_images\2837316644", "Link")</f>
        <v/>
      </c>
      <c r="L712" t="inlineStr">
        <is>
          <t>Robert</t>
        </is>
      </c>
      <c r="M712" s="6">
        <f>HYPERLINK("https://www.kleinanzeigen.de/s-bestandsliste.html?userId=18951209", "Link")</f>
        <v/>
      </c>
      <c r="N712" s="7" t="n">
        <v>45522.63917824074</v>
      </c>
      <c r="O712" s="3" t="inlineStr">
        <is>
          <t>45.20</t>
        </is>
      </c>
      <c r="P712" t="inlineStr">
        <is>
          <t>Bonndorf</t>
        </is>
      </c>
    </row>
    <row r="713">
      <c r="A713" t="inlineStr">
        <is>
          <t>Mauissails</t>
        </is>
      </c>
      <c r="B713" s="3" t="n">
        <v>400</v>
      </c>
      <c r="C713" s="8" t="inlineStr"/>
      <c r="D713" t="inlineStr">
        <is>
          <t>SDM</t>
        </is>
      </c>
      <c r="E713" s="4" t="n">
        <v>150</v>
      </c>
      <c r="F713" t="inlineStr">
        <is>
          <t>VB</t>
        </is>
      </c>
      <c r="G713" t="inlineStr">
        <is>
          <t>72141 Baden-Württemberg - Walddorfhäslach</t>
        </is>
      </c>
      <c r="H713" s="5" t="n">
        <v>45520</v>
      </c>
      <c r="I713" t="inlineStr">
        <is>
          <t>Sold</t>
        </is>
      </c>
      <c r="J713" s="6">
        <f>HYPERLINK("https://www.kleinanzeigen.de/s-anzeige/windsurf-mast-mauissails-400-sdm/2838282765-230-8891", "Link")</f>
        <v/>
      </c>
      <c r="K713" s="6">
        <f>HYPERLINK("C:\Projects\Kleinanzeigen-Scraper\offer_images\2838282765", "Link")</f>
        <v/>
      </c>
      <c r="L713" t="inlineStr">
        <is>
          <t>Katharina &amp; Jan</t>
        </is>
      </c>
      <c r="M713" s="6">
        <f>HYPERLINK("https://www.kleinanzeigen.de/s-bestandsliste.html?userId=5363487", "Link")</f>
        <v/>
      </c>
      <c r="N713" s="7" t="n">
        <v>45522.63901620371</v>
      </c>
      <c r="O713" s="3" t="inlineStr">
        <is>
          <t>16.87</t>
        </is>
      </c>
      <c r="P713" t="inlineStr">
        <is>
          <t>Böblingen</t>
        </is>
      </c>
    </row>
    <row r="714">
      <c r="A714" t="inlineStr">
        <is>
          <t>ART</t>
        </is>
      </c>
      <c r="B714" s="3" t="n">
        <v>460</v>
      </c>
      <c r="C714" s="8" t="inlineStr">
        <is>
          <t>30%</t>
        </is>
      </c>
      <c r="D714" t="inlineStr">
        <is>
          <t>SDM</t>
        </is>
      </c>
      <c r="E714" s="4" t="n">
        <v>30</v>
      </c>
      <c r="F714" t="inlineStr"/>
      <c r="G714" t="inlineStr">
        <is>
          <t>72290 Baden-Württemberg - Loßburg</t>
        </is>
      </c>
      <c r="H714" s="5" t="n">
        <v>45521</v>
      </c>
      <c r="I714" t="inlineStr">
        <is>
          <t>Sold</t>
        </is>
      </c>
      <c r="J714" s="6">
        <f>HYPERLINK("https://www.kleinanzeigen.de/s-anzeige/windsurf-mast-von-art-4-60m/2839169132-230-17626", "Link")</f>
        <v/>
      </c>
      <c r="K714" s="6">
        <f>HYPERLINK("C:\Projects\Kleinanzeigen-Scraper\offer_images\2839169132", "Link")</f>
        <v/>
      </c>
      <c r="L714" t="inlineStr">
        <is>
          <t>K.-H. Kowatsch</t>
        </is>
      </c>
      <c r="M714" s="6">
        <f>HYPERLINK("https://www.kleinanzeigen.de/s-bestandsliste.html?userId=7914917", "Link")</f>
        <v/>
      </c>
      <c r="N714" s="7" t="n">
        <v>45522.63875</v>
      </c>
      <c r="O714" s="3" t="inlineStr">
        <is>
          <t>48.67</t>
        </is>
      </c>
      <c r="P714" t="inlineStr">
        <is>
          <t>Böblingen</t>
        </is>
      </c>
    </row>
    <row r="715">
      <c r="A715" t="inlineStr">
        <is>
          <t>ART</t>
        </is>
      </c>
      <c r="B715" s="3" t="n">
        <v>440</v>
      </c>
      <c r="C715" s="8" t="inlineStr">
        <is>
          <t>5%</t>
        </is>
      </c>
      <c r="D715" t="inlineStr">
        <is>
          <t>SDM</t>
        </is>
      </c>
      <c r="E715" s="4" t="n">
        <v>20</v>
      </c>
      <c r="F715" t="inlineStr"/>
      <c r="G715" t="inlineStr">
        <is>
          <t>71263 Baden-Württemberg - Weil der Stadt</t>
        </is>
      </c>
      <c r="H715" s="5" t="n">
        <v>45520</v>
      </c>
      <c r="I715" t="inlineStr">
        <is>
          <t>Sold</t>
        </is>
      </c>
      <c r="J715" s="6">
        <f>HYPERLINK("https://www.kleinanzeigen.de/s-anzeige/art-windsurf-mast-440-sdm/2838396990-230-8404", "Link")</f>
        <v/>
      </c>
      <c r="K715" s="6">
        <f>HYPERLINK("C:\Projects\Kleinanzeigen-Scraper\offer_images\2838396990", "Link")</f>
        <v/>
      </c>
      <c r="L715" t="inlineStr">
        <is>
          <t>Christoph Steffen</t>
        </is>
      </c>
      <c r="M715" s="6">
        <f>HYPERLINK("https://www.kleinanzeigen.de/s-bestandsliste.html?userId=16138442", "Link")</f>
        <v/>
      </c>
      <c r="N715" s="7" t="n">
        <v>45522.63839120371</v>
      </c>
      <c r="O715" s="3" t="inlineStr">
        <is>
          <t>12.30</t>
        </is>
      </c>
      <c r="P715" t="inlineStr">
        <is>
          <t>Böblingen</t>
        </is>
      </c>
    </row>
    <row r="716">
      <c r="A716" t="inlineStr">
        <is>
          <t>Enemii</t>
        </is>
      </c>
      <c r="B716" s="3" t="n">
        <v>400</v>
      </c>
      <c r="C716" s="8" t="inlineStr">
        <is>
          <t>100%</t>
        </is>
      </c>
      <c r="D716" t="inlineStr">
        <is>
          <t>RDM</t>
        </is>
      </c>
      <c r="E716" s="4" t="n">
        <v>130</v>
      </c>
      <c r="F716" t="inlineStr">
        <is>
          <t>VB</t>
        </is>
      </c>
      <c r="G716" t="inlineStr">
        <is>
          <t>70563 Stuttgart</t>
        </is>
      </c>
      <c r="H716" s="5" t="n">
        <v>45518</v>
      </c>
      <c r="I716" t="inlineStr"/>
      <c r="J716" s="6">
        <f>HYPERLINK("https://www.dailydose.de/kleinanzeigen/detail.htm?ai=420863&amp;cf=kk&amp;pg=4&amp;ci=2", "Link")</f>
        <v/>
      </c>
      <c r="K716" s="6">
        <f>HYPERLINK("C:\Projects\Kleinanzeigen-Scraper\offer_images\420863", "Link")</f>
        <v/>
      </c>
      <c r="L716" t="inlineStr">
        <is>
          <t>jf_schramm</t>
        </is>
      </c>
      <c r="M716" s="6">
        <f>HYPERLINK("https://www.dailydose.de/kleinanzeigen/user/103", "Link")</f>
        <v/>
      </c>
      <c r="N716" s="7" t="n">
        <v>45518.57915509259</v>
      </c>
      <c r="O716" s="3" t="inlineStr">
        <is>
          <t>10.79</t>
        </is>
      </c>
      <c r="P716" t="inlineStr">
        <is>
          <t>Böblingen</t>
        </is>
      </c>
    </row>
    <row r="717">
      <c r="A717" t="inlineStr">
        <is>
          <t>Neil Pryde X6</t>
        </is>
      </c>
      <c r="B717" s="3" t="n">
        <v>400</v>
      </c>
      <c r="C717" s="8" t="inlineStr">
        <is>
          <t>50%</t>
        </is>
      </c>
      <c r="D717" t="inlineStr">
        <is>
          <t>RDM</t>
        </is>
      </c>
      <c r="E717" s="4" t="n">
        <v>120</v>
      </c>
      <c r="F717" t="inlineStr"/>
      <c r="G717" t="inlineStr">
        <is>
          <t>69469 Weinheim / Bergstr.</t>
        </is>
      </c>
      <c r="H717" s="5" t="n">
        <v>45518</v>
      </c>
      <c r="I717" t="inlineStr">
        <is>
          <t>Sold</t>
        </is>
      </c>
      <c r="J717" s="6">
        <f>HYPERLINK("https://www.dailydose.de/kleinanzeigen/detail.htm?ai=420861&amp;cf=kk&amp;pg=3&amp;ci=2", "Link")</f>
        <v/>
      </c>
      <c r="K717" s="6">
        <f>HYPERLINK("C:\Projects\Kleinanzeigen-Scraper\offer_images\420861", "Link")</f>
        <v/>
      </c>
      <c r="L717" t="inlineStr">
        <is>
          <t>arnold</t>
        </is>
      </c>
      <c r="M717" s="6">
        <f>HYPERLINK("https://www.dailydose.de/kleinanzeigen/user/3041", "Link")</f>
        <v/>
      </c>
      <c r="N717" s="7" t="n">
        <v>45518.57909722222</v>
      </c>
      <c r="O717" s="3" t="inlineStr">
        <is>
          <t>62.48</t>
        </is>
      </c>
      <c r="P717" t="inlineStr">
        <is>
          <t>Karlsruhe</t>
        </is>
      </c>
    </row>
    <row r="718">
      <c r="A718" t="inlineStr">
        <is>
          <t>NP X6</t>
        </is>
      </c>
      <c r="B718" s="3" t="n">
        <v>370</v>
      </c>
      <c r="C718" s="8" t="inlineStr">
        <is>
          <t>50%</t>
        </is>
      </c>
      <c r="D718" t="inlineStr">
        <is>
          <t>RDM</t>
        </is>
      </c>
      <c r="E718" s="4" t="n">
        <v>90</v>
      </c>
      <c r="F718" t="inlineStr"/>
      <c r="G718" t="inlineStr">
        <is>
          <t>69469 Weinheim / Bergstr.</t>
        </is>
      </c>
      <c r="H718" s="5" t="n">
        <v>45518</v>
      </c>
      <c r="I718" t="inlineStr">
        <is>
          <t>Sold</t>
        </is>
      </c>
      <c r="J718" s="6">
        <f>HYPERLINK("https://www.dailydose.de/kleinanzeigen/detail.htm?ai=420865&amp;cf=kk&amp;pg=3&amp;ci=2", "Link")</f>
        <v/>
      </c>
      <c r="K718" s="6">
        <f>HYPERLINK("C:\Projects\Kleinanzeigen-Scraper\offer_images\420865", "Link")</f>
        <v/>
      </c>
      <c r="L718" t="inlineStr">
        <is>
          <t>arnold</t>
        </is>
      </c>
      <c r="M718" s="6">
        <f>HYPERLINK("https://www.dailydose.de/kleinanzeigen/user/3041", "Link")</f>
        <v/>
      </c>
      <c r="N718" s="7" t="n">
        <v>45518.57898148148</v>
      </c>
      <c r="O718" s="3" t="inlineStr">
        <is>
          <t>62.48</t>
        </is>
      </c>
      <c r="P718" t="inlineStr">
        <is>
          <t>Karlsruhe</t>
        </is>
      </c>
    </row>
    <row r="719">
      <c r="A719" t="inlineStr">
        <is>
          <t>Enemii</t>
        </is>
      </c>
      <c r="B719" s="3" t="n">
        <v>400</v>
      </c>
      <c r="C719" s="8" t="inlineStr">
        <is>
          <t>100%</t>
        </is>
      </c>
      <c r="D719" t="inlineStr">
        <is>
          <t>RDM</t>
        </is>
      </c>
      <c r="E719" s="4" t="n">
        <v>130</v>
      </c>
      <c r="F719" t="inlineStr">
        <is>
          <t>VB</t>
        </is>
      </c>
      <c r="G719" t="inlineStr">
        <is>
          <t>70563 Stuttgart - Vaihingen</t>
        </is>
      </c>
      <c r="H719" s="5" t="n">
        <v>45518</v>
      </c>
      <c r="I719" t="inlineStr">
        <is>
          <t>Sold</t>
        </is>
      </c>
      <c r="J719" s="6">
        <f>HYPERLINK("https://www.kleinanzeigen.de/s-anzeige/enemii-rdm-400-100-carbon-windsurf-mast/2836561847-230-9301", "Link")</f>
        <v/>
      </c>
      <c r="K719" s="6">
        <f>HYPERLINK("C:\Projects\Kleinanzeigen-Scraper\offer_images\2836561847", "Link")</f>
        <v/>
      </c>
      <c r="L719" t="inlineStr">
        <is>
          <t>Jan</t>
        </is>
      </c>
      <c r="M719" s="6">
        <f>HYPERLINK("https://www.kleinanzeigen.de/s-bestandsliste.html?userId=17864065", "Link")</f>
        <v/>
      </c>
      <c r="N719" s="7" t="n">
        <v>45518.57832175926</v>
      </c>
      <c r="O719" s="3" t="inlineStr">
        <is>
          <t>10.79</t>
        </is>
      </c>
      <c r="P719" t="inlineStr">
        <is>
          <t>Böblingen</t>
        </is>
      </c>
    </row>
    <row r="720">
      <c r="A720" t="inlineStr">
        <is>
          <t>Arrows Magic Stix 7</t>
        </is>
      </c>
      <c r="B720" s="3" t="n">
        <v>490</v>
      </c>
      <c r="C720" s="8" t="inlineStr">
        <is>
          <t>65%</t>
        </is>
      </c>
      <c r="D720" t="inlineStr"/>
      <c r="E720" s="4" t="n">
        <v>30</v>
      </c>
      <c r="F720" t="inlineStr"/>
      <c r="G720" t="inlineStr">
        <is>
          <t>79350 Baden-Württemberg - Sexau</t>
        </is>
      </c>
      <c r="H720" s="5" t="n">
        <v>45518</v>
      </c>
      <c r="I720" t="inlineStr">
        <is>
          <t>Sold</t>
        </is>
      </c>
      <c r="J720" s="6">
        <f>HYPERLINK("https://www.kleinanzeigen.de/s-anzeige/windsurf-mast-490cm-65-carbon/2836614532-230-8288", "Link")</f>
        <v/>
      </c>
      <c r="K720" s="6">
        <f>HYPERLINK("C:\Projects\Kleinanzeigen-Scraper\offer_images\2836614532", "Link")</f>
        <v/>
      </c>
      <c r="L720" t="inlineStr">
        <is>
          <t>Robert</t>
        </is>
      </c>
      <c r="M720" s="6">
        <f>HYPERLINK("https://www.kleinanzeigen.de/s-bestandsliste.html?userId=18951209", "Link")</f>
        <v/>
      </c>
      <c r="N720" s="7" t="n">
        <v>45518.57809027778</v>
      </c>
      <c r="O720" s="3" t="inlineStr">
        <is>
          <t>45.20</t>
        </is>
      </c>
      <c r="P720" t="inlineStr">
        <is>
          <t>Bonndorf</t>
        </is>
      </c>
    </row>
    <row r="721">
      <c r="A721" t="inlineStr">
        <is>
          <t>North Sails Duotone Platinum</t>
        </is>
      </c>
      <c r="B721" s="3" t="n">
        <v>370</v>
      </c>
      <c r="C721" s="8" t="inlineStr"/>
      <c r="D721" t="inlineStr">
        <is>
          <t>RDM</t>
        </is>
      </c>
      <c r="E721" s="4" t="n">
        <v>280</v>
      </c>
      <c r="F721" t="inlineStr"/>
      <c r="G721" t="inlineStr">
        <is>
          <t>Stuttgart</t>
        </is>
      </c>
      <c r="H721" s="5" t="n">
        <v>45517</v>
      </c>
      <c r="I721" t="inlineStr">
        <is>
          <t>Sold</t>
        </is>
      </c>
      <c r="J721" s="6">
        <f>HYPERLINK("https://www.dailydose.de/kleinanzeigen/detail.htm?ai=420806&amp;cf=kk&amp;pg=1&amp;ci=2", "Link")</f>
        <v/>
      </c>
      <c r="K721" s="6">
        <f>HYPERLINK("C:\Projects\Kleinanzeigen-Scraper\offer_images\420806", "Link")</f>
        <v/>
      </c>
      <c r="L721" t="inlineStr">
        <is>
          <t>Roman_96</t>
        </is>
      </c>
      <c r="M721" s="6">
        <f>HYPERLINK("https://www.dailydose.de/kleinanzeigen/user/20905", "Link")</f>
        <v/>
      </c>
      <c r="N721" s="7" t="n">
        <v>45517.57804398148</v>
      </c>
      <c r="O721" s="3" t="inlineStr">
        <is>
          <t>18.71</t>
        </is>
      </c>
      <c r="P721" t="inlineStr">
        <is>
          <t>Böblingen</t>
        </is>
      </c>
    </row>
    <row r="722">
      <c r="A722" t="inlineStr">
        <is>
          <t>Technospar</t>
        </is>
      </c>
      <c r="B722" s="3" t="n">
        <v>370</v>
      </c>
      <c r="C722" s="8" t="inlineStr">
        <is>
          <t>75%</t>
        </is>
      </c>
      <c r="D722" t="inlineStr">
        <is>
          <t>RDM</t>
        </is>
      </c>
      <c r="E722" s="4" t="n">
        <v>130</v>
      </c>
      <c r="F722" t="inlineStr"/>
      <c r="G722" t="inlineStr">
        <is>
          <t>Stuttgart</t>
        </is>
      </c>
      <c r="H722" s="5" t="n">
        <v>45517</v>
      </c>
      <c r="I722" t="inlineStr">
        <is>
          <t>Sold</t>
        </is>
      </c>
      <c r="J722" s="6">
        <f>HYPERLINK("https://www.dailydose.de/kleinanzeigen/detail.htm?ai=420807&amp;cf=kk&amp;pg=1&amp;ci=2", "Link")</f>
        <v/>
      </c>
      <c r="K722" s="6">
        <f>HYPERLINK("C:\Projects\Kleinanzeigen-Scraper\offer_images\420807", "Link")</f>
        <v/>
      </c>
      <c r="L722" t="inlineStr">
        <is>
          <t>Roman_96</t>
        </is>
      </c>
      <c r="M722" s="6">
        <f>HYPERLINK("https://www.dailydose.de/kleinanzeigen/user/20905", "Link")</f>
        <v/>
      </c>
      <c r="N722" s="7" t="n">
        <v>45517.57798611111</v>
      </c>
      <c r="O722" s="3" t="inlineStr">
        <is>
          <t>18.71</t>
        </is>
      </c>
      <c r="P722" t="inlineStr">
        <is>
          <t>Böblingen</t>
        </is>
      </c>
    </row>
    <row r="723">
      <c r="A723" t="inlineStr">
        <is>
          <t>Gun Sails Expert</t>
        </is>
      </c>
      <c r="B723" s="3" t="n">
        <v>430</v>
      </c>
      <c r="C723" s="8" t="inlineStr">
        <is>
          <t>70%</t>
        </is>
      </c>
      <c r="D723" t="inlineStr">
        <is>
          <t>SDM</t>
        </is>
      </c>
      <c r="E723" s="4" t="n">
        <v>120</v>
      </c>
      <c r="F723" t="inlineStr"/>
      <c r="G723" t="inlineStr">
        <is>
          <t>73734 Baden-Württemberg - Esslingen</t>
        </is>
      </c>
      <c r="H723" s="5" t="n">
        <v>45516</v>
      </c>
      <c r="I723" t="inlineStr">
        <is>
          <t>Sold</t>
        </is>
      </c>
      <c r="J723" s="6">
        <f>HYPERLINK("https://www.kleinanzeigen.de/s-anzeige/windsurf-mast-gun-ails-expert-430cm-70-carbon-sdm-windsurfmast/2834953033-230-9070", "Link")</f>
        <v/>
      </c>
      <c r="K723" s="6">
        <f>HYPERLINK("C:\Projects\Kleinanzeigen-Scraper\offer_images\2834953033", "Link")</f>
        <v/>
      </c>
      <c r="L723" t="inlineStr">
        <is>
          <t>Bernd</t>
        </is>
      </c>
      <c r="M723" s="6">
        <f>HYPERLINK("https://www.kleinanzeigen.de/s-bestandsliste.html?userId=14836193", "Link")</f>
        <v/>
      </c>
      <c r="N723" s="7" t="n">
        <v>45516.48449074074</v>
      </c>
      <c r="O723" s="3" t="inlineStr">
        <is>
          <t>24.93</t>
        </is>
      </c>
      <c r="P723" t="inlineStr">
        <is>
          <t>Böblingen</t>
        </is>
      </c>
    </row>
    <row r="724">
      <c r="A724" t="inlineStr">
        <is>
          <t>Lance</t>
        </is>
      </c>
      <c r="B724" s="3" t="n">
        <v>435</v>
      </c>
      <c r="C724" s="8" t="inlineStr">
        <is>
          <t>69%</t>
        </is>
      </c>
      <c r="D724" t="inlineStr"/>
      <c r="E724" s="4" t="n">
        <v>90</v>
      </c>
      <c r="F724" t="inlineStr">
        <is>
          <t>VB</t>
        </is>
      </c>
      <c r="G724" t="inlineStr">
        <is>
          <t>73061 Baden-Württemberg - Ebersbach an der Fils</t>
        </is>
      </c>
      <c r="H724" s="5" t="n">
        <v>45515</v>
      </c>
      <c r="I724" t="inlineStr">
        <is>
          <t>Sold</t>
        </is>
      </c>
      <c r="J724" s="6">
        <f>HYPERLINK("https://www.kleinanzeigen.de/s-anzeige/windsurf-mast-lance-435-cm-60-carbon/2834862471-230-8871", "Link")</f>
        <v/>
      </c>
      <c r="K724" s="6">
        <f>HYPERLINK("C:\Projects\Kleinanzeigen-Scraper\offer_images\2834862471", "Link")</f>
        <v/>
      </c>
      <c r="L724" t="inlineStr">
        <is>
          <t>Josef Hain</t>
        </is>
      </c>
      <c r="M724" s="6">
        <f>HYPERLINK("https://www.kleinanzeigen.de/s-bestandsliste.html?userId=12817569", "Link")</f>
        <v/>
      </c>
      <c r="N724" s="7" t="n">
        <v>45516.48430555555</v>
      </c>
      <c r="O724" s="3" t="inlineStr">
        <is>
          <t>39.46</t>
        </is>
      </c>
      <c r="P724" t="inlineStr">
        <is>
          <t>Böblingen</t>
        </is>
      </c>
    </row>
    <row r="725">
      <c r="A725" t="inlineStr">
        <is>
          <t>Sting</t>
        </is>
      </c>
      <c r="B725" s="3" t="n">
        <v>460</v>
      </c>
      <c r="C725" s="8" t="inlineStr">
        <is>
          <t>30%</t>
        </is>
      </c>
      <c r="D725" t="inlineStr"/>
      <c r="E725" s="4" t="n">
        <v>65</v>
      </c>
      <c r="F725" t="inlineStr">
        <is>
          <t>VB</t>
        </is>
      </c>
      <c r="G725" t="inlineStr">
        <is>
          <t>73061 Baden-Württemberg - Ebersbach an der Fils</t>
        </is>
      </c>
      <c r="H725" s="5" t="n">
        <v>45515</v>
      </c>
      <c r="I725" t="inlineStr">
        <is>
          <t>Sold</t>
        </is>
      </c>
      <c r="J725" s="6">
        <f>HYPERLINK("https://www.kleinanzeigen.de/s-anzeige/sting-460-windsurf-mast-30-carbon-drop-shape/2834855374-230-8871", "Link")</f>
        <v/>
      </c>
      <c r="K725" s="6">
        <f>HYPERLINK("C:\Projects\Kleinanzeigen-Scraper\offer_images\2834855374", "Link")</f>
        <v/>
      </c>
      <c r="L725" t="inlineStr">
        <is>
          <t>Josef Hain</t>
        </is>
      </c>
      <c r="M725" s="6">
        <f>HYPERLINK("https://www.kleinanzeigen.de/s-bestandsliste.html?userId=12817569", "Link")</f>
        <v/>
      </c>
      <c r="N725" s="7" t="n">
        <v>45516.48423611111</v>
      </c>
      <c r="O725" s="3" t="inlineStr">
        <is>
          <t>39.46</t>
        </is>
      </c>
      <c r="P725" t="inlineStr">
        <is>
          <t>Böblingen</t>
        </is>
      </c>
    </row>
    <row r="726">
      <c r="A726" t="inlineStr">
        <is>
          <t>Point7 F100SDM</t>
        </is>
      </c>
      <c r="B726" s="3" t="n">
        <v>460</v>
      </c>
      <c r="C726" s="8" t="inlineStr">
        <is>
          <t>100%</t>
        </is>
      </c>
      <c r="D726" t="inlineStr">
        <is>
          <t>SDM</t>
        </is>
      </c>
      <c r="E726" s="4" t="n">
        <v>340</v>
      </c>
      <c r="F726" t="inlineStr"/>
      <c r="G726" t="inlineStr">
        <is>
          <t>73734 Baden-Württemberg - Esslingen</t>
        </is>
      </c>
      <c r="H726" s="5" t="n">
        <v>45516</v>
      </c>
      <c r="I726" t="inlineStr"/>
      <c r="J726" s="6">
        <f>HYPERLINK("https://www.kleinanzeigen.de/s-anzeige/windsurf-mast-point7-f100sdm-100-carbon-windsurfmast-foil/2834951418-230-9070", "Link")</f>
        <v/>
      </c>
      <c r="K726" s="6">
        <f>HYPERLINK("C:\Projects\Kleinanzeigen-Scraper\offer_images\2834951418", "Link")</f>
        <v/>
      </c>
      <c r="L726" t="inlineStr">
        <is>
          <t>Bernd</t>
        </is>
      </c>
      <c r="M726" s="6">
        <f>HYPERLINK("https://www.kleinanzeigen.de/s-bestandsliste.html?userId=14836193", "Link")</f>
        <v/>
      </c>
      <c r="N726" s="7" t="n">
        <v>45516.48415509259</v>
      </c>
      <c r="O726" s="3" t="inlineStr">
        <is>
          <t>24.93</t>
        </is>
      </c>
      <c r="P726" t="inlineStr">
        <is>
          <t>Böblingen</t>
        </is>
      </c>
    </row>
    <row r="727">
      <c r="A727" t="inlineStr">
        <is>
          <t>Gun Sails</t>
        </is>
      </c>
      <c r="B727" s="3" t="n">
        <v>465</v>
      </c>
      <c r="C727" s="8" t="inlineStr">
        <is>
          <t>30%</t>
        </is>
      </c>
      <c r="D727" t="inlineStr"/>
      <c r="E727" s="4" t="n">
        <v>65</v>
      </c>
      <c r="F727" t="inlineStr">
        <is>
          <t>VB</t>
        </is>
      </c>
      <c r="G727" t="inlineStr">
        <is>
          <t>73061 Baden-Württemberg - Ebersbach an der Fils</t>
        </is>
      </c>
      <c r="H727" s="5" t="n">
        <v>45515</v>
      </c>
      <c r="I727" t="inlineStr">
        <is>
          <t>Sold</t>
        </is>
      </c>
      <c r="J727" s="6">
        <f>HYPERLINK("https://www.kleinanzeigen.de/s-anzeige/windsurf-mast-gunsails-in-465-cm-laenge-30-carbon-/2834865565-230-8871", "Link")</f>
        <v/>
      </c>
      <c r="K727" s="6">
        <f>HYPERLINK("C:\Projects\Kleinanzeigen-Scraper\offer_images\2834865565", "Link")</f>
        <v/>
      </c>
      <c r="L727" t="inlineStr">
        <is>
          <t>Josef Hain</t>
        </is>
      </c>
      <c r="M727" s="6">
        <f>HYPERLINK("https://www.kleinanzeigen.de/s-bestandsliste.html?userId=12817569", "Link")</f>
        <v/>
      </c>
      <c r="N727" s="7" t="n">
        <v>45516.48400462963</v>
      </c>
      <c r="O727" s="3" t="inlineStr">
        <is>
          <t>39.46</t>
        </is>
      </c>
      <c r="P727" t="inlineStr">
        <is>
          <t>Böblingen</t>
        </is>
      </c>
    </row>
    <row r="728">
      <c r="A728" t="inlineStr">
        <is>
          <t>Neil Pryde Wave X6</t>
        </is>
      </c>
      <c r="B728" s="3" t="n">
        <v>400</v>
      </c>
      <c r="C728" s="8" t="inlineStr">
        <is>
          <t>55%</t>
        </is>
      </c>
      <c r="D728" t="inlineStr"/>
      <c r="E728" s="4" t="n">
        <v>100</v>
      </c>
      <c r="F728" t="inlineStr"/>
      <c r="G728" t="inlineStr">
        <is>
          <t>71394 Baden-Württemberg - Kernen im Remstal</t>
        </is>
      </c>
      <c r="H728" s="5" t="n">
        <v>45515</v>
      </c>
      <c r="I728" t="inlineStr">
        <is>
          <t>Sold</t>
        </is>
      </c>
      <c r="J728" s="6">
        <f>HYPERLINK("https://www.kleinanzeigen.de/s-anzeige/windsurf-mast-neil-pryde-wave-x6-400-cm-carbon-55-imcs-19/2834486360-230-8383", "Link")</f>
        <v/>
      </c>
      <c r="K728" s="6">
        <f>HYPERLINK("C:\Projects\Kleinanzeigen-Scraper\offer_images\2834486360", "Link")</f>
        <v/>
      </c>
      <c r="L728" t="inlineStr">
        <is>
          <t>Thomas Bezler</t>
        </is>
      </c>
      <c r="M728" s="6">
        <f>HYPERLINK("https://www.kleinanzeigen.de/s-bestandsliste.html?userId=31103849", "Link")</f>
        <v/>
      </c>
      <c r="N728" s="7" t="n">
        <v>45515.66013888889</v>
      </c>
      <c r="O728" s="3" t="inlineStr">
        <is>
          <t>29.07</t>
        </is>
      </c>
      <c r="P728" t="inlineStr">
        <is>
          <t>Böblingen</t>
        </is>
      </c>
    </row>
    <row r="729">
      <c r="A729" t="inlineStr">
        <is>
          <t>Neil Pryde UXT</t>
        </is>
      </c>
      <c r="B729" s="3" t="n">
        <v>48</v>
      </c>
      <c r="C729" s="8" t="inlineStr"/>
      <c r="D729" t="inlineStr">
        <is>
          <t>SDM</t>
        </is>
      </c>
      <c r="E729" s="4" t="n">
        <v>60</v>
      </c>
      <c r="F729" t="inlineStr"/>
      <c r="G729" t="inlineStr">
        <is>
          <t>71394 Baden-Württemberg - Kernen im Remstal</t>
        </is>
      </c>
      <c r="H729" s="5" t="n">
        <v>45514</v>
      </c>
      <c r="I729" t="inlineStr">
        <is>
          <t>Sold</t>
        </is>
      </c>
      <c r="J729" s="6">
        <f>HYPERLINK("https://www.kleinanzeigen.de/s-anzeige/windsurf-mastverlaengerung-neil-pryde-48-cm-sdm-uxt-aluminium/2833960830-230-8383", "Link")</f>
        <v/>
      </c>
      <c r="K729" s="6">
        <f>HYPERLINK("C:\Projects\Kleinanzeigen-Scraper\offer_images\2833960830", "Link")</f>
        <v/>
      </c>
      <c r="L729" t="inlineStr">
        <is>
          <t>Thomas Bezler</t>
        </is>
      </c>
      <c r="M729" s="6">
        <f>HYPERLINK("https://www.kleinanzeigen.de/s-bestandsliste.html?userId=31103849", "Link")</f>
        <v/>
      </c>
      <c r="N729" s="7" t="n">
        <v>45515.65994212963</v>
      </c>
      <c r="O729" s="3" t="inlineStr">
        <is>
          <t>29.07</t>
        </is>
      </c>
      <c r="P729" t="inlineStr">
        <is>
          <t>Böblingen</t>
        </is>
      </c>
    </row>
    <row r="730">
      <c r="A730" t="inlineStr">
        <is>
          <t>Eckla Surftechnik</t>
        </is>
      </c>
      <c r="B730" s="3" t="n">
        <v>481</v>
      </c>
      <c r="C730" s="8" t="inlineStr"/>
      <c r="D730" t="inlineStr"/>
      <c r="E730" s="4" t="inlineStr">
        <is>
          <t>No price</t>
        </is>
      </c>
      <c r="F730" t="inlineStr"/>
      <c r="G730" t="inlineStr">
        <is>
          <t>78052 Baden-Württemberg - Villingen-Schwenningen</t>
        </is>
      </c>
      <c r="H730" s="5" t="n">
        <v>45512</v>
      </c>
      <c r="I730" t="inlineStr">
        <is>
          <t>Sold</t>
        </is>
      </c>
      <c r="J730" s="6">
        <f>HYPERLINK("https://www.kleinanzeigen.de/s-anzeige/windsurf-mast-laenge-4-81-meter/2831762535-192-9103", "Link")</f>
        <v/>
      </c>
      <c r="K730" s="6">
        <f>HYPERLINK("C:\Projects\Kleinanzeigen-Scraper\offer_images\2831762535", "Link")</f>
        <v/>
      </c>
      <c r="L730" t="inlineStr">
        <is>
          <t>Ruppert</t>
        </is>
      </c>
      <c r="M730" s="6">
        <f>HYPERLINK("https://www.kleinanzeigen.de/s-bestandsliste.html?userId=50597780", "Link")</f>
        <v/>
      </c>
      <c r="N730" s="7" t="n">
        <v>45514.64824074074</v>
      </c>
      <c r="O730" s="3" t="inlineStr">
        <is>
          <t>25.58</t>
        </is>
      </c>
      <c r="P730" t="inlineStr">
        <is>
          <t>Bonndorf</t>
        </is>
      </c>
    </row>
    <row r="731">
      <c r="A731" t="inlineStr">
        <is>
          <t>Reptile Greenmamba</t>
        </is>
      </c>
      <c r="B731" s="3" t="n">
        <v>400</v>
      </c>
      <c r="C731" s="8" t="inlineStr">
        <is>
          <t>80%</t>
        </is>
      </c>
      <c r="D731" t="inlineStr">
        <is>
          <t>SDM</t>
        </is>
      </c>
      <c r="E731" s="4" t="n">
        <v>160</v>
      </c>
      <c r="F731" t="inlineStr"/>
      <c r="G731" t="inlineStr">
        <is>
          <t>Stuttgart</t>
        </is>
      </c>
      <c r="H731" s="5" t="n">
        <v>45513</v>
      </c>
      <c r="I731" t="inlineStr">
        <is>
          <t>Sold</t>
        </is>
      </c>
      <c r="J731" s="6">
        <f>HYPERLINK("https://www.dailydose.de/kleinanzeigen/detail.htm?ai=420627&amp;cf=kk&amp;pg=1&amp;ci=2", "Link")</f>
        <v/>
      </c>
      <c r="K731" s="6">
        <f>HYPERLINK("C:\Projects\Kleinanzeigen-Scraper\offer_images\420627", "Link")</f>
        <v/>
      </c>
      <c r="L731" t="inlineStr">
        <is>
          <t>Roman_96</t>
        </is>
      </c>
      <c r="M731" s="6">
        <f>HYPERLINK("https://www.dailydose.de/kleinanzeigen/user/20905", "Link")</f>
        <v/>
      </c>
      <c r="N731" s="7" t="n">
        <v>45514.36293981481</v>
      </c>
      <c r="O731" s="3" t="inlineStr">
        <is>
          <t>18.71</t>
        </is>
      </c>
      <c r="P731" t="inlineStr">
        <is>
          <t>Böblingen</t>
        </is>
      </c>
    </row>
    <row r="732">
      <c r="A732" t="inlineStr">
        <is>
          <t>Tecno Limits</t>
        </is>
      </c>
      <c r="B732" s="3" t="n">
        <v>450</v>
      </c>
      <c r="C732" s="8" t="inlineStr">
        <is>
          <t>100%</t>
        </is>
      </c>
      <c r="D732" t="inlineStr">
        <is>
          <t>RDM</t>
        </is>
      </c>
      <c r="E732" s="4" t="n">
        <v>190</v>
      </c>
      <c r="F732" t="inlineStr"/>
      <c r="G732" t="inlineStr">
        <is>
          <t>71336  Waiblingen</t>
        </is>
      </c>
      <c r="H732" s="5" t="n">
        <v>45510</v>
      </c>
      <c r="I732" t="inlineStr"/>
      <c r="J732" s="6">
        <f>HYPERLINK("https://www.dailydose.de/kleinanzeigen/detail.htm?ai=420538&amp;cf=kk&amp;pg=4&amp;ci=2", "Link")</f>
        <v/>
      </c>
      <c r="K732" s="6">
        <f>HYPERLINK("C:\Projects\Kleinanzeigen-Scraper\offer_images\420538", "Link")</f>
        <v/>
      </c>
      <c r="L732" t="inlineStr">
        <is>
          <t>Thomas L.</t>
        </is>
      </c>
      <c r="M732" s="6">
        <f>HYPERLINK("https://www.dailydose.de/kleinanzeigen/user/14138", "Link")</f>
        <v/>
      </c>
      <c r="N732" s="7" t="n">
        <v>45511.5615625</v>
      </c>
      <c r="O732" s="3" t="inlineStr">
        <is>
          <t>33.67</t>
        </is>
      </c>
      <c r="P732" t="inlineStr">
        <is>
          <t>Böblingen</t>
        </is>
      </c>
    </row>
    <row r="733">
      <c r="A733" t="inlineStr">
        <is>
          <t>Duotone North Power XT 2.0</t>
        </is>
      </c>
      <c r="B733" s="3" t="n">
        <v>28</v>
      </c>
      <c r="C733" s="8" t="inlineStr"/>
      <c r="D733" t="inlineStr">
        <is>
          <t>SDM</t>
        </is>
      </c>
      <c r="E733" s="4" t="n">
        <v>120</v>
      </c>
      <c r="F733" t="inlineStr"/>
      <c r="G733" t="inlineStr">
        <is>
          <t>67112 Rheinland-Pfalz - Mutterstadt</t>
        </is>
      </c>
      <c r="H733" s="5" t="n">
        <v>45511</v>
      </c>
      <c r="I733" t="inlineStr">
        <is>
          <t>Sold</t>
        </is>
      </c>
      <c r="J733" s="6">
        <f>HYPERLINK("https://www.kleinanzeigen.de/s-anzeige/power-xt-2-0-in-28cm-sdm-duotone-north-windsurfen-foilen/2831223007-230-4958", "Link")</f>
        <v/>
      </c>
      <c r="K733" s="6">
        <f>HYPERLINK("C:\Projects\Kleinanzeigen-Scraper\offer_images\2831223007", "Link")</f>
        <v/>
      </c>
      <c r="L733" t="inlineStr">
        <is>
          <t>Reiner</t>
        </is>
      </c>
      <c r="M733" s="6">
        <f>HYPERLINK("https://www.kleinanzeigen.de/s-bestandsliste.html?userId=16761299", "Link")</f>
        <v/>
      </c>
      <c r="N733" s="7" t="n">
        <v>45511.56</v>
      </c>
      <c r="O733" s="3" t="inlineStr">
        <is>
          <t>48.41</t>
        </is>
      </c>
      <c r="P733" t="inlineStr">
        <is>
          <t>Karlsruhe</t>
        </is>
      </c>
    </row>
    <row r="734">
      <c r="A734" t="inlineStr">
        <is>
          <t>GUN Select</t>
        </is>
      </c>
      <c r="B734" s="3" t="n">
        <v>430</v>
      </c>
      <c r="C734" s="8" t="inlineStr">
        <is>
          <t>100%</t>
        </is>
      </c>
      <c r="D734" t="inlineStr">
        <is>
          <t>SDM</t>
        </is>
      </c>
      <c r="E734" s="4" t="n">
        <v>240</v>
      </c>
      <c r="F734" t="inlineStr"/>
      <c r="G734" t="inlineStr">
        <is>
          <t>67112 Rheinland-Pfalz - Mutterstadt</t>
        </is>
      </c>
      <c r="H734" s="5" t="n">
        <v>45511</v>
      </c>
      <c r="I734" t="inlineStr">
        <is>
          <t>Sold</t>
        </is>
      </c>
      <c r="J734" s="6">
        <f>HYPERLINK("https://www.kleinanzeigen.de/s-anzeige/mast-430-sdm-cc-100-carbon-gun-select-windsurfen/2831194306-230-4958", "Link")</f>
        <v/>
      </c>
      <c r="K734" s="6">
        <f>HYPERLINK("C:\Projects\Kleinanzeigen-Scraper\offer_images\2831194306", "Link")</f>
        <v/>
      </c>
      <c r="L734" t="inlineStr">
        <is>
          <t>Reiner</t>
        </is>
      </c>
      <c r="M734" s="6">
        <f>HYPERLINK("https://www.kleinanzeigen.de/s-bestandsliste.html?userId=16761299", "Link")</f>
        <v/>
      </c>
      <c r="N734" s="7" t="n">
        <v>45511.55947916667</v>
      </c>
      <c r="O734" s="3" t="inlineStr">
        <is>
          <t>48.41</t>
        </is>
      </c>
      <c r="P734" t="inlineStr">
        <is>
          <t>Karlsruhe</t>
        </is>
      </c>
    </row>
    <row r="735">
      <c r="A735" t="inlineStr">
        <is>
          <t>Gun Sails</t>
        </is>
      </c>
      <c r="B735" s="3" t="n">
        <v>30</v>
      </c>
      <c r="C735" s="8" t="inlineStr"/>
      <c r="D735" t="inlineStr"/>
      <c r="E735" s="4" t="n">
        <v>10</v>
      </c>
      <c r="F735" t="inlineStr"/>
      <c r="G735" t="inlineStr">
        <is>
          <t>72768 Baden-Württemberg - Reutlingen</t>
        </is>
      </c>
      <c r="H735" s="5" t="n">
        <v>45508</v>
      </c>
      <c r="I735" t="inlineStr">
        <is>
          <t>Sold</t>
        </is>
      </c>
      <c r="J735" s="6">
        <f>HYPERLINK("https://www.kleinanzeigen.de/s-anzeige/windsurf-mastverlaengerung-gun-sails-30-cm/2829330409-230-9348", "Link")</f>
        <v/>
      </c>
      <c r="K735" s="6">
        <f>HYPERLINK("C:\Projects\Kleinanzeigen-Scraper\offer_images\2829330409", "Link")</f>
        <v/>
      </c>
      <c r="L735" t="inlineStr">
        <is>
          <t>Ralph Saalbach</t>
        </is>
      </c>
      <c r="M735" s="6">
        <f>HYPERLINK("https://www.kleinanzeigen.de/s-bestandsliste.html?userId=17144438", "Link")</f>
        <v/>
      </c>
      <c r="N735" s="7" t="n">
        <v>45509.55427083333</v>
      </c>
      <c r="O735" s="3" t="inlineStr">
        <is>
          <t>22.53</t>
        </is>
      </c>
      <c r="P735" t="inlineStr">
        <is>
          <t>Böblingen</t>
        </is>
      </c>
    </row>
    <row r="736">
      <c r="A736" t="inlineStr">
        <is>
          <t>Point 7</t>
        </is>
      </c>
      <c r="B736" s="3" t="n">
        <v>490</v>
      </c>
      <c r="C736" s="8" t="inlineStr">
        <is>
          <t>C100</t>
        </is>
      </c>
      <c r="D736" t="inlineStr">
        <is>
          <t>SDM</t>
        </is>
      </c>
      <c r="E736" s="4" t="n">
        <v>200</v>
      </c>
      <c r="F736" t="inlineStr"/>
      <c r="G736" t="inlineStr">
        <is>
          <t>76307 Karlsbad</t>
        </is>
      </c>
      <c r="H736" s="5" t="n">
        <v>45506</v>
      </c>
      <c r="I736" t="inlineStr"/>
      <c r="J736" s="6">
        <f>HYPERLINK("https://www.dailydose.de/kleinanzeigen/detail.htm?ai=420303&amp;cf=kk&amp;pg=4&amp;ci=2", "Link")</f>
        <v/>
      </c>
      <c r="K736" s="6">
        <f>HYPERLINK("C:\Projects\Kleinanzeigen-Scraper\offer_images\420303", "Link")</f>
        <v/>
      </c>
      <c r="L736" t="inlineStr">
        <is>
          <t>Yufkafication</t>
        </is>
      </c>
      <c r="M736" s="6">
        <f>HYPERLINK("https://www.dailydose.de/kleinanzeigen/user/26243", "Link")</f>
        <v/>
      </c>
      <c r="N736" s="7" t="n">
        <v>45507.43608796296</v>
      </c>
      <c r="O736" s="3" t="inlineStr">
        <is>
          <t>13.72</t>
        </is>
      </c>
      <c r="P736" t="inlineStr">
        <is>
          <t>Karlsruhe</t>
        </is>
      </c>
    </row>
    <row r="737">
      <c r="A737" t="inlineStr">
        <is>
          <t>Point 7</t>
        </is>
      </c>
      <c r="B737" s="3" t="n">
        <v>430</v>
      </c>
      <c r="C737" s="8" t="inlineStr">
        <is>
          <t>C100</t>
        </is>
      </c>
      <c r="D737" t="inlineStr">
        <is>
          <t>SDM</t>
        </is>
      </c>
      <c r="E737" s="4" t="n">
        <v>200</v>
      </c>
      <c r="F737" t="inlineStr"/>
      <c r="G737" t="inlineStr">
        <is>
          <t>76307 Karlsbad</t>
        </is>
      </c>
      <c r="H737" s="5" t="n">
        <v>45506</v>
      </c>
      <c r="I737" t="inlineStr"/>
      <c r="J737" s="6">
        <f>HYPERLINK("https://www.dailydose.de/kleinanzeigen/detail.htm?ai=420304&amp;cf=kk&amp;pg=4&amp;ci=2", "Link")</f>
        <v/>
      </c>
      <c r="K737" s="6">
        <f>HYPERLINK("C:\Projects\Kleinanzeigen-Scraper\offer_images\420304", "Link")</f>
        <v/>
      </c>
      <c r="L737" t="inlineStr">
        <is>
          <t>Yufkafication</t>
        </is>
      </c>
      <c r="M737" s="6">
        <f>HYPERLINK("https://www.dailydose.de/kleinanzeigen/user/26243", "Link")</f>
        <v/>
      </c>
      <c r="N737" s="7" t="n">
        <v>45507.43561342593</v>
      </c>
      <c r="O737" s="3" t="inlineStr">
        <is>
          <t>13.72</t>
        </is>
      </c>
      <c r="P737" t="inlineStr">
        <is>
          <t>Karlsruhe</t>
        </is>
      </c>
    </row>
    <row r="738">
      <c r="A738" t="inlineStr">
        <is>
          <t>North Sails</t>
        </is>
      </c>
      <c r="B738" s="3" t="n">
        <v>490</v>
      </c>
      <c r="C738" s="8" t="inlineStr"/>
      <c r="D738" t="inlineStr"/>
      <c r="E738" s="4" t="n">
        <v>20</v>
      </c>
      <c r="F738" t="inlineStr">
        <is>
          <t>VB</t>
        </is>
      </c>
      <c r="G738" t="inlineStr">
        <is>
          <t>69221 Baden-Württemberg - Dossenheim</t>
        </is>
      </c>
      <c r="H738" s="5" t="n">
        <v>45506</v>
      </c>
      <c r="I738" t="inlineStr">
        <is>
          <t>Sold</t>
        </is>
      </c>
      <c r="J738" s="6">
        <f>HYPERLINK("https://www.kleinanzeigen.de/s-anzeige/mast-windsurfen-490-north-sails-carbon-sting-30/2827446716-230-9168", "Link")</f>
        <v/>
      </c>
      <c r="K738" s="6">
        <f>HYPERLINK("C:\Projects\Kleinanzeigen-Scraper\offer_images\2827446716", "Link")</f>
        <v/>
      </c>
      <c r="L738" t="inlineStr">
        <is>
          <t>Arjen Dekker</t>
        </is>
      </c>
      <c r="M738" s="6">
        <f>HYPERLINK("https://www.kleinanzeigen.de/s-bestandsliste.html?userId=17510868", "Link")</f>
        <v/>
      </c>
      <c r="N738" s="7" t="n">
        <v>45507.43356481481</v>
      </c>
      <c r="O738" s="3" t="inlineStr">
        <is>
          <t>53.20</t>
        </is>
      </c>
      <c r="P738" t="inlineStr">
        <is>
          <t>Karlsruhe</t>
        </is>
      </c>
    </row>
    <row r="739">
      <c r="A739" t="inlineStr">
        <is>
          <t>Gun Sails Energy C 35</t>
        </is>
      </c>
      <c r="B739" s="3" t="n">
        <v>430</v>
      </c>
      <c r="C739" s="8" t="inlineStr"/>
      <c r="D739" t="inlineStr"/>
      <c r="E739" s="4" t="n">
        <v>60</v>
      </c>
      <c r="F739" t="inlineStr">
        <is>
          <t>VB</t>
        </is>
      </c>
      <c r="G739" t="inlineStr">
        <is>
          <t>69221 Baden-Württemberg - Dossenheim</t>
        </is>
      </c>
      <c r="H739" s="5" t="n">
        <v>45506</v>
      </c>
      <c r="I739" t="inlineStr">
        <is>
          <t>Sold</t>
        </is>
      </c>
      <c r="J739" s="6">
        <f>HYPERLINK("https://www.kleinanzeigen.de/s-anzeige/mast-windsurfen-430-gun-sails-carbon-energy-c-35/2827451045-230-9168", "Link")</f>
        <v/>
      </c>
      <c r="K739" s="6">
        <f>HYPERLINK("C:\Projects\Kleinanzeigen-Scraper\offer_images\2827451045", "Link")</f>
        <v/>
      </c>
      <c r="L739" t="inlineStr">
        <is>
          <t>Arjen Dekker</t>
        </is>
      </c>
      <c r="M739" s="6">
        <f>HYPERLINK("https://www.kleinanzeigen.de/s-bestandsliste.html?userId=17510868", "Link")</f>
        <v/>
      </c>
      <c r="N739" s="7" t="n">
        <v>45507.43322916667</v>
      </c>
      <c r="O739" s="3" t="inlineStr">
        <is>
          <t>53.20</t>
        </is>
      </c>
      <c r="P739" t="inlineStr">
        <is>
          <t>Karlsruhe</t>
        </is>
      </c>
    </row>
    <row r="740">
      <c r="A740" t="inlineStr">
        <is>
          <t>Gaastra</t>
        </is>
      </c>
      <c r="B740" s="3" t="n">
        <v>430</v>
      </c>
      <c r="C740" s="8" t="inlineStr">
        <is>
          <t>75%</t>
        </is>
      </c>
      <c r="D740" t="inlineStr">
        <is>
          <t>RDM</t>
        </is>
      </c>
      <c r="E740" s="4" t="n">
        <v>280</v>
      </c>
      <c r="F740" t="inlineStr"/>
      <c r="G740" t="inlineStr">
        <is>
          <t>Neuenburg am Rhein</t>
        </is>
      </c>
      <c r="H740" s="5" t="n">
        <v>45102</v>
      </c>
      <c r="I740" t="inlineStr">
        <is>
          <t>Sold</t>
        </is>
      </c>
      <c r="J740" s="6">
        <f>HYPERLINK("https://www.dailydose.de/kleinanzeigen/detail.htm?ai=399560&amp;cf=kk&amp;pg=8&amp;ci=2", "Link")</f>
        <v/>
      </c>
      <c r="K740" s="6">
        <f>HYPERLINK("C:\Projects\Kleinanzeigen-Scraper\offer_images\399560", "Link")</f>
        <v/>
      </c>
      <c r="L740" t="inlineStr">
        <is>
          <t>Hubert_24</t>
        </is>
      </c>
      <c r="M740" s="6">
        <f>HYPERLINK("https://www.dailydose.de/kleinanzeigen/user/10744", "Link")</f>
        <v/>
      </c>
      <c r="N740" s="7" t="n">
        <v>45505.94826388889</v>
      </c>
      <c r="O740" s="3" t="inlineStr">
        <is>
          <t>57.84</t>
        </is>
      </c>
      <c r="P740" t="inlineStr">
        <is>
          <t>Bonndorf</t>
        </is>
      </c>
    </row>
    <row r="741">
      <c r="A741" t="inlineStr">
        <is>
          <t>Gaastra</t>
        </is>
      </c>
      <c r="B741" s="3" t="n">
        <v>430</v>
      </c>
      <c r="C741" s="8" t="inlineStr">
        <is>
          <t>75%</t>
        </is>
      </c>
      <c r="D741" t="inlineStr">
        <is>
          <t>RDM</t>
        </is>
      </c>
      <c r="E741" s="4" t="n">
        <v>280</v>
      </c>
      <c r="F741" t="inlineStr"/>
      <c r="G741" t="inlineStr">
        <is>
          <t>Neuenburg am Rhein</t>
        </is>
      </c>
      <c r="H741" s="5" t="n">
        <v>45102</v>
      </c>
      <c r="I741" t="inlineStr">
        <is>
          <t>Sold</t>
        </is>
      </c>
      <c r="J741" s="6">
        <f>HYPERLINK("https://www.dailydose.de/kleinanzeigen/detail.htm?ai=399560&amp;cf=kk&amp;pg=8&amp;ci=2", "Link")</f>
        <v/>
      </c>
      <c r="K741" s="6">
        <f>HYPERLINK("C:\Projects\Kleinanzeigen-Scraper\offer_images\399560", "Link")</f>
        <v/>
      </c>
      <c r="L741" t="inlineStr">
        <is>
          <t>Hubert_24</t>
        </is>
      </c>
      <c r="M741" s="6">
        <f>HYPERLINK("https://www.dailydose.de/kleinanzeigen/user/10744", "Link")</f>
        <v/>
      </c>
      <c r="N741" s="7" t="n">
        <v>45505.94826388889</v>
      </c>
      <c r="O741" s="3" t="inlineStr">
        <is>
          <t>57.84</t>
        </is>
      </c>
      <c r="P741" t="inlineStr">
        <is>
          <t>Bonndorf</t>
        </is>
      </c>
    </row>
    <row r="742">
      <c r="A742" t="inlineStr">
        <is>
          <t>Gaastra Gold</t>
        </is>
      </c>
      <c r="B742" s="3" t="n">
        <v>550</v>
      </c>
      <c r="C742" s="8" t="inlineStr">
        <is>
          <t>100%</t>
        </is>
      </c>
      <c r="D742" t="inlineStr">
        <is>
          <t>SDM</t>
        </is>
      </c>
      <c r="E742" s="4" t="n">
        <v>120</v>
      </c>
      <c r="F742" t="inlineStr">
        <is>
          <t>VB</t>
        </is>
      </c>
      <c r="G742" t="inlineStr">
        <is>
          <t>Karlsruhe</t>
        </is>
      </c>
      <c r="H742" s="5" t="n">
        <v>45123</v>
      </c>
      <c r="I742" t="inlineStr">
        <is>
          <t>Sold</t>
        </is>
      </c>
      <c r="J742" s="6">
        <f>HYPERLINK("https://www.dailydose.de/kleinanzeigen/detail.htm?ai=400927&amp;cf=kk&amp;pg=8&amp;ci=2", "Link")</f>
        <v/>
      </c>
      <c r="K742" s="6">
        <f>HYPERLINK("C:\Projects\Kleinanzeigen-Scraper\offer_images\400927", "Link")</f>
        <v/>
      </c>
      <c r="L742" t="inlineStr">
        <is>
          <t>MR_KNISTER</t>
        </is>
      </c>
      <c r="M742" s="6">
        <f>HYPERLINK("https://www.dailydose.de/kleinanzeigen/user/17227", "Link")</f>
        <v/>
      </c>
      <c r="N742" s="7" t="n">
        <v>45505.946875</v>
      </c>
      <c r="O742" s="3" t="inlineStr">
        <is>
          <t>0.70</t>
        </is>
      </c>
      <c r="P742" t="inlineStr">
        <is>
          <t>Karlsruhe</t>
        </is>
      </c>
    </row>
    <row r="743">
      <c r="A743" t="inlineStr">
        <is>
          <t>Gaastra Gold</t>
        </is>
      </c>
      <c r="B743" s="3" t="n">
        <v>550</v>
      </c>
      <c r="C743" s="8" t="inlineStr">
        <is>
          <t>100%</t>
        </is>
      </c>
      <c r="D743" t="inlineStr">
        <is>
          <t>SDM</t>
        </is>
      </c>
      <c r="E743" s="4" t="n">
        <v>120</v>
      </c>
      <c r="F743" t="inlineStr">
        <is>
          <t>VB</t>
        </is>
      </c>
      <c r="G743" t="inlineStr">
        <is>
          <t>Karlsruhe</t>
        </is>
      </c>
      <c r="H743" s="5" t="n">
        <v>45123</v>
      </c>
      <c r="I743" t="inlineStr">
        <is>
          <t>Sold</t>
        </is>
      </c>
      <c r="J743" s="6">
        <f>HYPERLINK("https://www.dailydose.de/kleinanzeigen/detail.htm?ai=400927&amp;cf=kk&amp;pg=8&amp;ci=2", "Link")</f>
        <v/>
      </c>
      <c r="K743" s="6">
        <f>HYPERLINK("C:\Projects\Kleinanzeigen-Scraper\offer_images\400927", "Link")</f>
        <v/>
      </c>
      <c r="L743" t="inlineStr">
        <is>
          <t>MR_KNISTER</t>
        </is>
      </c>
      <c r="M743" s="6">
        <f>HYPERLINK("https://www.dailydose.de/kleinanzeigen/user/17227", "Link")</f>
        <v/>
      </c>
      <c r="N743" s="7" t="n">
        <v>45505.946875</v>
      </c>
      <c r="O743" s="3" t="inlineStr">
        <is>
          <t>0.70</t>
        </is>
      </c>
      <c r="P743" t="inlineStr">
        <is>
          <t>Karlsruhe</t>
        </is>
      </c>
    </row>
    <row r="744">
      <c r="A744" t="inlineStr">
        <is>
          <t>Neilpryde X6 and X3</t>
        </is>
      </c>
      <c r="B744" s="3" t="n">
        <v>400</v>
      </c>
      <c r="C744" s="8" t="inlineStr"/>
      <c r="D744" t="inlineStr">
        <is>
          <t>SDM</t>
        </is>
      </c>
      <c r="E744" s="4" t="n">
        <v>40</v>
      </c>
      <c r="F744" t="inlineStr"/>
      <c r="G744" t="inlineStr">
        <is>
          <t>Stuttgart</t>
        </is>
      </c>
      <c r="H744" s="5" t="n">
        <v>45504</v>
      </c>
      <c r="I744" t="inlineStr">
        <is>
          <t>Sold</t>
        </is>
      </c>
      <c r="J744" s="6">
        <f>HYPERLINK("https://www.dailydose.de/kleinanzeigen/detail.htm?ai=420241&amp;cf=kk&amp;pg=1&amp;ci=2", "Link")</f>
        <v/>
      </c>
      <c r="K744" s="6">
        <f>HYPERLINK("C:\Projects\Kleinanzeigen-Scraper\offer_images\420241", "Link")</f>
        <v/>
      </c>
      <c r="L744" t="inlineStr">
        <is>
          <t>Roman_96</t>
        </is>
      </c>
      <c r="M744" s="6">
        <f>HYPERLINK("https://www.dailydose.de/kleinanzeigen/user/20905", "Link")</f>
        <v/>
      </c>
      <c r="N744" s="7" t="n">
        <v>45505.94686342592</v>
      </c>
      <c r="O744" s="3" t="inlineStr">
        <is>
          <t>18.71</t>
        </is>
      </c>
      <c r="P744" t="inlineStr">
        <is>
          <t>Böblingen</t>
        </is>
      </c>
    </row>
    <row r="745">
      <c r="A745" t="inlineStr">
        <is>
          <t>Point 7 P7 C80</t>
        </is>
      </c>
      <c r="B745" s="3" t="n">
        <v>430</v>
      </c>
      <c r="C745" s="8" t="inlineStr"/>
      <c r="D745" t="inlineStr"/>
      <c r="E745" s="4" t="inlineStr">
        <is>
          <t>180 FP</t>
        </is>
      </c>
      <c r="F745" t="inlineStr"/>
      <c r="G745" t="inlineStr">
        <is>
          <t>Spanien</t>
        </is>
      </c>
      <c r="H745" s="5" t="n">
        <v>45419</v>
      </c>
      <c r="I745" t="inlineStr">
        <is>
          <t>Sold</t>
        </is>
      </c>
      <c r="J745" s="6">
        <f>HYPERLINK("https://www.dailydose.de/kleinanzeigen/detail.htm?ai=415607&amp;cf=kk&amp;pg=5&amp;ci=2", "Link")</f>
        <v/>
      </c>
      <c r="K745" s="6">
        <f>HYPERLINK("C:\Projects\Kleinanzeigen-Scraper\offer_images\415607", "Link")</f>
        <v/>
      </c>
      <c r="L745" t="inlineStr">
        <is>
          <t>Peter_149</t>
        </is>
      </c>
      <c r="M745" s="6">
        <f>HYPERLINK("https://www.dailydose.de/kleinanzeigen/user/18897", "Link")</f>
        <v/>
      </c>
      <c r="N745" s="7" t="n">
        <v>45505.9465162037</v>
      </c>
      <c r="O745" s="3" t="inlineStr">
        <is>
          <t>618.16</t>
        </is>
      </c>
      <c r="P745" t="inlineStr">
        <is>
          <t>Köln</t>
        </is>
      </c>
    </row>
    <row r="746">
      <c r="A746" t="inlineStr">
        <is>
          <t>NeilPryde X3</t>
        </is>
      </c>
      <c r="B746" s="3" t="n">
        <v>460</v>
      </c>
      <c r="C746" s="8" t="inlineStr"/>
      <c r="D746" t="inlineStr"/>
      <c r="E746" s="4" t="n">
        <v>180</v>
      </c>
      <c r="F746" t="inlineStr"/>
      <c r="G746" t="inlineStr">
        <is>
          <t>71065 Sindelfingen</t>
        </is>
      </c>
      <c r="H746" s="5" t="n">
        <v>45454</v>
      </c>
      <c r="I746" t="inlineStr"/>
      <c r="J746" s="6">
        <f>HYPERLINK("https://www.dailydose.de/kleinanzeigen/detail.htm?ai=417704&amp;cf=kk&amp;pg=5&amp;ci=2", "Link")</f>
        <v/>
      </c>
      <c r="K746" s="6">
        <f>HYPERLINK("C:\Projects\Kleinanzeigen-Scraper\offer_images\417704", "Link")</f>
        <v/>
      </c>
      <c r="L746" t="inlineStr">
        <is>
          <t>Hartmut Pfeffer</t>
        </is>
      </c>
      <c r="M746" s="6">
        <f>HYPERLINK("https://www.dailydose.de/kleinanzeigen/user/10006", "Link")</f>
        <v/>
      </c>
      <c r="N746" s="7" t="n">
        <v>45502.78711805555</v>
      </c>
      <c r="O746" s="3" t="inlineStr">
        <is>
          <t>6.71</t>
        </is>
      </c>
      <c r="P746" t="inlineStr">
        <is>
          <t>Böblingen</t>
        </is>
      </c>
    </row>
    <row r="747">
      <c r="A747" t="inlineStr"/>
      <c r="B747" s="3" t="n">
        <v>430</v>
      </c>
      <c r="C747" s="8" t="inlineStr">
        <is>
          <t>50%</t>
        </is>
      </c>
      <c r="D747" t="inlineStr">
        <is>
          <t>RDM</t>
        </is>
      </c>
      <c r="E747" s="4" t="n">
        <v>240</v>
      </c>
      <c r="F747" t="inlineStr"/>
      <c r="G747" t="inlineStr">
        <is>
          <t>68642 Bürstadt</t>
        </is>
      </c>
      <c r="H747" s="5" t="n">
        <v>45428</v>
      </c>
      <c r="I747" t="inlineStr">
        <is>
          <t>Sold</t>
        </is>
      </c>
      <c r="J747" s="6">
        <f>HYPERLINK("https://www.dailydose.de/kleinanzeigen/detail.htm?ai=416096&amp;cf=kk&amp;pg=5&amp;ci=2", "Link")</f>
        <v/>
      </c>
      <c r="K747" s="6">
        <f>HYPERLINK("C:\Projects\Kleinanzeigen-Scraper\offer_images\416096", "Link")</f>
        <v/>
      </c>
      <c r="L747" t="inlineStr">
        <is>
          <t>Christian_193</t>
        </is>
      </c>
      <c r="M747" s="6">
        <f>HYPERLINK("https://www.dailydose.de/kleinanzeigen/user/24517", "Link")</f>
        <v/>
      </c>
      <c r="N747" s="7" t="n">
        <v>45502.78663194444</v>
      </c>
      <c r="O747" s="3" t="inlineStr">
        <is>
          <t>70.29</t>
        </is>
      </c>
      <c r="P747" t="inlineStr">
        <is>
          <t>Karlsruhe</t>
        </is>
      </c>
    </row>
    <row r="748">
      <c r="A748" t="inlineStr">
        <is>
          <t>Neilpryde X3</t>
        </is>
      </c>
      <c r="B748" s="3" t="n">
        <v>430</v>
      </c>
      <c r="C748" s="8" t="inlineStr">
        <is>
          <t>35%</t>
        </is>
      </c>
      <c r="D748" t="inlineStr">
        <is>
          <t>SDM</t>
        </is>
      </c>
      <c r="E748" s="4" t="n">
        <v>130</v>
      </c>
      <c r="F748" t="inlineStr"/>
      <c r="G748" t="inlineStr">
        <is>
          <t>78187 Geisingen</t>
        </is>
      </c>
      <c r="H748" s="5" t="n">
        <v>45487</v>
      </c>
      <c r="I748" t="inlineStr">
        <is>
          <t>Sold</t>
        </is>
      </c>
      <c r="J748" s="6">
        <f>HYPERLINK("https://www.dailydose.de/kleinanzeigen/detail.htm?ai=419407&amp;cf=kk&amp;pg=2&amp;ci=2", "Link")</f>
        <v/>
      </c>
      <c r="K748" s="6">
        <f>HYPERLINK("C:\Projects\Kleinanzeigen-Scraper\offer_images\419407", "Link")</f>
        <v/>
      </c>
      <c r="L748" t="inlineStr">
        <is>
          <t>surferto</t>
        </is>
      </c>
      <c r="M748" s="6">
        <f>HYPERLINK("https://www.dailydose.de/kleinanzeigen/user/23808", "Link")</f>
        <v/>
      </c>
      <c r="N748" s="7" t="n">
        <v>45502.78644675926</v>
      </c>
      <c r="O748" s="3" t="inlineStr">
        <is>
          <t>24.74</t>
        </is>
      </c>
      <c r="P748" t="inlineStr">
        <is>
          <t>Bonndorf</t>
        </is>
      </c>
    </row>
    <row r="749">
      <c r="A749" t="inlineStr">
        <is>
          <t>Naish Formula</t>
        </is>
      </c>
      <c r="B749" s="3" t="n">
        <v>490</v>
      </c>
      <c r="C749" s="8" t="inlineStr">
        <is>
          <t>75%</t>
        </is>
      </c>
      <c r="D749" t="inlineStr"/>
      <c r="E749" s="4" t="n">
        <v>90</v>
      </c>
      <c r="F749" t="inlineStr"/>
      <c r="G749" t="inlineStr">
        <is>
          <t>76227 Karlsruhe</t>
        </is>
      </c>
      <c r="H749" s="5" t="n">
        <v>45464</v>
      </c>
      <c r="I749" t="inlineStr"/>
      <c r="J749" s="6">
        <f>HYPERLINK("https://www.dailydose.de/kleinanzeigen/detail.htm?ai=418222&amp;cf=kk&amp;pg=5&amp;ci=2", "Link")</f>
        <v/>
      </c>
      <c r="K749" s="6">
        <f>HYPERLINK("C:\Projects\Kleinanzeigen-Scraper\offer_images\418222", "Link")</f>
        <v/>
      </c>
      <c r="L749" t="inlineStr">
        <is>
          <t>hary</t>
        </is>
      </c>
      <c r="M749" s="6">
        <f>HYPERLINK("https://www.dailydose.de/kleinanzeigen/user/9945", "Link")</f>
        <v/>
      </c>
      <c r="N749" s="7" t="n">
        <v>45502.78637731481</v>
      </c>
      <c r="O749" s="3" t="inlineStr">
        <is>
          <t>6.23</t>
        </is>
      </c>
      <c r="P749" t="inlineStr">
        <is>
          <t>Karlsruhe</t>
        </is>
      </c>
    </row>
    <row r="750">
      <c r="A750" t="inlineStr">
        <is>
          <t>Xspar Drop Shape</t>
        </is>
      </c>
      <c r="B750" s="3" t="n">
        <v>370</v>
      </c>
      <c r="C750" s="8" t="n">
        <v>50</v>
      </c>
      <c r="D750" t="inlineStr">
        <is>
          <t>SDM</t>
        </is>
      </c>
      <c r="E750" s="4" t="n">
        <v>50</v>
      </c>
      <c r="F750" t="inlineStr"/>
      <c r="G750" t="inlineStr">
        <is>
          <t>71139 Ehningen</t>
        </is>
      </c>
      <c r="H750" s="5" t="n">
        <v>45482</v>
      </c>
      <c r="I750" t="inlineStr"/>
      <c r="J750" s="6">
        <f>HYPERLINK("https://www.dailydose.de/kleinanzeigen/detail.htm?ai=419078&amp;cf=kk&amp;pg=5&amp;ci=2", "Link")</f>
        <v/>
      </c>
      <c r="K750" s="6">
        <f>HYPERLINK("C:\Projects\Kleinanzeigen-Scraper\offer_images\419078", "Link")</f>
        <v/>
      </c>
      <c r="L750" t="inlineStr">
        <is>
          <t>Noah Hehr</t>
        </is>
      </c>
      <c r="M750" s="6">
        <f>HYPERLINK("https://www.dailydose.de/kleinanzeigen/user/17903", "Link")</f>
        <v/>
      </c>
      <c r="N750" s="7" t="n">
        <v>45502.78527777778</v>
      </c>
      <c r="O750" s="3" t="inlineStr">
        <is>
          <t>3.02</t>
        </is>
      </c>
      <c r="P750" t="inlineStr">
        <is>
          <t>Böblingen</t>
        </is>
      </c>
    </row>
    <row r="751">
      <c r="A751" t="inlineStr">
        <is>
          <t>NeilPryde Matrix X3</t>
        </is>
      </c>
      <c r="B751" s="3" t="n">
        <v>490</v>
      </c>
      <c r="C751" s="8" t="inlineStr"/>
      <c r="D751" t="inlineStr"/>
      <c r="E751" s="4" t="n">
        <v>265</v>
      </c>
      <c r="F751" t="inlineStr"/>
      <c r="G751" t="inlineStr">
        <is>
          <t>71706 Markgröningen</t>
        </is>
      </c>
      <c r="H751" s="5" t="n">
        <v>45454</v>
      </c>
      <c r="I751" t="inlineStr"/>
      <c r="J751" s="6">
        <f>HYPERLINK("https://www.dailydose.de/kleinanzeigen/detail.htm?ai=417692&amp;cf=kk&amp;pg=5&amp;ci=2", "Link")</f>
        <v/>
      </c>
      <c r="K751" s="6">
        <f>HYPERLINK("C:\Projects\Kleinanzeigen-Scraper\offer_images\417692", "Link")</f>
        <v/>
      </c>
      <c r="L751" t="inlineStr">
        <is>
          <t>UweOsw</t>
        </is>
      </c>
      <c r="M751" s="6">
        <f>HYPERLINK("https://www.dailydose.de/kleinanzeigen/user/25767", "Link")</f>
        <v/>
      </c>
      <c r="N751" s="7" t="n">
        <v>45502.78511574074</v>
      </c>
      <c r="O751" s="3" t="inlineStr">
        <is>
          <t>27.05</t>
        </is>
      </c>
      <c r="P751" t="inlineStr">
        <is>
          <t>Böblingen</t>
        </is>
      </c>
    </row>
    <row r="752">
      <c r="A752" t="inlineStr">
        <is>
          <t>Severne Apex Pro</t>
        </is>
      </c>
      <c r="B752" s="3" t="n">
        <v>460</v>
      </c>
      <c r="C752" s="8" t="inlineStr"/>
      <c r="D752" t="inlineStr">
        <is>
          <t>SDM</t>
        </is>
      </c>
      <c r="E752" s="4" t="n">
        <v>250</v>
      </c>
      <c r="F752" t="inlineStr"/>
      <c r="G752" t="inlineStr">
        <is>
          <t>69412 Eberbach</t>
        </is>
      </c>
      <c r="H752" s="5" t="n">
        <v>45490</v>
      </c>
      <c r="I752" t="inlineStr">
        <is>
          <t>Sold</t>
        </is>
      </c>
      <c r="J752" s="6">
        <f>HYPERLINK("https://www.dailydose.de/kleinanzeigen/detail.htm?ai=419566&amp;cf=kk&amp;pg=2&amp;ci=2", "Link")</f>
        <v/>
      </c>
      <c r="K752" s="6">
        <f>HYPERLINK("C:\Projects\Kleinanzeigen-Scraper\offer_images\419566", "Link")</f>
        <v/>
      </c>
      <c r="L752" t="inlineStr">
        <is>
          <t>Hans-J_188</t>
        </is>
      </c>
      <c r="M752" s="6">
        <f>HYPERLINK("https://www.dailydose.de/kleinanzeigen/user/9918", "Link")</f>
        <v/>
      </c>
      <c r="N752" s="7" t="n">
        <v>45502.78503472222</v>
      </c>
      <c r="O752" s="3" t="inlineStr">
        <is>
          <t>68.32</t>
        </is>
      </c>
      <c r="P752" t="inlineStr">
        <is>
          <t>Karlsruhe</t>
        </is>
      </c>
    </row>
    <row r="753">
      <c r="A753" t="inlineStr">
        <is>
          <t>Gun Select</t>
        </is>
      </c>
      <c r="B753" s="3" t="inlineStr">
        <is>
          <t>200-250</t>
        </is>
      </c>
      <c r="C753" s="8" t="inlineStr"/>
      <c r="D753" t="inlineStr"/>
      <c r="E753" s="4" t="n">
        <v>350</v>
      </c>
      <c r="F753" t="inlineStr"/>
      <c r="G753" t="inlineStr">
        <is>
          <t>71065 Sindelfingen</t>
        </is>
      </c>
      <c r="H753" s="5" t="n">
        <v>45454</v>
      </c>
      <c r="I753" t="inlineStr"/>
      <c r="J753" s="6">
        <f>HYPERLINK("https://www.dailydose.de/kleinanzeigen/detail.htm?ai=417705&amp;cf=kk&amp;pg=5&amp;ci=13", "Link")</f>
        <v/>
      </c>
      <c r="K753" s="6">
        <f>HYPERLINK("C:\Projects\Kleinanzeigen-Scraper\offer_images\417705", "Link")</f>
        <v/>
      </c>
      <c r="L753" t="inlineStr">
        <is>
          <t>Hartmut Pfeffer</t>
        </is>
      </c>
      <c r="M753" s="6">
        <f>HYPERLINK("https://www.dailydose.de/kleinanzeigen/user/10006", "Link")</f>
        <v/>
      </c>
      <c r="N753" s="7" t="n">
        <v>45502.78465277778</v>
      </c>
      <c r="O753" s="3" t="inlineStr">
        <is>
          <t>6.71</t>
        </is>
      </c>
      <c r="P753" t="inlineStr">
        <is>
          <t>Böblingen</t>
        </is>
      </c>
    </row>
    <row r="754">
      <c r="A754" t="inlineStr">
        <is>
          <t>Simmer SC6</t>
        </is>
      </c>
      <c r="B754" s="3" t="n">
        <v>490</v>
      </c>
      <c r="C754" s="8" t="inlineStr">
        <is>
          <t>60%</t>
        </is>
      </c>
      <c r="D754" t="inlineStr"/>
      <c r="E754" s="4" t="n">
        <v>220</v>
      </c>
      <c r="F754" t="inlineStr"/>
      <c r="G754" t="inlineStr">
        <is>
          <t>71336 Waiblingen</t>
        </is>
      </c>
      <c r="H754" s="5" t="n">
        <v>45098</v>
      </c>
      <c r="I754" t="inlineStr">
        <is>
          <t>Sold</t>
        </is>
      </c>
      <c r="J754" s="6">
        <f>HYPERLINK("https://www.dailydose.de/kleinanzeigen/detail.htm?ai=399216&amp;cf=kk&amp;pg=8&amp;ci=2", "Link")</f>
        <v/>
      </c>
      <c r="K754" s="6">
        <f>HYPERLINK("C:\Projects\Kleinanzeigen-Scraper\offer_images\399216", "Link")</f>
        <v/>
      </c>
      <c r="L754" t="inlineStr">
        <is>
          <t>Thomas L.</t>
        </is>
      </c>
      <c r="M754" s="6">
        <f>HYPERLINK("https://www.dailydose.de/kleinanzeigen/user/14138", "Link")</f>
        <v/>
      </c>
      <c r="N754" s="7" t="n">
        <v>45502.78460648148</v>
      </c>
      <c r="O754" s="3" t="inlineStr">
        <is>
          <t>33.67</t>
        </is>
      </c>
      <c r="P754" t="inlineStr">
        <is>
          <t>Böblingen</t>
        </is>
      </c>
    </row>
    <row r="755">
      <c r="A755" t="inlineStr">
        <is>
          <t>Simmer SC6</t>
        </is>
      </c>
      <c r="B755" s="3" t="n">
        <v>490</v>
      </c>
      <c r="C755" s="8" t="inlineStr">
        <is>
          <t>60%</t>
        </is>
      </c>
      <c r="D755" t="inlineStr"/>
      <c r="E755" s="4" t="n">
        <v>220</v>
      </c>
      <c r="F755" t="inlineStr"/>
      <c r="G755" t="inlineStr">
        <is>
          <t>71336 Waiblingen</t>
        </is>
      </c>
      <c r="H755" s="5" t="n">
        <v>45098</v>
      </c>
      <c r="I755" t="inlineStr">
        <is>
          <t>Sold</t>
        </is>
      </c>
      <c r="J755" s="6">
        <f>HYPERLINK("https://www.dailydose.de/kleinanzeigen/detail.htm?ai=399216&amp;cf=kk&amp;pg=8&amp;ci=2", "Link")</f>
        <v/>
      </c>
      <c r="K755" s="6">
        <f>HYPERLINK("C:\Projects\Kleinanzeigen-Scraper\offer_images\399216", "Link")</f>
        <v/>
      </c>
      <c r="L755" t="inlineStr">
        <is>
          <t>Thomas L.</t>
        </is>
      </c>
      <c r="M755" s="6">
        <f>HYPERLINK("https://www.dailydose.de/kleinanzeigen/user/14138", "Link")</f>
        <v/>
      </c>
      <c r="N755" s="7" t="n">
        <v>45502.78460648148</v>
      </c>
      <c r="O755" s="3" t="inlineStr">
        <is>
          <t>33.67</t>
        </is>
      </c>
      <c r="P755" t="inlineStr">
        <is>
          <t>Böblingen</t>
        </is>
      </c>
    </row>
    <row r="756">
      <c r="A756" t="inlineStr">
        <is>
          <t>Prolimit STX</t>
        </is>
      </c>
      <c r="B756" s="3" t="n">
        <v>460</v>
      </c>
      <c r="C756" s="8" t="inlineStr">
        <is>
          <t>60%</t>
        </is>
      </c>
      <c r="D756" t="inlineStr">
        <is>
          <t>SDM</t>
        </is>
      </c>
      <c r="E756" s="4" t="n">
        <v>120</v>
      </c>
      <c r="F756" t="inlineStr"/>
      <c r="G756" t="inlineStr">
        <is>
          <t>71139 Ehningen</t>
        </is>
      </c>
      <c r="H756" s="5" t="n">
        <v>45482</v>
      </c>
      <c r="I756" t="inlineStr"/>
      <c r="J756" s="6">
        <f>HYPERLINK("https://www.dailydose.de/kleinanzeigen/detail.htm?ai=419080&amp;cf=kk&amp;pg=5&amp;ci=2", "Link")</f>
        <v/>
      </c>
      <c r="K756" s="6">
        <f>HYPERLINK("C:\Projects\Kleinanzeigen-Scraper\offer_images\419080", "Link")</f>
        <v/>
      </c>
      <c r="L756" t="inlineStr">
        <is>
          <t>Noah Hehr</t>
        </is>
      </c>
      <c r="M756" s="6">
        <f>HYPERLINK("https://www.dailydose.de/kleinanzeigen/user/17903", "Link")</f>
        <v/>
      </c>
      <c r="N756" s="7" t="n">
        <v>45502.78449074074</v>
      </c>
      <c r="O756" s="3" t="inlineStr">
        <is>
          <t>3.02</t>
        </is>
      </c>
      <c r="P756" t="inlineStr">
        <is>
          <t>Böblingen</t>
        </is>
      </c>
    </row>
    <row r="757">
      <c r="A757" t="inlineStr">
        <is>
          <t>Gunsails Cross</t>
        </is>
      </c>
      <c r="B757" s="3" t="n">
        <v>490</v>
      </c>
      <c r="C757" s="8" t="inlineStr"/>
      <c r="D757" t="inlineStr">
        <is>
          <t>SDM</t>
        </is>
      </c>
      <c r="E757" s="4" t="n">
        <v>170</v>
      </c>
      <c r="F757" t="inlineStr"/>
      <c r="G757" t="inlineStr">
        <is>
          <t>67705 Rheinland-Pfalz - Trippstadt</t>
        </is>
      </c>
      <c r="H757" s="5" t="n">
        <v>45501</v>
      </c>
      <c r="I757" t="inlineStr">
        <is>
          <t>Sold</t>
        </is>
      </c>
      <c r="J757" s="6">
        <f>HYPERLINK("https://www.kleinanzeigen.de/s-anzeige/windsurf-mast-gunsails-cross-490-sdm/2823283784-230-8063", "Link")</f>
        <v/>
      </c>
      <c r="K757" s="6">
        <f>HYPERLINK("C:\Projects\Kleinanzeigen-Scraper\offer_images\2823283784", "Link")</f>
        <v/>
      </c>
      <c r="L757" t="inlineStr">
        <is>
          <t>Thorsten</t>
        </is>
      </c>
      <c r="M757" s="6">
        <f>HYPERLINK("https://www.kleinanzeigen.de/s-bestandsliste.html?userId=15343847", "Link")</f>
        <v/>
      </c>
      <c r="N757" s="7" t="n">
        <v>45502.78379629629</v>
      </c>
      <c r="O757" s="3" t="inlineStr">
        <is>
          <t>59.68</t>
        </is>
      </c>
      <c r="P757" t="inlineStr">
        <is>
          <t>Karlsruhe</t>
        </is>
      </c>
    </row>
    <row r="758">
      <c r="A758" t="inlineStr">
        <is>
          <t>North</t>
        </is>
      </c>
      <c r="B758" s="3" t="inlineStr">
        <is>
          <t>220, 245, 400, 460</t>
        </is>
      </c>
      <c r="C758" s="8" t="inlineStr"/>
      <c r="D758" t="inlineStr"/>
      <c r="E758" s="4" t="n">
        <v>1</v>
      </c>
      <c r="F758" t="inlineStr">
        <is>
          <t>VB</t>
        </is>
      </c>
      <c r="G758" t="inlineStr">
        <is>
          <t>67067 Rheinland-Pfalz - Ludwigshafen</t>
        </is>
      </c>
      <c r="H758" s="5" t="n">
        <v>45501</v>
      </c>
      <c r="I758" t="inlineStr"/>
      <c r="J758" s="6">
        <f>HYPERLINK("https://www.kleinanzeigen.de/s-anzeige/windsurf-masten-alu-carbon-north-neilpryde/2823767930-230-5384", "Link")</f>
        <v/>
      </c>
      <c r="K758" s="6">
        <f>HYPERLINK("C:\Projects\Kleinanzeigen-Scraper\offer_images\2823767930", "Link")</f>
        <v/>
      </c>
      <c r="L758" t="inlineStr">
        <is>
          <t>GPfeiffer</t>
        </is>
      </c>
      <c r="M758" s="6">
        <f>HYPERLINK("https://www.kleinanzeigen.de/s-bestandsliste.html?userId=38525979", "Link")</f>
        <v/>
      </c>
      <c r="N758" s="7" t="n">
        <v>45502.78340277778</v>
      </c>
      <c r="O758" s="3" t="inlineStr">
        <is>
          <t>50.44</t>
        </is>
      </c>
      <c r="P758" t="inlineStr">
        <is>
          <t>Karlsruhe</t>
        </is>
      </c>
    </row>
    <row r="759">
      <c r="A759" t="inlineStr">
        <is>
          <t>North</t>
        </is>
      </c>
      <c r="B759" s="3" t="n">
        <v>28</v>
      </c>
      <c r="C759" s="8" t="inlineStr"/>
      <c r="D759" t="inlineStr">
        <is>
          <t>SDM</t>
        </is>
      </c>
      <c r="E759" s="4" t="n">
        <v>75</v>
      </c>
      <c r="F759" t="inlineStr"/>
      <c r="G759" t="inlineStr">
        <is>
          <t>67071 Rheinland-Pfalz - Ludwigshafen</t>
        </is>
      </c>
      <c r="H759" s="5" t="n">
        <v>45495</v>
      </c>
      <c r="I759" t="inlineStr">
        <is>
          <t>Sold</t>
        </is>
      </c>
      <c r="J759" s="6">
        <f>HYPERLINK("https://www.kleinanzeigen.de/s-anzeige/north-windsurf-verlaengerung-uni-xt-sdm-28-cm-neu-/2818426701-230-5191", "Link")</f>
        <v/>
      </c>
      <c r="K759" s="6">
        <f>HYPERLINK("C:\Projects\Kleinanzeigen-Scraper\offer_images\2818426701", "Link")</f>
        <v/>
      </c>
      <c r="L759" t="inlineStr">
        <is>
          <t>Peter</t>
        </is>
      </c>
      <c r="M759" s="6">
        <f>HYPERLINK("https://www.kleinanzeigen.de/s-bestandsliste.html?userId=35224675", "Link")</f>
        <v/>
      </c>
      <c r="N759" s="7" t="n">
        <v>45500.9729050926</v>
      </c>
      <c r="O759" s="3" t="inlineStr">
        <is>
          <t>52.34</t>
        </is>
      </c>
      <c r="P759" t="inlineStr">
        <is>
          <t>Karlsruhe</t>
        </is>
      </c>
    </row>
    <row r="760">
      <c r="A760" t="inlineStr">
        <is>
          <t>F2</t>
        </is>
      </c>
      <c r="B760" s="3" t="n">
        <v>40</v>
      </c>
      <c r="C760" s="8" t="inlineStr"/>
      <c r="D760" t="inlineStr"/>
      <c r="E760" s="4" t="n">
        <v>9</v>
      </c>
      <c r="F760" t="inlineStr"/>
      <c r="G760" t="inlineStr">
        <is>
          <t>76703 Baden-Württemberg - Kraichtal</t>
        </is>
      </c>
      <c r="H760" s="5" t="n">
        <v>45468</v>
      </c>
      <c r="I760" t="inlineStr">
        <is>
          <t>Sold</t>
        </is>
      </c>
      <c r="J760" s="6">
        <f>HYPERLINK("https://www.kleinanzeigen.de/s-anzeige/f2-windsurf-vario-mastverlaengerung-40-cm/2797231465-230-8797", "Link")</f>
        <v/>
      </c>
      <c r="K760" s="6">
        <f>HYPERLINK("C:\Projects\Kleinanzeigen-Scraper\offer_images\2797231465", "Link")</f>
        <v/>
      </c>
      <c r="L760" t="inlineStr">
        <is>
          <t>Frank</t>
        </is>
      </c>
      <c r="M760" s="6">
        <f>HYPERLINK("https://www.kleinanzeigen.de/s-bestandsliste.html?userId=8997097", "Link")</f>
        <v/>
      </c>
      <c r="N760" s="7" t="n">
        <v>45500.72445601852</v>
      </c>
      <c r="O760" s="3" t="inlineStr">
        <is>
          <t>28.53</t>
        </is>
      </c>
      <c r="P760" t="inlineStr">
        <is>
          <t>Karlsruhe</t>
        </is>
      </c>
    </row>
    <row r="761">
      <c r="A761" t="inlineStr"/>
      <c r="B761" s="3" t="inlineStr"/>
      <c r="C761" s="8" t="inlineStr"/>
      <c r="D761" t="inlineStr">
        <is>
          <t>RDM</t>
        </is>
      </c>
      <c r="E761" s="4" t="n">
        <v>20</v>
      </c>
      <c r="F761" t="inlineStr"/>
      <c r="G761" t="inlineStr">
        <is>
          <t>67346 Rheinland-Pfalz - Speyer</t>
        </is>
      </c>
      <c r="H761" s="5" t="n">
        <v>45498</v>
      </c>
      <c r="I761" t="inlineStr">
        <is>
          <t>Sold</t>
        </is>
      </c>
      <c r="J761" s="6">
        <f>HYPERLINK("https://www.kleinanzeigen.de/s-anzeige/windsurf-mastverlaengerung-rdm/2820908695-230-5365", "Link")</f>
        <v/>
      </c>
      <c r="K761" s="6">
        <f>HYPERLINK("C:\Projects\Kleinanzeigen-Scraper\offer_images\2820908695", "Link")</f>
        <v/>
      </c>
      <c r="L761" t="inlineStr">
        <is>
          <t>D. Ertel</t>
        </is>
      </c>
      <c r="M761" s="6">
        <f>HYPERLINK("https://www.kleinanzeigen.de/s-bestandsliste.html?userId=13322828", "Link")</f>
        <v/>
      </c>
      <c r="N761" s="7" t="n">
        <v>45500.72436342593</v>
      </c>
      <c r="O761" s="3" t="inlineStr">
        <is>
          <t>35.76</t>
        </is>
      </c>
      <c r="P761" t="inlineStr">
        <is>
          <t>Karlsruhe</t>
        </is>
      </c>
    </row>
    <row r="762">
      <c r="A762" t="inlineStr"/>
      <c r="B762" s="3" t="n">
        <v>465</v>
      </c>
      <c r="C762" s="8" t="inlineStr">
        <is>
          <t>Yes</t>
        </is>
      </c>
      <c r="D762" t="inlineStr"/>
      <c r="E762" s="4" t="n">
        <v>30</v>
      </c>
      <c r="F762" t="inlineStr"/>
      <c r="G762" t="inlineStr">
        <is>
          <t>97980 Baden-Württemberg - Bad Mergentheim</t>
        </is>
      </c>
      <c r="H762" s="5" t="n">
        <v>45453</v>
      </c>
      <c r="I762" t="inlineStr">
        <is>
          <t>Sold</t>
        </is>
      </c>
      <c r="J762" s="6">
        <f>HYPERLINK("https://www.kleinanzeigen.de/s-anzeige/windsurf-mast-465-cm/2784335255-241-8637", "Link")</f>
        <v/>
      </c>
      <c r="K762" s="6">
        <f>HYPERLINK("C:\Projects\Kleinanzeigen-Scraper\offer_images\2784335255", "Link")</f>
        <v/>
      </c>
      <c r="L762" t="inlineStr">
        <is>
          <t>Jonny</t>
        </is>
      </c>
      <c r="M762" s="6">
        <f>HYPERLINK("https://www.kleinanzeigen.de/s-bestandsliste.html?userId=50651551", "Link")</f>
        <v/>
      </c>
      <c r="N762" s="7" t="n">
        <v>45500.72431712963</v>
      </c>
      <c r="O762" s="3" t="inlineStr">
        <is>
          <t>104.21</t>
        </is>
      </c>
      <c r="P762" t="inlineStr">
        <is>
          <t>Böblingen</t>
        </is>
      </c>
    </row>
    <row r="763">
      <c r="A763" t="inlineStr">
        <is>
          <t>Naish</t>
        </is>
      </c>
      <c r="B763" s="3" t="n">
        <v>430</v>
      </c>
      <c r="C763" s="8" t="inlineStr"/>
      <c r="D763" t="inlineStr"/>
      <c r="E763" s="4" t="n">
        <v>70</v>
      </c>
      <c r="F763" t="inlineStr">
        <is>
          <t>VB</t>
        </is>
      </c>
      <c r="G763" t="inlineStr">
        <is>
          <t>79115 Baden-Württemberg - Freiburg im Breisgau</t>
        </is>
      </c>
      <c r="H763" s="5" t="n">
        <v>45427</v>
      </c>
      <c r="I763" t="inlineStr">
        <is>
          <t>Sold</t>
        </is>
      </c>
      <c r="J763" s="6">
        <f>HYPERLINK("https://www.kleinanzeigen.de/s-anzeige/windsurf-mast-und-mastverlaengerung/2762419404-230-9366", "Link")</f>
        <v/>
      </c>
      <c r="K763" s="6">
        <f>HYPERLINK("C:\Projects\Kleinanzeigen-Scraper\offer_images\2762419404", "Link")</f>
        <v/>
      </c>
      <c r="L763" t="inlineStr">
        <is>
          <t>Natacha</t>
        </is>
      </c>
      <c r="M763" s="6">
        <f>HYPERLINK("https://www.kleinanzeigen.de/s-bestandsliste.html?userId=55241496", "Link")</f>
        <v/>
      </c>
      <c r="N763" s="7" t="n">
        <v>45500.72427083334</v>
      </c>
      <c r="O763" s="3" t="inlineStr">
        <is>
          <t>43.13</t>
        </is>
      </c>
      <c r="P763" t="inlineStr">
        <is>
          <t>Bonndorf</t>
        </is>
      </c>
    </row>
    <row r="764">
      <c r="A764" t="inlineStr">
        <is>
          <t>Naish Formula</t>
        </is>
      </c>
      <c r="B764" s="3" t="n">
        <v>490</v>
      </c>
      <c r="C764" s="8" t="inlineStr">
        <is>
          <t>75%</t>
        </is>
      </c>
      <c r="D764" t="inlineStr"/>
      <c r="E764" s="4" t="n">
        <v>90</v>
      </c>
      <c r="F764" t="inlineStr"/>
      <c r="G764" t="inlineStr">
        <is>
          <t>76227 Baden-Württemberg - Karlsruhe</t>
        </is>
      </c>
      <c r="H764" s="5" t="n">
        <v>45464</v>
      </c>
      <c r="I764" t="inlineStr">
        <is>
          <t>Sold</t>
        </is>
      </c>
      <c r="J764" s="6">
        <f>HYPERLINK("https://www.kleinanzeigen.de/s-anzeige/windsurf-mast-naish-formula-490-sdm-imcs-29-cc-75-carbon/2793858316-230-9197", "Link")</f>
        <v/>
      </c>
      <c r="K764" s="6">
        <f>HYPERLINK("C:\Projects\Kleinanzeigen-Scraper\offer_images\2793858316", "Link")</f>
        <v/>
      </c>
      <c r="L764" t="inlineStr">
        <is>
          <t>HARALD WITTE</t>
        </is>
      </c>
      <c r="M764" s="6">
        <f>HYPERLINK("https://www.kleinanzeigen.de/s-bestandsliste.html?userId=83886327", "Link")</f>
        <v/>
      </c>
      <c r="N764" s="7" t="n">
        <v>45500.72420138889</v>
      </c>
      <c r="O764" s="3" t="inlineStr">
        <is>
          <t>6.23</t>
        </is>
      </c>
      <c r="P764" t="inlineStr">
        <is>
          <t>Karlsruhe</t>
        </is>
      </c>
    </row>
    <row r="765">
      <c r="A765" t="inlineStr">
        <is>
          <t>North Sails Sting-50</t>
        </is>
      </c>
      <c r="B765" s="3" t="n">
        <v>460</v>
      </c>
      <c r="C765" s="8" t="inlineStr"/>
      <c r="D765" t="inlineStr">
        <is>
          <t>SDM</t>
        </is>
      </c>
      <c r="E765" s="4" t="n">
        <v>55</v>
      </c>
      <c r="F765" t="inlineStr">
        <is>
          <t>VB</t>
        </is>
      </c>
      <c r="G765" t="inlineStr">
        <is>
          <t>55291 Rheinland-Pfalz - Saulheim</t>
        </is>
      </c>
      <c r="H765" s="5" t="n">
        <v>45484</v>
      </c>
      <c r="I765" t="inlineStr">
        <is>
          <t>Sold</t>
        </is>
      </c>
      <c r="J765" s="6">
        <f>HYPERLINK("https://www.kleinanzeigen.de/s-anzeige/north-sails-mast-sdm-460-sting-50-windsurfmast-windsurfen/2809741426-230-5332", "Link")</f>
        <v/>
      </c>
      <c r="K765" s="6">
        <f>HYPERLINK("C:\Projects\Kleinanzeigen-Scraper\offer_images\2809741426", "Link")</f>
        <v/>
      </c>
      <c r="L765" t="inlineStr">
        <is>
          <t>Michael</t>
        </is>
      </c>
      <c r="M765" s="6">
        <f>HYPERLINK("https://www.kleinanzeigen.de/s-bestandsliste.html?userId=120338761", "Link")</f>
        <v/>
      </c>
      <c r="N765" s="7" t="n">
        <v>45500.72418981481</v>
      </c>
      <c r="O765" s="3" t="inlineStr">
        <is>
          <t>97.88</t>
        </is>
      </c>
      <c r="P765" t="inlineStr">
        <is>
          <t>Karlsruhe</t>
        </is>
      </c>
    </row>
    <row r="766">
      <c r="A766" t="inlineStr">
        <is>
          <t>RRD</t>
        </is>
      </c>
      <c r="B766" s="3" t="n">
        <v>460</v>
      </c>
      <c r="C766" s="8" t="inlineStr">
        <is>
          <t>100%</t>
        </is>
      </c>
      <c r="D766" t="inlineStr">
        <is>
          <t>RDM</t>
        </is>
      </c>
      <c r="E766" s="4" t="n">
        <v>285</v>
      </c>
      <c r="F766" t="inlineStr">
        <is>
          <t>VB</t>
        </is>
      </c>
      <c r="G766" t="inlineStr">
        <is>
          <t>55291 Rheinland-Pfalz - Saulheim</t>
        </is>
      </c>
      <c r="H766" s="5" t="n">
        <v>45492</v>
      </c>
      <c r="I766" t="inlineStr">
        <is>
          <t>Sold</t>
        </is>
      </c>
      <c r="J766" s="6">
        <f>HYPERLINK("https://www.kleinanzeigen.de/s-anzeige/rrd-mast-rdm-460-cm-100-carbon-windsurfmast-windsurfen/2815813328-230-5332", "Link")</f>
        <v/>
      </c>
      <c r="K766" s="6">
        <f>HYPERLINK("C:\Projects\Kleinanzeigen-Scraper\offer_images\2815813328", "Link")</f>
        <v/>
      </c>
      <c r="L766" t="inlineStr">
        <is>
          <t>Michael</t>
        </is>
      </c>
      <c r="M766" s="6">
        <f>HYPERLINK("https://www.kleinanzeigen.de/s-bestandsliste.html?userId=120338761", "Link")</f>
        <v/>
      </c>
      <c r="N766" s="7" t="n">
        <v>45500.72417824074</v>
      </c>
      <c r="O766" s="3" t="inlineStr">
        <is>
          <t>97.88</t>
        </is>
      </c>
      <c r="P766" t="inlineStr">
        <is>
          <t>Karlsruhe</t>
        </is>
      </c>
    </row>
    <row r="767">
      <c r="A767" t="inlineStr">
        <is>
          <t>Neil Pryde C30</t>
        </is>
      </c>
      <c r="B767" s="3" t="inlineStr">
        <is>
          <t>460, 490</t>
        </is>
      </c>
      <c r="C767" s="8" t="inlineStr">
        <is>
          <t>100%</t>
        </is>
      </c>
      <c r="D767" t="inlineStr"/>
      <c r="E767" s="4" t="n">
        <v>90</v>
      </c>
      <c r="F767" t="inlineStr">
        <is>
          <t>VB</t>
        </is>
      </c>
      <c r="G767" t="inlineStr">
        <is>
          <t>64295 Hessen - Darmstadt</t>
        </is>
      </c>
      <c r="H767" s="5" t="n">
        <v>45417</v>
      </c>
      <c r="I767" t="inlineStr">
        <is>
          <t>Sold</t>
        </is>
      </c>
      <c r="J767" s="6">
        <f>HYPERLINK("https://www.kleinanzeigen.de/s-anzeige/2x-windsurf-carbonmast-mast-masten-neil-pryde-c30-in-4-60-4-90m/2753320956-230-4889", "Link")</f>
        <v/>
      </c>
      <c r="K767" s="6">
        <f>HYPERLINK("C:\Projects\Kleinanzeigen-Scraper\offer_images\2753320956", "Link")</f>
        <v/>
      </c>
      <c r="L767" t="inlineStr">
        <is>
          <t>bert8811</t>
        </is>
      </c>
      <c r="M767" s="6">
        <f>HYPERLINK("https://www.kleinanzeigen.de/s-bestandsliste.html?userId=19749391", "Link")</f>
        <v/>
      </c>
      <c r="N767" s="7" t="n">
        <v>45500.72416666667</v>
      </c>
      <c r="O767" s="3" t="inlineStr">
        <is>
          <t>94.84</t>
        </is>
      </c>
      <c r="P767" t="inlineStr">
        <is>
          <t>Karlsruhe</t>
        </is>
      </c>
    </row>
    <row r="768">
      <c r="A768" t="inlineStr">
        <is>
          <t>Gunsails Select</t>
        </is>
      </c>
      <c r="B768" s="3" t="n">
        <v>460</v>
      </c>
      <c r="C768" s="8" t="inlineStr">
        <is>
          <t>100%</t>
        </is>
      </c>
      <c r="D768" t="inlineStr">
        <is>
          <t>SDM</t>
        </is>
      </c>
      <c r="E768" s="4" t="n">
        <v>210</v>
      </c>
      <c r="F768" t="inlineStr">
        <is>
          <t>VB</t>
        </is>
      </c>
      <c r="G768" t="inlineStr">
        <is>
          <t>55291 Rheinland-Pfalz - Saulheim</t>
        </is>
      </c>
      <c r="H768" s="5" t="n">
        <v>45492</v>
      </c>
      <c r="I768" t="inlineStr">
        <is>
          <t>Sold</t>
        </is>
      </c>
      <c r="J768" s="6">
        <f>HYPERLINK("https://www.kleinanzeigen.de/s-anzeige/gunsails-mast-select-sdm-460-cm-100-carbon-gun-sails-windsurfen/2815812487-230-5332", "Link")</f>
        <v/>
      </c>
      <c r="K768" s="6">
        <f>HYPERLINK("C:\Projects\Kleinanzeigen-Scraper\offer_images\2815812487", "Link")</f>
        <v/>
      </c>
      <c r="L768" t="inlineStr">
        <is>
          <t>Michael</t>
        </is>
      </c>
      <c r="M768" s="6">
        <f>HYPERLINK("https://www.kleinanzeigen.de/s-bestandsliste.html?userId=120338761", "Link")</f>
        <v/>
      </c>
      <c r="N768" s="7" t="n">
        <v>45500.72413194444</v>
      </c>
      <c r="O768" s="3" t="inlineStr">
        <is>
          <t>97.88</t>
        </is>
      </c>
      <c r="P768" t="inlineStr">
        <is>
          <t>Karlsruhe</t>
        </is>
      </c>
    </row>
    <row r="769">
      <c r="A769" t="inlineStr">
        <is>
          <t>Fiberspar REFLEX</t>
        </is>
      </c>
      <c r="B769" s="3" t="n">
        <v>460</v>
      </c>
      <c r="C769" s="8" t="inlineStr">
        <is>
          <t>30%</t>
        </is>
      </c>
      <c r="D769" t="inlineStr">
        <is>
          <t>SDM</t>
        </is>
      </c>
      <c r="E769" s="4" t="n">
        <v>65</v>
      </c>
      <c r="F769" t="inlineStr">
        <is>
          <t>VB</t>
        </is>
      </c>
      <c r="G769" t="inlineStr">
        <is>
          <t>71088 Baden-Württemberg - Holzgerlingen</t>
        </is>
      </c>
      <c r="H769" s="5" t="n">
        <v>45498</v>
      </c>
      <c r="I769" t="inlineStr">
        <is>
          <t>Sold</t>
        </is>
      </c>
      <c r="J769" s="6">
        <f>HYPERLINK("https://www.kleinanzeigen.de/s-anzeige/fiberspar-reflex-460-25-sdm-mast-mit-30-carbon-windsurfen-foil/2820716556-230-8786", "Link")</f>
        <v/>
      </c>
      <c r="K769" s="6">
        <f>HYPERLINK("C:\Projects\Kleinanzeigen-Scraper\offer_images\2820716556", "Link")</f>
        <v/>
      </c>
      <c r="L769" t="inlineStr">
        <is>
          <t>Jürgen Rommel</t>
        </is>
      </c>
      <c r="M769" s="6">
        <f>HYPERLINK("https://www.kleinanzeigen.de/s-bestandsliste.html?userId=128051520", "Link")</f>
        <v/>
      </c>
      <c r="N769" s="7" t="n">
        <v>45500.72408564815</v>
      </c>
      <c r="O769" s="3" t="inlineStr">
        <is>
          <t>4.76</t>
        </is>
      </c>
      <c r="P769" t="inlineStr">
        <is>
          <t>Böblingen</t>
        </is>
      </c>
    </row>
    <row r="770">
      <c r="A770" t="inlineStr">
        <is>
          <t>Gunsails Expert</t>
        </is>
      </c>
      <c r="B770" s="3" t="n">
        <v>430</v>
      </c>
      <c r="C770" s="8" t="inlineStr">
        <is>
          <t>70%</t>
        </is>
      </c>
      <c r="D770" t="inlineStr">
        <is>
          <t>SDM</t>
        </is>
      </c>
      <c r="E770" s="4" t="n">
        <v>120</v>
      </c>
      <c r="F770" t="inlineStr"/>
      <c r="G770" t="inlineStr">
        <is>
          <t>73734 Baden-Württemberg - Esslingen</t>
        </is>
      </c>
      <c r="H770" s="5" t="n">
        <v>45472</v>
      </c>
      <c r="I770" t="inlineStr">
        <is>
          <t>Sold</t>
        </is>
      </c>
      <c r="J770" s="6">
        <f>HYPERLINK("https://www.kleinanzeigen.de/s-anzeige/windsurf-mast-gunsails-expert-430cm-70-carbon-sdm-surfmast/2799807708-230-9070", "Link")</f>
        <v/>
      </c>
      <c r="K770" s="6">
        <f>HYPERLINK("C:\Projects\Kleinanzeigen-Scraper\offer_images\2799807708", "Link")</f>
        <v/>
      </c>
      <c r="L770" t="inlineStr">
        <is>
          <t>Bernd</t>
        </is>
      </c>
      <c r="M770" s="6">
        <f>HYPERLINK("https://www.kleinanzeigen.de/s-bestandsliste.html?userId=14836193", "Link")</f>
        <v/>
      </c>
      <c r="N770" s="7" t="n">
        <v>45500.72396990741</v>
      </c>
      <c r="O770" s="3" t="inlineStr">
        <is>
          <t>24.93</t>
        </is>
      </c>
      <c r="P770" t="inlineStr">
        <is>
          <t>Böblingen</t>
        </is>
      </c>
    </row>
    <row r="771">
      <c r="A771" t="inlineStr"/>
      <c r="B771" s="3" t="inlineStr"/>
      <c r="C771" s="8" t="inlineStr">
        <is>
          <t>100%</t>
        </is>
      </c>
      <c r="D771" t="inlineStr"/>
      <c r="E771" s="4" t="n">
        <v>50</v>
      </c>
      <c r="F771" t="inlineStr">
        <is>
          <t>VB</t>
        </is>
      </c>
      <c r="G771" t="inlineStr">
        <is>
          <t>70806 Baden-Württemberg - Kornwestheim</t>
        </is>
      </c>
      <c r="H771" s="5" t="n">
        <v>45473</v>
      </c>
      <c r="I771" t="inlineStr">
        <is>
          <t>Sold</t>
        </is>
      </c>
      <c r="J771" s="6">
        <f>HYPERLINK("https://www.kleinanzeigen.de/s-anzeige/windsurf-mast-carbon/2800338505-230-8450", "Link")</f>
        <v/>
      </c>
      <c r="K771" s="6">
        <f>HYPERLINK("C:\Projects\Kleinanzeigen-Scraper\offer_images\2800338505", "Link")</f>
        <v/>
      </c>
      <c r="L771" t="inlineStr">
        <is>
          <t>Eduard</t>
        </is>
      </c>
      <c r="M771" s="6">
        <f>HYPERLINK("https://www.kleinanzeigen.de/s-bestandsliste.html?userId=6156442", "Link")</f>
        <v/>
      </c>
      <c r="N771" s="7" t="n">
        <v>45500.72392361111</v>
      </c>
      <c r="O771" s="3" t="inlineStr">
        <is>
          <t>25.46</t>
        </is>
      </c>
      <c r="P771" t="inlineStr">
        <is>
          <t>Böblingen</t>
        </is>
      </c>
    </row>
    <row r="772">
      <c r="A772" t="inlineStr"/>
      <c r="B772" s="3" t="n">
        <v>500</v>
      </c>
      <c r="C772" s="8" t="inlineStr">
        <is>
          <t>100%</t>
        </is>
      </c>
      <c r="D772" t="inlineStr"/>
      <c r="E772" s="4" t="n">
        <v>30</v>
      </c>
      <c r="F772" t="inlineStr"/>
      <c r="G772" t="inlineStr">
        <is>
          <t>97980 Baden-Württemberg - Bad Mergentheim</t>
        </is>
      </c>
      <c r="H772" s="5" t="n">
        <v>45453</v>
      </c>
      <c r="I772" t="inlineStr">
        <is>
          <t>Sold</t>
        </is>
      </c>
      <c r="J772" s="6">
        <f>HYPERLINK("https://www.kleinanzeigen.de/s-anzeige/windsurf-mast/2784336315-241-8637", "Link")</f>
        <v/>
      </c>
      <c r="K772" s="6">
        <f>HYPERLINK("C:\Projects\Kleinanzeigen-Scraper\offer_images\2784336315", "Link")</f>
        <v/>
      </c>
      <c r="L772" t="inlineStr">
        <is>
          <t>Jonny</t>
        </is>
      </c>
      <c r="M772" s="6">
        <f>HYPERLINK("https://www.kleinanzeigen.de/s-bestandsliste.html?userId=50651551", "Link")</f>
        <v/>
      </c>
      <c r="N772" s="7" t="n">
        <v>45500.72383101852</v>
      </c>
      <c r="O772" s="3" t="inlineStr">
        <is>
          <t>104.21</t>
        </is>
      </c>
      <c r="P772" t="inlineStr">
        <is>
          <t>Böblingen</t>
        </is>
      </c>
    </row>
    <row r="773">
      <c r="A773" t="inlineStr">
        <is>
          <t>North Heavy Duty Wave</t>
        </is>
      </c>
      <c r="B773" s="3" t="inlineStr"/>
      <c r="C773" s="8" t="inlineStr"/>
      <c r="D773" t="inlineStr"/>
      <c r="E773" s="4" t="n">
        <v>30</v>
      </c>
      <c r="F773" t="inlineStr">
        <is>
          <t>VB</t>
        </is>
      </c>
      <c r="G773" t="inlineStr">
        <is>
          <t>72762 Baden-Württemberg - Reutlingen</t>
        </is>
      </c>
      <c r="H773" s="5" t="n">
        <v>45485</v>
      </c>
      <c r="I773" t="inlineStr">
        <is>
          <t>Sold</t>
        </is>
      </c>
      <c r="J773" s="6">
        <f>HYPERLINK("https://www.kleinanzeigen.de/s-anzeige/windsurf-mast-north-heavy-duty-wave/2810635589-230-9351", "Link")</f>
        <v/>
      </c>
      <c r="K773" s="6">
        <f>HYPERLINK("C:\Projects\Kleinanzeigen-Scraper\offer_images\2810635589", "Link")</f>
        <v/>
      </c>
      <c r="L773" t="inlineStr">
        <is>
          <t>Gerhard Kühne</t>
        </is>
      </c>
      <c r="M773" s="6">
        <f>HYPERLINK("https://www.kleinanzeigen.de/s-bestandsliste.html?userId=26064227", "Link")</f>
        <v/>
      </c>
      <c r="N773" s="7" t="n">
        <v>45500.72381944444</v>
      </c>
      <c r="O773" s="3" t="inlineStr">
        <is>
          <t>27.24</t>
        </is>
      </c>
      <c r="P773" t="inlineStr">
        <is>
          <t>Böblingen</t>
        </is>
      </c>
    </row>
    <row r="774">
      <c r="A774" t="inlineStr">
        <is>
          <t>ProLimit</t>
        </is>
      </c>
      <c r="B774" s="3" t="n">
        <v>45</v>
      </c>
      <c r="C774" s="8" t="inlineStr"/>
      <c r="D774" t="inlineStr">
        <is>
          <t>SDM</t>
        </is>
      </c>
      <c r="E774" s="4" t="n">
        <v>40</v>
      </c>
      <c r="F774" t="inlineStr"/>
      <c r="G774" t="inlineStr">
        <is>
          <t>79114 Baden-Württemberg - Freiburg im Breisgau</t>
        </is>
      </c>
      <c r="H774" s="5" t="n">
        <v>45483</v>
      </c>
      <c r="I774" t="inlineStr">
        <is>
          <t>Sold</t>
        </is>
      </c>
      <c r="J774" s="6">
        <f>HYPERLINK("https://www.kleinanzeigen.de/s-anzeige/windsurfen-mastverlaengerung-sdm-prolimit-45-er/2809070950-230-9367", "Link")</f>
        <v/>
      </c>
      <c r="K774" s="6">
        <f>HYPERLINK("C:\Projects\Kleinanzeigen-Scraper\offer_images\2809070950", "Link")</f>
        <v/>
      </c>
      <c r="L774" t="inlineStr">
        <is>
          <t>Michael</t>
        </is>
      </c>
      <c r="M774" s="6">
        <f>HYPERLINK("https://www.kleinanzeigen.de/s-bestandsliste.html?userId=12383876", "Link")</f>
        <v/>
      </c>
      <c r="N774" s="7" t="n">
        <v>45500.72378472222</v>
      </c>
      <c r="O774" s="3" t="inlineStr">
        <is>
          <t>44.06</t>
        </is>
      </c>
      <c r="P774" t="inlineStr">
        <is>
          <t>Bonndorf</t>
        </is>
      </c>
    </row>
    <row r="775">
      <c r="A775" t="inlineStr">
        <is>
          <t>Gun Sails Expert Carbon</t>
        </is>
      </c>
      <c r="B775" s="3" t="n">
        <v>460</v>
      </c>
      <c r="C775" s="8" t="inlineStr"/>
      <c r="D775" t="inlineStr">
        <is>
          <t>SDM</t>
        </is>
      </c>
      <c r="E775" s="4" t="n">
        <v>269</v>
      </c>
      <c r="F775" t="inlineStr">
        <is>
          <t>VB</t>
        </is>
      </c>
      <c r="G775" t="inlineStr">
        <is>
          <t>79102 Baden-Württemberg - Freiburg im Breisgau</t>
        </is>
      </c>
      <c r="H775" s="5" t="n">
        <v>45450</v>
      </c>
      <c r="I775" t="inlineStr">
        <is>
          <t>Sold</t>
        </is>
      </c>
      <c r="J775" s="6">
        <f>HYPERLINK("https://www.kleinanzeigen.de/s-anzeige/gun-sails-mast-expert-carbon-460-cm-sdm-constant-curve-windsurf/2781946244-230-9364", "Link")</f>
        <v/>
      </c>
      <c r="K775" s="6">
        <f>HYPERLINK("C:\Projects\Kleinanzeigen-Scraper\offer_images\2781946244", "Link")</f>
        <v/>
      </c>
      <c r="L775" t="inlineStr">
        <is>
          <t>Tobias</t>
        </is>
      </c>
      <c r="M775" s="6">
        <f>HYPERLINK("https://www.kleinanzeigen.de/s-bestandsliste.html?userId=11261079", "Link")</f>
        <v/>
      </c>
      <c r="N775" s="7" t="n">
        <v>45500.72373842593</v>
      </c>
      <c r="O775" s="3" t="inlineStr">
        <is>
          <t>40.20</t>
        </is>
      </c>
      <c r="P775" t="inlineStr">
        <is>
          <t>Bonndorf</t>
        </is>
      </c>
    </row>
    <row r="776">
      <c r="A776" t="inlineStr">
        <is>
          <t>FANATIC</t>
        </is>
      </c>
      <c r="B776" s="3" t="n">
        <v>480</v>
      </c>
      <c r="C776" s="8" t="inlineStr"/>
      <c r="D776" t="inlineStr"/>
      <c r="E776" s="4" t="n">
        <v>49</v>
      </c>
      <c r="F776" t="inlineStr">
        <is>
          <t>VB</t>
        </is>
      </c>
      <c r="G776" t="inlineStr">
        <is>
          <t>72224 Baden-Württemberg - Ebhausen</t>
        </is>
      </c>
      <c r="H776" s="5" t="n">
        <v>45437</v>
      </c>
      <c r="I776" t="inlineStr">
        <is>
          <t>Sold</t>
        </is>
      </c>
      <c r="J776" s="6">
        <f>HYPERLINK("https://www.kleinanzeigen.de/s-anzeige/fanatic-mast-segelmast-windsurfen-4-8m/2771053904-230-8235", "Link")</f>
        <v/>
      </c>
      <c r="K776" s="6">
        <f>HYPERLINK("C:\Projects\Kleinanzeigen-Scraper\offer_images\2771053904", "Link")</f>
        <v/>
      </c>
      <c r="L776" t="inlineStr">
        <is>
          <t>P. Thiel</t>
        </is>
      </c>
      <c r="M776" s="6">
        <f>HYPERLINK("https://www.kleinanzeigen.de/s-bestandsliste.html?userId=10458185", "Link")</f>
        <v/>
      </c>
      <c r="N776" s="7" t="n">
        <v>45500.72373842593</v>
      </c>
      <c r="O776" s="3" t="inlineStr">
        <is>
          <t>23.23</t>
        </is>
      </c>
      <c r="P776" t="inlineStr">
        <is>
          <t>Böblingen</t>
        </is>
      </c>
    </row>
    <row r="777">
      <c r="A777" t="inlineStr">
        <is>
          <t>Dynafiber</t>
        </is>
      </c>
      <c r="B777" s="3" t="n">
        <v>430</v>
      </c>
      <c r="C777" s="8" t="inlineStr">
        <is>
          <t>50%</t>
        </is>
      </c>
      <c r="D777" t="inlineStr">
        <is>
          <t>SDM</t>
        </is>
      </c>
      <c r="E777" s="4" t="n">
        <v>175</v>
      </c>
      <c r="F777" t="inlineStr">
        <is>
          <t>VB</t>
        </is>
      </c>
      <c r="G777" t="inlineStr">
        <is>
          <t>71088 Baden-Württemberg - Holzgerlingen</t>
        </is>
      </c>
      <c r="H777" s="5" t="n">
        <v>45498</v>
      </c>
      <c r="I777" t="inlineStr">
        <is>
          <t>Sold</t>
        </is>
      </c>
      <c r="J777" s="6">
        <f>HYPERLINK("https://www.kleinanzeigen.de/s-anzeige/sdm-mast-dynafiber-430-50-carbon-windsurfen-foil/2820707548-230-8786", "Link")</f>
        <v/>
      </c>
      <c r="K777" s="6">
        <f>HYPERLINK("C:\Projects\Kleinanzeigen-Scraper\offer_images\2820707548", "Link")</f>
        <v/>
      </c>
      <c r="L777" t="inlineStr">
        <is>
          <t>Jürgen Rommel</t>
        </is>
      </c>
      <c r="M777" s="6">
        <f>HYPERLINK("https://www.kleinanzeigen.de/s-bestandsliste.html?userId=128051520", "Link")</f>
        <v/>
      </c>
      <c r="N777" s="7" t="n">
        <v>45500.72372685185</v>
      </c>
      <c r="O777" s="3" t="inlineStr">
        <is>
          <t>4.76</t>
        </is>
      </c>
      <c r="P777" t="inlineStr">
        <is>
          <t>Böblingen</t>
        </is>
      </c>
    </row>
    <row r="778">
      <c r="A778" t="inlineStr">
        <is>
          <t>Gunsails Gun Select</t>
        </is>
      </c>
      <c r="B778" s="3" t="n">
        <v>430</v>
      </c>
      <c r="C778" s="8" t="inlineStr">
        <is>
          <t>100%</t>
        </is>
      </c>
      <c r="D778" t="inlineStr">
        <is>
          <t>SDM</t>
        </is>
      </c>
      <c r="E778" s="4" t="n">
        <v>235</v>
      </c>
      <c r="F778" t="inlineStr">
        <is>
          <t>VB</t>
        </is>
      </c>
      <c r="G778" t="inlineStr">
        <is>
          <t>72141 Baden-Württemberg - Walddorfhäslach</t>
        </is>
      </c>
      <c r="H778" s="5" t="n">
        <v>45229</v>
      </c>
      <c r="I778" t="inlineStr">
        <is>
          <t>Sold</t>
        </is>
      </c>
      <c r="J778" s="6">
        <f>HYPERLINK("https://www.kleinanzeigen.de/s-anzeige/windsurf-mast-100-430cm-gunsails-gun-select-sdm/2587902912-230-8891", "Link")</f>
        <v/>
      </c>
      <c r="K778" s="6">
        <f>HYPERLINK("C:\Projects\Kleinanzeigen-Scraper\offer_images\2587902912", "Link")</f>
        <v/>
      </c>
      <c r="L778" t="inlineStr">
        <is>
          <t>Katharina &amp; Jan</t>
        </is>
      </c>
      <c r="M778" s="6">
        <f>HYPERLINK("https://www.kleinanzeigen.de/s-bestandsliste.html?userId=5363487", "Link")</f>
        <v/>
      </c>
      <c r="N778" s="7" t="n">
        <v>45500.72371527777</v>
      </c>
      <c r="O778" s="3" t="inlineStr">
        <is>
          <t>16.87</t>
        </is>
      </c>
      <c r="P778" t="inlineStr">
        <is>
          <t>Böblingen</t>
        </is>
      </c>
    </row>
    <row r="779">
      <c r="A779" t="inlineStr">
        <is>
          <t>North Epoxi Lady</t>
        </is>
      </c>
      <c r="B779" s="3" t="inlineStr"/>
      <c r="C779" s="8" t="inlineStr"/>
      <c r="D779" t="inlineStr"/>
      <c r="E779" s="4" t="n">
        <v>40</v>
      </c>
      <c r="F779" t="inlineStr">
        <is>
          <t>VB</t>
        </is>
      </c>
      <c r="G779" t="inlineStr">
        <is>
          <t>72762 Baden-Württemberg - Reutlingen</t>
        </is>
      </c>
      <c r="H779" s="5" t="n">
        <v>45485</v>
      </c>
      <c r="I779" t="inlineStr">
        <is>
          <t>Sold</t>
        </is>
      </c>
      <c r="J779" s="6">
        <f>HYPERLINK("https://www.kleinanzeigen.de/s-anzeige/windsurf-mast-north-epoxi/2810633900-230-9351", "Link")</f>
        <v/>
      </c>
      <c r="K779" s="6">
        <f>HYPERLINK("C:\Projects\Kleinanzeigen-Scraper\offer_images\2810633900", "Link")</f>
        <v/>
      </c>
      <c r="L779" t="inlineStr">
        <is>
          <t>Gerhard Kühne</t>
        </is>
      </c>
      <c r="M779" s="6">
        <f>HYPERLINK("https://www.kleinanzeigen.de/s-bestandsliste.html?userId=26064227", "Link")</f>
        <v/>
      </c>
      <c r="N779" s="7" t="n">
        <v>45500.72356481481</v>
      </c>
      <c r="O779" s="3" t="inlineStr">
        <is>
          <t>27.24</t>
        </is>
      </c>
      <c r="P779" t="inlineStr">
        <is>
          <t>Böblingen</t>
        </is>
      </c>
    </row>
    <row r="780">
      <c r="A780" t="inlineStr">
        <is>
          <t>YES Free 30</t>
        </is>
      </c>
      <c r="B780" s="3" t="n">
        <v>490</v>
      </c>
      <c r="C780" s="8" t="inlineStr">
        <is>
          <t>30%</t>
        </is>
      </c>
      <c r="D780" t="inlineStr"/>
      <c r="E780" s="4" t="n">
        <v>50</v>
      </c>
      <c r="F780" t="inlineStr"/>
      <c r="G780" t="inlineStr">
        <is>
          <t>71679 Baden-Württemberg - Asperg</t>
        </is>
      </c>
      <c r="H780" s="5" t="n">
        <v>45494</v>
      </c>
      <c r="I780" t="inlineStr">
        <is>
          <t>Sold</t>
        </is>
      </c>
      <c r="J780" s="6">
        <f>HYPERLINK("https://www.kleinanzeigen.de/s-anzeige/biete-windsurf-mast-von-yes-490-cm-laenge-30-carbon-/2817417391-230-8897", "Link")</f>
        <v/>
      </c>
      <c r="K780" s="6">
        <f>HYPERLINK("C:\Projects\Kleinanzeigen-Scraper\offer_images\2817417391", "Link")</f>
        <v/>
      </c>
      <c r="L780" t="inlineStr">
        <is>
          <t>Ralf Zander</t>
        </is>
      </c>
      <c r="M780" s="6">
        <f>HYPERLINK("https://www.kleinanzeigen.de/s-bestandsliste.html?userId=79374440", "Link")</f>
        <v/>
      </c>
      <c r="N780" s="7" t="n">
        <v>45500.72356481481</v>
      </c>
      <c r="O780" s="3" t="inlineStr">
        <is>
          <t>28.27</t>
        </is>
      </c>
      <c r="P780" t="inlineStr">
        <is>
          <t>Böblingen</t>
        </is>
      </c>
    </row>
    <row r="781">
      <c r="A781" t="inlineStr"/>
      <c r="B781" s="3" t="n">
        <v>470</v>
      </c>
      <c r="C781" s="8" t="inlineStr">
        <is>
          <t>100%</t>
        </is>
      </c>
      <c r="D781" t="inlineStr"/>
      <c r="E781" s="4" t="n">
        <v>30</v>
      </c>
      <c r="F781" t="inlineStr"/>
      <c r="G781" t="inlineStr">
        <is>
          <t>97980 Baden-Württemberg - Bad Mergentheim</t>
        </is>
      </c>
      <c r="H781" s="5" t="n">
        <v>45453</v>
      </c>
      <c r="I781" t="inlineStr">
        <is>
          <t>Sold</t>
        </is>
      </c>
      <c r="J781" s="6">
        <f>HYPERLINK("https://www.kleinanzeigen.de/s-anzeige/windsurf-mast/2784335843-241-8637", "Link")</f>
        <v/>
      </c>
      <c r="K781" s="6">
        <f>HYPERLINK("C:\Projects\Kleinanzeigen-Scraper\offer_images\2784335843", "Link")</f>
        <v/>
      </c>
      <c r="L781" t="inlineStr">
        <is>
          <t>Jonny</t>
        </is>
      </c>
      <c r="M781" s="6">
        <f>HYPERLINK("https://www.kleinanzeigen.de/s-bestandsliste.html?userId=50651551", "Link")</f>
        <v/>
      </c>
      <c r="N781" s="7" t="n">
        <v>45500.72355324074</v>
      </c>
      <c r="O781" s="3" t="inlineStr">
        <is>
          <t>104.21</t>
        </is>
      </c>
      <c r="P781" t="inlineStr">
        <is>
          <t>Böblingen</t>
        </is>
      </c>
    </row>
    <row r="782">
      <c r="A782" t="inlineStr">
        <is>
          <t>ZCKLÄ Surftechnik</t>
        </is>
      </c>
      <c r="B782" s="3" t="n">
        <v>481</v>
      </c>
      <c r="C782" s="8" t="inlineStr"/>
      <c r="D782" t="inlineStr"/>
      <c r="E782" s="4" t="n">
        <v>5</v>
      </c>
      <c r="F782" t="inlineStr"/>
      <c r="G782" t="inlineStr">
        <is>
          <t>78052 Baden-Württemberg - Villingen-Schwenningen</t>
        </is>
      </c>
      <c r="H782" s="5" t="n">
        <v>45494</v>
      </c>
      <c r="I782" t="inlineStr">
        <is>
          <t>Sold</t>
        </is>
      </c>
      <c r="J782" s="6">
        <f>HYPERLINK("https://www.kleinanzeigen.de/s-anzeige/windsurf-mast-laenge-4-81-meter/2817553840-230-9103", "Link")</f>
        <v/>
      </c>
      <c r="K782" s="6">
        <f>HYPERLINK("C:\Projects\Kleinanzeigen-Scraper\offer_images\2817553840", "Link")</f>
        <v/>
      </c>
      <c r="L782" t="inlineStr">
        <is>
          <t>Ruppert</t>
        </is>
      </c>
      <c r="M782" s="6">
        <f>HYPERLINK("https://www.kleinanzeigen.de/s-bestandsliste.html?userId=50597780", "Link")</f>
        <v/>
      </c>
      <c r="N782" s="7" t="n">
        <v>45500.72355324074</v>
      </c>
      <c r="O782" s="3" t="inlineStr">
        <is>
          <t>25.58</t>
        </is>
      </c>
      <c r="P782" t="inlineStr">
        <is>
          <t>Bonndorf</t>
        </is>
      </c>
    </row>
    <row r="783">
      <c r="A783" t="inlineStr">
        <is>
          <t>Open Ocean</t>
        </is>
      </c>
      <c r="B783" s="3" t="n">
        <v>60.7</v>
      </c>
      <c r="C783" s="8" t="inlineStr"/>
      <c r="D783" t="inlineStr"/>
      <c r="E783" s="4" t="n">
        <v>25</v>
      </c>
      <c r="F783" t="inlineStr"/>
      <c r="G783" t="inlineStr">
        <is>
          <t>76646 Baden-Württemberg - Bruchsal</t>
        </is>
      </c>
      <c r="H783" s="5" t="n">
        <v>45207</v>
      </c>
      <c r="I783" t="inlineStr">
        <is>
          <t>Sold</t>
        </is>
      </c>
      <c r="J783" s="6">
        <f>HYPERLINK("https://www.kleinanzeigen.de/s-anzeige/mastverlaengerung-windsurfen-open-ocean/2567338803-230-8795", "Link")</f>
        <v/>
      </c>
      <c r="K783" s="6">
        <f>HYPERLINK("C:\Projects\Kleinanzeigen-Scraper\offer_images\2567338803", "Link")</f>
        <v/>
      </c>
      <c r="L783" t="inlineStr">
        <is>
          <t>RE</t>
        </is>
      </c>
      <c r="M783" s="6">
        <f>HYPERLINK("https://www.kleinanzeigen.de/s-bestandsliste.html?userId=3435242", "Link")</f>
        <v/>
      </c>
      <c r="N783" s="7" t="n">
        <v>45500.72342592593</v>
      </c>
      <c r="O783" s="3" t="inlineStr">
        <is>
          <t>18.28</t>
        </is>
      </c>
      <c r="P783" t="inlineStr">
        <is>
          <t>Karlsruhe</t>
        </is>
      </c>
    </row>
    <row r="784">
      <c r="A784" t="inlineStr">
        <is>
          <t>Neilpryde X3</t>
        </is>
      </c>
      <c r="B784" s="3" t="n">
        <v>430</v>
      </c>
      <c r="C784" s="8" t="inlineStr">
        <is>
          <t>35%</t>
        </is>
      </c>
      <c r="D784" t="inlineStr">
        <is>
          <t>SDM</t>
        </is>
      </c>
      <c r="E784" s="4" t="n">
        <v>130</v>
      </c>
      <c r="F784" t="inlineStr"/>
      <c r="G784" t="inlineStr">
        <is>
          <t>78187 Baden-Württemberg - Geisingen</t>
        </is>
      </c>
      <c r="H784" s="5" t="n">
        <v>45487</v>
      </c>
      <c r="I784" t="inlineStr">
        <is>
          <t>Sold</t>
        </is>
      </c>
      <c r="J784" s="6">
        <f>HYPERLINK("https://www.kleinanzeigen.de/s-anzeige/windsurf-mast-430cm-35-carbon-neilpryde-x3-constant-curve/2812624261-230-8860", "Link")</f>
        <v/>
      </c>
      <c r="K784" s="6">
        <f>HYPERLINK("C:\Projects\Kleinanzeigen-Scraper\offer_images\2812624261", "Link")</f>
        <v/>
      </c>
      <c r="L784" t="inlineStr">
        <is>
          <t>Tobias B.</t>
        </is>
      </c>
      <c r="M784" s="6">
        <f>HYPERLINK("https://www.kleinanzeigen.de/s-bestandsliste.html?userId=35855171", "Link")</f>
        <v/>
      </c>
      <c r="N784" s="7" t="n">
        <v>45500.72341435185</v>
      </c>
      <c r="O784" s="3" t="inlineStr">
        <is>
          <t>24.74</t>
        </is>
      </c>
      <c r="P784" t="inlineStr">
        <is>
          <t>Bonndorf</t>
        </is>
      </c>
    </row>
    <row r="785">
      <c r="A785" t="inlineStr">
        <is>
          <t>Magic Stick</t>
        </is>
      </c>
      <c r="B785" s="3" t="n">
        <v>460</v>
      </c>
      <c r="C785" s="8" t="inlineStr">
        <is>
          <t>90%</t>
        </is>
      </c>
      <c r="D785" t="inlineStr">
        <is>
          <t>RDM</t>
        </is>
      </c>
      <c r="E785" s="4" t="n">
        <v>350</v>
      </c>
      <c r="F785" t="inlineStr"/>
      <c r="G785" t="inlineStr">
        <is>
          <t>67346 Rheinland-Pfalz - Speyer</t>
        </is>
      </c>
      <c r="H785" s="5" t="n">
        <v>45471</v>
      </c>
      <c r="I785" t="inlineStr">
        <is>
          <t>Sold</t>
        </is>
      </c>
      <c r="J785" s="6">
        <f>HYPERLINK("https://www.kleinanzeigen.de/s-anzeige/windsurf-mast-magic-stick-460cm-rdm/2799225360-230-5365", "Link")</f>
        <v/>
      </c>
      <c r="K785" s="6">
        <f>HYPERLINK("C:\Projects\Kleinanzeigen-Scraper\offer_images\2799225360", "Link")</f>
        <v/>
      </c>
      <c r="L785" t="inlineStr">
        <is>
          <t>D. Ertel</t>
        </is>
      </c>
      <c r="M785" s="6">
        <f>HYPERLINK("https://www.kleinanzeigen.de/s-bestandsliste.html?userId=13322828", "Link")</f>
        <v/>
      </c>
      <c r="N785" s="7" t="n">
        <v>45500.7233449074</v>
      </c>
      <c r="O785" s="3" t="inlineStr">
        <is>
          <t>35.76</t>
        </is>
      </c>
      <c r="P785" t="inlineStr">
        <is>
          <t>Karlsruhe</t>
        </is>
      </c>
    </row>
    <row r="786">
      <c r="A786" t="inlineStr">
        <is>
          <t>RODZ Hawai</t>
        </is>
      </c>
      <c r="B786" s="3" t="n">
        <v>25</v>
      </c>
      <c r="C786" s="8" t="inlineStr"/>
      <c r="D786" t="inlineStr">
        <is>
          <t>SDM</t>
        </is>
      </c>
      <c r="E786" s="4" t="n">
        <v>10</v>
      </c>
      <c r="F786" t="inlineStr"/>
      <c r="G786" t="inlineStr">
        <is>
          <t>79350 Baden-Württemberg - Sexau</t>
        </is>
      </c>
      <c r="H786" s="5" t="n">
        <v>45490</v>
      </c>
      <c r="I786" t="inlineStr">
        <is>
          <t>Sold</t>
        </is>
      </c>
      <c r="J786" s="6">
        <f>HYPERLINK("https://www.kleinanzeigen.de/s-anzeige/windsurf-mastverlaengerung-25-cm/2814800069-230-8288", "Link")</f>
        <v/>
      </c>
      <c r="K786" s="6">
        <f>HYPERLINK("C:\Projects\Kleinanzeigen-Scraper\offer_images\2814800069", "Link")</f>
        <v/>
      </c>
      <c r="L786" t="inlineStr">
        <is>
          <t>Robert</t>
        </is>
      </c>
      <c r="M786" s="6">
        <f>HYPERLINK("https://www.kleinanzeigen.de/s-bestandsliste.html?userId=18951209", "Link")</f>
        <v/>
      </c>
      <c r="N786" s="7" t="n">
        <v>45500.72333333334</v>
      </c>
      <c r="O786" s="3" t="inlineStr">
        <is>
          <t>45.20</t>
        </is>
      </c>
      <c r="P786" t="inlineStr">
        <is>
          <t>Bonndorf</t>
        </is>
      </c>
    </row>
  </sheetData>
  <autoFilter ref="A1:P786"/>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560"/>
  <sheetViews>
    <sheetView workbookViewId="0">
      <selection activeCell="A1" sqref="A1"/>
    </sheetView>
  </sheetViews>
  <sheetFormatPr baseColWidth="8" defaultRowHeight="15"/>
  <cols>
    <col width="47" customWidth="1" min="1" max="1"/>
    <col width="34" customWidth="1" min="2" max="2"/>
    <col width="13" customWidth="1" min="3" max="3"/>
    <col width="24" customWidth="1" min="4" max="4"/>
    <col width="6" customWidth="1" min="5" max="5"/>
    <col width="58" customWidth="1" min="6" max="6"/>
    <col width="10" customWidth="1" min="7" max="7"/>
    <col width="8" customWidth="1" min="8" max="8"/>
    <col width="10" customWidth="1" min="9" max="9"/>
    <col width="10" customWidth="1" min="10" max="10"/>
    <col width="27" customWidth="1" min="11" max="11"/>
    <col width="20" customWidth="1" min="12" max="12"/>
    <col width="23" customWidth="1" min="13" max="13"/>
    <col width="21" customWidth="1" min="14" max="14"/>
    <col width="17" customWidth="1" min="15" max="15"/>
  </cols>
  <sheetData>
    <row r="1">
      <c r="A1" s="1" t="inlineStr">
        <is>
          <t>Brand</t>
        </is>
      </c>
      <c r="B1" s="1" t="inlineStr">
        <is>
          <t>Size</t>
        </is>
      </c>
      <c r="C1" s="1" t="inlineStr">
        <is>
          <t>Year</t>
        </is>
      </c>
      <c r="D1" s="1" t="inlineStr">
        <is>
          <t>Price</t>
        </is>
      </c>
      <c r="E1" s="1" t="inlineStr">
        <is>
          <t>VB</t>
        </is>
      </c>
      <c r="F1" s="1" t="inlineStr">
        <is>
          <t>Location</t>
        </is>
      </c>
      <c r="G1" s="1" t="inlineStr">
        <is>
          <t>Date</t>
        </is>
      </c>
      <c r="H1" s="1" t="inlineStr">
        <is>
          <t>Sold</t>
        </is>
      </c>
      <c r="I1" s="1" t="inlineStr">
        <is>
          <t>Link</t>
        </is>
      </c>
      <c r="J1" s="1" t="inlineStr">
        <is>
          <t>Images</t>
        </is>
      </c>
      <c r="K1" s="1" t="inlineStr">
        <is>
          <t>User name</t>
        </is>
      </c>
      <c r="L1" s="1" t="inlineStr">
        <is>
          <t>All other offers</t>
        </is>
      </c>
      <c r="M1" s="1" t="inlineStr">
        <is>
          <t>Scraped on</t>
        </is>
      </c>
      <c r="N1" s="1" t="inlineStr">
        <is>
          <t>Min Distance (km)</t>
        </is>
      </c>
      <c r="O1" s="1" t="inlineStr">
        <is>
          <t>Closest place</t>
        </is>
      </c>
    </row>
    <row r="2">
      <c r="A2" t="inlineStr">
        <is>
          <t>Severne Enigma</t>
        </is>
      </c>
      <c r="B2" t="inlineStr">
        <is>
          <t>180-230</t>
        </is>
      </c>
      <c r="C2" t="inlineStr">
        <is>
          <t>2021</t>
        </is>
      </c>
      <c r="D2" s="4" t="n">
        <v>540</v>
      </c>
      <c r="E2" t="inlineStr"/>
      <c r="F2" t="inlineStr">
        <is>
          <t>9000 St.Gallen</t>
        </is>
      </c>
      <c r="G2" s="5" t="n">
        <v>45568</v>
      </c>
      <c r="H2" t="inlineStr"/>
      <c r="I2" s="6">
        <f>HYPERLINK("https://www.dailydose.de/kleinanzeigen/detail.htm?ai=423548&amp;cf=kk&amp;pg=1&amp;ci=13", "Link")</f>
        <v/>
      </c>
      <c r="J2" s="6">
        <f>HYPERLINK("C:\Projects\Kleinanzeigen-Scraper\offer_images\423548", "Link")</f>
        <v/>
      </c>
      <c r="K2" t="inlineStr">
        <is>
          <t>joernsen</t>
        </is>
      </c>
      <c r="L2" s="6">
        <f>HYPERLINK("https://www.dailydose.de/kleinanzeigen/user/26213", "Link")</f>
        <v/>
      </c>
      <c r="M2" s="7" t="n">
        <v>45568.75458333334</v>
      </c>
      <c r="N2" s="3" t="inlineStr">
        <is>
          <t>705.26</t>
        </is>
      </c>
      <c r="O2" t="inlineStr">
        <is>
          <t>Köln</t>
        </is>
      </c>
    </row>
    <row r="3">
      <c r="A3" t="inlineStr">
        <is>
          <t>Goya</t>
        </is>
      </c>
      <c r="B3" t="inlineStr">
        <is>
          <t>160-210</t>
        </is>
      </c>
      <c r="C3" t="inlineStr"/>
      <c r="D3" s="4" t="n">
        <v>390</v>
      </c>
      <c r="E3" t="inlineStr">
        <is>
          <t>VB</t>
        </is>
      </c>
      <c r="F3" t="inlineStr">
        <is>
          <t>87437 Bayern - Kempten</t>
        </is>
      </c>
      <c r="G3" s="5" t="n">
        <v>45568</v>
      </c>
      <c r="H3" t="inlineStr"/>
      <c r="I3" s="6">
        <f>HYPERLINK("https://www.kleinanzeigen.de/s-anzeige/goya-gabelbaum-carbon-160-210/2880822427-230-7620", "Link")</f>
        <v/>
      </c>
      <c r="J3" s="6">
        <f>HYPERLINK("C:\Projects\Kleinanzeigen-Scraper\offer_images\2880822427", "Link")</f>
        <v/>
      </c>
      <c r="K3" t="inlineStr">
        <is>
          <t>kiefert petra</t>
        </is>
      </c>
      <c r="L3" s="6">
        <f>HYPERLINK("https://www.kleinanzeigen.de/s-bestandsliste.html?userId=74090294", "Link")</f>
        <v/>
      </c>
      <c r="M3" s="7" t="n">
        <v>45568.75271990741</v>
      </c>
      <c r="N3" s="3" t="inlineStr">
        <is>
          <t>101.34</t>
        </is>
      </c>
      <c r="O3" t="inlineStr">
        <is>
          <t>München</t>
        </is>
      </c>
    </row>
    <row r="4">
      <c r="A4" t="inlineStr">
        <is>
          <t>Severne</t>
        </is>
      </c>
      <c r="B4" t="inlineStr">
        <is>
          <t>160-220</t>
        </is>
      </c>
      <c r="C4" t="inlineStr"/>
      <c r="D4" s="4" t="n">
        <v>169</v>
      </c>
      <c r="E4" t="inlineStr">
        <is>
          <t>VB</t>
        </is>
      </c>
      <c r="F4" t="inlineStr">
        <is>
          <t>87437 Bayern - Kempten</t>
        </is>
      </c>
      <c r="G4" s="5" t="n">
        <v>45568</v>
      </c>
      <c r="H4" t="inlineStr"/>
      <c r="I4" s="6">
        <f>HYPERLINK("https://www.kleinanzeigen.de/s-anzeige/severne-gabelbaum-160-220/2880833092-230-7620", "Link")</f>
        <v/>
      </c>
      <c r="J4" s="6">
        <f>HYPERLINK("C:\Projects\Kleinanzeigen-Scraper\offer_images\2880833092", "Link")</f>
        <v/>
      </c>
      <c r="K4" t="inlineStr">
        <is>
          <t>kiefert petra</t>
        </is>
      </c>
      <c r="L4" s="6">
        <f>HYPERLINK("https://www.kleinanzeigen.de/s-bestandsliste.html?userId=74090294", "Link")</f>
        <v/>
      </c>
      <c r="M4" s="7" t="n">
        <v>45568.74868055555</v>
      </c>
      <c r="N4" s="3" t="inlineStr">
        <is>
          <t>101.34</t>
        </is>
      </c>
      <c r="O4" t="inlineStr">
        <is>
          <t>München</t>
        </is>
      </c>
    </row>
    <row r="5">
      <c r="A5" t="inlineStr">
        <is>
          <t>Severne Metal</t>
        </is>
      </c>
      <c r="B5" t="inlineStr">
        <is>
          <t>150-200</t>
        </is>
      </c>
      <c r="C5" t="inlineStr"/>
      <c r="D5" s="4" t="n">
        <v>169</v>
      </c>
      <c r="E5" t="inlineStr">
        <is>
          <t>VB</t>
        </is>
      </c>
      <c r="F5" t="inlineStr">
        <is>
          <t>87437 Bayern - Kempten</t>
        </is>
      </c>
      <c r="G5" s="5" t="n">
        <v>45568</v>
      </c>
      <c r="H5" t="inlineStr"/>
      <c r="I5" s="6">
        <f>HYPERLINK("https://www.kleinanzeigen.de/s-anzeige/severne-gabelbaum-metal-150-200/2880827592-230-7620", "Link")</f>
        <v/>
      </c>
      <c r="J5" s="6">
        <f>HYPERLINK("C:\Projects\Kleinanzeigen-Scraper\offer_images\2880827592", "Link")</f>
        <v/>
      </c>
      <c r="K5" t="inlineStr">
        <is>
          <t>kiefert petra</t>
        </is>
      </c>
      <c r="L5" s="6">
        <f>HYPERLINK("https://www.kleinanzeigen.de/s-bestandsliste.html?userId=74090294", "Link")</f>
        <v/>
      </c>
      <c r="M5" s="7" t="n">
        <v>45568.746875</v>
      </c>
      <c r="N5" s="3" t="inlineStr">
        <is>
          <t>101.34</t>
        </is>
      </c>
      <c r="O5" t="inlineStr">
        <is>
          <t>München</t>
        </is>
      </c>
    </row>
    <row r="6">
      <c r="A6" t="inlineStr">
        <is>
          <t>Neilpryde X9</t>
        </is>
      </c>
      <c r="B6" t="inlineStr">
        <is>
          <t>160-210</t>
        </is>
      </c>
      <c r="C6" t="inlineStr"/>
      <c r="D6" s="4" t="n">
        <v>100</v>
      </c>
      <c r="E6" t="inlineStr"/>
      <c r="F6" t="inlineStr">
        <is>
          <t>88400 Baden-Württemberg - Biberach an der Riß</t>
        </is>
      </c>
      <c r="G6" s="5" t="n">
        <v>45568</v>
      </c>
      <c r="H6" t="inlineStr"/>
      <c r="I6" s="6">
        <f>HYPERLINK("https://www.kleinanzeigen.de/s-anzeige/neilpryde-x9-voll-carbon-boom-160-210/2880917227-230-8706", "Link")</f>
        <v/>
      </c>
      <c r="J6" s="6">
        <f>HYPERLINK("C:\Projects\Kleinanzeigen-Scraper\offer_images\2880917227", "Link")</f>
        <v/>
      </c>
      <c r="K6" t="inlineStr">
        <is>
          <t>Schneider</t>
        </is>
      </c>
      <c r="L6" s="6">
        <f>HYPERLINK("https://www.kleinanzeigen.de/s-bestandsliste.html?userId=3638597", "Link")</f>
        <v/>
      </c>
      <c r="M6" s="7" t="n">
        <v>45568.74677083334</v>
      </c>
      <c r="N6" s="3" t="inlineStr">
        <is>
          <t>89.53</t>
        </is>
      </c>
      <c r="O6" t="inlineStr">
        <is>
          <t>Böblingen</t>
        </is>
      </c>
    </row>
    <row r="7">
      <c r="A7" t="inlineStr">
        <is>
          <t>Neilpryde</t>
        </is>
      </c>
      <c r="B7" t="inlineStr">
        <is>
          <t>225-275</t>
        </is>
      </c>
      <c r="C7" t="inlineStr"/>
      <c r="D7" s="4" t="n">
        <v>50</v>
      </c>
      <c r="E7" t="inlineStr">
        <is>
          <t>VB</t>
        </is>
      </c>
      <c r="F7" t="inlineStr">
        <is>
          <t>41749 Nordrhein-Westfalen - Viersen</t>
        </is>
      </c>
      <c r="G7" s="5" t="n">
        <v>45533</v>
      </c>
      <c r="H7" t="inlineStr"/>
      <c r="I7" s="6">
        <f>HYPERLINK("https://www.kleinanzeigen.de/s-anzeige/gabelbaum-neilpryde-225-275/2848911386-230-1789", "Link")</f>
        <v/>
      </c>
      <c r="J7" s="6">
        <f>HYPERLINK("C:\Projects\Kleinanzeigen-Scraper\offer_images\2848911386", "Link")</f>
        <v/>
      </c>
      <c r="K7" t="inlineStr">
        <is>
          <t>Renè</t>
        </is>
      </c>
      <c r="L7" s="6">
        <f>HYPERLINK("https://www.kleinanzeigen.de/s-bestandsliste.html?userId=4076512", "Link")</f>
        <v/>
      </c>
      <c r="M7" s="7" t="n">
        <v>45567.75287037037</v>
      </c>
      <c r="N7" s="3" t="inlineStr">
        <is>
          <t>57.18</t>
        </is>
      </c>
      <c r="O7" t="inlineStr">
        <is>
          <t>Köln</t>
        </is>
      </c>
    </row>
    <row r="8">
      <c r="A8" t="inlineStr">
        <is>
          <t>Gaastra Carbon</t>
        </is>
      </c>
      <c r="B8" t="inlineStr">
        <is>
          <t>160-210</t>
        </is>
      </c>
      <c r="C8" t="inlineStr"/>
      <c r="D8" s="4" t="n">
        <v>380</v>
      </c>
      <c r="E8" t="inlineStr"/>
      <c r="F8" t="inlineStr">
        <is>
          <t>12527 Berlin - Köpenick</t>
        </is>
      </c>
      <c r="G8" s="5" t="n">
        <v>45567</v>
      </c>
      <c r="H8" t="inlineStr">
        <is>
          <t>Sold</t>
        </is>
      </c>
      <c r="I8" s="6">
        <f>HYPERLINK("https://www.kleinanzeigen.de/s-anzeige/gaastra-carbon-gabelbaum-160-210cm-surfbrett-surfmaterial-segel/2880226229-230-3370", "Link")</f>
        <v/>
      </c>
      <c r="J8" s="6">
        <f>HYPERLINK("C:\Projects\Kleinanzeigen-Scraper\offer_images\2880226229", "Link")</f>
        <v/>
      </c>
      <c r="K8" t="inlineStr">
        <is>
          <t>stg</t>
        </is>
      </c>
      <c r="L8" s="6">
        <f>HYPERLINK("https://www.kleinanzeigen.de/s-bestandsliste.html?userId=8377", "Link")</f>
        <v/>
      </c>
      <c r="M8" s="7" t="n">
        <v>45567.74956018518</v>
      </c>
      <c r="N8" s="3" t="inlineStr">
        <is>
          <t>487.71</t>
        </is>
      </c>
      <c r="O8" t="inlineStr">
        <is>
          <t>Köln</t>
        </is>
      </c>
    </row>
    <row r="9">
      <c r="A9" t="inlineStr">
        <is>
          <t>Neilpryde Integrated-Rig</t>
        </is>
      </c>
      <c r="B9" t="inlineStr">
        <is>
          <t>135-190</t>
        </is>
      </c>
      <c r="C9" t="inlineStr"/>
      <c r="D9" s="4" t="n">
        <v>40</v>
      </c>
      <c r="E9" t="inlineStr"/>
      <c r="F9" t="inlineStr">
        <is>
          <t>22587 Altona - Hamburg Blankenese</t>
        </is>
      </c>
      <c r="G9" s="5" t="n">
        <v>45533</v>
      </c>
      <c r="H9" t="inlineStr">
        <is>
          <t>Sold</t>
        </is>
      </c>
      <c r="I9" s="6">
        <f>HYPERLINK("https://www.kleinanzeigen.de/s-anzeige/gabelbaum-neilpryde/2849215620-230-9509", "Link")</f>
        <v/>
      </c>
      <c r="J9" s="6">
        <f>HYPERLINK("C:\Projects\Kleinanzeigen-Scraper\offer_images\2849215620", "Link")</f>
        <v/>
      </c>
      <c r="K9" t="inlineStr">
        <is>
          <t>Andrea H</t>
        </is>
      </c>
      <c r="L9" s="6">
        <f>HYPERLINK("https://www.kleinanzeigen.de/s-bestandsliste.html?userId=6748191", "Link")</f>
        <v/>
      </c>
      <c r="M9" s="7" t="n">
        <v>45567.74864583334</v>
      </c>
      <c r="N9" s="3" t="inlineStr">
        <is>
          <t>349.90</t>
        </is>
      </c>
      <c r="O9" t="inlineStr">
        <is>
          <t>Köln</t>
        </is>
      </c>
    </row>
    <row r="10">
      <c r="A10" t="inlineStr">
        <is>
          <t>North Sails</t>
        </is>
      </c>
      <c r="B10" t="inlineStr">
        <is>
          <t>200-250</t>
        </is>
      </c>
      <c r="C10" t="inlineStr"/>
      <c r="D10" s="4" t="n">
        <v>129</v>
      </c>
      <c r="E10" t="inlineStr">
        <is>
          <t>VB</t>
        </is>
      </c>
      <c r="F10" t="inlineStr">
        <is>
          <t>85716 Kr. München - Unterschleißheim</t>
        </is>
      </c>
      <c r="G10" s="5" t="n">
        <v>45567</v>
      </c>
      <c r="H10" t="inlineStr"/>
      <c r="I10" s="6">
        <f>HYPERLINK("https://www.kleinanzeigen.de/s-anzeige/north-sails-windsurf-gabel-silver-hd-alu-200-250/2880438684-230-5586", "Link")</f>
        <v/>
      </c>
      <c r="J10" s="6">
        <f>HYPERLINK("C:\Projects\Kleinanzeigen-Scraper\offer_images\2880438684", "Link")</f>
        <v/>
      </c>
      <c r="K10" t="inlineStr">
        <is>
          <t>Eichhorn</t>
        </is>
      </c>
      <c r="L10" s="6">
        <f>HYPERLINK("https://www.kleinanzeigen.de/s-bestandsliste.html?userId=15644567", "Link")</f>
        <v/>
      </c>
      <c r="M10" s="7" t="n">
        <v>45567.74824074074</v>
      </c>
      <c r="N10" s="3" t="inlineStr">
        <is>
          <t>16.25</t>
        </is>
      </c>
      <c r="O10" t="inlineStr">
        <is>
          <t>München</t>
        </is>
      </c>
    </row>
    <row r="11">
      <c r="A11" t="inlineStr">
        <is>
          <t>Neilpryde x9</t>
        </is>
      </c>
      <c r="B11" t="inlineStr">
        <is>
          <t>160-220</t>
        </is>
      </c>
      <c r="C11" t="inlineStr"/>
      <c r="D11" s="4" t="n">
        <v>315</v>
      </c>
      <c r="E11" t="inlineStr"/>
      <c r="F11" t="inlineStr">
        <is>
          <t>18211 Bad Doberan - Landkreis - Bargeshagen</t>
        </is>
      </c>
      <c r="G11" s="5" t="n">
        <v>45566</v>
      </c>
      <c r="H11" t="inlineStr"/>
      <c r="I11" s="6">
        <f>HYPERLINK("https://www.kleinanzeigen.de/s-anzeige/neilpryde-x9-windsurfgabel-160-220cm/2879425215-230-16583", "Link")</f>
        <v/>
      </c>
      <c r="J11" s="6">
        <f>HYPERLINK("C:\Projects\Kleinanzeigen-Scraper\offer_images\2879425215", "Link")</f>
        <v/>
      </c>
      <c r="K11" t="inlineStr">
        <is>
          <t>Dirk</t>
        </is>
      </c>
      <c r="L11" s="6">
        <f>HYPERLINK("https://www.kleinanzeigen.de/s-bestandsliste.html?userId=141661148", "Link")</f>
        <v/>
      </c>
      <c r="M11" s="7" t="n">
        <v>45566.73989583334</v>
      </c>
      <c r="N11" s="3" t="inlineStr">
        <is>
          <t>490.50</t>
        </is>
      </c>
      <c r="O11" t="inlineStr">
        <is>
          <t>Köln</t>
        </is>
      </c>
    </row>
    <row r="12">
      <c r="A12" t="inlineStr">
        <is>
          <t>Duotone Silver</t>
        </is>
      </c>
      <c r="B12" t="inlineStr">
        <is>
          <t>180-230</t>
        </is>
      </c>
      <c r="C12" t="inlineStr"/>
      <c r="D12" s="4" t="n">
        <v>160</v>
      </c>
      <c r="E12" t="inlineStr">
        <is>
          <t>VB</t>
        </is>
      </c>
      <c r="F12" t="inlineStr">
        <is>
          <t>24118 Kiel - Ravensberg-Brunswik-Düsternbrook</t>
        </is>
      </c>
      <c r="G12" s="5" t="n">
        <v>45566</v>
      </c>
      <c r="H12" t="inlineStr"/>
      <c r="I12" s="6">
        <f>HYPERLINK("https://www.kleinanzeigen.de/s-anzeige/windsurf-gabel-duotone-silver-180-230-/2879107920-230-704", "Link")</f>
        <v/>
      </c>
      <c r="J12" s="6">
        <f>HYPERLINK("C:\Projects\Kleinanzeigen-Scraper\offer_images\2879107920", "Link")</f>
        <v/>
      </c>
      <c r="K12" t="inlineStr">
        <is>
          <t>Dieko</t>
        </is>
      </c>
      <c r="L12" s="6">
        <f>HYPERLINK("https://www.kleinanzeigen.de/s-bestandsliste.html?userId=8939674", "Link")</f>
        <v/>
      </c>
      <c r="M12" s="7" t="n">
        <v>45566.73621527778</v>
      </c>
      <c r="N12" s="3" t="inlineStr">
        <is>
          <t>434.29</t>
        </is>
      </c>
      <c r="O12" t="inlineStr">
        <is>
          <t>Köln</t>
        </is>
      </c>
    </row>
    <row r="13">
      <c r="A13" t="inlineStr">
        <is>
          <t>Neilpryde x9</t>
        </is>
      </c>
      <c r="B13" t="inlineStr">
        <is>
          <t>135-185</t>
        </is>
      </c>
      <c r="C13" t="inlineStr"/>
      <c r="D13" s="4" t="n">
        <v>60</v>
      </c>
      <c r="E13" t="inlineStr"/>
      <c r="F13" t="inlineStr">
        <is>
          <t>18211 Bad Doberan - Landkreis - Bargeshagen</t>
        </is>
      </c>
      <c r="G13" s="5" t="n">
        <v>45566</v>
      </c>
      <c r="H13" t="inlineStr"/>
      <c r="I13" s="6">
        <f>HYPERLINK("https://www.kleinanzeigen.de/s-anzeige/neilpryde-x9-windsurfgabel-135-185cm/2879413368-230-16583", "Link")</f>
        <v/>
      </c>
      <c r="J13" s="6">
        <f>HYPERLINK("C:\Projects\Kleinanzeigen-Scraper\offer_images\2879413368", "Link")</f>
        <v/>
      </c>
      <c r="K13" t="inlineStr">
        <is>
          <t>Dirk</t>
        </is>
      </c>
      <c r="L13" s="6">
        <f>HYPERLINK("https://www.kleinanzeigen.de/s-bestandsliste.html?userId=141661148", "Link")</f>
        <v/>
      </c>
      <c r="M13" s="7" t="n">
        <v>45566.73591435186</v>
      </c>
      <c r="N13" s="3" t="inlineStr">
        <is>
          <t>490.50</t>
        </is>
      </c>
      <c r="O13" t="inlineStr">
        <is>
          <t>Köln</t>
        </is>
      </c>
    </row>
    <row r="14">
      <c r="A14" t="inlineStr">
        <is>
          <t>Neilpryde X9</t>
        </is>
      </c>
      <c r="B14" t="inlineStr">
        <is>
          <t>200-260</t>
        </is>
      </c>
      <c r="C14" t="inlineStr"/>
      <c r="D14" s="4" t="n">
        <v>250</v>
      </c>
      <c r="E14" t="inlineStr">
        <is>
          <t>VB</t>
        </is>
      </c>
      <c r="F14" t="inlineStr">
        <is>
          <t>18211 Bad Doberan - Landkreis - Bargeshagen</t>
        </is>
      </c>
      <c r="G14" s="5" t="n">
        <v>45566</v>
      </c>
      <c r="H14" t="inlineStr"/>
      <c r="I14" s="6">
        <f>HYPERLINK("https://www.kleinanzeigen.de/s-anzeige/neilpryde-x9-racegabel-200-260cm/2879406349-230-16583", "Link")</f>
        <v/>
      </c>
      <c r="J14" s="6">
        <f>HYPERLINK("C:\Projects\Kleinanzeigen-Scraper\offer_images\2879406349", "Link")</f>
        <v/>
      </c>
      <c r="K14" t="inlineStr">
        <is>
          <t>Dirk</t>
        </is>
      </c>
      <c r="L14" s="6">
        <f>HYPERLINK("https://www.kleinanzeigen.de/s-bestandsliste.html?userId=141661148", "Link")</f>
        <v/>
      </c>
      <c r="M14" s="7" t="n">
        <v>45566.73530092592</v>
      </c>
      <c r="N14" s="3" t="inlineStr">
        <is>
          <t>490.50</t>
        </is>
      </c>
      <c r="O14" t="inlineStr">
        <is>
          <t>Köln</t>
        </is>
      </c>
    </row>
    <row r="15">
      <c r="A15" t="inlineStr">
        <is>
          <t>North Sails Progression B</t>
        </is>
      </c>
      <c r="B15" t="inlineStr">
        <is>
          <t>140-190</t>
        </is>
      </c>
      <c r="C15" t="inlineStr"/>
      <c r="D15" s="4" t="n">
        <v>144</v>
      </c>
      <c r="E15" t="inlineStr"/>
      <c r="F15" t="inlineStr">
        <is>
          <t>18573 Mecklenburg-Vorpommern - Samtens</t>
        </is>
      </c>
      <c r="G15" s="5" t="n">
        <v>45565</v>
      </c>
      <c r="H15" t="inlineStr"/>
      <c r="I15" s="6">
        <f>HYPERLINK("https://www.kleinanzeigen.de/s-anzeige/gabelbaum-north-sails-progression-b-140-190-cm-top/2878781053-230-129", "Link")</f>
        <v/>
      </c>
      <c r="J15" s="6">
        <f>HYPERLINK("C:\Projects\Kleinanzeigen-Scraper\offer_images\2878781053", "Link")</f>
        <v/>
      </c>
      <c r="K15" t="inlineStr">
        <is>
          <t>Artur</t>
        </is>
      </c>
      <c r="L15" s="6">
        <f>HYPERLINK("https://www.kleinanzeigen.de/s-bestandsliste.html?userId=15248496", "Link")</f>
        <v/>
      </c>
      <c r="M15" s="7" t="n">
        <v>45566.73513888889</v>
      </c>
      <c r="N15" s="3" t="inlineStr">
        <is>
          <t>571.49</t>
        </is>
      </c>
      <c r="O15" t="inlineStr">
        <is>
          <t>Köln</t>
        </is>
      </c>
    </row>
    <row r="16">
      <c r="A16" t="inlineStr">
        <is>
          <t>Neilpryde x9</t>
        </is>
      </c>
      <c r="B16" t="inlineStr">
        <is>
          <t>180-230</t>
        </is>
      </c>
      <c r="C16" t="inlineStr"/>
      <c r="D16" s="4" t="n">
        <v>119</v>
      </c>
      <c r="E16" t="inlineStr">
        <is>
          <t>VB</t>
        </is>
      </c>
      <c r="F16" t="inlineStr">
        <is>
          <t>18211 Bad Doberan - Landkreis - Bargeshagen</t>
        </is>
      </c>
      <c r="G16" s="5" t="n">
        <v>45566</v>
      </c>
      <c r="H16" t="inlineStr"/>
      <c r="I16" s="6">
        <f>HYPERLINK("https://www.kleinanzeigen.de/s-anzeige/neilpryde-x9-windsurfgabel-180-230cm/2879397035-230-16583", "Link")</f>
        <v/>
      </c>
      <c r="J16" s="6">
        <f>HYPERLINK("C:\Projects\Kleinanzeigen-Scraper\offer_images\2879397035", "Link")</f>
        <v/>
      </c>
      <c r="K16" t="inlineStr">
        <is>
          <t>Dirk</t>
        </is>
      </c>
      <c r="L16" s="6">
        <f>HYPERLINK("https://www.kleinanzeigen.de/s-bestandsliste.html?userId=141661148", "Link")</f>
        <v/>
      </c>
      <c r="M16" s="7" t="n">
        <v>45566.73452546296</v>
      </c>
      <c r="N16" s="3" t="inlineStr">
        <is>
          <t>490.50</t>
        </is>
      </c>
      <c r="O16" t="inlineStr">
        <is>
          <t>Köln</t>
        </is>
      </c>
    </row>
    <row r="17">
      <c r="A17" t="inlineStr">
        <is>
          <t>NeilPryde X-CS Wave</t>
        </is>
      </c>
      <c r="B17" t="inlineStr">
        <is>
          <t>140-190</t>
        </is>
      </c>
      <c r="C17" t="inlineStr">
        <is>
          <t>2023</t>
        </is>
      </c>
      <c r="D17" s="4" t="n">
        <v>650</v>
      </c>
      <c r="E17" t="inlineStr"/>
      <c r="F17" t="inlineStr">
        <is>
          <t>82211 Bayern - Herrsching</t>
        </is>
      </c>
      <c r="G17" s="5" t="n">
        <v>45566</v>
      </c>
      <c r="H17" t="inlineStr">
        <is>
          <t>Sold</t>
        </is>
      </c>
      <c r="I17" s="6">
        <f>HYPERLINK("https://www.kleinanzeigen.de/s-anzeige/windsurf-gabelbaum-carbon-neilpryde/2879519064-230-5520", "Link")</f>
        <v/>
      </c>
      <c r="J17" s="6">
        <f>HYPERLINK("C:\Projects\Kleinanzeigen-Scraper\offer_images\2879519064", "Link")</f>
        <v/>
      </c>
      <c r="K17" t="inlineStr">
        <is>
          <t>Thomas</t>
        </is>
      </c>
      <c r="L17" s="6">
        <f>HYPERLINK("https://www.kleinanzeigen.de/s-bestandsliste.html?userId=47570105", "Link")</f>
        <v/>
      </c>
      <c r="M17" s="7" t="n">
        <v>45566.73407407408</v>
      </c>
      <c r="N17" s="3" t="inlineStr">
        <is>
          <t>32.73</t>
        </is>
      </c>
      <c r="O17" t="inlineStr">
        <is>
          <t>München</t>
        </is>
      </c>
    </row>
    <row r="18">
      <c r="A18" t="inlineStr">
        <is>
          <t>Neilpryde X9</t>
        </is>
      </c>
      <c r="B18" t="inlineStr">
        <is>
          <t>140-190</t>
        </is>
      </c>
      <c r="C18" t="inlineStr"/>
      <c r="D18" s="4" t="n">
        <v>250</v>
      </c>
      <c r="E18" t="inlineStr"/>
      <c r="F18" t="inlineStr">
        <is>
          <t>24118 Kiel - Ravensberg-Brunswik-Düsternbrook</t>
        </is>
      </c>
      <c r="G18" s="5" t="n">
        <v>45533</v>
      </c>
      <c r="H18" t="inlineStr">
        <is>
          <t>Sold</t>
        </is>
      </c>
      <c r="I18" s="6">
        <f>HYPERLINK("https://www.kleinanzeigen.de/s-anzeige/neilpryde-carbon-gabelbaum-x9-140-190/2849496570-230-704", "Link")</f>
        <v/>
      </c>
      <c r="J18" s="6">
        <f>HYPERLINK("C:\Projects\Kleinanzeigen-Scraper\offer_images\2849496570", "Link")</f>
        <v/>
      </c>
      <c r="K18" t="inlineStr">
        <is>
          <t>Leon</t>
        </is>
      </c>
      <c r="L18" s="6">
        <f>HYPERLINK("https://www.kleinanzeigen.de/s-bestandsliste.html?userId=79237818", "Link")</f>
        <v/>
      </c>
      <c r="M18" s="7" t="n">
        <v>45566.73333333333</v>
      </c>
      <c r="N18" s="3" t="inlineStr">
        <is>
          <t>434.29</t>
        </is>
      </c>
      <c r="O18" t="inlineStr">
        <is>
          <t>Köln</t>
        </is>
      </c>
    </row>
    <row r="19">
      <c r="A19" t="inlineStr">
        <is>
          <t>AL360</t>
        </is>
      </c>
      <c r="B19" t="inlineStr">
        <is>
          <t>170-230</t>
        </is>
      </c>
      <c r="C19" t="inlineStr"/>
      <c r="D19" s="4" t="n">
        <v>300</v>
      </c>
      <c r="E19" t="inlineStr"/>
      <c r="F19" t="inlineStr">
        <is>
          <t>46348</t>
        </is>
      </c>
      <c r="G19" s="5" t="n">
        <v>45564</v>
      </c>
      <c r="H19" t="inlineStr"/>
      <c r="I19" s="6">
        <f>HYPERLINK("https://www.dailydose.de/kleinanzeigen/detail.htm?ai=423401&amp;cf=kk&amp;pg=1&amp;ci=13", "Link")</f>
        <v/>
      </c>
      <c r="J19" s="6">
        <f>HYPERLINK("C:\Projects\Kleinanzeigen-Scraper\offer_images\423401", "Link")</f>
        <v/>
      </c>
      <c r="K19" t="inlineStr">
        <is>
          <t>DB2</t>
        </is>
      </c>
      <c r="L19" s="6">
        <f>HYPERLINK("https://www.dailydose.de/kleinanzeigen/user/6657", "Link")</f>
        <v/>
      </c>
      <c r="M19" s="7" t="n">
        <v>45565.74862268518</v>
      </c>
      <c r="N19" s="3" t="inlineStr">
        <is>
          <t>92.72</t>
        </is>
      </c>
      <c r="O19" t="inlineStr">
        <is>
          <t>Köln</t>
        </is>
      </c>
    </row>
    <row r="20">
      <c r="A20" t="inlineStr">
        <is>
          <t>Arrows</t>
        </is>
      </c>
      <c r="B20" t="inlineStr">
        <is>
          <t>250-300</t>
        </is>
      </c>
      <c r="C20" t="inlineStr"/>
      <c r="D20" s="4" t="n">
        <v>150</v>
      </c>
      <c r="E20" t="inlineStr"/>
      <c r="F20" t="inlineStr">
        <is>
          <t>40221 Düsseldorf</t>
        </is>
      </c>
      <c r="G20" s="5" t="n">
        <v>45564</v>
      </c>
      <c r="H20" t="inlineStr"/>
      <c r="I20" s="6">
        <f>HYPERLINK("https://www.dailydose.de/kleinanzeigen/detail.htm?ai=423396&amp;cf=kk&amp;pg=1&amp;ci=13", "Link")</f>
        <v/>
      </c>
      <c r="J20" s="6">
        <f>HYPERLINK("C:\Projects\Kleinanzeigen-Scraper\offer_images\423396", "Link")</f>
        <v/>
      </c>
      <c r="K20" t="inlineStr">
        <is>
          <t>surftkaum</t>
        </is>
      </c>
      <c r="L20" s="6">
        <f>HYPERLINK("https://www.dailydose.de/kleinanzeigen/user/20057", "Link")</f>
        <v/>
      </c>
      <c r="M20" s="7" t="n">
        <v>45565.74640046297</v>
      </c>
      <c r="N20" s="3" t="inlineStr">
        <is>
          <t>32.31</t>
        </is>
      </c>
      <c r="O20" t="inlineStr">
        <is>
          <t>Köln</t>
        </is>
      </c>
    </row>
    <row r="21">
      <c r="A21" t="inlineStr">
        <is>
          <t>ProLimit TCS</t>
        </is>
      </c>
      <c r="B21" t="inlineStr">
        <is>
          <t>150-210</t>
        </is>
      </c>
      <c r="C21" t="inlineStr">
        <is>
          <t>2024</t>
        </is>
      </c>
      <c r="D21" s="4" t="n">
        <v>220</v>
      </c>
      <c r="E21" t="inlineStr">
        <is>
          <t>VB</t>
        </is>
      </c>
      <c r="F21" t="inlineStr">
        <is>
          <t>18057 Rostock - Kröpeliner-Tor-Vorstadt</t>
        </is>
      </c>
      <c r="G21" s="5" t="n">
        <v>45565</v>
      </c>
      <c r="H21" t="inlineStr"/>
      <c r="I21" s="6">
        <f>HYPERLINK("https://www.kleinanzeigen.de/s-anzeige/gabelbaum-windsurfen-prolimit-tcs-rdg-26mm/2878249622-230-156", "Link")</f>
        <v/>
      </c>
      <c r="J21" s="6">
        <f>HYPERLINK("C:\Projects\Kleinanzeigen-Scraper\offer_images\2878249622", "Link")</f>
        <v/>
      </c>
      <c r="K21" t="inlineStr">
        <is>
          <t>Christoph</t>
        </is>
      </c>
      <c r="L21" s="6">
        <f>HYPERLINK("https://www.kleinanzeigen.de/s-bestandsliste.html?userId=10681771", "Link")</f>
        <v/>
      </c>
      <c r="M21" s="7" t="n">
        <v>45565.74430555556</v>
      </c>
      <c r="N21" s="3" t="inlineStr">
        <is>
          <t>494.07</t>
        </is>
      </c>
      <c r="O21" t="inlineStr">
        <is>
          <t>Köln</t>
        </is>
      </c>
    </row>
    <row r="22">
      <c r="A22" t="inlineStr">
        <is>
          <t>North Sails Platinum</t>
        </is>
      </c>
      <c r="B22" t="inlineStr">
        <is>
          <t>150-200</t>
        </is>
      </c>
      <c r="C22" t="inlineStr"/>
      <c r="D22" s="4" t="n">
        <v>250</v>
      </c>
      <c r="E22" t="inlineStr">
        <is>
          <t>VB</t>
        </is>
      </c>
      <c r="F22" t="inlineStr">
        <is>
          <t>87463 Bayern - Dietmannsried</t>
        </is>
      </c>
      <c r="G22" s="5" t="n">
        <v>45564</v>
      </c>
      <c r="H22" t="inlineStr"/>
      <c r="I22" s="6">
        <f>HYPERLINK("https://www.kleinanzeigen.de/s-anzeige/north-sails-platinum-boom-150-200/2878105173-230-7623", "Link")</f>
        <v/>
      </c>
      <c r="J22" s="6">
        <f>HYPERLINK("C:\Projects\Kleinanzeigen-Scraper\offer_images\2878105173", "Link")</f>
        <v/>
      </c>
      <c r="K22" t="inlineStr">
        <is>
          <t>Robert Bircheneder</t>
        </is>
      </c>
      <c r="L22" s="6">
        <f>HYPERLINK("https://www.kleinanzeigen.de/s-bestandsliste.html?userId=43544466", "Link")</f>
        <v/>
      </c>
      <c r="M22" s="7" t="n">
        <v>45565.74293981482</v>
      </c>
      <c r="N22" s="3" t="inlineStr">
        <is>
          <t>102.25</t>
        </is>
      </c>
      <c r="O22" t="inlineStr">
        <is>
          <t>München</t>
        </is>
      </c>
    </row>
    <row r="23">
      <c r="A23" t="inlineStr">
        <is>
          <t>Gun Sails Cross</t>
        </is>
      </c>
      <c r="B23" t="inlineStr">
        <is>
          <t>140-190, 150-200, 180-230</t>
        </is>
      </c>
      <c r="C23" t="inlineStr"/>
      <c r="D23" s="4" t="n">
        <v>135</v>
      </c>
      <c r="E23" t="inlineStr"/>
      <c r="F23" t="inlineStr">
        <is>
          <t>47198 Duisburg - Homberg/Ruhrort/Baerl</t>
        </is>
      </c>
      <c r="G23" s="5" t="n">
        <v>45565</v>
      </c>
      <c r="H23" t="inlineStr"/>
      <c r="I23" s="6">
        <f>HYPERLINK("https://www.kleinanzeigen.de/s-anzeige/gun-sails-cross-gabelbaum-3-stueck-windsurfen/2878486168-230-2140", "Link")</f>
        <v/>
      </c>
      <c r="J23" s="6">
        <f>HYPERLINK("C:\Projects\Kleinanzeigen-Scraper\offer_images\2878486168", "Link")</f>
        <v/>
      </c>
      <c r="K23" t="inlineStr">
        <is>
          <t>Stephan Kalbertod</t>
        </is>
      </c>
      <c r="L23" s="6">
        <f>HYPERLINK("https://www.kleinanzeigen.de/s-bestandsliste.html?userId=8064073", "Link")</f>
        <v/>
      </c>
      <c r="M23" s="7" t="n">
        <v>45565.73991898148</v>
      </c>
      <c r="N23" s="3" t="inlineStr">
        <is>
          <t>59.95</t>
        </is>
      </c>
      <c r="O23" t="inlineStr">
        <is>
          <t>Köln</t>
        </is>
      </c>
    </row>
    <row r="24">
      <c r="A24" t="inlineStr">
        <is>
          <t>North Sails</t>
        </is>
      </c>
      <c r="B24" t="inlineStr">
        <is>
          <t>205-235</t>
        </is>
      </c>
      <c r="C24" t="inlineStr"/>
      <c r="D24" s="4" t="n">
        <v>20</v>
      </c>
      <c r="E24" t="inlineStr"/>
      <c r="F24" t="inlineStr">
        <is>
          <t>82237 Bayern - Wörthsee</t>
        </is>
      </c>
      <c r="G24" s="5" t="n">
        <v>45565</v>
      </c>
      <c r="H24" t="inlineStr"/>
      <c r="I24" s="6">
        <f>HYPERLINK("https://www.kleinanzeigen.de/s-anzeige/gabelbaum-north-sails-205-235cm/2878586974-230-6355", "Link")</f>
        <v/>
      </c>
      <c r="J24" s="6">
        <f>HYPERLINK("C:\Projects\Kleinanzeigen-Scraper\offer_images\2878586974", "Link")</f>
        <v/>
      </c>
      <c r="K24" t="inlineStr">
        <is>
          <t>Andreas Franke</t>
        </is>
      </c>
      <c r="L24" s="6">
        <f>HYPERLINK("https://www.kleinanzeigen.de/s-bestandsliste.html?userId=34363492", "Link")</f>
        <v/>
      </c>
      <c r="M24" s="7" t="n">
        <v>45565.73929398148</v>
      </c>
      <c r="N24" s="3" t="inlineStr">
        <is>
          <t>28.59</t>
        </is>
      </c>
      <c r="O24" t="inlineStr">
        <is>
          <t>München</t>
        </is>
      </c>
    </row>
    <row r="25">
      <c r="A25" t="inlineStr">
        <is>
          <t>ProLimit TCS</t>
        </is>
      </c>
      <c r="B25" t="inlineStr">
        <is>
          <t>150-210</t>
        </is>
      </c>
      <c r="C25" t="inlineStr">
        <is>
          <t>2024</t>
        </is>
      </c>
      <c r="D25" s="4" t="n">
        <v>220</v>
      </c>
      <c r="E25" t="inlineStr">
        <is>
          <t>VB</t>
        </is>
      </c>
      <c r="F25" t="inlineStr">
        <is>
          <t>18057 Rostock</t>
        </is>
      </c>
      <c r="G25" s="5" t="n">
        <v>45564</v>
      </c>
      <c r="H25" t="inlineStr"/>
      <c r="I25" s="6">
        <f>HYPERLINK("https://www.dailydose.de/kleinanzeigen/detail.htm?ai=423374&amp;cf=kk&amp;pg=1&amp;ci=13", "Link")</f>
        <v/>
      </c>
      <c r="J25" s="6">
        <f>HYPERLINK("C:\Projects\Kleinanzeigen-Scraper\offer_images\423374", "Link")</f>
        <v/>
      </c>
      <c r="K25" t="inlineStr">
        <is>
          <t>Kikirichri</t>
        </is>
      </c>
      <c r="L25" s="6">
        <f>HYPERLINK("https://www.dailydose.de/kleinanzeigen/user/26468", "Link")</f>
        <v/>
      </c>
      <c r="M25" s="7" t="n">
        <v>45564.87565972222</v>
      </c>
      <c r="N25" s="3" t="inlineStr">
        <is>
          <t>494.07</t>
        </is>
      </c>
      <c r="O25" t="inlineStr">
        <is>
          <t>Köln</t>
        </is>
      </c>
    </row>
    <row r="26">
      <c r="A26" t="inlineStr">
        <is>
          <t>North Sails Gold</t>
        </is>
      </c>
      <c r="B26" t="inlineStr">
        <is>
          <t>140-190</t>
        </is>
      </c>
      <c r="C26" t="inlineStr"/>
      <c r="D26" s="4" t="n">
        <v>80</v>
      </c>
      <c r="E26" t="inlineStr"/>
      <c r="F26" t="inlineStr">
        <is>
          <t>81541 München</t>
        </is>
      </c>
      <c r="G26" s="5" t="n">
        <v>45564</v>
      </c>
      <c r="H26" t="inlineStr"/>
      <c r="I26" s="6">
        <f>HYPERLINK("https://www.dailydose.de/kleinanzeigen/detail.htm?ai=423361&amp;cf=kk&amp;pg=1&amp;ci=13", "Link")</f>
        <v/>
      </c>
      <c r="J26" s="6">
        <f>HYPERLINK("C:\Projects\Kleinanzeigen-Scraper\offer_images\423361", "Link")</f>
        <v/>
      </c>
      <c r="K26" t="inlineStr">
        <is>
          <t>jonas_171</t>
        </is>
      </c>
      <c r="L26" s="6">
        <f>HYPERLINK("https://www.dailydose.de/kleinanzeigen/user/12457", "Link")</f>
        <v/>
      </c>
      <c r="M26" s="7" t="n">
        <v>45564.87462962963</v>
      </c>
      <c r="N26" s="3" t="inlineStr">
        <is>
          <t>1.89</t>
        </is>
      </c>
      <c r="O26" t="inlineStr">
        <is>
          <t>München</t>
        </is>
      </c>
    </row>
    <row r="27">
      <c r="A27" t="inlineStr">
        <is>
          <t>Neil Pryde Carbon XCS Wave</t>
        </is>
      </c>
      <c r="B27" t="inlineStr">
        <is>
          <t>140-190</t>
        </is>
      </c>
      <c r="C27" t="inlineStr"/>
      <c r="D27" s="4" t="inlineStr">
        <is>
          <t>580.—</t>
        </is>
      </c>
      <c r="E27" t="inlineStr"/>
      <c r="F27" t="inlineStr">
        <is>
          <t>23562 Lübeck</t>
        </is>
      </c>
      <c r="G27" s="5" t="n">
        <v>45564</v>
      </c>
      <c r="H27" t="inlineStr"/>
      <c r="I27" s="6">
        <f>HYPERLINK("https://www.dailydose.de/kleinanzeigen/detail.htm?ai=423385&amp;cf=kk&amp;pg=1&amp;ci=13", "Link")</f>
        <v/>
      </c>
      <c r="J27" s="6">
        <f>HYPERLINK("C:\Projects\Kleinanzeigen-Scraper\offer_images\423385", "Link")</f>
        <v/>
      </c>
      <c r="K27" t="inlineStr">
        <is>
          <t>wegner_288</t>
        </is>
      </c>
      <c r="L27" s="6">
        <f>HYPERLINK("https://www.dailydose.de/kleinanzeigen/user/22862", "Link")</f>
        <v/>
      </c>
      <c r="M27" s="7" t="n">
        <v>45564.87342592593</v>
      </c>
      <c r="N27" s="3" t="inlineStr">
        <is>
          <t>410.15</t>
        </is>
      </c>
      <c r="O27" t="inlineStr">
        <is>
          <t>Köln</t>
        </is>
      </c>
    </row>
    <row r="28">
      <c r="A28" t="inlineStr">
        <is>
          <t>Simmer Style</t>
        </is>
      </c>
      <c r="B28" t="inlineStr">
        <is>
          <t>140-190</t>
        </is>
      </c>
      <c r="C28" t="inlineStr">
        <is>
          <t>2018</t>
        </is>
      </c>
      <c r="D28" s="4" t="n">
        <v>120</v>
      </c>
      <c r="E28" t="inlineStr"/>
      <c r="F28" t="inlineStr">
        <is>
          <t>81541 München</t>
        </is>
      </c>
      <c r="G28" s="5" t="n">
        <v>45564</v>
      </c>
      <c r="H28" t="inlineStr"/>
      <c r="I28" s="6">
        <f>HYPERLINK("https://www.dailydose.de/kleinanzeigen/detail.htm?ai=423358&amp;cf=kk&amp;pg=1&amp;ci=13", "Link")</f>
        <v/>
      </c>
      <c r="J28" s="6">
        <f>HYPERLINK("C:\Projects\Kleinanzeigen-Scraper\offer_images\423358", "Link")</f>
        <v/>
      </c>
      <c r="K28" t="inlineStr">
        <is>
          <t>jonas_171</t>
        </is>
      </c>
      <c r="L28" s="6">
        <f>HYPERLINK("https://www.dailydose.de/kleinanzeigen/user/12457", "Link")</f>
        <v/>
      </c>
      <c r="M28" s="7" t="n">
        <v>45564.87313657408</v>
      </c>
      <c r="N28" s="3" t="inlineStr">
        <is>
          <t>1.89</t>
        </is>
      </c>
      <c r="O28" t="inlineStr">
        <is>
          <t>München</t>
        </is>
      </c>
    </row>
    <row r="29">
      <c r="A29" t="inlineStr">
        <is>
          <t>Aeron MCT-29</t>
        </is>
      </c>
      <c r="B29" t="inlineStr">
        <is>
          <t>175-225</t>
        </is>
      </c>
      <c r="C29" t="inlineStr"/>
      <c r="D29" s="4" t="n">
        <v>180</v>
      </c>
      <c r="E29" t="inlineStr">
        <is>
          <t>VB</t>
        </is>
      </c>
      <c r="F29" t="inlineStr">
        <is>
          <t>29410 Salzwedel</t>
        </is>
      </c>
      <c r="G29" s="5" t="n">
        <v>45564</v>
      </c>
      <c r="H29" t="inlineStr"/>
      <c r="I29" s="6">
        <f>HYPERLINK("https://www.dailydose.de/kleinanzeigen/detail.htm?ai=423362&amp;cf=kk&amp;pg=1&amp;ci=13", "Link")</f>
        <v/>
      </c>
      <c r="J29" s="6">
        <f>HYPERLINK("C:\Projects\Kleinanzeigen-Scraper\offer_images\423362", "Link")</f>
        <v/>
      </c>
      <c r="K29" t="inlineStr">
        <is>
          <t>Robert_120</t>
        </is>
      </c>
      <c r="L29" s="6">
        <f>HYPERLINK("https://www.dailydose.de/kleinanzeigen/user/20152", "Link")</f>
        <v/>
      </c>
      <c r="M29" s="7" t="n">
        <v>45564.87233796297</v>
      </c>
      <c r="N29" s="3" t="inlineStr">
        <is>
          <t>359.91</t>
        </is>
      </c>
      <c r="O29" t="inlineStr">
        <is>
          <t>Köln</t>
        </is>
      </c>
    </row>
    <row r="30">
      <c r="A30" t="inlineStr">
        <is>
          <t>Unifiber</t>
        </is>
      </c>
      <c r="B30" t="inlineStr">
        <is>
          <t>160-220</t>
        </is>
      </c>
      <c r="C30" t="inlineStr"/>
      <c r="D30" s="4" t="n">
        <v>35</v>
      </c>
      <c r="E30" t="inlineStr">
        <is>
          <t>VB</t>
        </is>
      </c>
      <c r="F30" t="inlineStr">
        <is>
          <t>24103 Kiel - Mitte</t>
        </is>
      </c>
      <c r="G30" s="5" t="n">
        <v>45564</v>
      </c>
      <c r="H30" t="inlineStr"/>
      <c r="I30" s="6">
        <f>HYPERLINK("https://www.kleinanzeigen.de/s-anzeige/unifiber-alu-boom-windsurf-gabel/2877910987-230-710", "Link")</f>
        <v/>
      </c>
      <c r="J30" s="6">
        <f>HYPERLINK("C:\Projects\Kleinanzeigen-Scraper\offer_images\2877910987", "Link")</f>
        <v/>
      </c>
      <c r="K30" t="inlineStr">
        <is>
          <t>Jan</t>
        </is>
      </c>
      <c r="L30" s="6">
        <f>HYPERLINK("https://www.kleinanzeigen.de/s-bestandsliste.html?userId=9475258", "Link")</f>
        <v/>
      </c>
      <c r="M30" s="7" t="n">
        <v>45564.86886574074</v>
      </c>
      <c r="N30" s="3" t="inlineStr">
        <is>
          <t>433.13</t>
        </is>
      </c>
      <c r="O30" t="inlineStr">
        <is>
          <t>Köln</t>
        </is>
      </c>
    </row>
    <row r="31">
      <c r="A31" t="inlineStr">
        <is>
          <t>North Sails Red Series</t>
        </is>
      </c>
      <c r="B31" t="inlineStr">
        <is>
          <t>140-190</t>
        </is>
      </c>
      <c r="C31" t="inlineStr"/>
      <c r="D31" s="4" t="n">
        <v>65</v>
      </c>
      <c r="E31" t="inlineStr"/>
      <c r="F31" t="inlineStr">
        <is>
          <t>82041 Kr. München - Oberhaching</t>
        </is>
      </c>
      <c r="G31" s="5" t="n">
        <v>45564</v>
      </c>
      <c r="H31" t="inlineStr"/>
      <c r="I31" s="6">
        <f>HYPERLINK("https://www.kleinanzeigen.de/s-anzeige/north-sails-windsurf-gabel-red-series-140-190/2877874705-230-17092", "Link")</f>
        <v/>
      </c>
      <c r="J31" s="6">
        <f>HYPERLINK("C:\Projects\Kleinanzeigen-Scraper\offer_images\2877874705", "Link")</f>
        <v/>
      </c>
      <c r="K31" t="inlineStr">
        <is>
          <t>Thomas</t>
        </is>
      </c>
      <c r="L31" s="6">
        <f>HYPERLINK("https://www.kleinanzeigen.de/s-bestandsliste.html?userId=75912650", "Link")</f>
        <v/>
      </c>
      <c r="M31" s="7" t="n">
        <v>45564.86793981482</v>
      </c>
      <c r="N31" s="3" t="inlineStr">
        <is>
          <t>12.39</t>
        </is>
      </c>
      <c r="O31" t="inlineStr">
        <is>
          <t>München</t>
        </is>
      </c>
    </row>
    <row r="32">
      <c r="A32" t="inlineStr">
        <is>
          <t>Aeron MCT-29</t>
        </is>
      </c>
      <c r="B32" t="inlineStr">
        <is>
          <t>175-225</t>
        </is>
      </c>
      <c r="C32" t="inlineStr"/>
      <c r="D32" s="4" t="n">
        <v>180</v>
      </c>
      <c r="E32" t="inlineStr">
        <is>
          <t>VB</t>
        </is>
      </c>
      <c r="F32" t="inlineStr">
        <is>
          <t>29410 Sachsen-Anhalt - Salzwedel</t>
        </is>
      </c>
      <c r="G32" s="5" t="n">
        <v>45564</v>
      </c>
      <c r="H32" t="inlineStr"/>
      <c r="I32" s="6">
        <f>HYPERLINK("https://www.kleinanzeigen.de/s-anzeige/windsurf-gabelbaum-aeron-mct-29-175-225/2877801414-230-2352", "Link")</f>
        <v/>
      </c>
      <c r="J32" s="6">
        <f>HYPERLINK("C:\Projects\Kleinanzeigen-Scraper\offer_images\2877801414", "Link")</f>
        <v/>
      </c>
      <c r="K32" t="inlineStr">
        <is>
          <t>Robert</t>
        </is>
      </c>
      <c r="L32" s="6">
        <f>HYPERLINK("https://www.kleinanzeigen.de/s-bestandsliste.html?userId=107913025", "Link")</f>
        <v/>
      </c>
      <c r="M32" s="7" t="n">
        <v>45564.86652777778</v>
      </c>
      <c r="N32" s="3" t="inlineStr">
        <is>
          <t>359.91</t>
        </is>
      </c>
      <c r="O32" t="inlineStr">
        <is>
          <t>Köln</t>
        </is>
      </c>
    </row>
    <row r="33">
      <c r="A33" t="inlineStr">
        <is>
          <t>AL 360</t>
        </is>
      </c>
      <c r="B33" t="inlineStr">
        <is>
          <t>180-240</t>
        </is>
      </c>
      <c r="C33" t="inlineStr"/>
      <c r="D33" s="4" t="n">
        <v>290</v>
      </c>
      <c r="E33" t="inlineStr"/>
      <c r="F33" t="inlineStr">
        <is>
          <t>Versand 45772</t>
        </is>
      </c>
      <c r="G33" s="5" t="n">
        <v>45563</v>
      </c>
      <c r="H33" t="inlineStr"/>
      <c r="I33" s="6">
        <f>HYPERLINK("https://www.dailydose.de/kleinanzeigen/detail.htm?ai=423303&amp;cf=kk&amp;pg=1&amp;ci=13", "Link")</f>
        <v/>
      </c>
      <c r="J33" s="6">
        <f>HYPERLINK("C:\Projects\Kleinanzeigen-Scraper\offer_images\423303", "Link")</f>
        <v/>
      </c>
      <c r="K33" t="inlineStr">
        <is>
          <t>Margarethe</t>
        </is>
      </c>
      <c r="L33" s="6">
        <f>HYPERLINK("https://www.dailydose.de/kleinanzeigen/user/9256", "Link")</f>
        <v/>
      </c>
      <c r="M33" s="7" t="n">
        <v>45563.73578703704</v>
      </c>
      <c r="N33" s="3" t="inlineStr">
        <is>
          <t>84.29</t>
        </is>
      </c>
      <c r="O33" t="inlineStr">
        <is>
          <t>Köln</t>
        </is>
      </c>
    </row>
    <row r="34">
      <c r="A34" t="inlineStr">
        <is>
          <t>Neilpryde X5 Wave</t>
        </is>
      </c>
      <c r="B34" t="inlineStr">
        <is>
          <t>145-190</t>
        </is>
      </c>
      <c r="C34" t="inlineStr"/>
      <c r="D34" s="4" t="n">
        <v>30</v>
      </c>
      <c r="E34" t="inlineStr">
        <is>
          <t>VB</t>
        </is>
      </c>
      <c r="F34" t="inlineStr">
        <is>
          <t>50859 Lindenthal - Köln Lövenich</t>
        </is>
      </c>
      <c r="G34" s="5" t="n">
        <v>45529</v>
      </c>
      <c r="H34" t="inlineStr"/>
      <c r="I34" s="6">
        <f>HYPERLINK("https://www.kleinanzeigen.de/s-anzeige/gabelbaum-neilpryde-x5-wave-145-190/2845451410-230-18670", "Link")</f>
        <v/>
      </c>
      <c r="J34" s="6">
        <f>HYPERLINK("C:\Projects\Kleinanzeigen-Scraper\offer_images\2845451410", "Link")</f>
        <v/>
      </c>
      <c r="K34" t="inlineStr">
        <is>
          <t>Jose Rodriguez</t>
        </is>
      </c>
      <c r="L34" s="6">
        <f>HYPERLINK("https://www.kleinanzeigen.de/s-bestandsliste.html?userId=23282581", "Link")</f>
        <v/>
      </c>
      <c r="M34" s="7" t="n">
        <v>45563.73087962963</v>
      </c>
      <c r="N34" s="3" t="inlineStr">
        <is>
          <t>8.43</t>
        </is>
      </c>
      <c r="O34" t="inlineStr">
        <is>
          <t>Köln</t>
        </is>
      </c>
    </row>
    <row r="35">
      <c r="A35" t="inlineStr">
        <is>
          <t>Neilpryde X3</t>
        </is>
      </c>
      <c r="B35" t="inlineStr">
        <is>
          <t>180-230</t>
        </is>
      </c>
      <c r="C35" t="inlineStr"/>
      <c r="D35" s="4" t="n">
        <v>45</v>
      </c>
      <c r="E35" t="inlineStr">
        <is>
          <t>VB</t>
        </is>
      </c>
      <c r="F35" t="inlineStr">
        <is>
          <t>47239 Duisburg - Rumeln-Kaldenhausen</t>
        </is>
      </c>
      <c r="G35" s="5" t="n">
        <v>45562</v>
      </c>
      <c r="H35" t="inlineStr"/>
      <c r="I35" s="6">
        <f>HYPERLINK("https://www.kleinanzeigen.de/s-anzeige/neilpryde-x3-gabelbaum-180-230/2875789163-230-2137", "Link")</f>
        <v/>
      </c>
      <c r="J35" s="6">
        <f>HYPERLINK("C:\Projects\Kleinanzeigen-Scraper\offer_images\2875789163", "Link")</f>
        <v/>
      </c>
      <c r="K35" t="inlineStr">
        <is>
          <t>M.S.</t>
        </is>
      </c>
      <c r="L35" s="6">
        <f>HYPERLINK("https://www.kleinanzeigen.de/s-bestandsliste.html?userId=7303624", "Link")</f>
        <v/>
      </c>
      <c r="M35" s="7" t="n">
        <v>45563.73056712963</v>
      </c>
      <c r="N35" s="3" t="inlineStr">
        <is>
          <t>54.92</t>
        </is>
      </c>
      <c r="O35" t="inlineStr">
        <is>
          <t>Köln</t>
        </is>
      </c>
    </row>
    <row r="36">
      <c r="A36" t="inlineStr">
        <is>
          <t>Neilpryde X3</t>
        </is>
      </c>
      <c r="B36" t="inlineStr">
        <is>
          <t>160-210</t>
        </is>
      </c>
      <c r="C36" t="inlineStr"/>
      <c r="D36" s="4" t="n">
        <v>65</v>
      </c>
      <c r="E36" t="inlineStr"/>
      <c r="F36" t="inlineStr">
        <is>
          <t>71093 Baden-Württemberg - Weil im Schönbuch</t>
        </is>
      </c>
      <c r="G36" s="5" t="n">
        <v>45563</v>
      </c>
      <c r="H36" t="inlineStr"/>
      <c r="I36" s="6">
        <f>HYPERLINK("https://www.kleinanzeigen.de/s-anzeige/neilpryde-x3-160-210-gabelbaum-mit-trapezbendel/2875925516-230-8785", "Link")</f>
        <v/>
      </c>
      <c r="J36" s="6">
        <f>HYPERLINK("C:\Projects\Kleinanzeigen-Scraper\offer_images\2875925516", "Link")</f>
        <v/>
      </c>
      <c r="K36" t="inlineStr">
        <is>
          <t>Schorschi</t>
        </is>
      </c>
      <c r="L36" s="6">
        <f>HYPERLINK("https://www.kleinanzeigen.de/s-bestandsliste.html?userId=71398211", "Link")</f>
        <v/>
      </c>
      <c r="M36" s="7" t="n">
        <v>45563.72907407407</v>
      </c>
      <c r="N36" s="3" t="inlineStr">
        <is>
          <t>9.52</t>
        </is>
      </c>
      <c r="O36" t="inlineStr">
        <is>
          <t>Böblingen</t>
        </is>
      </c>
    </row>
    <row r="37">
      <c r="A37" t="inlineStr">
        <is>
          <t>Neilpryde X3</t>
        </is>
      </c>
      <c r="B37" t="inlineStr">
        <is>
          <t>180-230</t>
        </is>
      </c>
      <c r="C37" t="inlineStr"/>
      <c r="D37" s="4" t="n">
        <v>180</v>
      </c>
      <c r="E37" t="inlineStr">
        <is>
          <t>VB</t>
        </is>
      </c>
      <c r="F37" t="inlineStr">
        <is>
          <t>23769 Fehmarn</t>
        </is>
      </c>
      <c r="G37" s="5" t="n">
        <v>45562</v>
      </c>
      <c r="H37" t="inlineStr"/>
      <c r="I37" s="6">
        <f>HYPERLINK("https://www.dailydose.de/kleinanzeigen/detail.htm?ai=423275&amp;cf=kk&amp;pg=1&amp;ci=13", "Link")</f>
        <v/>
      </c>
      <c r="J37" s="6">
        <f>HYPERLINK("C:\Projects\Kleinanzeigen-Scraper\offer_images\423275", "Link")</f>
        <v/>
      </c>
      <c r="K37" t="inlineStr">
        <is>
          <t>barcode</t>
        </is>
      </c>
      <c r="L37" s="6">
        <f>HYPERLINK("https://www.dailydose.de/kleinanzeigen/user/13339", "Link")</f>
        <v/>
      </c>
      <c r="M37" s="7" t="n">
        <v>45562.75016203704</v>
      </c>
      <c r="N37" s="3" t="inlineStr">
        <is>
          <t>483.01</t>
        </is>
      </c>
      <c r="O37" t="inlineStr">
        <is>
          <t>Köln</t>
        </is>
      </c>
    </row>
    <row r="38">
      <c r="A38" t="inlineStr">
        <is>
          <t>Simmer SX6</t>
        </is>
      </c>
      <c r="B38" t="inlineStr">
        <is>
          <t>160-220</t>
        </is>
      </c>
      <c r="C38" t="inlineStr"/>
      <c r="D38" s="4" t="n">
        <v>150</v>
      </c>
      <c r="E38" t="inlineStr">
        <is>
          <t>VB</t>
        </is>
      </c>
      <c r="F38" t="inlineStr">
        <is>
          <t>23769 Fehmarn</t>
        </is>
      </c>
      <c r="G38" s="5" t="n">
        <v>45562</v>
      </c>
      <c r="H38" t="inlineStr"/>
      <c r="I38" s="6">
        <f>HYPERLINK("https://www.dailydose.de/kleinanzeigen/detail.htm?ai=423276&amp;cf=kk&amp;pg=1&amp;ci=13", "Link")</f>
        <v/>
      </c>
      <c r="J38" s="6">
        <f>HYPERLINK("C:\Projects\Kleinanzeigen-Scraper\offer_images\423276", "Link")</f>
        <v/>
      </c>
      <c r="K38" t="inlineStr">
        <is>
          <t>barcode</t>
        </is>
      </c>
      <c r="L38" s="6">
        <f>HYPERLINK("https://www.dailydose.de/kleinanzeigen/user/13339", "Link")</f>
        <v/>
      </c>
      <c r="M38" s="7" t="n">
        <v>45562.74956018518</v>
      </c>
      <c r="N38" s="3" t="inlineStr">
        <is>
          <t>483.01</t>
        </is>
      </c>
      <c r="O38" t="inlineStr">
        <is>
          <t>Köln</t>
        </is>
      </c>
    </row>
    <row r="39">
      <c r="A39" t="inlineStr">
        <is>
          <t>Gaastra</t>
        </is>
      </c>
      <c r="B39" t="inlineStr">
        <is>
          <t>160-210</t>
        </is>
      </c>
      <c r="C39" t="inlineStr"/>
      <c r="D39" s="4" t="n">
        <v>380</v>
      </c>
      <c r="E39" t="inlineStr"/>
      <c r="F39" t="inlineStr">
        <is>
          <t>12527 Berlin</t>
        </is>
      </c>
      <c r="G39" s="5" t="n">
        <v>45562</v>
      </c>
      <c r="H39" t="inlineStr"/>
      <c r="I39" s="6">
        <f>HYPERLINK("https://www.dailydose.de/kleinanzeigen/detail.htm?ai=423242&amp;cf=kk&amp;pg=1&amp;ci=13", "Link")</f>
        <v/>
      </c>
      <c r="J39" s="6">
        <f>HYPERLINK("C:\Projects\Kleinanzeigen-Scraper\offer_images\423242", "Link")</f>
        <v/>
      </c>
      <c r="K39" t="inlineStr">
        <is>
          <t>newt3</t>
        </is>
      </c>
      <c r="L39" s="6">
        <f>HYPERLINK("https://www.dailydose.de/kleinanzeigen/user/22148", "Link")</f>
        <v/>
      </c>
      <c r="M39" s="7" t="n">
        <v>45562.74916666667</v>
      </c>
      <c r="N39" s="3" t="inlineStr">
        <is>
          <t>487.71</t>
        </is>
      </c>
      <c r="O39" t="inlineStr">
        <is>
          <t>Köln</t>
        </is>
      </c>
    </row>
    <row r="40">
      <c r="A40" t="inlineStr">
        <is>
          <t>Neilpryde Gabelbaum Alu XF Wave</t>
        </is>
      </c>
      <c r="B40" t="inlineStr">
        <is>
          <t>160-220</t>
        </is>
      </c>
      <c r="C40" t="inlineStr"/>
      <c r="D40" s="4" t="n">
        <v>160</v>
      </c>
      <c r="E40" t="inlineStr">
        <is>
          <t>VB</t>
        </is>
      </c>
      <c r="F40" t="inlineStr">
        <is>
          <t>80634 München</t>
        </is>
      </c>
      <c r="G40" s="5" t="n">
        <v>45562</v>
      </c>
      <c r="H40" t="inlineStr">
        <is>
          <t>Sold</t>
        </is>
      </c>
      <c r="I40" s="6">
        <f>HYPERLINK("https://www.dailydose.de/kleinanzeigen/detail.htm?ai=423259&amp;cf=kk&amp;pg=1&amp;ci=13", "Link")</f>
        <v/>
      </c>
      <c r="J40" s="6">
        <f>HYPERLINK("C:\Projects\Kleinanzeigen-Scraper\offer_images\423259", "Link")</f>
        <v/>
      </c>
      <c r="K40" t="inlineStr">
        <is>
          <t>aherrges</t>
        </is>
      </c>
      <c r="L40" s="6">
        <f>HYPERLINK("https://www.dailydose.de/kleinanzeigen/user/26455", "Link")</f>
        <v/>
      </c>
      <c r="M40" s="7" t="n">
        <v>45562.74842592593</v>
      </c>
      <c r="N40" s="3" t="inlineStr">
        <is>
          <t>3.43</t>
        </is>
      </c>
      <c r="O40" t="inlineStr">
        <is>
          <t>München</t>
        </is>
      </c>
    </row>
    <row r="41">
      <c r="A41" t="inlineStr">
        <is>
          <t>Fiberspar</t>
        </is>
      </c>
      <c r="B41" t="inlineStr">
        <is>
          <t>144-192</t>
        </is>
      </c>
      <c r="C41" t="inlineStr"/>
      <c r="D41" s="4" t="n">
        <v>222</v>
      </c>
      <c r="E41" t="inlineStr"/>
      <c r="F41" t="inlineStr">
        <is>
          <t>12527 Berlin</t>
        </is>
      </c>
      <c r="G41" s="5" t="n">
        <v>45562</v>
      </c>
      <c r="H41" t="inlineStr"/>
      <c r="I41" s="6">
        <f>HYPERLINK("https://www.dailydose.de/kleinanzeigen/detail.htm?ai=423244&amp;cf=kk&amp;pg=1&amp;ci=13", "Link")</f>
        <v/>
      </c>
      <c r="J41" s="6">
        <f>HYPERLINK("C:\Projects\Kleinanzeigen-Scraper\offer_images\423244", "Link")</f>
        <v/>
      </c>
      <c r="K41" t="inlineStr">
        <is>
          <t>newt3</t>
        </is>
      </c>
      <c r="L41" s="6">
        <f>HYPERLINK("https://www.dailydose.de/kleinanzeigen/user/22148", "Link")</f>
        <v/>
      </c>
      <c r="M41" s="7" t="n">
        <v>45562.74835648148</v>
      </c>
      <c r="N41" s="3" t="inlineStr">
        <is>
          <t>487.71</t>
        </is>
      </c>
      <c r="O41" t="inlineStr">
        <is>
          <t>Köln</t>
        </is>
      </c>
    </row>
    <row r="42">
      <c r="A42" t="inlineStr">
        <is>
          <t>SEVERNE Enigma</t>
        </is>
      </c>
      <c r="B42" t="inlineStr">
        <is>
          <t>210-250</t>
        </is>
      </c>
      <c r="C42" t="inlineStr">
        <is>
          <t>2023/24</t>
        </is>
      </c>
      <c r="D42" s="4" t="n">
        <v>700</v>
      </c>
      <c r="E42" t="inlineStr"/>
      <c r="F42" t="inlineStr">
        <is>
          <t>Salzburg/Linz</t>
        </is>
      </c>
      <c r="G42" s="5" t="n">
        <v>45562</v>
      </c>
      <c r="H42" t="inlineStr"/>
      <c r="I42" s="6">
        <f>HYPERLINK("https://www.dailydose.de/kleinanzeigen/detail.htm?ai=423256&amp;cf=kk&amp;pg=1&amp;ci=13", "Link")</f>
        <v/>
      </c>
      <c r="J42" s="6">
        <f>HYPERLINK("C:\Projects\Kleinanzeigen-Scraper\offer_images\423256", "Link")</f>
        <v/>
      </c>
      <c r="K42" t="inlineStr">
        <is>
          <t>Alex_109</t>
        </is>
      </c>
      <c r="L42" s="6">
        <f>HYPERLINK("https://www.dailydose.de/kleinanzeigen/user/21202", "Link")</f>
        <v/>
      </c>
      <c r="M42" s="7" t="n">
        <v>45562.74833333334</v>
      </c>
      <c r="N42" s="3" t="inlineStr">
        <is>
          <t>260.33</t>
        </is>
      </c>
      <c r="O42" t="inlineStr">
        <is>
          <t>Köln</t>
        </is>
      </c>
    </row>
    <row r="43">
      <c r="A43" t="inlineStr">
        <is>
          <t>Naish Race</t>
        </is>
      </c>
      <c r="B43" t="inlineStr">
        <is>
          <t>200-250</t>
        </is>
      </c>
      <c r="C43" t="inlineStr"/>
      <c r="D43" s="4" t="n">
        <v>65</v>
      </c>
      <c r="E43" t="inlineStr"/>
      <c r="F43" t="inlineStr">
        <is>
          <t>12527 Berlin</t>
        </is>
      </c>
      <c r="G43" s="5" t="n">
        <v>45562</v>
      </c>
      <c r="H43" t="inlineStr"/>
      <c r="I43" s="6">
        <f>HYPERLINK("https://www.dailydose.de/kleinanzeigen/detail.htm?ai=423245&amp;cf=kk&amp;pg=1&amp;ci=13", "Link")</f>
        <v/>
      </c>
      <c r="J43" s="6">
        <f>HYPERLINK("C:\Projects\Kleinanzeigen-Scraper\offer_images\423245", "Link")</f>
        <v/>
      </c>
      <c r="K43" t="inlineStr">
        <is>
          <t>newt3</t>
        </is>
      </c>
      <c r="L43" s="6">
        <f>HYPERLINK("https://www.dailydose.de/kleinanzeigen/user/22148", "Link")</f>
        <v/>
      </c>
      <c r="M43" s="7" t="n">
        <v>45562.74806712963</v>
      </c>
      <c r="N43" s="3" t="inlineStr">
        <is>
          <t>487.71</t>
        </is>
      </c>
      <c r="O43" t="inlineStr">
        <is>
          <t>Köln</t>
        </is>
      </c>
    </row>
    <row r="44">
      <c r="A44" t="inlineStr">
        <is>
          <t>Al360 Carbon</t>
        </is>
      </c>
      <c r="B44" t="inlineStr">
        <is>
          <t>170-230</t>
        </is>
      </c>
      <c r="C44" t="inlineStr"/>
      <c r="D44" s="4" t="n">
        <v>300</v>
      </c>
      <c r="E44" t="inlineStr"/>
      <c r="F44" t="inlineStr">
        <is>
          <t>21244 Buchholz</t>
        </is>
      </c>
      <c r="G44" s="5" t="n">
        <v>45562</v>
      </c>
      <c r="H44" t="inlineStr">
        <is>
          <t>Sold</t>
        </is>
      </c>
      <c r="I44" s="6">
        <f>HYPERLINK("https://www.dailydose.de/kleinanzeigen/detail.htm?ai=423272&amp;cf=kk&amp;pg=1&amp;ci=13", "Link")</f>
        <v/>
      </c>
      <c r="J44" s="6">
        <f>HYPERLINK("C:\Projects\Kleinanzeigen-Scraper\offer_images\423272", "Link")</f>
        <v/>
      </c>
      <c r="K44" t="inlineStr">
        <is>
          <t>Thies Johnsen</t>
        </is>
      </c>
      <c r="L44" s="6">
        <f>HYPERLINK("https://www.dailydose.de/kleinanzeigen/user/23470", "Link")</f>
        <v/>
      </c>
      <c r="M44" s="7" t="n">
        <v>45562.74699074074</v>
      </c>
      <c r="N44" s="3" t="inlineStr">
        <is>
          <t>330.99</t>
        </is>
      </c>
      <c r="O44" t="inlineStr">
        <is>
          <t>Köln</t>
        </is>
      </c>
    </row>
    <row r="45">
      <c r="A45" t="inlineStr">
        <is>
          <t>Neilpryde Gabelbaum X6</t>
        </is>
      </c>
      <c r="B45" t="inlineStr">
        <is>
          <t>160-210</t>
        </is>
      </c>
      <c r="C45" t="inlineStr"/>
      <c r="D45" s="4" t="n">
        <v>75</v>
      </c>
      <c r="E45" t="inlineStr">
        <is>
          <t>VB</t>
        </is>
      </c>
      <c r="F45" t="inlineStr">
        <is>
          <t>13187 Berlin - Pankow</t>
        </is>
      </c>
      <c r="G45" s="5" t="n">
        <v>45562</v>
      </c>
      <c r="H45" t="inlineStr">
        <is>
          <t>Sold</t>
        </is>
      </c>
      <c r="I45" s="6">
        <f>HYPERLINK("https://www.kleinanzeigen.de/s-anzeige/neilpryde-gabelbaum-x6-160-210-cm/2875261657-230-3473", "Link")</f>
        <v/>
      </c>
      <c r="J45" s="6">
        <f>HYPERLINK("C:\Projects\Kleinanzeigen-Scraper\offer_images\2875261657", "Link")</f>
        <v/>
      </c>
      <c r="K45" t="inlineStr">
        <is>
          <t>Rene</t>
        </is>
      </c>
      <c r="L45" s="6">
        <f>HYPERLINK("https://www.kleinanzeigen.de/s-bestandsliste.html?userId=40813070", "Link")</f>
        <v/>
      </c>
      <c r="M45" s="7" t="n">
        <v>45562.74467592593</v>
      </c>
      <c r="N45" s="3" t="inlineStr">
        <is>
          <t>480.03</t>
        </is>
      </c>
      <c r="O45" t="inlineStr">
        <is>
          <t>Köln</t>
        </is>
      </c>
    </row>
    <row r="46">
      <c r="A46" t="inlineStr">
        <is>
          <t>North Sails</t>
        </is>
      </c>
      <c r="B46" t="inlineStr">
        <is>
          <t>140-190, 165-215</t>
        </is>
      </c>
      <c r="C46" t="inlineStr"/>
      <c r="D46" s="4" t="inlineStr">
        <is>
          <t>Zu verschenken</t>
        </is>
      </c>
      <c r="E46" t="inlineStr"/>
      <c r="F46" t="inlineStr">
        <is>
          <t>23566 Lübeck - St. Gertrud</t>
        </is>
      </c>
      <c r="G46" s="5" t="n">
        <v>45562</v>
      </c>
      <c r="H46" t="inlineStr">
        <is>
          <t>Sold</t>
        </is>
      </c>
      <c r="I46" s="6">
        <f>HYPERLINK("https://www.kleinanzeigen.de/s-anzeige/gabelbaum-north-sails/2875497929-230-24239", "Link")</f>
        <v/>
      </c>
      <c r="J46" s="6">
        <f>HYPERLINK("C:\Projects\Kleinanzeigen-Scraper\offer_images\2875497929", "Link")</f>
        <v/>
      </c>
      <c r="K46" t="inlineStr">
        <is>
          <t>H. Sponbiel</t>
        </is>
      </c>
      <c r="L46" s="6">
        <f>HYPERLINK("https://www.kleinanzeigen.de/s-bestandsliste.html?userId=19469935", "Link")</f>
        <v/>
      </c>
      <c r="M46" s="7" t="n">
        <v>45562.74396990741</v>
      </c>
      <c r="N46" s="3" t="inlineStr">
        <is>
          <t>415.00</t>
        </is>
      </c>
      <c r="O46" t="inlineStr">
        <is>
          <t>Köln</t>
        </is>
      </c>
    </row>
    <row r="47">
      <c r="A47" t="inlineStr">
        <is>
          <t>AL360 Carbon</t>
        </is>
      </c>
      <c r="B47" t="inlineStr">
        <is>
          <t>170-230</t>
        </is>
      </c>
      <c r="C47" t="inlineStr"/>
      <c r="D47" s="4" t="n">
        <v>300</v>
      </c>
      <c r="E47" t="inlineStr"/>
      <c r="F47" t="inlineStr">
        <is>
          <t>21244 Niedersachsen - Buchholz in der Nordheide</t>
        </is>
      </c>
      <c r="G47" s="5" t="n">
        <v>45562</v>
      </c>
      <c r="H47" t="inlineStr">
        <is>
          <t>Sold</t>
        </is>
      </c>
      <c r="I47" s="6">
        <f>HYPERLINK("https://www.kleinanzeigen.de/s-anzeige/windsurfen-gabelbaum-al360-carbon-170-230-fr-foil/2875461006-230-14101", "Link")</f>
        <v/>
      </c>
      <c r="J47" s="6">
        <f>HYPERLINK("C:\Projects\Kleinanzeigen-Scraper\offer_images\2875461006", "Link")</f>
        <v/>
      </c>
      <c r="K47" t="inlineStr">
        <is>
          <t>Thies Johnsen</t>
        </is>
      </c>
      <c r="L47" s="6">
        <f>HYPERLINK("https://www.kleinanzeigen.de/s-bestandsliste.html?userId=90562134", "Link")</f>
        <v/>
      </c>
      <c r="M47" s="7" t="n">
        <v>45562.73947916667</v>
      </c>
      <c r="N47" s="3" t="inlineStr">
        <is>
          <t>330.99</t>
        </is>
      </c>
      <c r="O47" t="inlineStr">
        <is>
          <t>Köln</t>
        </is>
      </c>
    </row>
    <row r="48">
      <c r="A48" t="inlineStr">
        <is>
          <t>North Sails Red Series</t>
        </is>
      </c>
      <c r="B48" t="inlineStr">
        <is>
          <t>140-190</t>
        </is>
      </c>
      <c r="C48" t="inlineStr"/>
      <c r="D48" s="4" t="n">
        <v>20</v>
      </c>
      <c r="E48" t="inlineStr">
        <is>
          <t>VB</t>
        </is>
      </c>
      <c r="F48" t="inlineStr">
        <is>
          <t>22143 Hamburg</t>
        </is>
      </c>
      <c r="G48" s="5" t="n">
        <v>45560</v>
      </c>
      <c r="H48" t="inlineStr"/>
      <c r="I48" s="6">
        <f>HYPERLINK("https://www.dailydose.de/kleinanzeigen/detail.htm?ai=423193&amp;cf=kk&amp;pg=1&amp;ci=13", "Link")</f>
        <v/>
      </c>
      <c r="J48" s="6">
        <f>HYPERLINK("C:\Projects\Kleinanzeigen-Scraper\offer_images\423193", "Link")</f>
        <v/>
      </c>
      <c r="K48" t="inlineStr">
        <is>
          <t>JohannesHH</t>
        </is>
      </c>
      <c r="L48" s="6">
        <f>HYPERLINK("https://www.dailydose.de/kleinanzeigen/user/26449", "Link")</f>
        <v/>
      </c>
      <c r="M48" s="7" t="n">
        <v>45561.68127314815</v>
      </c>
      <c r="N48" s="3" t="inlineStr">
        <is>
          <t>368.45</t>
        </is>
      </c>
      <c r="O48" t="inlineStr">
        <is>
          <t>Köln</t>
        </is>
      </c>
    </row>
    <row r="49">
      <c r="A49" t="inlineStr">
        <is>
          <t>North</t>
        </is>
      </c>
      <c r="B49" t="inlineStr">
        <is>
          <t>180-220</t>
        </is>
      </c>
      <c r="C49" t="inlineStr"/>
      <c r="D49" s="4" t="n">
        <v>100</v>
      </c>
      <c r="E49" t="inlineStr"/>
      <c r="F49" t="inlineStr">
        <is>
          <t>26802 Moormerland</t>
        </is>
      </c>
      <c r="G49" s="5" t="n">
        <v>45560</v>
      </c>
      <c r="H49" t="inlineStr"/>
      <c r="I49" s="6">
        <f>HYPERLINK("https://www.dailydose.de/kleinanzeigen/detail.htm?ai=423184&amp;cf=kk&amp;pg=1&amp;ci=13", "Link")</f>
        <v/>
      </c>
      <c r="J49" s="6">
        <f>HYPERLINK("C:\Projects\Kleinanzeigen-Scraper\offer_images\423184", "Link")</f>
        <v/>
      </c>
      <c r="K49" t="inlineStr">
        <is>
          <t>Rainer Karl Lederle</t>
        </is>
      </c>
      <c r="L49" s="6">
        <f>HYPERLINK("https://www.dailydose.de/kleinanzeigen/user/19573", "Link")</f>
        <v/>
      </c>
      <c r="M49" s="7" t="n">
        <v>45561.68030092592</v>
      </c>
      <c r="N49" s="3" t="inlineStr">
        <is>
          <t>265.85</t>
        </is>
      </c>
      <c r="O49" t="inlineStr">
        <is>
          <t>Köln</t>
        </is>
      </c>
    </row>
    <row r="50">
      <c r="A50" t="inlineStr">
        <is>
          <t>North Wave</t>
        </is>
      </c>
      <c r="B50" t="inlineStr">
        <is>
          <t>135-170</t>
        </is>
      </c>
      <c r="C50" t="inlineStr"/>
      <c r="D50" s="4" t="n">
        <v>50</v>
      </c>
      <c r="E50" t="inlineStr"/>
      <c r="F50" t="inlineStr">
        <is>
          <t>26802 Moormerland</t>
        </is>
      </c>
      <c r="G50" s="5" t="n">
        <v>45560</v>
      </c>
      <c r="H50" t="inlineStr"/>
      <c r="I50" s="6">
        <f>HYPERLINK("https://www.dailydose.de/kleinanzeigen/detail.htm?ai=423191&amp;cf=kk&amp;pg=1&amp;ci=13", "Link")</f>
        <v/>
      </c>
      <c r="J50" s="6">
        <f>HYPERLINK("C:\Projects\Kleinanzeigen-Scraper\offer_images\423191", "Link")</f>
        <v/>
      </c>
      <c r="K50" t="inlineStr">
        <is>
          <t>Rainer Karl Lederle</t>
        </is>
      </c>
      <c r="L50" s="6">
        <f>HYPERLINK("https://www.dailydose.de/kleinanzeigen/user/19573", "Link")</f>
        <v/>
      </c>
      <c r="M50" s="7" t="n">
        <v>45561.67851851852</v>
      </c>
      <c r="N50" s="3" t="inlineStr">
        <is>
          <t>265.85</t>
        </is>
      </c>
      <c r="O50" t="inlineStr">
        <is>
          <t>Köln</t>
        </is>
      </c>
    </row>
    <row r="51">
      <c r="A51" t="inlineStr">
        <is>
          <t>Unifiber</t>
        </is>
      </c>
      <c r="B51" t="inlineStr">
        <is>
          <t>160-210</t>
        </is>
      </c>
      <c r="C51" t="inlineStr"/>
      <c r="D51" s="4" t="inlineStr">
        <is>
          <t>Zu verschenken</t>
        </is>
      </c>
      <c r="E51" t="inlineStr"/>
      <c r="F51" t="inlineStr">
        <is>
          <t>81541 München - Au-Haidhausen</t>
        </is>
      </c>
      <c r="G51" s="5" t="n">
        <v>45561</v>
      </c>
      <c r="H51" t="inlineStr">
        <is>
          <t>Sold</t>
        </is>
      </c>
      <c r="I51" s="6">
        <f>HYPERLINK("https://www.kleinanzeigen.de/s-anzeige/windsurf-gabelbaum-unifiber-160-210-cm-defekt-fuer-bastler-/2874557301-230-6426", "Link")</f>
        <v/>
      </c>
      <c r="J51" s="6">
        <f>HYPERLINK("C:\Projects\Kleinanzeigen-Scraper\offer_images\2874557301", "Link")</f>
        <v/>
      </c>
      <c r="K51" t="inlineStr">
        <is>
          <t>Markus</t>
        </is>
      </c>
      <c r="L51" s="6">
        <f>HYPERLINK("https://www.kleinanzeigen.de/s-bestandsliste.html?userId=15326183", "Link")</f>
        <v/>
      </c>
      <c r="M51" s="7" t="n">
        <v>45561.6759375</v>
      </c>
      <c r="N51" s="3" t="inlineStr">
        <is>
          <t>1.89</t>
        </is>
      </c>
      <c r="O51" t="inlineStr">
        <is>
          <t>München</t>
        </is>
      </c>
    </row>
    <row r="52">
      <c r="A52" t="inlineStr">
        <is>
          <t>Point 7 Carbon + pro</t>
        </is>
      </c>
      <c r="B52" t="inlineStr"/>
      <c r="C52" t="inlineStr"/>
      <c r="D52" s="4" t="n">
        <v>490</v>
      </c>
      <c r="E52" t="inlineStr">
        <is>
          <t>VB</t>
        </is>
      </c>
      <c r="F52" t="inlineStr">
        <is>
          <t>73431 Baden-Württemberg - Aalen</t>
        </is>
      </c>
      <c r="G52" s="5" t="n">
        <v>45560</v>
      </c>
      <c r="H52" t="inlineStr">
        <is>
          <t>Sold</t>
        </is>
      </c>
      <c r="I52" s="6">
        <f>HYPERLINK("https://www.kleinanzeigen.de/s-anzeige/point-7-carbon-pro-gabel-boom-gabelbaum/2873215057-230-9076", "Link")</f>
        <v/>
      </c>
      <c r="J52" s="6">
        <f>HYPERLINK("C:\Projects\Kleinanzeigen-Scraper\offer_images\2873215057", "Link")</f>
        <v/>
      </c>
      <c r="K52" t="inlineStr">
        <is>
          <t>AB</t>
        </is>
      </c>
      <c r="L52" s="6">
        <f>HYPERLINK("https://www.kleinanzeigen.de/s-bestandsliste.html?userId=16078794", "Link")</f>
        <v/>
      </c>
      <c r="M52" s="7" t="n">
        <v>45560.56025462963</v>
      </c>
      <c r="N52" s="3" t="inlineStr">
        <is>
          <t>84.01</t>
        </is>
      </c>
      <c r="O52" t="inlineStr">
        <is>
          <t>Böblingen</t>
        </is>
      </c>
    </row>
    <row r="53">
      <c r="A53" t="inlineStr">
        <is>
          <t>Gaastra GA Slalom Race Carbon</t>
        </is>
      </c>
      <c r="B53" t="inlineStr">
        <is>
          <t>180-230</t>
        </is>
      </c>
      <c r="C53" t="inlineStr"/>
      <c r="D53" s="4" t="inlineStr"/>
      <c r="E53" t="inlineStr">
        <is>
          <t>VB</t>
        </is>
      </c>
      <c r="F53" t="inlineStr">
        <is>
          <t>51069 Köln-&gt;Sylt</t>
        </is>
      </c>
      <c r="G53" s="5" t="n">
        <v>45559</v>
      </c>
      <c r="H53" t="inlineStr"/>
      <c r="I53" s="6">
        <f>HYPERLINK("https://www.dailydose.de/kleinanzeigen/detail.htm?ai=423135&amp;cf=kk&amp;pg=1&amp;ci=13", "Link")</f>
        <v/>
      </c>
      <c r="J53" s="6">
        <f>HYPERLINK("C:\Projects\Kleinanzeigen-Scraper\offer_images\423135", "Link")</f>
        <v/>
      </c>
      <c r="K53" t="inlineStr">
        <is>
          <t>Bj_37</t>
        </is>
      </c>
      <c r="L53" s="6">
        <f>HYPERLINK("https://www.dailydose.de/kleinanzeigen/user/4920", "Link")</f>
        <v/>
      </c>
      <c r="M53" s="7" t="n">
        <v>45559.8846875</v>
      </c>
      <c r="N53" s="3" t="inlineStr">
        <is>
          <t>9.37</t>
        </is>
      </c>
      <c r="O53" t="inlineStr">
        <is>
          <t>Köln</t>
        </is>
      </c>
    </row>
    <row r="54">
      <c r="A54" t="inlineStr"/>
      <c r="B54" t="inlineStr"/>
      <c r="C54" t="inlineStr"/>
      <c r="D54" s="4" t="n">
        <v>20</v>
      </c>
      <c r="E54" t="inlineStr"/>
      <c r="F54" t="inlineStr">
        <is>
          <t>01239 Dresden - Reick</t>
        </is>
      </c>
      <c r="G54" s="5" t="n">
        <v>45559</v>
      </c>
      <c r="H54" t="inlineStr"/>
      <c r="I54" s="6">
        <f>HYPERLINK("https://www.kleinanzeigen.de/s-anzeige/gabelbaum-windsurfen-segen-surfen/2872416880-230-25305", "Link")</f>
        <v/>
      </c>
      <c r="J54" s="6">
        <f>HYPERLINK("C:\Projects\Kleinanzeigen-Scraper\offer_images\2872416880", "Link")</f>
        <v/>
      </c>
      <c r="K54" t="inlineStr">
        <is>
          <t>R.Welz</t>
        </is>
      </c>
      <c r="L54" s="6">
        <f>HYPERLINK("https://www.kleinanzeigen.de/s-bestandsliste.html?userId=22926146", "Link")</f>
        <v/>
      </c>
      <c r="M54" s="7" t="n">
        <v>45559.88049768518</v>
      </c>
      <c r="N54" s="3" t="inlineStr">
        <is>
          <t>355.82</t>
        </is>
      </c>
      <c r="O54" t="inlineStr">
        <is>
          <t>München</t>
        </is>
      </c>
    </row>
    <row r="55">
      <c r="A55" t="inlineStr">
        <is>
          <t>Severne</t>
        </is>
      </c>
      <c r="B55" t="inlineStr">
        <is>
          <t>150-200</t>
        </is>
      </c>
      <c r="C55" t="inlineStr"/>
      <c r="D55" s="4" t="n">
        <v>80</v>
      </c>
      <c r="E55" t="inlineStr">
        <is>
          <t>VB</t>
        </is>
      </c>
      <c r="F55" t="inlineStr">
        <is>
          <t>31275 Niedersachsen - Lehrte</t>
        </is>
      </c>
      <c r="G55" s="5" t="n">
        <v>45558</v>
      </c>
      <c r="H55" t="inlineStr">
        <is>
          <t>Sold</t>
        </is>
      </c>
      <c r="I55" s="6">
        <f>HYPERLINK("https://www.kleinanzeigen.de/s-anzeige/surf-gabel-severne-150-200cm/2872170733-230-2910", "Link")</f>
        <v/>
      </c>
      <c r="J55" s="6">
        <f>HYPERLINK("C:\Projects\Kleinanzeigen-Scraper\offer_images\2872170733", "Link")</f>
        <v/>
      </c>
      <c r="K55" t="inlineStr">
        <is>
          <t>Jan Kramer</t>
        </is>
      </c>
      <c r="L55" s="6">
        <f>HYPERLINK("https://www.kleinanzeigen.de/s-bestandsliste.html?userId=10217806", "Link")</f>
        <v/>
      </c>
      <c r="M55" s="7" t="n">
        <v>45559.87535879629</v>
      </c>
      <c r="N55" s="3" t="inlineStr">
        <is>
          <t>265.47</t>
        </is>
      </c>
      <c r="O55" t="inlineStr">
        <is>
          <t>Köln</t>
        </is>
      </c>
    </row>
    <row r="56">
      <c r="A56" t="inlineStr">
        <is>
          <t>North Cross</t>
        </is>
      </c>
      <c r="B56" t="inlineStr">
        <is>
          <t>160-210</t>
        </is>
      </c>
      <c r="C56" t="inlineStr"/>
      <c r="D56" s="4" t="n">
        <v>80</v>
      </c>
      <c r="E56" t="inlineStr">
        <is>
          <t>VB</t>
        </is>
      </c>
      <c r="F56" t="inlineStr">
        <is>
          <t>34295 Hessen - Edermünde</t>
        </is>
      </c>
      <c r="G56" s="5" t="n">
        <v>45559</v>
      </c>
      <c r="H56" t="inlineStr">
        <is>
          <t>Sold</t>
        </is>
      </c>
      <c r="I56" s="6">
        <f>HYPERLINK("https://www.kleinanzeigen.de/s-anzeige/north-cross-surf-gabelbaum-160-210cm/2872944807-230-4425", "Link")</f>
        <v/>
      </c>
      <c r="J56" s="6">
        <f>HYPERLINK("C:\Projects\Kleinanzeigen-Scraper\offer_images\2872944807", "Link")</f>
        <v/>
      </c>
      <c r="K56" t="inlineStr">
        <is>
          <t>Anfrage</t>
        </is>
      </c>
      <c r="L56" s="6">
        <f>HYPERLINK("https://www.kleinanzeigen.de/s-bestandsliste.html?userId=18730273", "Link")</f>
        <v/>
      </c>
      <c r="M56" s="7" t="n">
        <v>45559.87295138889</v>
      </c>
      <c r="N56" s="3" t="inlineStr">
        <is>
          <t>172.77</t>
        </is>
      </c>
      <c r="O56" t="inlineStr">
        <is>
          <t>Köln</t>
        </is>
      </c>
    </row>
    <row r="57">
      <c r="A57" t="inlineStr">
        <is>
          <t>Gaastra Blue Line</t>
        </is>
      </c>
      <c r="B57" t="inlineStr">
        <is>
          <t>180-230</t>
        </is>
      </c>
      <c r="C57" t="inlineStr"/>
      <c r="D57" s="4" t="n">
        <v>50</v>
      </c>
      <c r="E57" t="inlineStr"/>
      <c r="F57" t="inlineStr">
        <is>
          <t>25764 Dithmarschen - Wesselburen</t>
        </is>
      </c>
      <c r="G57" s="5" t="n">
        <v>45193</v>
      </c>
      <c r="H57" t="inlineStr"/>
      <c r="I57" s="6">
        <f>HYPERLINK("https://www.kleinanzeigen.de/s-anzeige/gabelbaum-gaastra-blue-line-180-230cm/2554487962-230-16648", "Link")</f>
        <v/>
      </c>
      <c r="J57" s="6">
        <f>HYPERLINK("C:\Projects\Kleinanzeigen-Scraper\offer_images\2554487962", "Link")</f>
        <v/>
      </c>
      <c r="K57" t="inlineStr">
        <is>
          <t>Haakon R.</t>
        </is>
      </c>
      <c r="L57" s="6">
        <f>HYPERLINK("https://www.kleinanzeigen.de/s-bestandsliste.html?userId=76100782", "Link")</f>
        <v/>
      </c>
      <c r="M57" s="7" t="n">
        <v>45558.74421296296</v>
      </c>
      <c r="N57" s="3" t="inlineStr">
        <is>
          <t>386.37</t>
        </is>
      </c>
      <c r="O57" t="inlineStr">
        <is>
          <t>Köln</t>
        </is>
      </c>
    </row>
    <row r="58">
      <c r="A58" t="inlineStr">
        <is>
          <t>Gaastra</t>
        </is>
      </c>
      <c r="B58" t="inlineStr">
        <is>
          <t>180-230</t>
        </is>
      </c>
      <c r="C58" t="inlineStr"/>
      <c r="D58" s="4" t="n">
        <v>340</v>
      </c>
      <c r="E58" t="inlineStr">
        <is>
          <t>VB</t>
        </is>
      </c>
      <c r="F58" t="inlineStr">
        <is>
          <t>24118 Kiel - Ravensberg-Brunswik-Düsternbrook</t>
        </is>
      </c>
      <c r="G58" s="5" t="n">
        <v>45552</v>
      </c>
      <c r="H58" t="inlineStr"/>
      <c r="I58" s="6">
        <f>HYPERLINK("https://www.kleinanzeigen.de/s-anzeige/gaastra-windsurf-carbon-gabelbaum-180-230/2866575518-230-704", "Link")</f>
        <v/>
      </c>
      <c r="J58" s="6">
        <f>HYPERLINK("C:\Projects\Kleinanzeigen-Scraper\offer_images\2866575518", "Link")</f>
        <v/>
      </c>
      <c r="K58" t="inlineStr">
        <is>
          <t>Leon</t>
        </is>
      </c>
      <c r="L58" s="6">
        <f>HYPERLINK("https://www.kleinanzeigen.de/s-bestandsliste.html?userId=79237818", "Link")</f>
        <v/>
      </c>
      <c r="M58" s="7" t="n">
        <v>45558.74390046296</v>
      </c>
      <c r="N58" s="3" t="inlineStr">
        <is>
          <t>434.29</t>
        </is>
      </c>
      <c r="O58" t="inlineStr">
        <is>
          <t>Köln</t>
        </is>
      </c>
    </row>
    <row r="59">
      <c r="A59" t="inlineStr">
        <is>
          <t>Gaastra</t>
        </is>
      </c>
      <c r="B59" t="inlineStr">
        <is>
          <t>200-250</t>
        </is>
      </c>
      <c r="C59" t="inlineStr"/>
      <c r="D59" s="4" t="n">
        <v>425</v>
      </c>
      <c r="E59" t="inlineStr"/>
      <c r="F59" t="inlineStr">
        <is>
          <t>21635 Niedersachsen - Jork</t>
        </is>
      </c>
      <c r="G59" s="5" t="n">
        <v>45447</v>
      </c>
      <c r="H59" t="inlineStr"/>
      <c r="I59" s="6">
        <f>HYPERLINK("https://www.kleinanzeigen.de/s-anzeige/gaastra-gabelbaum-boom-200-250-100-carbon/2779523566-230-3291", "Link")</f>
        <v/>
      </c>
      <c r="J59" s="6">
        <f>HYPERLINK("C:\Projects\Kleinanzeigen-Scraper\offer_images\2779523566", "Link")</f>
        <v/>
      </c>
      <c r="K59" t="inlineStr">
        <is>
          <t>MU</t>
        </is>
      </c>
      <c r="L59" s="6">
        <f>HYPERLINK("https://www.kleinanzeigen.de/s-bestandsliste.html?userId=7562773", "Link")</f>
        <v/>
      </c>
      <c r="M59" s="7" t="n">
        <v>45558.74291666667</v>
      </c>
      <c r="N59" s="3" t="inlineStr">
        <is>
          <t>343.43</t>
        </is>
      </c>
      <c r="O59" t="inlineStr">
        <is>
          <t>Köln</t>
        </is>
      </c>
    </row>
    <row r="60">
      <c r="A60" t="inlineStr">
        <is>
          <t>Gaastra</t>
        </is>
      </c>
      <c r="B60" t="inlineStr">
        <is>
          <t>180-225</t>
        </is>
      </c>
      <c r="C60" t="inlineStr"/>
      <c r="D60" s="4" t="n">
        <v>50</v>
      </c>
      <c r="E60" t="inlineStr"/>
      <c r="F60" t="inlineStr">
        <is>
          <t>04626 Thüringen - Schmoelln</t>
        </is>
      </c>
      <c r="G60" s="5" t="n">
        <v>45213</v>
      </c>
      <c r="H60" t="inlineStr"/>
      <c r="I60" s="6">
        <f>HYPERLINK("https://www.kleinanzeigen.de/s-anzeige/gaastra-gabelbaum-180cm-225cmwindsurfen/2572309380-230-4176", "Link")</f>
        <v/>
      </c>
      <c r="J60" s="6">
        <f>HYPERLINK("C:\Projects\Kleinanzeigen-Scraper\offer_images\2572309380", "Link")</f>
        <v/>
      </c>
      <c r="K60" t="inlineStr">
        <is>
          <t>Sven</t>
        </is>
      </c>
      <c r="L60" s="6">
        <f>HYPERLINK("https://www.kleinanzeigen.de/s-bestandsliste.html?userId=12336993", "Link")</f>
        <v/>
      </c>
      <c r="M60" s="7" t="n">
        <v>45558.74277777778</v>
      </c>
      <c r="N60" s="3" t="inlineStr">
        <is>
          <t>310.28</t>
        </is>
      </c>
      <c r="O60" t="inlineStr">
        <is>
          <t>München</t>
        </is>
      </c>
    </row>
    <row r="61">
      <c r="A61" t="inlineStr">
        <is>
          <t>Gaastra Red Line</t>
        </is>
      </c>
      <c r="B61" t="inlineStr">
        <is>
          <t>140-190</t>
        </is>
      </c>
      <c r="C61" t="inlineStr"/>
      <c r="D61" s="4" t="n">
        <v>50</v>
      </c>
      <c r="E61" t="inlineStr">
        <is>
          <t>VB</t>
        </is>
      </c>
      <c r="F61" t="inlineStr">
        <is>
          <t>25704 Dithmarschen - Meldorf</t>
        </is>
      </c>
      <c r="G61" s="5" t="n">
        <v>45506</v>
      </c>
      <c r="H61" t="inlineStr">
        <is>
          <t>Sold</t>
        </is>
      </c>
      <c r="I61" s="6">
        <f>HYPERLINK("https://www.kleinanzeigen.de/s-anzeige/windsurf-gabelbaum-gaastra-red-line-140-190/2827077764-230-13676", "Link")</f>
        <v/>
      </c>
      <c r="J61" s="6">
        <f>HYPERLINK("C:\Projects\Kleinanzeigen-Scraper\offer_images\2827077764", "Link")</f>
        <v/>
      </c>
      <c r="K61" t="inlineStr">
        <is>
          <t>Bergmann</t>
        </is>
      </c>
      <c r="L61" s="6">
        <f>HYPERLINK("https://www.kleinanzeigen.de/s-bestandsliste.html?userId=849035", "Link")</f>
        <v/>
      </c>
      <c r="M61" s="7" t="n">
        <v>45558.74186342592</v>
      </c>
      <c r="N61" s="3" t="inlineStr">
        <is>
          <t>379.74</t>
        </is>
      </c>
      <c r="O61" t="inlineStr">
        <is>
          <t>Köln</t>
        </is>
      </c>
    </row>
    <row r="62">
      <c r="A62" t="inlineStr">
        <is>
          <t>Gaastra</t>
        </is>
      </c>
      <c r="B62" t="inlineStr">
        <is>
          <t>140-190</t>
        </is>
      </c>
      <c r="C62" t="inlineStr"/>
      <c r="D62" s="4" t="n">
        <v>70</v>
      </c>
      <c r="E62" t="inlineStr">
        <is>
          <t>VB</t>
        </is>
      </c>
      <c r="F62" t="inlineStr">
        <is>
          <t>26160 Niedersachsen - Bad Zwischenahn</t>
        </is>
      </c>
      <c r="G62" s="5" t="n">
        <v>45501</v>
      </c>
      <c r="H62" t="inlineStr">
        <is>
          <t>Sold</t>
        </is>
      </c>
      <c r="I62" s="6">
        <f>HYPERLINK("https://www.kleinanzeigen.de/s-anzeige/gaastra-gabelbaum-140-190-cm/2823778941-230-2601", "Link")</f>
        <v/>
      </c>
      <c r="J62" s="6">
        <f>HYPERLINK("C:\Projects\Kleinanzeigen-Scraper\offer_images\2823778941", "Link")</f>
        <v/>
      </c>
      <c r="K62" t="inlineStr">
        <is>
          <t>Per Jürgens</t>
        </is>
      </c>
      <c r="L62" s="6">
        <f>HYPERLINK("https://www.kleinanzeigen.de/s-bestandsliste.html?userId=51064017", "Link")</f>
        <v/>
      </c>
      <c r="M62" s="7" t="n">
        <v>45558.74120370371</v>
      </c>
      <c r="N62" s="3" t="inlineStr">
        <is>
          <t>260.27</t>
        </is>
      </c>
      <c r="O62" t="inlineStr">
        <is>
          <t>Köln</t>
        </is>
      </c>
    </row>
    <row r="63">
      <c r="A63" t="inlineStr">
        <is>
          <t>GA Gaastra</t>
        </is>
      </c>
      <c r="B63" t="inlineStr">
        <is>
          <t>140-190</t>
        </is>
      </c>
      <c r="C63" t="inlineStr"/>
      <c r="D63" s="4" t="n">
        <v>380</v>
      </c>
      <c r="E63" t="inlineStr"/>
      <c r="F63" t="inlineStr">
        <is>
          <t>83088 Bayern - Kiefersfelden</t>
        </is>
      </c>
      <c r="G63" s="5" t="n">
        <v>45504</v>
      </c>
      <c r="H63" t="inlineStr">
        <is>
          <t>Sold</t>
        </is>
      </c>
      <c r="I63" s="6">
        <f>HYPERLINK("https://www.kleinanzeigen.de/s-anzeige/ga-gaastra-monocoque-carbon-gabel-slim-140-190/2825857587-230-7584", "Link")</f>
        <v/>
      </c>
      <c r="J63" s="6">
        <f>HYPERLINK("C:\Projects\Kleinanzeigen-Scraper\offer_images\2825857587", "Link")</f>
        <v/>
      </c>
      <c r="K63" t="inlineStr">
        <is>
          <t>Alex Embacher</t>
        </is>
      </c>
      <c r="L63" s="6">
        <f>HYPERLINK("https://www.kleinanzeigen.de/s-bestandsliste.html?userId=142993911", "Link")</f>
        <v/>
      </c>
      <c r="M63" s="7" t="n">
        <v>45558.74091435185</v>
      </c>
      <c r="N63" s="3" t="inlineStr">
        <is>
          <t>73.59</t>
        </is>
      </c>
      <c r="O63" t="inlineStr">
        <is>
          <t>München</t>
        </is>
      </c>
    </row>
    <row r="64">
      <c r="A64" t="inlineStr">
        <is>
          <t>Gun Sails Expert</t>
        </is>
      </c>
      <c r="B64" t="inlineStr">
        <is>
          <t>180-230</t>
        </is>
      </c>
      <c r="C64" t="inlineStr"/>
      <c r="D64" s="4" t="n">
        <v>85</v>
      </c>
      <c r="E64" t="inlineStr"/>
      <c r="F64" t="inlineStr">
        <is>
          <t>51377 Nordrhein-Westfalen - Leverkusen</t>
        </is>
      </c>
      <c r="G64" s="5" t="n">
        <v>45558</v>
      </c>
      <c r="H64" t="inlineStr"/>
      <c r="I64" s="6">
        <f>HYPERLINK("https://www.kleinanzeigen.de/s-anzeige/gun-sails-expert-180-230-hybrid-gabelbaum/2871822199-230-1992", "Link")</f>
        <v/>
      </c>
      <c r="J64" s="6">
        <f>HYPERLINK("C:\Projects\Kleinanzeigen-Scraper\offer_images\2871822199", "Link")</f>
        <v/>
      </c>
      <c r="K64" t="inlineStr">
        <is>
          <t>Jan</t>
        </is>
      </c>
      <c r="L64" s="6">
        <f>HYPERLINK("https://www.kleinanzeigen.de/s-bestandsliste.html?userId=3530011", "Link")</f>
        <v/>
      </c>
      <c r="M64" s="7" t="n">
        <v>45558.740625</v>
      </c>
      <c r="N64" s="3" t="inlineStr">
        <is>
          <t>15.33</t>
        </is>
      </c>
      <c r="O64" t="inlineStr">
        <is>
          <t>Köln</t>
        </is>
      </c>
    </row>
    <row r="65">
      <c r="A65" t="inlineStr">
        <is>
          <t>Gaastra</t>
        </is>
      </c>
      <c r="B65" t="inlineStr">
        <is>
          <t>160-210</t>
        </is>
      </c>
      <c r="C65" t="inlineStr"/>
      <c r="D65" s="4" t="n">
        <v>120</v>
      </c>
      <c r="E65" t="inlineStr"/>
      <c r="F65" t="inlineStr">
        <is>
          <t>17192 Müritz - Landkreis - Waren (Müritz)</t>
        </is>
      </c>
      <c r="G65" s="5" t="n">
        <v>45528</v>
      </c>
      <c r="H65" t="inlineStr"/>
      <c r="I65" s="6">
        <f>HYPERLINK("https://www.kleinanzeigen.de/s-anzeige/surf-gabelbaum-gaastra-carbon/2845102586-230-71", "Link")</f>
        <v/>
      </c>
      <c r="J65" s="6">
        <f>HYPERLINK("C:\Projects\Kleinanzeigen-Scraper\offer_images\2845102586", "Link")</f>
        <v/>
      </c>
      <c r="K65" t="inlineStr">
        <is>
          <t>Chris Reinke</t>
        </is>
      </c>
      <c r="L65" s="6">
        <f>HYPERLINK("https://www.kleinanzeigen.de/s-bestandsliste.html?userId=19787163", "Link")</f>
        <v/>
      </c>
      <c r="M65" s="7" t="n">
        <v>45558.74045138889</v>
      </c>
      <c r="N65" s="3" t="inlineStr">
        <is>
          <t>486.42</t>
        </is>
      </c>
      <c r="O65" t="inlineStr">
        <is>
          <t>Köln</t>
        </is>
      </c>
    </row>
    <row r="66">
      <c r="A66" t="inlineStr">
        <is>
          <t>GA Gaastra</t>
        </is>
      </c>
      <c r="B66" t="inlineStr">
        <is>
          <t>150-200</t>
        </is>
      </c>
      <c r="C66" t="inlineStr"/>
      <c r="D66" s="4" t="n">
        <v>160</v>
      </c>
      <c r="E66" t="inlineStr">
        <is>
          <t>VB</t>
        </is>
      </c>
      <c r="F66" t="inlineStr">
        <is>
          <t>65391 Hessen - Lorch</t>
        </is>
      </c>
      <c r="G66" s="5" t="n">
        <v>45523</v>
      </c>
      <c r="H66" t="inlineStr"/>
      <c r="I66" s="6">
        <f>HYPERLINK("https://www.kleinanzeigen.de/s-anzeige/alu-gabelbaum-ga-gaastra-sails/2841429747-230-17227", "Link")</f>
        <v/>
      </c>
      <c r="J66" s="6">
        <f>HYPERLINK("C:\Projects\Kleinanzeigen-Scraper\offer_images\2841429747", "Link")</f>
        <v/>
      </c>
      <c r="K66" t="inlineStr">
        <is>
          <t>SD</t>
        </is>
      </c>
      <c r="L66" s="6">
        <f>HYPERLINK("https://www.kleinanzeigen.de/s-bestandsliste.html?userId=20399801", "Link")</f>
        <v/>
      </c>
      <c r="M66" s="7" t="n">
        <v>45558.73964120371</v>
      </c>
      <c r="N66" s="3" t="inlineStr">
        <is>
          <t>114.34</t>
        </is>
      </c>
      <c r="O66" t="inlineStr">
        <is>
          <t>Köln</t>
        </is>
      </c>
    </row>
    <row r="67">
      <c r="A67" t="inlineStr">
        <is>
          <t>Gaastra</t>
        </is>
      </c>
      <c r="B67" t="inlineStr">
        <is>
          <t>160-220</t>
        </is>
      </c>
      <c r="C67" t="inlineStr"/>
      <c r="D67" s="4" t="n">
        <v>50</v>
      </c>
      <c r="E67" t="inlineStr">
        <is>
          <t>VB</t>
        </is>
      </c>
      <c r="F67" t="inlineStr">
        <is>
          <t>59394 Nordrhein-Westfalen - Nordkirchen</t>
        </is>
      </c>
      <c r="G67" s="5" t="n">
        <v>45431</v>
      </c>
      <c r="H67" t="inlineStr"/>
      <c r="I67" s="6">
        <f>HYPERLINK("https://www.kleinanzeigen.de/s-anzeige/gaastra-gabelbaum-160-220/2765355341-230-1376", "Link")</f>
        <v/>
      </c>
      <c r="J67" s="6">
        <f>HYPERLINK("C:\Projects\Kleinanzeigen-Scraper\offer_images\2765355341", "Link")</f>
        <v/>
      </c>
      <c r="K67" t="inlineStr">
        <is>
          <t>Krömer</t>
        </is>
      </c>
      <c r="L67" s="6">
        <f>HYPERLINK("https://www.kleinanzeigen.de/s-bestandsliste.html?userId=8387646", "Link")</f>
        <v/>
      </c>
      <c r="M67" s="7" t="n">
        <v>45558.73950231481</v>
      </c>
      <c r="N67" s="3" t="inlineStr">
        <is>
          <t>97.23</t>
        </is>
      </c>
      <c r="O67" t="inlineStr">
        <is>
          <t>Köln</t>
        </is>
      </c>
    </row>
    <row r="68">
      <c r="A68" t="inlineStr">
        <is>
          <t>Gaastra Black Line</t>
        </is>
      </c>
      <c r="B68" t="inlineStr">
        <is>
          <t>160-210</t>
        </is>
      </c>
      <c r="C68" t="inlineStr"/>
      <c r="D68" s="4" t="n">
        <v>50</v>
      </c>
      <c r="E68" t="inlineStr"/>
      <c r="F68" t="inlineStr">
        <is>
          <t>26160 Niedersachsen - Bad Zwischenahn</t>
        </is>
      </c>
      <c r="G68" s="5" t="n">
        <v>45519</v>
      </c>
      <c r="H68" t="inlineStr"/>
      <c r="I68" s="6">
        <f>HYPERLINK("https://www.kleinanzeigen.de/s-anzeige/gaastra-gabelbaum-black-line-160-210/2837613071-230-2601", "Link")</f>
        <v/>
      </c>
      <c r="J68" s="6">
        <f>HYPERLINK("C:\Projects\Kleinanzeigen-Scraper\offer_images\2837613071", "Link")</f>
        <v/>
      </c>
      <c r="K68" t="inlineStr">
        <is>
          <t>Alex</t>
        </is>
      </c>
      <c r="L68" s="6">
        <f>HYPERLINK("https://www.kleinanzeigen.de/s-bestandsliste.html?userId=41508818", "Link")</f>
        <v/>
      </c>
      <c r="M68" s="7" t="n">
        <v>45558.73945601852</v>
      </c>
      <c r="N68" s="3" t="inlineStr">
        <is>
          <t>260.27</t>
        </is>
      </c>
      <c r="O68" t="inlineStr">
        <is>
          <t>Köln</t>
        </is>
      </c>
    </row>
    <row r="69">
      <c r="A69" t="inlineStr">
        <is>
          <t>Gaastra black line</t>
        </is>
      </c>
      <c r="B69" t="inlineStr">
        <is>
          <t>160-220</t>
        </is>
      </c>
      <c r="C69" t="inlineStr"/>
      <c r="D69" s="4" t="n">
        <v>90</v>
      </c>
      <c r="E69" t="inlineStr">
        <is>
          <t>VB</t>
        </is>
      </c>
      <c r="F69" t="inlineStr">
        <is>
          <t>25355 Kreis Pinneberg - Barmstedt</t>
        </is>
      </c>
      <c r="G69" s="5" t="n">
        <v>45552</v>
      </c>
      <c r="H69" t="inlineStr"/>
      <c r="I69" s="6">
        <f>HYPERLINK("https://www.kleinanzeigen.de/s-anzeige/gaastra-black-line-gabelbaum/2866650422-230-16677", "Link")</f>
        <v/>
      </c>
      <c r="J69" s="6">
        <f>HYPERLINK("C:\Projects\Kleinanzeigen-Scraper\offer_images\2866650422", "Link")</f>
        <v/>
      </c>
      <c r="K69" t="inlineStr">
        <is>
          <t>hendrik</t>
        </is>
      </c>
      <c r="L69" s="6">
        <f>HYPERLINK("https://www.kleinanzeigen.de/s-bestandsliste.html?userId=25772848", "Link")</f>
        <v/>
      </c>
      <c r="M69" s="7" t="n">
        <v>45558.73900462963</v>
      </c>
      <c r="N69" s="3" t="inlineStr">
        <is>
          <t>371.91</t>
        </is>
      </c>
      <c r="O69" t="inlineStr">
        <is>
          <t>Köln</t>
        </is>
      </c>
    </row>
    <row r="70">
      <c r="A70" t="inlineStr">
        <is>
          <t>Gaastra GA-Sails</t>
        </is>
      </c>
      <c r="B70" t="inlineStr">
        <is>
          <t>180-230</t>
        </is>
      </c>
      <c r="C70" t="inlineStr"/>
      <c r="D70" s="4" t="n">
        <v>49</v>
      </c>
      <c r="E70" t="inlineStr">
        <is>
          <t>VB</t>
        </is>
      </c>
      <c r="F70" t="inlineStr">
        <is>
          <t>12587 Berlin - Köpenick</t>
        </is>
      </c>
      <c r="G70" s="5" t="n">
        <v>45523</v>
      </c>
      <c r="H70" t="inlineStr">
        <is>
          <t>Sold</t>
        </is>
      </c>
      <c r="I70" s="6">
        <f>HYPERLINK("https://www.kleinanzeigen.de/s-anzeige/gabelbaum-gaastra-ga-sails-boom-blackline-180-230/2841382308-230-3374", "Link")</f>
        <v/>
      </c>
      <c r="J70" s="6">
        <f>HYPERLINK("C:\Projects\Kleinanzeigen-Scraper\offer_images\2841382308", "Link")</f>
        <v/>
      </c>
      <c r="K70" t="inlineStr">
        <is>
          <t>Carsten</t>
        </is>
      </c>
      <c r="L70" s="6">
        <f>HYPERLINK("https://www.kleinanzeigen.de/s-bestandsliste.html?userId=27942008", "Link")</f>
        <v/>
      </c>
      <c r="M70" s="7" t="n">
        <v>45558.73884259259</v>
      </c>
      <c r="N70" s="3" t="inlineStr">
        <is>
          <t>490.72</t>
        </is>
      </c>
      <c r="O70" t="inlineStr">
        <is>
          <t>Köln</t>
        </is>
      </c>
    </row>
    <row r="71">
      <c r="A71" t="inlineStr">
        <is>
          <t>Gaastra Black Line</t>
        </is>
      </c>
      <c r="B71" t="inlineStr">
        <is>
          <t>160-210</t>
        </is>
      </c>
      <c r="C71" t="inlineStr"/>
      <c r="D71" s="4" t="n">
        <v>70</v>
      </c>
      <c r="E71" t="inlineStr"/>
      <c r="F71" t="inlineStr">
        <is>
          <t>23795 Schleswig-Holstein - Bad Segeberg</t>
        </is>
      </c>
      <c r="G71" s="5" t="n">
        <v>45548</v>
      </c>
      <c r="H71" t="inlineStr"/>
      <c r="I71" s="6">
        <f>HYPERLINK("https://www.kleinanzeigen.de/s-anzeige/gaastra-black-line-alu-gabelbaum-160-210/2862355553-230-13372", "Link")</f>
        <v/>
      </c>
      <c r="J71" s="6">
        <f>HYPERLINK("C:\Projects\Kleinanzeigen-Scraper\offer_images\2862355553", "Link")</f>
        <v/>
      </c>
      <c r="K71" t="inlineStr">
        <is>
          <t>H.P.</t>
        </is>
      </c>
      <c r="L71" s="6">
        <f>HYPERLINK("https://www.kleinanzeigen.de/s-bestandsliste.html?userId=3587719", "Link")</f>
        <v/>
      </c>
      <c r="M71" s="7" t="n">
        <v>45558.73876157407</v>
      </c>
      <c r="N71" s="3" t="inlineStr">
        <is>
          <t>402.01</t>
        </is>
      </c>
      <c r="O71" t="inlineStr">
        <is>
          <t>Köln</t>
        </is>
      </c>
    </row>
    <row r="72">
      <c r="A72" t="inlineStr">
        <is>
          <t>Gaastra Blue Line</t>
        </is>
      </c>
      <c r="B72" t="inlineStr">
        <is>
          <t>200-250</t>
        </is>
      </c>
      <c r="C72" t="inlineStr"/>
      <c r="D72" s="4" t="n">
        <v>80</v>
      </c>
      <c r="E72" t="inlineStr">
        <is>
          <t>VB</t>
        </is>
      </c>
      <c r="F72" t="inlineStr">
        <is>
          <t>40595 Düsseldorf - Garath</t>
        </is>
      </c>
      <c r="G72" s="5" t="n">
        <v>44955</v>
      </c>
      <c r="H72" t="inlineStr"/>
      <c r="I72" s="6">
        <f>HYPERLINK("https://www.kleinanzeigen.de/s-anzeige/gabelbaum-gaastra-blue-line-200-250/2343255751-230-2078", "Link")</f>
        <v/>
      </c>
      <c r="J72" s="6">
        <f>HYPERLINK("C:\Projects\Kleinanzeigen-Scraper\offer_images\2343255751", "Link")</f>
        <v/>
      </c>
      <c r="K72" t="inlineStr">
        <is>
          <t>Ilja</t>
        </is>
      </c>
      <c r="L72" s="6">
        <f>HYPERLINK("https://www.kleinanzeigen.de/s-bestandsliste.html?userId=40704074", "Link")</f>
        <v/>
      </c>
      <c r="M72" s="7" t="n">
        <v>45558.73784722222</v>
      </c>
      <c r="N72" s="3" t="inlineStr">
        <is>
          <t>22.73</t>
        </is>
      </c>
      <c r="O72" t="inlineStr">
        <is>
          <t>Köln</t>
        </is>
      </c>
    </row>
    <row r="73">
      <c r="A73" t="inlineStr">
        <is>
          <t>Gaastra GRB</t>
        </is>
      </c>
      <c r="B73" t="inlineStr">
        <is>
          <t>180-230</t>
        </is>
      </c>
      <c r="C73" t="inlineStr"/>
      <c r="D73" s="4" t="n">
        <v>300</v>
      </c>
      <c r="E73" t="inlineStr">
        <is>
          <t>VB</t>
        </is>
      </c>
      <c r="F73" t="inlineStr">
        <is>
          <t>25436 Kreis Pinneberg - Uetersen</t>
        </is>
      </c>
      <c r="G73" s="5" t="n">
        <v>45435</v>
      </c>
      <c r="H73" t="inlineStr"/>
      <c r="I73" s="6">
        <f>HYPERLINK("https://www.kleinanzeigen.de/s-anzeige/gabelbaum-windsurfen-carbon-racing-slalom-gaastra-grb-1000/2769424891-230-622", "Link")</f>
        <v/>
      </c>
      <c r="J73" s="6">
        <f>HYPERLINK("C:\Projects\Kleinanzeigen-Scraper\offer_images\2769424891", "Link")</f>
        <v/>
      </c>
      <c r="K73" t="inlineStr">
        <is>
          <t>Ich</t>
        </is>
      </c>
      <c r="L73" s="6">
        <f>HYPERLINK("https://www.kleinanzeigen.de/s-bestandsliste.html?userId=1339480", "Link")</f>
        <v/>
      </c>
      <c r="M73" s="7" t="n">
        <v>45558.73746527778</v>
      </c>
      <c r="N73" s="3" t="inlineStr">
        <is>
          <t>356.69</t>
        </is>
      </c>
      <c r="O73" t="inlineStr">
        <is>
          <t>Köln</t>
        </is>
      </c>
    </row>
    <row r="74">
      <c r="A74" t="inlineStr">
        <is>
          <t>Gaastra Wave</t>
        </is>
      </c>
      <c r="B74" t="inlineStr">
        <is>
          <t>135-195</t>
        </is>
      </c>
      <c r="C74" t="inlineStr"/>
      <c r="D74" s="4" t="n">
        <v>40</v>
      </c>
      <c r="E74" t="inlineStr">
        <is>
          <t>VB</t>
        </is>
      </c>
      <c r="F74" t="inlineStr">
        <is>
          <t>86972 Bayern - Altenstadt</t>
        </is>
      </c>
      <c r="G74" s="5" t="n">
        <v>45450</v>
      </c>
      <c r="H74" t="inlineStr"/>
      <c r="I74" s="6">
        <f>HYPERLINK("https://www.kleinanzeigen.de/s-anzeige/gaastra-wave-gabelbaum-135-195cm-windsurfboom/2782180334-230-6557", "Link")</f>
        <v/>
      </c>
      <c r="J74" s="6">
        <f>HYPERLINK("C:\Projects\Kleinanzeigen-Scraper\offer_images\2782180334", "Link")</f>
        <v/>
      </c>
      <c r="K74" t="inlineStr">
        <is>
          <t>Johannes</t>
        </is>
      </c>
      <c r="L74" s="6">
        <f>HYPERLINK("https://www.kleinanzeigen.de/s-bestandsliste.html?userId=43847253", "Link")</f>
        <v/>
      </c>
      <c r="M74" s="7" t="n">
        <v>45558.7372337963</v>
      </c>
      <c r="N74" s="3" t="inlineStr">
        <is>
          <t>62.44</t>
        </is>
      </c>
      <c r="O74" t="inlineStr">
        <is>
          <t>München</t>
        </is>
      </c>
    </row>
    <row r="75">
      <c r="A75" t="inlineStr">
        <is>
          <t>Gun Sails Select</t>
        </is>
      </c>
      <c r="B75" t="inlineStr">
        <is>
          <t>180-240</t>
        </is>
      </c>
      <c r="C75" t="inlineStr"/>
      <c r="D75" s="4" t="n">
        <v>290</v>
      </c>
      <c r="E75" t="inlineStr"/>
      <c r="F75" t="inlineStr">
        <is>
          <t>51377 Nordrhein-Westfalen - Leverkusen</t>
        </is>
      </c>
      <c r="G75" s="5" t="n">
        <v>45558</v>
      </c>
      <c r="H75" t="inlineStr"/>
      <c r="I75" s="6">
        <f>HYPERLINK("https://www.kleinanzeigen.de/s-anzeige/gun-sails-select-180-240-carbon-gabelbaum-no-severne-neilpryde/2871892761-230-1992", "Link")</f>
        <v/>
      </c>
      <c r="J75" s="6">
        <f>HYPERLINK("C:\Projects\Kleinanzeigen-Scraper\offer_images\2871892761", "Link")</f>
        <v/>
      </c>
      <c r="K75" t="inlineStr">
        <is>
          <t>Jan</t>
        </is>
      </c>
      <c r="L75" s="6">
        <f>HYPERLINK("https://www.kleinanzeigen.de/s-bestandsliste.html?userId=3530011", "Link")</f>
        <v/>
      </c>
      <c r="M75" s="7" t="n">
        <v>45558.73721064815</v>
      </c>
      <c r="N75" s="3" t="inlineStr">
        <is>
          <t>15.33</t>
        </is>
      </c>
      <c r="O75" t="inlineStr">
        <is>
          <t>Köln</t>
        </is>
      </c>
    </row>
    <row r="76">
      <c r="A76" t="inlineStr">
        <is>
          <t>Gaastra</t>
        </is>
      </c>
      <c r="B76" t="inlineStr">
        <is>
          <t>187-232</t>
        </is>
      </c>
      <c r="C76" t="inlineStr"/>
      <c r="D76" s="4" t="n">
        <v>70</v>
      </c>
      <c r="E76" t="inlineStr"/>
      <c r="F76" t="inlineStr">
        <is>
          <t>21075 Harburg - Hamburg Heimfeld</t>
        </is>
      </c>
      <c r="G76" s="5" t="n">
        <v>45440</v>
      </c>
      <c r="H76" t="inlineStr">
        <is>
          <t>Sold</t>
        </is>
      </c>
      <c r="I76" s="6">
        <f>HYPERLINK("https://www.kleinanzeigen.de/s-anzeige/gabelbaum-vario-187-232-windsurfen-gaastra/2773143774-230-16405", "Link")</f>
        <v/>
      </c>
      <c r="J76" s="6">
        <f>HYPERLINK("C:\Projects\Kleinanzeigen-Scraper\offer_images\2773143774", "Link")</f>
        <v/>
      </c>
      <c r="K76" t="inlineStr">
        <is>
          <t>Emma</t>
        </is>
      </c>
      <c r="L76" s="6">
        <f>HYPERLINK("https://www.kleinanzeigen.de/s-bestandsliste.html?userId=131894757", "Link")</f>
        <v/>
      </c>
      <c r="M76" s="7" t="n">
        <v>45558.73706018519</v>
      </c>
      <c r="N76" s="3" t="inlineStr">
        <is>
          <t>345.92</t>
        </is>
      </c>
      <c r="O76" t="inlineStr">
        <is>
          <t>Köln</t>
        </is>
      </c>
    </row>
    <row r="77">
      <c r="A77" t="inlineStr">
        <is>
          <t>Gaastra Wave</t>
        </is>
      </c>
      <c r="B77" t="inlineStr">
        <is>
          <t>135-185</t>
        </is>
      </c>
      <c r="C77" t="inlineStr"/>
      <c r="D77" s="4" t="n">
        <v>55</v>
      </c>
      <c r="E77" t="inlineStr">
        <is>
          <t>VB</t>
        </is>
      </c>
      <c r="F77" t="inlineStr">
        <is>
          <t>49076 Niedersachsen - Osnabrück</t>
        </is>
      </c>
      <c r="G77" s="5" t="n">
        <v>45547</v>
      </c>
      <c r="H77" t="inlineStr"/>
      <c r="I77" s="6">
        <f>HYPERLINK("https://www.kleinanzeigen.de/s-anzeige/gabelbaum-gaastra-wave/2861400865-230-3121", "Link")</f>
        <v/>
      </c>
      <c r="J77" s="6">
        <f>HYPERLINK("C:\Projects\Kleinanzeigen-Scraper\offer_images\2861400865", "Link")</f>
        <v/>
      </c>
      <c r="K77" t="inlineStr">
        <is>
          <t>Dirk Hanfland</t>
        </is>
      </c>
      <c r="L77" s="6">
        <f>HYPERLINK("https://www.kleinanzeigen.de/s-bestandsliste.html?userId=6123304", "Link")</f>
        <v/>
      </c>
      <c r="M77" s="7" t="n">
        <v>45558.73659722223</v>
      </c>
      <c r="N77" s="3" t="inlineStr">
        <is>
          <t>165.71</t>
        </is>
      </c>
      <c r="O77" t="inlineStr">
        <is>
          <t>Köln</t>
        </is>
      </c>
    </row>
    <row r="78">
      <c r="A78" t="inlineStr">
        <is>
          <t>AL360 Carbon Slim</t>
        </is>
      </c>
      <c r="B78" t="inlineStr">
        <is>
          <t>140-190</t>
        </is>
      </c>
      <c r="C78" t="inlineStr"/>
      <c r="D78" s="4" t="n">
        <v>279</v>
      </c>
      <c r="E78" t="inlineStr"/>
      <c r="F78" t="inlineStr">
        <is>
          <t>22529 Hamburg</t>
        </is>
      </c>
      <c r="G78" s="5" t="n">
        <v>45558</v>
      </c>
      <c r="H78" t="inlineStr"/>
      <c r="I78" s="6">
        <f>HYPERLINK("https://www.dailydose.de/kleinanzeigen/detail.htm?ai=423054&amp;cf=kk&amp;pg=1&amp;ci=13", "Link")</f>
        <v/>
      </c>
      <c r="J78" s="6">
        <f>HYPERLINK("C:\Projects\Kleinanzeigen-Scraper\offer_images\423054", "Link")</f>
        <v/>
      </c>
      <c r="K78" t="inlineStr">
        <is>
          <t>Neptun</t>
        </is>
      </c>
      <c r="L78" s="6">
        <f>HYPERLINK("https://www.dailydose.de/kleinanzeigen/user/19253", "Link")</f>
        <v/>
      </c>
      <c r="M78" s="7" t="n">
        <v>45558.57472222222</v>
      </c>
      <c r="N78" s="3" t="inlineStr">
        <is>
          <t>358.82</t>
        </is>
      </c>
      <c r="O78" t="inlineStr">
        <is>
          <t>Köln</t>
        </is>
      </c>
    </row>
    <row r="79">
      <c r="A79" t="inlineStr">
        <is>
          <t>Neilpryde X9</t>
        </is>
      </c>
      <c r="B79" t="inlineStr">
        <is>
          <t>145-190</t>
        </is>
      </c>
      <c r="C79" t="inlineStr"/>
      <c r="D79" s="4" t="n">
        <v>85</v>
      </c>
      <c r="E79" t="inlineStr"/>
      <c r="F79" t="inlineStr">
        <is>
          <t>82194 Bayern - Gröbenzell</t>
        </is>
      </c>
      <c r="G79" s="5" t="n">
        <v>45557</v>
      </c>
      <c r="H79" t="inlineStr">
        <is>
          <t>Sold</t>
        </is>
      </c>
      <c r="I79" s="6">
        <f>HYPERLINK("https://www.kleinanzeigen.de/s-anzeige/neilpryde-x9-gabelbaum-carbon-145-190/2870808509-230-6350", "Link")</f>
        <v/>
      </c>
      <c r="J79" s="6">
        <f>HYPERLINK("C:\Projects\Kleinanzeigen-Scraper\offer_images\2870808509", "Link")</f>
        <v/>
      </c>
      <c r="K79" t="inlineStr">
        <is>
          <t>Jonas Grünewald</t>
        </is>
      </c>
      <c r="L79" s="6">
        <f>HYPERLINK("https://www.kleinanzeigen.de/s-bestandsliste.html?userId=3880896", "Link")</f>
        <v/>
      </c>
      <c r="M79" s="7" t="n">
        <v>45558.57122685185</v>
      </c>
      <c r="N79" s="3" t="inlineStr">
        <is>
          <t>15.82</t>
        </is>
      </c>
      <c r="O79" t="inlineStr">
        <is>
          <t>München</t>
        </is>
      </c>
    </row>
    <row r="80">
      <c r="A80" t="inlineStr">
        <is>
          <t>North Serie red</t>
        </is>
      </c>
      <c r="B80" t="inlineStr">
        <is>
          <t>140-190</t>
        </is>
      </c>
      <c r="C80" t="inlineStr"/>
      <c r="D80" s="4" t="n">
        <v>65</v>
      </c>
      <c r="E80" t="inlineStr">
        <is>
          <t>VB</t>
        </is>
      </c>
      <c r="F80" t="inlineStr">
        <is>
          <t>31246 Niedersachsen - Ilsede</t>
        </is>
      </c>
      <c r="G80" s="5" t="n">
        <v>45558</v>
      </c>
      <c r="H80" t="inlineStr"/>
      <c r="I80" s="6">
        <f>HYPERLINK("https://www.kleinanzeigen.de/s-anzeige/gabelbaum-serie-red-north-140-190/2871606962-230-2677", "Link")</f>
        <v/>
      </c>
      <c r="J80" s="6">
        <f>HYPERLINK("C:\Projects\Kleinanzeigen-Scraper\offer_images\2871606962", "Link")</f>
        <v/>
      </c>
      <c r="K80" t="inlineStr">
        <is>
          <t>Müller</t>
        </is>
      </c>
      <c r="L80" s="6">
        <f>HYPERLINK("https://www.kleinanzeigen.de/s-bestandsliste.html?userId=6357015", "Link")</f>
        <v/>
      </c>
      <c r="M80" s="7" t="n">
        <v>45558.56828703704</v>
      </c>
      <c r="N80" s="3" t="inlineStr">
        <is>
          <t>269.68</t>
        </is>
      </c>
      <c r="O80" t="inlineStr">
        <is>
          <t>Köln</t>
        </is>
      </c>
    </row>
    <row r="81">
      <c r="A81" t="inlineStr">
        <is>
          <t>North</t>
        </is>
      </c>
      <c r="B81" t="inlineStr">
        <is>
          <t>165-215</t>
        </is>
      </c>
      <c r="C81" t="inlineStr"/>
      <c r="D81" s="4" t="n">
        <v>65</v>
      </c>
      <c r="E81" t="inlineStr">
        <is>
          <t>VB</t>
        </is>
      </c>
      <c r="F81" t="inlineStr">
        <is>
          <t>31246 Niedersachsen - Ilsede</t>
        </is>
      </c>
      <c r="G81" s="5" t="n">
        <v>45558</v>
      </c>
      <c r="H81" t="inlineStr"/>
      <c r="I81" s="6">
        <f>HYPERLINK("https://www.kleinanzeigen.de/s-anzeige/gabelbaum-north-165-215/2871603024-230-2677", "Link")</f>
        <v/>
      </c>
      <c r="J81" s="6">
        <f>HYPERLINK("C:\Projects\Kleinanzeigen-Scraper\offer_images\2871603024", "Link")</f>
        <v/>
      </c>
      <c r="K81" t="inlineStr">
        <is>
          <t>Müller</t>
        </is>
      </c>
      <c r="L81" s="6">
        <f>HYPERLINK("https://www.kleinanzeigen.de/s-bestandsliste.html?userId=6357015", "Link")</f>
        <v/>
      </c>
      <c r="M81" s="7" t="n">
        <v>45558.56744212963</v>
      </c>
      <c r="N81" s="3" t="inlineStr">
        <is>
          <t>269.68</t>
        </is>
      </c>
      <c r="O81" t="inlineStr">
        <is>
          <t>Köln</t>
        </is>
      </c>
    </row>
    <row r="82">
      <c r="A82" t="inlineStr">
        <is>
          <t>NORTH</t>
        </is>
      </c>
      <c r="B82" t="inlineStr">
        <is>
          <t>150-200</t>
        </is>
      </c>
      <c r="C82" t="inlineStr"/>
      <c r="D82" s="4" t="n">
        <v>65</v>
      </c>
      <c r="E82" t="inlineStr">
        <is>
          <t>VB</t>
        </is>
      </c>
      <c r="F82" t="inlineStr">
        <is>
          <t>35516 Hessen - Münzenberg</t>
        </is>
      </c>
      <c r="G82" s="5" t="n">
        <v>45557</v>
      </c>
      <c r="H82" t="inlineStr"/>
      <c r="I82" s="6">
        <f>HYPERLINK("https://www.kleinanzeigen.de/s-anzeige/surf-gabelbaum-von-north/2870770643-230-4726", "Link")</f>
        <v/>
      </c>
      <c r="J82" s="6">
        <f>HYPERLINK("C:\Projects\Kleinanzeigen-Scraper\offer_images\2870770643", "Link")</f>
        <v/>
      </c>
      <c r="K82" t="inlineStr">
        <is>
          <t>Gerd Lohnert</t>
        </is>
      </c>
      <c r="L82" s="6">
        <f>HYPERLINK("https://www.kleinanzeigen.de/s-bestandsliste.html?userId=120629352", "Link")</f>
        <v/>
      </c>
      <c r="M82" s="7" t="n">
        <v>45558.56625</v>
      </c>
      <c r="N82" s="3" t="inlineStr">
        <is>
          <t>136.78</t>
        </is>
      </c>
      <c r="O82" t="inlineStr">
        <is>
          <t>Köln</t>
        </is>
      </c>
    </row>
    <row r="83">
      <c r="A83" t="inlineStr">
        <is>
          <t>Gunsails</t>
        </is>
      </c>
      <c r="B83" t="inlineStr"/>
      <c r="C83" t="inlineStr"/>
      <c r="D83" s="4" t="inlineStr">
        <is>
          <t>Zu verschenken</t>
        </is>
      </c>
      <c r="E83" t="inlineStr"/>
      <c r="F83" t="inlineStr">
        <is>
          <t>51145 Köln - Porz</t>
        </is>
      </c>
      <c r="G83" s="5" t="n">
        <v>45557</v>
      </c>
      <c r="H83" t="inlineStr">
        <is>
          <t>Sold</t>
        </is>
      </c>
      <c r="I83" s="6">
        <f>HYPERLINK("https://www.kleinanzeigen.de/s-anzeige/windsurf-gabelbaum-zu-verschenken/2870823154-230-964", "Link")</f>
        <v/>
      </c>
      <c r="J83" s="6">
        <f>HYPERLINK("C:\Projects\Kleinanzeigen-Scraper\offer_images\2870823154", "Link")</f>
        <v/>
      </c>
      <c r="K83" t="inlineStr">
        <is>
          <t>Kassner</t>
        </is>
      </c>
      <c r="L83" s="6">
        <f>HYPERLINK("https://www.kleinanzeigen.de/s-bestandsliste.html?userId=25117102", "Link")</f>
        <v/>
      </c>
      <c r="M83" s="7" t="n">
        <v>45558.56574074074</v>
      </c>
      <c r="N83" s="3" t="inlineStr">
        <is>
          <t>11.00</t>
        </is>
      </c>
      <c r="O83" t="inlineStr">
        <is>
          <t>Köln</t>
        </is>
      </c>
    </row>
    <row r="84">
      <c r="A84" t="inlineStr">
        <is>
          <t>Chinook</t>
        </is>
      </c>
      <c r="B84" t="inlineStr">
        <is>
          <t>150-212</t>
        </is>
      </c>
      <c r="C84" t="inlineStr"/>
      <c r="D84" s="4" t="n">
        <v>70</v>
      </c>
      <c r="E84" t="inlineStr">
        <is>
          <t>VB</t>
        </is>
      </c>
      <c r="F84" t="inlineStr">
        <is>
          <t>25524 Schleswig-Holstein - Itzehoe</t>
        </is>
      </c>
      <c r="G84" s="5" t="n">
        <v>45557</v>
      </c>
      <c r="H84" t="inlineStr">
        <is>
          <t>Sold</t>
        </is>
      </c>
      <c r="I84" s="6">
        <f>HYPERLINK("https://www.kleinanzeigen.de/s-anzeige/chinook-gabelbaum-150-212-cm-aluminium-windsurf-boom/2871299226-230-13329", "Link")</f>
        <v/>
      </c>
      <c r="J84" s="6">
        <f>HYPERLINK("C:\Projects\Kleinanzeigen-Scraper\offer_images\2871299226", "Link")</f>
        <v/>
      </c>
      <c r="K84" t="inlineStr">
        <is>
          <t>Mathias Bade</t>
        </is>
      </c>
      <c r="L84" s="6">
        <f>HYPERLINK("https://www.kleinanzeigen.de/s-bestandsliste.html?userId=54965812", "Link")</f>
        <v/>
      </c>
      <c r="M84" s="7" t="n">
        <v>45558.56472222223</v>
      </c>
      <c r="N84" s="3" t="inlineStr">
        <is>
          <t>375.94</t>
        </is>
      </c>
      <c r="O84" t="inlineStr">
        <is>
          <t>Köln</t>
        </is>
      </c>
    </row>
    <row r="85">
      <c r="A85" t="inlineStr">
        <is>
          <t>NeilPryde X5 Wave Matrix</t>
        </is>
      </c>
      <c r="B85" t="inlineStr">
        <is>
          <t>145-190</t>
        </is>
      </c>
      <c r="C85" t="inlineStr"/>
      <c r="D85" s="4" t="n">
        <v>120</v>
      </c>
      <c r="E85" t="inlineStr">
        <is>
          <t>VB</t>
        </is>
      </c>
      <c r="F85" t="inlineStr">
        <is>
          <t>65193 Rhein-Main</t>
        </is>
      </c>
      <c r="G85" s="5" t="n">
        <v>45556</v>
      </c>
      <c r="H85" t="inlineStr"/>
      <c r="I85" s="6">
        <f>HYPERLINK("https://www.dailydose.de/kleinanzeigen/detail.htm?ai=422980&amp;cf=kk&amp;pg=1&amp;ci=13", "Link")</f>
        <v/>
      </c>
      <c r="J85" s="6">
        <f>HYPERLINK("C:\Projects\Kleinanzeigen-Scraper\offer_images\422980", "Link")</f>
        <v/>
      </c>
      <c r="K85" t="inlineStr">
        <is>
          <t>Chris_122</t>
        </is>
      </c>
      <c r="L85" s="6">
        <f>HYPERLINK("https://www.dailydose.de/kleinanzeigen/user/15032", "Link")</f>
        <v/>
      </c>
      <c r="M85" s="7" t="n">
        <v>45557.5674074074</v>
      </c>
      <c r="N85" s="3" t="inlineStr">
        <is>
          <t>121.83</t>
        </is>
      </c>
      <c r="O85" t="inlineStr">
        <is>
          <t>Karlsruhe</t>
        </is>
      </c>
    </row>
    <row r="86">
      <c r="A86" t="inlineStr">
        <is>
          <t>NeilPryde X9</t>
        </is>
      </c>
      <c r="B86" t="inlineStr">
        <is>
          <t>160-210</t>
        </is>
      </c>
      <c r="C86" t="inlineStr"/>
      <c r="D86" s="4" t="n">
        <v>140</v>
      </c>
      <c r="E86" t="inlineStr">
        <is>
          <t>VB</t>
        </is>
      </c>
      <c r="F86" t="inlineStr">
        <is>
          <t>65193 Rhein-Main</t>
        </is>
      </c>
      <c r="G86" s="5" t="n">
        <v>45556</v>
      </c>
      <c r="H86" t="inlineStr"/>
      <c r="I86" s="6">
        <f>HYPERLINK("https://www.dailydose.de/kleinanzeigen/detail.htm?ai=422978&amp;cf=kk&amp;pg=1&amp;ci=13", "Link")</f>
        <v/>
      </c>
      <c r="J86" s="6">
        <f>HYPERLINK("C:\Projects\Kleinanzeigen-Scraper\offer_images\422978", "Link")</f>
        <v/>
      </c>
      <c r="K86" t="inlineStr">
        <is>
          <t>Chris_122</t>
        </is>
      </c>
      <c r="L86" s="6">
        <f>HYPERLINK("https://www.dailydose.de/kleinanzeigen/user/15032", "Link")</f>
        <v/>
      </c>
      <c r="M86" s="7" t="n">
        <v>45557.56597222222</v>
      </c>
      <c r="N86" s="3" t="inlineStr">
        <is>
          <t>121.83</t>
        </is>
      </c>
      <c r="O86" t="inlineStr">
        <is>
          <t>Karlsruhe</t>
        </is>
      </c>
    </row>
    <row r="87">
      <c r="A87" t="inlineStr">
        <is>
          <t>Neil Pryde X6</t>
        </is>
      </c>
      <c r="B87" t="inlineStr">
        <is>
          <t>145-195</t>
        </is>
      </c>
      <c r="C87" t="inlineStr"/>
      <c r="D87" s="4" t="n">
        <v>75</v>
      </c>
      <c r="E87" t="inlineStr">
        <is>
          <t>VB</t>
        </is>
      </c>
      <c r="F87" t="inlineStr">
        <is>
          <t>25355 Kreis Pinneberg - Barmstedt</t>
        </is>
      </c>
      <c r="G87" s="5" t="n">
        <v>45555</v>
      </c>
      <c r="H87" t="inlineStr"/>
      <c r="I87" s="6">
        <f>HYPERLINK("https://www.kleinanzeigen.de/s-anzeige/neil-pryde-x6-gabel-gabelbaum-145-195-cm-neilpryde-windsurf/2869193413-230-16677", "Link")</f>
        <v/>
      </c>
      <c r="J87" s="6">
        <f>HYPERLINK("C:\Projects\Kleinanzeigen-Scraper\offer_images\2869193413", "Link")</f>
        <v/>
      </c>
      <c r="K87" t="inlineStr">
        <is>
          <t>Hansi</t>
        </is>
      </c>
      <c r="L87" s="6">
        <f>HYPERLINK("https://www.kleinanzeigen.de/s-bestandsliste.html?userId=73580626", "Link")</f>
        <v/>
      </c>
      <c r="M87" s="7" t="n">
        <v>45557.5625</v>
      </c>
      <c r="N87" s="3" t="inlineStr">
        <is>
          <t>371.91</t>
        </is>
      </c>
      <c r="O87" t="inlineStr">
        <is>
          <t>Köln</t>
        </is>
      </c>
    </row>
    <row r="88">
      <c r="A88" t="inlineStr">
        <is>
          <t>North Silver HD</t>
        </is>
      </c>
      <c r="B88" t="inlineStr">
        <is>
          <t>180-230</t>
        </is>
      </c>
      <c r="C88" t="inlineStr"/>
      <c r="D88" s="4" t="n">
        <v>140</v>
      </c>
      <c r="E88" t="inlineStr"/>
      <c r="F88" t="inlineStr">
        <is>
          <t>40549 Düsseldorf - Heerdt</t>
        </is>
      </c>
      <c r="G88" s="5" t="n">
        <v>45557</v>
      </c>
      <c r="H88" t="inlineStr">
        <is>
          <t>Sold</t>
        </is>
      </c>
      <c r="I88" s="6">
        <f>HYPERLINK("https://www.kleinanzeigen.de/s-anzeige/gabelbaum-north-silver-hd-180-230-neuwertig/2870631796-230-2069", "Link")</f>
        <v/>
      </c>
      <c r="J88" s="6">
        <f>HYPERLINK("C:\Projects\Kleinanzeigen-Scraper\offer_images\2870631796", "Link")</f>
        <v/>
      </c>
      <c r="K88" t="inlineStr">
        <is>
          <t>Jonas</t>
        </is>
      </c>
      <c r="L88" s="6">
        <f>HYPERLINK("https://www.kleinanzeigen.de/s-bestandsliste.html?userId=144434824", "Link")</f>
        <v/>
      </c>
      <c r="M88" s="7" t="n">
        <v>45557.56075231481</v>
      </c>
      <c r="N88" s="3" t="inlineStr">
        <is>
          <t>36.62</t>
        </is>
      </c>
      <c r="O88" t="inlineStr">
        <is>
          <t>Köln</t>
        </is>
      </c>
    </row>
    <row r="89">
      <c r="A89" t="inlineStr">
        <is>
          <t>NeilPryde X5 Wave Matrix</t>
        </is>
      </c>
      <c r="B89" t="inlineStr">
        <is>
          <t>145-190</t>
        </is>
      </c>
      <c r="C89" t="inlineStr"/>
      <c r="D89" s="4" t="n">
        <v>120</v>
      </c>
      <c r="E89" t="inlineStr">
        <is>
          <t>VB</t>
        </is>
      </c>
      <c r="F89" t="inlineStr">
        <is>
          <t>65193 Hessen - Wiesbaden</t>
        </is>
      </c>
      <c r="G89" s="5" t="n">
        <v>45556</v>
      </c>
      <c r="H89" t="inlineStr"/>
      <c r="I89" s="6">
        <f>HYPERLINK("https://www.kleinanzeigen.de/s-anzeige/neilpryde-gabel-x5-wave-matrix-145-190-windsurf/2870210496-230-4909", "Link")</f>
        <v/>
      </c>
      <c r="J89" s="6">
        <f>HYPERLINK("C:\Projects\Kleinanzeigen-Scraper\offer_images\2870210496", "Link")</f>
        <v/>
      </c>
      <c r="K89" t="inlineStr">
        <is>
          <t>Chris</t>
        </is>
      </c>
      <c r="L89" s="6">
        <f>HYPERLINK("https://www.kleinanzeigen.de/s-bestandsliste.html?userId=84691925", "Link")</f>
        <v/>
      </c>
      <c r="M89" s="7" t="n">
        <v>45557.55980324074</v>
      </c>
      <c r="N89" s="3" t="inlineStr">
        <is>
          <t>121.83</t>
        </is>
      </c>
      <c r="O89" t="inlineStr">
        <is>
          <t>Karlsruhe</t>
        </is>
      </c>
    </row>
    <row r="90">
      <c r="A90" t="inlineStr">
        <is>
          <t>Unifiber</t>
        </is>
      </c>
      <c r="B90" t="inlineStr">
        <is>
          <t>200-250</t>
        </is>
      </c>
      <c r="C90" t="inlineStr"/>
      <c r="D90" s="4" t="n">
        <v>150</v>
      </c>
      <c r="E90" t="inlineStr"/>
      <c r="F90" t="inlineStr">
        <is>
          <t>38444 Niedersachsen - Wolfsburg</t>
        </is>
      </c>
      <c r="G90" s="5" t="n">
        <v>45557</v>
      </c>
      <c r="H90" t="inlineStr"/>
      <c r="I90" s="6">
        <f>HYPERLINK("https://www.kleinanzeigen.de/s-anzeige/verkaufe-gabelbaum-unifiber-200-250-zum-windsurfen/2870266015-230-3072", "Link")</f>
        <v/>
      </c>
      <c r="J90" s="6">
        <f>HYPERLINK("C:\Projects\Kleinanzeigen-Scraper\offer_images\2870266015", "Link")</f>
        <v/>
      </c>
      <c r="K90" t="inlineStr">
        <is>
          <t>Georg</t>
        </is>
      </c>
      <c r="L90" s="6">
        <f>HYPERLINK("https://www.kleinanzeigen.de/s-bestandsliste.html?userId=17464512", "Link")</f>
        <v/>
      </c>
      <c r="M90" s="7" t="n">
        <v>45557.55916666667</v>
      </c>
      <c r="N90" s="3" t="inlineStr">
        <is>
          <t>307.09</t>
        </is>
      </c>
      <c r="O90" t="inlineStr">
        <is>
          <t>Köln</t>
        </is>
      </c>
    </row>
    <row r="91">
      <c r="A91" t="inlineStr">
        <is>
          <t>NeilPryde X9</t>
        </is>
      </c>
      <c r="B91" t="inlineStr">
        <is>
          <t>160-210</t>
        </is>
      </c>
      <c r="C91" t="inlineStr"/>
      <c r="D91" s="4" t="n">
        <v>140</v>
      </c>
      <c r="E91" t="inlineStr">
        <is>
          <t>VB</t>
        </is>
      </c>
      <c r="F91" t="inlineStr">
        <is>
          <t>65193 Hessen - Wiesbaden</t>
        </is>
      </c>
      <c r="G91" s="5" t="n">
        <v>45556</v>
      </c>
      <c r="H91" t="inlineStr"/>
      <c r="I91" s="6">
        <f>HYPERLINK("https://www.kleinanzeigen.de/s-anzeige/neilpryde-x9-carbon-gabel-160-210-windsurf/2870209166-230-4909", "Link")</f>
        <v/>
      </c>
      <c r="J91" s="6">
        <f>HYPERLINK("C:\Projects\Kleinanzeigen-Scraper\offer_images\2870209166", "Link")</f>
        <v/>
      </c>
      <c r="K91" t="inlineStr">
        <is>
          <t>Chris</t>
        </is>
      </c>
      <c r="L91" s="6">
        <f>HYPERLINK("https://www.kleinanzeigen.de/s-bestandsliste.html?userId=84691925", "Link")</f>
        <v/>
      </c>
      <c r="M91" s="7" t="n">
        <v>45557.5590162037</v>
      </c>
      <c r="N91" s="3" t="inlineStr">
        <is>
          <t>121.83</t>
        </is>
      </c>
      <c r="O91" t="inlineStr">
        <is>
          <t>Karlsruhe</t>
        </is>
      </c>
    </row>
    <row r="92">
      <c r="A92" t="inlineStr">
        <is>
          <t>Severne</t>
        </is>
      </c>
      <c r="B92" t="inlineStr">
        <is>
          <t>180-230</t>
        </is>
      </c>
      <c r="C92" t="inlineStr"/>
      <c r="D92" s="4" t="n">
        <v>699</v>
      </c>
      <c r="E92" t="inlineStr"/>
      <c r="F92" t="inlineStr">
        <is>
          <t>89518 Baden-Württemberg - Heidenheim an der Brenz</t>
        </is>
      </c>
      <c r="G92" s="5" t="n">
        <v>45557</v>
      </c>
      <c r="H92" t="inlineStr">
        <is>
          <t>Sold</t>
        </is>
      </c>
      <c r="I92" s="6">
        <f>HYPERLINK("https://www.kleinanzeigen.de/s-anzeige/severne-enigma-180cm-230cm/2870440656-230-9053", "Link")</f>
        <v/>
      </c>
      <c r="J92" s="6">
        <f>HYPERLINK("C:\Projects\Kleinanzeigen-Scraper\offer_images\2870440656", "Link")</f>
        <v/>
      </c>
      <c r="K92" t="inlineStr">
        <is>
          <t>Matthias</t>
        </is>
      </c>
      <c r="L92" s="6">
        <f>HYPERLINK("https://www.kleinanzeigen.de/s-bestandsliste.html?userId=27237342", "Link")</f>
        <v/>
      </c>
      <c r="M92" s="7" t="n">
        <v>45557.55828703703</v>
      </c>
      <c r="N92" s="3" t="inlineStr">
        <is>
          <t>85.76</t>
        </is>
      </c>
      <c r="O92" t="inlineStr">
        <is>
          <t>Böblingen</t>
        </is>
      </c>
    </row>
    <row r="93">
      <c r="A93" t="inlineStr">
        <is>
          <t>North Silver HD</t>
        </is>
      </c>
      <c r="B93" t="inlineStr">
        <is>
          <t>150-200</t>
        </is>
      </c>
      <c r="C93" t="inlineStr"/>
      <c r="D93" s="4" t="n">
        <v>140</v>
      </c>
      <c r="E93" t="inlineStr"/>
      <c r="F93" t="inlineStr">
        <is>
          <t>40549 Düsseldorf - Heerdt</t>
        </is>
      </c>
      <c r="G93" s="5" t="n">
        <v>45557</v>
      </c>
      <c r="H93" t="inlineStr">
        <is>
          <t>Sold</t>
        </is>
      </c>
      <c r="I93" s="6">
        <f>HYPERLINK("https://www.kleinanzeigen.de/s-anzeige/gabelbaum-north-silver-hd-150-200-neu/2870626605-230-2069", "Link")</f>
        <v/>
      </c>
      <c r="J93" s="6">
        <f>HYPERLINK("C:\Projects\Kleinanzeigen-Scraper\offer_images\2870626605", "Link")</f>
        <v/>
      </c>
      <c r="K93" t="inlineStr">
        <is>
          <t>Jonas</t>
        </is>
      </c>
      <c r="L93" s="6">
        <f>HYPERLINK("https://www.kleinanzeigen.de/s-bestandsliste.html?userId=144434824", "Link")</f>
        <v/>
      </c>
      <c r="M93" s="7" t="n">
        <v>45557.55804398148</v>
      </c>
      <c r="N93" s="3" t="inlineStr">
        <is>
          <t>36.62</t>
        </is>
      </c>
      <c r="O93" t="inlineStr">
        <is>
          <t>Köln</t>
        </is>
      </c>
    </row>
    <row r="94">
      <c r="A94" t="inlineStr">
        <is>
          <t>Naish</t>
        </is>
      </c>
      <c r="B94" t="inlineStr">
        <is>
          <t>160-210</t>
        </is>
      </c>
      <c r="C94" t="inlineStr"/>
      <c r="D94" s="4" t="n">
        <v>99</v>
      </c>
      <c r="E94" t="inlineStr">
        <is>
          <t>VB</t>
        </is>
      </c>
      <c r="F94" t="inlineStr">
        <is>
          <t>64297 Hessen - Darmstadt</t>
        </is>
      </c>
      <c r="G94" s="5" t="n">
        <v>45557</v>
      </c>
      <c r="H94" t="inlineStr">
        <is>
          <t>Sold</t>
        </is>
      </c>
      <c r="I94" s="6">
        <f>HYPERLINK("https://www.kleinanzeigen.de/s-anzeige/naish-cabon-gabelbaum/2870623597-230-4890", "Link")</f>
        <v/>
      </c>
      <c r="J94" s="6">
        <f>HYPERLINK("C:\Projects\Kleinanzeigen-Scraper\offer_images\2870623597", "Link")</f>
        <v/>
      </c>
      <c r="K94" t="inlineStr">
        <is>
          <t>Frey Jürgen</t>
        </is>
      </c>
      <c r="L94" s="6">
        <f>HYPERLINK("https://www.kleinanzeigen.de/s-bestandsliste.html?userId=18609958", "Link")</f>
        <v/>
      </c>
      <c r="M94" s="7" t="n">
        <v>45557.55762731482</v>
      </c>
      <c r="N94" s="3" t="inlineStr">
        <is>
          <t>92.80</t>
        </is>
      </c>
      <c r="O94" t="inlineStr">
        <is>
          <t>Karlsruhe</t>
        </is>
      </c>
    </row>
    <row r="95">
      <c r="A95" t="inlineStr">
        <is>
          <t>Ascan Slalom</t>
        </is>
      </c>
      <c r="B95" t="inlineStr">
        <is>
          <t>160-210</t>
        </is>
      </c>
      <c r="C95" t="inlineStr"/>
      <c r="D95" s="4" t="n">
        <v>75</v>
      </c>
      <c r="E95" t="inlineStr">
        <is>
          <t>VB</t>
        </is>
      </c>
      <c r="F95" t="inlineStr">
        <is>
          <t>25355 Kreis Pinneberg - Barmstedt</t>
        </is>
      </c>
      <c r="G95" s="5" t="n">
        <v>45555</v>
      </c>
      <c r="H95" t="inlineStr"/>
      <c r="I95" s="6">
        <f>HYPERLINK("https://www.kleinanzeigen.de/s-anzeige/ascan-slalom-160-210-cm-gabel-gabelbaum-boom-no-neilpryde/2869198120-230-16677", "Link")</f>
        <v/>
      </c>
      <c r="J95" s="6">
        <f>HYPERLINK("C:\Projects\Kleinanzeigen-Scraper\offer_images\2869198120", "Link")</f>
        <v/>
      </c>
      <c r="K95" t="inlineStr">
        <is>
          <t>Hansi</t>
        </is>
      </c>
      <c r="L95" s="6">
        <f>HYPERLINK("https://www.kleinanzeigen.de/s-bestandsliste.html?userId=73580626", "Link")</f>
        <v/>
      </c>
      <c r="M95" s="7" t="n">
        <v>45557.55697916666</v>
      </c>
      <c r="N95" s="3" t="inlineStr">
        <is>
          <t>371.91</t>
        </is>
      </c>
      <c r="O95" t="inlineStr">
        <is>
          <t>Köln</t>
        </is>
      </c>
    </row>
    <row r="96">
      <c r="A96" t="inlineStr">
        <is>
          <t>Severne Enigma</t>
        </is>
      </c>
      <c r="B96" t="inlineStr">
        <is>
          <t>170-220</t>
        </is>
      </c>
      <c r="C96" t="inlineStr">
        <is>
          <t>2024</t>
        </is>
      </c>
      <c r="D96" s="4" t="n">
        <v>850</v>
      </c>
      <c r="E96" t="inlineStr">
        <is>
          <t>VB</t>
        </is>
      </c>
      <c r="F96" t="inlineStr">
        <is>
          <t>01069 Dresden - Innere Altstadt</t>
        </is>
      </c>
      <c r="G96" s="5" t="n">
        <v>45544</v>
      </c>
      <c r="H96" t="inlineStr">
        <is>
          <t>Sold</t>
        </is>
      </c>
      <c r="I96" s="6">
        <f>HYPERLINK("https://www.kleinanzeigen.de/s-anzeige/gabelbaum-boom-severne-enigma-carbon-freemove-170-220-2024/2858494516-230-3833", "Link")</f>
        <v/>
      </c>
      <c r="J96" s="6">
        <f>HYPERLINK("C:\Projects\Kleinanzeigen-Scraper\offer_images\2858494516", "Link")</f>
        <v/>
      </c>
      <c r="K96" t="inlineStr">
        <is>
          <t>Roman Lemke</t>
        </is>
      </c>
      <c r="L96" s="6">
        <f>HYPERLINK("https://www.kleinanzeigen.de/s-bestandsliste.html?userId=16285527", "Link")</f>
        <v/>
      </c>
      <c r="M96" s="7" t="n">
        <v>45557.55585648148</v>
      </c>
      <c r="N96" s="3" t="inlineStr">
        <is>
          <t>358.49</t>
        </is>
      </c>
      <c r="O96" t="inlineStr">
        <is>
          <t>München</t>
        </is>
      </c>
    </row>
    <row r="97">
      <c r="A97" t="inlineStr">
        <is>
          <t>AL 360</t>
        </is>
      </c>
      <c r="B97" t="inlineStr">
        <is>
          <t>180-240</t>
        </is>
      </c>
      <c r="C97" t="inlineStr"/>
      <c r="D97" s="4" t="n">
        <v>290</v>
      </c>
      <c r="E97" t="inlineStr"/>
      <c r="F97" t="inlineStr">
        <is>
          <t>Versand 45772</t>
        </is>
      </c>
      <c r="G97" s="5" t="n">
        <v>45556</v>
      </c>
      <c r="H97" t="inlineStr">
        <is>
          <t>Sold</t>
        </is>
      </c>
      <c r="I97" s="6">
        <f>HYPERLINK("https://www.dailydose.de/kleinanzeigen/detail.htm?ai=422941&amp;cf=kk&amp;pg=1&amp;ci=13", "Link")</f>
        <v/>
      </c>
      <c r="J97" s="6">
        <f>HYPERLINK("C:\Projects\Kleinanzeigen-Scraper\offer_images\422941", "Link")</f>
        <v/>
      </c>
      <c r="K97" t="inlineStr">
        <is>
          <t>Margarethe</t>
        </is>
      </c>
      <c r="L97" s="6">
        <f>HYPERLINK("https://www.dailydose.de/kleinanzeigen/user/9256", "Link")</f>
        <v/>
      </c>
      <c r="M97" s="7" t="n">
        <v>45556.94396990741</v>
      </c>
      <c r="N97" s="3" t="inlineStr">
        <is>
          <t>84.29</t>
        </is>
      </c>
      <c r="O97" t="inlineStr">
        <is>
          <t>Köln</t>
        </is>
      </c>
    </row>
    <row r="98">
      <c r="A98" t="inlineStr">
        <is>
          <t>Neil Pryde XA Wave</t>
        </is>
      </c>
      <c r="B98" t="inlineStr">
        <is>
          <t>165-225</t>
        </is>
      </c>
      <c r="C98" t="inlineStr"/>
      <c r="D98" s="4" t="n">
        <v>220</v>
      </c>
      <c r="E98" t="inlineStr">
        <is>
          <t>VB</t>
        </is>
      </c>
      <c r="F98" t="inlineStr">
        <is>
          <t>25355 Kreis Pinneberg - Barmstedt</t>
        </is>
      </c>
      <c r="G98" s="5" t="n">
        <v>45555</v>
      </c>
      <c r="H98" t="inlineStr"/>
      <c r="I98" s="6">
        <f>HYPERLINK("https://www.kleinanzeigen.de/s-anzeige/neu-neil-pryde-xa-wave-165-225-gabel-gabelbaum-windsurf/2869205133-230-16677", "Link")</f>
        <v/>
      </c>
      <c r="J98" s="6">
        <f>HYPERLINK("C:\Projects\Kleinanzeigen-Scraper\offer_images\2869205133", "Link")</f>
        <v/>
      </c>
      <c r="K98" t="inlineStr">
        <is>
          <t>Hansi</t>
        </is>
      </c>
      <c r="L98" s="6">
        <f>HYPERLINK("https://www.kleinanzeigen.de/s-bestandsliste.html?userId=73580626", "Link")</f>
        <v/>
      </c>
      <c r="M98" s="7" t="n">
        <v>45556.94309027777</v>
      </c>
      <c r="N98" s="3" t="inlineStr">
        <is>
          <t>371.91</t>
        </is>
      </c>
      <c r="O98" t="inlineStr">
        <is>
          <t>Köln</t>
        </is>
      </c>
    </row>
    <row r="99">
      <c r="A99" t="inlineStr">
        <is>
          <t>Sailloft</t>
        </is>
      </c>
      <c r="B99" t="inlineStr">
        <is>
          <t>250-290</t>
        </is>
      </c>
      <c r="C99" t="inlineStr"/>
      <c r="D99" s="4" t="n">
        <v>90</v>
      </c>
      <c r="E99" t="inlineStr">
        <is>
          <t>VB</t>
        </is>
      </c>
      <c r="F99" t="inlineStr">
        <is>
          <t>18356 Mecklenburg-Vorpommern - Fuhlendorf (Vorpommern)</t>
        </is>
      </c>
      <c r="G99" s="5" t="n">
        <v>45523</v>
      </c>
      <c r="H99" t="inlineStr">
        <is>
          <t>Sold</t>
        </is>
      </c>
      <c r="I99" s="6">
        <f>HYPERLINK("https://www.kleinanzeigen.de/s-anzeige/sailloft-gabelbaum-250-290/2841161560-230-25276", "Link")</f>
        <v/>
      </c>
      <c r="J99" s="6">
        <f>HYPERLINK("C:\Projects\Kleinanzeigen-Scraper\offer_images\2841161560", "Link")</f>
        <v/>
      </c>
      <c r="K99" t="inlineStr">
        <is>
          <t>Stephan Hergert</t>
        </is>
      </c>
      <c r="L99" s="6">
        <f>HYPERLINK("https://www.kleinanzeigen.de/s-bestandsliste.html?userId=17876078", "Link")</f>
        <v/>
      </c>
      <c r="M99" s="7" t="n">
        <v>45556.94075231482</v>
      </c>
      <c r="N99" s="3" t="inlineStr">
        <is>
          <t>539.13</t>
        </is>
      </c>
      <c r="O99" t="inlineStr">
        <is>
          <t>Köln</t>
        </is>
      </c>
    </row>
    <row r="100">
      <c r="A100" t="inlineStr">
        <is>
          <t>NeilPryde</t>
        </is>
      </c>
      <c r="B100" t="inlineStr">
        <is>
          <t>200-250</t>
        </is>
      </c>
      <c r="C100" t="inlineStr"/>
      <c r="D100" s="4" t="n">
        <v>150</v>
      </c>
      <c r="E100" t="inlineStr">
        <is>
          <t>VB</t>
        </is>
      </c>
      <c r="F100" t="inlineStr">
        <is>
          <t>80798 München - Schwabing-West</t>
        </is>
      </c>
      <c r="G100" s="5" t="n">
        <v>45556</v>
      </c>
      <c r="H100" t="inlineStr"/>
      <c r="I100" s="6">
        <f>HYPERLINK("https://www.kleinanzeigen.de/s-anzeige/neilpryde-gabelbaum-boom-x3-200-250/2869408834-230-6459", "Link")</f>
        <v/>
      </c>
      <c r="J100" s="6">
        <f>HYPERLINK("C:\Projects\Kleinanzeigen-Scraper\offer_images\2869408834", "Link")</f>
        <v/>
      </c>
      <c r="K100" t="inlineStr">
        <is>
          <t>Jonathan</t>
        </is>
      </c>
      <c r="L100" s="6">
        <f>HYPERLINK("https://www.kleinanzeigen.de/s-bestandsliste.html?userId=130270649", "Link")</f>
        <v/>
      </c>
      <c r="M100" s="7" t="n">
        <v>45556.9405787037</v>
      </c>
      <c r="N100" s="3" t="inlineStr">
        <is>
          <t>2.07</t>
        </is>
      </c>
      <c r="O100" t="inlineStr">
        <is>
          <t>München</t>
        </is>
      </c>
    </row>
    <row r="101">
      <c r="A101" t="inlineStr">
        <is>
          <t>Neilpryde X9</t>
        </is>
      </c>
      <c r="B101" t="inlineStr">
        <is>
          <t>140-190</t>
        </is>
      </c>
      <c r="C101" t="inlineStr"/>
      <c r="D101" s="4" t="n">
        <v>250</v>
      </c>
      <c r="E101" t="inlineStr">
        <is>
          <t>VB</t>
        </is>
      </c>
      <c r="F101" t="inlineStr">
        <is>
          <t>24107 Kiel - Suchsdorf</t>
        </is>
      </c>
      <c r="G101" s="5" t="n">
        <v>45555</v>
      </c>
      <c r="H101" t="inlineStr"/>
      <c r="I101" s="6">
        <f>HYPERLINK("https://www.kleinanzeigen.de/s-anzeige/neilpryde-x9-carbongabel-140-190-windsurfen/2868971254-230-11840", "Link")</f>
        <v/>
      </c>
      <c r="J101" s="6">
        <f>HYPERLINK("C:\Projects\Kleinanzeigen-Scraper\offer_images\2868971254", "Link")</f>
        <v/>
      </c>
      <c r="K101" t="inlineStr">
        <is>
          <t>Felix Rother</t>
        </is>
      </c>
      <c r="L101" s="6">
        <f>HYPERLINK("https://www.kleinanzeigen.de/s-bestandsliste.html?userId=45539522", "Link")</f>
        <v/>
      </c>
      <c r="M101" s="7" t="n">
        <v>45556.93862268519</v>
      </c>
      <c r="N101" s="3" t="inlineStr">
        <is>
          <t>432.01</t>
        </is>
      </c>
      <c r="O101" t="inlineStr">
        <is>
          <t>Köln</t>
        </is>
      </c>
    </row>
    <row r="102">
      <c r="A102" t="inlineStr">
        <is>
          <t>Gun Sail Cross</t>
        </is>
      </c>
      <c r="B102" t="inlineStr">
        <is>
          <t>150-200</t>
        </is>
      </c>
      <c r="C102" t="inlineStr"/>
      <c r="D102" s="4" t="n">
        <v>35</v>
      </c>
      <c r="E102" t="inlineStr">
        <is>
          <t>VB</t>
        </is>
      </c>
      <c r="F102" t="inlineStr">
        <is>
          <t>52399 Nordrhein-Westfalen - Merzenich</t>
        </is>
      </c>
      <c r="G102" s="5" t="n">
        <v>45538</v>
      </c>
      <c r="H102" t="inlineStr"/>
      <c r="I102" s="6">
        <f>HYPERLINK("https://www.kleinanzeigen.de/s-anzeige/gabelbaum-gun-sail-cross-150-200/2853558296-230-1766", "Link")</f>
        <v/>
      </c>
      <c r="J102" s="6">
        <f>HYPERLINK("C:\Projects\Kleinanzeigen-Scraper\offer_images\2853558296", "Link")</f>
        <v/>
      </c>
      <c r="K102" t="inlineStr">
        <is>
          <t>Mike</t>
        </is>
      </c>
      <c r="L102" s="6">
        <f>HYPERLINK("https://www.kleinanzeigen.de/s-bestandsliste.html?userId=13676787", "Link")</f>
        <v/>
      </c>
      <c r="M102" s="7" t="n">
        <v>45556.93768518518</v>
      </c>
      <c r="N102" s="3" t="inlineStr">
        <is>
          <t>32.32</t>
        </is>
      </c>
      <c r="O102" t="inlineStr">
        <is>
          <t>Köln</t>
        </is>
      </c>
    </row>
    <row r="103">
      <c r="A103" t="inlineStr">
        <is>
          <t>TwoEleven</t>
        </is>
      </c>
      <c r="B103" t="inlineStr">
        <is>
          <t>150-200</t>
        </is>
      </c>
      <c r="C103" t="inlineStr"/>
      <c r="D103" s="4" t="n">
        <v>52</v>
      </c>
      <c r="E103" t="inlineStr">
        <is>
          <t>VB</t>
        </is>
      </c>
      <c r="F103" t="inlineStr">
        <is>
          <t>88048 Baden-Württemberg - Friedrichshafen</t>
        </is>
      </c>
      <c r="G103" s="5" t="n">
        <v>45556</v>
      </c>
      <c r="H103" t="inlineStr"/>
      <c r="I103" s="6">
        <f>HYPERLINK("https://www.kleinanzeigen.de/s-anzeige/windsurf-gabelbaum-150-200cm/2869630910-230-9212", "Link")</f>
        <v/>
      </c>
      <c r="J103" s="6">
        <f>HYPERLINK("C:\Projects\Kleinanzeigen-Scraper\offer_images\2869630910", "Link")</f>
        <v/>
      </c>
      <c r="K103" t="inlineStr">
        <is>
          <t>Lotti Maier</t>
        </is>
      </c>
      <c r="L103" s="6">
        <f>HYPERLINK("https://www.kleinanzeigen.de/s-bestandsliste.html?userId=16045975", "Link")</f>
        <v/>
      </c>
      <c r="M103" s="7" t="n">
        <v>45556.93655092592</v>
      </c>
      <c r="N103" s="3" t="inlineStr">
        <is>
          <t>87.69</t>
        </is>
      </c>
      <c r="O103" t="inlineStr">
        <is>
          <t>Bonndorf</t>
        </is>
      </c>
    </row>
    <row r="104">
      <c r="A104" t="inlineStr">
        <is>
          <t>Neilpryde X6</t>
        </is>
      </c>
      <c r="B104" t="inlineStr">
        <is>
          <t>160-220</t>
        </is>
      </c>
      <c r="C104" t="inlineStr"/>
      <c r="D104" s="4" t="n">
        <v>85</v>
      </c>
      <c r="E104" t="inlineStr">
        <is>
          <t>VB</t>
        </is>
      </c>
      <c r="F104" t="inlineStr">
        <is>
          <t>79104 Baden-Württemberg - Freiburg im Breisgau</t>
        </is>
      </c>
      <c r="G104" s="5" t="n">
        <v>45555</v>
      </c>
      <c r="H104" t="inlineStr">
        <is>
          <t>Sold</t>
        </is>
      </c>
      <c r="I104" s="6">
        <f>HYPERLINK("https://www.kleinanzeigen.de/s-anzeige/neilpryde-160-220-x6-hybrid-carbon-boom-gabelbaum-windsurf-sdmrdm/2868851496-230-9363", "Link")</f>
        <v/>
      </c>
      <c r="J104" s="6">
        <f>HYPERLINK("C:\Projects\Kleinanzeigen-Scraper\offer_images\2868851496", "Link")</f>
        <v/>
      </c>
      <c r="K104" t="inlineStr">
        <is>
          <t>Fabian</t>
        </is>
      </c>
      <c r="L104" s="6">
        <f>HYPERLINK("https://www.kleinanzeigen.de/s-bestandsliste.html?userId=37129475", "Link")</f>
        <v/>
      </c>
      <c r="M104" s="7" t="n">
        <v>45556.93612268518</v>
      </c>
      <c r="N104" s="3" t="inlineStr">
        <is>
          <t>39.35</t>
        </is>
      </c>
      <c r="O104" t="inlineStr">
        <is>
          <t>Bonndorf</t>
        </is>
      </c>
    </row>
    <row r="105">
      <c r="A105" t="inlineStr">
        <is>
          <t>FANATIC</t>
        </is>
      </c>
      <c r="B105" t="inlineStr">
        <is>
          <t>170-210</t>
        </is>
      </c>
      <c r="C105" t="inlineStr"/>
      <c r="D105" s="4" t="n">
        <v>5</v>
      </c>
      <c r="E105" t="inlineStr">
        <is>
          <t>VB</t>
        </is>
      </c>
      <c r="F105" t="inlineStr">
        <is>
          <t>72800 Baden-Württemberg - Eningen</t>
        </is>
      </c>
      <c r="G105" s="5" t="n">
        <v>45550</v>
      </c>
      <c r="H105" t="inlineStr">
        <is>
          <t>Sold</t>
        </is>
      </c>
      <c r="I105" s="6">
        <f>HYPERLINK("https://www.kleinanzeigen.de/s-anzeige/fanatic-gabelbaum/2864873203-230-9352", "Link")</f>
        <v/>
      </c>
      <c r="J105" s="6">
        <f>HYPERLINK("C:\Projects\Kleinanzeigen-Scraper\offer_images\2864873203", "Link")</f>
        <v/>
      </c>
      <c r="K105" t="inlineStr">
        <is>
          <t>Dani</t>
        </is>
      </c>
      <c r="L105" s="6">
        <f>HYPERLINK("https://www.kleinanzeigen.de/s-bestandsliste.html?userId=26319259", "Link")</f>
        <v/>
      </c>
      <c r="M105" s="7" t="n">
        <v>45556.93609953704</v>
      </c>
      <c r="N105" s="3" t="inlineStr">
        <is>
          <t>31.30</t>
        </is>
      </c>
      <c r="O105" t="inlineStr">
        <is>
          <t>Böblingen</t>
        </is>
      </c>
    </row>
    <row r="106">
      <c r="A106" t="inlineStr">
        <is>
          <t>Neilpryde X3</t>
        </is>
      </c>
      <c r="B106" t="inlineStr">
        <is>
          <t>160-210</t>
        </is>
      </c>
      <c r="C106" t="inlineStr"/>
      <c r="D106" s="4" t="n">
        <v>40</v>
      </c>
      <c r="E106" t="inlineStr">
        <is>
          <t>VB</t>
        </is>
      </c>
      <c r="F106" t="inlineStr">
        <is>
          <t>24119 Kiel - Kronshagen</t>
        </is>
      </c>
      <c r="G106" s="5" t="n">
        <v>45555</v>
      </c>
      <c r="H106" t="inlineStr">
        <is>
          <t>Sold</t>
        </is>
      </c>
      <c r="I106" s="6">
        <f>HYPERLINK("https://www.kleinanzeigen.de/s-anzeige/neilpryde-x3-gabelbaum-160-210/2868897857-230-705", "Link")</f>
        <v/>
      </c>
      <c r="J106" s="6">
        <f>HYPERLINK("C:\Projects\Kleinanzeigen-Scraper\offer_images\2868897857", "Link")</f>
        <v/>
      </c>
      <c r="K106" t="inlineStr">
        <is>
          <t>Miriam</t>
        </is>
      </c>
      <c r="L106" s="6">
        <f>HYPERLINK("https://www.kleinanzeigen.de/s-bestandsliste.html?userId=6731406", "Link")</f>
        <v/>
      </c>
      <c r="M106" s="7" t="n">
        <v>45556.93538194444</v>
      </c>
      <c r="N106" s="3" t="inlineStr">
        <is>
          <t>432.46</t>
        </is>
      </c>
      <c r="O106" t="inlineStr">
        <is>
          <t>Köln</t>
        </is>
      </c>
    </row>
    <row r="107">
      <c r="A107" t="inlineStr"/>
      <c r="B107" t="inlineStr">
        <is>
          <t>180-240</t>
        </is>
      </c>
      <c r="C107" t="inlineStr"/>
      <c r="D107" s="4" t="n">
        <v>290</v>
      </c>
      <c r="E107" t="inlineStr"/>
      <c r="F107" t="inlineStr">
        <is>
          <t>45772 Nordrhein-Westfalen - Marl</t>
        </is>
      </c>
      <c r="G107" s="5" t="n">
        <v>45556</v>
      </c>
      <c r="H107" t="inlineStr">
        <is>
          <t>Sold</t>
        </is>
      </c>
      <c r="I107" s="6">
        <f>HYPERLINK("https://www.kleinanzeigen.de/s-anzeige/carbongabelbaum-al-360-gabelbaum-windsurfen/2869498006-230-1772", "Link")</f>
        <v/>
      </c>
      <c r="J107" s="6">
        <f>HYPERLINK("C:\Projects\Kleinanzeigen-Scraper\offer_images\2869498006", "Link")</f>
        <v/>
      </c>
      <c r="K107" t="inlineStr">
        <is>
          <t>RRD</t>
        </is>
      </c>
      <c r="L107" s="6">
        <f>HYPERLINK("https://www.kleinanzeigen.de/s-bestandsliste.html?userId=13661901", "Link")</f>
        <v/>
      </c>
      <c r="M107" s="7" t="n">
        <v>45556.93495370371</v>
      </c>
      <c r="N107" s="3" t="inlineStr">
        <is>
          <t>84.29</t>
        </is>
      </c>
      <c r="O107" t="inlineStr">
        <is>
          <t>Köln</t>
        </is>
      </c>
    </row>
    <row r="108">
      <c r="A108" t="inlineStr">
        <is>
          <t>North Gaastra Neil Pryde</t>
        </is>
      </c>
      <c r="B108" t="inlineStr">
        <is>
          <t>140-190</t>
        </is>
      </c>
      <c r="C108" t="inlineStr"/>
      <c r="D108" s="4" t="inlineStr"/>
      <c r="E108" t="inlineStr">
        <is>
          <t>VB</t>
        </is>
      </c>
      <c r="F108" t="inlineStr">
        <is>
          <t>48653 Nordrhein-Westfalen - Coesfeld</t>
        </is>
      </c>
      <c r="G108" s="5" t="n">
        <v>45555</v>
      </c>
      <c r="H108" t="inlineStr"/>
      <c r="I108" s="6">
        <f>HYPERLINK("https://www.kleinanzeigen.de/s-anzeige/windsurfen-hobbyaufgabe-gabelbaum-north-gaastra-neil-pryde/2869009484-230-1173", "Link")</f>
        <v/>
      </c>
      <c r="J108" s="6">
        <f>HYPERLINK("C:\Projects\Kleinanzeigen-Scraper\offer_images\2869009484", "Link")</f>
        <v/>
      </c>
      <c r="K108" t="inlineStr">
        <is>
          <t>Marvin</t>
        </is>
      </c>
      <c r="L108" s="6">
        <f>HYPERLINK("https://www.kleinanzeigen.de/s-bestandsliste.html?userId=7238612", "Link")</f>
        <v/>
      </c>
      <c r="M108" s="7" t="n">
        <v>45556.93418981481</v>
      </c>
      <c r="N108" s="3" t="inlineStr">
        <is>
          <t>108.96</t>
        </is>
      </c>
      <c r="O108" t="inlineStr">
        <is>
          <t>Köln</t>
        </is>
      </c>
    </row>
    <row r="109">
      <c r="A109" t="inlineStr">
        <is>
          <t>Neilpryde X9</t>
        </is>
      </c>
      <c r="B109" t="inlineStr">
        <is>
          <t>200-260</t>
        </is>
      </c>
      <c r="C109" t="inlineStr"/>
      <c r="D109" s="4" t="n">
        <v>400</v>
      </c>
      <c r="E109" t="inlineStr">
        <is>
          <t>VB</t>
        </is>
      </c>
      <c r="F109" t="inlineStr">
        <is>
          <t>93309 Kelheim</t>
        </is>
      </c>
      <c r="G109" s="5" t="n">
        <v>45553</v>
      </c>
      <c r="H109" t="inlineStr"/>
      <c r="I109" s="6">
        <f>HYPERLINK("https://www.dailydose.de/kleinanzeigen/detail.htm?ai=422827&amp;cf=kk&amp;pg=1&amp;ci=13", "Link")</f>
        <v/>
      </c>
      <c r="J109" s="6">
        <f>HYPERLINK("C:\Projects\Kleinanzeigen-Scraper\offer_images\422827", "Link")</f>
        <v/>
      </c>
      <c r="K109" t="inlineStr">
        <is>
          <t>Drachensurf</t>
        </is>
      </c>
      <c r="L109" s="6">
        <f>HYPERLINK("https://www.dailydose.de/kleinanzeigen/user/7286", "Link")</f>
        <v/>
      </c>
      <c r="M109" s="7" t="n">
        <v>45555.56877314814</v>
      </c>
      <c r="N109" s="3" t="inlineStr">
        <is>
          <t>88.18</t>
        </is>
      </c>
      <c r="O109" t="inlineStr">
        <is>
          <t>München</t>
        </is>
      </c>
    </row>
    <row r="110">
      <c r="A110" t="inlineStr">
        <is>
          <t>Tekknosport</t>
        </is>
      </c>
      <c r="B110" t="inlineStr">
        <is>
          <t>250-310</t>
        </is>
      </c>
      <c r="C110" t="inlineStr"/>
      <c r="D110" s="4" t="n">
        <v>300</v>
      </c>
      <c r="E110" t="inlineStr"/>
      <c r="F110" t="inlineStr">
        <is>
          <t>30966  Hemmingen</t>
        </is>
      </c>
      <c r="G110" s="5" t="n">
        <v>45554</v>
      </c>
      <c r="H110" t="inlineStr"/>
      <c r="I110" s="6">
        <f>HYPERLINK("https://www.dailydose.de/kleinanzeigen/detail.htm?ai=422862&amp;cf=kk&amp;pg=1&amp;ci=13", "Link")</f>
        <v/>
      </c>
      <c r="J110" s="6">
        <f>HYPERLINK("C:\Projects\Kleinanzeigen-Scraper\offer_images\422862", "Link")</f>
        <v/>
      </c>
      <c r="K110" t="inlineStr">
        <is>
          <t>Peter183</t>
        </is>
      </c>
      <c r="L110" s="6">
        <f>HYPERLINK("https://www.dailydose.de/kleinanzeigen/user/18474", "Link")</f>
        <v/>
      </c>
      <c r="M110" s="7" t="n">
        <v>45555.56861111111</v>
      </c>
      <c r="N110" s="3" t="inlineStr">
        <is>
          <t>244.01</t>
        </is>
      </c>
      <c r="O110" t="inlineStr">
        <is>
          <t>Köln</t>
        </is>
      </c>
    </row>
    <row r="111">
      <c r="A111" t="inlineStr">
        <is>
          <t>Neil Pryde X-CS Boom Slim</t>
        </is>
      </c>
      <c r="B111" t="inlineStr">
        <is>
          <t>0-50</t>
        </is>
      </c>
      <c r="C111" t="inlineStr">
        <is>
          <t>2023/24</t>
        </is>
      </c>
      <c r="D111" s="4" t="n">
        <v>149</v>
      </c>
      <c r="E111" t="inlineStr"/>
      <c r="F111" t="inlineStr">
        <is>
          <t>24997 Flensburg - Kiel - Hamburg</t>
        </is>
      </c>
      <c r="G111" s="5" t="n">
        <v>45552</v>
      </c>
      <c r="H111" t="inlineStr"/>
      <c r="I111" s="6">
        <f>HYPERLINK("https://www.dailydose.de/kleinanzeigen/detail.htm?ai=422768&amp;cf=kk&amp;pg=1&amp;ci=13", "Link")</f>
        <v/>
      </c>
      <c r="J111" s="6">
        <f>HYPERLINK("C:\Projects\Kleinanzeigen-Scraper\offer_images\422768", "Link")</f>
        <v/>
      </c>
      <c r="K111" t="inlineStr">
        <is>
          <t>FS_126</t>
        </is>
      </c>
      <c r="L111" s="6">
        <f>HYPERLINK("https://www.dailydose.de/kleinanzeigen/user/8578", "Link")</f>
        <v/>
      </c>
      <c r="M111" s="7" t="n">
        <v>45555.56737268518</v>
      </c>
      <c r="N111" s="3" t="inlineStr">
        <is>
          <t>445.32</t>
        </is>
      </c>
      <c r="O111" t="inlineStr">
        <is>
          <t>Köln</t>
        </is>
      </c>
    </row>
    <row r="112">
      <c r="A112" t="inlineStr">
        <is>
          <t>AL 360</t>
        </is>
      </c>
      <c r="B112" t="inlineStr">
        <is>
          <t>180-240</t>
        </is>
      </c>
      <c r="C112" t="inlineStr"/>
      <c r="D112" s="4" t="n">
        <v>290</v>
      </c>
      <c r="E112" t="inlineStr"/>
      <c r="F112" t="inlineStr">
        <is>
          <t>Versand Nordrhein-Westfalen - Marl</t>
        </is>
      </c>
      <c r="G112" s="5" t="n">
        <v>45553</v>
      </c>
      <c r="H112" t="inlineStr">
        <is>
          <t>Sold</t>
        </is>
      </c>
      <c r="I112" s="6">
        <f>HYPERLINK("https://www.dailydose.de/kleinanzeigen/detail.htm?ai=422786&amp;cf=kk&amp;pg=1&amp;ci=13", "Link")</f>
        <v/>
      </c>
      <c r="J112" s="6">
        <f>HYPERLINK("C:\Projects\Kleinanzeigen-Scraper\offer_images\422786", "Link")</f>
        <v/>
      </c>
      <c r="K112" t="inlineStr">
        <is>
          <t>Margarethe</t>
        </is>
      </c>
      <c r="L112" s="6">
        <f>HYPERLINK("https://www.dailydose.de/kleinanzeigen/user/9256", "Link")</f>
        <v/>
      </c>
      <c r="M112" s="7" t="n">
        <v>45555.56696759259</v>
      </c>
      <c r="N112" s="3" t="inlineStr">
        <is>
          <t>293.93</t>
        </is>
      </c>
      <c r="O112" t="inlineStr">
        <is>
          <t>München</t>
        </is>
      </c>
    </row>
    <row r="113">
      <c r="A113" t="inlineStr">
        <is>
          <t>Prolimit Tech</t>
        </is>
      </c>
      <c r="B113" t="inlineStr">
        <is>
          <t>140-190</t>
        </is>
      </c>
      <c r="C113" t="inlineStr">
        <is>
          <t>2023</t>
        </is>
      </c>
      <c r="D113" s="4" t="n">
        <v>420</v>
      </c>
      <c r="E113" t="inlineStr"/>
      <c r="F113" t="inlineStr">
        <is>
          <t>41352 Korschenbroich</t>
        </is>
      </c>
      <c r="G113" s="5" t="n">
        <v>45553</v>
      </c>
      <c r="H113" t="inlineStr">
        <is>
          <t>Sold</t>
        </is>
      </c>
      <c r="I113" s="6">
        <f>HYPERLINK("https://www.dailydose.de/kleinanzeigen/detail.htm?ai=422816&amp;cf=kk&amp;pg=1&amp;ci=13", "Link")</f>
        <v/>
      </c>
      <c r="J113" s="6">
        <f>HYPERLINK("C:\Projects\Kleinanzeigen-Scraper\offer_images\422816", "Link")</f>
        <v/>
      </c>
      <c r="K113" t="inlineStr">
        <is>
          <t>Benjamin_44</t>
        </is>
      </c>
      <c r="L113" s="6">
        <f>HYPERLINK("https://www.dailydose.de/kleinanzeigen/user/4598", "Link")</f>
        <v/>
      </c>
      <c r="M113" s="7" t="n">
        <v>45555.5667824074</v>
      </c>
      <c r="N113" s="3" t="inlineStr">
        <is>
          <t>40.41</t>
        </is>
      </c>
      <c r="O113" t="inlineStr">
        <is>
          <t>Köln</t>
        </is>
      </c>
    </row>
    <row r="114">
      <c r="A114" t="inlineStr">
        <is>
          <t>AL360</t>
        </is>
      </c>
      <c r="B114" t="inlineStr">
        <is>
          <t>150-210</t>
        </is>
      </c>
      <c r="C114" t="inlineStr"/>
      <c r="D114" s="4" t="n">
        <v>299</v>
      </c>
      <c r="E114" t="inlineStr"/>
      <c r="F114" t="inlineStr">
        <is>
          <t>04157 Versand</t>
        </is>
      </c>
      <c r="G114" s="5" t="n">
        <v>45554</v>
      </c>
      <c r="H114" t="inlineStr">
        <is>
          <t>Sold</t>
        </is>
      </c>
      <c r="I114" s="6">
        <f>HYPERLINK("https://www.dailydose.de/kleinanzeigen/detail.htm?ai=422836&amp;cf=kk&amp;pg=1&amp;ci=13", "Link")</f>
        <v/>
      </c>
      <c r="J114" s="6">
        <f>HYPERLINK("C:\Projects\Kleinanzeigen-Scraper\offer_images\422836", "Link")</f>
        <v/>
      </c>
      <c r="K114" t="inlineStr">
        <is>
          <t>WingDing</t>
        </is>
      </c>
      <c r="L114" s="6">
        <f>HYPERLINK("https://www.dailydose.de/kleinanzeigen/user/21852", "Link")</f>
        <v/>
      </c>
      <c r="M114" s="7" t="n">
        <v>45555.5665162037</v>
      </c>
      <c r="N114" s="3" t="inlineStr">
        <is>
          <t>364.64</t>
        </is>
      </c>
      <c r="O114" t="inlineStr">
        <is>
          <t>München</t>
        </is>
      </c>
    </row>
    <row r="115">
      <c r="A115" t="inlineStr">
        <is>
          <t>North Silver</t>
        </is>
      </c>
      <c r="B115" t="inlineStr">
        <is>
          <t>180-230</t>
        </is>
      </c>
      <c r="C115" t="inlineStr"/>
      <c r="D115" s="4" t="n">
        <v>35</v>
      </c>
      <c r="E115" t="inlineStr"/>
      <c r="F115" t="inlineStr">
        <is>
          <t>01471 Radeburg</t>
        </is>
      </c>
      <c r="G115" s="5" t="n">
        <v>45552</v>
      </c>
      <c r="H115" t="inlineStr"/>
      <c r="I115" s="6">
        <f>HYPERLINK("https://www.dailydose.de/kleinanzeigen/detail.htm?ai=422750&amp;cf=kk&amp;pg=1&amp;ci=13", "Link")</f>
        <v/>
      </c>
      <c r="J115" s="6">
        <f>HYPERLINK("C:\Projects\Kleinanzeigen-Scraper\offer_images\422750", "Link")</f>
        <v/>
      </c>
      <c r="K115" t="inlineStr">
        <is>
          <t>gabelbaumrob</t>
        </is>
      </c>
      <c r="L115" s="6">
        <f>HYPERLINK("https://www.dailydose.de/kleinanzeigen/user/22384", "Link")</f>
        <v/>
      </c>
      <c r="M115" s="7" t="n">
        <v>45555.56581018519</v>
      </c>
      <c r="N115" s="3" t="inlineStr">
        <is>
          <t>374.77</t>
        </is>
      </c>
      <c r="O115" t="inlineStr">
        <is>
          <t>München</t>
        </is>
      </c>
    </row>
    <row r="116">
      <c r="A116" t="inlineStr"/>
      <c r="B116" t="inlineStr"/>
      <c r="C116" t="inlineStr"/>
      <c r="D116" s="4" t="n">
        <v>50</v>
      </c>
      <c r="E116" t="inlineStr"/>
      <c r="F116" t="inlineStr">
        <is>
          <t>29225 Niedersachsen - Celle</t>
        </is>
      </c>
      <c r="G116" s="5" t="n">
        <v>45552</v>
      </c>
      <c r="H116" t="inlineStr">
        <is>
          <t>Sold</t>
        </is>
      </c>
      <c r="I116" s="6">
        <f>HYPERLINK("https://www.kleinanzeigen.de/s-anzeige/surf-windsurf-gabelbaum/2866156633-230-3199", "Link")</f>
        <v/>
      </c>
      <c r="J116" s="6">
        <f>HYPERLINK("C:\Projects\Kleinanzeigen-Scraper\offer_images\2866156633", "Link")</f>
        <v/>
      </c>
      <c r="K116" t="inlineStr">
        <is>
          <t>Jogi</t>
        </is>
      </c>
      <c r="L116" s="6">
        <f>HYPERLINK("https://www.kleinanzeigen.de/s-bestandsliste.html?userId=122181898", "Link")</f>
        <v/>
      </c>
      <c r="M116" s="7" t="n">
        <v>45555.56527777778</v>
      </c>
      <c r="N116" s="3" t="inlineStr">
        <is>
          <t>281.45</t>
        </is>
      </c>
      <c r="O116" t="inlineStr">
        <is>
          <t>Köln</t>
        </is>
      </c>
    </row>
    <row r="117">
      <c r="A117" t="inlineStr">
        <is>
          <t>North Sails</t>
        </is>
      </c>
      <c r="B117" t="inlineStr">
        <is>
          <t>215</t>
        </is>
      </c>
      <c r="C117" t="inlineStr"/>
      <c r="D117" s="4" t="n">
        <v>10</v>
      </c>
      <c r="E117" t="inlineStr"/>
      <c r="F117" t="inlineStr">
        <is>
          <t>01237 Dresden - Prohlis-Nord</t>
        </is>
      </c>
      <c r="G117" s="5" t="n">
        <v>45551</v>
      </c>
      <c r="H117" t="inlineStr">
        <is>
          <t>Sold</t>
        </is>
      </c>
      <c r="I117" s="6">
        <f>HYPERLINK("https://www.kleinanzeigen.de/s-anzeige/gabel-215cm-windsurfen/2865909728-230-3824", "Link")</f>
        <v/>
      </c>
      <c r="J117" s="6">
        <f>HYPERLINK("C:\Projects\Kleinanzeigen-Scraper\offer_images\2865909728", "Link")</f>
        <v/>
      </c>
      <c r="K117" t="inlineStr">
        <is>
          <t>Daniel Raupach</t>
        </is>
      </c>
      <c r="L117" s="6">
        <f>HYPERLINK("https://www.kleinanzeigen.de/s-bestandsliste.html?userId=60990899", "Link")</f>
        <v/>
      </c>
      <c r="M117" s="7" t="n">
        <v>45555.56516203703</v>
      </c>
      <c r="N117" s="3" t="inlineStr">
        <is>
          <t>357.65</t>
        </is>
      </c>
      <c r="O117" t="inlineStr">
        <is>
          <t>München</t>
        </is>
      </c>
    </row>
    <row r="118">
      <c r="A118" t="inlineStr">
        <is>
          <t>Duotone Platinum</t>
        </is>
      </c>
      <c r="B118" t="inlineStr">
        <is>
          <t>150-200</t>
        </is>
      </c>
      <c r="C118" t="inlineStr">
        <is>
          <t>2021</t>
        </is>
      </c>
      <c r="D118" s="4" t="n">
        <v>697</v>
      </c>
      <c r="E118" t="inlineStr"/>
      <c r="F118" t="inlineStr">
        <is>
          <t>82319 Bayern - Starnberg</t>
        </is>
      </c>
      <c r="G118" s="5" t="n">
        <v>45552</v>
      </c>
      <c r="H118" t="inlineStr">
        <is>
          <t>Sold</t>
        </is>
      </c>
      <c r="I118" s="6">
        <f>HYPERLINK("https://www.kleinanzeigen.de/s-anzeige/dtw-duotone-platinum-gabelbaum-150-200-cm-neu/2425862227-230-5525", "Link")</f>
        <v/>
      </c>
      <c r="J118" s="6">
        <f>HYPERLINK("C:\Projects\Kleinanzeigen-Scraper\offer_images\2425862227", "Link")</f>
        <v/>
      </c>
      <c r="K118" t="inlineStr">
        <is>
          <t>No user name</t>
        </is>
      </c>
      <c r="L118" s="6">
        <f>HYPERLINK("https://www.kleinanzeigen.deNo user link", "Link")</f>
        <v/>
      </c>
      <c r="M118" s="7" t="n">
        <v>45555.56447916666</v>
      </c>
      <c r="N118" s="3" t="inlineStr">
        <is>
          <t>23.17</t>
        </is>
      </c>
      <c r="O118" t="inlineStr">
        <is>
          <t>München</t>
        </is>
      </c>
    </row>
    <row r="119">
      <c r="A119" t="inlineStr">
        <is>
          <t>North Sails</t>
        </is>
      </c>
      <c r="B119" t="inlineStr">
        <is>
          <t>165-215</t>
        </is>
      </c>
      <c r="C119" t="inlineStr"/>
      <c r="D119" s="4" t="n">
        <v>20</v>
      </c>
      <c r="E119" t="inlineStr"/>
      <c r="F119" t="inlineStr">
        <is>
          <t>01237 Dresden - Prohlis-Nord</t>
        </is>
      </c>
      <c r="G119" s="5" t="n">
        <v>45551</v>
      </c>
      <c r="H119" t="inlineStr">
        <is>
          <t>Sold</t>
        </is>
      </c>
      <c r="I119" s="6">
        <f>HYPERLINK("https://www.kleinanzeigen.de/s-anzeige/gabel-215-northsail-windsurfen/2865911986-230-3824", "Link")</f>
        <v/>
      </c>
      <c r="J119" s="6">
        <f>HYPERLINK("C:\Projects\Kleinanzeigen-Scraper\offer_images\2865911986", "Link")</f>
        <v/>
      </c>
      <c r="K119" t="inlineStr">
        <is>
          <t>Daniel Raupach</t>
        </is>
      </c>
      <c r="L119" s="6">
        <f>HYPERLINK("https://www.kleinanzeigen.de/s-bestandsliste.html?userId=60990899", "Link")</f>
        <v/>
      </c>
      <c r="M119" s="7" t="n">
        <v>45555.56091435185</v>
      </c>
      <c r="N119" s="3" t="inlineStr">
        <is>
          <t>357.65</t>
        </is>
      </c>
      <c r="O119" t="inlineStr">
        <is>
          <t>München</t>
        </is>
      </c>
    </row>
    <row r="120">
      <c r="A120" t="inlineStr">
        <is>
          <t>Duotone Platinum Slim Boom</t>
        </is>
      </c>
      <c r="B120" t="inlineStr">
        <is>
          <t>140-180</t>
        </is>
      </c>
      <c r="C120" t="inlineStr"/>
      <c r="D120" s="4" t="n">
        <v>650</v>
      </c>
      <c r="E120" t="inlineStr"/>
      <c r="F120" t="inlineStr">
        <is>
          <t>22177 Wandsbek - Hamburg Bramfeld</t>
        </is>
      </c>
      <c r="G120" s="5" t="n">
        <v>45553</v>
      </c>
      <c r="H120" t="inlineStr">
        <is>
          <t>Sold</t>
        </is>
      </c>
      <c r="I120" s="6">
        <f>HYPERLINK("https://www.kleinanzeigen.de/s-anzeige/windsurfen-gabelbaum-duotone-platunum-slim-boom-neu/2867070629-230-9452", "Link")</f>
        <v/>
      </c>
      <c r="J120" s="6">
        <f>HYPERLINK("C:\Projects\Kleinanzeigen-Scraper\offer_images\2867070629", "Link")</f>
        <v/>
      </c>
      <c r="K120" t="inlineStr">
        <is>
          <t>Karsten</t>
        </is>
      </c>
      <c r="L120" s="6">
        <f>HYPERLINK("https://www.kleinanzeigen.de/s-bestandsliste.html?userId=1910707", "Link")</f>
        <v/>
      </c>
      <c r="M120" s="7" t="n">
        <v>45555.56015046296</v>
      </c>
      <c r="N120" s="3" t="inlineStr">
        <is>
          <t>364.64</t>
        </is>
      </c>
      <c r="O120" t="inlineStr">
        <is>
          <t>Köln</t>
        </is>
      </c>
    </row>
    <row r="121">
      <c r="A121" t="inlineStr"/>
      <c r="B121" t="inlineStr">
        <is>
          <t>205-255</t>
        </is>
      </c>
      <c r="C121" t="inlineStr">
        <is>
          <t>2021</t>
        </is>
      </c>
      <c r="D121" s="4" t="n">
        <v>35</v>
      </c>
      <c r="E121" t="inlineStr">
        <is>
          <t>VB</t>
        </is>
      </c>
      <c r="F121" t="inlineStr">
        <is>
          <t>40878 Nordrhein-Westfalen - Ratingen</t>
        </is>
      </c>
      <c r="G121" s="5" t="n">
        <v>45553</v>
      </c>
      <c r="H121" t="inlineStr"/>
      <c r="I121" s="6">
        <f>HYPERLINK("https://www.kleinanzeigen.de/s-anzeige/windsurf-gabelbaum-205-255-cm/2867465664-230-1776", "Link")</f>
        <v/>
      </c>
      <c r="J121" s="6">
        <f>HYPERLINK("C:\Projects\Kleinanzeigen-Scraper\offer_images\2867465664", "Link")</f>
        <v/>
      </c>
      <c r="K121" t="inlineStr">
        <is>
          <t>Peter</t>
        </is>
      </c>
      <c r="L121" s="6">
        <f>HYPERLINK("https://www.kleinanzeigen.de/s-bestandsliste.html?userId=12647841", "Link")</f>
        <v/>
      </c>
      <c r="M121" s="7" t="n">
        <v>45555.5577662037</v>
      </c>
      <c r="N121" s="3" t="inlineStr">
        <is>
          <t>40.43</t>
        </is>
      </c>
      <c r="O121" t="inlineStr">
        <is>
          <t>Köln</t>
        </is>
      </c>
    </row>
    <row r="122">
      <c r="A122" t="inlineStr">
        <is>
          <t>Duotone Platinum Series</t>
        </is>
      </c>
      <c r="B122" t="inlineStr">
        <is>
          <t>190-250</t>
        </is>
      </c>
      <c r="C122" t="inlineStr"/>
      <c r="D122" s="4" t="n">
        <v>290</v>
      </c>
      <c r="E122" t="inlineStr"/>
      <c r="F122" t="inlineStr">
        <is>
          <t>82194 Bayern - Gröbenzell</t>
        </is>
      </c>
      <c r="G122" s="5" t="n">
        <v>45554</v>
      </c>
      <c r="H122" t="inlineStr">
        <is>
          <t>Sold</t>
        </is>
      </c>
      <c r="I122" s="6">
        <f>HYPERLINK("https://www.kleinanzeigen.de/s-anzeige/duotone-platinum-series-gabel-190-250cm/2867949601-230-6350", "Link")</f>
        <v/>
      </c>
      <c r="J122" s="6">
        <f>HYPERLINK("C:\Projects\Kleinanzeigen-Scraper\offer_images\2867949601", "Link")</f>
        <v/>
      </c>
      <c r="K122" t="inlineStr">
        <is>
          <t>Mark</t>
        </is>
      </c>
      <c r="L122" s="6">
        <f>HYPERLINK("https://www.kleinanzeigen.de/s-bestandsliste.html?userId=25258401", "Link")</f>
        <v/>
      </c>
      <c r="M122" s="7" t="n">
        <v>45555.55582175926</v>
      </c>
      <c r="N122" s="3" t="inlineStr">
        <is>
          <t>15.82</t>
        </is>
      </c>
      <c r="O122" t="inlineStr">
        <is>
          <t>München</t>
        </is>
      </c>
    </row>
    <row r="123">
      <c r="A123" t="inlineStr">
        <is>
          <t>Severne</t>
        </is>
      </c>
      <c r="B123" t="inlineStr">
        <is>
          <t>186-236</t>
        </is>
      </c>
      <c r="C123" t="inlineStr"/>
      <c r="D123" s="4" t="n">
        <v>260</v>
      </c>
      <c r="E123" t="inlineStr"/>
      <c r="F123" t="inlineStr">
        <is>
          <t>65812 Hessen - Bad Soden am Taunus</t>
        </is>
      </c>
      <c r="G123" s="5" t="n">
        <v>45552</v>
      </c>
      <c r="H123" t="inlineStr">
        <is>
          <t>Sold</t>
        </is>
      </c>
      <c r="I123" s="6">
        <f>HYPERLINK("https://www.kleinanzeigen.de/s-anzeige/severne-boom-186-236/2866801311-230-4544", "Link")</f>
        <v/>
      </c>
      <c r="J123" s="6">
        <f>HYPERLINK("C:\Projects\Kleinanzeigen-Scraper\offer_images\2866801311", "Link")</f>
        <v/>
      </c>
      <c r="K123" t="inlineStr">
        <is>
          <t>Yaman</t>
        </is>
      </c>
      <c r="L123" s="6">
        <f>HYPERLINK("https://www.kleinanzeigen.de/s-bestandsliste.html?userId=135459781", "Link")</f>
        <v/>
      </c>
      <c r="M123" s="7" t="n">
        <v>45555.55460648148</v>
      </c>
      <c r="N123" s="3" t="inlineStr">
        <is>
          <t>128.06</t>
        </is>
      </c>
      <c r="O123" t="inlineStr">
        <is>
          <t>Karlsruhe</t>
        </is>
      </c>
    </row>
    <row r="124">
      <c r="A124" t="inlineStr">
        <is>
          <t>Goya Carbon Super Skinny Pro</t>
        </is>
      </c>
      <c r="B124" t="inlineStr">
        <is>
          <t>140-190</t>
        </is>
      </c>
      <c r="C124" t="inlineStr"/>
      <c r="D124" s="4" t="n">
        <v>420</v>
      </c>
      <c r="E124" t="inlineStr">
        <is>
          <t>VB</t>
        </is>
      </c>
      <c r="F124" t="inlineStr">
        <is>
          <t>24247 Mielkendorf</t>
        </is>
      </c>
      <c r="G124" s="5" t="n">
        <v>45551</v>
      </c>
      <c r="H124" t="inlineStr">
        <is>
          <t>Sold</t>
        </is>
      </c>
      <c r="I124" s="6">
        <f>HYPERLINK("https://www.dailydose.de/kleinanzeigen/detail.htm?ai=422704&amp;cf=kk&amp;pg=1&amp;ci=13", "Link")</f>
        <v/>
      </c>
      <c r="J124" s="6">
        <f>HYPERLINK("C:\Projects\Kleinanzeigen-Scraper\offer_images\422704", "Link")</f>
        <v/>
      </c>
      <c r="K124" t="inlineStr">
        <is>
          <t>Urmel</t>
        </is>
      </c>
      <c r="L124" s="6">
        <f>HYPERLINK("https://www.dailydose.de/kleinanzeigen/user/24265", "Link")</f>
        <v/>
      </c>
      <c r="M124" s="7" t="n">
        <v>45551.60325231482</v>
      </c>
      <c r="N124" s="3" t="inlineStr">
        <is>
          <t>426.37</t>
        </is>
      </c>
      <c r="O124" t="inlineStr">
        <is>
          <t>Köln</t>
        </is>
      </c>
    </row>
    <row r="125">
      <c r="A125" t="inlineStr">
        <is>
          <t>Duotone Platinum</t>
        </is>
      </c>
      <c r="B125" t="inlineStr">
        <is>
          <t>150-200</t>
        </is>
      </c>
      <c r="C125" t="inlineStr"/>
      <c r="D125" s="4" t="n">
        <v>150</v>
      </c>
      <c r="E125" t="inlineStr">
        <is>
          <t>VB</t>
        </is>
      </c>
      <c r="F125" t="inlineStr">
        <is>
          <t>23816</t>
        </is>
      </c>
      <c r="G125" s="5" t="n">
        <v>45551</v>
      </c>
      <c r="H125" t="inlineStr"/>
      <c r="I125" s="6">
        <f>HYPERLINK("https://www.dailydose.de/kleinanzeigen/detail.htm?ai=422715&amp;cf=kk&amp;pg=2&amp;ci=13", "Link")</f>
        <v/>
      </c>
      <c r="J125" s="6">
        <f>HYPERLINK("C:\Projects\Kleinanzeigen-Scraper\offer_images\422715", "Link")</f>
        <v/>
      </c>
      <c r="K125" t="inlineStr">
        <is>
          <t>henning_167</t>
        </is>
      </c>
      <c r="L125" s="6">
        <f>HYPERLINK("https://www.dailydose.de/kleinanzeigen/user/10083", "Link")</f>
        <v/>
      </c>
      <c r="M125" s="7" t="n">
        <v>45551.60190972222</v>
      </c>
      <c r="N125" s="3" t="inlineStr">
        <is>
          <t>393.75</t>
        </is>
      </c>
      <c r="O125" t="inlineStr">
        <is>
          <t>Köln</t>
        </is>
      </c>
    </row>
    <row r="126">
      <c r="A126" t="inlineStr">
        <is>
          <t>Duotone Platinum SLS</t>
        </is>
      </c>
      <c r="B126" t="inlineStr">
        <is>
          <t>150-200</t>
        </is>
      </c>
      <c r="C126" t="inlineStr"/>
      <c r="D126" s="4" t="n">
        <v>150</v>
      </c>
      <c r="E126" t="inlineStr">
        <is>
          <t>VB</t>
        </is>
      </c>
      <c r="F126" t="inlineStr">
        <is>
          <t>23816 Schleswig-Holstein - Bebensee</t>
        </is>
      </c>
      <c r="G126" s="5" t="n">
        <v>45551</v>
      </c>
      <c r="H126" t="inlineStr">
        <is>
          <t>Sold</t>
        </is>
      </c>
      <c r="I126" s="6">
        <f>HYPERLINK("https://www.kleinanzeigen.de/s-anzeige/platinum-duotone-150-200-sls-neu-nur-endstueck-vollcarbon-gabelbau/2865179507-230-21031", "Link")</f>
        <v/>
      </c>
      <c r="J126" s="6">
        <f>HYPERLINK("C:\Projects\Kleinanzeigen-Scraper\offer_images\2865179507", "Link")</f>
        <v/>
      </c>
      <c r="K126" t="inlineStr">
        <is>
          <t>henning</t>
        </is>
      </c>
      <c r="L126" s="6">
        <f>HYPERLINK("https://www.kleinanzeigen.de/s-bestandsliste.html?userId=19662759", "Link")</f>
        <v/>
      </c>
      <c r="M126" s="7" t="n">
        <v>45551.59883101852</v>
      </c>
      <c r="N126" s="3" t="inlineStr">
        <is>
          <t>393.75</t>
        </is>
      </c>
      <c r="O126" t="inlineStr">
        <is>
          <t>Köln</t>
        </is>
      </c>
    </row>
    <row r="127">
      <c r="A127" t="inlineStr">
        <is>
          <t>North Sail Platinum Carbon</t>
        </is>
      </c>
      <c r="B127" t="inlineStr"/>
      <c r="C127" t="inlineStr"/>
      <c r="D127" s="4" t="n">
        <v>110</v>
      </c>
      <c r="E127" t="inlineStr">
        <is>
          <t>VB</t>
        </is>
      </c>
      <c r="F127" t="inlineStr">
        <is>
          <t>88048 Baden-Württemberg - Friedrichshafen</t>
        </is>
      </c>
      <c r="G127" s="5" t="n">
        <v>45551</v>
      </c>
      <c r="H127" t="inlineStr">
        <is>
          <t>Sold</t>
        </is>
      </c>
      <c r="I127" s="6">
        <f>HYPERLINK("https://www.kleinanzeigen.de/s-anzeige/north-sail-platinum-carbon-gabel-new-school/2865299810-230-9212", "Link")</f>
        <v/>
      </c>
      <c r="J127" s="6">
        <f>HYPERLINK("C:\Projects\Kleinanzeigen-Scraper\offer_images\2865299810", "Link")</f>
        <v/>
      </c>
      <c r="K127" t="inlineStr">
        <is>
          <t>Niko</t>
        </is>
      </c>
      <c r="L127" s="6">
        <f>HYPERLINK("https://www.kleinanzeigen.de/s-bestandsliste.html?userId=14298532", "Link")</f>
        <v/>
      </c>
      <c r="M127" s="7" t="n">
        <v>45551.59532407407</v>
      </c>
      <c r="N127" s="3" t="inlineStr">
        <is>
          <t>87.69</t>
        </is>
      </c>
      <c r="O127" t="inlineStr">
        <is>
          <t>Bonndorf</t>
        </is>
      </c>
    </row>
    <row r="128">
      <c r="A128" t="inlineStr">
        <is>
          <t>North Sails Red Series</t>
        </is>
      </c>
      <c r="B128" t="inlineStr">
        <is>
          <t>180-230</t>
        </is>
      </c>
      <c r="C128" t="inlineStr"/>
      <c r="D128" s="4" t="n">
        <v>80</v>
      </c>
      <c r="E128" t="inlineStr"/>
      <c r="F128" t="inlineStr">
        <is>
          <t>78187 Geisingen</t>
        </is>
      </c>
      <c r="G128" s="5" t="n">
        <v>45550</v>
      </c>
      <c r="H128" t="inlineStr"/>
      <c r="I128" s="6">
        <f>HYPERLINK("https://www.dailydose.de/kleinanzeigen/detail.htm?ai=422627&amp;cf=kk&amp;pg=2&amp;ci=13", "Link")</f>
        <v/>
      </c>
      <c r="J128" s="6">
        <f>HYPERLINK("C:\Projects\Kleinanzeigen-Scraper\offer_images\422627", "Link")</f>
        <v/>
      </c>
      <c r="K128" t="inlineStr">
        <is>
          <t>surferto</t>
        </is>
      </c>
      <c r="L128" s="6">
        <f>HYPERLINK("https://www.dailydose.de/kleinanzeigen/user/23808", "Link")</f>
        <v/>
      </c>
      <c r="M128" s="7" t="n">
        <v>45551.41539351852</v>
      </c>
      <c r="N128" s="3" t="inlineStr">
        <is>
          <t>24.74</t>
        </is>
      </c>
      <c r="O128" t="inlineStr">
        <is>
          <t>Bonndorf</t>
        </is>
      </c>
    </row>
    <row r="129">
      <c r="A129" t="inlineStr">
        <is>
          <t>Neil Pryde X-C Wave</t>
        </is>
      </c>
      <c r="B129" t="inlineStr">
        <is>
          <t>160-220</t>
        </is>
      </c>
      <c r="C129" t="inlineStr">
        <is>
          <t>2023/24</t>
        </is>
      </c>
      <c r="D129" s="4" t="inlineStr">
        <is>
          <t>839 EUR</t>
        </is>
      </c>
      <c r="E129" t="inlineStr"/>
      <c r="F129" t="inlineStr">
        <is>
          <t>24997 Flensburg - Kiel - Hamburg</t>
        </is>
      </c>
      <c r="G129" s="5" t="n">
        <v>45550</v>
      </c>
      <c r="H129" t="inlineStr"/>
      <c r="I129" s="6">
        <f>HYPERLINK("https://www.dailydose.de/kleinanzeigen/detail.htm?ai=422659&amp;cf=kk&amp;pg=2&amp;ci=13", "Link")</f>
        <v/>
      </c>
      <c r="J129" s="6">
        <f>HYPERLINK("C:\Projects\Kleinanzeigen-Scraper\offer_images\422659", "Link")</f>
        <v/>
      </c>
      <c r="K129" t="inlineStr">
        <is>
          <t>FS_126</t>
        </is>
      </c>
      <c r="L129" s="6">
        <f>HYPERLINK("https://www.dailydose.de/kleinanzeigen/user/8578", "Link")</f>
        <v/>
      </c>
      <c r="M129" s="7" t="n">
        <v>45551.41491898148</v>
      </c>
      <c r="N129" s="3" t="inlineStr">
        <is>
          <t>445.32</t>
        </is>
      </c>
      <c r="O129" t="inlineStr">
        <is>
          <t>Köln</t>
        </is>
      </c>
    </row>
    <row r="130">
      <c r="A130" t="inlineStr">
        <is>
          <t>Duotone SLS</t>
        </is>
      </c>
      <c r="B130" t="inlineStr"/>
      <c r="C130" t="inlineStr"/>
      <c r="D130" s="4" t="n">
        <v>150</v>
      </c>
      <c r="E130" t="inlineStr"/>
      <c r="F130" t="inlineStr">
        <is>
          <t>52080 Aachen</t>
        </is>
      </c>
      <c r="G130" s="5" t="n">
        <v>45550</v>
      </c>
      <c r="H130" t="inlineStr"/>
      <c r="I130" s="6">
        <f>HYPERLINK("https://www.dailydose.de/kleinanzeigen/detail.htm?ai=422621&amp;cf=kk&amp;pg=2&amp;ci=13", "Link")</f>
        <v/>
      </c>
      <c r="J130" s="6">
        <f>HYPERLINK("C:\Projects\Kleinanzeigen-Scraper\offer_images\422621", "Link")</f>
        <v/>
      </c>
      <c r="K130" t="inlineStr">
        <is>
          <t>Ralf_14</t>
        </is>
      </c>
      <c r="L130" s="6">
        <f>HYPERLINK("https://www.dailydose.de/kleinanzeigen/user/10502", "Link")</f>
        <v/>
      </c>
      <c r="M130" s="7" t="n">
        <v>45551.41469907408</v>
      </c>
      <c r="N130" s="3" t="inlineStr">
        <is>
          <t>58.05</t>
        </is>
      </c>
      <c r="O130" t="inlineStr">
        <is>
          <t>Köln</t>
        </is>
      </c>
    </row>
    <row r="131">
      <c r="A131" t="inlineStr">
        <is>
          <t>Neilpryde X9</t>
        </is>
      </c>
      <c r="B131" t="inlineStr">
        <is>
          <t>200-260</t>
        </is>
      </c>
      <c r="C131" t="inlineStr"/>
      <c r="D131" s="4" t="n">
        <v>449</v>
      </c>
      <c r="E131" t="inlineStr">
        <is>
          <t>VB</t>
        </is>
      </c>
      <c r="F131" t="inlineStr">
        <is>
          <t>80639 München</t>
        </is>
      </c>
      <c r="G131" s="5" t="n">
        <v>45550</v>
      </c>
      <c r="H131" t="inlineStr"/>
      <c r="I131" s="6">
        <f>HYPERLINK("https://www.dailydose.de/kleinanzeigen/detail.htm?ai=422649&amp;cf=kk&amp;pg=2&amp;ci=13", "Link")</f>
        <v/>
      </c>
      <c r="J131" s="6">
        <f>HYPERLINK("C:\Projects\Kleinanzeigen-Scraper\offer_images\422649", "Link")</f>
        <v/>
      </c>
      <c r="K131" t="inlineStr">
        <is>
          <t>torsten4456</t>
        </is>
      </c>
      <c r="L131" s="6">
        <f>HYPERLINK("https://www.dailydose.de/kleinanzeigen/user/20824", "Link")</f>
        <v/>
      </c>
      <c r="M131" s="7" t="n">
        <v>45551.4137962963</v>
      </c>
      <c r="N131" s="3" t="inlineStr">
        <is>
          <t>4.83</t>
        </is>
      </c>
      <c r="O131" t="inlineStr">
        <is>
          <t>München</t>
        </is>
      </c>
    </row>
    <row r="132">
      <c r="A132" t="inlineStr">
        <is>
          <t>Neilpryde X3</t>
        </is>
      </c>
      <c r="B132" t="inlineStr">
        <is>
          <t>135-185</t>
        </is>
      </c>
      <c r="C132" t="inlineStr"/>
      <c r="D132" s="4" t="n">
        <v>70</v>
      </c>
      <c r="E132" t="inlineStr"/>
      <c r="F132" t="inlineStr">
        <is>
          <t>78187 Geisingen</t>
        </is>
      </c>
      <c r="G132" s="5" t="n">
        <v>45550</v>
      </c>
      <c r="H132" t="inlineStr"/>
      <c r="I132" s="6">
        <f>HYPERLINK("https://www.dailydose.de/kleinanzeigen/detail.htm?ai=422629&amp;cf=kk&amp;pg=2&amp;ci=13", "Link")</f>
        <v/>
      </c>
      <c r="J132" s="6">
        <f>HYPERLINK("C:\Projects\Kleinanzeigen-Scraper\offer_images\422629", "Link")</f>
        <v/>
      </c>
      <c r="K132" t="inlineStr">
        <is>
          <t>surferto</t>
        </is>
      </c>
      <c r="L132" s="6">
        <f>HYPERLINK("https://www.dailydose.de/kleinanzeigen/user/23808", "Link")</f>
        <v/>
      </c>
      <c r="M132" s="7" t="n">
        <v>45551.41332175926</v>
      </c>
      <c r="N132" s="3" t="inlineStr">
        <is>
          <t>24.74</t>
        </is>
      </c>
      <c r="O132" t="inlineStr">
        <is>
          <t>Bonndorf</t>
        </is>
      </c>
    </row>
    <row r="133">
      <c r="A133" t="inlineStr">
        <is>
          <t>Neil Pryde XCS Wave Carbon</t>
        </is>
      </c>
      <c r="B133" t="inlineStr">
        <is>
          <t>150-200</t>
        </is>
      </c>
      <c r="C133" t="inlineStr"/>
      <c r="D133" s="4" t="inlineStr">
        <is>
          <t>639  Festpreis</t>
        </is>
      </c>
      <c r="E133" t="inlineStr"/>
      <c r="F133" t="inlineStr">
        <is>
          <t>24997 Flensburg - Kiel - Hamburg</t>
        </is>
      </c>
      <c r="G133" s="5" t="n">
        <v>45550</v>
      </c>
      <c r="H133" t="inlineStr">
        <is>
          <t>Sold</t>
        </is>
      </c>
      <c r="I133" s="6">
        <f>HYPERLINK("https://www.dailydose.de/kleinanzeigen/detail.htm?ai=422658&amp;cf=kk&amp;pg=1&amp;ci=13", "Link")</f>
        <v/>
      </c>
      <c r="J133" s="6">
        <f>HYPERLINK("C:\Projects\Kleinanzeigen-Scraper\offer_images\422658", "Link")</f>
        <v/>
      </c>
      <c r="K133" t="inlineStr">
        <is>
          <t>FS_126</t>
        </is>
      </c>
      <c r="L133" s="6">
        <f>HYPERLINK("https://www.dailydose.de/kleinanzeigen/user/8578", "Link")</f>
        <v/>
      </c>
      <c r="M133" s="7" t="n">
        <v>45551.41321759259</v>
      </c>
      <c r="N133" s="3" t="inlineStr">
        <is>
          <t>445.32</t>
        </is>
      </c>
      <c r="O133" t="inlineStr">
        <is>
          <t>Köln</t>
        </is>
      </c>
    </row>
    <row r="134">
      <c r="A134" t="inlineStr">
        <is>
          <t>Maui Magic Vision Carbon</t>
        </is>
      </c>
      <c r="B134" t="inlineStr">
        <is>
          <t>162-222</t>
        </is>
      </c>
      <c r="C134" t="inlineStr"/>
      <c r="D134" s="4" t="n">
        <v>150</v>
      </c>
      <c r="E134" t="inlineStr"/>
      <c r="F134" t="inlineStr">
        <is>
          <t>78187 Geisingen</t>
        </is>
      </c>
      <c r="G134" s="5" t="n">
        <v>45550</v>
      </c>
      <c r="H134" t="inlineStr"/>
      <c r="I134" s="6">
        <f>HYPERLINK("https://www.dailydose.de/kleinanzeigen/detail.htm?ai=422628&amp;cf=kk&amp;pg=2&amp;ci=13", "Link")</f>
        <v/>
      </c>
      <c r="J134" s="6">
        <f>HYPERLINK("C:\Projects\Kleinanzeigen-Scraper\offer_images\422628", "Link")</f>
        <v/>
      </c>
      <c r="K134" t="inlineStr">
        <is>
          <t>surferto</t>
        </is>
      </c>
      <c r="L134" s="6">
        <f>HYPERLINK("https://www.dailydose.de/kleinanzeigen/user/23808", "Link")</f>
        <v/>
      </c>
      <c r="M134" s="7" t="n">
        <v>45551.41241898148</v>
      </c>
      <c r="N134" s="3" t="inlineStr">
        <is>
          <t>24.74</t>
        </is>
      </c>
      <c r="O134" t="inlineStr">
        <is>
          <t>Bonndorf</t>
        </is>
      </c>
    </row>
    <row r="135">
      <c r="A135" t="inlineStr">
        <is>
          <t>Prolimit Pro</t>
        </is>
      </c>
      <c r="B135" t="inlineStr">
        <is>
          <t>140-200</t>
        </is>
      </c>
      <c r="C135" t="inlineStr">
        <is>
          <t>2020</t>
        </is>
      </c>
      <c r="D135" s="4" t="n">
        <v>170</v>
      </c>
      <c r="E135" t="inlineStr">
        <is>
          <t>VB</t>
        </is>
      </c>
      <c r="F135" t="inlineStr">
        <is>
          <t>82211 Bayern - Herrsching</t>
        </is>
      </c>
      <c r="G135" s="5" t="n">
        <v>45549</v>
      </c>
      <c r="H135" t="inlineStr">
        <is>
          <t>Sold</t>
        </is>
      </c>
      <c r="I135" s="6">
        <f>HYPERLINK("https://www.kleinanzeigen.de/s-anzeige/windsurf-gabelbaum-prolimit-pro-140-200-top-/2863292347-230-5520", "Link")</f>
        <v/>
      </c>
      <c r="J135" s="6">
        <f>HYPERLINK("C:\Projects\Kleinanzeigen-Scraper\offer_images\2863292347", "Link")</f>
        <v/>
      </c>
      <c r="K135" t="inlineStr">
        <is>
          <t>Oliver</t>
        </is>
      </c>
      <c r="L135" s="6">
        <f>HYPERLINK("https://www.kleinanzeigen.de/s-bestandsliste.html?userId=17846362", "Link")</f>
        <v/>
      </c>
      <c r="M135" s="7" t="n">
        <v>45551.41150462963</v>
      </c>
      <c r="N135" s="3" t="inlineStr">
        <is>
          <t>32.73</t>
        </is>
      </c>
      <c r="O135" t="inlineStr">
        <is>
          <t>München</t>
        </is>
      </c>
    </row>
    <row r="136">
      <c r="A136" t="inlineStr">
        <is>
          <t>STX</t>
        </is>
      </c>
      <c r="B136" t="inlineStr">
        <is>
          <t>145-195</t>
        </is>
      </c>
      <c r="C136" t="inlineStr">
        <is>
          <t>2021</t>
        </is>
      </c>
      <c r="D136" s="4" t="n">
        <v>179</v>
      </c>
      <c r="E136" t="inlineStr"/>
      <c r="F136" t="inlineStr">
        <is>
          <t>82319 Bayern - Starnberg</t>
        </is>
      </c>
      <c r="G136" s="5" t="n">
        <v>45549</v>
      </c>
      <c r="H136" t="inlineStr">
        <is>
          <t>Sold</t>
        </is>
      </c>
      <c r="I136" s="6">
        <f>HYPERLINK("https://www.kleinanzeigen.de/s-anzeige/stx-boom-6-0-rdg-145-195-cm-gabelbaum-windsurf-neu/1810609832-230-5525", "Link")</f>
        <v/>
      </c>
      <c r="J136" s="6">
        <f>HYPERLINK("C:\Projects\Kleinanzeigen-Scraper\offer_images\1810609832", "Link")</f>
        <v/>
      </c>
      <c r="K136" t="inlineStr">
        <is>
          <t>No user name</t>
        </is>
      </c>
      <c r="L136" s="6">
        <f>HYPERLINK("https://www.kleinanzeigen.deNo user link", "Link")</f>
        <v/>
      </c>
      <c r="M136" s="7" t="n">
        <v>45551.41104166667</v>
      </c>
      <c r="N136" s="3" t="inlineStr">
        <is>
          <t>23.17</t>
        </is>
      </c>
      <c r="O136" t="inlineStr">
        <is>
          <t>München</t>
        </is>
      </c>
    </row>
    <row r="137">
      <c r="A137" t="inlineStr">
        <is>
          <t>Neil Pride</t>
        </is>
      </c>
      <c r="B137" t="inlineStr">
        <is>
          <t>140-190</t>
        </is>
      </c>
      <c r="C137" t="inlineStr"/>
      <c r="D137" s="4" t="n">
        <v>37</v>
      </c>
      <c r="E137" t="inlineStr">
        <is>
          <t>VB</t>
        </is>
      </c>
      <c r="F137" t="inlineStr">
        <is>
          <t>24248 Schleswig-Holstein - Mönkeberg</t>
        </is>
      </c>
      <c r="G137" s="5" t="n">
        <v>45549</v>
      </c>
      <c r="H137" t="inlineStr">
        <is>
          <t>Sold</t>
        </is>
      </c>
      <c r="I137" s="6">
        <f>HYPERLINK("https://www.kleinanzeigen.de/s-anzeige/neil-pride-gabel-windsurf/2862841164-230-666", "Link")</f>
        <v/>
      </c>
      <c r="J137" s="6">
        <f>HYPERLINK("C:\Projects\Kleinanzeigen-Scraper\offer_images\2862841164", "Link")</f>
        <v/>
      </c>
      <c r="K137" t="inlineStr">
        <is>
          <t>Mia</t>
        </is>
      </c>
      <c r="L137" s="6">
        <f>HYPERLINK("https://www.kleinanzeigen.de/s-bestandsliste.html?userId=91098441", "Link")</f>
        <v/>
      </c>
      <c r="M137" s="7" t="n">
        <v>45551.41099537037</v>
      </c>
      <c r="N137" s="3" t="inlineStr">
        <is>
          <t>437.31</t>
        </is>
      </c>
      <c r="O137" t="inlineStr">
        <is>
          <t>Köln</t>
        </is>
      </c>
    </row>
    <row r="138">
      <c r="A138" t="inlineStr"/>
      <c r="B138" t="inlineStr">
        <is>
          <t>160-220</t>
        </is>
      </c>
      <c r="C138" t="inlineStr"/>
      <c r="D138" s="4" t="n">
        <v>240</v>
      </c>
      <c r="E138" t="inlineStr"/>
      <c r="F138" t="inlineStr">
        <is>
          <t>88045 Baden-Württemberg - Friedrichshafen</t>
        </is>
      </c>
      <c r="G138" s="5" t="n">
        <v>45549</v>
      </c>
      <c r="H138" t="inlineStr">
        <is>
          <t>Sold</t>
        </is>
      </c>
      <c r="I138" s="6">
        <f>HYPERLINK("https://www.kleinanzeigen.de/s-anzeige/windsurf-gabelbaum-carbon-monocoque-160-220-cm/2863437888-230-9213", "Link")</f>
        <v/>
      </c>
      <c r="J138" s="6">
        <f>HYPERLINK("C:\Projects\Kleinanzeigen-Scraper\offer_images\2863437888", "Link")</f>
        <v/>
      </c>
      <c r="K138" t="inlineStr">
        <is>
          <t>R.M.</t>
        </is>
      </c>
      <c r="L138" s="6">
        <f>HYPERLINK("https://www.kleinanzeigen.de/s-bestandsliste.html?userId=56059820", "Link")</f>
        <v/>
      </c>
      <c r="M138" s="7" t="n">
        <v>45551.4103125</v>
      </c>
      <c r="N138" s="3" t="inlineStr">
        <is>
          <t>85.70</t>
        </is>
      </c>
      <c r="O138" t="inlineStr">
        <is>
          <t>Bonndorf</t>
        </is>
      </c>
    </row>
    <row r="139">
      <c r="A139" t="inlineStr">
        <is>
          <t>Goya Carbon Super Skinny Pro</t>
        </is>
      </c>
      <c r="B139" t="inlineStr">
        <is>
          <t>140-190</t>
        </is>
      </c>
      <c r="C139" t="inlineStr"/>
      <c r="D139" s="4" t="n">
        <v>420</v>
      </c>
      <c r="E139" t="inlineStr">
        <is>
          <t>VB</t>
        </is>
      </c>
      <c r="F139" t="inlineStr">
        <is>
          <t>24247 Schleswig-Holstein - Mielkendorf</t>
        </is>
      </c>
      <c r="G139" s="5" t="n">
        <v>45550</v>
      </c>
      <c r="H139" t="inlineStr">
        <is>
          <t>Sold</t>
        </is>
      </c>
      <c r="I139" s="6">
        <f>HYPERLINK("https://www.kleinanzeigen.de/s-anzeige/goya-gabelbaum-carbon-super-skinny-pro-140-190/2864536232-230-18216", "Link")</f>
        <v/>
      </c>
      <c r="J139" s="6">
        <f>HYPERLINK("C:\Projects\Kleinanzeigen-Scraper\offer_images\2864536232", "Link")</f>
        <v/>
      </c>
      <c r="K139" t="inlineStr">
        <is>
          <t>Ulf</t>
        </is>
      </c>
      <c r="L139" s="6">
        <f>HYPERLINK("https://www.kleinanzeigen.de/s-bestandsliste.html?userId=6449701", "Link")</f>
        <v/>
      </c>
      <c r="M139" s="7" t="n">
        <v>45551.41003472222</v>
      </c>
      <c r="N139" s="3" t="inlineStr">
        <is>
          <t>426.37</t>
        </is>
      </c>
      <c r="O139" t="inlineStr">
        <is>
          <t>Köln</t>
        </is>
      </c>
    </row>
    <row r="140">
      <c r="A140" t="inlineStr">
        <is>
          <t>Neilpryde X3</t>
        </is>
      </c>
      <c r="B140" t="inlineStr">
        <is>
          <t>200-250</t>
        </is>
      </c>
      <c r="C140" t="inlineStr"/>
      <c r="D140" s="4" t="n">
        <v>120</v>
      </c>
      <c r="E140" t="inlineStr">
        <is>
          <t>VB</t>
        </is>
      </c>
      <c r="F140" t="inlineStr">
        <is>
          <t>24582 Schleswig-Holstein - Bordesholm</t>
        </is>
      </c>
      <c r="G140" s="5" t="n">
        <v>45550</v>
      </c>
      <c r="H140" t="inlineStr"/>
      <c r="I140" s="6">
        <f>HYPERLINK("https://www.kleinanzeigen.de/s-anzeige/neilpryde-gabelbaum-x3-200-250cm/2864335406-230-10590", "Link")</f>
        <v/>
      </c>
      <c r="J140" s="6">
        <f>HYPERLINK("C:\Projects\Kleinanzeigen-Scraper\offer_images\2864335406", "Link")</f>
        <v/>
      </c>
      <c r="K140" t="inlineStr">
        <is>
          <t>Herbst</t>
        </is>
      </c>
      <c r="L140" s="6">
        <f>HYPERLINK("https://www.kleinanzeigen.de/s-bestandsliste.html?userId=22981411", "Link")</f>
        <v/>
      </c>
      <c r="M140" s="7" t="n">
        <v>45551.40998842593</v>
      </c>
      <c r="N140" s="3" t="inlineStr">
        <is>
          <t>413.93</t>
        </is>
      </c>
      <c r="O140" t="inlineStr">
        <is>
          <t>Köln</t>
        </is>
      </c>
    </row>
    <row r="141">
      <c r="A141" t="inlineStr">
        <is>
          <t>Duotone Foil Miniboom Platinum</t>
        </is>
      </c>
      <c r="B141" t="inlineStr">
        <is>
          <t>125</t>
        </is>
      </c>
      <c r="C141" t="inlineStr"/>
      <c r="D141" s="4" t="n">
        <v>99</v>
      </c>
      <c r="E141" t="inlineStr">
        <is>
          <t>VB</t>
        </is>
      </c>
      <c r="F141" t="inlineStr">
        <is>
          <t>24857 Schleswig-Holstein - Borgwedel</t>
        </is>
      </c>
      <c r="G141" s="5" t="n">
        <v>45549</v>
      </c>
      <c r="H141" t="inlineStr">
        <is>
          <t>Sold</t>
        </is>
      </c>
      <c r="I141" s="6">
        <f>HYPERLINK("https://www.kleinanzeigen.de/s-anzeige/duotone-foil-miniboom-platinum-125-cm/2863155571-230-21500", "Link")</f>
        <v/>
      </c>
      <c r="J141" s="6">
        <f>HYPERLINK("C:\Projects\Kleinanzeigen-Scraper\offer_images\2863155571", "Link")</f>
        <v/>
      </c>
      <c r="K141" t="inlineStr">
        <is>
          <t>Henrik Parusel</t>
        </is>
      </c>
      <c r="L141" s="6">
        <f>HYPERLINK("https://www.kleinanzeigen.de/s-bestandsliste.html?userId=12955210", "Link")</f>
        <v/>
      </c>
      <c r="M141" s="7" t="n">
        <v>45551.40832175926</v>
      </c>
      <c r="N141" s="3" t="inlineStr">
        <is>
          <t>434.90</t>
        </is>
      </c>
      <c r="O141" t="inlineStr">
        <is>
          <t>Köln</t>
        </is>
      </c>
    </row>
    <row r="142">
      <c r="A142" t="inlineStr">
        <is>
          <t>Duotone Silver</t>
        </is>
      </c>
      <c r="B142" t="inlineStr">
        <is>
          <t>150-200</t>
        </is>
      </c>
      <c r="C142" t="inlineStr"/>
      <c r="D142" s="4" t="n">
        <v>120</v>
      </c>
      <c r="E142" t="inlineStr">
        <is>
          <t>VB</t>
        </is>
      </c>
      <c r="F142" t="inlineStr">
        <is>
          <t>45473 Nordrhein-Westfalen - Mülheim (Ruhr)</t>
        </is>
      </c>
      <c r="G142" s="5" t="n">
        <v>45550</v>
      </c>
      <c r="H142" t="inlineStr">
        <is>
          <t>Sold</t>
        </is>
      </c>
      <c r="I142" s="6">
        <f>HYPERLINK("https://www.kleinanzeigen.de/s-anzeige/duotone-silver-150-200-frueher-north-/2864134598-230-2062", "Link")</f>
        <v/>
      </c>
      <c r="J142" s="6">
        <f>HYPERLINK("C:\Projects\Kleinanzeigen-Scraper\offer_images\2864134598", "Link")</f>
        <v/>
      </c>
      <c r="K142" t="inlineStr">
        <is>
          <t>Benedict</t>
        </is>
      </c>
      <c r="L142" s="6">
        <f>HYPERLINK("https://www.kleinanzeigen.de/s-bestandsliste.html?userId=13040713", "Link")</f>
        <v/>
      </c>
      <c r="M142" s="7" t="n">
        <v>45551.40790509259</v>
      </c>
      <c r="N142" s="3" t="inlineStr">
        <is>
          <t>56.15</t>
        </is>
      </c>
      <c r="O142" t="inlineStr">
        <is>
          <t>Köln</t>
        </is>
      </c>
    </row>
    <row r="143">
      <c r="A143" t="inlineStr">
        <is>
          <t>Neilpryde X6</t>
        </is>
      </c>
      <c r="B143" t="inlineStr">
        <is>
          <t>160-210</t>
        </is>
      </c>
      <c r="C143" t="inlineStr"/>
      <c r="D143" s="4" t="n">
        <v>70</v>
      </c>
      <c r="E143" t="inlineStr">
        <is>
          <t>VB</t>
        </is>
      </c>
      <c r="F143" t="inlineStr">
        <is>
          <t>24582 Schleswig-Holstein - Bordesholm</t>
        </is>
      </c>
      <c r="G143" s="5" t="n">
        <v>45550</v>
      </c>
      <c r="H143" t="inlineStr"/>
      <c r="I143" s="6">
        <f>HYPERLINK("https://www.kleinanzeigen.de/s-anzeige/neilpryde-gabelbaum-x6-160-210cm/2864328699-230-10590", "Link")</f>
        <v/>
      </c>
      <c r="J143" s="6">
        <f>HYPERLINK("C:\Projects\Kleinanzeigen-Scraper\offer_images\2864328699", "Link")</f>
        <v/>
      </c>
      <c r="K143" t="inlineStr">
        <is>
          <t>Herbst</t>
        </is>
      </c>
      <c r="L143" s="6">
        <f>HYPERLINK("https://www.kleinanzeigen.de/s-bestandsliste.html?userId=22981411", "Link")</f>
        <v/>
      </c>
      <c r="M143" s="7" t="n">
        <v>45551.40670138889</v>
      </c>
      <c r="N143" s="3" t="inlineStr">
        <is>
          <t>413.93</t>
        </is>
      </c>
      <c r="O143" t="inlineStr">
        <is>
          <t>Köln</t>
        </is>
      </c>
    </row>
    <row r="144">
      <c r="A144" t="inlineStr">
        <is>
          <t>Maui Magic Vision</t>
        </is>
      </c>
      <c r="B144" t="inlineStr">
        <is>
          <t>162-222</t>
        </is>
      </c>
      <c r="C144" t="inlineStr"/>
      <c r="D144" s="4" t="n">
        <v>150</v>
      </c>
      <c r="E144" t="inlineStr"/>
      <c r="F144" t="inlineStr">
        <is>
          <t>78187 Baden-Württemberg - Geisingen</t>
        </is>
      </c>
      <c r="G144" s="5" t="n">
        <v>45550</v>
      </c>
      <c r="H144" t="inlineStr">
        <is>
          <t>Sold</t>
        </is>
      </c>
      <c r="I144" s="6">
        <f>HYPERLINK("https://www.kleinanzeigen.de/s-anzeige/windsurfen-gabelbaum-carbon-maui-magic-162-222cm/2864086175-230-8860", "Link")</f>
        <v/>
      </c>
      <c r="J144" s="6">
        <f>HYPERLINK("C:\Projects\Kleinanzeigen-Scraper\offer_images\2864086175", "Link")</f>
        <v/>
      </c>
      <c r="K144" t="inlineStr">
        <is>
          <t>Tobias B.</t>
        </is>
      </c>
      <c r="L144" s="6">
        <f>HYPERLINK("https://www.kleinanzeigen.de/s-bestandsliste.html?userId=35855171", "Link")</f>
        <v/>
      </c>
      <c r="M144" s="7" t="n">
        <v>45551.40635416667</v>
      </c>
      <c r="N144" s="3" t="inlineStr">
        <is>
          <t>24.74</t>
        </is>
      </c>
      <c r="O144" t="inlineStr">
        <is>
          <t>Bonndorf</t>
        </is>
      </c>
    </row>
    <row r="145">
      <c r="A145" t="inlineStr">
        <is>
          <t>Duotone Black</t>
        </is>
      </c>
      <c r="B145" t="inlineStr">
        <is>
          <t>180-230</t>
        </is>
      </c>
      <c r="C145" t="inlineStr"/>
      <c r="D145" s="4" t="n">
        <v>45</v>
      </c>
      <c r="E145" t="inlineStr">
        <is>
          <t>VB</t>
        </is>
      </c>
      <c r="F145" t="inlineStr">
        <is>
          <t>24105 Schleswig-Holstein - Kiel</t>
        </is>
      </c>
      <c r="G145" s="5" t="n">
        <v>45549</v>
      </c>
      <c r="H145" t="inlineStr">
        <is>
          <t>Sold</t>
        </is>
      </c>
      <c r="I145" s="6">
        <f>HYPERLINK("https://www.kleinanzeigen.de/s-anzeige/duotone-black-gabelbaum-180-230/2863086358-230-708", "Link")</f>
        <v/>
      </c>
      <c r="J145" s="6">
        <f>HYPERLINK("C:\Projects\Kleinanzeigen-Scraper\offer_images\2863086358", "Link")</f>
        <v/>
      </c>
      <c r="K145" t="inlineStr">
        <is>
          <t>Daniel</t>
        </is>
      </c>
      <c r="L145" s="6">
        <f>HYPERLINK("https://www.kleinanzeigen.de/s-bestandsliste.html?userId=68041566", "Link")</f>
        <v/>
      </c>
      <c r="M145" s="7" t="n">
        <v>45550.99689814815</v>
      </c>
      <c r="N145" s="3" t="inlineStr">
        <is>
          <t>435.05</t>
        </is>
      </c>
      <c r="O145" t="inlineStr">
        <is>
          <t>Köln</t>
        </is>
      </c>
    </row>
    <row r="146">
      <c r="A146" t="inlineStr"/>
      <c r="B146" t="inlineStr">
        <is>
          <t>180-240</t>
        </is>
      </c>
      <c r="C146" t="inlineStr"/>
      <c r="D146" s="4" t="n">
        <v>290</v>
      </c>
      <c r="E146" t="inlineStr"/>
      <c r="F146" t="inlineStr">
        <is>
          <t>45772 Nordrhein-Westfalen - Marl</t>
        </is>
      </c>
      <c r="G146" s="5" t="n">
        <v>45549</v>
      </c>
      <c r="H146" t="inlineStr">
        <is>
          <t>Sold</t>
        </is>
      </c>
      <c r="I146" s="6">
        <f>HYPERLINK("https://www.kleinanzeigen.de/s-anzeige/carbon-gabelbaum-al-360-windsurfen/2863493074-230-1772", "Link")</f>
        <v/>
      </c>
      <c r="J146" s="6">
        <f>HYPERLINK("C:\Projects\Kleinanzeigen-Scraper\offer_images\2863493074", "Link")</f>
        <v/>
      </c>
      <c r="K146" t="inlineStr">
        <is>
          <t>RRD</t>
        </is>
      </c>
      <c r="L146" s="6">
        <f>HYPERLINK("https://www.kleinanzeigen.de/s-bestandsliste.html?userId=13661901", "Link")</f>
        <v/>
      </c>
      <c r="M146" s="7" t="n">
        <v>45550.99672453704</v>
      </c>
      <c r="N146" s="3" t="inlineStr">
        <is>
          <t>84.29</t>
        </is>
      </c>
      <c r="O146" t="inlineStr">
        <is>
          <t>Köln</t>
        </is>
      </c>
    </row>
    <row r="147">
      <c r="A147" t="inlineStr">
        <is>
          <t>Nautix</t>
        </is>
      </c>
      <c r="B147" t="inlineStr">
        <is>
          <t>180-220</t>
        </is>
      </c>
      <c r="C147" t="inlineStr"/>
      <c r="D147" s="4" t="n">
        <v>40</v>
      </c>
      <c r="E147" t="inlineStr">
        <is>
          <t>VB</t>
        </is>
      </c>
      <c r="F147" t="inlineStr">
        <is>
          <t>01454 Sachsen - Radeberg</t>
        </is>
      </c>
      <c r="G147" s="5" t="n">
        <v>45550</v>
      </c>
      <c r="H147" t="inlineStr">
        <is>
          <t>Sold</t>
        </is>
      </c>
      <c r="I147" s="6">
        <f>HYPERLINK("https://www.kleinanzeigen.de/s-anzeige/gabelbaum-windsurfen-1-80-2-20-m/2863720085-230-4132", "Link")</f>
        <v/>
      </c>
      <c r="J147" s="6">
        <f>HYPERLINK("C:\Projects\Kleinanzeigen-Scraper\offer_images\2863720085", "Link")</f>
        <v/>
      </c>
      <c r="K147" t="inlineStr">
        <is>
          <t>Eberth</t>
        </is>
      </c>
      <c r="L147" s="6">
        <f>HYPERLINK("https://www.kleinanzeigen.de/s-bestandsliste.html?userId=1560613", "Link")</f>
        <v/>
      </c>
      <c r="M147" s="7" t="n">
        <v>45550.99657407407</v>
      </c>
      <c r="N147" s="3" t="inlineStr">
        <is>
          <t>373.94</t>
        </is>
      </c>
      <c r="O147" t="inlineStr">
        <is>
          <t>München</t>
        </is>
      </c>
    </row>
    <row r="148">
      <c r="A148" t="inlineStr">
        <is>
          <t>Chinook Pro 1 Alloy</t>
        </is>
      </c>
      <c r="B148" t="inlineStr">
        <is>
          <t>165-227</t>
        </is>
      </c>
      <c r="C148" t="inlineStr"/>
      <c r="D148" s="4" t="n">
        <v>110</v>
      </c>
      <c r="E148" t="inlineStr">
        <is>
          <t>VB</t>
        </is>
      </c>
      <c r="F148" t="inlineStr">
        <is>
          <t>45473 Nordrhein-Westfalen - Mülheim (Ruhr)</t>
        </is>
      </c>
      <c r="G148" s="5" t="n">
        <v>45550</v>
      </c>
      <c r="H148" t="inlineStr">
        <is>
          <t>Sold</t>
        </is>
      </c>
      <c r="I148" s="6">
        <f>HYPERLINK("https://www.kleinanzeigen.de/s-anzeige/chinook-pro-1-alloy-165-227-gabelbaum-windsurf/2864136776-230-2062", "Link")</f>
        <v/>
      </c>
      <c r="J148" s="6">
        <f>HYPERLINK("C:\Projects\Kleinanzeigen-Scraper\offer_images\2864136776", "Link")</f>
        <v/>
      </c>
      <c r="K148" t="inlineStr">
        <is>
          <t>Benedict</t>
        </is>
      </c>
      <c r="L148" s="6">
        <f>HYPERLINK("https://www.kleinanzeigen.de/s-bestandsliste.html?userId=13040713", "Link")</f>
        <v/>
      </c>
      <c r="M148" s="7" t="n">
        <v>45550.99645833333</v>
      </c>
      <c r="N148" s="3" t="inlineStr">
        <is>
          <t>56.15</t>
        </is>
      </c>
      <c r="O148" t="inlineStr">
        <is>
          <t>Köln</t>
        </is>
      </c>
    </row>
    <row r="149">
      <c r="A149" t="inlineStr">
        <is>
          <t>Duotone EPX</t>
        </is>
      </c>
      <c r="B149" t="inlineStr">
        <is>
          <t>150-210</t>
        </is>
      </c>
      <c r="C149" t="inlineStr"/>
      <c r="D149" s="4" t="n">
        <v>320</v>
      </c>
      <c r="E149" t="inlineStr">
        <is>
          <t>VB</t>
        </is>
      </c>
      <c r="F149" t="inlineStr">
        <is>
          <t>45473 Nordrhein-Westfalen - Mülheim (Ruhr)</t>
        </is>
      </c>
      <c r="G149" s="5" t="n">
        <v>45550</v>
      </c>
      <c r="H149" t="inlineStr">
        <is>
          <t>Sold</t>
        </is>
      </c>
      <c r="I149" s="6">
        <f>HYPERLINK("https://www.kleinanzeigen.de/s-anzeige/duotone-epx-150-210-carbon-frueher-north-/2864129845-230-2062", "Link")</f>
        <v/>
      </c>
      <c r="J149" s="6">
        <f>HYPERLINK("C:\Projects\Kleinanzeigen-Scraper\offer_images\2864129845", "Link")</f>
        <v/>
      </c>
      <c r="K149" t="inlineStr">
        <is>
          <t>Benedict</t>
        </is>
      </c>
      <c r="L149" s="6">
        <f>HYPERLINK("https://www.kleinanzeigen.de/s-bestandsliste.html?userId=13040713", "Link")</f>
        <v/>
      </c>
      <c r="M149" s="7" t="n">
        <v>45550.99637731481</v>
      </c>
      <c r="N149" s="3" t="inlineStr">
        <is>
          <t>56.15</t>
        </is>
      </c>
      <c r="O149" t="inlineStr">
        <is>
          <t>Köln</t>
        </is>
      </c>
    </row>
    <row r="150">
      <c r="A150" t="inlineStr">
        <is>
          <t>Duotone EPX</t>
        </is>
      </c>
      <c r="B150" t="inlineStr">
        <is>
          <t>140-190</t>
        </is>
      </c>
      <c r="C150" t="inlineStr"/>
      <c r="D150" s="4" t="n">
        <v>320</v>
      </c>
      <c r="E150" t="inlineStr">
        <is>
          <t>VB</t>
        </is>
      </c>
      <c r="F150" t="inlineStr">
        <is>
          <t>45473 Nordrhein-Westfalen - Mülheim (Ruhr)</t>
        </is>
      </c>
      <c r="G150" s="5" t="n">
        <v>45550</v>
      </c>
      <c r="H150" t="inlineStr">
        <is>
          <t>Sold</t>
        </is>
      </c>
      <c r="I150" s="6">
        <f>HYPERLINK("https://www.kleinanzeigen.de/s-anzeige/duotone-epx-140-190-carbon-frueher-north-/2864132288-230-2062", "Link")</f>
        <v/>
      </c>
      <c r="J150" s="6">
        <f>HYPERLINK("C:\Projects\Kleinanzeigen-Scraper\offer_images\2864132288", "Link")</f>
        <v/>
      </c>
      <c r="K150" t="inlineStr">
        <is>
          <t>Benedict</t>
        </is>
      </c>
      <c r="L150" s="6">
        <f>HYPERLINK("https://www.kleinanzeigen.de/s-bestandsliste.html?userId=13040713", "Link")</f>
        <v/>
      </c>
      <c r="M150" s="7" t="n">
        <v>45550.9961574074</v>
      </c>
      <c r="N150" s="3" t="inlineStr">
        <is>
          <t>56.15</t>
        </is>
      </c>
      <c r="O150" t="inlineStr">
        <is>
          <t>Köln</t>
        </is>
      </c>
    </row>
    <row r="151">
      <c r="A151" t="inlineStr"/>
      <c r="B151" t="inlineStr">
        <is>
          <t>150-210</t>
        </is>
      </c>
      <c r="C151" t="inlineStr"/>
      <c r="D151" s="4" t="n">
        <v>240</v>
      </c>
      <c r="E151" t="inlineStr"/>
      <c r="F151" t="inlineStr">
        <is>
          <t>88045 Baden-Württemberg - Friedrichshafen</t>
        </is>
      </c>
      <c r="G151" s="5" t="n">
        <v>45549</v>
      </c>
      <c r="H151" t="inlineStr">
        <is>
          <t>Sold</t>
        </is>
      </c>
      <c r="I151" s="6">
        <f>HYPERLINK("https://www.kleinanzeigen.de/s-anzeige/windsurf-gabelbaum-carbon-monocoque-150-210-cm/2863436152-230-9213", "Link")</f>
        <v/>
      </c>
      <c r="J151" s="6">
        <f>HYPERLINK("C:\Projects\Kleinanzeigen-Scraper\offer_images\2863436152", "Link")</f>
        <v/>
      </c>
      <c r="K151" t="inlineStr">
        <is>
          <t>R.M.</t>
        </is>
      </c>
      <c r="L151" s="6">
        <f>HYPERLINK("https://www.kleinanzeigen.de/s-bestandsliste.html?userId=56059820", "Link")</f>
        <v/>
      </c>
      <c r="M151" s="7" t="n">
        <v>45550.99549768519</v>
      </c>
      <c r="N151" s="3" t="inlineStr">
        <is>
          <t>85.70</t>
        </is>
      </c>
      <c r="O151" t="inlineStr">
        <is>
          <t>Bonndorf</t>
        </is>
      </c>
    </row>
    <row r="152">
      <c r="A152" t="inlineStr">
        <is>
          <t>North Sails Red Series</t>
        </is>
      </c>
      <c r="B152" t="inlineStr">
        <is>
          <t>180-230</t>
        </is>
      </c>
      <c r="C152" t="inlineStr"/>
      <c r="D152" s="4" t="n">
        <v>80</v>
      </c>
      <c r="E152" t="inlineStr"/>
      <c r="F152" t="inlineStr">
        <is>
          <t>78187 Baden-Württemberg - Geisingen</t>
        </is>
      </c>
      <c r="G152" s="5" t="n">
        <v>45550</v>
      </c>
      <c r="H152" t="inlineStr"/>
      <c r="I152" s="6">
        <f>HYPERLINK("https://www.kleinanzeigen.de/s-anzeige/windsurfen-gabelbaum-north-sails-red-series-180-230cm/2864766557-230-8860", "Link")</f>
        <v/>
      </c>
      <c r="J152" s="6">
        <f>HYPERLINK("C:\Projects\Kleinanzeigen-Scraper\offer_images\2864766557", "Link")</f>
        <v/>
      </c>
      <c r="K152" t="inlineStr">
        <is>
          <t>Tobias B.</t>
        </is>
      </c>
      <c r="L152" s="6">
        <f>HYPERLINK("https://www.kleinanzeigen.de/s-bestandsliste.html?userId=35855171", "Link")</f>
        <v/>
      </c>
      <c r="M152" s="7" t="n">
        <v>45550.99436342593</v>
      </c>
      <c r="N152" s="3" t="inlineStr">
        <is>
          <t>24.74</t>
        </is>
      </c>
      <c r="O152" t="inlineStr">
        <is>
          <t>Bonndorf</t>
        </is>
      </c>
    </row>
    <row r="153">
      <c r="A153" t="inlineStr">
        <is>
          <t>Ascan Wave</t>
        </is>
      </c>
      <c r="B153" t="inlineStr">
        <is>
          <t>140-190</t>
        </is>
      </c>
      <c r="C153" t="inlineStr"/>
      <c r="D153" s="4" t="inlineStr"/>
      <c r="E153" t="inlineStr">
        <is>
          <t>VB</t>
        </is>
      </c>
      <c r="F153" t="inlineStr">
        <is>
          <t>22415 Hamburg-Nord - Hamburg Langenhorn</t>
        </is>
      </c>
      <c r="G153" s="5" t="n">
        <v>45550</v>
      </c>
      <c r="H153" t="inlineStr">
        <is>
          <t>Sold</t>
        </is>
      </c>
      <c r="I153" s="6">
        <f>HYPERLINK("https://www.kleinanzeigen.de/s-anzeige/windsurfen-gabelbaeume/2864020980-230-9488", "Link")</f>
        <v/>
      </c>
      <c r="J153" s="6">
        <f>HYPERLINK("C:\Projects\Kleinanzeigen-Scraper\offer_images\2864020980", "Link")</f>
        <v/>
      </c>
      <c r="K153" t="inlineStr">
        <is>
          <t>Frederic Biesinger</t>
        </is>
      </c>
      <c r="L153" s="6">
        <f>HYPERLINK("https://www.kleinanzeigen.de/s-bestandsliste.html?userId=17709235", "Link")</f>
        <v/>
      </c>
      <c r="M153" s="7" t="n">
        <v>45550.99423611111</v>
      </c>
      <c r="N153" s="3" t="inlineStr">
        <is>
          <t>366.01</t>
        </is>
      </c>
      <c r="O153" t="inlineStr">
        <is>
          <t>Köln</t>
        </is>
      </c>
    </row>
    <row r="154">
      <c r="A154" t="inlineStr">
        <is>
          <t>Severne</t>
        </is>
      </c>
      <c r="B154" t="inlineStr">
        <is>
          <t>22-28</t>
        </is>
      </c>
      <c r="C154" t="inlineStr"/>
      <c r="D154" s="4" t="n">
        <v>200</v>
      </c>
      <c r="E154" t="inlineStr">
        <is>
          <t>VB</t>
        </is>
      </c>
      <c r="F154" t="inlineStr">
        <is>
          <t>82061 Kr. München - Neuried Kr München</t>
        </is>
      </c>
      <c r="G154" s="5" t="n">
        <v>45550</v>
      </c>
      <c r="H154" t="inlineStr"/>
      <c r="I154" s="6">
        <f>HYPERLINK("https://www.kleinanzeigen.de/s-anzeige/severne-carbon-windsurfgabel/2864536463-230-6336", "Link")</f>
        <v/>
      </c>
      <c r="J154" s="6">
        <f>HYPERLINK("C:\Projects\Kleinanzeigen-Scraper\offer_images\2864536463", "Link")</f>
        <v/>
      </c>
      <c r="K154" t="inlineStr">
        <is>
          <t>Vanessa</t>
        </is>
      </c>
      <c r="L154" s="6">
        <f>HYPERLINK("https://www.kleinanzeigen.de/s-bestandsliste.html?userId=26497688", "Link")</f>
        <v/>
      </c>
      <c r="M154" s="7" t="n">
        <v>45550.99344907407</v>
      </c>
      <c r="N154" s="3" t="inlineStr">
        <is>
          <t>9.29</t>
        </is>
      </c>
      <c r="O154" t="inlineStr">
        <is>
          <t>München</t>
        </is>
      </c>
    </row>
    <row r="155">
      <c r="A155" t="inlineStr">
        <is>
          <t>Neilpryde X3</t>
        </is>
      </c>
      <c r="B155" t="inlineStr">
        <is>
          <t>135-185</t>
        </is>
      </c>
      <c r="C155" t="inlineStr"/>
      <c r="D155" s="4" t="n">
        <v>65</v>
      </c>
      <c r="E155" t="inlineStr"/>
      <c r="F155" t="inlineStr">
        <is>
          <t>78187 Baden-Württemberg - Geisingen</t>
        </is>
      </c>
      <c r="G155" s="5" t="n">
        <v>45550</v>
      </c>
      <c r="H155" t="inlineStr"/>
      <c r="I155" s="6">
        <f>HYPERLINK("https://www.kleinanzeigen.de/s-anzeige/windsurfen-gabelbaum-neilpryde-x3-135-185cm/2864767604-230-8860", "Link")</f>
        <v/>
      </c>
      <c r="J155" s="6">
        <f>HYPERLINK("C:\Projects\Kleinanzeigen-Scraper\offer_images\2864767604", "Link")</f>
        <v/>
      </c>
      <c r="K155" t="inlineStr">
        <is>
          <t>Tobias B.</t>
        </is>
      </c>
      <c r="L155" s="6">
        <f>HYPERLINK("https://www.kleinanzeigen.de/s-bestandsliste.html?userId=35855171", "Link")</f>
        <v/>
      </c>
      <c r="M155" s="7" t="n">
        <v>45550.99315972222</v>
      </c>
      <c r="N155" s="3" t="inlineStr">
        <is>
          <t>24.74</t>
        </is>
      </c>
      <c r="O155" t="inlineStr">
        <is>
          <t>Bonndorf</t>
        </is>
      </c>
    </row>
    <row r="156">
      <c r="A156" t="inlineStr">
        <is>
          <t>North Sails Silver</t>
        </is>
      </c>
      <c r="B156" t="inlineStr">
        <is>
          <t>140-190</t>
        </is>
      </c>
      <c r="C156" t="inlineStr"/>
      <c r="D156" s="4" t="n">
        <v>89</v>
      </c>
      <c r="E156" t="inlineStr">
        <is>
          <t>VB</t>
        </is>
      </c>
      <c r="F156" t="inlineStr">
        <is>
          <t>76287 Rheinstetten</t>
        </is>
      </c>
      <c r="G156" s="5" t="n">
        <v>45548</v>
      </c>
      <c r="H156" t="inlineStr">
        <is>
          <t>Sold</t>
        </is>
      </c>
      <c r="I156" s="6">
        <f>HYPERLINK("https://www.dailydose.de/kleinanzeigen/detail.htm?ai=422538&amp;cf=kk&amp;pg=1&amp;ci=13", "Link")</f>
        <v/>
      </c>
      <c r="J156" s="6">
        <f>HYPERLINK("C:\Projects\Kleinanzeigen-Scraper\offer_images\422538", "Link")</f>
        <v/>
      </c>
      <c r="K156" t="inlineStr">
        <is>
          <t>Epplesee</t>
        </is>
      </c>
      <c r="L156" s="6">
        <f>HYPERLINK("https://www.dailydose.de/kleinanzeigen/user/7173", "Link")</f>
        <v/>
      </c>
      <c r="M156" s="7" t="n">
        <v>45549.58247685185</v>
      </c>
      <c r="N156" s="3" t="inlineStr">
        <is>
          <t>7.05</t>
        </is>
      </c>
      <c r="O156" t="inlineStr">
        <is>
          <t>Karlsruhe</t>
        </is>
      </c>
    </row>
    <row r="157">
      <c r="A157" t="inlineStr">
        <is>
          <t>Unifiber</t>
        </is>
      </c>
      <c r="B157" t="inlineStr">
        <is>
          <t>135-195</t>
        </is>
      </c>
      <c r="C157" t="inlineStr"/>
      <c r="D157" s="4" t="n">
        <v>240</v>
      </c>
      <c r="E157" t="inlineStr"/>
      <c r="F157" t="inlineStr">
        <is>
          <t>50733 Köln</t>
        </is>
      </c>
      <c r="G157" s="5" t="n">
        <v>45548</v>
      </c>
      <c r="H157" t="inlineStr"/>
      <c r="I157" s="6">
        <f>HYPERLINK("https://www.dailydose.de/kleinanzeigen/detail.htm?ai=422513&amp;cf=kk&amp;pg=2&amp;ci=13", "Link")</f>
        <v/>
      </c>
      <c r="J157" s="6">
        <f>HYPERLINK("C:\Projects\Kleinanzeigen-Scraper\offer_images\422513", "Link")</f>
        <v/>
      </c>
      <c r="K157" t="inlineStr">
        <is>
          <t>Frank Grueter</t>
        </is>
      </c>
      <c r="L157" s="6">
        <f>HYPERLINK("https://www.dailydose.de/kleinanzeigen/user/8614", "Link")</f>
        <v/>
      </c>
      <c r="M157" s="7" t="n">
        <v>45549.58244212963</v>
      </c>
      <c r="N157" s="3" t="inlineStr">
        <is>
          <t>2.91</t>
        </is>
      </c>
      <c r="O157" t="inlineStr">
        <is>
          <t>Köln</t>
        </is>
      </c>
    </row>
    <row r="158">
      <c r="A158" t="inlineStr">
        <is>
          <t>North Sails progression b</t>
        </is>
      </c>
      <c r="B158" t="inlineStr">
        <is>
          <t>165-215</t>
        </is>
      </c>
      <c r="C158" t="inlineStr"/>
      <c r="D158" s="4" t="n">
        <v>69</v>
      </c>
      <c r="E158" t="inlineStr">
        <is>
          <t>VB</t>
        </is>
      </c>
      <c r="F158" t="inlineStr">
        <is>
          <t>76287 Rheinstetten</t>
        </is>
      </c>
      <c r="G158" s="5" t="n">
        <v>45548</v>
      </c>
      <c r="H158" t="inlineStr"/>
      <c r="I158" s="6">
        <f>HYPERLINK("https://www.dailydose.de/kleinanzeigen/detail.htm?ai=422540&amp;cf=kk&amp;pg=2&amp;ci=13", "Link")</f>
        <v/>
      </c>
      <c r="J158" s="6">
        <f>HYPERLINK("C:\Projects\Kleinanzeigen-Scraper\offer_images\422540", "Link")</f>
        <v/>
      </c>
      <c r="K158" t="inlineStr">
        <is>
          <t>Epplesee</t>
        </is>
      </c>
      <c r="L158" s="6">
        <f>HYPERLINK("https://www.dailydose.de/kleinanzeigen/user/7173", "Link")</f>
        <v/>
      </c>
      <c r="M158" s="7" t="n">
        <v>45549.5816087963</v>
      </c>
      <c r="N158" s="3" t="inlineStr">
        <is>
          <t>7.05</t>
        </is>
      </c>
      <c r="O158" t="inlineStr">
        <is>
          <t>Karlsruhe</t>
        </is>
      </c>
    </row>
    <row r="159">
      <c r="A159" t="inlineStr">
        <is>
          <t>Neilpryde X3</t>
        </is>
      </c>
      <c r="B159" t="inlineStr">
        <is>
          <t>225-275</t>
        </is>
      </c>
      <c r="C159" t="inlineStr"/>
      <c r="D159" s="4" t="n">
        <v>80</v>
      </c>
      <c r="E159" t="inlineStr"/>
      <c r="F159" t="inlineStr">
        <is>
          <t>12587 Berlin - Köpenick</t>
        </is>
      </c>
      <c r="G159" s="5" t="n">
        <v>45528</v>
      </c>
      <c r="H159" t="inlineStr"/>
      <c r="I159" s="6">
        <f>HYPERLINK("https://www.kleinanzeigen.de/s-anzeige/neilpryde-x3-gabelbaum-225-275/2845318432-230-3374", "Link")</f>
        <v/>
      </c>
      <c r="J159" s="6">
        <f>HYPERLINK("C:\Projects\Kleinanzeigen-Scraper\offer_images\2845318432", "Link")</f>
        <v/>
      </c>
      <c r="K159" t="inlineStr">
        <is>
          <t>Müller</t>
        </is>
      </c>
      <c r="L159" s="6">
        <f>HYPERLINK("https://www.kleinanzeigen.de/s-bestandsliste.html?userId=5985090", "Link")</f>
        <v/>
      </c>
      <c r="M159" s="7" t="n">
        <v>45549.58131944444</v>
      </c>
      <c r="N159" s="3" t="inlineStr">
        <is>
          <t>490.72</t>
        </is>
      </c>
      <c r="O159" t="inlineStr">
        <is>
          <t>Köln</t>
        </is>
      </c>
    </row>
    <row r="160">
      <c r="A160" t="inlineStr">
        <is>
          <t>Neilpryde XC Carbon</t>
        </is>
      </c>
      <c r="B160" t="inlineStr">
        <is>
          <t>200-250</t>
        </is>
      </c>
      <c r="C160" t="inlineStr"/>
      <c r="D160" s="4" t="n">
        <v>1.299</v>
      </c>
      <c r="E160" t="inlineStr"/>
      <c r="F160" t="inlineStr">
        <is>
          <t>82319 Bayern - Starnberg</t>
        </is>
      </c>
      <c r="G160" s="5" t="n">
        <v>45565</v>
      </c>
      <c r="H160" t="inlineStr"/>
      <c r="I160" s="6">
        <f>HYPERLINK("https://www.kleinanzeigen.de/s-anzeige/neilpryde-xc-carbon-slalom-boom-200-250-cm/1874479396-230-5525", "Link")</f>
        <v/>
      </c>
      <c r="J160" s="6">
        <f>HYPERLINK("C:\Projects\Kleinanzeigen-Scraper\offer_images\1874479396", "Link")</f>
        <v/>
      </c>
      <c r="K160" t="inlineStr">
        <is>
          <t>No user name</t>
        </is>
      </c>
      <c r="L160" s="6">
        <f>HYPERLINK("https://www.kleinanzeigen.deNo user link", "Link")</f>
        <v/>
      </c>
      <c r="M160" s="7" t="n">
        <v>45549.58130787037</v>
      </c>
      <c r="N160" s="3" t="inlineStr">
        <is>
          <t>23.17</t>
        </is>
      </c>
      <c r="O160" t="inlineStr">
        <is>
          <t>München</t>
        </is>
      </c>
    </row>
    <row r="161">
      <c r="A161" t="inlineStr">
        <is>
          <t>Gun Sails Cross</t>
        </is>
      </c>
      <c r="B161" t="inlineStr">
        <is>
          <t>200-250</t>
        </is>
      </c>
      <c r="C161" t="inlineStr">
        <is>
          <t>2022</t>
        </is>
      </c>
      <c r="D161" s="4" t="n">
        <v>80</v>
      </c>
      <c r="E161" t="inlineStr"/>
      <c r="F161" t="inlineStr">
        <is>
          <t>45721 Nordrhein-Westfalen - Haltern am See</t>
        </is>
      </c>
      <c r="G161" s="5" t="n">
        <v>45502</v>
      </c>
      <c r="H161" t="inlineStr">
        <is>
          <t>Sold</t>
        </is>
      </c>
      <c r="I161" s="6">
        <f>HYPERLINK("https://www.kleinanzeigen.de/s-anzeige/gun-sails-cross-boom-200-250-gabelbaum-wie-neu/2824423206-230-1336", "Link")</f>
        <v/>
      </c>
      <c r="J161" s="6">
        <f>HYPERLINK("C:\Projects\Kleinanzeigen-Scraper\offer_images\2824423206", "Link")</f>
        <v/>
      </c>
      <c r="K161" t="inlineStr">
        <is>
          <t>Alexander</t>
        </is>
      </c>
      <c r="L161" s="6">
        <f>HYPERLINK("https://www.kleinanzeigen.de/s-bestandsliste.html?userId=1171247", "Link")</f>
        <v/>
      </c>
      <c r="M161" s="7" t="n">
        <v>45549.58126157407</v>
      </c>
      <c r="N161" s="3" t="inlineStr">
        <is>
          <t>95.03</t>
        </is>
      </c>
      <c r="O161" t="inlineStr">
        <is>
          <t>Köln</t>
        </is>
      </c>
    </row>
    <row r="162">
      <c r="A162" t="inlineStr">
        <is>
          <t>Point 7 Alu Pro</t>
        </is>
      </c>
      <c r="B162" t="inlineStr">
        <is>
          <t>140-190</t>
        </is>
      </c>
      <c r="C162" t="inlineStr"/>
      <c r="D162" s="4" t="n">
        <v>75</v>
      </c>
      <c r="E162" t="inlineStr">
        <is>
          <t>VB</t>
        </is>
      </c>
      <c r="F162" t="inlineStr">
        <is>
          <t>47509 Nordrhein-Westfalen - Rheurdt</t>
        </is>
      </c>
      <c r="G162" s="5" t="n">
        <v>45505</v>
      </c>
      <c r="H162" t="inlineStr">
        <is>
          <t>Sold</t>
        </is>
      </c>
      <c r="I162" s="6">
        <f>HYPERLINK("https://www.kleinanzeigen.de/s-anzeige/gabelbaum-point-7-alu-pro-140-190/2826601692-230-1127", "Link")</f>
        <v/>
      </c>
      <c r="J162" s="6">
        <f>HYPERLINK("C:\Projects\Kleinanzeigen-Scraper\offer_images\2826601692", "Link")</f>
        <v/>
      </c>
      <c r="K162" t="inlineStr">
        <is>
          <t>Thorsten</t>
        </is>
      </c>
      <c r="L162" s="6">
        <f>HYPERLINK("https://www.kleinanzeigen.de/s-bestandsliste.html?userId=9039742", "Link")</f>
        <v/>
      </c>
      <c r="M162" s="7" t="n">
        <v>45549.58096064815</v>
      </c>
      <c r="N162" s="3" t="inlineStr">
        <is>
          <t>66.23</t>
        </is>
      </c>
      <c r="O162" t="inlineStr">
        <is>
          <t>Köln</t>
        </is>
      </c>
    </row>
    <row r="163">
      <c r="A163" t="inlineStr">
        <is>
          <t>Severne Monocoque</t>
        </is>
      </c>
      <c r="B163" t="inlineStr">
        <is>
          <t>130-180</t>
        </is>
      </c>
      <c r="C163" t="inlineStr"/>
      <c r="D163" s="4" t="n">
        <v>100</v>
      </c>
      <c r="E163" t="inlineStr">
        <is>
          <t>VB</t>
        </is>
      </c>
      <c r="F163" t="inlineStr">
        <is>
          <t>82319 Bayern - Starnberg</t>
        </is>
      </c>
      <c r="G163" s="5" t="n">
        <v>45501</v>
      </c>
      <c r="H163" t="inlineStr">
        <is>
          <t>Sold</t>
        </is>
      </c>
      <c r="I163" s="6">
        <f>HYPERLINK("https://www.kleinanzeigen.de/s-anzeige/vollcarbon-gabelbaum-severne-monocoque-130-180/2823122887-230-5525", "Link")</f>
        <v/>
      </c>
      <c r="J163" s="6">
        <f>HYPERLINK("C:\Projects\Kleinanzeigen-Scraper\offer_images\2823122887", "Link")</f>
        <v/>
      </c>
      <c r="K163" t="inlineStr">
        <is>
          <t>Reinhard Pichl</t>
        </is>
      </c>
      <c r="L163" s="6">
        <f>HYPERLINK("https://www.kleinanzeigen.de/s-bestandsliste.html?userId=15913797", "Link")</f>
        <v/>
      </c>
      <c r="M163" s="7" t="n">
        <v>45549.58090277778</v>
      </c>
      <c r="N163" s="3" t="inlineStr">
        <is>
          <t>23.17</t>
        </is>
      </c>
      <c r="O163" t="inlineStr">
        <is>
          <t>München</t>
        </is>
      </c>
    </row>
    <row r="164">
      <c r="A164" t="inlineStr">
        <is>
          <t>North Sails / Neilpryde</t>
        </is>
      </c>
      <c r="B164" t="inlineStr"/>
      <c r="C164" t="inlineStr"/>
      <c r="D164" s="4" t="n">
        <v>1</v>
      </c>
      <c r="E164" t="inlineStr">
        <is>
          <t>VB</t>
        </is>
      </c>
      <c r="F164" t="inlineStr">
        <is>
          <t>38102 Niedersachsen - Braunschweig</t>
        </is>
      </c>
      <c r="G164" s="5" t="n">
        <v>45534</v>
      </c>
      <c r="H164" t="inlineStr"/>
      <c r="I164" s="6">
        <f>HYPERLINK("https://www.kleinanzeigen.de/s-anzeige/windsurfing-gabelbaeume-north-sails-neilpryde-alu-trapez/2850251497-230-2460", "Link")</f>
        <v/>
      </c>
      <c r="J164" s="6">
        <f>HYPERLINK("C:\Projects\Kleinanzeigen-Scraper\offer_images\2850251497", "Link")</f>
        <v/>
      </c>
      <c r="K164" t="inlineStr">
        <is>
          <t>Ole</t>
        </is>
      </c>
      <c r="L164" s="6">
        <f>HYPERLINK("https://www.kleinanzeigen.de/s-bestandsliste.html?userId=10971033", "Link")</f>
        <v/>
      </c>
      <c r="M164" s="7" t="n">
        <v>45549.58082175926</v>
      </c>
      <c r="N164" s="3" t="inlineStr">
        <is>
          <t>287.38</t>
        </is>
      </c>
      <c r="O164" t="inlineStr">
        <is>
          <t>Köln</t>
        </is>
      </c>
    </row>
    <row r="165">
      <c r="A165" t="inlineStr">
        <is>
          <t>NeilPryde Slalom</t>
        </is>
      </c>
      <c r="B165" t="inlineStr">
        <is>
          <t>165-220</t>
        </is>
      </c>
      <c r="C165" t="inlineStr"/>
      <c r="D165" s="4" t="n">
        <v>15</v>
      </c>
      <c r="E165" t="inlineStr">
        <is>
          <t>VB</t>
        </is>
      </c>
      <c r="F165" t="inlineStr">
        <is>
          <t>32120 Nordrhein-Westfalen - Hiddenhausen</t>
        </is>
      </c>
      <c r="G165" s="5" t="n">
        <v>45548</v>
      </c>
      <c r="H165" t="inlineStr"/>
      <c r="I165" s="6">
        <f>HYPERLINK("https://www.kleinanzeigen.de/s-anzeige/gabelbaum-neilpryde-slalom-165-220cm-mit-trapeztampen/2862213408-230-1660", "Link")</f>
        <v/>
      </c>
      <c r="J165" s="6">
        <f>HYPERLINK("C:\Projects\Kleinanzeigen-Scraper\offer_images\2862213408", "Link")</f>
        <v/>
      </c>
      <c r="K165" t="inlineStr">
        <is>
          <t>Christian</t>
        </is>
      </c>
      <c r="L165" s="6">
        <f>HYPERLINK("https://www.kleinanzeigen.de/s-bestandsliste.html?userId=2805541", "Link")</f>
        <v/>
      </c>
      <c r="M165" s="7" t="n">
        <v>45549.58071759259</v>
      </c>
      <c r="N165" s="3" t="inlineStr">
        <is>
          <t>179.04</t>
        </is>
      </c>
      <c r="O165" t="inlineStr">
        <is>
          <t>Köln</t>
        </is>
      </c>
    </row>
    <row r="166">
      <c r="A166" t="inlineStr">
        <is>
          <t>Fanatic</t>
        </is>
      </c>
      <c r="B166" t="inlineStr">
        <is>
          <t>175-220</t>
        </is>
      </c>
      <c r="C166" t="inlineStr"/>
      <c r="D166" s="4" t="inlineStr"/>
      <c r="E166" t="inlineStr">
        <is>
          <t>VB</t>
        </is>
      </c>
      <c r="F166" t="inlineStr">
        <is>
          <t>29225 Niedersachsen - Celle</t>
        </is>
      </c>
      <c r="G166" s="5" t="n">
        <v>45529</v>
      </c>
      <c r="H166" t="inlineStr">
        <is>
          <t>Sold</t>
        </is>
      </c>
      <c r="I166" s="6">
        <f>HYPERLINK("https://www.kleinanzeigen.de/s-anzeige/windsurf-gabelbaum-fanatic/2845501241-230-3199", "Link")</f>
        <v/>
      </c>
      <c r="J166" s="6">
        <f>HYPERLINK("C:\Projects\Kleinanzeigen-Scraper\offer_images\2845501241", "Link")</f>
        <v/>
      </c>
      <c r="K166" t="inlineStr">
        <is>
          <t>Wolff</t>
        </is>
      </c>
      <c r="L166" s="6">
        <f>HYPERLINK("https://www.kleinanzeigen.de/s-bestandsliste.html?userId=78906615", "Link")</f>
        <v/>
      </c>
      <c r="M166" s="7" t="n">
        <v>45549.58064814815</v>
      </c>
      <c r="N166" s="3" t="inlineStr">
        <is>
          <t>281.45</t>
        </is>
      </c>
      <c r="O166" t="inlineStr">
        <is>
          <t>Köln</t>
        </is>
      </c>
    </row>
    <row r="167">
      <c r="A167" t="inlineStr">
        <is>
          <t>Neilpryde X9</t>
        </is>
      </c>
      <c r="B167" t="inlineStr">
        <is>
          <t>200-260</t>
        </is>
      </c>
      <c r="C167" t="inlineStr"/>
      <c r="D167" s="4" t="n">
        <v>429</v>
      </c>
      <c r="E167" t="inlineStr">
        <is>
          <t>VB</t>
        </is>
      </c>
      <c r="F167" t="inlineStr">
        <is>
          <t>80639 Neuhausen-Nymphenburg - Neuhausen</t>
        </is>
      </c>
      <c r="G167" s="5" t="n">
        <v>45538</v>
      </c>
      <c r="H167" t="inlineStr"/>
      <c r="I167" s="6">
        <f>HYPERLINK("https://www.kleinanzeigen.de/s-anzeige/neilpryde-x9-200-260cm-inkl-trimmsystem-vario-tampen-gabelbaum/2853709751-230-6420", "Link")</f>
        <v/>
      </c>
      <c r="J167" s="6">
        <f>HYPERLINK("C:\Projects\Kleinanzeigen-Scraper\offer_images\2853709751", "Link")</f>
        <v/>
      </c>
      <c r="K167" t="inlineStr">
        <is>
          <t>Torsten Schade</t>
        </is>
      </c>
      <c r="L167" s="6">
        <f>HYPERLINK("https://www.kleinanzeigen.de/s-bestandsliste.html?userId=9084595", "Link")</f>
        <v/>
      </c>
      <c r="M167" s="7" t="n">
        <v>45549.58053240741</v>
      </c>
      <c r="N167" s="3" t="inlineStr">
        <is>
          <t>4.83</t>
        </is>
      </c>
      <c r="O167" t="inlineStr">
        <is>
          <t>München</t>
        </is>
      </c>
    </row>
    <row r="168">
      <c r="A168" t="inlineStr">
        <is>
          <t>Severne Metal</t>
        </is>
      </c>
      <c r="B168" t="inlineStr">
        <is>
          <t>140-190</t>
        </is>
      </c>
      <c r="C168" t="inlineStr">
        <is>
          <t>2022</t>
        </is>
      </c>
      <c r="D168" s="4" t="n">
        <v>150</v>
      </c>
      <c r="E168" t="inlineStr">
        <is>
          <t>VB</t>
        </is>
      </c>
      <c r="F168" t="inlineStr">
        <is>
          <t>23769 Kreis Ostholstein - Fehmarn</t>
        </is>
      </c>
      <c r="G168" s="5" t="n">
        <v>45539</v>
      </c>
      <c r="H168" t="inlineStr">
        <is>
          <t>Sold</t>
        </is>
      </c>
      <c r="I168" s="6">
        <f>HYPERLINK("https://www.kleinanzeigen.de/s-anzeige/severne-metal-140-190-gabelbaum/2854019528-230-19951", "Link")</f>
        <v/>
      </c>
      <c r="J168" s="6">
        <f>HYPERLINK("C:\Projects\Kleinanzeigen-Scraper\offer_images\2854019528", "Link")</f>
        <v/>
      </c>
      <c r="K168" t="inlineStr">
        <is>
          <t>Hermann</t>
        </is>
      </c>
      <c r="L168" s="6">
        <f>HYPERLINK("https://www.kleinanzeigen.de/s-bestandsliste.html?userId=84019987", "Link")</f>
        <v/>
      </c>
      <c r="M168" s="7" t="n">
        <v>45549.58050925926</v>
      </c>
      <c r="N168" s="3" t="inlineStr">
        <is>
          <t>483.01</t>
        </is>
      </c>
      <c r="O168" t="inlineStr">
        <is>
          <t>Köln</t>
        </is>
      </c>
    </row>
    <row r="169">
      <c r="A169" t="inlineStr">
        <is>
          <t>North Sails progression b</t>
        </is>
      </c>
      <c r="B169" t="inlineStr">
        <is>
          <t>165-215</t>
        </is>
      </c>
      <c r="C169" t="inlineStr"/>
      <c r="D169" s="4" t="n">
        <v>69</v>
      </c>
      <c r="E169" t="inlineStr">
        <is>
          <t>VB</t>
        </is>
      </c>
      <c r="F169" t="inlineStr">
        <is>
          <t>76287 Baden-Württemberg - Rheinstetten</t>
        </is>
      </c>
      <c r="G169" s="5" t="n">
        <v>45548</v>
      </c>
      <c r="H169" t="inlineStr">
        <is>
          <t>Sold</t>
        </is>
      </c>
      <c r="I169" s="6">
        <f>HYPERLINK("https://www.kleinanzeigen.de/s-anzeige/north-sails-progression-b-165-215-gabelbaum-windsurf/2862468425-230-8166", "Link")</f>
        <v/>
      </c>
      <c r="J169" s="6">
        <f>HYPERLINK("C:\Projects\Kleinanzeigen-Scraper\offer_images\2862468425", "Link")</f>
        <v/>
      </c>
      <c r="K169" t="inlineStr">
        <is>
          <t>Dominik</t>
        </is>
      </c>
      <c r="L169" s="6">
        <f>HYPERLINK("https://www.kleinanzeigen.de/s-bestandsliste.html?userId=16948579", "Link")</f>
        <v/>
      </c>
      <c r="M169" s="7" t="n">
        <v>45549.58048611111</v>
      </c>
      <c r="N169" s="3" t="inlineStr">
        <is>
          <t>7.05</t>
        </is>
      </c>
      <c r="O169" t="inlineStr">
        <is>
          <t>Karlsruhe</t>
        </is>
      </c>
    </row>
    <row r="170">
      <c r="A170" t="inlineStr">
        <is>
          <t>Neilpryde</t>
        </is>
      </c>
      <c r="B170" t="inlineStr">
        <is>
          <t>175-225</t>
        </is>
      </c>
      <c r="C170" t="inlineStr"/>
      <c r="D170" s="4" t="n">
        <v>1</v>
      </c>
      <c r="E170" t="inlineStr">
        <is>
          <t>VB</t>
        </is>
      </c>
      <c r="F170" t="inlineStr">
        <is>
          <t>48356 Nordrhein-Westfalen - Nordwalde</t>
        </is>
      </c>
      <c r="G170" s="5" t="n">
        <v>45445</v>
      </c>
      <c r="H170" t="inlineStr">
        <is>
          <t>Sold</t>
        </is>
      </c>
      <c r="I170" s="6">
        <f>HYPERLINK("https://www.kleinanzeigen.de/s-anzeige/neilpryde-gabelbaum-alu175-225/2777456414-230-1313", "Link")</f>
        <v/>
      </c>
      <c r="J170" s="6">
        <f>HYPERLINK("C:\Projects\Kleinanzeigen-Scraper\offer_images\2777456414", "Link")</f>
        <v/>
      </c>
      <c r="K170" t="inlineStr">
        <is>
          <t>Maik</t>
        </is>
      </c>
      <c r="L170" s="6">
        <f>HYPERLINK("https://www.kleinanzeigen.de/s-bestandsliste.html?userId=83300312", "Link")</f>
        <v/>
      </c>
      <c r="M170" s="7" t="n">
        <v>45549.58037037037</v>
      </c>
      <c r="N170" s="3" t="inlineStr">
        <is>
          <t>134.60</t>
        </is>
      </c>
      <c r="O170" t="inlineStr">
        <is>
          <t>Köln</t>
        </is>
      </c>
    </row>
    <row r="171">
      <c r="A171" t="inlineStr">
        <is>
          <t>Fanatic</t>
        </is>
      </c>
      <c r="B171" t="inlineStr"/>
      <c r="C171" t="inlineStr"/>
      <c r="D171" s="4" t="n">
        <v>5</v>
      </c>
      <c r="E171" t="inlineStr">
        <is>
          <t>VB</t>
        </is>
      </c>
      <c r="F171" t="inlineStr">
        <is>
          <t>45699 Nordrhein-Westfalen - Herten</t>
        </is>
      </c>
      <c r="G171" s="5" t="n">
        <v>45529</v>
      </c>
      <c r="H171" t="inlineStr">
        <is>
          <t>Sold</t>
        </is>
      </c>
      <c r="I171" s="6">
        <f>HYPERLINK("https://www.kleinanzeigen.de/s-anzeige/gabelbaum-fanatic/2845861504-230-1832", "Link")</f>
        <v/>
      </c>
      <c r="J171" s="6">
        <f>HYPERLINK("C:\Projects\Kleinanzeigen-Scraper\offer_images\2845861504", "Link")</f>
        <v/>
      </c>
      <c r="K171" t="inlineStr">
        <is>
          <t>V.P.</t>
        </is>
      </c>
      <c r="L171" s="6">
        <f>HYPERLINK("https://www.kleinanzeigen.de/s-bestandsliste.html?userId=10829434", "Link")</f>
        <v/>
      </c>
      <c r="M171" s="7" t="n">
        <v>45549.58019675926</v>
      </c>
      <c r="N171" s="3" t="inlineStr">
        <is>
          <t>73.42</t>
        </is>
      </c>
      <c r="O171" t="inlineStr">
        <is>
          <t>Köln</t>
        </is>
      </c>
    </row>
    <row r="172">
      <c r="A172" t="inlineStr">
        <is>
          <t>Severne</t>
        </is>
      </c>
      <c r="B172" t="inlineStr">
        <is>
          <t>140-190</t>
        </is>
      </c>
      <c r="C172" t="inlineStr"/>
      <c r="D172" s="4" t="n">
        <v>130</v>
      </c>
      <c r="E172" t="inlineStr"/>
      <c r="F172" t="inlineStr">
        <is>
          <t>18057 Rostock - Kröpeliner-Tor-Vorstadt</t>
        </is>
      </c>
      <c r="G172" s="5" t="n">
        <v>45545</v>
      </c>
      <c r="H172" t="inlineStr">
        <is>
          <t>Sold</t>
        </is>
      </c>
      <c r="I172" s="6">
        <f>HYPERLINK("https://www.kleinanzeigen.de/s-anzeige/severne-wave-gabelbaum-1-40-1-90/2859187788-230-156", "Link")</f>
        <v/>
      </c>
      <c r="J172" s="6">
        <f>HYPERLINK("C:\Projects\Kleinanzeigen-Scraper\offer_images\2859187788", "Link")</f>
        <v/>
      </c>
      <c r="K172" t="inlineStr">
        <is>
          <t>Marko</t>
        </is>
      </c>
      <c r="L172" s="6">
        <f>HYPERLINK("https://www.kleinanzeigen.de/s-bestandsliste.html?userId=67116264", "Link")</f>
        <v/>
      </c>
      <c r="M172" s="7" t="n">
        <v>45549.58015046296</v>
      </c>
      <c r="N172" s="3" t="inlineStr">
        <is>
          <t>494.07</t>
        </is>
      </c>
      <c r="O172" t="inlineStr">
        <is>
          <t>Köln</t>
        </is>
      </c>
    </row>
    <row r="173">
      <c r="A173" t="inlineStr">
        <is>
          <t>NEILPRYDE Gabel X3</t>
        </is>
      </c>
      <c r="B173" t="inlineStr">
        <is>
          <t>200-250</t>
        </is>
      </c>
      <c r="C173" t="inlineStr"/>
      <c r="D173" s="4" t="n">
        <v>50</v>
      </c>
      <c r="E173" t="inlineStr">
        <is>
          <t>VB</t>
        </is>
      </c>
      <c r="F173" t="inlineStr">
        <is>
          <t>97944 Baden-Württemberg - Boxberg</t>
        </is>
      </c>
      <c r="G173" s="5" t="n">
        <v>45453</v>
      </c>
      <c r="H173" t="inlineStr"/>
      <c r="I173" s="6">
        <f>HYPERLINK("https://www.kleinanzeigen.de/s-anzeige/neilpryde-gabel-x3-200cm-bis-250cm/2784937040-230-8639", "Link")</f>
        <v/>
      </c>
      <c r="J173" s="6">
        <f>HYPERLINK("C:\Projects\Kleinanzeigen-Scraper\offer_images\2784937040", "Link")</f>
        <v/>
      </c>
      <c r="K173" t="inlineStr">
        <is>
          <t>Bernd Braun</t>
        </is>
      </c>
      <c r="L173" s="6">
        <f>HYPERLINK("https://www.kleinanzeigen.de/s-bestandsliste.html?userId=25080406", "Link")</f>
        <v/>
      </c>
      <c r="M173" s="7" t="n">
        <v>45549.57991898148</v>
      </c>
      <c r="N173" s="3" t="inlineStr">
        <is>
          <t>101.19</t>
        </is>
      </c>
      <c r="O173" t="inlineStr">
        <is>
          <t>Böblingen</t>
        </is>
      </c>
    </row>
    <row r="174">
      <c r="A174" t="inlineStr">
        <is>
          <t>GUN SAILS</t>
        </is>
      </c>
      <c r="B174" t="inlineStr">
        <is>
          <t>170-220</t>
        </is>
      </c>
      <c r="C174" t="inlineStr"/>
      <c r="D174" s="4" t="n">
        <v>45</v>
      </c>
      <c r="E174" t="inlineStr"/>
      <c r="F174" t="inlineStr">
        <is>
          <t>88046 Baden-Württemberg - Friedrichshafen</t>
        </is>
      </c>
      <c r="G174" s="5" t="n">
        <v>45430</v>
      </c>
      <c r="H174" t="inlineStr"/>
      <c r="I174" s="6">
        <f>HYPERLINK("https://www.kleinanzeigen.de/s-anzeige/fuhrpark-ausverkauf-gabelbaum-gun-sails-typ-sdm-170-220-gebraucht/2764626562-230-9214", "Link")</f>
        <v/>
      </c>
      <c r="J174" s="6">
        <f>HYPERLINK("C:\Projects\Kleinanzeigen-Scraper\offer_images\2764626562", "Link")</f>
        <v/>
      </c>
      <c r="K174" t="inlineStr">
        <is>
          <t>Xenia</t>
        </is>
      </c>
      <c r="L174" s="6">
        <f>HYPERLINK("https://www.kleinanzeigen.de/s-bestandsliste.html?userId=66010733", "Link")</f>
        <v/>
      </c>
      <c r="M174" s="7" t="n">
        <v>45549.57987268519</v>
      </c>
      <c r="N174" s="3" t="inlineStr">
        <is>
          <t>88.89</t>
        </is>
      </c>
      <c r="O174" t="inlineStr">
        <is>
          <t>Bonndorf</t>
        </is>
      </c>
    </row>
    <row r="175">
      <c r="A175" t="inlineStr"/>
      <c r="B175" t="inlineStr">
        <is>
          <t>145-205</t>
        </is>
      </c>
      <c r="C175" t="inlineStr"/>
      <c r="D175" s="4" t="n">
        <v>9</v>
      </c>
      <c r="E175" t="inlineStr"/>
      <c r="F175" t="inlineStr">
        <is>
          <t>29410 Sachsen-Anhalt - Salzwedel</t>
        </is>
      </c>
      <c r="G175" s="5" t="n">
        <v>45547</v>
      </c>
      <c r="H175" t="inlineStr">
        <is>
          <t>Sold</t>
        </is>
      </c>
      <c r="I175" s="6">
        <f>HYPERLINK("https://www.kleinanzeigen.de/s-anzeige/gabelbaum-fuer-windsurfer/2861624612-230-2352", "Link")</f>
        <v/>
      </c>
      <c r="J175" s="6">
        <f>HYPERLINK("C:\Projects\Kleinanzeigen-Scraper\offer_images\2861624612", "Link")</f>
        <v/>
      </c>
      <c r="K175" t="inlineStr">
        <is>
          <t>Fischer</t>
        </is>
      </c>
      <c r="L175" s="6">
        <f>HYPERLINK("https://www.kleinanzeigen.de/s-bestandsliste.html?userId=10621363", "Link")</f>
        <v/>
      </c>
      <c r="M175" s="7" t="n">
        <v>45549.57971064815</v>
      </c>
      <c r="N175" s="3" t="inlineStr">
        <is>
          <t>359.91</t>
        </is>
      </c>
      <c r="O175" t="inlineStr">
        <is>
          <t>Köln</t>
        </is>
      </c>
    </row>
    <row r="176">
      <c r="A176" t="inlineStr">
        <is>
          <t>North Sails Gabelbaum Silver HD</t>
        </is>
      </c>
      <c r="B176" t="inlineStr">
        <is>
          <t>200-250</t>
        </is>
      </c>
      <c r="C176" t="inlineStr"/>
      <c r="D176" s="4" t="n">
        <v>80</v>
      </c>
      <c r="E176" t="inlineStr">
        <is>
          <t>VB</t>
        </is>
      </c>
      <c r="F176" t="inlineStr">
        <is>
          <t>89231 Bayern - Neu Ulm</t>
        </is>
      </c>
      <c r="G176" s="5" t="n">
        <v>45536</v>
      </c>
      <c r="H176" t="inlineStr">
        <is>
          <t>Sold</t>
        </is>
      </c>
      <c r="I176" s="6">
        <f>HYPERLINK("https://www.kleinanzeigen.de/s-anzeige/north-sails-gabelbaum-silver-hd-200-250/2851457582-230-6681", "Link")</f>
        <v/>
      </c>
      <c r="J176" s="6">
        <f>HYPERLINK("C:\Projects\Kleinanzeigen-Scraper\offer_images\2851457582", "Link")</f>
        <v/>
      </c>
      <c r="K176" t="inlineStr">
        <is>
          <t>Schmöger</t>
        </is>
      </c>
      <c r="L176" s="6">
        <f>HYPERLINK("https://www.kleinanzeigen.de/s-bestandsliste.html?userId=25027063", "Link")</f>
        <v/>
      </c>
      <c r="M176" s="7" t="n">
        <v>45549.57966435186</v>
      </c>
      <c r="N176" s="3" t="inlineStr">
        <is>
          <t>83.18</t>
        </is>
      </c>
      <c r="O176" t="inlineStr">
        <is>
          <t>Böblingen</t>
        </is>
      </c>
    </row>
    <row r="177">
      <c r="A177" t="inlineStr">
        <is>
          <t>Neilpryde X9</t>
        </is>
      </c>
      <c r="B177" t="inlineStr">
        <is>
          <t>180-230</t>
        </is>
      </c>
      <c r="C177" t="inlineStr"/>
      <c r="D177" s="4" t="n">
        <v>170</v>
      </c>
      <c r="E177" t="inlineStr">
        <is>
          <t>VB</t>
        </is>
      </c>
      <c r="F177" t="inlineStr">
        <is>
          <t>81667 München - Au-Haidhausen</t>
        </is>
      </c>
      <c r="G177" s="5" t="n">
        <v>45524</v>
      </c>
      <c r="H177" t="inlineStr"/>
      <c r="I177" s="6">
        <f>HYPERLINK("https://www.kleinanzeigen.de/s-anzeige/neilpryde-x9-gabelbaum-boom-180-230-mit-trimmsystem-neil-pryde/2841850235-230-6454", "Link")</f>
        <v/>
      </c>
      <c r="J177" s="6">
        <f>HYPERLINK("C:\Projects\Kleinanzeigen-Scraper\offer_images\2841850235", "Link")</f>
        <v/>
      </c>
      <c r="K177" t="inlineStr">
        <is>
          <t>Patrick</t>
        </is>
      </c>
      <c r="L177" s="6">
        <f>HYPERLINK("https://www.kleinanzeigen.de/s-bestandsliste.html?userId=36980025", "Link")</f>
        <v/>
      </c>
      <c r="M177" s="7" t="n">
        <v>45549.57944444445</v>
      </c>
      <c r="N177" s="3" t="inlineStr">
        <is>
          <t>2.06</t>
        </is>
      </c>
      <c r="O177" t="inlineStr">
        <is>
          <t>München</t>
        </is>
      </c>
    </row>
    <row r="178">
      <c r="A178" t="inlineStr">
        <is>
          <t>GunSails Cross</t>
        </is>
      </c>
      <c r="B178" t="inlineStr">
        <is>
          <t>160-210</t>
        </is>
      </c>
      <c r="C178" t="inlineStr"/>
      <c r="D178" s="4" t="n">
        <v>150</v>
      </c>
      <c r="E178" t="inlineStr"/>
      <c r="F178" t="inlineStr">
        <is>
          <t>82178 Bayern - Puchheim</t>
        </is>
      </c>
      <c r="G178" s="5" t="n">
        <v>45548</v>
      </c>
      <c r="H178" t="inlineStr">
        <is>
          <t>Sold</t>
        </is>
      </c>
      <c r="I178" s="6">
        <f>HYPERLINK("https://www.kleinanzeigen.de/s-anzeige/windsurf-gabelbaum-gabel-gunsails-cross-160-210-neuwertig/2862336597-230-5599", "Link")</f>
        <v/>
      </c>
      <c r="J178" s="6">
        <f>HYPERLINK("C:\Projects\Kleinanzeigen-Scraper\offer_images\2862336597", "Link")</f>
        <v/>
      </c>
      <c r="K178" t="inlineStr">
        <is>
          <t>Michael Nanini</t>
        </is>
      </c>
      <c r="L178" s="6">
        <f>HYPERLINK("https://www.kleinanzeigen.de/s-bestandsliste.html?userId=11859414", "Link")</f>
        <v/>
      </c>
      <c r="M178" s="7" t="n">
        <v>45549.57921296296</v>
      </c>
      <c r="N178" s="3" t="inlineStr">
        <is>
          <t>17.38</t>
        </is>
      </c>
      <c r="O178" t="inlineStr">
        <is>
          <t>München</t>
        </is>
      </c>
    </row>
    <row r="179">
      <c r="A179" t="inlineStr">
        <is>
          <t>Duotone Silver Series</t>
        </is>
      </c>
      <c r="B179" t="inlineStr">
        <is>
          <t>150-200</t>
        </is>
      </c>
      <c r="C179" t="inlineStr"/>
      <c r="D179" s="4" t="n">
        <v>40</v>
      </c>
      <c r="E179" t="inlineStr"/>
      <c r="F179" t="inlineStr">
        <is>
          <t>88634 Baden-Württemberg - Herdwangen-Schönach</t>
        </is>
      </c>
      <c r="G179" s="5" t="n">
        <v>45541</v>
      </c>
      <c r="H179" t="inlineStr">
        <is>
          <t>Sold</t>
        </is>
      </c>
      <c r="I179" s="6">
        <f>HYPERLINK("https://www.kleinanzeigen.de/s-anzeige/duotone-gabelbaum-silver-series/2855791914-230-9210", "Link")</f>
        <v/>
      </c>
      <c r="J179" s="6">
        <f>HYPERLINK("C:\Projects\Kleinanzeigen-Scraper\offer_images\2855791914", "Link")</f>
        <v/>
      </c>
      <c r="K179" t="inlineStr">
        <is>
          <t>IvanFRB</t>
        </is>
      </c>
      <c r="L179" s="6">
        <f>HYPERLINK("https://www.kleinanzeigen.de/s-bestandsliste.html?userId=136742388", "Link")</f>
        <v/>
      </c>
      <c r="M179" s="7" t="n">
        <v>45549.57916666667</v>
      </c>
      <c r="N179" s="3" t="inlineStr">
        <is>
          <t>62.58</t>
        </is>
      </c>
      <c r="O179" t="inlineStr">
        <is>
          <t>Bonndorf</t>
        </is>
      </c>
    </row>
    <row r="180">
      <c r="A180" t="inlineStr">
        <is>
          <t>Goya</t>
        </is>
      </c>
      <c r="B180" t="inlineStr">
        <is>
          <t>140-190</t>
        </is>
      </c>
      <c r="C180" t="inlineStr"/>
      <c r="D180" s="4" t="n">
        <v>290</v>
      </c>
      <c r="E180" t="inlineStr">
        <is>
          <t>VB</t>
        </is>
      </c>
      <c r="F180" t="inlineStr">
        <is>
          <t>23554 Schleswig-Holstein - Lübeck</t>
        </is>
      </c>
      <c r="G180" s="5" t="n">
        <v>45515</v>
      </c>
      <c r="H180" t="inlineStr">
        <is>
          <t>Sold</t>
        </is>
      </c>
      <c r="I180" s="6">
        <f>HYPERLINK("https://www.kleinanzeigen.de/s-anzeige/goya-carbon-skinny-gabelbaum-boom-140-190-windsurf/2834838653-230-414", "Link")</f>
        <v/>
      </c>
      <c r="J180" s="6">
        <f>HYPERLINK("C:\Projects\Kleinanzeigen-Scraper\offer_images\2834838653", "Link")</f>
        <v/>
      </c>
      <c r="K180" t="inlineStr">
        <is>
          <t>Phillip</t>
        </is>
      </c>
      <c r="L180" s="6">
        <f>HYPERLINK("https://www.kleinanzeigen.de/s-bestandsliste.html?userId=9940384", "Link")</f>
        <v/>
      </c>
      <c r="M180" s="7" t="n">
        <v>45549.57914351852</v>
      </c>
      <c r="N180" s="3" t="inlineStr">
        <is>
          <t>414.06</t>
        </is>
      </c>
      <c r="O180" t="inlineStr">
        <is>
          <t>Köln</t>
        </is>
      </c>
    </row>
    <row r="181">
      <c r="A181" t="inlineStr">
        <is>
          <t>Neilpryde x5 Wave</t>
        </is>
      </c>
      <c r="B181" t="inlineStr">
        <is>
          <t>145-190</t>
        </is>
      </c>
      <c r="C181" t="inlineStr"/>
      <c r="D181" s="4" t="n">
        <v>40</v>
      </c>
      <c r="E181" t="inlineStr"/>
      <c r="F181" t="inlineStr">
        <is>
          <t>41468 Nordrhein-Westfalen - Neuss</t>
        </is>
      </c>
      <c r="G181" s="5" t="n">
        <v>45514</v>
      </c>
      <c r="H181" t="inlineStr"/>
      <c r="I181" s="6">
        <f>HYPERLINK("https://www.kleinanzeigen.de/s-anzeige/gabelbaum-neilpryde-x5-wave-145-190/2833319682-230-2112", "Link")</f>
        <v/>
      </c>
      <c r="J181" s="6">
        <f>HYPERLINK("C:\Projects\Kleinanzeigen-Scraper\offer_images\2833319682", "Link")</f>
        <v/>
      </c>
      <c r="K181" t="inlineStr">
        <is>
          <t>Familie H</t>
        </is>
      </c>
      <c r="L181" s="6">
        <f>HYPERLINK("https://www.kleinanzeigen.de/s-bestandsliste.html?userId=38602523", "Link")</f>
        <v/>
      </c>
      <c r="M181" s="7" t="n">
        <v>45549.57899305555</v>
      </c>
      <c r="N181" s="3" t="inlineStr">
        <is>
          <t>27.78</t>
        </is>
      </c>
      <c r="O181" t="inlineStr">
        <is>
          <t>Köln</t>
        </is>
      </c>
    </row>
    <row r="182">
      <c r="A182" t="inlineStr">
        <is>
          <t>Point 7</t>
        </is>
      </c>
      <c r="B182" t="inlineStr">
        <is>
          <t>220-270</t>
        </is>
      </c>
      <c r="C182" t="inlineStr"/>
      <c r="D182" s="4" t="n">
        <v>315</v>
      </c>
      <c r="E182" t="inlineStr">
        <is>
          <t>VB</t>
        </is>
      </c>
      <c r="F182" t="inlineStr">
        <is>
          <t>24105 Schleswig-Holstein - Kiel</t>
        </is>
      </c>
      <c r="G182" s="5" t="n">
        <v>45525</v>
      </c>
      <c r="H182" t="inlineStr"/>
      <c r="I182" s="6">
        <f>HYPERLINK("https://www.kleinanzeigen.de/s-anzeige/point-7-carbon-gabelbaum-220-270/2843056459-230-708", "Link")</f>
        <v/>
      </c>
      <c r="J182" s="6">
        <f>HYPERLINK("C:\Projects\Kleinanzeigen-Scraper\offer_images\2843056459", "Link")</f>
        <v/>
      </c>
      <c r="K182" t="inlineStr">
        <is>
          <t>Privat</t>
        </is>
      </c>
      <c r="L182" s="6">
        <f>HYPERLINK("https://www.kleinanzeigen.de/s-bestandsliste.html?userId=4366576", "Link")</f>
        <v/>
      </c>
      <c r="M182" s="7" t="n">
        <v>45549.57896990741</v>
      </c>
      <c r="N182" s="3" t="inlineStr">
        <is>
          <t>435.05</t>
        </is>
      </c>
      <c r="O182" t="inlineStr">
        <is>
          <t>Köln</t>
        </is>
      </c>
    </row>
    <row r="183">
      <c r="A183" t="inlineStr">
        <is>
          <t>Severne Enigma</t>
        </is>
      </c>
      <c r="B183" t="inlineStr">
        <is>
          <t>190-240</t>
        </is>
      </c>
      <c r="C183" t="inlineStr"/>
      <c r="D183" s="4" t="n">
        <v>825</v>
      </c>
      <c r="E183" t="inlineStr">
        <is>
          <t>VB</t>
        </is>
      </c>
      <c r="F183" t="inlineStr">
        <is>
          <t>48485 Nordrhein-Westfalen - Neuenkirchen</t>
        </is>
      </c>
      <c r="G183" s="5" t="n">
        <v>45510</v>
      </c>
      <c r="H183" t="inlineStr"/>
      <c r="I183" s="6">
        <f>HYPERLINK("https://www.kleinanzeigen.de/s-anzeige/severne-enigma-carbon-race-gabelbaum/2830889311-230-18634", "Link")</f>
        <v/>
      </c>
      <c r="J183" s="6">
        <f>HYPERLINK("C:\Projects\Kleinanzeigen-Scraper\offer_images\2830889311", "Link")</f>
        <v/>
      </c>
      <c r="K183" t="inlineStr">
        <is>
          <t>Christoph Stegemann</t>
        </is>
      </c>
      <c r="L183" s="6">
        <f>HYPERLINK("https://www.kleinanzeigen.de/s-bestandsliste.html?userId=22726963", "Link")</f>
        <v/>
      </c>
      <c r="M183" s="7" t="n">
        <v>45549.57896990741</v>
      </c>
      <c r="N183" s="3" t="inlineStr">
        <is>
          <t>146.15</t>
        </is>
      </c>
      <c r="O183" t="inlineStr">
        <is>
          <t>Köln</t>
        </is>
      </c>
    </row>
    <row r="184">
      <c r="A184" t="inlineStr">
        <is>
          <t>Severne Enigma</t>
        </is>
      </c>
      <c r="B184" t="inlineStr">
        <is>
          <t>200-260</t>
        </is>
      </c>
      <c r="C184" t="inlineStr"/>
      <c r="D184" s="4" t="n">
        <v>350</v>
      </c>
      <c r="E184" t="inlineStr">
        <is>
          <t>VB</t>
        </is>
      </c>
      <c r="F184" t="inlineStr">
        <is>
          <t>88662 Baden-Württemberg - Überlingen</t>
        </is>
      </c>
      <c r="G184" s="5" t="n">
        <v>45518</v>
      </c>
      <c r="H184" t="inlineStr"/>
      <c r="I184" s="6">
        <f>HYPERLINK("https://www.kleinanzeigen.de/s-anzeige/severne-enigma-200-260/2836479337-230-9207", "Link")</f>
        <v/>
      </c>
      <c r="J184" s="6">
        <f>HYPERLINK("C:\Projects\Kleinanzeigen-Scraper\offer_images\2836479337", "Link")</f>
        <v/>
      </c>
      <c r="K184" t="inlineStr">
        <is>
          <t>Helmut Jäger</t>
        </is>
      </c>
      <c r="L184" s="6">
        <f>HYPERLINK("https://www.kleinanzeigen.de/s-bestandsliste.html?userId=24135496", "Link")</f>
        <v/>
      </c>
      <c r="M184" s="7" t="n">
        <v>45549.57895833333</v>
      </c>
      <c r="N184" s="3" t="inlineStr">
        <is>
          <t>60.60</t>
        </is>
      </c>
      <c r="O184" t="inlineStr">
        <is>
          <t>Bonndorf</t>
        </is>
      </c>
    </row>
    <row r="185">
      <c r="A185" t="inlineStr">
        <is>
          <t>North Silver Series HD</t>
        </is>
      </c>
      <c r="B185" t="inlineStr"/>
      <c r="C185" t="inlineStr"/>
      <c r="D185" s="4" t="n">
        <v>50</v>
      </c>
      <c r="E185" t="inlineStr"/>
      <c r="F185" t="inlineStr">
        <is>
          <t>15230 Brandenburg - Frankfurt (Oder)</t>
        </is>
      </c>
      <c r="G185" s="5" t="n">
        <v>45538</v>
      </c>
      <c r="H185" t="inlineStr">
        <is>
          <t>Sold</t>
        </is>
      </c>
      <c r="I185" s="6">
        <f>HYPERLINK("https://www.kleinanzeigen.de/s-anzeige/north-silver-series-hd-surfgabel/2853742516-230-7956", "Link")</f>
        <v/>
      </c>
      <c r="J185" s="6">
        <f>HYPERLINK("C:\Projects\Kleinanzeigen-Scraper\offer_images\2853742516", "Link")</f>
        <v/>
      </c>
      <c r="K185" t="inlineStr">
        <is>
          <t>Carsten Spiegel</t>
        </is>
      </c>
      <c r="L185" s="6">
        <f>HYPERLINK("https://www.kleinanzeigen.de/s-bestandsliste.html?userId=3294246", "Link")</f>
        <v/>
      </c>
      <c r="M185" s="7" t="n">
        <v>45549.57893518519</v>
      </c>
      <c r="N185" s="3" t="inlineStr">
        <is>
          <t>512.87</t>
        </is>
      </c>
      <c r="O185" t="inlineStr">
        <is>
          <t>München</t>
        </is>
      </c>
    </row>
    <row r="186">
      <c r="A186" t="inlineStr">
        <is>
          <t>North Sails</t>
        </is>
      </c>
      <c r="B186" t="inlineStr">
        <is>
          <t>160-210</t>
        </is>
      </c>
      <c r="C186" t="inlineStr"/>
      <c r="D186" s="4" t="n">
        <v>25</v>
      </c>
      <c r="E186" t="inlineStr">
        <is>
          <t>VB</t>
        </is>
      </c>
      <c r="F186" t="inlineStr">
        <is>
          <t>85368 Bayern - Moosburg a.d. Isar</t>
        </is>
      </c>
      <c r="G186" s="5" t="n">
        <v>45544</v>
      </c>
      <c r="H186" t="inlineStr">
        <is>
          <t>Sold</t>
        </is>
      </c>
      <c r="I186" s="6">
        <f>HYPERLINK("https://www.kleinanzeigen.de/s-anzeige/gebrauchter-gabelbaum-von-north-sails/2858255312-230-6540", "Link")</f>
        <v/>
      </c>
      <c r="J186" s="6">
        <f>HYPERLINK("C:\Projects\Kleinanzeigen-Scraper\offer_images\2858255312", "Link")</f>
        <v/>
      </c>
      <c r="K186" t="inlineStr">
        <is>
          <t>Fam. Werner</t>
        </is>
      </c>
      <c r="L186" s="6">
        <f>HYPERLINK("https://www.kleinanzeigen.de/s-bestandsliste.html?userId=8987959", "Link")</f>
        <v/>
      </c>
      <c r="M186" s="7" t="n">
        <v>45549.57873842592</v>
      </c>
      <c r="N186" s="3" t="inlineStr">
        <is>
          <t>46.07</t>
        </is>
      </c>
      <c r="O186" t="inlineStr">
        <is>
          <t>München</t>
        </is>
      </c>
    </row>
    <row r="187">
      <c r="A187" t="inlineStr">
        <is>
          <t>Neilpryde X6</t>
        </is>
      </c>
      <c r="B187" t="inlineStr">
        <is>
          <t>180-230</t>
        </is>
      </c>
      <c r="C187" t="inlineStr"/>
      <c r="D187" s="4" t="n">
        <v>90</v>
      </c>
      <c r="E187" t="inlineStr"/>
      <c r="F187" t="inlineStr">
        <is>
          <t>82178 Bayern - Puchheim</t>
        </is>
      </c>
      <c r="G187" s="5" t="n">
        <v>45549</v>
      </c>
      <c r="H187" t="inlineStr"/>
      <c r="I187" s="6">
        <f>HYPERLINK("https://www.kleinanzeigen.de/s-anzeige/neilpryde-x6-180-230-cm-hybrid-carbon-windsurf-gabelbaum/2862678613-230-5599", "Link")</f>
        <v/>
      </c>
      <c r="J187" s="6">
        <f>HYPERLINK("C:\Projects\Kleinanzeigen-Scraper\offer_images\2862678613", "Link")</f>
        <v/>
      </c>
      <c r="K187" t="inlineStr">
        <is>
          <t>Michael Nanini</t>
        </is>
      </c>
      <c r="L187" s="6">
        <f>HYPERLINK("https://www.kleinanzeigen.de/s-bestandsliste.html?userId=11859414", "Link")</f>
        <v/>
      </c>
      <c r="M187" s="7" t="n">
        <v>45549.5787037037</v>
      </c>
      <c r="N187" s="3" t="inlineStr">
        <is>
          <t>17.38</t>
        </is>
      </c>
      <c r="O187" t="inlineStr">
        <is>
          <t>München</t>
        </is>
      </c>
    </row>
    <row r="188">
      <c r="A188" t="inlineStr">
        <is>
          <t>211/Goya Horizontal 220AR</t>
        </is>
      </c>
      <c r="B188" t="inlineStr">
        <is>
          <t>170-220</t>
        </is>
      </c>
      <c r="C188" t="inlineStr"/>
      <c r="D188" s="4" t="n">
        <v>40</v>
      </c>
      <c r="E188" t="inlineStr"/>
      <c r="F188" t="inlineStr">
        <is>
          <t>53639 Nordrhein-Westfalen - Königswinter</t>
        </is>
      </c>
      <c r="G188" s="5" t="n">
        <v>45438</v>
      </c>
      <c r="H188" t="inlineStr"/>
      <c r="I188" s="6">
        <f>HYPERLINK("https://www.kleinanzeigen.de/s-anzeige/211-goya-horizontal-220ar-gabelbaum-alu-170-220cm/2771457823-230-1686", "Link")</f>
        <v/>
      </c>
      <c r="J188" s="6">
        <f>HYPERLINK("C:\Projects\Kleinanzeigen-Scraper\offer_images\2771457823", "Link")</f>
        <v/>
      </c>
      <c r="K188" t="inlineStr">
        <is>
          <t>L.K.</t>
        </is>
      </c>
      <c r="L188" s="6">
        <f>HYPERLINK("https://www.kleinanzeigen.de/s-bestandsliste.html?userId=3361211", "Link")</f>
        <v/>
      </c>
      <c r="M188" s="7" t="n">
        <v>45549.57833333333</v>
      </c>
      <c r="N188" s="3" t="inlineStr">
        <is>
          <t>34.94</t>
        </is>
      </c>
      <c r="O188" t="inlineStr">
        <is>
          <t>Köln</t>
        </is>
      </c>
    </row>
    <row r="189">
      <c r="A189" t="inlineStr"/>
      <c r="B189" t="inlineStr">
        <is>
          <t>170</t>
        </is>
      </c>
      <c r="C189" t="inlineStr"/>
      <c r="D189" s="4" t="n">
        <v>25</v>
      </c>
      <c r="E189" t="inlineStr"/>
      <c r="F189" t="inlineStr">
        <is>
          <t>44137 Dortmund - Innenstadt-West</t>
        </is>
      </c>
      <c r="G189" s="5" t="n">
        <v>45548</v>
      </c>
      <c r="H189" t="inlineStr">
        <is>
          <t>Sold</t>
        </is>
      </c>
      <c r="I189" s="6">
        <f>HYPERLINK("https://www.kleinanzeigen.de/s-anzeige/gabel-gabelbaum-boom-alu-windsurf-zum-windsurfen-170-cm-fix/2861764121-230-1110", "Link")</f>
        <v/>
      </c>
      <c r="J189" s="6">
        <f>HYPERLINK("C:\Projects\Kleinanzeigen-Scraper\offer_images\2861764121", "Link")</f>
        <v/>
      </c>
      <c r="K189" t="inlineStr">
        <is>
          <t>Ingvar</t>
        </is>
      </c>
      <c r="L189" s="6">
        <f>HYPERLINK("https://www.kleinanzeigen.de/s-bestandsliste.html?userId=3151838", "Link")</f>
        <v/>
      </c>
      <c r="M189" s="7" t="n">
        <v>45549.57833333333</v>
      </c>
      <c r="N189" s="3" t="inlineStr">
        <is>
          <t>71.86</t>
        </is>
      </c>
      <c r="O189" t="inlineStr">
        <is>
          <t>Köln</t>
        </is>
      </c>
    </row>
    <row r="190">
      <c r="A190" t="inlineStr">
        <is>
          <t>Mystic</t>
        </is>
      </c>
      <c r="B190" t="inlineStr">
        <is>
          <t>180-230</t>
        </is>
      </c>
      <c r="C190" t="inlineStr"/>
      <c r="D190" s="4" t="n">
        <v>40</v>
      </c>
      <c r="E190" t="inlineStr"/>
      <c r="F190" t="inlineStr">
        <is>
          <t>04279 Leipzig - Dölitz-Dösen</t>
        </is>
      </c>
      <c r="G190" s="5" t="n">
        <v>45543</v>
      </c>
      <c r="H190" t="inlineStr"/>
      <c r="I190" s="6">
        <f>HYPERLINK("https://www.kleinanzeigen.de/s-anzeige/gabelbaum-mystic-180-230-no-neilpryde-gun-f2-north/2857472514-230-4264", "Link")</f>
        <v/>
      </c>
      <c r="J190" s="6">
        <f>HYPERLINK("C:\Projects\Kleinanzeigen-Scraper\offer_images\2857472514", "Link")</f>
        <v/>
      </c>
      <c r="K190" t="inlineStr">
        <is>
          <t>Sammler</t>
        </is>
      </c>
      <c r="L190" s="6">
        <f>HYPERLINK("https://www.kleinanzeigen.de/s-bestandsliste.html?userId=23034636", "Link")</f>
        <v/>
      </c>
      <c r="M190" s="7" t="n">
        <v>45549.5780787037</v>
      </c>
      <c r="N190" s="3" t="inlineStr">
        <is>
          <t>356.18</t>
        </is>
      </c>
      <c r="O190" t="inlineStr">
        <is>
          <t>München</t>
        </is>
      </c>
    </row>
    <row r="191">
      <c r="A191" t="inlineStr">
        <is>
          <t>Severne Metal</t>
        </is>
      </c>
      <c r="B191" t="inlineStr">
        <is>
          <t>160-210</t>
        </is>
      </c>
      <c r="C191" t="inlineStr"/>
      <c r="D191" s="4" t="n">
        <v>170</v>
      </c>
      <c r="E191" t="inlineStr">
        <is>
          <t>VB</t>
        </is>
      </c>
      <c r="F191" t="inlineStr">
        <is>
          <t>85055 Bayern - Ingolstadt</t>
        </is>
      </c>
      <c r="G191" s="5" t="n">
        <v>45286</v>
      </c>
      <c r="H191" t="inlineStr">
        <is>
          <t>Sold</t>
        </is>
      </c>
      <c r="I191" s="6">
        <f>HYPERLINK("https://www.kleinanzeigen.de/s-anzeige/windsurfgabel-von-severne-160-210/2636510198-230-7613", "Link")</f>
        <v/>
      </c>
      <c r="J191" s="6">
        <f>HYPERLINK("C:\Projects\Kleinanzeigen-Scraper\offer_images\2636510198", "Link")</f>
        <v/>
      </c>
      <c r="K191" t="inlineStr">
        <is>
          <t>Martin</t>
        </is>
      </c>
      <c r="L191" s="6">
        <f>HYPERLINK("https://www.kleinanzeigen.de/s-bestandsliste.html?userId=10720718", "Link")</f>
        <v/>
      </c>
      <c r="M191" s="7" t="n">
        <v>45549.5780787037</v>
      </c>
      <c r="N191" s="3" t="inlineStr">
        <is>
          <t>73.53</t>
        </is>
      </c>
      <c r="O191" t="inlineStr">
        <is>
          <t>München</t>
        </is>
      </c>
    </row>
    <row r="192">
      <c r="A192" t="inlineStr"/>
      <c r="B192" t="inlineStr">
        <is>
          <t>150-170</t>
        </is>
      </c>
      <c r="C192" t="inlineStr"/>
      <c r="D192" s="4" t="n">
        <v>30</v>
      </c>
      <c r="E192" t="inlineStr"/>
      <c r="F192" t="inlineStr">
        <is>
          <t>44137 Dortmund - Innenstadt-West</t>
        </is>
      </c>
      <c r="G192" s="5" t="n">
        <v>45548</v>
      </c>
      <c r="H192" t="inlineStr">
        <is>
          <t>Sold</t>
        </is>
      </c>
      <c r="I192" s="6">
        <f>HYPERLINK("https://www.kleinanzeigen.de/s-anzeige/gabel-gabelbaum-boom-alu-windsurf-zum-windsurfen-150-170-cm/2861763381-230-1110", "Link")</f>
        <v/>
      </c>
      <c r="J192" s="6">
        <f>HYPERLINK("C:\Projects\Kleinanzeigen-Scraper\offer_images\2861763381", "Link")</f>
        <v/>
      </c>
      <c r="K192" t="inlineStr">
        <is>
          <t>Ingvar</t>
        </is>
      </c>
      <c r="L192" s="6">
        <f>HYPERLINK("https://www.kleinanzeigen.de/s-bestandsliste.html?userId=3151838", "Link")</f>
        <v/>
      </c>
      <c r="M192" s="7" t="n">
        <v>45549.57798611111</v>
      </c>
      <c r="N192" s="3" t="inlineStr">
        <is>
          <t>71.86</t>
        </is>
      </c>
      <c r="O192" t="inlineStr">
        <is>
          <t>Köln</t>
        </is>
      </c>
    </row>
    <row r="193">
      <c r="A193" t="inlineStr">
        <is>
          <t>Gun Sail Select</t>
        </is>
      </c>
      <c r="B193" t="inlineStr">
        <is>
          <t>180-240</t>
        </is>
      </c>
      <c r="C193" t="inlineStr"/>
      <c r="D193" s="4" t="n">
        <v>300</v>
      </c>
      <c r="E193" t="inlineStr"/>
      <c r="F193" t="inlineStr">
        <is>
          <t>51377 Nordrhein-Westfalen - Leverkusen</t>
        </is>
      </c>
      <c r="G193" s="5" t="n">
        <v>45510</v>
      </c>
      <c r="H193" t="inlineStr">
        <is>
          <t>Sold</t>
        </is>
      </c>
      <c r="I193" s="6">
        <f>HYPERLINK("https://www.kleinanzeigen.de/s-anzeige/gun-sail-select-180-240-boom-100-carbon/2830827462-230-1992", "Link")</f>
        <v/>
      </c>
      <c r="J193" s="6">
        <f>HYPERLINK("C:\Projects\Kleinanzeigen-Scraper\offer_images\2830827462", "Link")</f>
        <v/>
      </c>
      <c r="K193" t="inlineStr">
        <is>
          <t>Jan</t>
        </is>
      </c>
      <c r="L193" s="6">
        <f>HYPERLINK("https://www.kleinanzeigen.de/s-bestandsliste.html?userId=3530011", "Link")</f>
        <v/>
      </c>
      <c r="M193" s="7" t="n">
        <v>45549.57783564815</v>
      </c>
      <c r="N193" s="3" t="inlineStr">
        <is>
          <t>15.33</t>
        </is>
      </c>
      <c r="O193" t="inlineStr">
        <is>
          <t>Köln</t>
        </is>
      </c>
    </row>
    <row r="194">
      <c r="A194" t="inlineStr">
        <is>
          <t>Duotone Slick Boom Platinum SLS</t>
        </is>
      </c>
      <c r="B194" t="inlineStr"/>
      <c r="C194" t="inlineStr"/>
      <c r="D194" s="4" t="n">
        <v>165</v>
      </c>
      <c r="E194" t="inlineStr"/>
      <c r="F194" t="inlineStr">
        <is>
          <t>82205 Bayern - Gilching</t>
        </is>
      </c>
      <c r="G194" s="5" t="n">
        <v>45552</v>
      </c>
      <c r="H194" t="inlineStr">
        <is>
          <t>Sold</t>
        </is>
      </c>
      <c r="I194" s="6">
        <f>HYPERLINK("https://www.kleinanzeigen.de/s-anzeige/neuer-duotone-slick-boom-platinum-sls-leicht-wing-foil-slick/2858233247-230-15740", "Link")</f>
        <v/>
      </c>
      <c r="J194" s="6">
        <f>HYPERLINK("C:\Projects\Kleinanzeigen-Scraper\offer_images\2858233247", "Link")</f>
        <v/>
      </c>
      <c r="K194" t="inlineStr">
        <is>
          <t>Stefan</t>
        </is>
      </c>
      <c r="L194" s="6">
        <f>HYPERLINK("https://www.kleinanzeigen.de/s-bestandsliste.html?userId=17207831", "Link")</f>
        <v/>
      </c>
      <c r="M194" s="7" t="n">
        <v>45549.57775462963</v>
      </c>
      <c r="N194" s="3" t="inlineStr">
        <is>
          <t>23.04</t>
        </is>
      </c>
      <c r="O194" t="inlineStr">
        <is>
          <t>München</t>
        </is>
      </c>
    </row>
    <row r="195">
      <c r="A195" t="inlineStr">
        <is>
          <t>Gun sails Experte</t>
        </is>
      </c>
      <c r="B195" t="inlineStr">
        <is>
          <t>180-230</t>
        </is>
      </c>
      <c r="C195" t="inlineStr"/>
      <c r="D195" s="4" t="n">
        <v>90</v>
      </c>
      <c r="E195" t="inlineStr"/>
      <c r="F195" t="inlineStr">
        <is>
          <t>51377 Nordrhein-Westfalen - Leverkusen</t>
        </is>
      </c>
      <c r="G195" s="5" t="n">
        <v>45510</v>
      </c>
      <c r="H195" t="inlineStr">
        <is>
          <t>Sold</t>
        </is>
      </c>
      <c r="I195" s="6">
        <f>HYPERLINK("https://www.kleinanzeigen.de/s-anzeige/gun-sails-experte-180-230-hybrid-boom/2830830295-230-1992", "Link")</f>
        <v/>
      </c>
      <c r="J195" s="6">
        <f>HYPERLINK("C:\Projects\Kleinanzeigen-Scraper\offer_images\2830830295", "Link")</f>
        <v/>
      </c>
      <c r="K195" t="inlineStr">
        <is>
          <t>Jan</t>
        </is>
      </c>
      <c r="L195" s="6">
        <f>HYPERLINK("https://www.kleinanzeigen.de/s-bestandsliste.html?userId=3530011", "Link")</f>
        <v/>
      </c>
      <c r="M195" s="7" t="n">
        <v>45549.57770833333</v>
      </c>
      <c r="N195" s="3" t="inlineStr">
        <is>
          <t>15.33</t>
        </is>
      </c>
      <c r="O195" t="inlineStr">
        <is>
          <t>Köln</t>
        </is>
      </c>
    </row>
    <row r="196">
      <c r="A196" t="inlineStr"/>
      <c r="B196" t="inlineStr">
        <is>
          <t>140-190</t>
        </is>
      </c>
      <c r="C196" t="inlineStr"/>
      <c r="D196" s="4" t="n">
        <v>40</v>
      </c>
      <c r="E196" t="inlineStr"/>
      <c r="F196" t="inlineStr">
        <is>
          <t>44137 Dortmund - Innenstadt-West</t>
        </is>
      </c>
      <c r="G196" s="5" t="n">
        <v>45548</v>
      </c>
      <c r="H196" t="inlineStr">
        <is>
          <t>Sold</t>
        </is>
      </c>
      <c r="I196" s="6">
        <f>HYPERLINK("https://www.kleinanzeigen.de/s-anzeige/gabel-gabelbaum-boom-alu-windsurf-zum-windsurfen-140-190-cm/2861758125-230-1110", "Link")</f>
        <v/>
      </c>
      <c r="J196" s="6">
        <f>HYPERLINK("C:\Projects\Kleinanzeigen-Scraper\offer_images\2861758125", "Link")</f>
        <v/>
      </c>
      <c r="K196" t="inlineStr">
        <is>
          <t>Ingvar</t>
        </is>
      </c>
      <c r="L196" s="6">
        <f>HYPERLINK("https://www.kleinanzeigen.de/s-bestandsliste.html?userId=3151838", "Link")</f>
        <v/>
      </c>
      <c r="M196" s="7" t="n">
        <v>45549.57716435185</v>
      </c>
      <c r="N196" s="3" t="inlineStr">
        <is>
          <t>71.86</t>
        </is>
      </c>
      <c r="O196" t="inlineStr">
        <is>
          <t>Köln</t>
        </is>
      </c>
    </row>
    <row r="197">
      <c r="A197" t="inlineStr">
        <is>
          <t>North Sails Progression Comp A+</t>
        </is>
      </c>
      <c r="B197" t="inlineStr">
        <is>
          <t>150-200</t>
        </is>
      </c>
      <c r="C197" t="inlineStr"/>
      <c r="D197" s="4" t="n">
        <v>30</v>
      </c>
      <c r="E197" t="inlineStr">
        <is>
          <t>VB</t>
        </is>
      </c>
      <c r="F197" t="inlineStr">
        <is>
          <t>41366 Nordrhein-Westfalen - Schwalmtal</t>
        </is>
      </c>
      <c r="G197" s="5" t="n">
        <v>45547</v>
      </c>
      <c r="H197" t="inlineStr">
        <is>
          <t>Sold</t>
        </is>
      </c>
      <c r="I197" s="6">
        <f>HYPERLINK("https://www.kleinanzeigen.de/s-anzeige/north-sails-gabelbaum-150-200-inkl-rdm-adapter/2861523275-230-1192", "Link")</f>
        <v/>
      </c>
      <c r="J197" s="6">
        <f>HYPERLINK("C:\Projects\Kleinanzeigen-Scraper\offer_images\2861523275", "Link")</f>
        <v/>
      </c>
      <c r="K197" t="inlineStr">
        <is>
          <t>Frank</t>
        </is>
      </c>
      <c r="L197" s="6">
        <f>HYPERLINK("https://www.kleinanzeigen.de/s-bestandsliste.html?userId=22733854", "Link")</f>
        <v/>
      </c>
      <c r="M197" s="7" t="n">
        <v>45549.57704861111</v>
      </c>
      <c r="N197" s="3" t="inlineStr">
        <is>
          <t>57.21</t>
        </is>
      </c>
      <c r="O197" t="inlineStr">
        <is>
          <t>Köln</t>
        </is>
      </c>
    </row>
    <row r="198">
      <c r="A198" t="inlineStr">
        <is>
          <t>Severne Alu Race</t>
        </is>
      </c>
      <c r="B198" t="inlineStr">
        <is>
          <t>190-240</t>
        </is>
      </c>
      <c r="C198" t="inlineStr"/>
      <c r="D198" s="4" t="n">
        <v>150</v>
      </c>
      <c r="E198" t="inlineStr"/>
      <c r="F198" t="inlineStr">
        <is>
          <t>26129 Niedersachsen - Oldenburg</t>
        </is>
      </c>
      <c r="G198" s="5" t="n">
        <v>45508</v>
      </c>
      <c r="H198" t="inlineStr"/>
      <c r="I198" s="6">
        <f>HYPERLINK("https://www.kleinanzeigen.de/s-anzeige/severne-alu-race-190-240-cm-gabelbaum-windurf-boom-starboard/2829069310-230-3113", "Link")</f>
        <v/>
      </c>
      <c r="J198" s="6">
        <f>HYPERLINK("C:\Projects\Kleinanzeigen-Scraper\offer_images\2829069310", "Link")</f>
        <v/>
      </c>
      <c r="K198" t="inlineStr">
        <is>
          <t>Stefan</t>
        </is>
      </c>
      <c r="L198" s="6">
        <f>HYPERLINK("https://www.kleinanzeigen.de/s-bestandsliste.html?userId=4116163", "Link")</f>
        <v/>
      </c>
      <c r="M198" s="7" t="n">
        <v>45549.57696759259</v>
      </c>
      <c r="N198" s="3" t="inlineStr">
        <is>
          <t>259.47</t>
        </is>
      </c>
      <c r="O198" t="inlineStr">
        <is>
          <t>Köln</t>
        </is>
      </c>
    </row>
    <row r="199">
      <c r="A199" t="inlineStr">
        <is>
          <t>Severne</t>
        </is>
      </c>
      <c r="B199" t="inlineStr">
        <is>
          <t>150-200</t>
        </is>
      </c>
      <c r="C199" t="inlineStr"/>
      <c r="D199" s="4" t="n">
        <v>50</v>
      </c>
      <c r="E199" t="inlineStr">
        <is>
          <t>VB</t>
        </is>
      </c>
      <c r="F199" t="inlineStr">
        <is>
          <t>87561 Bayern - Oberstdorf</t>
        </is>
      </c>
      <c r="G199" s="5" t="n">
        <v>45524</v>
      </c>
      <c r="H199" t="inlineStr"/>
      <c r="I199" s="6">
        <f>HYPERLINK("https://www.kleinanzeigen.de/s-anzeige/severne-gabelbaum-windsurf/2842144232-230-5529", "Link")</f>
        <v/>
      </c>
      <c r="J199" s="6">
        <f>HYPERLINK("C:\Projects\Kleinanzeigen-Scraper\offer_images\2842144232", "Link")</f>
        <v/>
      </c>
      <c r="K199" t="inlineStr">
        <is>
          <t>Sina Vogler</t>
        </is>
      </c>
      <c r="L199" s="6">
        <f>HYPERLINK("https://www.kleinanzeigen.de/s-bestandsliste.html?userId=66897733", "Link")</f>
        <v/>
      </c>
      <c r="M199" s="7" t="n">
        <v>45549.57694444444</v>
      </c>
      <c r="N199" s="3" t="inlineStr">
        <is>
          <t>128.77</t>
        </is>
      </c>
      <c r="O199" t="inlineStr">
        <is>
          <t>München</t>
        </is>
      </c>
    </row>
    <row r="200">
      <c r="A200" t="inlineStr">
        <is>
          <t>Gun Sails Cross</t>
        </is>
      </c>
      <c r="B200" t="inlineStr">
        <is>
          <t>140-180</t>
        </is>
      </c>
      <c r="C200" t="inlineStr"/>
      <c r="D200" s="4" t="n">
        <v>40</v>
      </c>
      <c r="E200" t="inlineStr"/>
      <c r="F200" t="inlineStr">
        <is>
          <t>86169 Bayern - Augsburg</t>
        </is>
      </c>
      <c r="G200" s="5" t="n">
        <v>45269</v>
      </c>
      <c r="H200" t="inlineStr">
        <is>
          <t>Sold</t>
        </is>
      </c>
      <c r="I200" s="6">
        <f>HYPERLINK("https://www.kleinanzeigen.de/s-anzeige/windsurf-gabelbaum-40-gun-sails/2624894670-230-7524", "Link")</f>
        <v/>
      </c>
      <c r="J200" s="6">
        <f>HYPERLINK("C:\Projects\Kleinanzeigen-Scraper\offer_images\2624894670", "Link")</f>
        <v/>
      </c>
      <c r="K200" t="inlineStr">
        <is>
          <t>Ulf Geier</t>
        </is>
      </c>
      <c r="L200" s="6">
        <f>HYPERLINK("https://www.kleinanzeigen.de/s-bestandsliste.html?userId=56105770", "Link")</f>
        <v/>
      </c>
      <c r="M200" s="7" t="n">
        <v>45549.57677083334</v>
      </c>
      <c r="N200" s="3" t="inlineStr">
        <is>
          <t>58.53</t>
        </is>
      </c>
      <c r="O200" t="inlineStr">
        <is>
          <t>München</t>
        </is>
      </c>
    </row>
    <row r="201">
      <c r="A201" t="inlineStr">
        <is>
          <t>Neilpryde X-C</t>
        </is>
      </c>
      <c r="B201" t="inlineStr">
        <is>
          <t>160-220</t>
        </is>
      </c>
      <c r="C201" t="inlineStr">
        <is>
          <t>2022</t>
        </is>
      </c>
      <c r="D201" s="4" t="n">
        <v>450</v>
      </c>
      <c r="E201" t="inlineStr">
        <is>
          <t>VB</t>
        </is>
      </c>
      <c r="F201" t="inlineStr">
        <is>
          <t>82211 Bayern - Herrsching</t>
        </is>
      </c>
      <c r="G201" s="5" t="n">
        <v>45514</v>
      </c>
      <c r="H201" t="inlineStr"/>
      <c r="I201" s="6">
        <f>HYPERLINK("https://www.kleinanzeigen.de/s-anzeige/neilpryde-x-c-carbon-boom-gabelbaum-160-220cm/2833727128-230-5520", "Link")</f>
        <v/>
      </c>
      <c r="J201" s="6">
        <f>HYPERLINK("C:\Projects\Kleinanzeigen-Scraper\offer_images\2833727128", "Link")</f>
        <v/>
      </c>
      <c r="K201" t="inlineStr">
        <is>
          <t>Oliver</t>
        </is>
      </c>
      <c r="L201" s="6">
        <f>HYPERLINK("https://www.kleinanzeigen.de/s-bestandsliste.html?userId=17846362", "Link")</f>
        <v/>
      </c>
      <c r="M201" s="7" t="n">
        <v>45549.57677083334</v>
      </c>
      <c r="N201" s="3" t="inlineStr">
        <is>
          <t>32.73</t>
        </is>
      </c>
      <c r="O201" t="inlineStr">
        <is>
          <t>München</t>
        </is>
      </c>
    </row>
    <row r="202">
      <c r="A202" t="inlineStr">
        <is>
          <t>NeilPryde X3</t>
        </is>
      </c>
      <c r="B202" t="inlineStr">
        <is>
          <t>140-190</t>
        </is>
      </c>
      <c r="C202" t="inlineStr"/>
      <c r="D202" s="4" t="n">
        <v>70</v>
      </c>
      <c r="E202" t="inlineStr">
        <is>
          <t>VB</t>
        </is>
      </c>
      <c r="F202" t="inlineStr">
        <is>
          <t>27432 Niedersachsen - Bremervörde</t>
        </is>
      </c>
      <c r="G202" s="5" t="n">
        <v>45499</v>
      </c>
      <c r="H202" t="inlineStr"/>
      <c r="I202" s="6">
        <f>HYPERLINK("https://www.kleinanzeigen.de/s-anzeige/neilpryde-boom-gabelbaum-x3-140-190-cm/2821668952-230-2706", "Link")</f>
        <v/>
      </c>
      <c r="J202" s="6">
        <f>HYPERLINK("C:\Projects\Kleinanzeigen-Scraper\offer_images\2821668952", "Link")</f>
        <v/>
      </c>
      <c r="K202" t="inlineStr">
        <is>
          <t>Marco</t>
        </is>
      </c>
      <c r="L202" s="6">
        <f>HYPERLINK("https://www.kleinanzeigen.de/s-bestandsliste.html?userId=3512346", "Link")</f>
        <v/>
      </c>
      <c r="M202" s="7" t="n">
        <v>45549.57663194444</v>
      </c>
      <c r="N202" s="3" t="inlineStr">
        <is>
          <t>320.34</t>
        </is>
      </c>
      <c r="O202" t="inlineStr">
        <is>
          <t>Köln</t>
        </is>
      </c>
    </row>
    <row r="203">
      <c r="A203" t="inlineStr">
        <is>
          <t>Point 7 Carbon+ Pro</t>
        </is>
      </c>
      <c r="B203" t="inlineStr">
        <is>
          <t>190-240</t>
        </is>
      </c>
      <c r="C203" t="inlineStr"/>
      <c r="D203" s="4" t="n">
        <v>420</v>
      </c>
      <c r="E203" t="inlineStr"/>
      <c r="F203" t="inlineStr">
        <is>
          <t>83395 Bayern - Freilassing</t>
        </is>
      </c>
      <c r="G203" s="5" t="n">
        <v>45479</v>
      </c>
      <c r="H203" t="inlineStr">
        <is>
          <t>Sold</t>
        </is>
      </c>
      <c r="I203" s="6">
        <f>HYPERLINK("https://www.kleinanzeigen.de/s-anzeige/point-7-carbon-pro-boom-gabelbaum-190-240-super-zustand/2805638863-230-6273", "Link")</f>
        <v/>
      </c>
      <c r="J203" s="6">
        <f>HYPERLINK("C:\Projects\Kleinanzeigen-Scraper\offer_images\2805638863", "Link")</f>
        <v/>
      </c>
      <c r="K203" t="inlineStr">
        <is>
          <t>Christoph Oberschneider</t>
        </is>
      </c>
      <c r="L203" s="6">
        <f>HYPERLINK("https://www.kleinanzeigen.de/s-bestandsliste.html?userId=37798439", "Link")</f>
        <v/>
      </c>
      <c r="M203" s="7" t="n">
        <v>45549.57657407408</v>
      </c>
      <c r="N203" s="3" t="inlineStr">
        <is>
          <t>108.85</t>
        </is>
      </c>
      <c r="O203" t="inlineStr">
        <is>
          <t>München</t>
        </is>
      </c>
    </row>
    <row r="204">
      <c r="A204" t="inlineStr">
        <is>
          <t>Neilpryde Pro Wave</t>
        </is>
      </c>
      <c r="B204" t="inlineStr">
        <is>
          <t>150-190</t>
        </is>
      </c>
      <c r="C204" t="inlineStr"/>
      <c r="D204" s="4" t="n">
        <v>20</v>
      </c>
      <c r="E204" t="inlineStr"/>
      <c r="F204" t="inlineStr">
        <is>
          <t>84359 Bayern - Simbach</t>
        </is>
      </c>
      <c r="G204" s="5" t="n">
        <v>45515</v>
      </c>
      <c r="H204" t="inlineStr"/>
      <c r="I204" s="6">
        <f>HYPERLINK("https://www.kleinanzeigen.de/s-anzeige/gabelbaum-pro-wave-neilpryde-integratedrig-150-190/2834033114-230-5919", "Link")</f>
        <v/>
      </c>
      <c r="J204" s="6">
        <f>HYPERLINK("C:\Projects\Kleinanzeigen-Scraper\offer_images\2834033114", "Link")</f>
        <v/>
      </c>
      <c r="K204" t="inlineStr">
        <is>
          <t>Valdemar</t>
        </is>
      </c>
      <c r="L204" s="6">
        <f>HYPERLINK("https://www.kleinanzeigen.de/s-bestandsliste.html?userId=125200742", "Link")</f>
        <v/>
      </c>
      <c r="M204" s="7" t="n">
        <v>45549.57625</v>
      </c>
      <c r="N204" s="3" t="inlineStr">
        <is>
          <t>108.68</t>
        </is>
      </c>
      <c r="O204" t="inlineStr">
        <is>
          <t>München</t>
        </is>
      </c>
    </row>
    <row r="205">
      <c r="A205" t="inlineStr">
        <is>
          <t>Point-7 Carbon+Pro Boom</t>
        </is>
      </c>
      <c r="B205" t="inlineStr">
        <is>
          <t>220-270</t>
        </is>
      </c>
      <c r="C205" t="inlineStr"/>
      <c r="D205" s="4" t="n">
        <v>770</v>
      </c>
      <c r="E205" t="inlineStr"/>
      <c r="F205" t="inlineStr">
        <is>
          <t>22047 Wandsbek - Gartenstadt</t>
        </is>
      </c>
      <c r="G205" s="5" t="n">
        <v>44736</v>
      </c>
      <c r="H205" t="inlineStr"/>
      <c r="I205" s="6">
        <f>HYPERLINK("https://www.kleinanzeigen.de/s-anzeige/gabelbaum-point-7-carbon-pro-boom-neu-ovp-eingeschweist/2140509372-230-17622", "Link")</f>
        <v/>
      </c>
      <c r="J205" s="6">
        <f>HYPERLINK("C:\Projects\Kleinanzeigen-Scraper\offer_images\2140509372", "Link")</f>
        <v/>
      </c>
      <c r="K205" t="inlineStr">
        <is>
          <t>Susann</t>
        </is>
      </c>
      <c r="L205" s="6">
        <f>HYPERLINK("https://www.kleinanzeigen.de/s-bestandsliste.html?userId=1162786", "Link")</f>
        <v/>
      </c>
      <c r="M205" s="7" t="n">
        <v>45549.57625</v>
      </c>
      <c r="N205" s="3" t="inlineStr">
        <is>
          <t>364.13</t>
        </is>
      </c>
      <c r="O205" t="inlineStr">
        <is>
          <t>Köln</t>
        </is>
      </c>
    </row>
    <row r="206">
      <c r="A206" t="inlineStr">
        <is>
          <t>Gun Sails Cross</t>
        </is>
      </c>
      <c r="B206" t="inlineStr">
        <is>
          <t>160-210, 180-230, 200-250</t>
        </is>
      </c>
      <c r="C206" t="inlineStr"/>
      <c r="D206" s="4" t="n">
        <v>95</v>
      </c>
      <c r="E206" t="inlineStr"/>
      <c r="F206" t="inlineStr">
        <is>
          <t>39326 Sachsen-Anhalt - Glindenberg</t>
        </is>
      </c>
      <c r="G206" s="5" t="n">
        <v>45543</v>
      </c>
      <c r="H206" t="inlineStr"/>
      <c r="I206" s="6">
        <f>HYPERLINK("https://www.kleinanzeigen.de/s-anzeige/gun-sails-cross-gabelbaum-verschiedene-groessen-siehe-text/2857901593-230-17274", "Link")</f>
        <v/>
      </c>
      <c r="J206" s="6">
        <f>HYPERLINK("C:\Projects\Kleinanzeigen-Scraper\offer_images\2857901593", "Link")</f>
        <v/>
      </c>
      <c r="K206" t="inlineStr">
        <is>
          <t>Axel</t>
        </is>
      </c>
      <c r="L206" s="6">
        <f>HYPERLINK("https://www.kleinanzeigen.de/s-bestandsliste.html?userId=47636366", "Link")</f>
        <v/>
      </c>
      <c r="M206" s="7" t="n">
        <v>45549.57589120371</v>
      </c>
      <c r="N206" s="3" t="inlineStr">
        <is>
          <t>355.25</t>
        </is>
      </c>
      <c r="O206" t="inlineStr">
        <is>
          <t>Köln</t>
        </is>
      </c>
    </row>
    <row r="207">
      <c r="A207" t="inlineStr">
        <is>
          <t>Point 7</t>
        </is>
      </c>
      <c r="B207" t="inlineStr">
        <is>
          <t>210-260</t>
        </is>
      </c>
      <c r="C207" t="inlineStr"/>
      <c r="D207" s="4" t="n">
        <v>550</v>
      </c>
      <c r="E207" t="inlineStr">
        <is>
          <t>VB</t>
        </is>
      </c>
      <c r="F207" t="inlineStr">
        <is>
          <t>88045 Baden-Württemberg - Friedrichshafen</t>
        </is>
      </c>
      <c r="G207" s="5" t="n">
        <v>45518</v>
      </c>
      <c r="H207" t="inlineStr"/>
      <c r="I207" s="6">
        <f>HYPERLINK("https://www.kleinanzeigen.de/s-anzeige/point-7-pro-carbon-gabelbaum-210-260-point-7-wie-duotone-platinum/2836662354-230-9213", "Link")</f>
        <v/>
      </c>
      <c r="J207" s="6">
        <f>HYPERLINK("C:\Projects\Kleinanzeigen-Scraper\offer_images\2836662354", "Link")</f>
        <v/>
      </c>
      <c r="K207" t="inlineStr">
        <is>
          <t>Surfer</t>
        </is>
      </c>
      <c r="L207" s="6">
        <f>HYPERLINK("https://www.kleinanzeigen.de/s-bestandsliste.html?userId=89230679", "Link")</f>
        <v/>
      </c>
      <c r="M207" s="7" t="n">
        <v>45549.57559027777</v>
      </c>
      <c r="N207" s="3" t="inlineStr">
        <is>
          <t>85.70</t>
        </is>
      </c>
      <c r="O207" t="inlineStr">
        <is>
          <t>Bonndorf</t>
        </is>
      </c>
    </row>
    <row r="208">
      <c r="A208" t="inlineStr">
        <is>
          <t>Gun Slalom Pro</t>
        </is>
      </c>
      <c r="B208" t="inlineStr">
        <is>
          <t>195-240</t>
        </is>
      </c>
      <c r="C208" t="inlineStr"/>
      <c r="D208" s="4" t="n">
        <v>60</v>
      </c>
      <c r="E208" t="inlineStr"/>
      <c r="F208" t="inlineStr">
        <is>
          <t>44137 Dortmund - Innenstadt-West</t>
        </is>
      </c>
      <c r="G208" s="5" t="n">
        <v>45548</v>
      </c>
      <c r="H208" t="inlineStr">
        <is>
          <t>Sold</t>
        </is>
      </c>
      <c r="I208" s="6">
        <f>HYPERLINK("https://www.kleinanzeigen.de/s-anzeige/gabel-gabelbaum-boom-alu-windsurf-zum-windsurfen-195-240-cm/2861759934-230-1110", "Link")</f>
        <v/>
      </c>
      <c r="J208" s="6">
        <f>HYPERLINK("C:\Projects\Kleinanzeigen-Scraper\offer_images\2861759934", "Link")</f>
        <v/>
      </c>
      <c r="K208" t="inlineStr">
        <is>
          <t>Ingvar</t>
        </is>
      </c>
      <c r="L208" s="6">
        <f>HYPERLINK("https://www.kleinanzeigen.de/s-bestandsliste.html?userId=3151838", "Link")</f>
        <v/>
      </c>
      <c r="M208" s="7" t="n">
        <v>45549.57556712963</v>
      </c>
      <c r="N208" s="3" t="inlineStr">
        <is>
          <t>71.86</t>
        </is>
      </c>
      <c r="O208" t="inlineStr">
        <is>
          <t>Köln</t>
        </is>
      </c>
    </row>
    <row r="209">
      <c r="A209" t="inlineStr">
        <is>
          <t>Neilpryde X3</t>
        </is>
      </c>
      <c r="B209" t="inlineStr">
        <is>
          <t>180-230</t>
        </is>
      </c>
      <c r="C209" t="inlineStr"/>
      <c r="D209" s="4" t="n">
        <v>50</v>
      </c>
      <c r="E209" t="inlineStr">
        <is>
          <t>VB</t>
        </is>
      </c>
      <c r="F209" t="inlineStr">
        <is>
          <t>92442 Bayern - Wackersdorf</t>
        </is>
      </c>
      <c r="G209" s="5" t="n">
        <v>45505</v>
      </c>
      <c r="H209" t="inlineStr">
        <is>
          <t>Sold</t>
        </is>
      </c>
      <c r="I209" s="6">
        <f>HYPERLINK("https://www.kleinanzeigen.de/s-anzeige/gabelbaum-neilpryde-x3-aluminium-180-230/2826628920-230-5746", "Link")</f>
        <v/>
      </c>
      <c r="J209" s="6">
        <f>HYPERLINK("C:\Projects\Kleinanzeigen-Scraper\offer_images\2826628920", "Link")</f>
        <v/>
      </c>
      <c r="K209" t="inlineStr">
        <is>
          <t>Cornelia</t>
        </is>
      </c>
      <c r="L209" s="6">
        <f>HYPERLINK("https://www.kleinanzeigen.de/s-bestandsliste.html?userId=72603512", "Link")</f>
        <v/>
      </c>
      <c r="M209" s="7" t="n">
        <v>45549.57553240741</v>
      </c>
      <c r="N209" s="3" t="inlineStr">
        <is>
          <t>137.33</t>
        </is>
      </c>
      <c r="O209" t="inlineStr">
        <is>
          <t>München</t>
        </is>
      </c>
    </row>
    <row r="210">
      <c r="A210" t="inlineStr">
        <is>
          <t>NeilPryde X6</t>
        </is>
      </c>
      <c r="B210" t="inlineStr">
        <is>
          <t>145-195</t>
        </is>
      </c>
      <c r="C210" t="inlineStr"/>
      <c r="D210" s="4" t="n">
        <v>90</v>
      </c>
      <c r="E210" t="inlineStr"/>
      <c r="F210" t="inlineStr">
        <is>
          <t>85301 Bayern - Schweitenkirchen</t>
        </is>
      </c>
      <c r="G210" s="5" t="n">
        <v>45478</v>
      </c>
      <c r="H210" t="inlineStr">
        <is>
          <t>Sold</t>
        </is>
      </c>
      <c r="I210" s="6">
        <f>HYPERLINK("https://www.kleinanzeigen.de/s-anzeige/neilpryde-x6-gabelbaum-windsurf-carbongabel-145-195-hybrid/2804542434-230-5847", "Link")</f>
        <v/>
      </c>
      <c r="J210" s="6">
        <f>HYPERLINK("C:\Projects\Kleinanzeigen-Scraper\offer_images\2804542434", "Link")</f>
        <v/>
      </c>
      <c r="K210" t="inlineStr">
        <is>
          <t>Michael Laußer</t>
        </is>
      </c>
      <c r="L210" s="6">
        <f>HYPERLINK("https://www.kleinanzeigen.de/s-bestandsliste.html?userId=6669985", "Link")</f>
        <v/>
      </c>
      <c r="M210" s="7" t="n">
        <v>45549.57553240741</v>
      </c>
      <c r="N210" s="3" t="inlineStr">
        <is>
          <t>43.29</t>
        </is>
      </c>
      <c r="O210" t="inlineStr">
        <is>
          <t>München</t>
        </is>
      </c>
    </row>
    <row r="211">
      <c r="A211" t="inlineStr">
        <is>
          <t>Goya</t>
        </is>
      </c>
      <c r="B211" t="inlineStr">
        <is>
          <t>120-170</t>
        </is>
      </c>
      <c r="C211" t="inlineStr"/>
      <c r="D211" s="4" t="n">
        <v>50</v>
      </c>
      <c r="E211" t="inlineStr"/>
      <c r="F211" t="inlineStr">
        <is>
          <t>85661 Bayern - Forstinning</t>
        </is>
      </c>
      <c r="G211" s="5" t="n">
        <v>45511</v>
      </c>
      <c r="H211" t="inlineStr"/>
      <c r="I211" s="6">
        <f>HYPERLINK("https://www.kleinanzeigen.de/s-anzeige/goya-surf-boom-120-170-junior-kids/2831078909-230-6580", "Link")</f>
        <v/>
      </c>
      <c r="J211" s="6">
        <f>HYPERLINK("C:\Projects\Kleinanzeigen-Scraper\offer_images\2831078909", "Link")</f>
        <v/>
      </c>
      <c r="K211" t="inlineStr">
        <is>
          <t>Marion</t>
        </is>
      </c>
      <c r="L211" s="6">
        <f>HYPERLINK("https://www.kleinanzeigen.de/s-bestandsliste.html?userId=9893242", "Link")</f>
        <v/>
      </c>
      <c r="M211" s="7" t="n">
        <v>45549.57506944444</v>
      </c>
      <c r="N211" s="3" t="inlineStr">
        <is>
          <t>25.53</t>
        </is>
      </c>
      <c r="O211" t="inlineStr">
        <is>
          <t>München</t>
        </is>
      </c>
    </row>
    <row r="212">
      <c r="A212" t="inlineStr">
        <is>
          <t>Neilpryde</t>
        </is>
      </c>
      <c r="B212" t="inlineStr">
        <is>
          <t>135-185</t>
        </is>
      </c>
      <c r="C212" t="inlineStr"/>
      <c r="D212" s="4" t="n">
        <v>55</v>
      </c>
      <c r="E212" t="inlineStr">
        <is>
          <t>VB</t>
        </is>
      </c>
      <c r="F212" t="inlineStr">
        <is>
          <t>45219 Essen - Essen-Kettwig</t>
        </is>
      </c>
      <c r="G212" s="5" t="n">
        <v>45520</v>
      </c>
      <c r="H212" t="inlineStr"/>
      <c r="I212" s="6">
        <f>HYPERLINK("https://www.kleinanzeigen.de/s-anzeige/neilpryde-gabelbaum-x3/2837942065-230-2040", "Link")</f>
        <v/>
      </c>
      <c r="J212" s="6">
        <f>HYPERLINK("C:\Projects\Kleinanzeigen-Scraper\offer_images\2837942065", "Link")</f>
        <v/>
      </c>
      <c r="K212" t="inlineStr">
        <is>
          <t>Neuse</t>
        </is>
      </c>
      <c r="L212" s="6">
        <f>HYPERLINK("https://www.kleinanzeigen.de/s-bestandsliste.html?userId=38287071", "Link")</f>
        <v/>
      </c>
      <c r="M212" s="7" t="n">
        <v>45549.57506944444</v>
      </c>
      <c r="N212" s="3" t="inlineStr">
        <is>
          <t>47.62</t>
        </is>
      </c>
      <c r="O212" t="inlineStr">
        <is>
          <t>Köln</t>
        </is>
      </c>
    </row>
    <row r="213">
      <c r="A213" t="inlineStr">
        <is>
          <t>Gun Sails Race</t>
        </is>
      </c>
      <c r="B213" t="inlineStr">
        <is>
          <t>200-250</t>
        </is>
      </c>
      <c r="C213" t="inlineStr"/>
      <c r="D213" s="4" t="n">
        <v>40</v>
      </c>
      <c r="E213" t="inlineStr">
        <is>
          <t>VB</t>
        </is>
      </c>
      <c r="F213" t="inlineStr">
        <is>
          <t>83209 Bayern - Prien</t>
        </is>
      </c>
      <c r="G213" s="5" t="n">
        <v>45500</v>
      </c>
      <c r="H213" t="inlineStr">
        <is>
          <t>Sold</t>
        </is>
      </c>
      <c r="I213" s="6">
        <f>HYPERLINK("https://www.kleinanzeigen.de/s-anzeige/gabelbaum-gun-sails-race-200-250-cm-mit-schothorn-trimm-system/2822067639-230-7561", "Link")</f>
        <v/>
      </c>
      <c r="J213" s="6">
        <f>HYPERLINK("C:\Projects\Kleinanzeigen-Scraper\offer_images\2822067639", "Link")</f>
        <v/>
      </c>
      <c r="K213" t="inlineStr">
        <is>
          <t>Stephan Würmser</t>
        </is>
      </c>
      <c r="L213" s="6">
        <f>HYPERLINK("https://www.kleinanzeigen.de/s-bestandsliste.html?userId=53533329", "Link")</f>
        <v/>
      </c>
      <c r="M213" s="7" t="n">
        <v>45549.5750462963</v>
      </c>
      <c r="N213" s="3" t="inlineStr">
        <is>
          <t>68.56</t>
        </is>
      </c>
      <c r="O213" t="inlineStr">
        <is>
          <t>München</t>
        </is>
      </c>
    </row>
    <row r="214">
      <c r="A214" t="inlineStr">
        <is>
          <t>Neilpryde XF Wave</t>
        </is>
      </c>
      <c r="B214" t="inlineStr">
        <is>
          <t>160-220</t>
        </is>
      </c>
      <c r="C214" t="inlineStr"/>
      <c r="D214" s="4" t="n">
        <v>160</v>
      </c>
      <c r="E214" t="inlineStr">
        <is>
          <t>VB</t>
        </is>
      </c>
      <c r="F214" t="inlineStr">
        <is>
          <t>80634 Neuhausen-Nymphenburg - Neuhausen</t>
        </is>
      </c>
      <c r="G214" s="5" t="n">
        <v>45532</v>
      </c>
      <c r="H214" t="inlineStr">
        <is>
          <t>Sold</t>
        </is>
      </c>
      <c r="I214" s="6">
        <f>HYPERLINK("https://www.kleinanzeigen.de/s-anzeige/neilpryde-gabelbaum-alu-xf-wave-160-220/2848619540-230-6424", "Link")</f>
        <v/>
      </c>
      <c r="J214" s="6">
        <f>HYPERLINK("C:\Projects\Kleinanzeigen-Scraper\offer_images\2848619540", "Link")</f>
        <v/>
      </c>
      <c r="K214" t="inlineStr">
        <is>
          <t>Andrea</t>
        </is>
      </c>
      <c r="L214" s="6">
        <f>HYPERLINK("https://www.kleinanzeigen.de/s-bestandsliste.html?userId=12854773", "Link")</f>
        <v/>
      </c>
      <c r="M214" s="7" t="n">
        <v>45549.5750462963</v>
      </c>
      <c r="N214" s="3" t="inlineStr">
        <is>
          <t>3.43</t>
        </is>
      </c>
      <c r="O214" t="inlineStr">
        <is>
          <t>München</t>
        </is>
      </c>
    </row>
    <row r="215">
      <c r="A215" t="inlineStr">
        <is>
          <t>Neilpryde Carbon Race Boom</t>
        </is>
      </c>
      <c r="B215" t="inlineStr">
        <is>
          <t>200</t>
        </is>
      </c>
      <c r="C215" t="inlineStr"/>
      <c r="D215" s="4" t="n">
        <v>620</v>
      </c>
      <c r="E215" t="inlineStr">
        <is>
          <t>VB</t>
        </is>
      </c>
      <c r="F215" t="inlineStr">
        <is>
          <t>72141 Baden-Württemberg - Walddorfhäslach</t>
        </is>
      </c>
      <c r="G215" s="5" t="n">
        <v>45520</v>
      </c>
      <c r="H215" t="inlineStr"/>
      <c r="I215" s="6">
        <f>HYPERLINK("https://www.kleinanzeigen.de/s-anzeige/neilpryde-carbon-race-boom-200/2838399241-230-8891", "Link")</f>
        <v/>
      </c>
      <c r="J215" s="6">
        <f>HYPERLINK("C:\Projects\Kleinanzeigen-Scraper\offer_images\2838399241", "Link")</f>
        <v/>
      </c>
      <c r="K215" t="inlineStr">
        <is>
          <t>Katharina &amp; Jan</t>
        </is>
      </c>
      <c r="L215" s="6">
        <f>HYPERLINK("https://www.kleinanzeigen.de/s-bestandsliste.html?userId=5363487", "Link")</f>
        <v/>
      </c>
      <c r="M215" s="7" t="n">
        <v>45549.575</v>
      </c>
      <c r="N215" s="3" t="inlineStr">
        <is>
          <t>16.87</t>
        </is>
      </c>
      <c r="O215" t="inlineStr">
        <is>
          <t>Böblingen</t>
        </is>
      </c>
    </row>
    <row r="216">
      <c r="A216" t="inlineStr">
        <is>
          <t>Duotone Black Series</t>
        </is>
      </c>
      <c r="B216" t="inlineStr">
        <is>
          <t>140-190</t>
        </is>
      </c>
      <c r="C216" t="inlineStr"/>
      <c r="D216" s="4" t="n">
        <v>40</v>
      </c>
      <c r="E216" t="inlineStr"/>
      <c r="F216" t="inlineStr">
        <is>
          <t>88634 Baden-Württemberg - Herdwangen-Schönach</t>
        </is>
      </c>
      <c r="G216" s="5" t="n">
        <v>45541</v>
      </c>
      <c r="H216" t="inlineStr">
        <is>
          <t>Sold</t>
        </is>
      </c>
      <c r="I216" s="6">
        <f>HYPERLINK("https://www.kleinanzeigen.de/s-anzeige/duotone-black-series/2855776843-230-9210", "Link")</f>
        <v/>
      </c>
      <c r="J216" s="6">
        <f>HYPERLINK("C:\Projects\Kleinanzeigen-Scraper\offer_images\2855776843", "Link")</f>
        <v/>
      </c>
      <c r="K216" t="inlineStr">
        <is>
          <t>IvanFRB</t>
        </is>
      </c>
      <c r="L216" s="6">
        <f>HYPERLINK("https://www.kleinanzeigen.de/s-bestandsliste.html?userId=136742388", "Link")</f>
        <v/>
      </c>
      <c r="M216" s="7" t="n">
        <v>45549.57497685185</v>
      </c>
      <c r="N216" s="3" t="inlineStr">
        <is>
          <t>62.58</t>
        </is>
      </c>
      <c r="O216" t="inlineStr">
        <is>
          <t>Bonndorf</t>
        </is>
      </c>
    </row>
    <row r="217">
      <c r="A217" t="inlineStr">
        <is>
          <t>North Sails</t>
        </is>
      </c>
      <c r="B217" t="inlineStr">
        <is>
          <t>150-200</t>
        </is>
      </c>
      <c r="C217" t="inlineStr"/>
      <c r="D217" s="4" t="inlineStr"/>
      <c r="E217" t="inlineStr">
        <is>
          <t>VB</t>
        </is>
      </c>
      <c r="F217" t="inlineStr">
        <is>
          <t>87463 Bayern - Dietmannsried</t>
        </is>
      </c>
      <c r="G217" s="5" t="n">
        <v>45538</v>
      </c>
      <c r="H217" t="inlineStr">
        <is>
          <t>Sold</t>
        </is>
      </c>
      <c r="I217" s="6">
        <f>HYPERLINK("https://www.kleinanzeigen.de/s-anzeige/north-sails-alu-gabelbaum-150-200-cm-in-schwarz-weiss/2853646718-230-7623", "Link")</f>
        <v/>
      </c>
      <c r="J217" s="6">
        <f>HYPERLINK("C:\Projects\Kleinanzeigen-Scraper\offer_images\2853646718", "Link")</f>
        <v/>
      </c>
      <c r="K217" t="inlineStr">
        <is>
          <t>Jasmin</t>
        </is>
      </c>
      <c r="L217" s="6">
        <f>HYPERLINK("https://www.kleinanzeigen.de/s-bestandsliste.html?userId=17169396", "Link")</f>
        <v/>
      </c>
      <c r="M217" s="7" t="n">
        <v>45549.57491898148</v>
      </c>
      <c r="N217" s="3" t="inlineStr">
        <is>
          <t>102.25</t>
        </is>
      </c>
      <c r="O217" t="inlineStr">
        <is>
          <t>München</t>
        </is>
      </c>
    </row>
    <row r="218">
      <c r="A218" t="inlineStr">
        <is>
          <t>North</t>
        </is>
      </c>
      <c r="B218" t="inlineStr">
        <is>
          <t>140-190</t>
        </is>
      </c>
      <c r="C218" t="inlineStr"/>
      <c r="D218" s="4" t="inlineStr">
        <is>
          <t>Zu verschenken</t>
        </is>
      </c>
      <c r="E218" t="inlineStr"/>
      <c r="F218" t="inlineStr">
        <is>
          <t>22339 Hamburg-Nord - Hamburg Fuhlsbüttel</t>
        </is>
      </c>
      <c r="G218" s="5" t="n">
        <v>45548</v>
      </c>
      <c r="H218" t="inlineStr">
        <is>
          <t>Sold</t>
        </is>
      </c>
      <c r="I218" s="6">
        <f>HYPERLINK("https://www.kleinanzeigen.de/s-anzeige/gabelbaum-north-140-190-alu/2861820199-230-9478", "Link")</f>
        <v/>
      </c>
      <c r="J218" s="6">
        <f>HYPERLINK("C:\Projects\Kleinanzeigen-Scraper\offer_images\2861820199", "Link")</f>
        <v/>
      </c>
      <c r="K218" t="inlineStr">
        <is>
          <t>Max</t>
        </is>
      </c>
      <c r="L218" s="6">
        <f>HYPERLINK("https://www.kleinanzeigen.de/s-bestandsliste.html?userId=44634351", "Link")</f>
        <v/>
      </c>
      <c r="M218" s="7" t="n">
        <v>45549.57481481481</v>
      </c>
      <c r="N218" s="3" t="inlineStr">
        <is>
          <t>366.73</t>
        </is>
      </c>
      <c r="O218" t="inlineStr">
        <is>
          <t>Köln</t>
        </is>
      </c>
    </row>
    <row r="219">
      <c r="A219" t="inlineStr">
        <is>
          <t>GUN SAILS</t>
        </is>
      </c>
      <c r="B219" t="inlineStr">
        <is>
          <t>140</t>
        </is>
      </c>
      <c r="C219" t="inlineStr"/>
      <c r="D219" s="4" t="n">
        <v>170</v>
      </c>
      <c r="E219" t="inlineStr"/>
      <c r="F219" t="inlineStr">
        <is>
          <t>78462 Baden-Württemberg - Konstanz</t>
        </is>
      </c>
      <c r="G219" s="5" t="n">
        <v>45378</v>
      </c>
      <c r="H219" t="inlineStr"/>
      <c r="I219" s="6">
        <f>HYPERLINK("https://www.kleinanzeigen.de/s-anzeige/garbon-gabelbaum-boom-gun-sails-endstueck-140-select/2718917242-230-9390", "Link")</f>
        <v/>
      </c>
      <c r="J219" s="6">
        <f>HYPERLINK("C:\Projects\Kleinanzeigen-Scraper\offer_images\2718917242", "Link")</f>
        <v/>
      </c>
      <c r="K219" t="inlineStr">
        <is>
          <t>Timo</t>
        </is>
      </c>
      <c r="L219" s="6">
        <f>HYPERLINK("https://www.kleinanzeigen.de/s-bestandsliste.html?userId=16083478", "Link")</f>
        <v/>
      </c>
      <c r="M219" s="7" t="n">
        <v>45549.574375</v>
      </c>
      <c r="N219" s="3" t="inlineStr">
        <is>
          <t>64.75</t>
        </is>
      </c>
      <c r="O219" t="inlineStr">
        <is>
          <t>Bonndorf</t>
        </is>
      </c>
    </row>
    <row r="220">
      <c r="A220" t="inlineStr">
        <is>
          <t>Rrd</t>
        </is>
      </c>
      <c r="B220" t="inlineStr">
        <is>
          <t>175-235</t>
        </is>
      </c>
      <c r="C220" t="inlineStr"/>
      <c r="D220" s="4" t="n">
        <v>55</v>
      </c>
      <c r="E220" t="inlineStr">
        <is>
          <t>VB</t>
        </is>
      </c>
      <c r="F220" t="inlineStr">
        <is>
          <t>82549 Bayern - Königsdorf</t>
        </is>
      </c>
      <c r="G220" s="5" t="n">
        <v>45497</v>
      </c>
      <c r="H220" t="inlineStr">
        <is>
          <t>Sold</t>
        </is>
      </c>
      <c r="I220" s="6">
        <f>HYPERLINK("https://www.kleinanzeigen.de/s-anzeige/masthabel-rrd-175-235/2819924812-230-6331", "Link")</f>
        <v/>
      </c>
      <c r="J220" s="6">
        <f>HYPERLINK("C:\Projects\Kleinanzeigen-Scraper\offer_images\2819924812", "Link")</f>
        <v/>
      </c>
      <c r="K220" t="inlineStr">
        <is>
          <t>Angelika Zuleger</t>
        </is>
      </c>
      <c r="L220" s="6">
        <f>HYPERLINK("https://www.kleinanzeigen.de/s-bestandsliste.html?userId=60167365", "Link")</f>
        <v/>
      </c>
      <c r="M220" s="7" t="n">
        <v>45549.574375</v>
      </c>
      <c r="N220" s="3" t="inlineStr">
        <is>
          <t>36.23</t>
        </is>
      </c>
      <c r="O220" t="inlineStr">
        <is>
          <t>München</t>
        </is>
      </c>
    </row>
    <row r="221">
      <c r="A221" t="inlineStr">
        <is>
          <t>Unifiber Aluminium Entry</t>
        </is>
      </c>
      <c r="B221" t="inlineStr">
        <is>
          <t>160-210</t>
        </is>
      </c>
      <c r="C221" t="inlineStr"/>
      <c r="D221" s="4" t="n">
        <v>135</v>
      </c>
      <c r="E221" t="inlineStr"/>
      <c r="F221" t="inlineStr">
        <is>
          <t>82319 Bayern - Starnberg</t>
        </is>
      </c>
      <c r="G221" s="5" t="n">
        <v>45548</v>
      </c>
      <c r="H221" t="inlineStr">
        <is>
          <t>Sold</t>
        </is>
      </c>
      <c r="I221" s="6">
        <f>HYPERLINK("https://www.kleinanzeigen.de/s-anzeige/unifiber-aluminium-entry-boom-160-210-windsurf-gabelbaum-neu/1477860586-230-5525", "Link")</f>
        <v/>
      </c>
      <c r="J221" s="6">
        <f>HYPERLINK("C:\Projects\Kleinanzeigen-Scraper\offer_images\1477860586", "Link")</f>
        <v/>
      </c>
      <c r="K221" t="inlineStr">
        <is>
          <t>No user name</t>
        </is>
      </c>
      <c r="L221" s="6">
        <f>HYPERLINK("https://www.kleinanzeigen.deNo user link", "Link")</f>
        <v/>
      </c>
      <c r="M221" s="7" t="n">
        <v>45549.57417824074</v>
      </c>
      <c r="N221" s="3" t="inlineStr">
        <is>
          <t>23.17</t>
        </is>
      </c>
      <c r="O221" t="inlineStr">
        <is>
          <t>München</t>
        </is>
      </c>
    </row>
    <row r="222">
      <c r="A222" t="inlineStr">
        <is>
          <t>North Sails PG Pro.Gression.Comp A</t>
        </is>
      </c>
      <c r="B222" t="inlineStr">
        <is>
          <t>140-190</t>
        </is>
      </c>
      <c r="C222" t="inlineStr"/>
      <c r="D222" s="4" t="n">
        <v>35</v>
      </c>
      <c r="E222" t="inlineStr">
        <is>
          <t>VB</t>
        </is>
      </c>
      <c r="F222" t="inlineStr">
        <is>
          <t>23845 Schleswig-Holstein - Oering</t>
        </is>
      </c>
      <c r="G222" s="5" t="n">
        <v>45542</v>
      </c>
      <c r="H222" t="inlineStr">
        <is>
          <t>Sold</t>
        </is>
      </c>
      <c r="I222" s="6">
        <f>HYPERLINK("https://www.kleinanzeigen.de/s-anzeige/north-sails-pg-pro-gression-comp-a-gabelbaum-140-190-rdm-sdm/2856343405-230-919", "Link")</f>
        <v/>
      </c>
      <c r="J222" s="6">
        <f>HYPERLINK("C:\Projects\Kleinanzeigen-Scraper\offer_images\2856343405", "Link")</f>
        <v/>
      </c>
      <c r="K222" t="inlineStr">
        <is>
          <t>Andrew Malibu</t>
        </is>
      </c>
      <c r="L222" s="6">
        <f>HYPERLINK("https://www.kleinanzeigen.de/s-bestandsliste.html?userId=38586362", "Link")</f>
        <v/>
      </c>
      <c r="M222" s="7" t="n">
        <v>45549.5741550926</v>
      </c>
      <c r="N222" s="3" t="inlineStr">
        <is>
          <t>389.72</t>
        </is>
      </c>
      <c r="O222" t="inlineStr">
        <is>
          <t>Köln</t>
        </is>
      </c>
    </row>
    <row r="223">
      <c r="A223" t="inlineStr">
        <is>
          <t>Neilpryde X6</t>
        </is>
      </c>
      <c r="B223" t="inlineStr">
        <is>
          <t>140-190, 180-230</t>
        </is>
      </c>
      <c r="C223" t="inlineStr"/>
      <c r="D223" s="4" t="n">
        <v>135</v>
      </c>
      <c r="E223" t="inlineStr">
        <is>
          <t>VB</t>
        </is>
      </c>
      <c r="F223" t="inlineStr">
        <is>
          <t>82549 Bayern - Königsdorf</t>
        </is>
      </c>
      <c r="G223" s="5" t="n">
        <v>45539</v>
      </c>
      <c r="H223" t="inlineStr"/>
      <c r="I223" s="6">
        <f>HYPERLINK("https://www.kleinanzeigen.de/s-anzeige/neilpryde-x6-140-190-und-180-230-hybrid-carbon-gabelbaeume/2854573556-230-6331", "Link")</f>
        <v/>
      </c>
      <c r="J223" s="6">
        <f>HYPERLINK("C:\Projects\Kleinanzeigen-Scraper\offer_images\2854573556", "Link")</f>
        <v/>
      </c>
      <c r="K223" t="inlineStr">
        <is>
          <t>Thomas Loibl</t>
        </is>
      </c>
      <c r="L223" s="6">
        <f>HYPERLINK("https://www.kleinanzeigen.de/s-bestandsliste.html?userId=22829407", "Link")</f>
        <v/>
      </c>
      <c r="M223" s="7" t="n">
        <v>45549.5741087963</v>
      </c>
      <c r="N223" s="3" t="inlineStr">
        <is>
          <t>36.23</t>
        </is>
      </c>
      <c r="O223" t="inlineStr">
        <is>
          <t>München</t>
        </is>
      </c>
    </row>
    <row r="224">
      <c r="A224" t="inlineStr">
        <is>
          <t>Point 7</t>
        </is>
      </c>
      <c r="B224" t="inlineStr">
        <is>
          <t>150-200</t>
        </is>
      </c>
      <c r="C224" t="inlineStr">
        <is>
          <t>2022</t>
        </is>
      </c>
      <c r="D224" s="4" t="n">
        <v>370</v>
      </c>
      <c r="E224" t="inlineStr"/>
      <c r="F224" t="inlineStr">
        <is>
          <t>26180 Niedersachsen - Rastede</t>
        </is>
      </c>
      <c r="G224" s="5" t="n">
        <v>45508</v>
      </c>
      <c r="H224" t="inlineStr">
        <is>
          <t>Sold</t>
        </is>
      </c>
      <c r="I224" s="6">
        <f>HYPERLINK("https://www.kleinanzeigen.de/s-anzeige/point-7-windsurf-gabelbaum-carbon-150-200/2829187088-230-2575", "Link")</f>
        <v/>
      </c>
      <c r="J224" s="6">
        <f>HYPERLINK("C:\Projects\Kleinanzeigen-Scraper\offer_images\2829187088", "Link")</f>
        <v/>
      </c>
      <c r="K224" t="inlineStr">
        <is>
          <t>Nils Jahn</t>
        </is>
      </c>
      <c r="L224" s="6">
        <f>HYPERLINK("https://www.kleinanzeigen.de/s-bestandsliste.html?userId=10781145", "Link")</f>
        <v/>
      </c>
      <c r="M224" s="7" t="n">
        <v>45549.57409722222</v>
      </c>
      <c r="N224" s="3" t="inlineStr">
        <is>
          <t>272.02</t>
        </is>
      </c>
      <c r="O224" t="inlineStr">
        <is>
          <t>Köln</t>
        </is>
      </c>
    </row>
    <row r="225">
      <c r="A225" t="inlineStr">
        <is>
          <t>North Sails</t>
        </is>
      </c>
      <c r="B225" t="inlineStr">
        <is>
          <t>200-250</t>
        </is>
      </c>
      <c r="C225" t="inlineStr"/>
      <c r="D225" s="4" t="n">
        <v>85</v>
      </c>
      <c r="E225" t="inlineStr">
        <is>
          <t>VB</t>
        </is>
      </c>
      <c r="F225" t="inlineStr">
        <is>
          <t>85368 Bayern - Moosburg a.d. Isar</t>
        </is>
      </c>
      <c r="G225" s="5" t="n">
        <v>45544</v>
      </c>
      <c r="H225" t="inlineStr">
        <is>
          <t>Sold</t>
        </is>
      </c>
      <c r="I225" s="6">
        <f>HYPERLINK("https://www.kleinanzeigen.de/s-anzeige/gebrauchter-gabelbaum-von-north-sails/2858263456-230-6540", "Link")</f>
        <v/>
      </c>
      <c r="J225" s="6">
        <f>HYPERLINK("C:\Projects\Kleinanzeigen-Scraper\offer_images\2858263456", "Link")</f>
        <v/>
      </c>
      <c r="K225" t="inlineStr">
        <is>
          <t>Fam. Werner</t>
        </is>
      </c>
      <c r="L225" s="6">
        <f>HYPERLINK("https://www.kleinanzeigen.de/s-bestandsliste.html?userId=8987959", "Link")</f>
        <v/>
      </c>
      <c r="M225" s="7" t="n">
        <v>45549.57402777778</v>
      </c>
      <c r="N225" s="3" t="inlineStr">
        <is>
          <t>46.07</t>
        </is>
      </c>
      <c r="O225" t="inlineStr">
        <is>
          <t>München</t>
        </is>
      </c>
    </row>
    <row r="226">
      <c r="A226" t="inlineStr">
        <is>
          <t>North Sails PG Pro.Gression.Comp A+</t>
        </is>
      </c>
      <c r="B226" t="inlineStr">
        <is>
          <t>160-215</t>
        </is>
      </c>
      <c r="C226" t="inlineStr"/>
      <c r="D226" s="4" t="n">
        <v>75</v>
      </c>
      <c r="E226" t="inlineStr">
        <is>
          <t>VB</t>
        </is>
      </c>
      <c r="F226" t="inlineStr">
        <is>
          <t>52399 Nordrhein-Westfalen - Merzenich</t>
        </is>
      </c>
      <c r="G226" s="5" t="n">
        <v>45538</v>
      </c>
      <c r="H226" t="inlineStr">
        <is>
          <t>Sold</t>
        </is>
      </c>
      <c r="I226" s="6">
        <f>HYPERLINK("https://www.kleinanzeigen.de/s-anzeige/north-sails-pg-pro-gression-comp-a-gabelbaum-160-215cm/2853552720-230-1766", "Link")</f>
        <v/>
      </c>
      <c r="J226" s="6">
        <f>HYPERLINK("C:\Projects\Kleinanzeigen-Scraper\offer_images\2853552720", "Link")</f>
        <v/>
      </c>
      <c r="K226" t="inlineStr">
        <is>
          <t>Mike</t>
        </is>
      </c>
      <c r="L226" s="6">
        <f>HYPERLINK("https://www.kleinanzeigen.de/s-bestandsliste.html?userId=13676787", "Link")</f>
        <v/>
      </c>
      <c r="M226" s="7" t="n">
        <v>45549.57398148148</v>
      </c>
      <c r="N226" s="3" t="inlineStr">
        <is>
          <t>32.32</t>
        </is>
      </c>
      <c r="O226" t="inlineStr">
        <is>
          <t>Köln</t>
        </is>
      </c>
    </row>
    <row r="227">
      <c r="A227" t="inlineStr">
        <is>
          <t>Gun Sails Cross</t>
        </is>
      </c>
      <c r="B227" t="inlineStr">
        <is>
          <t>200-250</t>
        </is>
      </c>
      <c r="C227" t="inlineStr">
        <is>
          <t>2022</t>
        </is>
      </c>
      <c r="D227" s="4" t="n">
        <v>80</v>
      </c>
      <c r="E227" t="inlineStr"/>
      <c r="F227" t="inlineStr">
        <is>
          <t>45721 Nordrhein-Westfalen - Haltern am See</t>
        </is>
      </c>
      <c r="G227" s="5" t="n">
        <v>45523</v>
      </c>
      <c r="H227" t="inlineStr">
        <is>
          <t>Sold</t>
        </is>
      </c>
      <c r="I227" s="6">
        <f>HYPERLINK("https://www.kleinanzeigen.de/s-anzeige/gun-sails-cross-boom-200-250-gabelbaum-wie-neu/2840691304-230-1336", "Link")</f>
        <v/>
      </c>
      <c r="J227" s="6">
        <f>HYPERLINK("C:\Projects\Kleinanzeigen-Scraper\offer_images\2840691304", "Link")</f>
        <v/>
      </c>
      <c r="K227" t="inlineStr">
        <is>
          <t>Alexander</t>
        </is>
      </c>
      <c r="L227" s="6">
        <f>HYPERLINK("https://www.kleinanzeigen.de/s-bestandsliste.html?userId=1171247", "Link")</f>
        <v/>
      </c>
      <c r="M227" s="7" t="n">
        <v>45549.57391203703</v>
      </c>
      <c r="N227" s="3" t="inlineStr">
        <is>
          <t>95.03</t>
        </is>
      </c>
      <c r="O227" t="inlineStr">
        <is>
          <t>Köln</t>
        </is>
      </c>
    </row>
    <row r="228">
      <c r="A228" t="inlineStr">
        <is>
          <t>RRD Gabelbaum M T9</t>
        </is>
      </c>
      <c r="B228" t="inlineStr">
        <is>
          <t>180-240</t>
        </is>
      </c>
      <c r="C228" t="inlineStr"/>
      <c r="D228" s="4" t="n">
        <v>160</v>
      </c>
      <c r="E228" t="inlineStr"/>
      <c r="F228" t="inlineStr">
        <is>
          <t>82211 Bayern - Herrsching</t>
        </is>
      </c>
      <c r="G228" s="5" t="n">
        <v>45338</v>
      </c>
      <c r="H228" t="inlineStr"/>
      <c r="I228" s="6">
        <f>HYPERLINK("https://www.kleinanzeigen.de/s-anzeige/rrd-gabelbaum-m-t9-180/2681437952-230-5520", "Link")</f>
        <v/>
      </c>
      <c r="J228" s="6">
        <f>HYPERLINK("C:\Projects\Kleinanzeigen-Scraper\offer_images\2681437952", "Link")</f>
        <v/>
      </c>
      <c r="K228" t="inlineStr">
        <is>
          <t>Flo</t>
        </is>
      </c>
      <c r="L228" s="6">
        <f>HYPERLINK("https://www.kleinanzeigen.de/s-bestandsliste.html?userId=16645592", "Link")</f>
        <v/>
      </c>
      <c r="M228" s="7" t="n">
        <v>45549.57380787037</v>
      </c>
      <c r="N228" s="3" t="inlineStr">
        <is>
          <t>32.73</t>
        </is>
      </c>
      <c r="O228" t="inlineStr">
        <is>
          <t>München</t>
        </is>
      </c>
    </row>
    <row r="229">
      <c r="A229" t="inlineStr">
        <is>
          <t>North Sails Silver HD</t>
        </is>
      </c>
      <c r="B229" t="inlineStr">
        <is>
          <t>150-200</t>
        </is>
      </c>
      <c r="C229" t="inlineStr"/>
      <c r="D229" s="4" t="n">
        <v>40</v>
      </c>
      <c r="E229" t="inlineStr"/>
      <c r="F229" t="inlineStr">
        <is>
          <t>24939 Schleswig-Holstein - Flensburg</t>
        </is>
      </c>
      <c r="G229" s="5" t="n">
        <v>45543</v>
      </c>
      <c r="H229" t="inlineStr">
        <is>
          <t>Sold</t>
        </is>
      </c>
      <c r="I229" s="6">
        <f>HYPERLINK("https://www.kleinanzeigen.de/s-anzeige/north-sails-silver-hd-gabelbaum-150-200cm/2857589170-230-717", "Link")</f>
        <v/>
      </c>
      <c r="J229" s="6">
        <f>HYPERLINK("C:\Projects\Kleinanzeigen-Scraper\offer_images\2857589170", "Link")</f>
        <v/>
      </c>
      <c r="K229" t="inlineStr">
        <is>
          <t>Jan</t>
        </is>
      </c>
      <c r="L229" s="6">
        <f>HYPERLINK("https://www.kleinanzeigen.de/s-bestandsliste.html?userId=26622503", "Link")</f>
        <v/>
      </c>
      <c r="M229" s="7" t="n">
        <v>45549.57376157407</v>
      </c>
      <c r="N229" s="3" t="inlineStr">
        <is>
          <t>460.36</t>
        </is>
      </c>
      <c r="O229" t="inlineStr">
        <is>
          <t>Köln</t>
        </is>
      </c>
    </row>
    <row r="230">
      <c r="A230" t="inlineStr">
        <is>
          <t>North Sails Silver</t>
        </is>
      </c>
      <c r="B230" t="inlineStr">
        <is>
          <t>140-190</t>
        </is>
      </c>
      <c r="C230" t="inlineStr"/>
      <c r="D230" s="4" t="n">
        <v>89</v>
      </c>
      <c r="E230" t="inlineStr">
        <is>
          <t>VB</t>
        </is>
      </c>
      <c r="F230" t="inlineStr">
        <is>
          <t>76287 Baden-Württemberg - Rheinstetten</t>
        </is>
      </c>
      <c r="G230" s="5" t="n">
        <v>45548</v>
      </c>
      <c r="H230" t="inlineStr">
        <is>
          <t>Sold</t>
        </is>
      </c>
      <c r="I230" s="6">
        <f>HYPERLINK("https://www.kleinanzeigen.de/s-anzeige/north-sails-silver-140-190-gabelbaum-inkl-vario-trapeztampen/2862464418-230-8166", "Link")</f>
        <v/>
      </c>
      <c r="J230" s="6">
        <f>HYPERLINK("C:\Projects\Kleinanzeigen-Scraper\offer_images\2862464418", "Link")</f>
        <v/>
      </c>
      <c r="K230" t="inlineStr">
        <is>
          <t>Dominik</t>
        </is>
      </c>
      <c r="L230" s="6">
        <f>HYPERLINK("https://www.kleinanzeigen.de/s-bestandsliste.html?userId=16948579", "Link")</f>
        <v/>
      </c>
      <c r="M230" s="7" t="n">
        <v>45549.57372685185</v>
      </c>
      <c r="N230" s="3" t="inlineStr">
        <is>
          <t>7.05</t>
        </is>
      </c>
      <c r="O230" t="inlineStr">
        <is>
          <t>Karlsruhe</t>
        </is>
      </c>
    </row>
    <row r="231">
      <c r="A231" t="inlineStr">
        <is>
          <t>North Gabelbaum Silver</t>
        </is>
      </c>
      <c r="B231" t="inlineStr">
        <is>
          <t>140-180</t>
        </is>
      </c>
      <c r="C231" t="inlineStr"/>
      <c r="D231" s="4" t="n">
        <v>55</v>
      </c>
      <c r="E231" t="inlineStr">
        <is>
          <t>VB</t>
        </is>
      </c>
      <c r="F231" t="inlineStr">
        <is>
          <t>21465 Herzogtum Lauenburg - Wentorf</t>
        </is>
      </c>
      <c r="G231" s="5" t="n">
        <v>45536</v>
      </c>
      <c r="H231" t="inlineStr">
        <is>
          <t>Sold</t>
        </is>
      </c>
      <c r="I231" s="6">
        <f>HYPERLINK("https://www.kleinanzeigen.de/s-anzeige/north-gabelbaum-silver-140-180/2851965569-230-766", "Link")</f>
        <v/>
      </c>
      <c r="J231" s="6">
        <f>HYPERLINK("C:\Projects\Kleinanzeigen-Scraper\offer_images\2851965569", "Link")</f>
        <v/>
      </c>
      <c r="K231" t="inlineStr">
        <is>
          <t>sven</t>
        </is>
      </c>
      <c r="L231" s="6">
        <f>HYPERLINK("https://www.kleinanzeigen.de/s-bestandsliste.html?userId=11701508", "Link")</f>
        <v/>
      </c>
      <c r="M231" s="7" t="n">
        <v>45549.5737037037</v>
      </c>
      <c r="N231" s="3" t="inlineStr">
        <is>
          <t>366.85</t>
        </is>
      </c>
      <c r="O231" t="inlineStr">
        <is>
          <t>Köln</t>
        </is>
      </c>
    </row>
    <row r="232">
      <c r="A232" t="inlineStr">
        <is>
          <t>Ascan</t>
        </is>
      </c>
      <c r="B232" t="inlineStr"/>
      <c r="C232" t="inlineStr"/>
      <c r="D232" s="4" t="n">
        <v>10</v>
      </c>
      <c r="E232" t="inlineStr"/>
      <c r="F232" t="inlineStr">
        <is>
          <t>76287 Baden-Württemberg - Rheinstetten</t>
        </is>
      </c>
      <c r="G232" s="5" t="n">
        <v>45548</v>
      </c>
      <c r="H232" t="inlineStr">
        <is>
          <t>Sold</t>
        </is>
      </c>
      <c r="I232" s="6">
        <f>HYPERLINK("https://www.kleinanzeigen.de/s-anzeige/ascan-boom-gabelbaum-mast-protector-windsurf/2862455241-230-8166", "Link")</f>
        <v/>
      </c>
      <c r="J232" s="6">
        <f>HYPERLINK("C:\Projects\Kleinanzeigen-Scraper\offer_images\2862455241", "Link")</f>
        <v/>
      </c>
      <c r="K232" t="inlineStr">
        <is>
          <t>Dominik</t>
        </is>
      </c>
      <c r="L232" s="6">
        <f>HYPERLINK("https://www.kleinanzeigen.de/s-bestandsliste.html?userId=16948579", "Link")</f>
        <v/>
      </c>
      <c r="M232" s="7" t="n">
        <v>45549.57347222222</v>
      </c>
      <c r="N232" s="3" t="inlineStr">
        <is>
          <t>7.05</t>
        </is>
      </c>
      <c r="O232" t="inlineStr">
        <is>
          <t>Karlsruhe</t>
        </is>
      </c>
    </row>
    <row r="233">
      <c r="A233" t="inlineStr">
        <is>
          <t>Neilpryde</t>
        </is>
      </c>
      <c r="B233" t="inlineStr">
        <is>
          <t>180-220</t>
        </is>
      </c>
      <c r="C233" t="inlineStr"/>
      <c r="D233" s="4" t="n">
        <v>215</v>
      </c>
      <c r="E233" t="inlineStr">
        <is>
          <t>VB</t>
        </is>
      </c>
      <c r="F233" t="inlineStr">
        <is>
          <t>50858 Köln - Junkersdorf</t>
        </is>
      </c>
      <c r="G233" s="5" t="n">
        <v>45530</v>
      </c>
      <c r="H233" t="inlineStr">
        <is>
          <t>Sold</t>
        </is>
      </c>
      <c r="I233" s="6">
        <f>HYPERLINK("https://www.kleinanzeigen.de/s-anzeige/neilpryde-neil-pryde-race-full-carbon-boom-windsurfen-gabelbaum/2847248191-230-17139", "Link")</f>
        <v/>
      </c>
      <c r="J233" s="6">
        <f>HYPERLINK("C:\Projects\Kleinanzeigen-Scraper\offer_images\2847248191", "Link")</f>
        <v/>
      </c>
      <c r="K233" t="inlineStr">
        <is>
          <t>Ingo Riemann</t>
        </is>
      </c>
      <c r="L233" s="6">
        <f>HYPERLINK("https://www.kleinanzeigen.de/s-bestandsliste.html?userId=54165116", "Link")</f>
        <v/>
      </c>
      <c r="M233" s="7" t="n">
        <v>45549.57342592593</v>
      </c>
      <c r="N233" s="3" t="inlineStr">
        <is>
          <t>7.26</t>
        </is>
      </c>
      <c r="O233" t="inlineStr">
        <is>
          <t>Köln</t>
        </is>
      </c>
    </row>
    <row r="234">
      <c r="A234" t="inlineStr">
        <is>
          <t>Neilpryde X3</t>
        </is>
      </c>
      <c r="B234" t="inlineStr">
        <is>
          <t>160-210</t>
        </is>
      </c>
      <c r="C234" t="inlineStr"/>
      <c r="D234" s="4" t="n">
        <v>95</v>
      </c>
      <c r="E234" t="inlineStr"/>
      <c r="F234" t="inlineStr">
        <is>
          <t>71093 Baden-Württemberg - Weil im Schönbuch</t>
        </is>
      </c>
      <c r="G234" s="5" t="n">
        <v>45511</v>
      </c>
      <c r="H234" t="inlineStr">
        <is>
          <t>Sold</t>
        </is>
      </c>
      <c r="I234" s="6">
        <f>HYPERLINK("https://www.kleinanzeigen.de/s-anzeige/neilpryde-x3-160-210-gabelbaum-mit-trapezbendel/2831217177-230-8785", "Link")</f>
        <v/>
      </c>
      <c r="J234" s="6">
        <f>HYPERLINK("C:\Projects\Kleinanzeigen-Scraper\offer_images\2831217177", "Link")</f>
        <v/>
      </c>
      <c r="K234" t="inlineStr">
        <is>
          <t>Schorschi</t>
        </is>
      </c>
      <c r="L234" s="6">
        <f>HYPERLINK("https://www.kleinanzeigen.de/s-bestandsliste.html?userId=71398211", "Link")</f>
        <v/>
      </c>
      <c r="M234" s="7" t="n">
        <v>45549.57340277778</v>
      </c>
      <c r="N234" s="3" t="inlineStr">
        <is>
          <t>9.52</t>
        </is>
      </c>
      <c r="O234" t="inlineStr">
        <is>
          <t>Böblingen</t>
        </is>
      </c>
    </row>
    <row r="235">
      <c r="A235" t="inlineStr">
        <is>
          <t>Duotone Slick DLab</t>
        </is>
      </c>
      <c r="B235" t="inlineStr"/>
      <c r="C235" t="inlineStr">
        <is>
          <t>2023</t>
        </is>
      </c>
      <c r="D235" s="4" t="n">
        <v>870</v>
      </c>
      <c r="E235" t="inlineStr">
        <is>
          <t>VB</t>
        </is>
      </c>
      <c r="F235" t="inlineStr">
        <is>
          <t>66625 Saarland - Nohfelden</t>
        </is>
      </c>
      <c r="G235" s="5" t="n">
        <v>45546</v>
      </c>
      <c r="H235" t="inlineStr">
        <is>
          <t>Sold</t>
        </is>
      </c>
      <c r="I235" s="6">
        <f>HYPERLINK("https://www.kleinanzeigen.de/s-anzeige/duotone-slick-dlab-2023-5-5-qm-mini-platinum-sls-boom/2860629308-230-317", "Link")</f>
        <v/>
      </c>
      <c r="J235" s="6">
        <f>HYPERLINK("C:\Projects\Kleinanzeigen-Scraper\offer_images\2860629308", "Link")</f>
        <v/>
      </c>
      <c r="K235" t="inlineStr">
        <is>
          <t>Zadach</t>
        </is>
      </c>
      <c r="L235" s="6">
        <f>HYPERLINK("https://www.kleinanzeigen.de/s-bestandsliste.html?userId=7415040", "Link")</f>
        <v/>
      </c>
      <c r="M235" s="7" t="n">
        <v>45549.57334490741</v>
      </c>
      <c r="N235" s="3" t="inlineStr">
        <is>
          <t>113.60</t>
        </is>
      </c>
      <c r="O235" t="inlineStr">
        <is>
          <t>Karlsruhe</t>
        </is>
      </c>
    </row>
    <row r="236">
      <c r="A236" t="inlineStr">
        <is>
          <t>Neilpryde X-A</t>
        </is>
      </c>
      <c r="B236" t="inlineStr">
        <is>
          <t>165-225</t>
        </is>
      </c>
      <c r="C236" t="inlineStr"/>
      <c r="D236" s="4" t="n">
        <v>110</v>
      </c>
      <c r="E236" t="inlineStr">
        <is>
          <t>VB</t>
        </is>
      </c>
      <c r="F236" t="inlineStr">
        <is>
          <t>18055 Rostock - Stadtmitte</t>
        </is>
      </c>
      <c r="G236" s="5" t="n">
        <v>45519</v>
      </c>
      <c r="H236" t="inlineStr">
        <is>
          <t>Sold</t>
        </is>
      </c>
      <c r="I236" s="6">
        <f>HYPERLINK("https://www.kleinanzeigen.de/s-anzeige/neilpryde-x-a-boom-wave-165-225/2837883884-230-157", "Link")</f>
        <v/>
      </c>
      <c r="J236" s="6">
        <f>HYPERLINK("C:\Projects\Kleinanzeigen-Scraper\offer_images\2837883884", "Link")</f>
        <v/>
      </c>
      <c r="K236" t="inlineStr">
        <is>
          <t>Chiara Krack</t>
        </is>
      </c>
      <c r="L236" s="6">
        <f>HYPERLINK("https://www.kleinanzeigen.de/s-bestandsliste.html?userId=77546793", "Link")</f>
        <v/>
      </c>
      <c r="M236" s="7" t="n">
        <v>45549.57334490741</v>
      </c>
      <c r="N236" s="3" t="inlineStr">
        <is>
          <t>496.50</t>
        </is>
      </c>
      <c r="O236" t="inlineStr">
        <is>
          <t>Köln</t>
        </is>
      </c>
    </row>
    <row r="237">
      <c r="A237" t="inlineStr">
        <is>
          <t>Gun Sails</t>
        </is>
      </c>
      <c r="B237" t="inlineStr">
        <is>
          <t>140-190</t>
        </is>
      </c>
      <c r="C237" t="inlineStr"/>
      <c r="D237" s="4" t="n">
        <v>20</v>
      </c>
      <c r="E237" t="inlineStr"/>
      <c r="F237" t="inlineStr">
        <is>
          <t>85737 Kr. München - Ismaning</t>
        </is>
      </c>
      <c r="G237" s="5" t="n">
        <v>45524</v>
      </c>
      <c r="H237" t="inlineStr"/>
      <c r="I237" s="6">
        <f>HYPERLINK("https://www.kleinanzeigen.de/s-anzeige/gun-sails-alu-gabelbaum-free-boom-pro-140-190/2842277632-230-17192", "Link")</f>
        <v/>
      </c>
      <c r="J237" s="6">
        <f>HYPERLINK("C:\Projects\Kleinanzeigen-Scraper\offer_images\2842277632", "Link")</f>
        <v/>
      </c>
      <c r="K237" t="inlineStr">
        <is>
          <t>WJ</t>
        </is>
      </c>
      <c r="L237" s="6">
        <f>HYPERLINK("https://www.kleinanzeigen.de/s-bestandsliste.html?userId=52681095", "Link")</f>
        <v/>
      </c>
      <c r="M237" s="7" t="n">
        <v>45549.57324074074</v>
      </c>
      <c r="N237" s="3" t="inlineStr">
        <is>
          <t>14.56</t>
        </is>
      </c>
      <c r="O237" t="inlineStr">
        <is>
          <t>München</t>
        </is>
      </c>
    </row>
    <row r="238">
      <c r="A238" t="inlineStr">
        <is>
          <t>Gun Sails</t>
        </is>
      </c>
      <c r="B238" t="inlineStr"/>
      <c r="C238" t="inlineStr"/>
      <c r="D238" s="4" t="inlineStr"/>
      <c r="E238" t="inlineStr">
        <is>
          <t>VB</t>
        </is>
      </c>
      <c r="F238" t="inlineStr">
        <is>
          <t>14715 Brandenburg - Stechow-Ferchesar</t>
        </is>
      </c>
      <c r="G238" s="5" t="n">
        <v>45163</v>
      </c>
      <c r="H238" t="inlineStr"/>
      <c r="I238" s="6">
        <f>HYPERLINK("https://www.kleinanzeigen.de/s-anzeige/windsurf-gabelbaum-gun-sails/2529069744-230-21109", "Link")</f>
        <v/>
      </c>
      <c r="J238" s="6">
        <f>HYPERLINK("C:\Projects\Kleinanzeigen-Scraper\offer_images\2529069744", "Link")</f>
        <v/>
      </c>
      <c r="K238" t="inlineStr">
        <is>
          <t>Marvin</t>
        </is>
      </c>
      <c r="L238" s="6">
        <f>HYPERLINK("https://www.kleinanzeigen.de/s-bestandsliste.html?userId=6360419", "Link")</f>
        <v/>
      </c>
      <c r="M238" s="7" t="n">
        <v>45549.57320601852</v>
      </c>
      <c r="N238" s="3" t="inlineStr">
        <is>
          <t>425.01</t>
        </is>
      </c>
      <c r="O238" t="inlineStr">
        <is>
          <t>Köln</t>
        </is>
      </c>
    </row>
    <row r="239">
      <c r="A239" t="inlineStr">
        <is>
          <t>Gun Sails Cross</t>
        </is>
      </c>
      <c r="B239" t="inlineStr">
        <is>
          <t>160-210</t>
        </is>
      </c>
      <c r="C239" t="inlineStr"/>
      <c r="D239" s="4" t="n">
        <v>95</v>
      </c>
      <c r="E239" t="inlineStr"/>
      <c r="F239" t="inlineStr">
        <is>
          <t>82110 Bayern - Germering</t>
        </is>
      </c>
      <c r="G239" s="5" t="n">
        <v>45200</v>
      </c>
      <c r="H239" t="inlineStr"/>
      <c r="I239" s="6">
        <f>HYPERLINK("https://www.kleinanzeigen.de/s-anzeige/gun-sails-cross-boom-160-210cm-guter-zustand/2560041155-230-6326", "Link")</f>
        <v/>
      </c>
      <c r="J239" s="6">
        <f>HYPERLINK("C:\Projects\Kleinanzeigen-Scraper\offer_images\2560041155", "Link")</f>
        <v/>
      </c>
      <c r="K239" t="inlineStr">
        <is>
          <t>Juergen Flickinger</t>
        </is>
      </c>
      <c r="L239" s="6">
        <f>HYPERLINK("https://www.kleinanzeigen.de/s-bestandsliste.html?userId=5881070", "Link")</f>
        <v/>
      </c>
      <c r="M239" s="7" t="n">
        <v>45549.57313657407</v>
      </c>
      <c r="N239" s="3" t="inlineStr">
        <is>
          <t>16.13</t>
        </is>
      </c>
      <c r="O239" t="inlineStr">
        <is>
          <t>München</t>
        </is>
      </c>
    </row>
    <row r="240">
      <c r="A240" t="inlineStr">
        <is>
          <t>North Sails Silver</t>
        </is>
      </c>
      <c r="B240" t="inlineStr">
        <is>
          <t>206-255</t>
        </is>
      </c>
      <c r="C240" t="inlineStr"/>
      <c r="D240" s="4" t="n">
        <v>77</v>
      </c>
      <c r="E240" t="inlineStr">
        <is>
          <t>VB</t>
        </is>
      </c>
      <c r="F240" t="inlineStr">
        <is>
          <t>71384 Baden-Württemberg - Weinstadt</t>
        </is>
      </c>
      <c r="G240" s="5" t="n">
        <v>45545</v>
      </c>
      <c r="H240" t="inlineStr">
        <is>
          <t>Sold</t>
        </is>
      </c>
      <c r="I240" s="6">
        <f>HYPERLINK("https://www.kleinanzeigen.de/s-anzeige/north-sails-gabelbaum-silver-206-255/2859660510-230-8386", "Link")</f>
        <v/>
      </c>
      <c r="J240" s="6">
        <f>HYPERLINK("C:\Projects\Kleinanzeigen-Scraper\offer_images\2859660510", "Link")</f>
        <v/>
      </c>
      <c r="K240" t="inlineStr">
        <is>
          <t>Frank</t>
        </is>
      </c>
      <c r="L240" s="6">
        <f>HYPERLINK("https://www.kleinanzeigen.de/s-bestandsliste.html?userId=5342134", "Link")</f>
        <v/>
      </c>
      <c r="M240" s="7" t="n">
        <v>45549.57293981482</v>
      </c>
      <c r="N240" s="3" t="inlineStr">
        <is>
          <t>33.53</t>
        </is>
      </c>
      <c r="O240" t="inlineStr">
        <is>
          <t>Böblingen</t>
        </is>
      </c>
    </row>
    <row r="241">
      <c r="A241" t="inlineStr">
        <is>
          <t>North Sails Progression</t>
        </is>
      </c>
      <c r="B241" t="inlineStr">
        <is>
          <t>165-215</t>
        </is>
      </c>
      <c r="C241" t="inlineStr"/>
      <c r="D241" s="4" t="n">
        <v>55</v>
      </c>
      <c r="E241" t="inlineStr">
        <is>
          <t>VB</t>
        </is>
      </c>
      <c r="F241" t="inlineStr">
        <is>
          <t>50354 Nordrhein-Westfalen - Hürth</t>
        </is>
      </c>
      <c r="G241" s="5" t="n">
        <v>45548</v>
      </c>
      <c r="H241" t="inlineStr">
        <is>
          <t>Sold</t>
        </is>
      </c>
      <c r="I241" s="6">
        <f>HYPERLINK("https://www.kleinanzeigen.de/s-anzeige/gabel-north-sails-progression-165-215/2862478420-230-1891", "Link")</f>
        <v/>
      </c>
      <c r="J241" s="6">
        <f>HYPERLINK("C:\Projects\Kleinanzeigen-Scraper\offer_images\2862478420", "Link")</f>
        <v/>
      </c>
      <c r="K241" t="inlineStr">
        <is>
          <t>Olli</t>
        </is>
      </c>
      <c r="L241" s="6">
        <f>HYPERLINK("https://www.kleinanzeigen.de/s-bestandsliste.html?userId=20517466", "Link")</f>
        <v/>
      </c>
      <c r="M241" s="7" t="n">
        <v>45549.57275462963</v>
      </c>
      <c r="N241" s="3" t="inlineStr">
        <is>
          <t>10.69</t>
        </is>
      </c>
      <c r="O241" t="inlineStr">
        <is>
          <t>Köln</t>
        </is>
      </c>
    </row>
    <row r="242">
      <c r="A242" t="inlineStr">
        <is>
          <t>Neilpryde XC Matrix</t>
        </is>
      </c>
      <c r="B242" t="inlineStr">
        <is>
          <t>194-243</t>
        </is>
      </c>
      <c r="C242" t="inlineStr"/>
      <c r="D242" s="4" t="n">
        <v>40</v>
      </c>
      <c r="E242" t="inlineStr">
        <is>
          <t>VB</t>
        </is>
      </c>
      <c r="F242" t="inlineStr">
        <is>
          <t>13581 Berlin - Spandau</t>
        </is>
      </c>
      <c r="G242" s="5" t="n">
        <v>45530</v>
      </c>
      <c r="H242" t="inlineStr">
        <is>
          <t>Sold</t>
        </is>
      </c>
      <c r="I242" s="6">
        <f>HYPERLINK("https://www.kleinanzeigen.de/s-anzeige/gabelbaum-neilpryde-xc-matrix-alu-194-243/2847065893-230-3439", "Link")</f>
        <v/>
      </c>
      <c r="J242" s="6">
        <f>HYPERLINK("C:\Projects\Kleinanzeigen-Scraper\offer_images\2847065893", "Link")</f>
        <v/>
      </c>
      <c r="K242" t="inlineStr">
        <is>
          <t>Heiko</t>
        </is>
      </c>
      <c r="L242" s="6">
        <f>HYPERLINK("https://www.kleinanzeigen.de/s-bestandsliste.html?userId=134503809", "Link")</f>
        <v/>
      </c>
      <c r="M242" s="7" t="n">
        <v>45549.57247685185</v>
      </c>
      <c r="N242" s="3" t="inlineStr">
        <is>
          <t>464.09</t>
        </is>
      </c>
      <c r="O242" t="inlineStr">
        <is>
          <t>Köln</t>
        </is>
      </c>
    </row>
    <row r="243">
      <c r="A243" t="inlineStr">
        <is>
          <t>North Sails PG Pro.Gression.Comp A+</t>
        </is>
      </c>
      <c r="B243" t="inlineStr">
        <is>
          <t>150-200</t>
        </is>
      </c>
      <c r="C243" t="inlineStr"/>
      <c r="D243" s="4" t="n">
        <v>40</v>
      </c>
      <c r="E243" t="inlineStr"/>
      <c r="F243" t="inlineStr">
        <is>
          <t>24232 Schleswig-Holstein - Schönkirchen</t>
        </is>
      </c>
      <c r="G243" s="5" t="n">
        <v>45536</v>
      </c>
      <c r="H243" t="inlineStr">
        <is>
          <t>Sold</t>
        </is>
      </c>
      <c r="I243" s="6">
        <f>HYPERLINK("https://www.kleinanzeigen.de/s-anzeige/north-sails-pg-pro-gression-comp-a-150-200-boom-gabelbaum-surfen/2851354420-230-667", "Link")</f>
        <v/>
      </c>
      <c r="J243" s="6">
        <f>HYPERLINK("C:\Projects\Kleinanzeigen-Scraper\offer_images\2851354420", "Link")</f>
        <v/>
      </c>
      <c r="K243" t="inlineStr">
        <is>
          <t>Privater Anbieter</t>
        </is>
      </c>
      <c r="L243" s="6">
        <f>HYPERLINK("https://www.kleinanzeigen.de/s-bestandsliste.html?userId=12917490", "Link")</f>
        <v/>
      </c>
      <c r="M243" s="7" t="n">
        <v>45549.57243055556</v>
      </c>
      <c r="N243" s="3" t="inlineStr">
        <is>
          <t>437.64</t>
        </is>
      </c>
      <c r="O243" t="inlineStr">
        <is>
          <t>Köln</t>
        </is>
      </c>
    </row>
    <row r="244">
      <c r="A244" t="inlineStr">
        <is>
          <t>Neilpryde X6</t>
        </is>
      </c>
      <c r="B244" t="inlineStr">
        <is>
          <t>135-185</t>
        </is>
      </c>
      <c r="C244" t="inlineStr"/>
      <c r="D244" s="4" t="n">
        <v>65</v>
      </c>
      <c r="E244" t="inlineStr"/>
      <c r="F244" t="inlineStr">
        <is>
          <t>21635 Niedersachsen - Jork</t>
        </is>
      </c>
      <c r="G244" s="5" t="n">
        <v>45463</v>
      </c>
      <c r="H244" t="inlineStr"/>
      <c r="I244" s="6">
        <f>HYPERLINK("https://www.kleinanzeigen.de/s-anzeige/neilpryde-x6-135-185-gabelbaum-boom/2792639468-230-3291", "Link")</f>
        <v/>
      </c>
      <c r="J244" s="6">
        <f>HYPERLINK("C:\Projects\Kleinanzeigen-Scraper\offer_images\2792639468", "Link")</f>
        <v/>
      </c>
      <c r="K244" t="inlineStr">
        <is>
          <t>MU</t>
        </is>
      </c>
      <c r="L244" s="6">
        <f>HYPERLINK("https://www.kleinanzeigen.de/s-bestandsliste.html?userId=7562773", "Link")</f>
        <v/>
      </c>
      <c r="M244" s="7" t="n">
        <v>45549.57240740741</v>
      </c>
      <c r="N244" s="3" t="inlineStr">
        <is>
          <t>343.43</t>
        </is>
      </c>
      <c r="O244" t="inlineStr">
        <is>
          <t>Köln</t>
        </is>
      </c>
    </row>
    <row r="245">
      <c r="A245" t="inlineStr">
        <is>
          <t>Gun Sails Race Pro</t>
        </is>
      </c>
      <c r="B245" t="inlineStr">
        <is>
          <t>170-210</t>
        </is>
      </c>
      <c r="C245" t="inlineStr"/>
      <c r="D245" s="4" t="inlineStr"/>
      <c r="E245" t="inlineStr">
        <is>
          <t>VB</t>
        </is>
      </c>
      <c r="F245" t="inlineStr">
        <is>
          <t>45768 Nordrhein-Westfalen - Marl</t>
        </is>
      </c>
      <c r="G245" s="5" t="n">
        <v>45451</v>
      </c>
      <c r="H245" t="inlineStr"/>
      <c r="I245" s="6">
        <f>HYPERLINK("https://www.kleinanzeigen.de/s-anzeige/gabelbaum-gun-sails-race-pro-170-210cm/2783119922-230-1774", "Link")</f>
        <v/>
      </c>
      <c r="J245" s="6">
        <f>HYPERLINK("C:\Projects\Kleinanzeigen-Scraper\offer_images\2783119922", "Link")</f>
        <v/>
      </c>
      <c r="K245" t="inlineStr">
        <is>
          <t>Hasenclever</t>
        </is>
      </c>
      <c r="L245" s="6">
        <f>HYPERLINK("https://www.kleinanzeigen.de/s-bestandsliste.html?userId=3933455", "Link")</f>
        <v/>
      </c>
      <c r="M245" s="7" t="n">
        <v>45549.57238425926</v>
      </c>
      <c r="N245" s="3" t="inlineStr">
        <is>
          <t>80.12</t>
        </is>
      </c>
      <c r="O245" t="inlineStr">
        <is>
          <t>Köln</t>
        </is>
      </c>
    </row>
    <row r="246">
      <c r="A246" t="inlineStr">
        <is>
          <t>Naish CT</t>
        </is>
      </c>
      <c r="B246" t="inlineStr">
        <is>
          <t>135-185</t>
        </is>
      </c>
      <c r="C246" t="inlineStr"/>
      <c r="D246" s="4" t="n">
        <v>50</v>
      </c>
      <c r="E246" t="inlineStr"/>
      <c r="F246" t="inlineStr">
        <is>
          <t>81929 München - Bogenhausen</t>
        </is>
      </c>
      <c r="G246" s="5" t="n">
        <v>45457</v>
      </c>
      <c r="H246" t="inlineStr">
        <is>
          <t>Sold</t>
        </is>
      </c>
      <c r="I246" s="6">
        <f>HYPERLINK("https://www.kleinanzeigen.de/s-anzeige/naish-windsurf-gabel-ct-wave-boom-135-185-cm/2787845071-230-6526", "Link")</f>
        <v/>
      </c>
      <c r="J246" s="6">
        <f>HYPERLINK("C:\Projects\Kleinanzeigen-Scraper\offer_images\2787845071", "Link")</f>
        <v/>
      </c>
      <c r="K246" t="inlineStr">
        <is>
          <t>Matthias</t>
        </is>
      </c>
      <c r="L246" s="6">
        <f>HYPERLINK("https://www.kleinanzeigen.de/s-bestandsliste.html?userId=51413687", "Link")</f>
        <v/>
      </c>
      <c r="M246" s="7" t="n">
        <v>45549.57230324074</v>
      </c>
      <c r="N246" s="3" t="inlineStr">
        <is>
          <t>6.89</t>
        </is>
      </c>
      <c r="O246" t="inlineStr">
        <is>
          <t>München</t>
        </is>
      </c>
    </row>
    <row r="247">
      <c r="A247" t="inlineStr">
        <is>
          <t>Neilpryde XF Freeride</t>
        </is>
      </c>
      <c r="B247" t="inlineStr">
        <is>
          <t>200-250</t>
        </is>
      </c>
      <c r="C247" t="inlineStr"/>
      <c r="D247" s="4" t="n">
        <v>150</v>
      </c>
      <c r="E247" t="inlineStr">
        <is>
          <t>VB</t>
        </is>
      </c>
      <c r="F247" t="inlineStr">
        <is>
          <t>10317 Berlin - Lichtenberg</t>
        </is>
      </c>
      <c r="G247" s="5" t="n">
        <v>45515</v>
      </c>
      <c r="H247" t="inlineStr">
        <is>
          <t>Sold</t>
        </is>
      </c>
      <c r="I247" s="6">
        <f>HYPERLINK("https://www.kleinanzeigen.de/s-anzeige/windsurf-gabelbaum-neilpryde-xf-freeride-200-250mm-sdm/2834876384-230-9684", "Link")</f>
        <v/>
      </c>
      <c r="J247" s="6">
        <f>HYPERLINK("C:\Projects\Kleinanzeigen-Scraper\offer_images\2834876384", "Link")</f>
        <v/>
      </c>
      <c r="K247" t="inlineStr">
        <is>
          <t>Christoph</t>
        </is>
      </c>
      <c r="L247" s="6">
        <f>HYPERLINK("https://www.kleinanzeigen.de/s-bestandsliste.html?userId=23649160", "Link")</f>
        <v/>
      </c>
      <c r="M247" s="7" t="n">
        <v>45549.57228009259</v>
      </c>
      <c r="N247" s="3" t="inlineStr">
        <is>
          <t>481.96</t>
        </is>
      </c>
      <c r="O247" t="inlineStr">
        <is>
          <t>Köln</t>
        </is>
      </c>
    </row>
    <row r="248">
      <c r="A248" t="inlineStr">
        <is>
          <t>Duotone Silver Series</t>
        </is>
      </c>
      <c r="B248" t="inlineStr">
        <is>
          <t>141-201</t>
        </is>
      </c>
      <c r="C248" t="inlineStr"/>
      <c r="D248" s="4" t="n">
        <v>30</v>
      </c>
      <c r="E248" t="inlineStr">
        <is>
          <t>VB</t>
        </is>
      </c>
      <c r="F248" t="inlineStr">
        <is>
          <t>24340 Schleswig-Holstein - Eckernförde</t>
        </is>
      </c>
      <c r="G248" s="5" t="n">
        <v>45547</v>
      </c>
      <c r="H248" t="inlineStr">
        <is>
          <t>Sold</t>
        </is>
      </c>
      <c r="I248" s="6">
        <f>HYPERLINK("https://www.kleinanzeigen.de/s-anzeige/duotone-boom-silver-series-fuer-echo-wings-141-201/2861509328-230-13234", "Link")</f>
        <v/>
      </c>
      <c r="J248" s="6">
        <f>HYPERLINK("C:\Projects\Kleinanzeigen-Scraper\offer_images\2861509328", "Link")</f>
        <v/>
      </c>
      <c r="K248" t="inlineStr">
        <is>
          <t>Joost</t>
        </is>
      </c>
      <c r="L248" s="6">
        <f>HYPERLINK("https://www.kleinanzeigen.de/s-bestandsliste.html?userId=77170974", "Link")</f>
        <v/>
      </c>
      <c r="M248" s="7" t="n">
        <v>45549.57188657407</v>
      </c>
      <c r="N248" s="3" t="inlineStr">
        <is>
          <t>434.69</t>
        </is>
      </c>
      <c r="O248" t="inlineStr">
        <is>
          <t>Köln</t>
        </is>
      </c>
    </row>
    <row r="249">
      <c r="A249" t="inlineStr">
        <is>
          <t>Goya Carbon</t>
        </is>
      </c>
      <c r="B249" t="inlineStr">
        <is>
          <t>150-200</t>
        </is>
      </c>
      <c r="C249" t="inlineStr"/>
      <c r="D249" s="4" t="n">
        <v>425</v>
      </c>
      <c r="E249" t="inlineStr"/>
      <c r="F249" t="inlineStr">
        <is>
          <t>73732 Baden-Württemberg - Esslingen</t>
        </is>
      </c>
      <c r="G249" s="5" t="n">
        <v>45542</v>
      </c>
      <c r="H249" t="inlineStr"/>
      <c r="I249" s="6">
        <f>HYPERLINK("https://www.kleinanzeigen.de/s-anzeige/goya-carbon-gabelbaum-super-skinny-150-200-neuwertig/2856626445-230-8382", "Link")</f>
        <v/>
      </c>
      <c r="J249" s="6">
        <f>HYPERLINK("C:\Projects\Kleinanzeigen-Scraper\offer_images\2856626445", "Link")</f>
        <v/>
      </c>
      <c r="K249" t="inlineStr">
        <is>
          <t>Andy Krämer</t>
        </is>
      </c>
      <c r="L249" s="6">
        <f>HYPERLINK("https://www.kleinanzeigen.de/s-bestandsliste.html?userId=27198059", "Link")</f>
        <v/>
      </c>
      <c r="M249" s="7" t="n">
        <v>45549.57188657407</v>
      </c>
      <c r="N249" s="3" t="inlineStr">
        <is>
          <t>27.97</t>
        </is>
      </c>
      <c r="O249" t="inlineStr">
        <is>
          <t>Böblingen</t>
        </is>
      </c>
    </row>
    <row r="250">
      <c r="A250" t="inlineStr">
        <is>
          <t>Duotone Gold</t>
        </is>
      </c>
      <c r="B250" t="inlineStr">
        <is>
          <t>140-190</t>
        </is>
      </c>
      <c r="C250" t="inlineStr"/>
      <c r="D250" s="4" t="n">
        <v>140</v>
      </c>
      <c r="E250" t="inlineStr">
        <is>
          <t>VB</t>
        </is>
      </c>
      <c r="F250" t="inlineStr">
        <is>
          <t>87679 Bayern - Westendorf b Kaufbeuren</t>
        </is>
      </c>
      <c r="G250" s="5" t="n">
        <v>45541</v>
      </c>
      <c r="H250" t="inlineStr">
        <is>
          <t>Sold</t>
        </is>
      </c>
      <c r="I250" s="6">
        <f>HYPERLINK("https://www.kleinanzeigen.de/s-anzeige/duotone-gabelbaum-gold-140-190/2855839770-230-7272", "Link")</f>
        <v/>
      </c>
      <c r="J250" s="6">
        <f>HYPERLINK("C:\Projects\Kleinanzeigen-Scraper\offer_images\2855839770", "Link")</f>
        <v/>
      </c>
      <c r="K250" t="inlineStr">
        <is>
          <t>Günther Saiko</t>
        </is>
      </c>
      <c r="L250" s="6">
        <f>HYPERLINK("https://www.kleinanzeigen.de/s-bestandsliste.html?userId=12220258", "Link")</f>
        <v/>
      </c>
      <c r="M250" s="7" t="n">
        <v>45549.57174768519</v>
      </c>
      <c r="N250" s="3" t="inlineStr">
        <is>
          <t>68.91</t>
        </is>
      </c>
      <c r="O250" t="inlineStr">
        <is>
          <t>München</t>
        </is>
      </c>
    </row>
    <row r="251">
      <c r="A251" t="inlineStr">
        <is>
          <t>Gun Sails</t>
        </is>
      </c>
      <c r="B251" t="inlineStr">
        <is>
          <t>140-190</t>
        </is>
      </c>
      <c r="C251" t="inlineStr"/>
      <c r="D251" s="4" t="n">
        <v>50</v>
      </c>
      <c r="E251" t="inlineStr"/>
      <c r="F251" t="inlineStr">
        <is>
          <t>04626 Thüringen - Schmoelln</t>
        </is>
      </c>
      <c r="G251" s="5" t="n">
        <v>45213</v>
      </c>
      <c r="H251" t="inlineStr"/>
      <c r="I251" s="6">
        <f>HYPERLINK("https://www.kleinanzeigen.de/s-anzeige/gabelbaum-gun-sails-140-190-windsurfen-gun-sails/2572304100-230-4176", "Link")</f>
        <v/>
      </c>
      <c r="J251" s="6">
        <f>HYPERLINK("C:\Projects\Kleinanzeigen-Scraper\offer_images\2572304100", "Link")</f>
        <v/>
      </c>
      <c r="K251" t="inlineStr">
        <is>
          <t>Sven</t>
        </is>
      </c>
      <c r="L251" s="6">
        <f>HYPERLINK("https://www.kleinanzeigen.de/s-bestandsliste.html?userId=12336993", "Link")</f>
        <v/>
      </c>
      <c r="M251" s="7" t="n">
        <v>45549.57163194445</v>
      </c>
      <c r="N251" s="3" t="inlineStr">
        <is>
          <t>310.28</t>
        </is>
      </c>
      <c r="O251" t="inlineStr">
        <is>
          <t>München</t>
        </is>
      </c>
    </row>
    <row r="252">
      <c r="A252" t="inlineStr">
        <is>
          <t>Progression</t>
        </is>
      </c>
      <c r="B252" t="inlineStr"/>
      <c r="C252" t="inlineStr"/>
      <c r="D252" s="4" t="n">
        <v>10</v>
      </c>
      <c r="E252" t="inlineStr"/>
      <c r="F252" t="inlineStr">
        <is>
          <t>41564 Nordrhein-Westfalen - Kaarst</t>
        </is>
      </c>
      <c r="G252" s="5" t="n">
        <v>45548</v>
      </c>
      <c r="H252" t="inlineStr">
        <is>
          <t>Sold</t>
        </is>
      </c>
      <c r="I252" s="6">
        <f>HYPERLINK("https://www.kleinanzeigen.de/s-anzeige/windsurf-gabelbaum/2862361831-230-2107", "Link")</f>
        <v/>
      </c>
      <c r="J252" s="6">
        <f>HYPERLINK("C:\Projects\Kleinanzeigen-Scraper\offer_images\2862361831", "Link")</f>
        <v/>
      </c>
      <c r="K252" t="inlineStr">
        <is>
          <t>Hans-Jürgen</t>
        </is>
      </c>
      <c r="L252" s="6">
        <f>HYPERLINK("https://www.kleinanzeigen.de/s-bestandsliste.html?userId=67801432", "Link")</f>
        <v/>
      </c>
      <c r="M252" s="7" t="n">
        <v>45549.57148148148</v>
      </c>
      <c r="N252" s="3" t="inlineStr">
        <is>
          <t>39.22</t>
        </is>
      </c>
      <c r="O252" t="inlineStr">
        <is>
          <t>Köln</t>
        </is>
      </c>
    </row>
    <row r="253">
      <c r="A253" t="inlineStr">
        <is>
          <t>North Sails Silver</t>
        </is>
      </c>
      <c r="B253" t="inlineStr">
        <is>
          <t>206-256</t>
        </is>
      </c>
      <c r="C253" t="inlineStr"/>
      <c r="D253" s="4" t="n">
        <v>90</v>
      </c>
      <c r="E253" t="inlineStr">
        <is>
          <t>VB</t>
        </is>
      </c>
      <c r="F253" t="inlineStr">
        <is>
          <t>22393 Wandsbek - Hamburg Sasel</t>
        </is>
      </c>
      <c r="G253" s="5" t="n">
        <v>45536</v>
      </c>
      <c r="H253" t="inlineStr">
        <is>
          <t>Sold</t>
        </is>
      </c>
      <c r="I253" s="6">
        <f>HYPERLINK("https://www.kleinanzeigen.de/s-anzeige/north-sails-silver-gabelbaum/2851326893-230-18783", "Link")</f>
        <v/>
      </c>
      <c r="J253" s="6">
        <f>HYPERLINK("C:\Projects\Kleinanzeigen-Scraper\offer_images\2851326893", "Link")</f>
        <v/>
      </c>
      <c r="K253" t="inlineStr">
        <is>
          <t>Oliver</t>
        </is>
      </c>
      <c r="L253" s="6">
        <f>HYPERLINK("https://www.kleinanzeigen.de/s-bestandsliste.html?userId=8582943", "Link")</f>
        <v/>
      </c>
      <c r="M253" s="7" t="n">
        <v>45549.57142361111</v>
      </c>
      <c r="N253" s="3" t="inlineStr">
        <is>
          <t>370.55</t>
        </is>
      </c>
      <c r="O253" t="inlineStr">
        <is>
          <t>Köln</t>
        </is>
      </c>
    </row>
    <row r="254">
      <c r="A254" t="inlineStr">
        <is>
          <t>RRD M T9 / Avant</t>
        </is>
      </c>
      <c r="B254" t="inlineStr">
        <is>
          <t>180-240</t>
        </is>
      </c>
      <c r="C254" t="inlineStr"/>
      <c r="D254" s="4" t="n">
        <v>160</v>
      </c>
      <c r="E254" t="inlineStr"/>
      <c r="F254" t="inlineStr">
        <is>
          <t>82211 Bayern - Herrsching</t>
        </is>
      </c>
      <c r="G254" s="5" t="n">
        <v>45545</v>
      </c>
      <c r="H254" t="inlineStr"/>
      <c r="I254" s="6">
        <f>HYPERLINK("https://www.kleinanzeigen.de/s-anzeige/rrd-m-t9-avant-180-240-gabelbaum/2859859220-230-5520", "Link")</f>
        <v/>
      </c>
      <c r="J254" s="6">
        <f>HYPERLINK("C:\Projects\Kleinanzeigen-Scraper\offer_images\2859859220", "Link")</f>
        <v/>
      </c>
      <c r="K254" t="inlineStr">
        <is>
          <t>Flo</t>
        </is>
      </c>
      <c r="L254" s="6">
        <f>HYPERLINK("https://www.kleinanzeigen.de/s-bestandsliste.html?userId=16645592", "Link")</f>
        <v/>
      </c>
      <c r="M254" s="7" t="n">
        <v>45549.57142361111</v>
      </c>
      <c r="N254" s="3" t="inlineStr">
        <is>
          <t>32.73</t>
        </is>
      </c>
      <c r="O254" t="inlineStr">
        <is>
          <t>München</t>
        </is>
      </c>
    </row>
    <row r="255">
      <c r="A255" t="inlineStr"/>
      <c r="B255" t="inlineStr">
        <is>
          <t>140-190, 170, 150-170, 195-240</t>
        </is>
      </c>
      <c r="C255" t="inlineStr"/>
      <c r="D255" s="4" t="n">
        <v>150</v>
      </c>
      <c r="E255" t="inlineStr">
        <is>
          <t>VB</t>
        </is>
      </c>
      <c r="F255" t="inlineStr">
        <is>
          <t>44137 Dortmund - Innenstadt-West</t>
        </is>
      </c>
      <c r="G255" s="5" t="n">
        <v>45548</v>
      </c>
      <c r="H255" t="inlineStr">
        <is>
          <t>Sold</t>
        </is>
      </c>
      <c r="I255" s="6">
        <f>HYPERLINK("https://www.kleinanzeigen.de/s-anzeige/gabel-gabelbaum-boom-alu-windsurf-zum-windsurfen/2861762065-230-1110", "Link")</f>
        <v/>
      </c>
      <c r="J255" s="6">
        <f>HYPERLINK("C:\Projects\Kleinanzeigen-Scraper\offer_images\2861762065", "Link")</f>
        <v/>
      </c>
      <c r="K255" t="inlineStr">
        <is>
          <t>Ingvar</t>
        </is>
      </c>
      <c r="L255" s="6">
        <f>HYPERLINK("https://www.kleinanzeigen.de/s-bestandsliste.html?userId=3151838", "Link")</f>
        <v/>
      </c>
      <c r="M255" s="7" t="n">
        <v>45549.57142361111</v>
      </c>
      <c r="N255" s="3" t="inlineStr">
        <is>
          <t>71.86</t>
        </is>
      </c>
      <c r="O255" t="inlineStr">
        <is>
          <t>Köln</t>
        </is>
      </c>
    </row>
    <row r="256">
      <c r="A256" t="inlineStr">
        <is>
          <t>Severne Enigma</t>
        </is>
      </c>
      <c r="B256" t="inlineStr">
        <is>
          <t>190-240</t>
        </is>
      </c>
      <c r="C256" t="inlineStr"/>
      <c r="D256" s="4" t="n">
        <v>855</v>
      </c>
      <c r="E256" t="inlineStr"/>
      <c r="F256" t="inlineStr">
        <is>
          <t>87435 Bayern - Kempten</t>
        </is>
      </c>
      <c r="G256" s="5" t="n">
        <v>45501</v>
      </c>
      <c r="H256" t="inlineStr"/>
      <c r="I256" s="6">
        <f>HYPERLINK("https://www.kleinanzeigen.de/s-anzeige/severne-enigma-race-boom-gabelbaum-190-240/2823259240-230-7619", "Link")</f>
        <v/>
      </c>
      <c r="J256" s="6">
        <f>HYPERLINK("C:\Projects\Kleinanzeigen-Scraper\offer_images\2823259240", "Link")</f>
        <v/>
      </c>
      <c r="K256" t="inlineStr">
        <is>
          <t>Herr M</t>
        </is>
      </c>
      <c r="L256" s="6">
        <f>HYPERLINK("https://www.kleinanzeigen.de/s-bestandsliste.html?userId=9106013", "Link")</f>
        <v/>
      </c>
      <c r="M256" s="7" t="n">
        <v>45549.57135416667</v>
      </c>
      <c r="N256" s="3" t="inlineStr">
        <is>
          <t>104.77</t>
        </is>
      </c>
      <c r="O256" t="inlineStr">
        <is>
          <t>München</t>
        </is>
      </c>
    </row>
    <row r="257">
      <c r="A257" t="inlineStr">
        <is>
          <t>Severne Metal</t>
        </is>
      </c>
      <c r="B257" t="inlineStr">
        <is>
          <t>140-190</t>
        </is>
      </c>
      <c r="C257" t="inlineStr"/>
      <c r="D257" s="4" t="n">
        <v>180</v>
      </c>
      <c r="E257" t="inlineStr">
        <is>
          <t>VB</t>
        </is>
      </c>
      <c r="F257" t="inlineStr">
        <is>
          <t>84095 Kr. Landshut - Furth</t>
        </is>
      </c>
      <c r="G257" s="5" t="n">
        <v>45532</v>
      </c>
      <c r="H257" t="inlineStr">
        <is>
          <t>Sold</t>
        </is>
      </c>
      <c r="I257" s="6">
        <f>HYPERLINK("https://www.kleinanzeigen.de/s-anzeige/severne-metal-wave-gabelbaum-140-190cm/2848766077-230-6398", "Link")</f>
        <v/>
      </c>
      <c r="J257" s="6">
        <f>HYPERLINK("C:\Projects\Kleinanzeigen-Scraper\offer_images\2848766077", "Link")</f>
        <v/>
      </c>
      <c r="K257" t="inlineStr">
        <is>
          <t>Niklas</t>
        </is>
      </c>
      <c r="L257" s="6">
        <f>HYPERLINK("https://www.kleinanzeigen.de/s-bestandsliste.html?userId=22205576", "Link")</f>
        <v/>
      </c>
      <c r="M257" s="7" t="n">
        <v>45549.57129629629</v>
      </c>
      <c r="N257" s="3" t="inlineStr">
        <is>
          <t>60.37</t>
        </is>
      </c>
      <c r="O257" t="inlineStr">
        <is>
          <t>München</t>
        </is>
      </c>
    </row>
    <row r="258">
      <c r="A258" t="inlineStr">
        <is>
          <t>Severne Enigma</t>
        </is>
      </c>
      <c r="B258" t="inlineStr">
        <is>
          <t>170-220</t>
        </is>
      </c>
      <c r="C258" t="inlineStr"/>
      <c r="D258" s="4" t="n">
        <v>450</v>
      </c>
      <c r="E258" t="inlineStr"/>
      <c r="F258" t="inlineStr">
        <is>
          <t>85435 Bayern - Erding</t>
        </is>
      </c>
      <c r="G258" s="5" t="n">
        <v>45539</v>
      </c>
      <c r="H258" t="inlineStr">
        <is>
          <t>Sold</t>
        </is>
      </c>
      <c r="I258" s="6">
        <f>HYPERLINK("https://www.kleinanzeigen.de/s-anzeige/severne-enigma-carbon-170-220/2854182587-230-6080", "Link")</f>
        <v/>
      </c>
      <c r="J258" s="6">
        <f>HYPERLINK("C:\Projects\Kleinanzeigen-Scraper\offer_images\2854182587", "Link")</f>
        <v/>
      </c>
      <c r="K258" t="inlineStr">
        <is>
          <t>Christian Sailer</t>
        </is>
      </c>
      <c r="L258" s="6">
        <f>HYPERLINK("https://www.kleinanzeigen.de/s-bestandsliste.html?userId=117874957", "Link")</f>
        <v/>
      </c>
      <c r="M258" s="7" t="n">
        <v>45549.57103009259</v>
      </c>
      <c r="N258" s="3" t="inlineStr">
        <is>
          <t>32.53</t>
        </is>
      </c>
      <c r="O258" t="inlineStr">
        <is>
          <t>München</t>
        </is>
      </c>
    </row>
    <row r="259">
      <c r="A259" t="inlineStr">
        <is>
          <t>Neilpryde</t>
        </is>
      </c>
      <c r="B259" t="inlineStr"/>
      <c r="C259" t="inlineStr"/>
      <c r="D259" s="4" t="inlineStr">
        <is>
          <t>Zu verschenken</t>
        </is>
      </c>
      <c r="E259" t="inlineStr"/>
      <c r="F259" t="inlineStr">
        <is>
          <t>38120 Niedersachsen - Braunschweig</t>
        </is>
      </c>
      <c r="G259" s="5" t="n">
        <v>45527</v>
      </c>
      <c r="H259" t="inlineStr"/>
      <c r="I259" s="6">
        <f>HYPERLINK("https://www.kleinanzeigen.de/s-anzeige/windsurfgabel-neilpryde/2844249768-230-2453", "Link")</f>
        <v/>
      </c>
      <c r="J259" s="6">
        <f>HYPERLINK("C:\Projects\Kleinanzeigen-Scraper\offer_images\2844249768", "Link")</f>
        <v/>
      </c>
      <c r="K259" t="inlineStr">
        <is>
          <t>Rico</t>
        </is>
      </c>
      <c r="L259" s="6">
        <f>HYPERLINK("https://www.kleinanzeigen.de/s-bestandsliste.html?userId=12353639", "Link")</f>
        <v/>
      </c>
      <c r="M259" s="7" t="n">
        <v>45549.57083333333</v>
      </c>
      <c r="N259" s="3" t="inlineStr">
        <is>
          <t>283.50</t>
        </is>
      </c>
      <c r="O259" t="inlineStr">
        <is>
          <t>Köln</t>
        </is>
      </c>
    </row>
    <row r="260">
      <c r="A260" t="inlineStr">
        <is>
          <t>AL360</t>
        </is>
      </c>
      <c r="B260" t="inlineStr">
        <is>
          <t>140-190</t>
        </is>
      </c>
      <c r="C260" t="inlineStr"/>
      <c r="D260" s="4" t="n">
        <v>485</v>
      </c>
      <c r="E260" t="inlineStr"/>
      <c r="F260" t="inlineStr">
        <is>
          <t>3012 Leuven</t>
        </is>
      </c>
      <c r="G260" s="5" t="n">
        <v>45548</v>
      </c>
      <c r="H260" t="inlineStr">
        <is>
          <t>Sold</t>
        </is>
      </c>
      <c r="I260" s="6">
        <f>HYPERLINK("https://www.dailydose.de/kleinanzeigen/detail.htm?ai=422504&amp;cf=kk&amp;pg=1&amp;ci=13", "Link")</f>
        <v/>
      </c>
      <c r="J260" s="6">
        <f>HYPERLINK("C:\Projects\Kleinanzeigen-Scraper\offer_images\422504", "Link")</f>
        <v/>
      </c>
      <c r="K260" t="inlineStr">
        <is>
          <t>berkenboschk</t>
        </is>
      </c>
      <c r="L260" s="6">
        <f>HYPERLINK("https://www.dailydose.de/kleinanzeigen/user/26402", "Link")</f>
        <v/>
      </c>
      <c r="M260" s="7" t="n">
        <v>45548.55195601852</v>
      </c>
      <c r="N260" s="3" t="inlineStr">
        <is>
          <t>157.91</t>
        </is>
      </c>
      <c r="O260" t="inlineStr">
        <is>
          <t>Köln</t>
        </is>
      </c>
    </row>
    <row r="261">
      <c r="A261" t="inlineStr">
        <is>
          <t>AL360</t>
        </is>
      </c>
      <c r="B261" t="inlineStr">
        <is>
          <t>180-240</t>
        </is>
      </c>
      <c r="C261" t="inlineStr"/>
      <c r="D261" s="4" t="n">
        <v>290</v>
      </c>
      <c r="E261" t="inlineStr"/>
      <c r="F261" t="inlineStr">
        <is>
          <t>versand Marl</t>
        </is>
      </c>
      <c r="G261" s="5" t="n">
        <v>45547</v>
      </c>
      <c r="H261" t="inlineStr">
        <is>
          <t>Sold</t>
        </is>
      </c>
      <c r="I261" s="6">
        <f>HYPERLINK("https://www.dailydose.de/kleinanzeigen/detail.htm?ai=422478&amp;cf=kk&amp;pg=1&amp;ci=13", "Link")</f>
        <v/>
      </c>
      <c r="J261" s="6">
        <f>HYPERLINK("C:\Projects\Kleinanzeigen-Scraper\offer_images\422478", "Link")</f>
        <v/>
      </c>
      <c r="K261" t="inlineStr">
        <is>
          <t>Margarethe</t>
        </is>
      </c>
      <c r="L261" s="6">
        <f>HYPERLINK("https://www.dailydose.de/kleinanzeigen/user/9256", "Link")</f>
        <v/>
      </c>
      <c r="M261" s="7" t="n">
        <v>45548.55142361111</v>
      </c>
      <c r="N261" s="3" t="inlineStr">
        <is>
          <t>79.46</t>
        </is>
      </c>
      <c r="O261" t="inlineStr">
        <is>
          <t>Köln</t>
        </is>
      </c>
    </row>
    <row r="262">
      <c r="A262" t="inlineStr">
        <is>
          <t>NP Neilpryde Pryde</t>
        </is>
      </c>
      <c r="B262" t="inlineStr">
        <is>
          <t>180-230</t>
        </is>
      </c>
      <c r="C262" t="inlineStr"/>
      <c r="D262" s="4" t="n">
        <v>89</v>
      </c>
      <c r="E262" t="inlineStr">
        <is>
          <t>VB</t>
        </is>
      </c>
      <c r="F262" t="inlineStr">
        <is>
          <t>64665 Hessen - Alsbach-Hähnlein</t>
        </is>
      </c>
      <c r="G262" s="5" t="n">
        <v>45547</v>
      </c>
      <c r="H262" t="inlineStr"/>
      <c r="I262" s="6">
        <f>HYPERLINK("https://www.kleinanzeigen.de/s-anzeige/np-neilpryde-pryde-gabelbaum-x6-180-230-cm-windsurf/2860968756-230-4511", "Link")</f>
        <v/>
      </c>
      <c r="J262" s="6">
        <f>HYPERLINK("C:\Projects\Kleinanzeigen-Scraper\offer_images\2860968756", "Link")</f>
        <v/>
      </c>
      <c r="K262" t="inlineStr">
        <is>
          <t>Matthias</t>
        </is>
      </c>
      <c r="L262" s="6">
        <f>HYPERLINK("https://www.kleinanzeigen.de/s-bestandsliste.html?userId=6736192", "Link")</f>
        <v/>
      </c>
      <c r="M262" s="7" t="n">
        <v>45548.54954861111</v>
      </c>
      <c r="N262" s="3" t="inlineStr">
        <is>
          <t>82.33</t>
        </is>
      </c>
      <c r="O262" t="inlineStr">
        <is>
          <t>Karlsruhe</t>
        </is>
      </c>
    </row>
    <row r="263">
      <c r="A263" t="inlineStr">
        <is>
          <t>Gunsails Cross</t>
        </is>
      </c>
      <c r="B263" t="inlineStr">
        <is>
          <t>150-200</t>
        </is>
      </c>
      <c r="C263" t="inlineStr"/>
      <c r="D263" s="4" t="n">
        <v>70</v>
      </c>
      <c r="E263" t="inlineStr"/>
      <c r="F263" t="inlineStr">
        <is>
          <t>66386 Saarland - St. Ingbert</t>
        </is>
      </c>
      <c r="G263" s="5" t="n">
        <v>45547</v>
      </c>
      <c r="H263" t="inlineStr">
        <is>
          <t>Sold</t>
        </is>
      </c>
      <c r="I263" s="6">
        <f>HYPERLINK("https://www.kleinanzeigen.de/s-anzeige/gunsails-cross-windsurf-gabelbaum-150-200cm-rdm-geeignet/2861251160-230-303", "Link")</f>
        <v/>
      </c>
      <c r="J263" s="6">
        <f>HYPERLINK("C:\Projects\Kleinanzeigen-Scraper\offer_images\2861251160", "Link")</f>
        <v/>
      </c>
      <c r="K263" t="inlineStr">
        <is>
          <t>Latz C.</t>
        </is>
      </c>
      <c r="L263" s="6">
        <f>HYPERLINK("https://www.kleinanzeigen.de/s-bestandsliste.html?userId=13740621", "Link")</f>
        <v/>
      </c>
      <c r="M263" s="7" t="n">
        <v>45548.54891203704</v>
      </c>
      <c r="N263" s="3" t="inlineStr">
        <is>
          <t>96.65</t>
        </is>
      </c>
      <c r="O263" t="inlineStr">
        <is>
          <t>Karlsruhe</t>
        </is>
      </c>
    </row>
    <row r="264">
      <c r="A264" t="inlineStr">
        <is>
          <t>Severne</t>
        </is>
      </c>
      <c r="B264" t="inlineStr">
        <is>
          <t>140-190</t>
        </is>
      </c>
      <c r="C264" t="inlineStr"/>
      <c r="D264" s="4" t="n">
        <v>130</v>
      </c>
      <c r="E264" t="inlineStr"/>
      <c r="F264" t="inlineStr">
        <is>
          <t>18057 Rostock</t>
        </is>
      </c>
      <c r="G264" s="5" t="n">
        <v>45547</v>
      </c>
      <c r="H264" t="inlineStr">
        <is>
          <t>Sold</t>
        </is>
      </c>
      <c r="I264" s="6">
        <f>HYPERLINK("https://www.dailydose.de/kleinanzeigen/detail.htm?ai=422451&amp;cf=kk&amp;pg=1&amp;ci=13", "Link")</f>
        <v/>
      </c>
      <c r="J264" s="6">
        <f>HYPERLINK("C:\Projects\Kleinanzeigen-Scraper\offer_images\422451", "Link")</f>
        <v/>
      </c>
      <c r="K264" t="inlineStr">
        <is>
          <t>Marko333</t>
        </is>
      </c>
      <c r="L264" s="6">
        <f>HYPERLINK("https://www.dailydose.de/kleinanzeigen/user/26327", "Link")</f>
        <v/>
      </c>
      <c r="M264" s="7" t="n">
        <v>45547.55601851852</v>
      </c>
      <c r="N264" s="3" t="inlineStr">
        <is>
          <t>494.07</t>
        </is>
      </c>
      <c r="O264" t="inlineStr">
        <is>
          <t>Köln</t>
        </is>
      </c>
    </row>
    <row r="265">
      <c r="A265" t="inlineStr">
        <is>
          <t>Naish Race</t>
        </is>
      </c>
      <c r="B265" t="inlineStr">
        <is>
          <t>200-250</t>
        </is>
      </c>
      <c r="C265" t="inlineStr"/>
      <c r="D265" s="4" t="n">
        <v>65</v>
      </c>
      <c r="E265" t="inlineStr"/>
      <c r="F265" t="inlineStr">
        <is>
          <t>12527 Berlin</t>
        </is>
      </c>
      <c r="G265" s="5" t="n">
        <v>45546</v>
      </c>
      <c r="H265" t="inlineStr">
        <is>
          <t>Sold</t>
        </is>
      </c>
      <c r="I265" s="6">
        <f>HYPERLINK("https://www.dailydose.de/kleinanzeigen/detail.htm?ai=422405&amp;cf=kk&amp;pg=1&amp;ci=13", "Link")</f>
        <v/>
      </c>
      <c r="J265" s="6">
        <f>HYPERLINK("C:\Projects\Kleinanzeigen-Scraper\offer_images\422405", "Link")</f>
        <v/>
      </c>
      <c r="K265" t="inlineStr">
        <is>
          <t>newt3</t>
        </is>
      </c>
      <c r="L265" s="6">
        <f>HYPERLINK("https://www.dailydose.de/kleinanzeigen/user/22148", "Link")</f>
        <v/>
      </c>
      <c r="M265" s="7" t="n">
        <v>45547.55537037037</v>
      </c>
      <c r="N265" s="3" t="inlineStr">
        <is>
          <t>487.71</t>
        </is>
      </c>
      <c r="O265" t="inlineStr">
        <is>
          <t>Köln</t>
        </is>
      </c>
    </row>
    <row r="266">
      <c r="A266" t="inlineStr">
        <is>
          <t>Aeron</t>
        </is>
      </c>
      <c r="B266" t="inlineStr">
        <is>
          <t>140-190</t>
        </is>
      </c>
      <c r="C266" t="inlineStr"/>
      <c r="D266" s="4" t="n">
        <v>60</v>
      </c>
      <c r="E266" t="inlineStr"/>
      <c r="F266" t="inlineStr">
        <is>
          <t>04509 Delitzsch</t>
        </is>
      </c>
      <c r="G266" s="5" t="n">
        <v>45547</v>
      </c>
      <c r="H266" t="inlineStr">
        <is>
          <t>Sold</t>
        </is>
      </c>
      <c r="I266" s="6">
        <f>HYPERLINK("https://www.dailydose.de/kleinanzeigen/detail.htm?ai=422454&amp;cf=kk&amp;pg=1&amp;ci=13", "Link")</f>
        <v/>
      </c>
      <c r="J266" s="6">
        <f>HYPERLINK("C:\Projects\Kleinanzeigen-Scraper\offer_images\422454", "Link")</f>
        <v/>
      </c>
      <c r="K266" t="inlineStr">
        <is>
          <t>Linda85</t>
        </is>
      </c>
      <c r="L266" s="6">
        <f>HYPERLINK("https://www.dailydose.de/kleinanzeigen/user/26351", "Link")</f>
        <v/>
      </c>
      <c r="M266" s="7" t="n">
        <v>45547.55515046296</v>
      </c>
      <c r="N266" s="3" t="inlineStr">
        <is>
          <t>377.99</t>
        </is>
      </c>
      <c r="O266" t="inlineStr">
        <is>
          <t>Köln</t>
        </is>
      </c>
    </row>
    <row r="267">
      <c r="A267" t="inlineStr">
        <is>
          <t>Gaastra Carbon</t>
        </is>
      </c>
      <c r="B267" t="inlineStr">
        <is>
          <t>160-210</t>
        </is>
      </c>
      <c r="C267" t="inlineStr"/>
      <c r="D267" s="4" t="n">
        <v>380</v>
      </c>
      <c r="E267" t="inlineStr"/>
      <c r="F267" t="inlineStr">
        <is>
          <t>12527 Berlin</t>
        </is>
      </c>
      <c r="G267" s="5" t="n">
        <v>45546</v>
      </c>
      <c r="H267" t="inlineStr">
        <is>
          <t>Sold</t>
        </is>
      </c>
      <c r="I267" s="6">
        <f>HYPERLINK("https://www.dailydose.de/kleinanzeigen/detail.htm?ai=422402&amp;cf=kk&amp;pg=1&amp;ci=13", "Link")</f>
        <v/>
      </c>
      <c r="J267" s="6">
        <f>HYPERLINK("C:\Projects\Kleinanzeigen-Scraper\offer_images\422402", "Link")</f>
        <v/>
      </c>
      <c r="K267" t="inlineStr">
        <is>
          <t>newt3</t>
        </is>
      </c>
      <c r="L267" s="6">
        <f>HYPERLINK("https://www.dailydose.de/kleinanzeigen/user/22148", "Link")</f>
        <v/>
      </c>
      <c r="M267" s="7" t="n">
        <v>45547.55482638889</v>
      </c>
      <c r="N267" s="3" t="inlineStr">
        <is>
          <t>487.71</t>
        </is>
      </c>
      <c r="O267" t="inlineStr">
        <is>
          <t>Köln</t>
        </is>
      </c>
    </row>
    <row r="268">
      <c r="A268" t="inlineStr">
        <is>
          <t>Aeron</t>
        </is>
      </c>
      <c r="B268" t="inlineStr">
        <is>
          <t>140-190</t>
        </is>
      </c>
      <c r="C268" t="inlineStr"/>
      <c r="D268" s="4" t="n">
        <v>60</v>
      </c>
      <c r="E268" t="inlineStr"/>
      <c r="F268" t="inlineStr">
        <is>
          <t>04509 Delitzsch</t>
        </is>
      </c>
      <c r="G268" s="5" t="n">
        <v>45547</v>
      </c>
      <c r="H268" t="inlineStr">
        <is>
          <t>Sold</t>
        </is>
      </c>
      <c r="I268" s="6">
        <f>HYPERLINK("https://www.dailydose.de/kleinanzeigen/detail.htm?ai=422453&amp;cf=kk&amp;pg=1&amp;ci=13", "Link")</f>
        <v/>
      </c>
      <c r="J268" s="6">
        <f>HYPERLINK("C:\Projects\Kleinanzeigen-Scraper\offer_images\422453", "Link")</f>
        <v/>
      </c>
      <c r="K268" t="inlineStr">
        <is>
          <t>Linda85</t>
        </is>
      </c>
      <c r="L268" s="6">
        <f>HYPERLINK("https://www.dailydose.de/kleinanzeigen/user/26351", "Link")</f>
        <v/>
      </c>
      <c r="M268" s="7" t="n">
        <v>45547.55324074074</v>
      </c>
      <c r="N268" s="3" t="inlineStr">
        <is>
          <t>377.99</t>
        </is>
      </c>
      <c r="O268" t="inlineStr">
        <is>
          <t>Köln</t>
        </is>
      </c>
    </row>
    <row r="269">
      <c r="A269" t="inlineStr">
        <is>
          <t>Fiberspar</t>
        </is>
      </c>
      <c r="B269" t="inlineStr">
        <is>
          <t>144-192</t>
        </is>
      </c>
      <c r="C269" t="inlineStr"/>
      <c r="D269" s="4" t="n">
        <v>222</v>
      </c>
      <c r="E269" t="inlineStr"/>
      <c r="F269" t="inlineStr">
        <is>
          <t>12527 Berlin</t>
        </is>
      </c>
      <c r="G269" s="5" t="n">
        <v>45546</v>
      </c>
      <c r="H269" t="inlineStr">
        <is>
          <t>Sold</t>
        </is>
      </c>
      <c r="I269" s="6">
        <f>HYPERLINK("https://www.dailydose.de/kleinanzeigen/detail.htm?ai=422404&amp;cf=kk&amp;pg=1&amp;ci=13", "Link")</f>
        <v/>
      </c>
      <c r="J269" s="6">
        <f>HYPERLINK("C:\Projects\Kleinanzeigen-Scraper\offer_images\422404", "Link")</f>
        <v/>
      </c>
      <c r="K269" t="inlineStr">
        <is>
          <t>newt3</t>
        </is>
      </c>
      <c r="L269" s="6">
        <f>HYPERLINK("https://www.dailydose.de/kleinanzeigen/user/22148", "Link")</f>
        <v/>
      </c>
      <c r="M269" s="7" t="n">
        <v>45547.55240740741</v>
      </c>
      <c r="N269" s="3" t="inlineStr">
        <is>
          <t>487.71</t>
        </is>
      </c>
      <c r="O269" t="inlineStr">
        <is>
          <t>Köln</t>
        </is>
      </c>
    </row>
    <row r="270">
      <c r="A270" t="inlineStr"/>
      <c r="B270" t="inlineStr">
        <is>
          <t>295</t>
        </is>
      </c>
      <c r="C270" t="inlineStr"/>
      <c r="D270" s="4" t="n">
        <v>10</v>
      </c>
      <c r="E270" t="inlineStr"/>
      <c r="F270" t="inlineStr">
        <is>
          <t>81375 München - Hadern</t>
        </is>
      </c>
      <c r="G270" s="5" t="n">
        <v>45540</v>
      </c>
      <c r="H270" t="inlineStr">
        <is>
          <t>Sold</t>
        </is>
      </c>
      <c r="I270" s="6">
        <f>HYPERLINK("https://www.kleinanzeigen.de/s-anzeige/windsurf-boom-gabel-gabelbaum-aluminium/2855224980-230-6414", "Link")</f>
        <v/>
      </c>
      <c r="J270" s="6">
        <f>HYPERLINK("C:\Projects\Kleinanzeigen-Scraper\offer_images\2855224980", "Link")</f>
        <v/>
      </c>
      <c r="K270" t="inlineStr">
        <is>
          <t>Oliver</t>
        </is>
      </c>
      <c r="L270" s="6">
        <f>HYPERLINK("https://www.kleinanzeigen.de/s-bestandsliste.html?userId=9381727", "Link")</f>
        <v/>
      </c>
      <c r="M270" s="7" t="n">
        <v>45547.55184027777</v>
      </c>
      <c r="N270" s="3" t="inlineStr">
        <is>
          <t>6.23</t>
        </is>
      </c>
      <c r="O270" t="inlineStr">
        <is>
          <t>München</t>
        </is>
      </c>
    </row>
    <row r="271">
      <c r="A271" t="inlineStr">
        <is>
          <t>North Progression</t>
        </is>
      </c>
      <c r="B271" t="inlineStr">
        <is>
          <t>165-215</t>
        </is>
      </c>
      <c r="C271" t="inlineStr"/>
      <c r="D271" s="4" t="n">
        <v>30</v>
      </c>
      <c r="E271" t="inlineStr"/>
      <c r="F271" t="inlineStr">
        <is>
          <t>76448 Baden-Württemberg - Durmersheim</t>
        </is>
      </c>
      <c r="G271" s="5" t="n">
        <v>45546</v>
      </c>
      <c r="H271" t="inlineStr">
        <is>
          <t>Sold</t>
        </is>
      </c>
      <c r="I271" s="6">
        <f>HYPERLINK("https://www.kleinanzeigen.de/s-anzeige/windsurfen-gabelbaum-north-165-215-cm-progression-alu/2860276987-230-8165", "Link")</f>
        <v/>
      </c>
      <c r="J271" s="6">
        <f>HYPERLINK("C:\Projects\Kleinanzeigen-Scraper\offer_images\2860276987", "Link")</f>
        <v/>
      </c>
      <c r="K271" t="inlineStr">
        <is>
          <t>Thomas S.</t>
        </is>
      </c>
      <c r="L271" s="6">
        <f>HYPERLINK("https://www.kleinanzeigen.de/s-bestandsliste.html?userId=61821198", "Link")</f>
        <v/>
      </c>
      <c r="M271" s="7" t="n">
        <v>45547.55167824074</v>
      </c>
      <c r="N271" s="3" t="inlineStr">
        <is>
          <t>10.55</t>
        </is>
      </c>
      <c r="O271" t="inlineStr">
        <is>
          <t>Karlsruhe</t>
        </is>
      </c>
    </row>
    <row r="272">
      <c r="A272" t="inlineStr">
        <is>
          <t>Chinook RDG</t>
        </is>
      </c>
      <c r="B272" t="inlineStr">
        <is>
          <t>135-185</t>
        </is>
      </c>
      <c r="C272" t="inlineStr"/>
      <c r="D272" s="4" t="n">
        <v>640</v>
      </c>
      <c r="E272" t="inlineStr"/>
      <c r="F272" t="inlineStr">
        <is>
          <t>Kiel, Sylt, Bremen</t>
        </is>
      </c>
      <c r="G272" s="5" t="n">
        <v>45545</v>
      </c>
      <c r="H272" t="inlineStr"/>
      <c r="I272" s="6">
        <f>HYPERLINK("https://www.dailydose.de/kleinanzeigen/detail.htm?ai=422363&amp;cf=kk&amp;pg=2&amp;ci=13", "Link")</f>
        <v/>
      </c>
      <c r="J272" s="6">
        <f>HYPERLINK("C:\Projects\Kleinanzeigen-Scraper\offer_images\422363", "Link")</f>
        <v/>
      </c>
      <c r="K272" t="inlineStr">
        <is>
          <t>sybille</t>
        </is>
      </c>
      <c r="L272" s="6">
        <f>HYPERLINK("https://www.dailydose.de/kleinanzeigen/user/22818", "Link")</f>
        <v/>
      </c>
      <c r="M272" s="7" t="n">
        <v>45546.57881944445</v>
      </c>
      <c r="N272" s="3" t="inlineStr">
        <is>
          <t>271.41</t>
        </is>
      </c>
      <c r="O272" t="inlineStr">
        <is>
          <t>Köln</t>
        </is>
      </c>
    </row>
    <row r="273">
      <c r="A273" t="inlineStr">
        <is>
          <t>Gun Sails Select</t>
        </is>
      </c>
      <c r="B273" t="inlineStr">
        <is>
          <t>180-240</t>
        </is>
      </c>
      <c r="C273" t="inlineStr"/>
      <c r="D273" s="4" t="n">
        <v>300</v>
      </c>
      <c r="E273" t="inlineStr"/>
      <c r="F273" t="inlineStr">
        <is>
          <t>51377 Leverkusen</t>
        </is>
      </c>
      <c r="G273" s="5" t="n">
        <v>45546</v>
      </c>
      <c r="H273" t="inlineStr"/>
      <c r="I273" s="6">
        <f>HYPERLINK("https://www.dailydose.de/kleinanzeigen/detail.htm?ai=422392&amp;cf=kk&amp;pg=2&amp;ci=13", "Link")</f>
        <v/>
      </c>
      <c r="J273" s="6">
        <f>HYPERLINK("C:\Projects\Kleinanzeigen-Scraper\offer_images\422392", "Link")</f>
        <v/>
      </c>
      <c r="K273" t="inlineStr">
        <is>
          <t>johni007</t>
        </is>
      </c>
      <c r="L273" s="6">
        <f>HYPERLINK("https://www.dailydose.de/kleinanzeigen/user/11816", "Link")</f>
        <v/>
      </c>
      <c r="M273" s="7" t="n">
        <v>45546.57659722222</v>
      </c>
      <c r="N273" s="3" t="inlineStr">
        <is>
          <t>15.33</t>
        </is>
      </c>
      <c r="O273" t="inlineStr">
        <is>
          <t>Köln</t>
        </is>
      </c>
    </row>
    <row r="274">
      <c r="A274" t="inlineStr">
        <is>
          <t>Gun Sails Experte</t>
        </is>
      </c>
      <c r="B274" t="inlineStr">
        <is>
          <t>180-230</t>
        </is>
      </c>
      <c r="C274" t="inlineStr"/>
      <c r="D274" s="4" t="n">
        <v>90</v>
      </c>
      <c r="E274" t="inlineStr"/>
      <c r="F274" t="inlineStr">
        <is>
          <t>51377 Leverkusen</t>
        </is>
      </c>
      <c r="G274" s="5" t="n">
        <v>45546</v>
      </c>
      <c r="H274" t="inlineStr"/>
      <c r="I274" s="6">
        <f>HYPERLINK("https://www.dailydose.de/kleinanzeigen/detail.htm?ai=422391&amp;cf=kk&amp;pg=2&amp;ci=13", "Link")</f>
        <v/>
      </c>
      <c r="J274" s="6">
        <f>HYPERLINK("C:\Projects\Kleinanzeigen-Scraper\offer_images\422391", "Link")</f>
        <v/>
      </c>
      <c r="K274" t="inlineStr">
        <is>
          <t>johni007</t>
        </is>
      </c>
      <c r="L274" s="6">
        <f>HYPERLINK("https://www.dailydose.de/kleinanzeigen/user/11816", "Link")</f>
        <v/>
      </c>
      <c r="M274" s="7" t="n">
        <v>45546.57646990741</v>
      </c>
      <c r="N274" s="3" t="inlineStr">
        <is>
          <t>15.33</t>
        </is>
      </c>
      <c r="O274" t="inlineStr">
        <is>
          <t>Köln</t>
        </is>
      </c>
    </row>
    <row r="275">
      <c r="A275" t="inlineStr">
        <is>
          <t>Gun Sail</t>
        </is>
      </c>
      <c r="B275" t="inlineStr">
        <is>
          <t>200-250</t>
        </is>
      </c>
      <c r="C275" t="inlineStr"/>
      <c r="D275" s="4" t="n">
        <v>80</v>
      </c>
      <c r="E275" t="inlineStr"/>
      <c r="F275" t="inlineStr">
        <is>
          <t>58644 Nordrhein-Westfalen - Iserlohn</t>
        </is>
      </c>
      <c r="G275" s="5" t="n">
        <v>45545</v>
      </c>
      <c r="H275" t="inlineStr"/>
      <c r="I275" s="6">
        <f>HYPERLINK("https://www.kleinanzeigen.de/s-anzeige/windsurf-gabelbaum-gun-sail-aluminium-200-250/2859347807-230-1739", "Link")</f>
        <v/>
      </c>
      <c r="J275" s="6">
        <f>HYPERLINK("C:\Projects\Kleinanzeigen-Scraper\offer_images\2859347807", "Link")</f>
        <v/>
      </c>
      <c r="K275" t="inlineStr">
        <is>
          <t>Lena</t>
        </is>
      </c>
      <c r="L275" s="6">
        <f>HYPERLINK("https://www.kleinanzeigen.de/s-bestandsliste.html?userId=136942176", "Link")</f>
        <v/>
      </c>
      <c r="M275" s="7" t="n">
        <v>45546.57623842593</v>
      </c>
      <c r="N275" s="3" t="inlineStr">
        <is>
          <t>68.92</t>
        </is>
      </c>
      <c r="O275" t="inlineStr">
        <is>
          <t>Köln</t>
        </is>
      </c>
    </row>
    <row r="276">
      <c r="A276" t="inlineStr">
        <is>
          <t>North Gold</t>
        </is>
      </c>
      <c r="B276" t="inlineStr">
        <is>
          <t>170-220</t>
        </is>
      </c>
      <c r="C276" t="inlineStr"/>
      <c r="D276" s="4" t="n">
        <v>70</v>
      </c>
      <c r="E276" t="inlineStr"/>
      <c r="F276" t="inlineStr">
        <is>
          <t>10557 Berlin</t>
        </is>
      </c>
      <c r="G276" s="5" t="n">
        <v>45545</v>
      </c>
      <c r="H276" t="inlineStr">
        <is>
          <t>Sold</t>
        </is>
      </c>
      <c r="I276" s="6">
        <f>HYPERLINK("https://www.dailydose.de/kleinanzeigen/detail.htm?ai=422321&amp;cf=kk&amp;pg=1&amp;ci=13", "Link")</f>
        <v/>
      </c>
      <c r="J276" s="6">
        <f>HYPERLINK("C:\Projects\Kleinanzeigen-Scraper\offer_images\422321", "Link")</f>
        <v/>
      </c>
      <c r="K276" t="inlineStr">
        <is>
          <t>Fabian Becher</t>
        </is>
      </c>
      <c r="L276" s="6">
        <f>HYPERLINK("https://www.dailydose.de/kleinanzeigen/user/8106", "Link")</f>
        <v/>
      </c>
      <c r="M276" s="7" t="n">
        <v>45545.86549768518</v>
      </c>
      <c r="N276" s="3" t="inlineStr">
        <is>
          <t>475.20</t>
        </is>
      </c>
      <c r="O276" t="inlineStr">
        <is>
          <t>Köln</t>
        </is>
      </c>
    </row>
    <row r="277">
      <c r="A277" t="inlineStr">
        <is>
          <t>Duotone Platinum</t>
        </is>
      </c>
      <c r="B277" t="inlineStr">
        <is>
          <t>140-190</t>
        </is>
      </c>
      <c r="C277" t="inlineStr"/>
      <c r="D277" s="4" t="n">
        <v>329</v>
      </c>
      <c r="E277" t="inlineStr"/>
      <c r="F277" t="inlineStr">
        <is>
          <t>45897 Gelsenkirchen</t>
        </is>
      </c>
      <c r="G277" s="5" t="n">
        <v>45545</v>
      </c>
      <c r="H277" t="inlineStr"/>
      <c r="I277" s="6">
        <f>HYPERLINK("https://www.dailydose.de/kleinanzeigen/detail.htm?ai=422320&amp;cf=kk&amp;pg=2&amp;ci=13", "Link")</f>
        <v/>
      </c>
      <c r="J277" s="6">
        <f>HYPERLINK("C:\Projects\Kleinanzeigen-Scraper\offer_images\422320", "Link")</f>
        <v/>
      </c>
      <c r="K277" t="inlineStr">
        <is>
          <t>Josh_95</t>
        </is>
      </c>
      <c r="L277" s="6">
        <f>HYPERLINK("https://www.dailydose.de/kleinanzeigen/user/12533", "Link")</f>
        <v/>
      </c>
      <c r="M277" s="7" t="n">
        <v>45545.86451388889</v>
      </c>
      <c r="N277" s="3" t="inlineStr">
        <is>
          <t>69.88</t>
        </is>
      </c>
      <c r="O277" t="inlineStr">
        <is>
          <t>Köln</t>
        </is>
      </c>
    </row>
    <row r="278">
      <c r="A278" t="inlineStr">
        <is>
          <t>Neilpryde X3</t>
        </is>
      </c>
      <c r="B278" t="inlineStr">
        <is>
          <t>135-185</t>
        </is>
      </c>
      <c r="C278" t="inlineStr"/>
      <c r="D278" s="4" t="n">
        <v>60</v>
      </c>
      <c r="E278" t="inlineStr"/>
      <c r="F278" t="inlineStr">
        <is>
          <t>24114 Schleswig-Holstein - Kiel</t>
        </is>
      </c>
      <c r="G278" s="5" t="n">
        <v>45544</v>
      </c>
      <c r="H278" t="inlineStr"/>
      <c r="I278" s="6">
        <f>HYPERLINK("https://www.kleinanzeigen.de/s-anzeige/neilpryde-windsurf-gabel-x3/2858863006-230-697", "Link")</f>
        <v/>
      </c>
      <c r="J278" s="6">
        <f>HYPERLINK("C:\Projects\Kleinanzeigen-Scraper\offer_images\2858863006", "Link")</f>
        <v/>
      </c>
      <c r="K278" t="inlineStr">
        <is>
          <t>Sandra Mörschel</t>
        </is>
      </c>
      <c r="L278" s="6">
        <f>HYPERLINK("https://www.kleinanzeigen.de/s-bestandsliste.html?userId=5244741", "Link")</f>
        <v/>
      </c>
      <c r="M278" s="7" t="n">
        <v>45545.86173611111</v>
      </c>
      <c r="N278" s="3" t="inlineStr">
        <is>
          <t>431.59</t>
        </is>
      </c>
      <c r="O278" t="inlineStr">
        <is>
          <t>Köln</t>
        </is>
      </c>
    </row>
    <row r="279">
      <c r="A279" t="inlineStr">
        <is>
          <t>GunSails Advantage</t>
        </is>
      </c>
      <c r="B279" t="inlineStr">
        <is>
          <t>180-230</t>
        </is>
      </c>
      <c r="C279" t="inlineStr"/>
      <c r="D279" s="4" t="n">
        <v>70</v>
      </c>
      <c r="E279" t="inlineStr"/>
      <c r="F279" t="inlineStr">
        <is>
          <t>66640 Saarland - Namborn</t>
        </is>
      </c>
      <c r="G279" s="5" t="n">
        <v>45544</v>
      </c>
      <c r="H279" t="inlineStr">
        <is>
          <t>Sold</t>
        </is>
      </c>
      <c r="I279" s="6">
        <f>HYPERLINK("https://www.kleinanzeigen.de/s-anzeige/gabelbaum-windsurfen/2858529839-230-319", "Link")</f>
        <v/>
      </c>
      <c r="J279" s="6">
        <f>HYPERLINK("C:\Projects\Kleinanzeigen-Scraper\offer_images\2858529839", "Link")</f>
        <v/>
      </c>
      <c r="K279" t="inlineStr">
        <is>
          <t>Torsten Schmitt</t>
        </is>
      </c>
      <c r="L279" s="6">
        <f>HYPERLINK("https://www.kleinanzeigen.de/s-bestandsliste.html?userId=27967499", "Link")</f>
        <v/>
      </c>
      <c r="M279" s="7" t="n">
        <v>45545.86157407407</v>
      </c>
      <c r="N279" s="3" t="inlineStr">
        <is>
          <t>107.61</t>
        </is>
      </c>
      <c r="O279" t="inlineStr">
        <is>
          <t>Karlsruhe</t>
        </is>
      </c>
    </row>
    <row r="280">
      <c r="A280" t="inlineStr">
        <is>
          <t>North Sails</t>
        </is>
      </c>
      <c r="B280" t="inlineStr">
        <is>
          <t>150-200</t>
        </is>
      </c>
      <c r="C280" t="inlineStr"/>
      <c r="D280" s="4" t="n">
        <v>35</v>
      </c>
      <c r="E280" t="inlineStr"/>
      <c r="F280" t="inlineStr">
        <is>
          <t>92637 Bayern - Weiden (Oberpfalz)</t>
        </is>
      </c>
      <c r="G280" s="5" t="n">
        <v>45544</v>
      </c>
      <c r="H280" t="inlineStr">
        <is>
          <t>Sold</t>
        </is>
      </c>
      <c r="I280" s="6">
        <f>HYPERLINK("https://www.kleinanzeigen.de/s-anzeige/gabelbaum-boom-north-sails-boom-windsurfen-windsurf-gabel/2858878155-230-7219", "Link")</f>
        <v/>
      </c>
      <c r="J280" s="6">
        <f>HYPERLINK("C:\Projects\Kleinanzeigen-Scraper\offer_images\2858878155", "Link")</f>
        <v/>
      </c>
      <c r="K280" t="inlineStr">
        <is>
          <t>Ge.Ro.</t>
        </is>
      </c>
      <c r="L280" s="6">
        <f>HYPERLINK("https://www.kleinanzeigen.de/s-bestandsliste.html?userId=32298751", "Link")</f>
        <v/>
      </c>
      <c r="M280" s="7" t="n">
        <v>45545.86111111111</v>
      </c>
      <c r="N280" s="3" t="inlineStr">
        <is>
          <t>176.14</t>
        </is>
      </c>
      <c r="O280" t="inlineStr">
        <is>
          <t>München</t>
        </is>
      </c>
    </row>
    <row r="281">
      <c r="A281" t="inlineStr"/>
      <c r="B281" t="inlineStr">
        <is>
          <t>200-240</t>
        </is>
      </c>
      <c r="C281" t="inlineStr"/>
      <c r="D281" s="4" t="n">
        <v>50</v>
      </c>
      <c r="E281" t="inlineStr"/>
      <c r="F281" t="inlineStr">
        <is>
          <t>66640 Saarland - Namborn</t>
        </is>
      </c>
      <c r="G281" s="5" t="n">
        <v>45544</v>
      </c>
      <c r="H281" t="inlineStr">
        <is>
          <t>Sold</t>
        </is>
      </c>
      <c r="I281" s="6">
        <f>HYPERLINK("https://www.kleinanzeigen.de/s-anzeige/gabelbaum-windsurfen/2858533210-230-319", "Link")</f>
        <v/>
      </c>
      <c r="J281" s="6">
        <f>HYPERLINK("C:\Projects\Kleinanzeigen-Scraper\offer_images\2858533210", "Link")</f>
        <v/>
      </c>
      <c r="K281" t="inlineStr">
        <is>
          <t>Torsten Schmitt</t>
        </is>
      </c>
      <c r="L281" s="6">
        <f>HYPERLINK("https://www.kleinanzeigen.de/s-bestandsliste.html?userId=27967499", "Link")</f>
        <v/>
      </c>
      <c r="M281" s="7" t="n">
        <v>45545.86096064815</v>
      </c>
      <c r="N281" s="3" t="inlineStr">
        <is>
          <t>107.61</t>
        </is>
      </c>
      <c r="O281" t="inlineStr">
        <is>
          <t>Karlsruhe</t>
        </is>
      </c>
    </row>
    <row r="282">
      <c r="A282" t="inlineStr">
        <is>
          <t>North Sails (DUOTONE) SILVER</t>
        </is>
      </c>
      <c r="B282" t="inlineStr">
        <is>
          <t>180-230</t>
        </is>
      </c>
      <c r="C282" t="inlineStr"/>
      <c r="D282" s="4" t="n">
        <v>80</v>
      </c>
      <c r="E282" t="inlineStr">
        <is>
          <t>VB</t>
        </is>
      </c>
      <c r="F282" t="inlineStr">
        <is>
          <t>23909 Ratzeburg</t>
        </is>
      </c>
      <c r="G282" s="5" t="n">
        <v>45543</v>
      </c>
      <c r="H282" t="inlineStr"/>
      <c r="I282" s="6">
        <f>HYPERLINK("https://www.dailydose.de/kleinanzeigen/detail.htm?ai=422229&amp;cf=kk&amp;pg=2&amp;ci=13", "Link")</f>
        <v/>
      </c>
      <c r="J282" s="6">
        <f>HYPERLINK("C:\Projects\Kleinanzeigen-Scraper\offer_images\422229", "Link")</f>
        <v/>
      </c>
      <c r="K282" t="inlineStr">
        <is>
          <t>Insider</t>
        </is>
      </c>
      <c r="L282" s="6">
        <f>HYPERLINK("https://www.dailydose.de/kleinanzeigen/user/20603", "Link")</f>
        <v/>
      </c>
      <c r="M282" s="7" t="n">
        <v>45544.75194444445</v>
      </c>
      <c r="N282" s="3" t="inlineStr">
        <is>
          <t>401.75</t>
        </is>
      </c>
      <c r="O282" t="inlineStr">
        <is>
          <t>Köln</t>
        </is>
      </c>
    </row>
    <row r="283">
      <c r="A283" t="inlineStr">
        <is>
          <t>Gun Sails</t>
        </is>
      </c>
      <c r="B283" t="inlineStr">
        <is>
          <t>160-210</t>
        </is>
      </c>
      <c r="C283" t="inlineStr"/>
      <c r="D283" s="4" t="n">
        <v>70</v>
      </c>
      <c r="E283" t="inlineStr">
        <is>
          <t>VB</t>
        </is>
      </c>
      <c r="F283" t="inlineStr">
        <is>
          <t>23909 Fehmarn</t>
        </is>
      </c>
      <c r="G283" s="5" t="n">
        <v>45543</v>
      </c>
      <c r="H283" t="inlineStr">
        <is>
          <t>Sold</t>
        </is>
      </c>
      <c r="I283" s="6">
        <f>HYPERLINK("https://www.dailydose.de/kleinanzeigen/detail.htm?ai=422228&amp;cf=kk&amp;pg=1&amp;ci=13", "Link")</f>
        <v/>
      </c>
      <c r="J283" s="6">
        <f>HYPERLINK("C:\Projects\Kleinanzeigen-Scraper\offer_images\422228", "Link")</f>
        <v/>
      </c>
      <c r="K283" t="inlineStr">
        <is>
          <t>Insider</t>
        </is>
      </c>
      <c r="L283" s="6">
        <f>HYPERLINK("https://www.dailydose.de/kleinanzeigen/user/20603", "Link")</f>
        <v/>
      </c>
      <c r="M283" s="7" t="n">
        <v>45544.75135416666</v>
      </c>
      <c r="N283" s="3" t="inlineStr">
        <is>
          <t>401.75</t>
        </is>
      </c>
      <c r="O283" t="inlineStr">
        <is>
          <t>Köln</t>
        </is>
      </c>
    </row>
    <row r="284">
      <c r="A284" t="inlineStr">
        <is>
          <t>AL 360</t>
        </is>
      </c>
      <c r="B284" t="inlineStr">
        <is>
          <t>180-240</t>
        </is>
      </c>
      <c r="C284" t="inlineStr"/>
      <c r="D284" s="4" t="n">
        <v>290</v>
      </c>
      <c r="E284" t="inlineStr"/>
      <c r="F284" t="inlineStr">
        <is>
          <t>versand Nordrhein-Westfalen - Marl</t>
        </is>
      </c>
      <c r="G284" s="5" t="n">
        <v>45543</v>
      </c>
      <c r="H284" t="inlineStr">
        <is>
          <t>Sold</t>
        </is>
      </c>
      <c r="I284" s="6">
        <f>HYPERLINK("https://www.dailydose.de/kleinanzeigen/detail.htm?ai=422247&amp;cf=kk&amp;pg=1&amp;ci=13", "Link")</f>
        <v/>
      </c>
      <c r="J284" s="6">
        <f>HYPERLINK("C:\Projects\Kleinanzeigen-Scraper\offer_images\422247", "Link")</f>
        <v/>
      </c>
      <c r="K284" t="inlineStr">
        <is>
          <t>Margarethe</t>
        </is>
      </c>
      <c r="L284" s="6">
        <f>HYPERLINK("https://www.dailydose.de/kleinanzeigen/user/9256", "Link")</f>
        <v/>
      </c>
      <c r="M284" s="7" t="n">
        <v>45544.75092592592</v>
      </c>
      <c r="N284" s="3" t="inlineStr">
        <is>
          <t>293.93</t>
        </is>
      </c>
      <c r="O284" t="inlineStr">
        <is>
          <t>München</t>
        </is>
      </c>
    </row>
    <row r="285">
      <c r="A285" t="inlineStr">
        <is>
          <t>Unifiber Aluminium HD V-Grip</t>
        </is>
      </c>
      <c r="B285" t="inlineStr">
        <is>
          <t>180-230</t>
        </is>
      </c>
      <c r="C285" t="inlineStr"/>
      <c r="D285" s="4" t="n">
        <v>160</v>
      </c>
      <c r="E285" t="inlineStr">
        <is>
          <t>VB</t>
        </is>
      </c>
      <c r="F285" t="inlineStr">
        <is>
          <t>22848 Schleswig-Holstein - Norderstedt</t>
        </is>
      </c>
      <c r="G285" s="5" t="n">
        <v>45544</v>
      </c>
      <c r="H285" t="inlineStr">
        <is>
          <t>Sold</t>
        </is>
      </c>
      <c r="I285" s="6">
        <f>HYPERLINK("https://www.kleinanzeigen.de/s-anzeige/windsurfen-gabelbaum-unifiber-aluminium-hd-v-grip-180-230/2858181825-230-796", "Link")</f>
        <v/>
      </c>
      <c r="J285" s="6">
        <f>HYPERLINK("C:\Projects\Kleinanzeigen-Scraper\offer_images\2858181825", "Link")</f>
        <v/>
      </c>
      <c r="K285" t="inlineStr">
        <is>
          <t>Kai Schmidt</t>
        </is>
      </c>
      <c r="L285" s="6">
        <f>HYPERLINK("https://www.kleinanzeigen.de/s-bestandsliste.html?userId=296051", "Link")</f>
        <v/>
      </c>
      <c r="M285" s="7" t="n">
        <v>45544.74894675926</v>
      </c>
      <c r="N285" s="3" t="inlineStr">
        <is>
          <t>365.52</t>
        </is>
      </c>
      <c r="O285" t="inlineStr">
        <is>
          <t>Köln</t>
        </is>
      </c>
    </row>
    <row r="286">
      <c r="A286" t="inlineStr">
        <is>
          <t>Point 7 ALU+PRO</t>
        </is>
      </c>
      <c r="B286" t="inlineStr">
        <is>
          <t>200-250</t>
        </is>
      </c>
      <c r="C286" t="inlineStr"/>
      <c r="D286" s="4" t="n">
        <v>150</v>
      </c>
      <c r="E286" t="inlineStr">
        <is>
          <t>VB</t>
        </is>
      </c>
      <c r="F286" t="inlineStr">
        <is>
          <t>22397 Wandsbek - Hamburg Duvenstedt</t>
        </is>
      </c>
      <c r="G286" s="5" t="n">
        <v>45544</v>
      </c>
      <c r="H286" t="inlineStr"/>
      <c r="I286" s="6">
        <f>HYPERLINK("https://www.kleinanzeigen.de/s-anzeige/point-7-gabelbaum-alu-pro-windsurfen-200-250-np-259-/2858274775-230-9473", "Link")</f>
        <v/>
      </c>
      <c r="J286" s="6">
        <f>HYPERLINK("C:\Projects\Kleinanzeigen-Scraper\offer_images\2858274775", "Link")</f>
        <v/>
      </c>
      <c r="K286" t="inlineStr">
        <is>
          <t>Oliver</t>
        </is>
      </c>
      <c r="L286" s="6">
        <f>HYPERLINK("https://www.kleinanzeigen.de/s-bestandsliste.html?userId=14519056", "Link")</f>
        <v/>
      </c>
      <c r="M286" s="7" t="n">
        <v>45544.74856481481</v>
      </c>
      <c r="N286" s="3" t="inlineStr">
        <is>
          <t>373.25</t>
        </is>
      </c>
      <c r="O286" t="inlineStr">
        <is>
          <t>Köln</t>
        </is>
      </c>
    </row>
    <row r="287">
      <c r="A287" t="inlineStr">
        <is>
          <t>Severne Enigma</t>
        </is>
      </c>
      <c r="B287" t="inlineStr">
        <is>
          <t>180-230</t>
        </is>
      </c>
      <c r="C287" t="inlineStr"/>
      <c r="D287" s="4" t="n">
        <v>300</v>
      </c>
      <c r="E287" t="inlineStr"/>
      <c r="F287" t="inlineStr">
        <is>
          <t>86697 Neuburg a.d. Donau</t>
        </is>
      </c>
      <c r="G287" s="5" t="n">
        <v>45543</v>
      </c>
      <c r="H287" t="inlineStr"/>
      <c r="I287" s="6">
        <f>HYPERLINK("https://www.dailydose.de/kleinanzeigen/detail.htm?ai=422217&amp;cf=kk&amp;pg=2&amp;ci=13", "Link")</f>
        <v/>
      </c>
      <c r="J287" s="6">
        <f>HYPERLINK("C:\Projects\Kleinanzeigen-Scraper\offer_images\422217", "Link")</f>
        <v/>
      </c>
      <c r="K287" t="inlineStr">
        <is>
          <t>blaubaer3</t>
        </is>
      </c>
      <c r="L287" s="6">
        <f>HYPERLINK("https://www.dailydose.de/kleinanzeigen/user/23677", "Link")</f>
        <v/>
      </c>
      <c r="M287" s="7" t="n">
        <v>45543.55013888889</v>
      </c>
      <c r="N287" s="3" t="inlineStr">
        <is>
          <t>73.15</t>
        </is>
      </c>
      <c r="O287" t="inlineStr">
        <is>
          <t>München</t>
        </is>
      </c>
    </row>
    <row r="288">
      <c r="A288" t="inlineStr">
        <is>
          <t>Tactic Actionboom</t>
        </is>
      </c>
      <c r="B288" t="inlineStr">
        <is>
          <t>150-200</t>
        </is>
      </c>
      <c r="C288" t="inlineStr"/>
      <c r="D288" s="4" t="inlineStr">
        <is>
          <t>Zu verschenken</t>
        </is>
      </c>
      <c r="E288" t="inlineStr"/>
      <c r="F288" t="inlineStr">
        <is>
          <t>25451 Kreis Pinneberg - Quickborn</t>
        </is>
      </c>
      <c r="G288" s="5" t="n">
        <v>45543</v>
      </c>
      <c r="H288" t="inlineStr">
        <is>
          <t>Sold</t>
        </is>
      </c>
      <c r="I288" s="6">
        <f>HYPERLINK("https://www.kleinanzeigen.de/s-anzeige/boom-baum-windsurf/2857171686-230-784", "Link")</f>
        <v/>
      </c>
      <c r="J288" s="6">
        <f>HYPERLINK("C:\Projects\Kleinanzeigen-Scraper\offer_images\2857171686", "Link")</f>
        <v/>
      </c>
      <c r="K288" t="inlineStr">
        <is>
          <t>Steffen S.</t>
        </is>
      </c>
      <c r="L288" s="6">
        <f>HYPERLINK("https://www.kleinanzeigen.de/s-bestandsliste.html?userId=27519103", "Link")</f>
        <v/>
      </c>
      <c r="M288" s="7" t="n">
        <v>45543.54876157407</v>
      </c>
      <c r="N288" s="3" t="inlineStr">
        <is>
          <t>369.27</t>
        </is>
      </c>
      <c r="O288" t="inlineStr">
        <is>
          <t>Köln</t>
        </is>
      </c>
    </row>
    <row r="289">
      <c r="A289" t="inlineStr">
        <is>
          <t>NeilPryde X5</t>
        </is>
      </c>
      <c r="B289" t="inlineStr">
        <is>
          <t>215-250</t>
        </is>
      </c>
      <c r="C289" t="inlineStr"/>
      <c r="D289" s="4" t="n">
        <v>55</v>
      </c>
      <c r="E289" t="inlineStr"/>
      <c r="F289" t="inlineStr">
        <is>
          <t>90607 Bayern - Rückersdorf</t>
        </is>
      </c>
      <c r="G289" s="5" t="n">
        <v>45541</v>
      </c>
      <c r="H289" t="inlineStr"/>
      <c r="I289" s="6">
        <f>HYPERLINK("https://www.kleinanzeigen.de/s-anzeige/neilpryde-x5-boom-freeride-alu-215-250-cm-gabelbaum-windsurfen/2855806158-230-6373", "Link")</f>
        <v/>
      </c>
      <c r="J289" s="6">
        <f>HYPERLINK("C:\Projects\Kleinanzeigen-Scraper\offer_images\2855806158", "Link")</f>
        <v/>
      </c>
      <c r="K289" t="inlineStr">
        <is>
          <t>Hans-Jürgen Lutz</t>
        </is>
      </c>
      <c r="L289" s="6">
        <f>HYPERLINK("https://www.kleinanzeigen.de/s-bestandsliste.html?userId=56731371", "Link")</f>
        <v/>
      </c>
      <c r="M289" s="7" t="n">
        <v>45543.54828703704</v>
      </c>
      <c r="N289" s="3" t="inlineStr">
        <is>
          <t>153.30</t>
        </is>
      </c>
      <c r="O289" t="inlineStr">
        <is>
          <t>München</t>
        </is>
      </c>
    </row>
    <row r="290">
      <c r="A290" t="inlineStr">
        <is>
          <t>Tecno Limits</t>
        </is>
      </c>
      <c r="B290" t="inlineStr">
        <is>
          <t>155-205</t>
        </is>
      </c>
      <c r="C290" t="inlineStr"/>
      <c r="D290" s="4" t="n">
        <v>30</v>
      </c>
      <c r="E290" t="inlineStr">
        <is>
          <t>VB</t>
        </is>
      </c>
      <c r="F290" t="inlineStr">
        <is>
          <t>86574 Bayern - Petersdorf</t>
        </is>
      </c>
      <c r="G290" s="5" t="n">
        <v>45541</v>
      </c>
      <c r="H290" t="inlineStr">
        <is>
          <t>Sold</t>
        </is>
      </c>
      <c r="I290" s="6">
        <f>HYPERLINK("https://www.kleinanzeigen.de/s-anzeige/windsurf-gabel-tecno-limits-155/2855741118-230-7198", "Link")</f>
        <v/>
      </c>
      <c r="J290" s="6">
        <f>HYPERLINK("C:\Projects\Kleinanzeigen-Scraper\offer_images\2855741118", "Link")</f>
        <v/>
      </c>
      <c r="K290" t="inlineStr">
        <is>
          <t>Fabian Heigemeir</t>
        </is>
      </c>
      <c r="L290" s="6">
        <f>HYPERLINK("https://www.kleinanzeigen.de/s-bestandsliste.html?userId=121280439", "Link")</f>
        <v/>
      </c>
      <c r="M290" s="7" t="n">
        <v>45543.54824074074</v>
      </c>
      <c r="N290" s="3" t="inlineStr">
        <is>
          <t>60.10</t>
        </is>
      </c>
      <c r="O290" t="inlineStr">
        <is>
          <t>München</t>
        </is>
      </c>
    </row>
    <row r="291">
      <c r="A291" t="inlineStr">
        <is>
          <t>Duotone Black Series</t>
        </is>
      </c>
      <c r="B291" t="inlineStr">
        <is>
          <t>140-190</t>
        </is>
      </c>
      <c r="C291" t="inlineStr"/>
      <c r="D291" s="4" t="n">
        <v>50</v>
      </c>
      <c r="E291" t="inlineStr"/>
      <c r="F291" t="inlineStr">
        <is>
          <t>88634 Herdwangen-Schönach</t>
        </is>
      </c>
      <c r="G291" s="5" t="n">
        <v>45541</v>
      </c>
      <c r="H291" t="inlineStr"/>
      <c r="I291" s="6">
        <f>HYPERLINK("https://www.dailydose.de/kleinanzeigen/detail.htm?ai=422123&amp;cf=kk&amp;pg=2&amp;ci=13", "Link")</f>
        <v/>
      </c>
      <c r="J291" s="6">
        <f>HYPERLINK("C:\Projects\Kleinanzeigen-Scraper\offer_images\422123", "Link")</f>
        <v/>
      </c>
      <c r="K291" t="inlineStr">
        <is>
          <t>IvanFrb</t>
        </is>
      </c>
      <c r="L291" s="6">
        <f>HYPERLINK("https://www.dailydose.de/kleinanzeigen/user/25918", "Link")</f>
        <v/>
      </c>
      <c r="M291" s="7" t="n">
        <v>45542.7844212963</v>
      </c>
      <c r="N291" s="3" t="inlineStr">
        <is>
          <t>62.58</t>
        </is>
      </c>
      <c r="O291" t="inlineStr">
        <is>
          <t>Bonndorf</t>
        </is>
      </c>
    </row>
    <row r="292">
      <c r="A292" t="inlineStr">
        <is>
          <t>Duotone Silver Series</t>
        </is>
      </c>
      <c r="B292" t="inlineStr">
        <is>
          <t>150-200</t>
        </is>
      </c>
      <c r="C292" t="inlineStr"/>
      <c r="D292" s="4" t="n">
        <v>50</v>
      </c>
      <c r="E292" t="inlineStr"/>
      <c r="F292" t="inlineStr">
        <is>
          <t>88634 Herdwangen-Schönach</t>
        </is>
      </c>
      <c r="G292" s="5" t="n">
        <v>45541</v>
      </c>
      <c r="H292" t="inlineStr"/>
      <c r="I292" s="6">
        <f>HYPERLINK("https://www.dailydose.de/kleinanzeigen/detail.htm?ai=422145&amp;cf=kk&amp;pg=2&amp;ci=13", "Link")</f>
        <v/>
      </c>
      <c r="J292" s="6">
        <f>HYPERLINK("C:\Projects\Kleinanzeigen-Scraper\offer_images\422145", "Link")</f>
        <v/>
      </c>
      <c r="K292" t="inlineStr">
        <is>
          <t>IvanFrb</t>
        </is>
      </c>
      <c r="L292" s="6">
        <f>HYPERLINK("https://www.dailydose.de/kleinanzeigen/user/25918", "Link")</f>
        <v/>
      </c>
      <c r="M292" s="7" t="n">
        <v>45542.78396990741</v>
      </c>
      <c r="N292" s="3" t="inlineStr">
        <is>
          <t>62.58</t>
        </is>
      </c>
      <c r="O292" t="inlineStr">
        <is>
          <t>Bonndorf</t>
        </is>
      </c>
    </row>
    <row r="293">
      <c r="A293" t="inlineStr">
        <is>
          <t>Tekknosport</t>
        </is>
      </c>
      <c r="B293" t="inlineStr">
        <is>
          <t>145-205</t>
        </is>
      </c>
      <c r="C293" t="inlineStr"/>
      <c r="D293" s="4" t="n">
        <v>180</v>
      </c>
      <c r="E293" t="inlineStr"/>
      <c r="F293" t="inlineStr">
        <is>
          <t>31228 Peine</t>
        </is>
      </c>
      <c r="G293" s="5" t="n">
        <v>45405</v>
      </c>
      <c r="H293" t="inlineStr">
        <is>
          <t>Sold</t>
        </is>
      </c>
      <c r="I293" s="6">
        <f>HYPERLINK("https://www.dailydose.de/kleinanzeigen/detail.htm?ai=414890&amp;cf=kk&amp;pg=5&amp;ci=13", "Link")</f>
        <v/>
      </c>
      <c r="J293" s="6">
        <f>HYPERLINK("C:\Projects\Kleinanzeigen-Scraper\offer_images\414890", "Link")</f>
        <v/>
      </c>
      <c r="K293" t="inlineStr">
        <is>
          <t>Alex_191</t>
        </is>
      </c>
      <c r="L293" s="6">
        <f>HYPERLINK("https://www.dailydose.de/kleinanzeigen/user/9354", "Link")</f>
        <v/>
      </c>
      <c r="M293" s="7" t="n">
        <v>45542.78086805555</v>
      </c>
      <c r="N293" s="3" t="inlineStr">
        <is>
          <t>272.17</t>
        </is>
      </c>
      <c r="O293" t="inlineStr">
        <is>
          <t>Köln</t>
        </is>
      </c>
    </row>
    <row r="294">
      <c r="A294" t="inlineStr">
        <is>
          <t>Chinook Pro 1</t>
        </is>
      </c>
      <c r="B294" t="inlineStr">
        <is>
          <t>225-287</t>
        </is>
      </c>
      <c r="C294" t="inlineStr"/>
      <c r="D294" s="4" t="n">
        <v>145</v>
      </c>
      <c r="E294" t="inlineStr">
        <is>
          <t>VB</t>
        </is>
      </c>
      <c r="F294" t="inlineStr">
        <is>
          <t>24114 Schleswig-Holstein - Kiel</t>
        </is>
      </c>
      <c r="G294" s="5" t="n">
        <v>45542</v>
      </c>
      <c r="H294" t="inlineStr">
        <is>
          <t>Sold</t>
        </is>
      </c>
      <c r="I294" s="6">
        <f>HYPERLINK("https://www.kleinanzeigen.de/s-anzeige/chinook-pro-1-alloy-225-287-gabelbaum-top-windsurf/2856644458-230-697", "Link")</f>
        <v/>
      </c>
      <c r="J294" s="6">
        <f>HYPERLINK("C:\Projects\Kleinanzeigen-Scraper\offer_images\2856644458", "Link")</f>
        <v/>
      </c>
      <c r="K294" t="inlineStr">
        <is>
          <t>Laurens</t>
        </is>
      </c>
      <c r="L294" s="6">
        <f>HYPERLINK("https://www.kleinanzeigen.de/s-bestandsliste.html?userId=22175273", "Link")</f>
        <v/>
      </c>
      <c r="M294" s="7" t="n">
        <v>45542.7806712963</v>
      </c>
      <c r="N294" s="3" t="inlineStr">
        <is>
          <t>431.59</t>
        </is>
      </c>
      <c r="O294" t="inlineStr">
        <is>
          <t>Köln</t>
        </is>
      </c>
    </row>
    <row r="295">
      <c r="A295" t="inlineStr">
        <is>
          <t>Gunsails Select</t>
        </is>
      </c>
      <c r="B295" t="inlineStr">
        <is>
          <t>140-190</t>
        </is>
      </c>
      <c r="C295" t="inlineStr"/>
      <c r="D295" s="4" t="n">
        <v>299</v>
      </c>
      <c r="E295" t="inlineStr">
        <is>
          <t>VB</t>
        </is>
      </c>
      <c r="F295" t="inlineStr">
        <is>
          <t>78315 Baden-Württemberg - Radolfzell am Bodensee</t>
        </is>
      </c>
      <c r="G295" s="5" t="n">
        <v>45541</v>
      </c>
      <c r="H295" t="inlineStr">
        <is>
          <t>Sold</t>
        </is>
      </c>
      <c r="I295" s="6">
        <f>HYPERLINK("https://www.kleinanzeigen.de/s-anzeige/gunsails-select-carbon-gabel-wave-windsurfen-140-190/2855984424-230-8190", "Link")</f>
        <v/>
      </c>
      <c r="J295" s="6">
        <f>HYPERLINK("C:\Projects\Kleinanzeigen-Scraper\offer_images\2855984424", "Link")</f>
        <v/>
      </c>
      <c r="K295" t="inlineStr">
        <is>
          <t>Philip</t>
        </is>
      </c>
      <c r="L295" s="6">
        <f>HYPERLINK("https://www.kleinanzeigen.de/s-bestandsliste.html?userId=2369094", "Link")</f>
        <v/>
      </c>
      <c r="M295" s="7" t="n">
        <v>45542.77987268518</v>
      </c>
      <c r="N295" s="3" t="inlineStr">
        <is>
          <t>48.46</t>
        </is>
      </c>
      <c r="O295" t="inlineStr">
        <is>
          <t>Bonndorf</t>
        </is>
      </c>
    </row>
    <row r="296">
      <c r="A296" t="inlineStr">
        <is>
          <t>Gunsails CROSS</t>
        </is>
      </c>
      <c r="B296" t="inlineStr"/>
      <c r="C296" t="inlineStr"/>
      <c r="D296" s="4" t="n">
        <v>89</v>
      </c>
      <c r="E296" t="inlineStr">
        <is>
          <t>VB</t>
        </is>
      </c>
      <c r="F296" t="inlineStr">
        <is>
          <t>78315 Baden-Württemberg - Radolfzell am Bodensee</t>
        </is>
      </c>
      <c r="G296" s="5" t="n">
        <v>45541</v>
      </c>
      <c r="H296" t="inlineStr">
        <is>
          <t>Sold</t>
        </is>
      </c>
      <c r="I296" s="6">
        <f>HYPERLINK("https://www.kleinanzeigen.de/s-anzeige/gunsails-cross-windsurf-wave-gabel-gabelbaum/2855993887-230-8190", "Link")</f>
        <v/>
      </c>
      <c r="J296" s="6">
        <f>HYPERLINK("C:\Projects\Kleinanzeigen-Scraper\offer_images\2855993887", "Link")</f>
        <v/>
      </c>
      <c r="K296" t="inlineStr">
        <is>
          <t>Philip</t>
        </is>
      </c>
      <c r="L296" s="6">
        <f>HYPERLINK("https://www.kleinanzeigen.de/s-bestandsliste.html?userId=2369094", "Link")</f>
        <v/>
      </c>
      <c r="M296" s="7" t="n">
        <v>45542.77982638889</v>
      </c>
      <c r="N296" s="3" t="inlineStr">
        <is>
          <t>48.46</t>
        </is>
      </c>
      <c r="O296" t="inlineStr">
        <is>
          <t>Bonndorf</t>
        </is>
      </c>
    </row>
    <row r="297">
      <c r="A297" t="inlineStr">
        <is>
          <t>Goya Surf</t>
        </is>
      </c>
      <c r="B297" t="inlineStr">
        <is>
          <t>120-170</t>
        </is>
      </c>
      <c r="C297" t="inlineStr">
        <is>
          <t>2022/23</t>
        </is>
      </c>
      <c r="D297" s="4" t="n">
        <v>155</v>
      </c>
      <c r="E297" t="inlineStr"/>
      <c r="F297" t="inlineStr">
        <is>
          <t>82319 Bayern - Starnberg</t>
        </is>
      </c>
      <c r="G297" s="5" t="n">
        <v>45540</v>
      </c>
      <c r="H297" t="inlineStr"/>
      <c r="I297" s="6">
        <f>HYPERLINK("https://www.kleinanzeigen.de/s-anzeige/goya-surf-alu-boom-windsurf-120-170/2185220736-230-5525", "Link")</f>
        <v/>
      </c>
      <c r="J297" s="6">
        <f>HYPERLINK("C:\Projects\Kleinanzeigen-Scraper\offer_images\2185220736", "Link")</f>
        <v/>
      </c>
      <c r="K297" t="inlineStr">
        <is>
          <t>No user name</t>
        </is>
      </c>
      <c r="L297" s="6">
        <f>HYPERLINK("https://www.kleinanzeigen.deNo user link", "Link")</f>
        <v/>
      </c>
      <c r="M297" s="7" t="n">
        <v>45541.56664351852</v>
      </c>
      <c r="N297" s="3" t="inlineStr">
        <is>
          <t>23.17</t>
        </is>
      </c>
      <c r="O297" t="inlineStr">
        <is>
          <t>München</t>
        </is>
      </c>
    </row>
    <row r="298">
      <c r="A298" t="inlineStr">
        <is>
          <t>North Progression Comp A+</t>
        </is>
      </c>
      <c r="B298" t="inlineStr">
        <is>
          <t>150-200</t>
        </is>
      </c>
      <c r="C298" t="inlineStr"/>
      <c r="D298" s="4" t="n">
        <v>55</v>
      </c>
      <c r="E298" t="inlineStr"/>
      <c r="F298" t="inlineStr">
        <is>
          <t>21465 Reinbek</t>
        </is>
      </c>
      <c r="G298" s="5" t="n">
        <v>45540</v>
      </c>
      <c r="H298" t="inlineStr"/>
      <c r="I298" s="6">
        <f>HYPERLINK("https://www.dailydose.de/kleinanzeigen/detail.htm?ai=422065&amp;cf=kk&amp;pg=2&amp;ci=13", "Link")</f>
        <v/>
      </c>
      <c r="J298" s="6">
        <f>HYPERLINK("C:\Projects\Kleinanzeigen-Scraper\offer_images\422065", "Link")</f>
        <v/>
      </c>
      <c r="K298" t="inlineStr">
        <is>
          <t>Axel2</t>
        </is>
      </c>
      <c r="L298" s="6">
        <f>HYPERLINK("https://www.dailydose.de/kleinanzeigen/user/2591", "Link")</f>
        <v/>
      </c>
      <c r="M298" s="7" t="n">
        <v>45540.56836805555</v>
      </c>
      <c r="N298" s="3" t="inlineStr">
        <is>
          <t>366.85</t>
        </is>
      </c>
      <c r="O298" t="inlineStr">
        <is>
          <t>Köln</t>
        </is>
      </c>
    </row>
    <row r="299">
      <c r="A299" t="inlineStr">
        <is>
          <t>Gun Advantage</t>
        </is>
      </c>
      <c r="B299" t="inlineStr">
        <is>
          <t>160-210</t>
        </is>
      </c>
      <c r="C299" t="inlineStr"/>
      <c r="D299" s="4" t="inlineStr"/>
      <c r="E299" t="inlineStr"/>
      <c r="F299" t="inlineStr">
        <is>
          <t>21465 Reinbek</t>
        </is>
      </c>
      <c r="G299" s="5" t="n">
        <v>45540</v>
      </c>
      <c r="H299" t="inlineStr"/>
      <c r="I299" s="6">
        <f>HYPERLINK("https://www.dailydose.de/kleinanzeigen/detail.htm?ai=422063&amp;cf=kk&amp;pg=2&amp;ci=13", "Link")</f>
        <v/>
      </c>
      <c r="J299" s="6">
        <f>HYPERLINK("C:\Projects\Kleinanzeigen-Scraper\offer_images\422063", "Link")</f>
        <v/>
      </c>
      <c r="K299" t="inlineStr">
        <is>
          <t>Axel2</t>
        </is>
      </c>
      <c r="L299" s="6">
        <f>HYPERLINK("https://www.dailydose.de/kleinanzeigen/user/2591", "Link")</f>
        <v/>
      </c>
      <c r="M299" s="7" t="n">
        <v>45540.56671296297</v>
      </c>
      <c r="N299" s="3" t="inlineStr">
        <is>
          <t>366.85</t>
        </is>
      </c>
      <c r="O299" t="inlineStr">
        <is>
          <t>Köln</t>
        </is>
      </c>
    </row>
    <row r="300">
      <c r="A300" t="inlineStr">
        <is>
          <t>Chinook Carbon Gabel Pro 1</t>
        </is>
      </c>
      <c r="B300" t="inlineStr">
        <is>
          <t>135-185</t>
        </is>
      </c>
      <c r="C300" t="inlineStr"/>
      <c r="D300" s="4" t="n">
        <v>200</v>
      </c>
      <c r="E300" t="inlineStr">
        <is>
          <t>VB</t>
        </is>
      </c>
      <c r="F300" t="inlineStr">
        <is>
          <t>24105 Kiel</t>
        </is>
      </c>
      <c r="G300" s="5" t="n">
        <v>45539</v>
      </c>
      <c r="H300" t="inlineStr"/>
      <c r="I300" s="6">
        <f>HYPERLINK("https://www.dailydose.de/kleinanzeigen/detail.htm?ai=422040&amp;cf=kk&amp;pg=2&amp;ci=13", "Link")</f>
        <v/>
      </c>
      <c r="J300" s="6">
        <f>HYPERLINK("C:\Projects\Kleinanzeigen-Scraper\offer_images\422040", "Link")</f>
        <v/>
      </c>
      <c r="K300" t="inlineStr">
        <is>
          <t>Christoph_S</t>
        </is>
      </c>
      <c r="L300" s="6">
        <f>HYPERLINK("https://www.dailydose.de/kleinanzeigen/user/2617", "Link")</f>
        <v/>
      </c>
      <c r="M300" s="7" t="n">
        <v>45540.56642361111</v>
      </c>
      <c r="N300" s="3" t="inlineStr">
        <is>
          <t>435.05</t>
        </is>
      </c>
      <c r="O300" t="inlineStr">
        <is>
          <t>Köln</t>
        </is>
      </c>
    </row>
    <row r="301">
      <c r="A301" t="inlineStr">
        <is>
          <t>Gun Sails</t>
        </is>
      </c>
      <c r="B301" t="inlineStr">
        <is>
          <t>140-190</t>
        </is>
      </c>
      <c r="C301" t="inlineStr"/>
      <c r="D301" s="4" t="n">
        <v>100</v>
      </c>
      <c r="E301" t="inlineStr">
        <is>
          <t>VB</t>
        </is>
      </c>
      <c r="F301" t="inlineStr">
        <is>
          <t>24105 Kiel</t>
        </is>
      </c>
      <c r="G301" s="5" t="n">
        <v>45539</v>
      </c>
      <c r="H301" t="inlineStr"/>
      <c r="I301" s="6">
        <f>HYPERLINK("https://www.dailydose.de/kleinanzeigen/detail.htm?ai=422038&amp;cf=kk&amp;pg=2&amp;ci=13", "Link")</f>
        <v/>
      </c>
      <c r="J301" s="6">
        <f>HYPERLINK("C:\Projects\Kleinanzeigen-Scraper\offer_images\422038", "Link")</f>
        <v/>
      </c>
      <c r="K301" t="inlineStr">
        <is>
          <t>Christoph_S</t>
        </is>
      </c>
      <c r="L301" s="6">
        <f>HYPERLINK("https://www.dailydose.de/kleinanzeigen/user/2617", "Link")</f>
        <v/>
      </c>
      <c r="M301" s="7" t="n">
        <v>45540.56520833333</v>
      </c>
      <c r="N301" s="3" t="inlineStr">
        <is>
          <t>435.05</t>
        </is>
      </c>
      <c r="O301" t="inlineStr">
        <is>
          <t>Köln</t>
        </is>
      </c>
    </row>
    <row r="302">
      <c r="A302" t="inlineStr">
        <is>
          <t>Severne ENIGMA</t>
        </is>
      </c>
      <c r="B302" t="inlineStr">
        <is>
          <t>140-190</t>
        </is>
      </c>
      <c r="C302" t="inlineStr">
        <is>
          <t>2023</t>
        </is>
      </c>
      <c r="D302" s="4" t="n">
        <v>1.054</v>
      </c>
      <c r="E302" t="inlineStr">
        <is>
          <t>VB</t>
        </is>
      </c>
      <c r="F302" t="inlineStr">
        <is>
          <t>82319 Bayern - Starnberg</t>
        </is>
      </c>
      <c r="G302" s="5" t="n">
        <v>45538</v>
      </c>
      <c r="H302" t="inlineStr">
        <is>
          <t>Sold</t>
        </is>
      </c>
      <c r="I302" s="6">
        <f>HYPERLINK("https://www.kleinanzeigen.de/s-anzeige/severne-enigma-wave-boom-140-windsurf-gabelbaum/1742561559-230-5525", "Link")</f>
        <v/>
      </c>
      <c r="J302" s="6">
        <f>HYPERLINK("C:\Projects\Kleinanzeigen-Scraper\offer_images\1742561559", "Link")</f>
        <v/>
      </c>
      <c r="K302" t="inlineStr">
        <is>
          <t>No user name</t>
        </is>
      </c>
      <c r="L302" s="6">
        <f>HYPERLINK("https://www.kleinanzeigen.deNo user link", "Link")</f>
        <v/>
      </c>
      <c r="M302" s="7" t="n">
        <v>45540.5640625</v>
      </c>
      <c r="N302" s="3" t="inlineStr">
        <is>
          <t>23.17</t>
        </is>
      </c>
      <c r="O302" t="inlineStr">
        <is>
          <t>München</t>
        </is>
      </c>
    </row>
    <row r="303">
      <c r="A303" t="inlineStr">
        <is>
          <t>STX Cyber</t>
        </is>
      </c>
      <c r="B303" t="inlineStr">
        <is>
          <t>202-262</t>
        </is>
      </c>
      <c r="C303" t="inlineStr"/>
      <c r="D303" s="4" t="n">
        <v>100</v>
      </c>
      <c r="E303" t="inlineStr"/>
      <c r="F303" t="inlineStr">
        <is>
          <t>14167 Berlin</t>
        </is>
      </c>
      <c r="G303" s="5" t="n">
        <v>45406</v>
      </c>
      <c r="H303" t="inlineStr">
        <is>
          <t>Sold</t>
        </is>
      </c>
      <c r="I303" s="6">
        <f>HYPERLINK("https://www.dailydose.de/kleinanzeigen/detail.htm?ai=414933&amp;cf=kk&amp;pg=5&amp;ci=13", "Link")</f>
        <v/>
      </c>
      <c r="J303" s="6">
        <f>HYPERLINK("C:\Projects\Kleinanzeigen-Scraper\offer_images\414933", "Link")</f>
        <v/>
      </c>
      <c r="K303" t="inlineStr">
        <is>
          <t>Jakob-Ditzen</t>
        </is>
      </c>
      <c r="L303" s="6">
        <f>HYPERLINK("https://www.dailydose.de/kleinanzeigen/user/25982", "Link")</f>
        <v/>
      </c>
      <c r="M303" s="7" t="n">
        <v>45539.58935185185</v>
      </c>
      <c r="N303" s="3" t="inlineStr">
        <is>
          <t>465.76</t>
        </is>
      </c>
      <c r="O303" t="inlineStr">
        <is>
          <t>Köln</t>
        </is>
      </c>
    </row>
    <row r="304">
      <c r="A304" t="inlineStr">
        <is>
          <t>North Silver</t>
        </is>
      </c>
      <c r="B304" t="inlineStr">
        <is>
          <t>185-235</t>
        </is>
      </c>
      <c r="C304" t="inlineStr"/>
      <c r="D304" s="4" t="n">
        <v>60</v>
      </c>
      <c r="E304" t="inlineStr"/>
      <c r="F304" t="inlineStr">
        <is>
          <t>10557 Berlin</t>
        </is>
      </c>
      <c r="G304" s="5" t="n">
        <v>45410</v>
      </c>
      <c r="H304" t="inlineStr">
        <is>
          <t>Sold</t>
        </is>
      </c>
      <c r="I304" s="6">
        <f>HYPERLINK("https://www.dailydose.de/kleinanzeigen/detail.htm?ai=415124&amp;cf=kk&amp;pg=5&amp;ci=13", "Link")</f>
        <v/>
      </c>
      <c r="J304" s="6">
        <f>HYPERLINK("C:\Projects\Kleinanzeigen-Scraper\offer_images\415124", "Link")</f>
        <v/>
      </c>
      <c r="K304" t="inlineStr">
        <is>
          <t>Fabian Becher</t>
        </is>
      </c>
      <c r="L304" s="6">
        <f>HYPERLINK("https://www.dailydose.de/kleinanzeigen/user/8106", "Link")</f>
        <v/>
      </c>
      <c r="M304" s="7" t="n">
        <v>45539.58775462963</v>
      </c>
      <c r="N304" s="3" t="inlineStr">
        <is>
          <t>475.20</t>
        </is>
      </c>
      <c r="O304" t="inlineStr">
        <is>
          <t>Köln</t>
        </is>
      </c>
    </row>
    <row r="305">
      <c r="A305" t="inlineStr">
        <is>
          <t>Technolomits</t>
        </is>
      </c>
      <c r="B305" t="inlineStr">
        <is>
          <t>3.5-5.8</t>
        </is>
      </c>
      <c r="C305" t="inlineStr"/>
      <c r="D305" s="4" t="n">
        <v>70</v>
      </c>
      <c r="E305" t="inlineStr"/>
      <c r="F305" t="inlineStr">
        <is>
          <t>53797 Nordrhein-Westfalen - Lohmar</t>
        </is>
      </c>
      <c r="G305" s="5" t="n">
        <v>45538</v>
      </c>
      <c r="H305" t="inlineStr">
        <is>
          <t>Sold</t>
        </is>
      </c>
      <c r="I305" s="6">
        <f>HYPERLINK("https://www.kleinanzeigen.de/s-anzeige/gabelbaum-technolomits-windsurfen-boom/2853710516-230-1688", "Link")</f>
        <v/>
      </c>
      <c r="J305" s="6">
        <f>HYPERLINK("C:\Projects\Kleinanzeigen-Scraper\offer_images\2853710516", "Link")</f>
        <v/>
      </c>
      <c r="K305" t="inlineStr">
        <is>
          <t>Nicolai Rasche</t>
        </is>
      </c>
      <c r="L305" s="6">
        <f>HYPERLINK("https://www.kleinanzeigen.de/s-bestandsliste.html?userId=80682544", "Link")</f>
        <v/>
      </c>
      <c r="M305" s="7" t="n">
        <v>45539.58607638889</v>
      </c>
      <c r="N305" s="3" t="inlineStr">
        <is>
          <t>22.77</t>
        </is>
      </c>
      <c r="O305" t="inlineStr">
        <is>
          <t>Köln</t>
        </is>
      </c>
    </row>
    <row r="306">
      <c r="A306" t="inlineStr">
        <is>
          <t>Northsails red</t>
        </is>
      </c>
      <c r="B306" t="inlineStr">
        <is>
          <t>180-230</t>
        </is>
      </c>
      <c r="C306" t="inlineStr"/>
      <c r="D306" s="4" t="n">
        <v>50</v>
      </c>
      <c r="E306" t="inlineStr">
        <is>
          <t>VB</t>
        </is>
      </c>
      <c r="F306" t="inlineStr">
        <is>
          <t>72622 Baden-Württemberg - Nürtingen</t>
        </is>
      </c>
      <c r="G306" s="5" t="n">
        <v>45538</v>
      </c>
      <c r="H306" t="inlineStr">
        <is>
          <t>Sold</t>
        </is>
      </c>
      <c r="I306" s="6">
        <f>HYPERLINK("https://www.kleinanzeigen.de/s-anzeige/gabelbaum-northsails-red-aluminium-180-230-windsurfen/2853314856-230-8219", "Link")</f>
        <v/>
      </c>
      <c r="J306" s="6">
        <f>HYPERLINK("C:\Projects\Kleinanzeigen-Scraper\offer_images\2853314856", "Link")</f>
        <v/>
      </c>
      <c r="K306" t="inlineStr">
        <is>
          <t>Berger Jens</t>
        </is>
      </c>
      <c r="L306" s="6">
        <f>HYPERLINK("https://www.kleinanzeigen.de/s-bestandsliste.html?userId=15554123", "Link")</f>
        <v/>
      </c>
      <c r="M306" s="7" t="n">
        <v>45539.58599537037</v>
      </c>
      <c r="N306" s="3" t="inlineStr">
        <is>
          <t>26.22</t>
        </is>
      </c>
      <c r="O306" t="inlineStr">
        <is>
          <t>Böblingen</t>
        </is>
      </c>
    </row>
    <row r="307">
      <c r="A307" t="inlineStr">
        <is>
          <t>Aeron MCT-29</t>
        </is>
      </c>
      <c r="B307" t="inlineStr">
        <is>
          <t>200-250</t>
        </is>
      </c>
      <c r="C307" t="inlineStr"/>
      <c r="D307" s="4" t="n">
        <v>75</v>
      </c>
      <c r="E307" t="inlineStr">
        <is>
          <t>VB</t>
        </is>
      </c>
      <c r="F307" t="inlineStr">
        <is>
          <t>72622 Baden-Württemberg - Nürtingen</t>
        </is>
      </c>
      <c r="G307" s="5" t="n">
        <v>45538</v>
      </c>
      <c r="H307" t="inlineStr">
        <is>
          <t>Sold</t>
        </is>
      </c>
      <c r="I307" s="6">
        <f>HYPERLINK("https://www.kleinanzeigen.de/s-anzeige/gabelbaum-aeron-mct-29-aluminium-200-250-windsurfen/2853317339-230-8219", "Link")</f>
        <v/>
      </c>
      <c r="J307" s="6">
        <f>HYPERLINK("C:\Projects\Kleinanzeigen-Scraper\offer_images\2853317339", "Link")</f>
        <v/>
      </c>
      <c r="K307" t="inlineStr">
        <is>
          <t>Berger Jens</t>
        </is>
      </c>
      <c r="L307" s="6">
        <f>HYPERLINK("https://www.kleinanzeigen.de/s-bestandsliste.html?userId=15554123", "Link")</f>
        <v/>
      </c>
      <c r="M307" s="7" t="n">
        <v>45539.58571759259</v>
      </c>
      <c r="N307" s="3" t="inlineStr">
        <is>
          <t>26.22</t>
        </is>
      </c>
      <c r="O307" t="inlineStr">
        <is>
          <t>Böblingen</t>
        </is>
      </c>
    </row>
    <row r="308">
      <c r="A308" t="inlineStr">
        <is>
          <t>Unifiber V-Grip</t>
        </is>
      </c>
      <c r="B308" t="inlineStr">
        <is>
          <t>180-230</t>
        </is>
      </c>
      <c r="C308" t="inlineStr"/>
      <c r="D308" s="4" t="n">
        <v>99</v>
      </c>
      <c r="E308" t="inlineStr"/>
      <c r="F308" t="inlineStr">
        <is>
          <t>67459 Rheinland-Pfalz - Böhl-Iggelheim</t>
        </is>
      </c>
      <c r="G308" s="5" t="n">
        <v>45537</v>
      </c>
      <c r="H308" t="inlineStr">
        <is>
          <t>Sold</t>
        </is>
      </c>
      <c r="I308" s="6">
        <f>HYPERLINK("https://www.kleinanzeigen.de/s-anzeige/unifiber-v-grip-gabelbaum-230-180-windsurfen/2852743816-230-4964", "Link")</f>
        <v/>
      </c>
      <c r="J308" s="6">
        <f>HYPERLINK("C:\Projects\Kleinanzeigen-Scraper\offer_images\2852743816", "Link")</f>
        <v/>
      </c>
      <c r="K308" t="inlineStr">
        <is>
          <t>O. Serfling</t>
        </is>
      </c>
      <c r="L308" s="6">
        <f>HYPERLINK("https://www.kleinanzeigen.de/s-bestandsliste.html?userId=37325871", "Link")</f>
        <v/>
      </c>
      <c r="M308" s="7" t="n">
        <v>45539.58476851852</v>
      </c>
      <c r="N308" s="3" t="inlineStr">
        <is>
          <t>39.72</t>
        </is>
      </c>
      <c r="O308" t="inlineStr">
        <is>
          <t>Karlsruhe</t>
        </is>
      </c>
    </row>
    <row r="309">
      <c r="A309" t="inlineStr">
        <is>
          <t>North Gold</t>
        </is>
      </c>
      <c r="B309" t="inlineStr">
        <is>
          <t>170-220</t>
        </is>
      </c>
      <c r="C309" t="inlineStr"/>
      <c r="D309" s="4" t="n">
        <v>70</v>
      </c>
      <c r="E309" t="inlineStr"/>
      <c r="F309" t="inlineStr">
        <is>
          <t>10557 Mitte - Tiergarten</t>
        </is>
      </c>
      <c r="G309" s="5" t="n">
        <v>45538</v>
      </c>
      <c r="H309" t="inlineStr">
        <is>
          <t>Sold</t>
        </is>
      </c>
      <c r="I309" s="6">
        <f>HYPERLINK("https://www.kleinanzeigen.de/s-anzeige/gabelbaum-north-gold-170-220-windsurfen/2853779097-230-3502", "Link")</f>
        <v/>
      </c>
      <c r="J309" s="6">
        <f>HYPERLINK("C:\Projects\Kleinanzeigen-Scraper\offer_images\2853779097", "Link")</f>
        <v/>
      </c>
      <c r="K309" t="inlineStr">
        <is>
          <t>Fabian Becher</t>
        </is>
      </c>
      <c r="L309" s="6">
        <f>HYPERLINK("https://www.kleinanzeigen.de/s-bestandsliste.html?userId=14821328", "Link")</f>
        <v/>
      </c>
      <c r="M309" s="7" t="n">
        <v>45539.58461805555</v>
      </c>
      <c r="N309" s="3" t="inlineStr">
        <is>
          <t>475.20</t>
        </is>
      </c>
      <c r="O309" t="inlineStr">
        <is>
          <t>Köln</t>
        </is>
      </c>
    </row>
    <row r="310">
      <c r="A310" t="inlineStr">
        <is>
          <t>North Platinum (Duotone)</t>
        </is>
      </c>
      <c r="B310" t="inlineStr">
        <is>
          <t>250-190</t>
        </is>
      </c>
      <c r="C310" t="inlineStr"/>
      <c r="D310" s="4" t="n">
        <v>250</v>
      </c>
      <c r="E310" t="inlineStr"/>
      <c r="F310" t="inlineStr">
        <is>
          <t>67459 Rheinland-Pfalz - Böhl-Iggelheim</t>
        </is>
      </c>
      <c r="G310" s="5" t="n">
        <v>45537</v>
      </c>
      <c r="H310" t="inlineStr">
        <is>
          <t>Sold</t>
        </is>
      </c>
      <c r="I310" s="6">
        <f>HYPERLINK("https://www.kleinanzeigen.de/s-anzeige/carbon-gabelbaum-north-platinum-250-190-windsurfen-duotone-/2852740639-230-4964", "Link")</f>
        <v/>
      </c>
      <c r="J310" s="6">
        <f>HYPERLINK("C:\Projects\Kleinanzeigen-Scraper\offer_images\2852740639", "Link")</f>
        <v/>
      </c>
      <c r="K310" t="inlineStr">
        <is>
          <t>O. Serfling</t>
        </is>
      </c>
      <c r="L310" s="6">
        <f>HYPERLINK("https://www.kleinanzeigen.de/s-bestandsliste.html?userId=37325871", "Link")</f>
        <v/>
      </c>
      <c r="M310" s="7" t="n">
        <v>45539.58459490741</v>
      </c>
      <c r="N310" s="3" t="inlineStr">
        <is>
          <t>39.72</t>
        </is>
      </c>
      <c r="O310" t="inlineStr">
        <is>
          <t>Karlsruhe</t>
        </is>
      </c>
    </row>
    <row r="311">
      <c r="A311" t="inlineStr">
        <is>
          <t>Unifiber V-Grip</t>
        </is>
      </c>
      <c r="B311" t="inlineStr">
        <is>
          <t>180-230</t>
        </is>
      </c>
      <c r="C311" t="inlineStr"/>
      <c r="D311" s="4" t="n">
        <v>99</v>
      </c>
      <c r="E311" t="inlineStr"/>
      <c r="F311" t="inlineStr">
        <is>
          <t>68649 Hessen - Groß-Rohrheim</t>
        </is>
      </c>
      <c r="G311" s="5" t="n">
        <v>45537</v>
      </c>
      <c r="H311" t="inlineStr">
        <is>
          <t>Sold</t>
        </is>
      </c>
      <c r="I311" s="6">
        <f>HYPERLINK("https://www.kleinanzeigen.de/s-anzeige/unifiber-v-grip-gabelbaum-230-180-windsurfen/2852746183-230-4758", "Link")</f>
        <v/>
      </c>
      <c r="J311" s="6">
        <f>HYPERLINK("C:\Projects\Kleinanzeigen-Scraper\offer_images\2852746183", "Link")</f>
        <v/>
      </c>
      <c r="K311" t="inlineStr">
        <is>
          <t>O. Serfling</t>
        </is>
      </c>
      <c r="L311" s="6">
        <f>HYPERLINK("https://www.kleinanzeigen.de/s-bestandsliste.html?userId=37325871", "Link")</f>
        <v/>
      </c>
      <c r="M311" s="7" t="n">
        <v>45539.58457175926</v>
      </c>
      <c r="N311" s="3" t="inlineStr">
        <is>
          <t>78.85</t>
        </is>
      </c>
      <c r="O311" t="inlineStr">
        <is>
          <t>Karlsruhe</t>
        </is>
      </c>
    </row>
    <row r="312">
      <c r="A312" t="inlineStr">
        <is>
          <t>North Sails</t>
        </is>
      </c>
      <c r="B312" t="inlineStr">
        <is>
          <t>150-200</t>
        </is>
      </c>
      <c r="C312" t="inlineStr"/>
      <c r="D312" s="4" t="n">
        <v>20</v>
      </c>
      <c r="E312" t="inlineStr"/>
      <c r="F312" t="inlineStr">
        <is>
          <t>82467 Garmisch-Partenkirchen</t>
        </is>
      </c>
      <c r="G312" s="5" t="n">
        <v>45537</v>
      </c>
      <c r="H312" t="inlineStr"/>
      <c r="I312" s="6">
        <f>HYPERLINK("https://www.dailydose.de/kleinanzeigen/detail.htm?ai=421959&amp;cf=kk&amp;pg=2&amp;ci=13", "Link")</f>
        <v/>
      </c>
      <c r="J312" s="6">
        <f>HYPERLINK("C:\Projects\Kleinanzeigen-Scraper\offer_images\421959", "Link")</f>
        <v/>
      </c>
      <c r="K312" t="inlineStr">
        <is>
          <t>Rainer_92</t>
        </is>
      </c>
      <c r="L312" s="6">
        <f>HYPERLINK("https://www.dailydose.de/kleinanzeigen/user/19591", "Link")</f>
        <v/>
      </c>
      <c r="M312" s="7" t="n">
        <v>45538.57009259259</v>
      </c>
      <c r="N312" s="3" t="inlineStr">
        <is>
          <t>80.76</t>
        </is>
      </c>
      <c r="O312" t="inlineStr">
        <is>
          <t>München</t>
        </is>
      </c>
    </row>
    <row r="313">
      <c r="A313" t="inlineStr">
        <is>
          <t>Gaastra Carbon</t>
        </is>
      </c>
      <c r="B313" t="inlineStr"/>
      <c r="C313" t="inlineStr"/>
      <c r="D313" s="4" t="n">
        <v>440</v>
      </c>
      <c r="E313" t="inlineStr"/>
      <c r="F313" t="inlineStr">
        <is>
          <t>Köln / Tübingen</t>
        </is>
      </c>
      <c r="G313" s="5" t="n">
        <v>45537</v>
      </c>
      <c r="H313" t="inlineStr"/>
      <c r="I313" s="6">
        <f>HYPERLINK("https://www.dailydose.de/kleinanzeigen/detail.htm?ai=421966&amp;cf=kk&amp;pg=2&amp;ci=13", "Link")</f>
        <v/>
      </c>
      <c r="J313" s="6">
        <f>HYPERLINK("C:\Projects\Kleinanzeigen-Scraper\offer_images\421966", "Link")</f>
        <v/>
      </c>
      <c r="K313" t="inlineStr">
        <is>
          <t>H_michi09</t>
        </is>
      </c>
      <c r="L313" s="6">
        <f>HYPERLINK("https://www.dailydose.de/kleinanzeigen/user/25756", "Link")</f>
        <v/>
      </c>
      <c r="M313" s="7" t="n">
        <v>45538.56866898148</v>
      </c>
      <c r="N313" s="3" t="inlineStr">
        <is>
          <t>3.63</t>
        </is>
      </c>
      <c r="O313" t="inlineStr">
        <is>
          <t>Köln</t>
        </is>
      </c>
    </row>
    <row r="314">
      <c r="A314" t="inlineStr">
        <is>
          <t>Neil Pryde Mod. X1</t>
        </is>
      </c>
      <c r="B314" t="inlineStr">
        <is>
          <t>140-190</t>
        </is>
      </c>
      <c r="C314" t="inlineStr"/>
      <c r="D314" s="4" t="n">
        <v>50</v>
      </c>
      <c r="E314" t="inlineStr">
        <is>
          <t>VB</t>
        </is>
      </c>
      <c r="F314" t="inlineStr">
        <is>
          <t>82211 Bayern - Herrsching</t>
        </is>
      </c>
      <c r="G314" s="5" t="n">
        <v>45537</v>
      </c>
      <c r="H314" t="inlineStr">
        <is>
          <t>Sold</t>
        </is>
      </c>
      <c r="I314" s="6">
        <f>HYPERLINK("https://www.kleinanzeigen.de/s-anzeige/gabelbaum-windsurf-neil-pryde-mod-x1-140cm-190cm/2852987992-230-5520", "Link")</f>
        <v/>
      </c>
      <c r="J314" s="6">
        <f>HYPERLINK("C:\Projects\Kleinanzeigen-Scraper\offer_images\2852987992", "Link")</f>
        <v/>
      </c>
      <c r="K314" t="inlineStr">
        <is>
          <t>Oliver</t>
        </is>
      </c>
      <c r="L314" s="6">
        <f>HYPERLINK("https://www.kleinanzeigen.de/s-bestandsliste.html?userId=17846362", "Link")</f>
        <v/>
      </c>
      <c r="M314" s="7" t="n">
        <v>45538.5671412037</v>
      </c>
      <c r="N314" s="3" t="inlineStr">
        <is>
          <t>32.73</t>
        </is>
      </c>
      <c r="O314" t="inlineStr">
        <is>
          <t>München</t>
        </is>
      </c>
    </row>
    <row r="315">
      <c r="A315" t="inlineStr">
        <is>
          <t>North Platinum (Duotone)</t>
        </is>
      </c>
      <c r="B315" t="inlineStr">
        <is>
          <t>250-190</t>
        </is>
      </c>
      <c r="C315" t="inlineStr"/>
      <c r="D315" s="4" t="n">
        <v>250</v>
      </c>
      <c r="E315" t="inlineStr"/>
      <c r="F315" t="inlineStr">
        <is>
          <t>68649 Hessen - Groß-Rohrheim</t>
        </is>
      </c>
      <c r="G315" s="5" t="n">
        <v>45537</v>
      </c>
      <c r="H315" t="inlineStr">
        <is>
          <t>Sold</t>
        </is>
      </c>
      <c r="I315" s="6">
        <f>HYPERLINK("https://www.kleinanzeigen.de/s-anzeige/carbon-gabelbaum-north-platinum-250-190-windsurfen-duotone-/2852737827-230-4758", "Link")</f>
        <v/>
      </c>
      <c r="J315" s="6">
        <f>HYPERLINK("C:\Projects\Kleinanzeigen-Scraper\offer_images\2852737827", "Link")</f>
        <v/>
      </c>
      <c r="K315" t="inlineStr">
        <is>
          <t>O. Serfling</t>
        </is>
      </c>
      <c r="L315" s="6">
        <f>HYPERLINK("https://www.kleinanzeigen.de/s-bestandsliste.html?userId=37325871", "Link")</f>
        <v/>
      </c>
      <c r="M315" s="7" t="n">
        <v>45538.56690972222</v>
      </c>
      <c r="N315" s="3" t="inlineStr">
        <is>
          <t>78.85</t>
        </is>
      </c>
      <c r="O315" t="inlineStr">
        <is>
          <t>Karlsruhe</t>
        </is>
      </c>
    </row>
    <row r="316">
      <c r="A316" t="inlineStr">
        <is>
          <t>Gaastra</t>
        </is>
      </c>
      <c r="B316" t="inlineStr"/>
      <c r="C316" t="inlineStr"/>
      <c r="D316" s="4" t="inlineStr"/>
      <c r="E316" t="inlineStr">
        <is>
          <t>VB</t>
        </is>
      </c>
      <c r="F316" t="inlineStr">
        <is>
          <t>24782 Schleswig-Holstein - Büdelsdorf</t>
        </is>
      </c>
      <c r="G316" s="5" t="n">
        <v>45530</v>
      </c>
      <c r="H316" t="inlineStr">
        <is>
          <t>Sold</t>
        </is>
      </c>
      <c r="I316" s="6">
        <f>HYPERLINK("https://www.kleinanzeigen.de/s-anzeige/gabelbaum-windsurfen-gaastra-wassersport/2846976410-230-18947", "Link")</f>
        <v/>
      </c>
      <c r="J316" s="6">
        <f>HYPERLINK("C:\Projects\Kleinanzeigen-Scraper\offer_images\2846976410", "Link")</f>
        <v/>
      </c>
      <c r="K316" t="inlineStr">
        <is>
          <t>Ri</t>
        </is>
      </c>
      <c r="L316" s="6">
        <f>HYPERLINK("https://www.kleinanzeigen.de/s-bestandsliste.html?userId=22381178", "Link")</f>
        <v/>
      </c>
      <c r="M316" s="7" t="n">
        <v>45538.56641203703</v>
      </c>
      <c r="N316" s="3" t="inlineStr">
        <is>
          <t>419.12</t>
        </is>
      </c>
      <c r="O316" t="inlineStr">
        <is>
          <t>Köln</t>
        </is>
      </c>
    </row>
    <row r="317">
      <c r="A317" t="inlineStr">
        <is>
          <t>Chinook</t>
        </is>
      </c>
      <c r="B317" t="inlineStr">
        <is>
          <t>135-197</t>
        </is>
      </c>
      <c r="C317" t="inlineStr"/>
      <c r="D317" s="4" t="n">
        <v>90</v>
      </c>
      <c r="E317" t="inlineStr">
        <is>
          <t>VB</t>
        </is>
      </c>
      <c r="F317" t="inlineStr">
        <is>
          <t>24105 KI, Fehmarn, Uetersen</t>
        </is>
      </c>
      <c r="G317" s="5" t="n">
        <v>45411</v>
      </c>
      <c r="H317" t="inlineStr">
        <is>
          <t>Sold</t>
        </is>
      </c>
      <c r="I317" s="6">
        <f>HYPERLINK("https://www.dailydose.de/kleinanzeigen/detail.htm?ai=415180&amp;cf=kk&amp;pg=5&amp;ci=13", "Link")</f>
        <v/>
      </c>
      <c r="J317" s="6">
        <f>HYPERLINK("C:\Projects\Kleinanzeigen-Scraper\offer_images\415180", "Link")</f>
        <v/>
      </c>
      <c r="K317" t="inlineStr">
        <is>
          <t>Jan Heinrich</t>
        </is>
      </c>
      <c r="L317" s="6">
        <f>HYPERLINK("https://www.dailydose.de/kleinanzeigen/user/12576", "Link")</f>
        <v/>
      </c>
      <c r="M317" s="7" t="n">
        <v>45537.58035879629</v>
      </c>
      <c r="N317" s="3" t="inlineStr">
        <is>
          <t>435.05</t>
        </is>
      </c>
      <c r="O317" t="inlineStr">
        <is>
          <t>Köln</t>
        </is>
      </c>
    </row>
    <row r="318">
      <c r="A318" t="inlineStr">
        <is>
          <t>Gaastra</t>
        </is>
      </c>
      <c r="B318" t="inlineStr">
        <is>
          <t>140-190</t>
        </is>
      </c>
      <c r="C318" t="inlineStr"/>
      <c r="D318" s="4" t="n">
        <v>250</v>
      </c>
      <c r="E318" t="inlineStr"/>
      <c r="F318" t="inlineStr">
        <is>
          <t>31515 Niedersachsen - Wunstorf</t>
        </is>
      </c>
      <c r="G318" s="5" t="n">
        <v>45537</v>
      </c>
      <c r="H318" t="inlineStr">
        <is>
          <t>Sold</t>
        </is>
      </c>
      <c r="I318" s="6">
        <f>HYPERLINK("https://www.kleinanzeigen.de/s-anzeige/gaastra-wave-carbon-boom-windsurf-gabelbaum-gwb-100c-in-140-190cm/2852193154-230-2930", "Link")</f>
        <v/>
      </c>
      <c r="J318" s="6">
        <f>HYPERLINK("C:\Projects\Kleinanzeigen-Scraper\offer_images\2852193154", "Link")</f>
        <v/>
      </c>
      <c r="K318" t="inlineStr">
        <is>
          <t>Björn</t>
        </is>
      </c>
      <c r="L318" s="6">
        <f>HYPERLINK("https://www.kleinanzeigen.de/s-bestandsliste.html?userId=47648804", "Link")</f>
        <v/>
      </c>
      <c r="M318" s="7" t="n">
        <v>45537.57791666667</v>
      </c>
      <c r="N318" s="3" t="inlineStr">
        <is>
          <t>236.47</t>
        </is>
      </c>
      <c r="O318" t="inlineStr">
        <is>
          <t>Köln</t>
        </is>
      </c>
    </row>
    <row r="319">
      <c r="A319" t="inlineStr">
        <is>
          <t>XO Sails SX1000</t>
        </is>
      </c>
      <c r="B319" t="inlineStr">
        <is>
          <t>200-250</t>
        </is>
      </c>
      <c r="C319" t="inlineStr"/>
      <c r="D319" s="4" t="n">
        <v>490</v>
      </c>
      <c r="E319" t="inlineStr">
        <is>
          <t>VB</t>
        </is>
      </c>
      <c r="F319" t="inlineStr">
        <is>
          <t>94315 Bayern - Straubing</t>
        </is>
      </c>
      <c r="G319" s="5" t="n">
        <v>45537</v>
      </c>
      <c r="H319" t="inlineStr">
        <is>
          <t>Sold</t>
        </is>
      </c>
      <c r="I319" s="6">
        <f>HYPERLINK("https://www.kleinanzeigen.de/s-anzeige/xo-sails-windsurf-gabelbaum-200-250-sx1000-boom/2852418571-230-7337", "Link")</f>
        <v/>
      </c>
      <c r="J319" s="6">
        <f>HYPERLINK("C:\Projects\Kleinanzeigen-Scraper\offer_images\2852418571", "Link")</f>
        <v/>
      </c>
      <c r="K319" t="inlineStr">
        <is>
          <t>R.M.</t>
        </is>
      </c>
      <c r="L319" s="6">
        <f>HYPERLINK("https://www.kleinanzeigen.de/s-bestandsliste.html?userId=12819128", "Link")</f>
        <v/>
      </c>
      <c r="M319" s="7" t="n">
        <v>45537.57783564815</v>
      </c>
      <c r="N319" s="3" t="inlineStr">
        <is>
          <t>110.14</t>
        </is>
      </c>
      <c r="O319" t="inlineStr">
        <is>
          <t>München</t>
        </is>
      </c>
    </row>
    <row r="320">
      <c r="A320" t="inlineStr">
        <is>
          <t>Gaastra Wave</t>
        </is>
      </c>
      <c r="B320" t="inlineStr">
        <is>
          <t>150-210</t>
        </is>
      </c>
      <c r="C320" t="inlineStr"/>
      <c r="D320" s="4" t="n">
        <v>220</v>
      </c>
      <c r="E320" t="inlineStr"/>
      <c r="F320" t="inlineStr">
        <is>
          <t>31515 Niedersachsen - Wunstorf</t>
        </is>
      </c>
      <c r="G320" s="5" t="n">
        <v>45537</v>
      </c>
      <c r="H320" t="inlineStr">
        <is>
          <t>Sold</t>
        </is>
      </c>
      <c r="I320" s="6">
        <f>HYPERLINK("https://www.kleinanzeigen.de/s-anzeige/gaastra-wave-carbon-boom-windsurf-gabelbaum-gwb-100c-in-150-210cm/2852193433-230-2930", "Link")</f>
        <v/>
      </c>
      <c r="J320" s="6">
        <f>HYPERLINK("C:\Projects\Kleinanzeigen-Scraper\offer_images\2852193433", "Link")</f>
        <v/>
      </c>
      <c r="K320" t="inlineStr">
        <is>
          <t>Björn</t>
        </is>
      </c>
      <c r="L320" s="6">
        <f>HYPERLINK("https://www.kleinanzeigen.de/s-bestandsliste.html?userId=47648804", "Link")</f>
        <v/>
      </c>
      <c r="M320" s="7" t="n">
        <v>45537.5778125</v>
      </c>
      <c r="N320" s="3" t="inlineStr">
        <is>
          <t>236.47</t>
        </is>
      </c>
      <c r="O320" t="inlineStr">
        <is>
          <t>Köln</t>
        </is>
      </c>
    </row>
    <row r="321">
      <c r="A321" t="inlineStr">
        <is>
          <t>S+B</t>
        </is>
      </c>
      <c r="B321" t="inlineStr"/>
      <c r="C321" t="inlineStr"/>
      <c r="D321" s="4" t="n">
        <v>5</v>
      </c>
      <c r="E321" t="inlineStr">
        <is>
          <t>VB</t>
        </is>
      </c>
      <c r="F321" t="inlineStr">
        <is>
          <t>45699 Nordrhein-Westfalen - Herten</t>
        </is>
      </c>
      <c r="G321" s="5" t="n">
        <v>45529</v>
      </c>
      <c r="H321" t="inlineStr">
        <is>
          <t>Sold</t>
        </is>
      </c>
      <c r="I321" s="6">
        <f>HYPERLINK("https://www.kleinanzeigen.de/s-anzeige/gabelbaum-windsurf/2845859029-230-1832", "Link")</f>
        <v/>
      </c>
      <c r="J321" s="6">
        <f>HYPERLINK("C:\Projects\Kleinanzeigen-Scraper\offer_images\2845859029", "Link")</f>
        <v/>
      </c>
      <c r="K321" t="inlineStr">
        <is>
          <t>V.P.</t>
        </is>
      </c>
      <c r="L321" s="6">
        <f>HYPERLINK("https://www.kleinanzeigen.de/s-bestandsliste.html?userId=10829434", "Link")</f>
        <v/>
      </c>
      <c r="M321" s="7" t="n">
        <v>45536.9684375</v>
      </c>
      <c r="N321" s="3" t="inlineStr">
        <is>
          <t>73.42</t>
        </is>
      </c>
      <c r="O321" t="inlineStr">
        <is>
          <t>Köln</t>
        </is>
      </c>
    </row>
    <row r="322">
      <c r="A322" t="inlineStr"/>
      <c r="B322" t="inlineStr"/>
      <c r="C322" t="inlineStr"/>
      <c r="D322" s="4" t="n">
        <v>5</v>
      </c>
      <c r="E322" t="inlineStr">
        <is>
          <t>VB</t>
        </is>
      </c>
      <c r="F322" t="inlineStr">
        <is>
          <t>45699 Nordrhein-Westfalen - Herten</t>
        </is>
      </c>
      <c r="G322" s="5" t="n">
        <v>45529</v>
      </c>
      <c r="H322" t="inlineStr">
        <is>
          <t>Sold</t>
        </is>
      </c>
      <c r="I322" s="6">
        <f>HYPERLINK("https://www.kleinanzeigen.de/s-anzeige/windsurf-gabelbaum/2845817930-230-1832", "Link")</f>
        <v/>
      </c>
      <c r="J322" s="6">
        <f>HYPERLINK("C:\Projects\Kleinanzeigen-Scraper\offer_images\2845817930", "Link")</f>
        <v/>
      </c>
      <c r="K322" t="inlineStr">
        <is>
          <t>V.P.</t>
        </is>
      </c>
      <c r="L322" s="6">
        <f>HYPERLINK("https://www.kleinanzeigen.de/s-bestandsliste.html?userId=10829434", "Link")</f>
        <v/>
      </c>
      <c r="M322" s="7" t="n">
        <v>45536.9684375</v>
      </c>
      <c r="N322" s="3" t="inlineStr">
        <is>
          <t>73.42</t>
        </is>
      </c>
      <c r="O322" t="inlineStr">
        <is>
          <t>Köln</t>
        </is>
      </c>
    </row>
    <row r="323">
      <c r="A323" t="inlineStr">
        <is>
          <t>Ascan</t>
        </is>
      </c>
      <c r="B323" t="inlineStr">
        <is>
          <t>160-210</t>
        </is>
      </c>
      <c r="C323" t="inlineStr"/>
      <c r="D323" s="4" t="inlineStr"/>
      <c r="E323" t="inlineStr">
        <is>
          <t>VB</t>
        </is>
      </c>
      <c r="F323" t="inlineStr">
        <is>
          <t>24782 Schleswig-Holstein - Büdelsdorf</t>
        </is>
      </c>
      <c r="G323" s="5" t="n">
        <v>45530</v>
      </c>
      <c r="H323" t="inlineStr">
        <is>
          <t>Sold</t>
        </is>
      </c>
      <c r="I323" s="6">
        <f>HYPERLINK("https://www.kleinanzeigen.de/s-anzeige/gabelbaum-ascan-windsurfen/2847065080-230-18947", "Link")</f>
        <v/>
      </c>
      <c r="J323" s="6">
        <f>HYPERLINK("C:\Projects\Kleinanzeigen-Scraper\offer_images\2847065080", "Link")</f>
        <v/>
      </c>
      <c r="K323" t="inlineStr">
        <is>
          <t>Ri</t>
        </is>
      </c>
      <c r="L323" s="6">
        <f>HYPERLINK("https://www.kleinanzeigen.de/s-bestandsliste.html?userId=22381178", "Link")</f>
        <v/>
      </c>
      <c r="M323" s="7" t="n">
        <v>45536.96840277778</v>
      </c>
      <c r="N323" s="3" t="inlineStr">
        <is>
          <t>419.12</t>
        </is>
      </c>
      <c r="O323" t="inlineStr">
        <is>
          <t>Köln</t>
        </is>
      </c>
    </row>
    <row r="324">
      <c r="A324" t="inlineStr"/>
      <c r="B324" t="inlineStr"/>
      <c r="C324" t="inlineStr"/>
      <c r="D324" s="4" t="n">
        <v>5</v>
      </c>
      <c r="E324" t="inlineStr">
        <is>
          <t>VB</t>
        </is>
      </c>
      <c r="F324" t="inlineStr">
        <is>
          <t>45699 Nordrhein-Westfalen - Herten</t>
        </is>
      </c>
      <c r="G324" s="5" t="n">
        <v>45529</v>
      </c>
      <c r="H324" t="inlineStr">
        <is>
          <t>Sold</t>
        </is>
      </c>
      <c r="I324" s="6">
        <f>HYPERLINK("https://www.kleinanzeigen.de/s-anzeige/gabelbaum-windsurf/2845815533-230-1832", "Link")</f>
        <v/>
      </c>
      <c r="J324" s="6">
        <f>HYPERLINK("C:\Projects\Kleinanzeigen-Scraper\offer_images\2845815533", "Link")</f>
        <v/>
      </c>
      <c r="K324" t="inlineStr">
        <is>
          <t>V.P.</t>
        </is>
      </c>
      <c r="L324" s="6">
        <f>HYPERLINK("https://www.kleinanzeigen.de/s-bestandsliste.html?userId=10829434", "Link")</f>
        <v/>
      </c>
      <c r="M324" s="7" t="n">
        <v>45536.96829861111</v>
      </c>
      <c r="N324" s="3" t="inlineStr">
        <is>
          <t>73.42</t>
        </is>
      </c>
      <c r="O324" t="inlineStr">
        <is>
          <t>Köln</t>
        </is>
      </c>
    </row>
    <row r="325">
      <c r="A325" t="inlineStr">
        <is>
          <t>Chinook</t>
        </is>
      </c>
      <c r="B325" t="inlineStr">
        <is>
          <t>150-212</t>
        </is>
      </c>
      <c r="C325" t="inlineStr"/>
      <c r="D325" s="4" t="inlineStr"/>
      <c r="E325" t="inlineStr">
        <is>
          <t>VB</t>
        </is>
      </c>
      <c r="F325" t="inlineStr">
        <is>
          <t>24782 Schleswig-Holstein - Büdelsdorf</t>
        </is>
      </c>
      <c r="G325" s="5" t="n">
        <v>45530</v>
      </c>
      <c r="H325" t="inlineStr">
        <is>
          <t>Sold</t>
        </is>
      </c>
      <c r="I325" s="6">
        <f>HYPERLINK("https://www.kleinanzeigen.de/s-anzeige/gabelbaum-chinook-windsurfen/2847070269-230-18947", "Link")</f>
        <v/>
      </c>
      <c r="J325" s="6">
        <f>HYPERLINK("C:\Projects\Kleinanzeigen-Scraper\offer_images\2847070269", "Link")</f>
        <v/>
      </c>
      <c r="K325" t="inlineStr">
        <is>
          <t>Ri</t>
        </is>
      </c>
      <c r="L325" s="6">
        <f>HYPERLINK("https://www.kleinanzeigen.de/s-bestandsliste.html?userId=22381178", "Link")</f>
        <v/>
      </c>
      <c r="M325" s="7" t="n">
        <v>45536.96818287037</v>
      </c>
      <c r="N325" s="3" t="inlineStr">
        <is>
          <t>419.12</t>
        </is>
      </c>
      <c r="O325" t="inlineStr">
        <is>
          <t>Köln</t>
        </is>
      </c>
    </row>
    <row r="326">
      <c r="A326" t="inlineStr">
        <is>
          <t>Gunnar</t>
        </is>
      </c>
      <c r="B326" t="inlineStr">
        <is>
          <t>160-210</t>
        </is>
      </c>
      <c r="C326" t="inlineStr"/>
      <c r="D326" s="4" t="inlineStr"/>
      <c r="E326" t="inlineStr">
        <is>
          <t>VB</t>
        </is>
      </c>
      <c r="F326" t="inlineStr">
        <is>
          <t>24782 Schleswig-Holstein - Büdelsdorf</t>
        </is>
      </c>
      <c r="G326" s="5" t="n">
        <v>45530</v>
      </c>
      <c r="H326" t="inlineStr">
        <is>
          <t>Sold</t>
        </is>
      </c>
      <c r="I326" s="6">
        <f>HYPERLINK("https://www.kleinanzeigen.de/s-anzeige/gabelbaum-windsurfen/2847067058-230-18947", "Link")</f>
        <v/>
      </c>
      <c r="J326" s="6">
        <f>HYPERLINK("C:\Projects\Kleinanzeigen-Scraper\offer_images\2847067058", "Link")</f>
        <v/>
      </c>
      <c r="K326" t="inlineStr">
        <is>
          <t>Ri</t>
        </is>
      </c>
      <c r="L326" s="6">
        <f>HYPERLINK("https://www.kleinanzeigen.de/s-bestandsliste.html?userId=22381178", "Link")</f>
        <v/>
      </c>
      <c r="M326" s="7" t="n">
        <v>45536.96814814815</v>
      </c>
      <c r="N326" s="3" t="inlineStr">
        <is>
          <t>419.12</t>
        </is>
      </c>
      <c r="O326" t="inlineStr">
        <is>
          <t>Köln</t>
        </is>
      </c>
    </row>
    <row r="327">
      <c r="A327" t="inlineStr"/>
      <c r="B327" t="inlineStr"/>
      <c r="C327" t="inlineStr"/>
      <c r="D327" s="4" t="n">
        <v>10</v>
      </c>
      <c r="E327" t="inlineStr">
        <is>
          <t>VB</t>
        </is>
      </c>
      <c r="F327" t="inlineStr">
        <is>
          <t>18055 Rostock - Stadtmitte</t>
        </is>
      </c>
      <c r="G327" s="5" t="n">
        <v>45528</v>
      </c>
      <c r="H327" t="inlineStr">
        <is>
          <t>Sold</t>
        </is>
      </c>
      <c r="I327" s="6">
        <f>HYPERLINK("https://www.kleinanzeigen.de/s-anzeige/gabelbaum-windsurf/2845361781-230-157", "Link")</f>
        <v/>
      </c>
      <c r="J327" s="6">
        <f>HYPERLINK("C:\Projects\Kleinanzeigen-Scraper\offer_images\2845361781", "Link")</f>
        <v/>
      </c>
      <c r="K327" t="inlineStr">
        <is>
          <t>Claus</t>
        </is>
      </c>
      <c r="L327" s="6">
        <f>HYPERLINK("https://www.kleinanzeigen.de/s-bestandsliste.html?userId=6841017", "Link")</f>
        <v/>
      </c>
      <c r="M327" s="7" t="n">
        <v>45536.96810185185</v>
      </c>
      <c r="N327" s="3" t="inlineStr">
        <is>
          <t>496.50</t>
        </is>
      </c>
      <c r="O327" t="inlineStr">
        <is>
          <t>Köln</t>
        </is>
      </c>
    </row>
    <row r="328">
      <c r="A328" t="inlineStr">
        <is>
          <t>Duotone Platinum Slim Boom</t>
        </is>
      </c>
      <c r="B328" t="inlineStr">
        <is>
          <t>140-180</t>
        </is>
      </c>
      <c r="C328" t="inlineStr"/>
      <c r="D328" s="4" t="n">
        <v>650</v>
      </c>
      <c r="E328" t="inlineStr"/>
      <c r="F328" t="inlineStr">
        <is>
          <t>22177 Wandsbek - Hamburg Bramfeld</t>
        </is>
      </c>
      <c r="G328" s="5" t="n">
        <v>45530</v>
      </c>
      <c r="H328" t="inlineStr">
        <is>
          <t>Sold</t>
        </is>
      </c>
      <c r="I328" s="6">
        <f>HYPERLINK("https://www.kleinanzeigen.de/s-anzeige/windsurfen-gabelbaum-duotone-platinum-slim-boom-140-180/2847087611-230-9452", "Link")</f>
        <v/>
      </c>
      <c r="J328" s="6">
        <f>HYPERLINK("C:\Projects\Kleinanzeigen-Scraper\offer_images\2847087611", "Link")</f>
        <v/>
      </c>
      <c r="K328" t="inlineStr">
        <is>
          <t>Karsten</t>
        </is>
      </c>
      <c r="L328" s="6">
        <f>HYPERLINK("https://www.kleinanzeigen.de/s-bestandsliste.html?userId=1910707", "Link")</f>
        <v/>
      </c>
      <c r="M328" s="7" t="n">
        <v>45536.96807870371</v>
      </c>
      <c r="N328" s="3" t="inlineStr">
        <is>
          <t>364.64</t>
        </is>
      </c>
      <c r="O328" t="inlineStr">
        <is>
          <t>Köln</t>
        </is>
      </c>
    </row>
    <row r="329">
      <c r="A329" t="inlineStr">
        <is>
          <t>Gaastra GA Green Line</t>
        </is>
      </c>
      <c r="B329" t="inlineStr">
        <is>
          <t>200-250</t>
        </is>
      </c>
      <c r="C329" t="inlineStr">
        <is>
          <t>2021</t>
        </is>
      </c>
      <c r="D329" s="4" t="n">
        <v>170</v>
      </c>
      <c r="E329" t="inlineStr"/>
      <c r="F329" t="inlineStr">
        <is>
          <t>50354 Nordrhein-Westfalen - Hürth</t>
        </is>
      </c>
      <c r="G329" s="5" t="n">
        <v>45529</v>
      </c>
      <c r="H329" t="inlineStr"/>
      <c r="I329" s="6">
        <f>HYPERLINK("https://www.kleinanzeigen.de/s-anzeige/gabelbaum-gaastra-ga-green-line-200-250cm-2021-windsurf/2845716752-230-1891", "Link")</f>
        <v/>
      </c>
      <c r="J329" s="6">
        <f>HYPERLINK("C:\Projects\Kleinanzeigen-Scraper\offer_images\2845716752", "Link")</f>
        <v/>
      </c>
      <c r="K329" t="inlineStr">
        <is>
          <t>David Beck</t>
        </is>
      </c>
      <c r="L329" s="6">
        <f>HYPERLINK("https://www.kleinanzeigen.de/s-bestandsliste.html?userId=27414970", "Link")</f>
        <v/>
      </c>
      <c r="M329" s="7" t="n">
        <v>45536.96799768518</v>
      </c>
      <c r="N329" s="3" t="inlineStr">
        <is>
          <t>10.69</t>
        </is>
      </c>
      <c r="O329" t="inlineStr">
        <is>
          <t>Köln</t>
        </is>
      </c>
    </row>
    <row r="330">
      <c r="A330" t="inlineStr"/>
      <c r="B330" t="inlineStr"/>
      <c r="C330" t="inlineStr"/>
      <c r="D330" s="4" t="inlineStr"/>
      <c r="E330" t="inlineStr">
        <is>
          <t>VB</t>
        </is>
      </c>
      <c r="F330" t="inlineStr">
        <is>
          <t>24782 Schleswig-Holstein - Büdelsdorf</t>
        </is>
      </c>
      <c r="G330" s="5" t="n">
        <v>45530</v>
      </c>
      <c r="H330" t="inlineStr">
        <is>
          <t>Sold</t>
        </is>
      </c>
      <c r="I330" s="6">
        <f>HYPERLINK("https://www.kleinanzeigen.de/s-anzeige/gabelbaum-windsurfen/2847063029-230-18947", "Link")</f>
        <v/>
      </c>
      <c r="J330" s="6">
        <f>HYPERLINK("C:\Projects\Kleinanzeigen-Scraper\offer_images\2847063029", "Link")</f>
        <v/>
      </c>
      <c r="K330" t="inlineStr">
        <is>
          <t>Ri</t>
        </is>
      </c>
      <c r="L330" s="6">
        <f>HYPERLINK("https://www.kleinanzeigen.de/s-bestandsliste.html?userId=22381178", "Link")</f>
        <v/>
      </c>
      <c r="M330" s="7" t="n">
        <v>45536.96795138889</v>
      </c>
      <c r="N330" s="3" t="inlineStr">
        <is>
          <t>419.12</t>
        </is>
      </c>
      <c r="O330" t="inlineStr">
        <is>
          <t>Köln</t>
        </is>
      </c>
    </row>
    <row r="331">
      <c r="A331" t="inlineStr">
        <is>
          <t>Duotone Silver</t>
        </is>
      </c>
      <c r="B331" t="inlineStr">
        <is>
          <t>140-190</t>
        </is>
      </c>
      <c r="C331" t="inlineStr"/>
      <c r="D331" s="4" t="n">
        <v>70</v>
      </c>
      <c r="E331" t="inlineStr"/>
      <c r="F331" t="inlineStr">
        <is>
          <t>78576 Emmingen-Liptingen</t>
        </is>
      </c>
      <c r="G331" s="5" t="n">
        <v>45435</v>
      </c>
      <c r="H331" t="inlineStr"/>
      <c r="I331" s="6">
        <f>HYPERLINK("https://www.dailydose.de/kleinanzeigen/detail.htm?ai=416545&amp;cf=kk&amp;pg=5&amp;ci=13", "Link")</f>
        <v/>
      </c>
      <c r="J331" s="6">
        <f>HYPERLINK("C:\Projects\Kleinanzeigen-Scraper\offer_images\416545", "Link")</f>
        <v/>
      </c>
      <c r="K331" t="inlineStr">
        <is>
          <t>Michael Dorner</t>
        </is>
      </c>
      <c r="L331" s="6">
        <f>HYPERLINK("https://www.dailydose.de/kleinanzeigen/user/16527", "Link")</f>
        <v/>
      </c>
      <c r="M331" s="7" t="n">
        <v>45536.91459490741</v>
      </c>
      <c r="N331" s="3" t="inlineStr">
        <is>
          <t>41.75</t>
        </is>
      </c>
      <c r="O331" t="inlineStr">
        <is>
          <t>Bonndorf</t>
        </is>
      </c>
    </row>
    <row r="332">
      <c r="A332" t="inlineStr">
        <is>
          <t>NeilPryde X9</t>
        </is>
      </c>
      <c r="B332" t="inlineStr">
        <is>
          <t>160-220</t>
        </is>
      </c>
      <c r="C332" t="inlineStr"/>
      <c r="D332" s="4" t="inlineStr">
        <is>
          <t>360. 00</t>
        </is>
      </c>
      <c r="E332" t="inlineStr"/>
      <c r="F332" t="inlineStr">
        <is>
          <t>91619 b. Nürnberg</t>
        </is>
      </c>
      <c r="G332" s="5" t="n">
        <v>45530</v>
      </c>
      <c r="H332" t="inlineStr"/>
      <c r="I332" s="6">
        <f>HYPERLINK("https://www.dailydose.de/kleinanzeigen/detail.htm?ai=421501&amp;cf=kk&amp;pg=3&amp;ci=13", "Link")</f>
        <v/>
      </c>
      <c r="J332" s="6">
        <f>HYPERLINK("C:\Projects\Kleinanzeigen-Scraper\offer_images\421501", "Link")</f>
        <v/>
      </c>
      <c r="K332" t="inlineStr">
        <is>
          <t>Ralf_31</t>
        </is>
      </c>
      <c r="L332" s="6">
        <f>HYPERLINK("https://www.dailydose.de/kleinanzeigen/user/13888", "Link")</f>
        <v/>
      </c>
      <c r="M332" s="7" t="n">
        <v>45536.91456018519</v>
      </c>
      <c r="N332" s="3" t="inlineStr">
        <is>
          <t>138.44</t>
        </is>
      </c>
      <c r="O332" t="inlineStr">
        <is>
          <t>Böblingen</t>
        </is>
      </c>
    </row>
    <row r="333">
      <c r="A333" t="inlineStr">
        <is>
          <t>North Sails Progression</t>
        </is>
      </c>
      <c r="B333" t="inlineStr">
        <is>
          <t>140-190</t>
        </is>
      </c>
      <c r="C333" t="inlineStr"/>
      <c r="D333" s="4" t="n">
        <v>65</v>
      </c>
      <c r="E333" t="inlineStr">
        <is>
          <t>VB</t>
        </is>
      </c>
      <c r="F333" t="inlineStr">
        <is>
          <t>80339 München</t>
        </is>
      </c>
      <c r="G333" s="5" t="n">
        <v>45502</v>
      </c>
      <c r="H333" t="inlineStr"/>
      <c r="I333" s="6">
        <f>HYPERLINK("https://www.dailydose.de/kleinanzeigen/detail.htm?ai=420133&amp;cf=kk&amp;pg=4&amp;ci=13", "Link")</f>
        <v/>
      </c>
      <c r="J333" s="6">
        <f>HYPERLINK("C:\Projects\Kleinanzeigen-Scraper\offer_images\420133", "Link")</f>
        <v/>
      </c>
      <c r="K333" t="inlineStr">
        <is>
          <t>Timo Kusior</t>
        </is>
      </c>
      <c r="L333" s="6">
        <f>HYPERLINK("https://www.dailydose.de/kleinanzeigen/user/23642", "Link")</f>
        <v/>
      </c>
      <c r="M333" s="7" t="n">
        <v>45536.91456018519</v>
      </c>
      <c r="N333" s="3" t="inlineStr">
        <is>
          <t>2.57</t>
        </is>
      </c>
      <c r="O333" t="inlineStr">
        <is>
          <t>München</t>
        </is>
      </c>
    </row>
    <row r="334">
      <c r="A334" t="inlineStr">
        <is>
          <t>Breemove</t>
        </is>
      </c>
      <c r="B334" t="inlineStr">
        <is>
          <t>162-222</t>
        </is>
      </c>
      <c r="C334" t="inlineStr"/>
      <c r="D334" s="4" t="n">
        <v>90</v>
      </c>
      <c r="E334" t="inlineStr"/>
      <c r="F334" t="inlineStr">
        <is>
          <t>23847 Bliestorf</t>
        </is>
      </c>
      <c r="G334" s="5" t="n">
        <v>45529</v>
      </c>
      <c r="H334" t="inlineStr"/>
      <c r="I334" s="6">
        <f>HYPERLINK("https://www.dailydose.de/kleinanzeigen/detail.htm?ai=421400&amp;cf=kk&amp;pg=3&amp;ci=13", "Link")</f>
        <v/>
      </c>
      <c r="J334" s="6">
        <f>HYPERLINK("C:\Projects\Kleinanzeigen-Scraper\offer_images\421400", "Link")</f>
        <v/>
      </c>
      <c r="K334" t="inlineStr">
        <is>
          <t>Ingo Jaacks</t>
        </is>
      </c>
      <c r="L334" s="6">
        <f>HYPERLINK("https://www.dailydose.de/kleinanzeigen/user/11228", "Link")</f>
        <v/>
      </c>
      <c r="M334" s="7" t="n">
        <v>45536.91451388889</v>
      </c>
      <c r="N334" s="3" t="inlineStr">
        <is>
          <t>393.54</t>
        </is>
      </c>
      <c r="O334" t="inlineStr">
        <is>
          <t>Köln</t>
        </is>
      </c>
    </row>
    <row r="335">
      <c r="A335" t="inlineStr">
        <is>
          <t>Aeron V GRIP</t>
        </is>
      </c>
      <c r="B335" t="inlineStr">
        <is>
          <t>140-190</t>
        </is>
      </c>
      <c r="C335" t="inlineStr"/>
      <c r="D335" s="4" t="n">
        <v>30</v>
      </c>
      <c r="E335" t="inlineStr"/>
      <c r="F335" t="inlineStr">
        <is>
          <t>21629 Nähe HH oder am Spot</t>
        </is>
      </c>
      <c r="G335" s="5" t="n">
        <v>45532</v>
      </c>
      <c r="H335" t="inlineStr"/>
      <c r="I335" s="6">
        <f>HYPERLINK("https://www.dailydose.de/kleinanzeigen/detail.htm?ai=421669&amp;cf=kk&amp;pg=3&amp;ci=13", "Link")</f>
        <v/>
      </c>
      <c r="J335" s="6">
        <f>HYPERLINK("C:\Projects\Kleinanzeigen-Scraper\offer_images\421669", "Link")</f>
        <v/>
      </c>
      <c r="K335" t="inlineStr">
        <is>
          <t>Jens_114</t>
        </is>
      </c>
      <c r="L335" s="6">
        <f>HYPERLINK("https://www.dailydose.de/kleinanzeigen/user/25126", "Link")</f>
        <v/>
      </c>
      <c r="M335" s="7" t="n">
        <v>45536.91451388889</v>
      </c>
      <c r="N335" s="3" t="inlineStr">
        <is>
          <t>339.04</t>
        </is>
      </c>
      <c r="O335" t="inlineStr">
        <is>
          <t>Köln</t>
        </is>
      </c>
    </row>
    <row r="336">
      <c r="A336" t="inlineStr">
        <is>
          <t>Technolimits King</t>
        </is>
      </c>
      <c r="B336" t="inlineStr">
        <is>
          <t>140-190</t>
        </is>
      </c>
      <c r="C336" t="inlineStr"/>
      <c r="D336" s="4" t="n">
        <v>80</v>
      </c>
      <c r="E336" t="inlineStr"/>
      <c r="F336" t="inlineStr">
        <is>
          <t>22359 Hamburg</t>
        </is>
      </c>
      <c r="G336" s="5" t="n">
        <v>45428</v>
      </c>
      <c r="H336" t="inlineStr">
        <is>
          <t>Sold</t>
        </is>
      </c>
      <c r="I336" s="6">
        <f>HYPERLINK("https://www.dailydose.de/kleinanzeigen/detail.htm?ai=416095&amp;cf=kk&amp;pg=5&amp;ci=13", "Link")</f>
        <v/>
      </c>
      <c r="J336" s="6">
        <f>HYPERLINK("C:\Projects\Kleinanzeigen-Scraper\offer_images\416095", "Link")</f>
        <v/>
      </c>
      <c r="K336" t="inlineStr">
        <is>
          <t>menckow</t>
        </is>
      </c>
      <c r="L336" s="6">
        <f>HYPERLINK("https://www.dailydose.de/kleinanzeigen/user/235", "Link")</f>
        <v/>
      </c>
      <c r="M336" s="7" t="n">
        <v>45536.91449074074</v>
      </c>
      <c r="N336" s="3" t="inlineStr">
        <is>
          <t>371.96</t>
        </is>
      </c>
      <c r="O336" t="inlineStr">
        <is>
          <t>Köln</t>
        </is>
      </c>
    </row>
    <row r="337">
      <c r="A337" t="inlineStr">
        <is>
          <t>JP X6</t>
        </is>
      </c>
      <c r="B337" t="inlineStr">
        <is>
          <t>200-250</t>
        </is>
      </c>
      <c r="C337" t="inlineStr"/>
      <c r="D337" s="4" t="n">
        <v>60</v>
      </c>
      <c r="E337" t="inlineStr"/>
      <c r="F337" t="inlineStr">
        <is>
          <t>07955 Auma-Weidatal</t>
        </is>
      </c>
      <c r="G337" s="5" t="n">
        <v>45460</v>
      </c>
      <c r="H337" t="inlineStr"/>
      <c r="I337" s="6">
        <f>HYPERLINK("https://www.dailydose.de/kleinanzeigen/detail.htm?ai=418025&amp;cf=kk&amp;pg=5&amp;ci=13", "Link")</f>
        <v/>
      </c>
      <c r="J337" s="6">
        <f>HYPERLINK("C:\Projects\Kleinanzeigen-Scraper\offer_images\418025", "Link")</f>
        <v/>
      </c>
      <c r="K337" t="inlineStr">
        <is>
          <t>Sebastian_197</t>
        </is>
      </c>
      <c r="L337" s="6">
        <f>HYPERLINK("https://www.dailydose.de/kleinanzeigen/user/21144", "Link")</f>
        <v/>
      </c>
      <c r="M337" s="7" t="n">
        <v>45536.91445601852</v>
      </c>
      <c r="N337" s="3" t="inlineStr">
        <is>
          <t>286.81</t>
        </is>
      </c>
      <c r="O337" t="inlineStr">
        <is>
          <t>München</t>
        </is>
      </c>
    </row>
    <row r="338">
      <c r="A338" t="inlineStr">
        <is>
          <t>Neilpryde XC Wave</t>
        </is>
      </c>
      <c r="B338" t="inlineStr">
        <is>
          <t>140-190</t>
        </is>
      </c>
      <c r="C338" t="inlineStr"/>
      <c r="D338" s="4" t="n">
        <v>330</v>
      </c>
      <c r="E338" t="inlineStr">
        <is>
          <t>VB</t>
        </is>
      </c>
      <c r="F338" t="inlineStr">
        <is>
          <t>88212 Ravensburg</t>
        </is>
      </c>
      <c r="G338" s="5" t="n">
        <v>45485</v>
      </c>
      <c r="H338" t="inlineStr">
        <is>
          <t>Sold</t>
        </is>
      </c>
      <c r="I338" s="6">
        <f>HYPERLINK("https://www.dailydose.de/kleinanzeigen/detail.htm?ai=419263&amp;cf=kk&amp;pg=4&amp;ci=13", "Link")</f>
        <v/>
      </c>
      <c r="J338" s="6">
        <f>HYPERLINK("C:\Projects\Kleinanzeigen-Scraper\offer_images\419263", "Link")</f>
        <v/>
      </c>
      <c r="K338" t="inlineStr">
        <is>
          <t>Tim_131</t>
        </is>
      </c>
      <c r="L338" s="6">
        <f>HYPERLINK("https://www.dailydose.de/kleinanzeigen/user/23684", "Link")</f>
        <v/>
      </c>
      <c r="M338" s="7" t="n">
        <v>45536.91442129629</v>
      </c>
      <c r="N338" s="3" t="inlineStr">
        <is>
          <t>95.51</t>
        </is>
      </c>
      <c r="O338" t="inlineStr">
        <is>
          <t>Bonndorf</t>
        </is>
      </c>
    </row>
    <row r="339">
      <c r="A339" t="inlineStr">
        <is>
          <t>NORTH Red-Series</t>
        </is>
      </c>
      <c r="B339" t="inlineStr">
        <is>
          <t>150-200</t>
        </is>
      </c>
      <c r="C339" t="inlineStr"/>
      <c r="D339" s="4" t="n">
        <v>45</v>
      </c>
      <c r="E339" t="inlineStr">
        <is>
          <t>VB</t>
        </is>
      </c>
      <c r="F339" t="inlineStr">
        <is>
          <t>82205 Gilching</t>
        </is>
      </c>
      <c r="G339" s="5" t="n">
        <v>45530</v>
      </c>
      <c r="H339" t="inlineStr"/>
      <c r="I339" s="6">
        <f>HYPERLINK("https://www.dailydose.de/kleinanzeigen/detail.htm?ai=421496&amp;cf=kk&amp;pg=3&amp;ci=13", "Link")</f>
        <v/>
      </c>
      <c r="J339" s="6">
        <f>HYPERLINK("C:\Projects\Kleinanzeigen-Scraper\offer_images\421496", "Link")</f>
        <v/>
      </c>
      <c r="K339" t="inlineStr">
        <is>
          <t>algla</t>
        </is>
      </c>
      <c r="L339" s="6">
        <f>HYPERLINK("https://www.dailydose.de/kleinanzeigen/user/3111", "Link")</f>
        <v/>
      </c>
      <c r="M339" s="7" t="n">
        <v>45536.91438657408</v>
      </c>
      <c r="N339" s="3" t="inlineStr">
        <is>
          <t>23.04</t>
        </is>
      </c>
      <c r="O339" t="inlineStr">
        <is>
          <t>München</t>
        </is>
      </c>
    </row>
    <row r="340">
      <c r="A340" t="inlineStr">
        <is>
          <t>Neilpryde X5</t>
        </is>
      </c>
      <c r="B340" t="inlineStr">
        <is>
          <t>135-180</t>
        </is>
      </c>
      <c r="C340" t="inlineStr"/>
      <c r="D340" s="4" t="n">
        <v>45</v>
      </c>
      <c r="E340" t="inlineStr"/>
      <c r="F340" t="inlineStr">
        <is>
          <t>27616 Beverstedt</t>
        </is>
      </c>
      <c r="G340" s="5" t="n">
        <v>45434</v>
      </c>
      <c r="H340" t="inlineStr"/>
      <c r="I340" s="6">
        <f>HYPERLINK("https://www.dailydose.de/kleinanzeigen/detail.htm?ai=416430&amp;cf=kk&amp;pg=5&amp;ci=13", "Link")</f>
        <v/>
      </c>
      <c r="J340" s="6">
        <f>HYPERLINK("C:\Projects\Kleinanzeigen-Scraper\offer_images\416430", "Link")</f>
        <v/>
      </c>
      <c r="K340" t="inlineStr">
        <is>
          <t>J_129</t>
        </is>
      </c>
      <c r="L340" s="6">
        <f>HYPERLINK("https://www.dailydose.de/kleinanzeigen/user/12717", "Link")</f>
        <v/>
      </c>
      <c r="M340" s="7" t="n">
        <v>45536.91436342592</v>
      </c>
      <c r="N340" s="3" t="inlineStr">
        <is>
          <t>304.65</t>
        </is>
      </c>
      <c r="O340" t="inlineStr">
        <is>
          <t>Köln</t>
        </is>
      </c>
    </row>
    <row r="341">
      <c r="A341" t="inlineStr">
        <is>
          <t>GUN SAIL Cross</t>
        </is>
      </c>
      <c r="B341" t="inlineStr">
        <is>
          <t>160-200</t>
        </is>
      </c>
      <c r="C341" t="inlineStr"/>
      <c r="D341" s="4" t="n">
        <v>130</v>
      </c>
      <c r="E341" t="inlineStr"/>
      <c r="F341" t="inlineStr">
        <is>
          <t>23847 Bliestorf</t>
        </is>
      </c>
      <c r="G341" s="5" t="n">
        <v>45529</v>
      </c>
      <c r="H341" t="inlineStr"/>
      <c r="I341" s="6">
        <f>HYPERLINK("https://www.dailydose.de/kleinanzeigen/detail.htm?ai=421399&amp;cf=kk&amp;pg=3&amp;ci=13", "Link")</f>
        <v/>
      </c>
      <c r="J341" s="6">
        <f>HYPERLINK("C:\Projects\Kleinanzeigen-Scraper\offer_images\421399", "Link")</f>
        <v/>
      </c>
      <c r="K341" t="inlineStr">
        <is>
          <t>Ingo Jaacks</t>
        </is>
      </c>
      <c r="L341" s="6">
        <f>HYPERLINK("https://www.dailydose.de/kleinanzeigen/user/11228", "Link")</f>
        <v/>
      </c>
      <c r="M341" s="7" t="n">
        <v>45536.9143287037</v>
      </c>
      <c r="N341" s="3" t="inlineStr">
        <is>
          <t>393.54</t>
        </is>
      </c>
      <c r="O341" t="inlineStr">
        <is>
          <t>Köln</t>
        </is>
      </c>
    </row>
    <row r="342">
      <c r="A342" t="inlineStr">
        <is>
          <t>Duotone Platinum SLS</t>
        </is>
      </c>
      <c r="B342" t="inlineStr">
        <is>
          <t>160-200</t>
        </is>
      </c>
      <c r="C342" t="inlineStr"/>
      <c r="D342" s="4" t="n">
        <v>599</v>
      </c>
      <c r="E342" t="inlineStr">
        <is>
          <t>VB</t>
        </is>
      </c>
      <c r="F342" t="inlineStr">
        <is>
          <t>24539 Neumünster</t>
        </is>
      </c>
      <c r="G342" s="5" t="n">
        <v>45453</v>
      </c>
      <c r="H342" t="inlineStr"/>
      <c r="I342" s="6">
        <f>HYPERLINK("https://www.dailydose.de/kleinanzeigen/detail.htm?ai=417672&amp;cf=kk&amp;pg=5&amp;ci=13", "Link")</f>
        <v/>
      </c>
      <c r="J342" s="6">
        <f>HYPERLINK("C:\Projects\Kleinanzeigen-Scraper\offer_images\417672", "Link")</f>
        <v/>
      </c>
      <c r="K342" t="inlineStr">
        <is>
          <t>db509</t>
        </is>
      </c>
      <c r="L342" s="6">
        <f>HYPERLINK("https://www.dailydose.de/kleinanzeigen/user/6690", "Link")</f>
        <v/>
      </c>
      <c r="M342" s="7" t="n">
        <v>45536.91429398148</v>
      </c>
      <c r="N342" s="3" t="inlineStr">
        <is>
          <t>402.09</t>
        </is>
      </c>
      <c r="O342" t="inlineStr">
        <is>
          <t>Köln</t>
        </is>
      </c>
    </row>
    <row r="343">
      <c r="A343" t="inlineStr">
        <is>
          <t>Gunsails Advantage</t>
        </is>
      </c>
      <c r="B343" t="inlineStr">
        <is>
          <t>160-210</t>
        </is>
      </c>
      <c r="C343" t="inlineStr"/>
      <c r="D343" s="4" t="n">
        <v>55</v>
      </c>
      <c r="E343" t="inlineStr"/>
      <c r="F343" t="inlineStr">
        <is>
          <t>21465 Reinbek</t>
        </is>
      </c>
      <c r="G343" s="5" t="n">
        <v>45420</v>
      </c>
      <c r="H343" t="inlineStr">
        <is>
          <t>Sold</t>
        </is>
      </c>
      <c r="I343" s="6">
        <f>HYPERLINK("https://www.dailydose.de/kleinanzeigen/detail.htm?ai=415690&amp;cf=kk&amp;pg=5&amp;ci=13", "Link")</f>
        <v/>
      </c>
      <c r="J343" s="6">
        <f>HYPERLINK("C:\Projects\Kleinanzeigen-Scraper\offer_images\415690", "Link")</f>
        <v/>
      </c>
      <c r="K343" t="inlineStr">
        <is>
          <t>Axel2</t>
        </is>
      </c>
      <c r="L343" s="6">
        <f>HYPERLINK("https://www.dailydose.de/kleinanzeigen/user/2591", "Link")</f>
        <v/>
      </c>
      <c r="M343" s="7" t="n">
        <v>45536.91422453704</v>
      </c>
      <c r="N343" s="3" t="inlineStr">
        <is>
          <t>366.85</t>
        </is>
      </c>
      <c r="O343" t="inlineStr">
        <is>
          <t>Köln</t>
        </is>
      </c>
    </row>
    <row r="344">
      <c r="A344" t="inlineStr">
        <is>
          <t>Prolimit TeamCarbon</t>
        </is>
      </c>
      <c r="B344" t="inlineStr">
        <is>
          <t>160-200</t>
        </is>
      </c>
      <c r="C344" t="inlineStr"/>
      <c r="D344" s="4" t="n">
        <v>200</v>
      </c>
      <c r="E344" t="inlineStr"/>
      <c r="F344" t="inlineStr">
        <is>
          <t>93309 Kelheim</t>
        </is>
      </c>
      <c r="G344" s="5" t="n">
        <v>45536</v>
      </c>
      <c r="H344" t="inlineStr"/>
      <c r="I344" s="6">
        <f>HYPERLINK("https://www.dailydose.de/kleinanzeigen/detail.htm?ai=421921&amp;cf=kk&amp;pg=2&amp;ci=13", "Link")</f>
        <v/>
      </c>
      <c r="J344" s="6">
        <f>HYPERLINK("C:\Projects\Kleinanzeigen-Scraper\offer_images\421921", "Link")</f>
        <v/>
      </c>
      <c r="K344" t="inlineStr">
        <is>
          <t>Rosl81</t>
        </is>
      </c>
      <c r="L344" s="6">
        <f>HYPERLINK("https://www.dailydose.de/kleinanzeigen/user/16719", "Link")</f>
        <v/>
      </c>
      <c r="M344" s="7" t="n">
        <v>45536.91422453704</v>
      </c>
      <c r="N344" s="3" t="inlineStr">
        <is>
          <t>88.18</t>
        </is>
      </c>
      <c r="O344" t="inlineStr">
        <is>
          <t>München</t>
        </is>
      </c>
    </row>
    <row r="345">
      <c r="A345" t="inlineStr">
        <is>
          <t>Aeron MCT29</t>
        </is>
      </c>
      <c r="B345" t="inlineStr">
        <is>
          <t>150-200</t>
        </is>
      </c>
      <c r="C345" t="inlineStr"/>
      <c r="D345" s="4" t="n">
        <v>70</v>
      </c>
      <c r="E345" t="inlineStr"/>
      <c r="F345" t="inlineStr">
        <is>
          <t>24114 Kiel</t>
        </is>
      </c>
      <c r="G345" s="5" t="n">
        <v>45535</v>
      </c>
      <c r="H345" t="inlineStr">
        <is>
          <t>Sold</t>
        </is>
      </c>
      <c r="I345" s="6">
        <f>HYPERLINK("https://www.dailydose.de/kleinanzeigen/detail.htm?ai=421835&amp;cf=kk&amp;pg=1&amp;ci=13", "Link")</f>
        <v/>
      </c>
      <c r="J345" s="6">
        <f>HYPERLINK("C:\Projects\Kleinanzeigen-Scraper\offer_images\421835", "Link")</f>
        <v/>
      </c>
      <c r="K345" t="inlineStr">
        <is>
          <t>Andy W.</t>
        </is>
      </c>
      <c r="L345" s="6">
        <f>HYPERLINK("https://www.dailydose.de/kleinanzeigen/user/3700", "Link")</f>
        <v/>
      </c>
      <c r="M345" s="7" t="n">
        <v>45536.91418981482</v>
      </c>
      <c r="N345" s="3" t="inlineStr">
        <is>
          <t>431.59</t>
        </is>
      </c>
      <c r="O345" t="inlineStr">
        <is>
          <t>Köln</t>
        </is>
      </c>
    </row>
    <row r="346">
      <c r="A346" t="inlineStr">
        <is>
          <t>GUN Select</t>
        </is>
      </c>
      <c r="B346" t="inlineStr">
        <is>
          <t>200-250</t>
        </is>
      </c>
      <c r="C346" t="inlineStr">
        <is>
          <t>2021</t>
        </is>
      </c>
      <c r="D346" s="4" t="n">
        <v>435</v>
      </c>
      <c r="E346" t="inlineStr"/>
      <c r="F346" t="inlineStr">
        <is>
          <t>34121 Kassel</t>
        </is>
      </c>
      <c r="G346" s="5" t="n">
        <v>45494</v>
      </c>
      <c r="H346" t="inlineStr">
        <is>
          <t>Sold</t>
        </is>
      </c>
      <c r="I346" s="6">
        <f>HYPERLINK("https://www.dailydose.de/kleinanzeigen/detail.htm?ai=419743&amp;cf=kk&amp;pg=4&amp;ci=13", "Link")</f>
        <v/>
      </c>
      <c r="J346" s="6">
        <f>HYPERLINK("C:\Projects\Kleinanzeigen-Scraper\offer_images\419743", "Link")</f>
        <v/>
      </c>
      <c r="K346" t="inlineStr">
        <is>
          <t>Ingo Schwede</t>
        </is>
      </c>
      <c r="L346" s="6">
        <f>HYPERLINK("https://www.dailydose.de/kleinanzeigen/user/11243", "Link")</f>
        <v/>
      </c>
      <c r="M346" s="7" t="n">
        <v>45536.91416666667</v>
      </c>
      <c r="N346" s="3" t="inlineStr">
        <is>
          <t>180.90</t>
        </is>
      </c>
      <c r="O346" t="inlineStr">
        <is>
          <t>Köln</t>
        </is>
      </c>
    </row>
    <row r="347">
      <c r="A347" t="inlineStr">
        <is>
          <t>Al360</t>
        </is>
      </c>
      <c r="B347" t="inlineStr">
        <is>
          <t>160-220</t>
        </is>
      </c>
      <c r="C347" t="inlineStr"/>
      <c r="D347" s="4" t="n">
        <v>375</v>
      </c>
      <c r="E347" t="inlineStr">
        <is>
          <t>VB</t>
        </is>
      </c>
      <c r="F347" t="inlineStr">
        <is>
          <t>30173 Hannover</t>
        </is>
      </c>
      <c r="G347" s="5" t="n">
        <v>45438</v>
      </c>
      <c r="H347" t="inlineStr"/>
      <c r="I347" s="6">
        <f>HYPERLINK("https://www.dailydose.de/kleinanzeigen/detail.htm?ai=416772&amp;cf=kk&amp;pg=5&amp;ci=13", "Link")</f>
        <v/>
      </c>
      <c r="J347" s="6">
        <f>HYPERLINK("C:\Projects\Kleinanzeigen-Scraper\offer_images\416772", "Link")</f>
        <v/>
      </c>
      <c r="K347" t="inlineStr">
        <is>
          <t>MaLeh</t>
        </is>
      </c>
      <c r="L347" s="6">
        <f>HYPERLINK("https://www.dailydose.de/kleinanzeigen/user/14177", "Link")</f>
        <v/>
      </c>
      <c r="M347" s="7" t="n">
        <v>45536.91415509259</v>
      </c>
      <c r="N347" s="3" t="inlineStr">
        <is>
          <t>249.73</t>
        </is>
      </c>
      <c r="O347" t="inlineStr">
        <is>
          <t>Köln</t>
        </is>
      </c>
    </row>
    <row r="348">
      <c r="A348" t="inlineStr">
        <is>
          <t>ART</t>
        </is>
      </c>
      <c r="B348" t="inlineStr">
        <is>
          <t>170-210</t>
        </is>
      </c>
      <c r="C348" t="inlineStr"/>
      <c r="D348" s="4" t="n">
        <v>20</v>
      </c>
      <c r="E348" t="inlineStr"/>
      <c r="F348" t="inlineStr">
        <is>
          <t>21635 Jork</t>
        </is>
      </c>
      <c r="G348" s="5" t="n">
        <v>45415</v>
      </c>
      <c r="H348" t="inlineStr">
        <is>
          <t>Sold</t>
        </is>
      </c>
      <c r="I348" s="6">
        <f>HYPERLINK("https://www.dailydose.de/kleinanzeigen/detail.htm?ai=415347&amp;cf=kk&amp;pg=5&amp;ci=13", "Link")</f>
        <v/>
      </c>
      <c r="J348" s="6">
        <f>HYPERLINK("C:\Projects\Kleinanzeigen-Scraper\offer_images\415347", "Link")</f>
        <v/>
      </c>
      <c r="K348" t="inlineStr">
        <is>
          <t>Jarne</t>
        </is>
      </c>
      <c r="L348" s="6">
        <f>HYPERLINK("https://www.dailydose.de/kleinanzeigen/user/11845", "Link")</f>
        <v/>
      </c>
      <c r="M348" s="7" t="n">
        <v>45536.91413194445</v>
      </c>
      <c r="N348" s="3" t="inlineStr">
        <is>
          <t>343.43</t>
        </is>
      </c>
      <c r="O348" t="inlineStr">
        <is>
          <t>Köln</t>
        </is>
      </c>
    </row>
    <row r="349">
      <c r="A349" t="inlineStr">
        <is>
          <t>Pro Carbon</t>
        </is>
      </c>
      <c r="B349" t="inlineStr">
        <is>
          <t>140-200</t>
        </is>
      </c>
      <c r="C349" t="inlineStr"/>
      <c r="D349" s="4" t="n">
        <v>270</v>
      </c>
      <c r="E349" t="inlineStr">
        <is>
          <t>VB</t>
        </is>
      </c>
      <c r="F349" t="inlineStr">
        <is>
          <t>88212 Ravensburg</t>
        </is>
      </c>
      <c r="G349" s="5" t="n">
        <v>45485</v>
      </c>
      <c r="H349" t="inlineStr"/>
      <c r="I349" s="6">
        <f>HYPERLINK("https://www.dailydose.de/kleinanzeigen/detail.htm?ai=419264&amp;cf=kk&amp;pg=4&amp;ci=13", "Link")</f>
        <v/>
      </c>
      <c r="J349" s="6">
        <f>HYPERLINK("C:\Projects\Kleinanzeigen-Scraper\offer_images\419264", "Link")</f>
        <v/>
      </c>
      <c r="K349" t="inlineStr">
        <is>
          <t>Tim_131</t>
        </is>
      </c>
      <c r="L349" s="6">
        <f>HYPERLINK("https://www.dailydose.de/kleinanzeigen/user/23684", "Link")</f>
        <v/>
      </c>
      <c r="M349" s="7" t="n">
        <v>45536.91409722222</v>
      </c>
      <c r="N349" s="3" t="inlineStr">
        <is>
          <t>95.51</t>
        </is>
      </c>
      <c r="O349" t="inlineStr">
        <is>
          <t>Bonndorf</t>
        </is>
      </c>
    </row>
    <row r="350">
      <c r="A350" t="inlineStr">
        <is>
          <t>Chinook Pro 1</t>
        </is>
      </c>
      <c r="B350" t="inlineStr">
        <is>
          <t>160-220</t>
        </is>
      </c>
      <c r="C350" t="inlineStr"/>
      <c r="D350" s="4" t="n">
        <v>365</v>
      </c>
      <c r="E350" t="inlineStr"/>
      <c r="F350" t="inlineStr">
        <is>
          <t>30459 Hannover</t>
        </is>
      </c>
      <c r="G350" s="5" t="n">
        <v>45486</v>
      </c>
      <c r="H350" t="inlineStr"/>
      <c r="I350" s="6">
        <f>HYPERLINK("https://www.dailydose.de/kleinanzeigen/detail.htm?ai=419328&amp;cf=kk&amp;pg=4&amp;ci=13", "Link")</f>
        <v/>
      </c>
      <c r="J350" s="6">
        <f>HYPERLINK("C:\Projects\Kleinanzeigen-Scraper\offer_images\419328", "Link")</f>
        <v/>
      </c>
      <c r="K350" t="inlineStr">
        <is>
          <t>C. Rohde</t>
        </is>
      </c>
      <c r="L350" s="6">
        <f>HYPERLINK("https://www.dailydose.de/kleinanzeigen/user/6269", "Link")</f>
        <v/>
      </c>
      <c r="M350" s="7" t="n">
        <v>45536.9140625</v>
      </c>
      <c r="N350" s="3" t="inlineStr">
        <is>
          <t>246.57</t>
        </is>
      </c>
      <c r="O350" t="inlineStr">
        <is>
          <t>Köln</t>
        </is>
      </c>
    </row>
    <row r="351">
      <c r="A351" t="inlineStr">
        <is>
          <t>Chinook RDG</t>
        </is>
      </c>
      <c r="B351" t="inlineStr">
        <is>
          <t>135-185</t>
        </is>
      </c>
      <c r="C351" t="inlineStr"/>
      <c r="D351" s="4" t="n">
        <v>640</v>
      </c>
      <c r="E351" t="inlineStr"/>
      <c r="F351" t="inlineStr">
        <is>
          <t>Kiel, Bremen, Sylt</t>
        </is>
      </c>
      <c r="G351" s="5" t="n">
        <v>45449</v>
      </c>
      <c r="H351" t="inlineStr">
        <is>
          <t>Sold</t>
        </is>
      </c>
      <c r="I351" s="6">
        <f>HYPERLINK("https://www.dailydose.de/kleinanzeigen/detail.htm?ai=417472&amp;cf=kk&amp;pg=4&amp;ci=13", "Link")</f>
        <v/>
      </c>
      <c r="J351" s="6">
        <f>HYPERLINK("C:\Projects\Kleinanzeigen-Scraper\offer_images\417472", "Link")</f>
        <v/>
      </c>
      <c r="K351" t="inlineStr">
        <is>
          <t>sybille</t>
        </is>
      </c>
      <c r="L351" s="6">
        <f>HYPERLINK("https://www.dailydose.de/kleinanzeigen/user/22818", "Link")</f>
        <v/>
      </c>
      <c r="M351" s="7" t="n">
        <v>45536.91402777778</v>
      </c>
      <c r="N351" s="3" t="inlineStr">
        <is>
          <t>271.41</t>
        </is>
      </c>
      <c r="O351" t="inlineStr">
        <is>
          <t>Köln</t>
        </is>
      </c>
    </row>
    <row r="352">
      <c r="A352" t="inlineStr">
        <is>
          <t>Chinnok Pro1 Alloy</t>
        </is>
      </c>
      <c r="B352" t="inlineStr">
        <is>
          <t>165-227</t>
        </is>
      </c>
      <c r="C352" t="inlineStr"/>
      <c r="D352" s="4" t="n">
        <v>40</v>
      </c>
      <c r="E352" t="inlineStr">
        <is>
          <t>VB</t>
        </is>
      </c>
      <c r="F352" t="inlineStr">
        <is>
          <t>22359 Hamburg</t>
        </is>
      </c>
      <c r="G352" s="5" t="n">
        <v>45508</v>
      </c>
      <c r="H352" t="inlineStr"/>
      <c r="I352" s="6">
        <f>HYPERLINK("https://www.dailydose.de/kleinanzeigen/detail.htm?ai=420405&amp;cf=kk&amp;pg=4&amp;ci=13", "Link")</f>
        <v/>
      </c>
      <c r="J352" s="6">
        <f>HYPERLINK("C:\Projects\Kleinanzeigen-Scraper\offer_images\420405", "Link")</f>
        <v/>
      </c>
      <c r="K352" t="inlineStr">
        <is>
          <t>Specky64</t>
        </is>
      </c>
      <c r="L352" s="6">
        <f>HYPERLINK("https://www.dailydose.de/kleinanzeigen/user/26252", "Link")</f>
        <v/>
      </c>
      <c r="M352" s="7" t="n">
        <v>45536.91393518518</v>
      </c>
      <c r="N352" s="3" t="inlineStr">
        <is>
          <t>371.96</t>
        </is>
      </c>
      <c r="O352" t="inlineStr">
        <is>
          <t>Köln</t>
        </is>
      </c>
    </row>
    <row r="353">
      <c r="A353" t="inlineStr">
        <is>
          <t>Arrows</t>
        </is>
      </c>
      <c r="B353" t="inlineStr">
        <is>
          <t>250-300</t>
        </is>
      </c>
      <c r="C353" t="inlineStr"/>
      <c r="D353" s="4" t="n">
        <v>175</v>
      </c>
      <c r="E353" t="inlineStr"/>
      <c r="F353" t="inlineStr">
        <is>
          <t>40221 Düsseldorf</t>
        </is>
      </c>
      <c r="G353" s="5" t="n">
        <v>45443</v>
      </c>
      <c r="H353" t="inlineStr"/>
      <c r="I353" s="6">
        <f>HYPERLINK("https://www.dailydose.de/kleinanzeigen/detail.htm?ai=417069&amp;cf=kk&amp;pg=5&amp;ci=13", "Link")</f>
        <v/>
      </c>
      <c r="J353" s="6">
        <f>HYPERLINK("C:\Projects\Kleinanzeigen-Scraper\offer_images\417069", "Link")</f>
        <v/>
      </c>
      <c r="K353" t="inlineStr">
        <is>
          <t>surftkaum</t>
        </is>
      </c>
      <c r="L353" s="6">
        <f>HYPERLINK("https://www.dailydose.de/kleinanzeigen/user/20057", "Link")</f>
        <v/>
      </c>
      <c r="M353" s="7" t="n">
        <v>45536.91388888889</v>
      </c>
      <c r="N353" s="3" t="inlineStr">
        <is>
          <t>32.31</t>
        </is>
      </c>
      <c r="O353" t="inlineStr">
        <is>
          <t>Köln</t>
        </is>
      </c>
    </row>
    <row r="354">
      <c r="A354" t="inlineStr">
        <is>
          <t>Gunsails Cross Boom</t>
        </is>
      </c>
      <c r="B354" t="inlineStr">
        <is>
          <t>140-190</t>
        </is>
      </c>
      <c r="C354" t="inlineStr"/>
      <c r="D354" s="4" t="n">
        <v>160</v>
      </c>
      <c r="E354" t="inlineStr">
        <is>
          <t>VB</t>
        </is>
      </c>
      <c r="F354" t="inlineStr">
        <is>
          <t>82041 Oberhaching</t>
        </is>
      </c>
      <c r="G354" s="5" t="n">
        <v>45536</v>
      </c>
      <c r="H354" t="inlineStr"/>
      <c r="I354" s="6">
        <f>HYPERLINK("https://www.dailydose.de/kleinanzeigen/detail.htm?ai=421905&amp;cf=kk&amp;pg=2&amp;ci=13", "Link")</f>
        <v/>
      </c>
      <c r="J354" s="6">
        <f>HYPERLINK("C:\Projects\Kleinanzeigen-Scraper\offer_images\421905", "Link")</f>
        <v/>
      </c>
      <c r="K354" t="inlineStr">
        <is>
          <t>nobennet123</t>
        </is>
      </c>
      <c r="L354" s="6">
        <f>HYPERLINK("https://www.dailydose.de/kleinanzeigen/user/26312", "Link")</f>
        <v/>
      </c>
      <c r="M354" s="7" t="n">
        <v>45536.91386574074</v>
      </c>
      <c r="N354" s="3" t="inlineStr">
        <is>
          <t>12.39</t>
        </is>
      </c>
      <c r="O354" t="inlineStr">
        <is>
          <t>München</t>
        </is>
      </c>
    </row>
    <row r="355">
      <c r="A355" t="inlineStr">
        <is>
          <t>Amex Carbon Pro Free</t>
        </is>
      </c>
      <c r="B355" t="inlineStr">
        <is>
          <t>150-200</t>
        </is>
      </c>
      <c r="C355" t="inlineStr"/>
      <c r="D355" s="4" t="n">
        <v>60</v>
      </c>
      <c r="E355" t="inlineStr">
        <is>
          <t>VB</t>
        </is>
      </c>
      <c r="F355" t="inlineStr">
        <is>
          <t>80339 München</t>
        </is>
      </c>
      <c r="G355" s="5" t="n">
        <v>45502</v>
      </c>
      <c r="H355" t="inlineStr">
        <is>
          <t>Sold</t>
        </is>
      </c>
      <c r="I355" s="6">
        <f>HYPERLINK("https://www.dailydose.de/kleinanzeigen/detail.htm?ai=420131&amp;cf=kk&amp;pg=3&amp;ci=13", "Link")</f>
        <v/>
      </c>
      <c r="J355" s="6">
        <f>HYPERLINK("C:\Projects\Kleinanzeigen-Scraper\offer_images\420131", "Link")</f>
        <v/>
      </c>
      <c r="K355" t="inlineStr">
        <is>
          <t>Timo Kusior</t>
        </is>
      </c>
      <c r="L355" s="6">
        <f>HYPERLINK("https://www.dailydose.de/kleinanzeigen/user/23642", "Link")</f>
        <v/>
      </c>
      <c r="M355" s="7" t="n">
        <v>45536.91383101852</v>
      </c>
      <c r="N355" s="3" t="inlineStr">
        <is>
          <t>2.57</t>
        </is>
      </c>
      <c r="O355" t="inlineStr">
        <is>
          <t>München</t>
        </is>
      </c>
    </row>
    <row r="356">
      <c r="A356" t="inlineStr">
        <is>
          <t>North Progression Comp A+</t>
        </is>
      </c>
      <c r="B356" t="inlineStr">
        <is>
          <t>150-200</t>
        </is>
      </c>
      <c r="C356" t="inlineStr"/>
      <c r="D356" s="4" t="n">
        <v>55</v>
      </c>
      <c r="E356" t="inlineStr"/>
      <c r="F356" t="inlineStr">
        <is>
          <t>21465 Reinbek</t>
        </is>
      </c>
      <c r="G356" s="5" t="n">
        <v>45420</v>
      </c>
      <c r="H356" t="inlineStr">
        <is>
          <t>Sold</t>
        </is>
      </c>
      <c r="I356" s="6">
        <f>HYPERLINK("https://www.dailydose.de/kleinanzeigen/detail.htm?ai=415691&amp;cf=kk&amp;pg=5&amp;ci=13", "Link")</f>
        <v/>
      </c>
      <c r="J356" s="6">
        <f>HYPERLINK("C:\Projects\Kleinanzeigen-Scraper\offer_images\415691", "Link")</f>
        <v/>
      </c>
      <c r="K356" t="inlineStr">
        <is>
          <t>Axel2</t>
        </is>
      </c>
      <c r="L356" s="6">
        <f>HYPERLINK("https://www.dailydose.de/kleinanzeigen/user/2591", "Link")</f>
        <v/>
      </c>
      <c r="M356" s="7" t="n">
        <v>45536.91376157408</v>
      </c>
      <c r="N356" s="3" t="inlineStr">
        <is>
          <t>366.85</t>
        </is>
      </c>
      <c r="O356" t="inlineStr">
        <is>
          <t>Köln</t>
        </is>
      </c>
    </row>
    <row r="357">
      <c r="A357" t="inlineStr">
        <is>
          <t>North Sails</t>
        </is>
      </c>
      <c r="B357" t="inlineStr">
        <is>
          <t>185-235</t>
        </is>
      </c>
      <c r="C357" t="inlineStr"/>
      <c r="D357" s="4" t="n">
        <v>15</v>
      </c>
      <c r="E357" t="inlineStr"/>
      <c r="F357" t="inlineStr">
        <is>
          <t>03046 Cottbus</t>
        </is>
      </c>
      <c r="G357" s="5" t="n">
        <v>45522</v>
      </c>
      <c r="H357" t="inlineStr">
        <is>
          <t>Sold</t>
        </is>
      </c>
      <c r="I357" s="6">
        <f>HYPERLINK("https://www.dailydose.de/kleinanzeigen/detail.htm?ai=421088&amp;cf=kk&amp;pg=3&amp;ci=13", "Link")</f>
        <v/>
      </c>
      <c r="J357" s="6">
        <f>HYPERLINK("C:\Projects\Kleinanzeigen-Scraper\offer_images\421088", "Link")</f>
        <v/>
      </c>
      <c r="K357" t="inlineStr">
        <is>
          <t>Volker_43</t>
        </is>
      </c>
      <c r="L357" s="6">
        <f>HYPERLINK("https://www.dailydose.de/kleinanzeigen/user/5186", "Link")</f>
        <v/>
      </c>
      <c r="M357" s="7" t="n">
        <v>45536.91376157408</v>
      </c>
      <c r="N357" s="3" t="inlineStr">
        <is>
          <t>447.53</t>
        </is>
      </c>
      <c r="O357" t="inlineStr">
        <is>
          <t>München</t>
        </is>
      </c>
    </row>
    <row r="358">
      <c r="A358" t="inlineStr">
        <is>
          <t>no Name</t>
        </is>
      </c>
      <c r="B358" t="inlineStr">
        <is>
          <t>180-240</t>
        </is>
      </c>
      <c r="C358" t="inlineStr"/>
      <c r="D358" s="4" t="inlineStr">
        <is>
          <t>10 ner</t>
        </is>
      </c>
      <c r="E358" t="inlineStr"/>
      <c r="F358" t="inlineStr">
        <is>
          <t>30519 Hannover, Göttinge, Steinhider Meer</t>
        </is>
      </c>
      <c r="G358" s="5" t="n">
        <v>45432</v>
      </c>
      <c r="H358" t="inlineStr">
        <is>
          <t>Sold</t>
        </is>
      </c>
      <c r="I358" s="6">
        <f>HYPERLINK("https://www.dailydose.de/kleinanzeigen/detail.htm?ai=416344&amp;cf=kk&amp;pg=5&amp;ci=13", "Link")</f>
        <v/>
      </c>
      <c r="J358" s="6">
        <f>HYPERLINK("C:\Projects\Kleinanzeigen-Scraper\offer_images\416344", "Link")</f>
        <v/>
      </c>
      <c r="K358" t="inlineStr">
        <is>
          <t>Markus_160</t>
        </is>
      </c>
      <c r="L358" s="6">
        <f>HYPERLINK("https://www.dailydose.de/kleinanzeigen/user/9491", "Link")</f>
        <v/>
      </c>
      <c r="M358" s="7" t="n">
        <v>45536.91373842592</v>
      </c>
      <c r="N358" s="3" t="inlineStr">
        <is>
          <t>248.98</t>
        </is>
      </c>
      <c r="O358" t="inlineStr">
        <is>
          <t>Köln</t>
        </is>
      </c>
    </row>
    <row r="359">
      <c r="A359" t="inlineStr">
        <is>
          <t>North EPX</t>
        </is>
      </c>
      <c r="B359" t="inlineStr">
        <is>
          <t>160-210</t>
        </is>
      </c>
      <c r="C359" t="inlineStr"/>
      <c r="D359" s="4" t="n">
        <v>60</v>
      </c>
      <c r="E359" t="inlineStr">
        <is>
          <t>VB</t>
        </is>
      </c>
      <c r="F359" t="inlineStr">
        <is>
          <t>01326 Dresden - Loschwitz</t>
        </is>
      </c>
      <c r="G359" s="5" t="n">
        <v>45515</v>
      </c>
      <c r="H359" t="inlineStr"/>
      <c r="I359" s="6">
        <f>HYPERLINK("https://www.dailydose.de/kleinanzeigen/detail.htm?ai=420727&amp;cf=kk&amp;pg=3&amp;ci=13", "Link")</f>
        <v/>
      </c>
      <c r="J359" s="6">
        <f>HYPERLINK("C:\Projects\Kleinanzeigen-Scraper\offer_images\420727", "Link")</f>
        <v/>
      </c>
      <c r="K359" t="inlineStr">
        <is>
          <t>Andreas V</t>
        </is>
      </c>
      <c r="L359" s="6">
        <f>HYPERLINK("https://www.dailydose.de/kleinanzeigen/user/22573", "Link")</f>
        <v/>
      </c>
      <c r="M359" s="7" t="n">
        <v>45536.91373842592</v>
      </c>
      <c r="N359" s="3" t="inlineStr">
        <is>
          <t>362.41</t>
        </is>
      </c>
      <c r="O359" t="inlineStr">
        <is>
          <t>München</t>
        </is>
      </c>
    </row>
    <row r="360">
      <c r="A360" t="inlineStr">
        <is>
          <t>Streamlined</t>
        </is>
      </c>
      <c r="B360" t="inlineStr">
        <is>
          <t>200-250</t>
        </is>
      </c>
      <c r="C360" t="inlineStr"/>
      <c r="D360" s="4" t="n">
        <v>400</v>
      </c>
      <c r="E360" t="inlineStr"/>
      <c r="F360" t="inlineStr">
        <is>
          <t>23769 Fehmarn</t>
        </is>
      </c>
      <c r="G360" s="5" t="n">
        <v>45498</v>
      </c>
      <c r="H360" t="inlineStr"/>
      <c r="I360" s="6">
        <f>HYPERLINK("https://www.dailydose.de/kleinanzeigen/detail.htm?ai=419972&amp;cf=kk&amp;pg=4&amp;ci=13", "Link")</f>
        <v/>
      </c>
      <c r="J360" s="6">
        <f>HYPERLINK("C:\Projects\Kleinanzeigen-Scraper\offer_images\419972", "Link")</f>
        <v/>
      </c>
      <c r="K360" t="inlineStr">
        <is>
          <t>Estefan</t>
        </is>
      </c>
      <c r="L360" s="6">
        <f>HYPERLINK("https://www.dailydose.de/kleinanzeigen/user/21987", "Link")</f>
        <v/>
      </c>
      <c r="M360" s="7" t="n">
        <v>45536.91370370371</v>
      </c>
      <c r="N360" s="3" t="inlineStr">
        <is>
          <t>483.01</t>
        </is>
      </c>
      <c r="O360" t="inlineStr">
        <is>
          <t>Köln</t>
        </is>
      </c>
    </row>
    <row r="361">
      <c r="A361" t="inlineStr">
        <is>
          <t>Prolimit Assault V-Grip</t>
        </is>
      </c>
      <c r="B361" t="inlineStr">
        <is>
          <t>140-200</t>
        </is>
      </c>
      <c r="C361" t="inlineStr"/>
      <c r="D361" s="4" t="n">
        <v>120</v>
      </c>
      <c r="E361" t="inlineStr">
        <is>
          <t>VB</t>
        </is>
      </c>
      <c r="F361" t="inlineStr">
        <is>
          <t>24105 Kiel</t>
        </is>
      </c>
      <c r="G361" s="5" t="n">
        <v>45442</v>
      </c>
      <c r="H361" t="inlineStr"/>
      <c r="I361" s="6">
        <f>HYPERLINK("https://www.dailydose.de/kleinanzeigen/detail.htm?ai=416982&amp;cf=kk&amp;pg=5&amp;ci=13", "Link")</f>
        <v/>
      </c>
      <c r="J361" s="6">
        <f>HYPERLINK("C:\Projects\Kleinanzeigen-Scraper\offer_images\416982", "Link")</f>
        <v/>
      </c>
      <c r="K361" t="inlineStr">
        <is>
          <t>Niklas_29</t>
        </is>
      </c>
      <c r="L361" s="6">
        <f>HYPERLINK("https://www.dailydose.de/kleinanzeigen/user/17415", "Link")</f>
        <v/>
      </c>
      <c r="M361" s="7" t="n">
        <v>45536.91366898148</v>
      </c>
      <c r="N361" s="3" t="inlineStr">
        <is>
          <t>435.05</t>
        </is>
      </c>
      <c r="O361" t="inlineStr">
        <is>
          <t>Köln</t>
        </is>
      </c>
    </row>
    <row r="362">
      <c r="A362" t="inlineStr">
        <is>
          <t>Neilpryde X6</t>
        </is>
      </c>
      <c r="B362" t="inlineStr"/>
      <c r="C362" t="inlineStr"/>
      <c r="D362" s="4" t="n">
        <v>25</v>
      </c>
      <c r="E362" t="inlineStr">
        <is>
          <t>VB</t>
        </is>
      </c>
      <c r="F362" t="inlineStr">
        <is>
          <t>21635 Jork</t>
        </is>
      </c>
      <c r="G362" s="5" t="n">
        <v>45457</v>
      </c>
      <c r="H362" t="inlineStr">
        <is>
          <t>Sold</t>
        </is>
      </c>
      <c r="I362" s="6">
        <f>HYPERLINK("https://www.dailydose.de/kleinanzeigen/detail.htm?ai=417877&amp;cf=kk&amp;pg=4&amp;ci=13", "Link")</f>
        <v/>
      </c>
      <c r="J362" s="6">
        <f>HYPERLINK("C:\Projects\Kleinanzeigen-Scraper\offer_images\417877", "Link")</f>
        <v/>
      </c>
      <c r="K362" t="inlineStr">
        <is>
          <t>Jarne</t>
        </is>
      </c>
      <c r="L362" s="6">
        <f>HYPERLINK("https://www.dailydose.de/kleinanzeigen/user/11845", "Link")</f>
        <v/>
      </c>
      <c r="M362" s="7" t="n">
        <v>45536.91366898148</v>
      </c>
      <c r="N362" s="3" t="inlineStr">
        <is>
          <t>343.43</t>
        </is>
      </c>
      <c r="O362" t="inlineStr">
        <is>
          <t>Köln</t>
        </is>
      </c>
    </row>
    <row r="363">
      <c r="A363" t="inlineStr">
        <is>
          <t>Prolimit Pro</t>
        </is>
      </c>
      <c r="B363" t="inlineStr">
        <is>
          <t>140-200</t>
        </is>
      </c>
      <c r="C363" t="inlineStr"/>
      <c r="D363" s="4" t="n">
        <v>80</v>
      </c>
      <c r="E363" t="inlineStr"/>
      <c r="F363" t="inlineStr">
        <is>
          <t>93309 Kelheim</t>
        </is>
      </c>
      <c r="G363" s="5" t="n">
        <v>45536</v>
      </c>
      <c r="H363" t="inlineStr"/>
      <c r="I363" s="6">
        <f>HYPERLINK("https://www.dailydose.de/kleinanzeigen/detail.htm?ai=421922&amp;cf=kk&amp;pg=2&amp;ci=13", "Link")</f>
        <v/>
      </c>
      <c r="J363" s="6">
        <f>HYPERLINK("C:\Projects\Kleinanzeigen-Scraper\offer_images\421922", "Link")</f>
        <v/>
      </c>
      <c r="K363" t="inlineStr">
        <is>
          <t>Rosl81</t>
        </is>
      </c>
      <c r="L363" s="6">
        <f>HYPERLINK("https://www.dailydose.de/kleinanzeigen/user/16719", "Link")</f>
        <v/>
      </c>
      <c r="M363" s="7" t="n">
        <v>45536.91361111111</v>
      </c>
      <c r="N363" s="3" t="inlineStr">
        <is>
          <t>88.18</t>
        </is>
      </c>
      <c r="O363" t="inlineStr">
        <is>
          <t>München</t>
        </is>
      </c>
    </row>
    <row r="364">
      <c r="A364" t="inlineStr">
        <is>
          <t>Gaastra GA-Booms</t>
        </is>
      </c>
      <c r="B364" t="inlineStr">
        <is>
          <t>180-230</t>
        </is>
      </c>
      <c r="C364" t="inlineStr"/>
      <c r="D364" s="4" t="n">
        <v>300</v>
      </c>
      <c r="E364" t="inlineStr">
        <is>
          <t>VB</t>
        </is>
      </c>
      <c r="F364" t="inlineStr">
        <is>
          <t>25436 Uetersen</t>
        </is>
      </c>
      <c r="G364" s="5" t="n">
        <v>45436</v>
      </c>
      <c r="H364" t="inlineStr"/>
      <c r="I364" s="6">
        <f>HYPERLINK("https://www.dailydose.de/kleinanzeigen/detail.htm?ai=416566&amp;cf=kk&amp;pg=5&amp;ci=13", "Link")</f>
        <v/>
      </c>
      <c r="J364" s="6">
        <f>HYPERLINK("C:\Projects\Kleinanzeigen-Scraper\offer_images\416566", "Link")</f>
        <v/>
      </c>
      <c r="K364" t="inlineStr">
        <is>
          <t>Ren_83</t>
        </is>
      </c>
      <c r="L364" s="6">
        <f>HYPERLINK("https://www.dailydose.de/kleinanzeigen/user/21693", "Link")</f>
        <v/>
      </c>
      <c r="M364" s="7" t="n">
        <v>45536.9134837963</v>
      </c>
      <c r="N364" s="3" t="inlineStr">
        <is>
          <t>356.69</t>
        </is>
      </c>
      <c r="O364" t="inlineStr">
        <is>
          <t>Köln</t>
        </is>
      </c>
    </row>
    <row r="365">
      <c r="A365" t="inlineStr">
        <is>
          <t>Duotone Carbon Gabel Platinum SLS Mega Slim</t>
        </is>
      </c>
      <c r="B365" t="inlineStr">
        <is>
          <t>150-200</t>
        </is>
      </c>
      <c r="C365" t="inlineStr">
        <is>
          <t>2023</t>
        </is>
      </c>
      <c r="D365" s="4" t="n">
        <v>599</v>
      </c>
      <c r="E365" t="inlineStr"/>
      <c r="F365" t="inlineStr">
        <is>
          <t>23769 und 28357 Fehmarn und Bremen</t>
        </is>
      </c>
      <c r="G365" s="5" t="n">
        <v>45534</v>
      </c>
      <c r="H365" t="inlineStr"/>
      <c r="I365" s="6">
        <f>HYPERLINK("https://www.dailydose.de/kleinanzeigen/detail.htm?ai=421788&amp;cf=kk&amp;pg=3&amp;ci=13", "Link")</f>
        <v/>
      </c>
      <c r="J365" s="6">
        <f>HYPERLINK("C:\Projects\Kleinanzeigen-Scraper\offer_images\421788", "Link")</f>
        <v/>
      </c>
      <c r="K365" t="inlineStr">
        <is>
          <t>Gold</t>
        </is>
      </c>
      <c r="L365" s="6">
        <f>HYPERLINK("https://www.dailydose.de/kleinanzeigen/user/10200", "Link")</f>
        <v/>
      </c>
      <c r="M365" s="7" t="n">
        <v>45536.91341435185</v>
      </c>
      <c r="N365" s="3" t="inlineStr">
        <is>
          <t>483.01</t>
        </is>
      </c>
      <c r="O365" t="inlineStr">
        <is>
          <t>Köln</t>
        </is>
      </c>
    </row>
    <row r="366">
      <c r="A366" t="inlineStr">
        <is>
          <t>GUN Cross</t>
        </is>
      </c>
      <c r="B366" t="inlineStr">
        <is>
          <t>160-210</t>
        </is>
      </c>
      <c r="C366" t="inlineStr"/>
      <c r="D366" s="4" t="n">
        <v>100</v>
      </c>
      <c r="E366" t="inlineStr"/>
      <c r="F366" t="inlineStr">
        <is>
          <t>38165 Lehre</t>
        </is>
      </c>
      <c r="G366" s="5" t="n">
        <v>45497</v>
      </c>
      <c r="H366" t="inlineStr"/>
      <c r="I366" s="6">
        <f>HYPERLINK("https://www.dailydose.de/kleinanzeigen/detail.htm?ai=419931&amp;cf=kk&amp;pg=4&amp;ci=13", "Link")</f>
        <v/>
      </c>
      <c r="J366" s="6">
        <f>HYPERLINK("C:\Projects\Kleinanzeigen-Scraper\offer_images\419931", "Link")</f>
        <v/>
      </c>
      <c r="K366" t="inlineStr">
        <is>
          <t>bk</t>
        </is>
      </c>
      <c r="L366" s="6">
        <f>HYPERLINK("https://www.dailydose.de/kleinanzeigen/user/4260", "Link")</f>
        <v/>
      </c>
      <c r="M366" s="7" t="n">
        <v>45536.91337962963</v>
      </c>
      <c r="N366" s="3" t="inlineStr">
        <is>
          <t>300.77</t>
        </is>
      </c>
      <c r="O366" t="inlineStr">
        <is>
          <t>Köln</t>
        </is>
      </c>
    </row>
    <row r="367">
      <c r="A367" t="inlineStr">
        <is>
          <t>Point 7</t>
        </is>
      </c>
      <c r="B367" t="inlineStr">
        <is>
          <t>140-190</t>
        </is>
      </c>
      <c r="C367" t="inlineStr"/>
      <c r="D367" s="4" t="n">
        <v>75</v>
      </c>
      <c r="E367" t="inlineStr">
        <is>
          <t>VB</t>
        </is>
      </c>
      <c r="F367" t="inlineStr">
        <is>
          <t>24975 Hürup</t>
        </is>
      </c>
      <c r="G367" s="5" t="n">
        <v>45528</v>
      </c>
      <c r="H367" t="inlineStr">
        <is>
          <t>Sold</t>
        </is>
      </c>
      <c r="I367" s="6">
        <f>HYPERLINK("https://www.dailydose.de/kleinanzeigen/detail.htm?ai=421353&amp;cf=kk&amp;pg=2&amp;ci=13", "Link")</f>
        <v/>
      </c>
      <c r="J367" s="6">
        <f>HYPERLINK("C:\Projects\Kleinanzeigen-Scraper\offer_images\421353", "Link")</f>
        <v/>
      </c>
      <c r="K367" t="inlineStr">
        <is>
          <t>Cesare_266</t>
        </is>
      </c>
      <c r="L367" s="6">
        <f>HYPERLINK("https://www.dailydose.de/kleinanzeigen/user/22800", "Link")</f>
        <v/>
      </c>
      <c r="M367" s="7" t="n">
        <v>45536.91332175926</v>
      </c>
      <c r="N367" s="3" t="inlineStr">
        <is>
          <t>458.46</t>
        </is>
      </c>
      <c r="O367" t="inlineStr">
        <is>
          <t>Köln</t>
        </is>
      </c>
    </row>
    <row r="368">
      <c r="A368" t="inlineStr">
        <is>
          <t>Neil Pryde X-C Race</t>
        </is>
      </c>
      <c r="B368" t="inlineStr">
        <is>
          <t>175-215</t>
        </is>
      </c>
      <c r="C368" t="inlineStr"/>
      <c r="D368" s="4" t="n">
        <v>690</v>
      </c>
      <c r="E368" t="inlineStr"/>
      <c r="F368" t="inlineStr">
        <is>
          <t>82211 Herrsching a. Ammersee</t>
        </is>
      </c>
      <c r="G368" s="5" t="n">
        <v>45417</v>
      </c>
      <c r="H368" t="inlineStr">
        <is>
          <t>Sold</t>
        </is>
      </c>
      <c r="I368" s="6">
        <f>HYPERLINK("https://www.dailydose.de/kleinanzeigen/detail.htm?ai=415469&amp;cf=kk&amp;pg=5&amp;ci=13", "Link")</f>
        <v/>
      </c>
      <c r="J368" s="6">
        <f>HYPERLINK("C:\Projects\Kleinanzeigen-Scraper\offer_images\415469", "Link")</f>
        <v/>
      </c>
      <c r="K368" t="inlineStr">
        <is>
          <t>Andy Laufer_62</t>
        </is>
      </c>
      <c r="L368" s="6">
        <f>HYPERLINK("https://www.dailydose.de/kleinanzeigen/user/3717", "Link")</f>
        <v/>
      </c>
      <c r="M368" s="7" t="n">
        <v>45536.91328703704</v>
      </c>
      <c r="N368" s="3" t="inlineStr">
        <is>
          <t>32.73</t>
        </is>
      </c>
      <c r="O368" t="inlineStr">
        <is>
          <t>München</t>
        </is>
      </c>
    </row>
    <row r="369">
      <c r="A369" t="inlineStr">
        <is>
          <t>Tecno Limits</t>
        </is>
      </c>
      <c r="B369" t="inlineStr">
        <is>
          <t>140-190</t>
        </is>
      </c>
      <c r="C369" t="inlineStr"/>
      <c r="D369" s="4" t="n">
        <v>15</v>
      </c>
      <c r="E369" t="inlineStr">
        <is>
          <t>VB</t>
        </is>
      </c>
      <c r="F369" t="inlineStr">
        <is>
          <t>24109 Kiel</t>
        </is>
      </c>
      <c r="G369" s="5" t="n">
        <v>45535</v>
      </c>
      <c r="H369" t="inlineStr"/>
      <c r="I369" s="6">
        <f>HYPERLINK("https://www.dailydose.de/kleinanzeigen/detail.htm?ai=421852&amp;cf=kk&amp;pg=3&amp;ci=13", "Link")</f>
        <v/>
      </c>
      <c r="J369" s="6">
        <f>HYPERLINK("C:\Projects\Kleinanzeigen-Scraper\offer_images\421852", "Link")</f>
        <v/>
      </c>
      <c r="K369" t="inlineStr">
        <is>
          <t>Simon_84</t>
        </is>
      </c>
      <c r="L369" s="6">
        <f>HYPERLINK("https://www.dailydose.de/kleinanzeigen/user/21444", "Link")</f>
        <v/>
      </c>
      <c r="M369" s="7" t="n">
        <v>45536.91322916667</v>
      </c>
      <c r="N369" s="3" t="inlineStr">
        <is>
          <t>429.71</t>
        </is>
      </c>
      <c r="O369" t="inlineStr">
        <is>
          <t>Köln</t>
        </is>
      </c>
    </row>
    <row r="370">
      <c r="A370" t="inlineStr">
        <is>
          <t>Duotone Boom EPX</t>
        </is>
      </c>
      <c r="B370" t="inlineStr">
        <is>
          <t>125-165</t>
        </is>
      </c>
      <c r="C370" t="inlineStr"/>
      <c r="D370" s="4" t="n">
        <v>80</v>
      </c>
      <c r="E370" t="inlineStr"/>
      <c r="F370" t="inlineStr">
        <is>
          <t>50321 Brühl oder DK</t>
        </is>
      </c>
      <c r="G370" s="5" t="n">
        <v>45505</v>
      </c>
      <c r="H370" t="inlineStr">
        <is>
          <t>Sold</t>
        </is>
      </c>
      <c r="I370" s="6">
        <f>HYPERLINK("https://www.dailydose.de/kleinanzeigen/detail.htm?ai=420270&amp;cf=kk&amp;pg=3&amp;ci=13", "Link")</f>
        <v/>
      </c>
      <c r="J370" s="6">
        <f>HYPERLINK("C:\Projects\Kleinanzeigen-Scraper\offer_images\420270", "Link")</f>
        <v/>
      </c>
      <c r="K370" t="inlineStr">
        <is>
          <t>Bj_38</t>
        </is>
      </c>
      <c r="L370" s="6">
        <f>HYPERLINK("https://www.dailydose.de/kleinanzeigen/user/4926", "Link")</f>
        <v/>
      </c>
      <c r="M370" s="7" t="n">
        <v>45536.91322916667</v>
      </c>
      <c r="N370" s="3" t="inlineStr">
        <is>
          <t>14.26</t>
        </is>
      </c>
      <c r="O370" t="inlineStr">
        <is>
          <t>Köln</t>
        </is>
      </c>
    </row>
    <row r="371">
      <c r="A371" t="inlineStr">
        <is>
          <t>Unifiber Aluminium HD Monocoque V-Grip</t>
        </is>
      </c>
      <c r="B371" t="inlineStr">
        <is>
          <t>180-230</t>
        </is>
      </c>
      <c r="C371" t="inlineStr"/>
      <c r="D371" s="4" t="n">
        <v>160</v>
      </c>
      <c r="E371" t="inlineStr">
        <is>
          <t>VB</t>
        </is>
      </c>
      <c r="F371" t="inlineStr">
        <is>
          <t>22848 Norderstedt</t>
        </is>
      </c>
      <c r="G371" s="5" t="n">
        <v>45530</v>
      </c>
      <c r="H371" t="inlineStr">
        <is>
          <t>Sold</t>
        </is>
      </c>
      <c r="I371" s="6">
        <f>HYPERLINK("https://www.dailydose.de/kleinanzeigen/detail.htm?ai=421444&amp;cf=kk&amp;pg=3&amp;ci=13", "Link")</f>
        <v/>
      </c>
      <c r="J371" s="6">
        <f>HYPERLINK("C:\Projects\Kleinanzeigen-Scraper\offer_images\421444", "Link")</f>
        <v/>
      </c>
      <c r="K371" t="inlineStr">
        <is>
          <t>Kai Schmidt</t>
        </is>
      </c>
      <c r="L371" s="6">
        <f>HYPERLINK("https://www.dailydose.de/kleinanzeigen/user/17993", "Link")</f>
        <v/>
      </c>
      <c r="M371" s="7" t="n">
        <v>45536.91319444445</v>
      </c>
      <c r="N371" s="3" t="inlineStr">
        <is>
          <t>365.52</t>
        </is>
      </c>
      <c r="O371" t="inlineStr">
        <is>
          <t>Köln</t>
        </is>
      </c>
    </row>
    <row r="372">
      <c r="A372" t="inlineStr">
        <is>
          <t>Neilpryde X6</t>
        </is>
      </c>
      <c r="B372" t="inlineStr">
        <is>
          <t>135-185</t>
        </is>
      </c>
      <c r="C372" t="inlineStr"/>
      <c r="D372" s="4" t="n">
        <v>70</v>
      </c>
      <c r="E372" t="inlineStr"/>
      <c r="F372" t="inlineStr">
        <is>
          <t>21635 Jork</t>
        </is>
      </c>
      <c r="G372" s="5" t="n">
        <v>45463</v>
      </c>
      <c r="H372" t="inlineStr"/>
      <c r="I372" s="6">
        <f>HYPERLINK("https://www.dailydose.de/kleinanzeigen/detail.htm?ai=418176&amp;cf=kk&amp;pg=5&amp;ci=13", "Link")</f>
        <v/>
      </c>
      <c r="J372" s="6">
        <f>HYPERLINK("C:\Projects\Kleinanzeigen-Scraper\offer_images\418176", "Link")</f>
        <v/>
      </c>
      <c r="K372" t="inlineStr">
        <is>
          <t>Jarne</t>
        </is>
      </c>
      <c r="L372" s="6">
        <f>HYPERLINK("https://www.dailydose.de/kleinanzeigen/user/11845", "Link")</f>
        <v/>
      </c>
      <c r="M372" s="7" t="n">
        <v>45536.91315972222</v>
      </c>
      <c r="N372" s="3" t="inlineStr">
        <is>
          <t>343.43</t>
        </is>
      </c>
      <c r="O372" t="inlineStr">
        <is>
          <t>Köln</t>
        </is>
      </c>
    </row>
    <row r="373">
      <c r="A373" t="inlineStr">
        <is>
          <t>Gaastra Black Line</t>
        </is>
      </c>
      <c r="B373" t="inlineStr">
        <is>
          <t>160-210</t>
        </is>
      </c>
      <c r="C373" t="inlineStr"/>
      <c r="D373" s="4" t="n">
        <v>30</v>
      </c>
      <c r="E373" t="inlineStr"/>
      <c r="F373" t="inlineStr">
        <is>
          <t>50999 Köln/Brouwersdam</t>
        </is>
      </c>
      <c r="G373" s="5" t="n">
        <v>45463</v>
      </c>
      <c r="H373" t="inlineStr"/>
      <c r="I373" s="6">
        <f>HYPERLINK("https://www.dailydose.de/kleinanzeigen/detail.htm?ai=418168&amp;cf=kk&amp;pg=5&amp;ci=13", "Link")</f>
        <v/>
      </c>
      <c r="J373" s="6">
        <f>HYPERLINK("C:\Projects\Kleinanzeigen-Scraper\offer_images\418168", "Link")</f>
        <v/>
      </c>
      <c r="K373" t="inlineStr">
        <is>
          <t>Michael_144</t>
        </is>
      </c>
      <c r="L373" s="6">
        <f>HYPERLINK("https://www.dailydose.de/kleinanzeigen/user/16725", "Link")</f>
        <v/>
      </c>
      <c r="M373" s="7" t="n">
        <v>45536.91313657408</v>
      </c>
      <c r="N373" s="3" t="inlineStr">
        <is>
          <t>7.80</t>
        </is>
      </c>
      <c r="O373" t="inlineStr">
        <is>
          <t>Köln</t>
        </is>
      </c>
    </row>
    <row r="374">
      <c r="A374" t="inlineStr">
        <is>
          <t>North Silver-HD</t>
        </is>
      </c>
      <c r="B374" t="inlineStr">
        <is>
          <t>160-210</t>
        </is>
      </c>
      <c r="C374" t="inlineStr"/>
      <c r="D374" s="4" t="n">
        <v>55</v>
      </c>
      <c r="E374" t="inlineStr"/>
      <c r="F374" t="inlineStr">
        <is>
          <t>24248 Mönkeberg</t>
        </is>
      </c>
      <c r="G374" s="5" t="n">
        <v>45522</v>
      </c>
      <c r="H374" t="inlineStr"/>
      <c r="I374" s="6">
        <f>HYPERLINK("https://www.dailydose.de/kleinanzeigen/detail.htm?ai=421106&amp;cf=kk&amp;pg=3&amp;ci=13", "Link")</f>
        <v/>
      </c>
      <c r="J374" s="6">
        <f>HYPERLINK("C:\Projects\Kleinanzeigen-Scraper\offer_images\421106", "Link")</f>
        <v/>
      </c>
      <c r="K374" t="inlineStr">
        <is>
          <t>DTM</t>
        </is>
      </c>
      <c r="L374" s="6">
        <f>HYPERLINK("https://www.dailydose.de/kleinanzeigen/user/2521", "Link")</f>
        <v/>
      </c>
      <c r="M374" s="7" t="n">
        <v>45536.91302083333</v>
      </c>
      <c r="N374" s="3" t="inlineStr">
        <is>
          <t>437.31</t>
        </is>
      </c>
      <c r="O374" t="inlineStr">
        <is>
          <t>Köln</t>
        </is>
      </c>
    </row>
    <row r="375">
      <c r="A375" t="inlineStr">
        <is>
          <t>Duotone Platinum SLS</t>
        </is>
      </c>
      <c r="B375" t="inlineStr">
        <is>
          <t>140-180</t>
        </is>
      </c>
      <c r="C375" t="inlineStr"/>
      <c r="D375" s="4" t="n">
        <v>699</v>
      </c>
      <c r="E375" t="inlineStr"/>
      <c r="F375" t="inlineStr">
        <is>
          <t>91058 Erlangen</t>
        </is>
      </c>
      <c r="G375" s="5" t="n">
        <v>45505</v>
      </c>
      <c r="H375" t="inlineStr">
        <is>
          <t>Sold</t>
        </is>
      </c>
      <c r="I375" s="6">
        <f>HYPERLINK("https://www.dailydose.de/kleinanzeigen/detail.htm?ai=420287&amp;cf=kk&amp;pg=3&amp;ci=13", "Link")</f>
        <v/>
      </c>
      <c r="J375" s="6">
        <f>HYPERLINK("C:\Projects\Kleinanzeigen-Scraper\offer_images\420287", "Link")</f>
        <v/>
      </c>
      <c r="K375" t="inlineStr">
        <is>
          <t>DuoFan</t>
        </is>
      </c>
      <c r="L375" s="6">
        <f>HYPERLINK("https://www.dailydose.de/kleinanzeigen/user/8393", "Link")</f>
        <v/>
      </c>
      <c r="M375" s="7" t="n">
        <v>45536.91298611111</v>
      </c>
      <c r="N375" s="3" t="inlineStr">
        <is>
          <t>163.84</t>
        </is>
      </c>
      <c r="O375" t="inlineStr">
        <is>
          <t>München</t>
        </is>
      </c>
    </row>
    <row r="376">
      <c r="A376" t="inlineStr">
        <is>
          <t>Prolimit</t>
        </is>
      </c>
      <c r="B376" t="inlineStr">
        <is>
          <t>140-190</t>
        </is>
      </c>
      <c r="C376" t="inlineStr"/>
      <c r="D376" s="4" t="n">
        <v>145</v>
      </c>
      <c r="E376" t="inlineStr"/>
      <c r="F376" t="inlineStr">
        <is>
          <t>24114 Kiel</t>
        </is>
      </c>
      <c r="G376" s="5" t="n">
        <v>45457</v>
      </c>
      <c r="H376" t="inlineStr">
        <is>
          <t>Sold</t>
        </is>
      </c>
      <c r="I376" s="6">
        <f>HYPERLINK("https://www.dailydose.de/kleinanzeigen/detail.htm?ai=417898&amp;cf=kk&amp;pg=5&amp;ci=13", "Link")</f>
        <v/>
      </c>
      <c r="J376" s="6">
        <f>HYPERLINK("C:\Projects\Kleinanzeigen-Scraper\offer_images\417898", "Link")</f>
        <v/>
      </c>
      <c r="K376" t="inlineStr">
        <is>
          <t>overus</t>
        </is>
      </c>
      <c r="L376" s="6">
        <f>HYPERLINK("https://www.dailydose.de/kleinanzeigen/user/2428", "Link")</f>
        <v/>
      </c>
      <c r="M376" s="7" t="n">
        <v>45536.91295138889</v>
      </c>
      <c r="N376" s="3" t="inlineStr">
        <is>
          <t>431.59</t>
        </is>
      </c>
      <c r="O376" t="inlineStr">
        <is>
          <t>Köln</t>
        </is>
      </c>
    </row>
    <row r="377">
      <c r="A377" t="inlineStr">
        <is>
          <t>North Sails</t>
        </is>
      </c>
      <c r="B377" t="inlineStr">
        <is>
          <t>140-190</t>
        </is>
      </c>
      <c r="C377" t="inlineStr"/>
      <c r="D377" s="4" t="n">
        <v>40</v>
      </c>
      <c r="E377" t="inlineStr">
        <is>
          <t>VB</t>
        </is>
      </c>
      <c r="F377" t="inlineStr">
        <is>
          <t>80339 München</t>
        </is>
      </c>
      <c r="G377" s="5" t="n">
        <v>45502</v>
      </c>
      <c r="H377" t="inlineStr"/>
      <c r="I377" s="6">
        <f>HYPERLINK("https://www.dailydose.de/kleinanzeigen/detail.htm?ai=420128&amp;cf=kk&amp;pg=4&amp;ci=13", "Link")</f>
        <v/>
      </c>
      <c r="J377" s="6">
        <f>HYPERLINK("C:\Projects\Kleinanzeigen-Scraper\offer_images\420128", "Link")</f>
        <v/>
      </c>
      <c r="K377" t="inlineStr">
        <is>
          <t>Timo Kusior</t>
        </is>
      </c>
      <c r="L377" s="6">
        <f>HYPERLINK("https://www.dailydose.de/kleinanzeigen/user/23642", "Link")</f>
        <v/>
      </c>
      <c r="M377" s="7" t="n">
        <v>45536.91295138889</v>
      </c>
      <c r="N377" s="3" t="inlineStr">
        <is>
          <t>2.57</t>
        </is>
      </c>
      <c r="O377" t="inlineStr">
        <is>
          <t>München</t>
        </is>
      </c>
    </row>
    <row r="378">
      <c r="A378" t="inlineStr"/>
      <c r="B378" t="inlineStr">
        <is>
          <t>140-170</t>
        </is>
      </c>
      <c r="C378" t="inlineStr"/>
      <c r="D378" s="4" t="n">
        <v>0</v>
      </c>
      <c r="E378" t="inlineStr"/>
      <c r="F378" t="inlineStr">
        <is>
          <t>78256 Steißlingen</t>
        </is>
      </c>
      <c r="G378" s="5" t="n">
        <v>45508</v>
      </c>
      <c r="H378" t="inlineStr"/>
      <c r="I378" s="6">
        <f>HYPERLINK("https://www.dailydose.de/kleinanzeigen/detail.htm?ai=420415&amp;cf=kk&amp;pg=4&amp;ci=13", "Link")</f>
        <v/>
      </c>
      <c r="J378" s="6">
        <f>HYPERLINK("C:\Projects\Kleinanzeigen-Scraper\offer_images\420415", "Link")</f>
        <v/>
      </c>
      <c r="K378" t="inlineStr">
        <is>
          <t>Jani</t>
        </is>
      </c>
      <c r="L378" s="6">
        <f>HYPERLINK("https://www.dailydose.de/kleinanzeigen/user/26255", "Link")</f>
        <v/>
      </c>
      <c r="M378" s="7" t="n">
        <v>45536.91291666667</v>
      </c>
      <c r="N378" s="3" t="inlineStr">
        <is>
          <t>42.68</t>
        </is>
      </c>
      <c r="O378" t="inlineStr">
        <is>
          <t>Bonndorf</t>
        </is>
      </c>
    </row>
    <row r="379">
      <c r="A379" t="inlineStr">
        <is>
          <t>Prolimit TCS RDG</t>
        </is>
      </c>
      <c r="B379" t="inlineStr">
        <is>
          <t>135-195</t>
        </is>
      </c>
      <c r="C379" t="inlineStr"/>
      <c r="D379" s="4" t="n">
        <v>140</v>
      </c>
      <c r="E379" t="inlineStr"/>
      <c r="F379" t="inlineStr">
        <is>
          <t>58093 Hagen</t>
        </is>
      </c>
      <c r="G379" s="5" t="n">
        <v>45508</v>
      </c>
      <c r="H379" t="inlineStr"/>
      <c r="I379" s="6">
        <f>HYPERLINK("https://www.dailydose.de/kleinanzeigen/detail.htm?ai=420412&amp;cf=kk&amp;pg=4&amp;ci=13", "Link")</f>
        <v/>
      </c>
      <c r="J379" s="6">
        <f>HYPERLINK("C:\Projects\Kleinanzeigen-Scraper\offer_images\420412", "Link")</f>
        <v/>
      </c>
      <c r="K379" t="inlineStr">
        <is>
          <t>Joe</t>
        </is>
      </c>
      <c r="L379" s="6">
        <f>HYPERLINK("https://www.dailydose.de/kleinanzeigen/user/8823", "Link")</f>
        <v/>
      </c>
      <c r="M379" s="7" t="n">
        <v>45536.91289351852</v>
      </c>
      <c r="N379" s="3" t="inlineStr">
        <is>
          <t>62.86</t>
        </is>
      </c>
      <c r="O379" t="inlineStr">
        <is>
          <t>Köln</t>
        </is>
      </c>
    </row>
    <row r="380">
      <c r="A380" t="inlineStr">
        <is>
          <t>Point 7 Carbon+ Pro</t>
        </is>
      </c>
      <c r="B380" t="inlineStr">
        <is>
          <t>190-240</t>
        </is>
      </c>
      <c r="C380" t="inlineStr"/>
      <c r="D380" s="4" t="n">
        <v>455</v>
      </c>
      <c r="E380" t="inlineStr"/>
      <c r="F380" t="inlineStr">
        <is>
          <t>5020 Salzburg</t>
        </is>
      </c>
      <c r="G380" s="5" t="n">
        <v>45490</v>
      </c>
      <c r="H380" t="inlineStr">
        <is>
          <t>Sold</t>
        </is>
      </c>
      <c r="I380" s="6">
        <f>HYPERLINK("https://www.dailydose.de/kleinanzeigen/detail.htm?ai=419577&amp;cf=kk&amp;pg=4&amp;ci=13", "Link")</f>
        <v/>
      </c>
      <c r="J380" s="6">
        <f>HYPERLINK("C:\Projects\Kleinanzeigen-Scraper\offer_images\419577", "Link")</f>
        <v/>
      </c>
      <c r="K380" t="inlineStr">
        <is>
          <t>cober</t>
        </is>
      </c>
      <c r="L380" s="6">
        <f>HYPERLINK("https://www.dailydose.de/kleinanzeigen/user/26035", "Link")</f>
        <v/>
      </c>
      <c r="M380" s="7" t="n">
        <v>45536.91289351852</v>
      </c>
      <c r="N380" s="3" t="inlineStr">
        <is>
          <t>115.97</t>
        </is>
      </c>
      <c r="O380" t="inlineStr">
        <is>
          <t>München</t>
        </is>
      </c>
    </row>
    <row r="381">
      <c r="A381" t="inlineStr">
        <is>
          <t>Severne Enigma</t>
        </is>
      </c>
      <c r="B381" t="inlineStr">
        <is>
          <t>140-190</t>
        </is>
      </c>
      <c r="C381" t="inlineStr"/>
      <c r="D381" s="4" t="n">
        <v>598</v>
      </c>
      <c r="E381" t="inlineStr"/>
      <c r="F381" t="inlineStr">
        <is>
          <t>23769 und 28357 Fehmarn und Bremen</t>
        </is>
      </c>
      <c r="G381" s="5" t="n">
        <v>45534</v>
      </c>
      <c r="H381" t="inlineStr"/>
      <c r="I381" s="6">
        <f>HYPERLINK("https://www.dailydose.de/kleinanzeigen/detail.htm?ai=421790&amp;cf=kk&amp;pg=3&amp;ci=13", "Link")</f>
        <v/>
      </c>
      <c r="J381" s="6">
        <f>HYPERLINK("C:\Projects\Kleinanzeigen-Scraper\offer_images\421790", "Link")</f>
        <v/>
      </c>
      <c r="K381" t="inlineStr">
        <is>
          <t>Gold</t>
        </is>
      </c>
      <c r="L381" s="6">
        <f>HYPERLINK("https://www.dailydose.de/kleinanzeigen/user/10200", "Link")</f>
        <v/>
      </c>
      <c r="M381" s="7" t="n">
        <v>45536.91289351852</v>
      </c>
      <c r="N381" s="3" t="inlineStr">
        <is>
          <t>483.01</t>
        </is>
      </c>
      <c r="O381" t="inlineStr">
        <is>
          <t>Köln</t>
        </is>
      </c>
    </row>
    <row r="382">
      <c r="A382" t="inlineStr">
        <is>
          <t>DUOTONE PLATINUM</t>
        </is>
      </c>
      <c r="B382" t="inlineStr">
        <is>
          <t>160-220, 140-190, 140-180</t>
        </is>
      </c>
      <c r="C382" t="inlineStr"/>
      <c r="D382" s="4" t="n">
        <v>390</v>
      </c>
      <c r="E382" t="inlineStr"/>
      <c r="F382" t="inlineStr">
        <is>
          <t>35096 Weimar</t>
        </is>
      </c>
      <c r="G382" s="5" t="n">
        <v>45536</v>
      </c>
      <c r="H382" t="inlineStr">
        <is>
          <t>Sold</t>
        </is>
      </c>
      <c r="I382" s="6">
        <f>HYPERLINK("https://www.dailydose.de/kleinanzeigen/detail.htm?ai=421908&amp;cf=kk&amp;pg=2&amp;ci=13", "Link")</f>
        <v/>
      </c>
      <c r="J382" s="6">
        <f>HYPERLINK("C:\Projects\Kleinanzeigen-Scraper\offer_images\421908", "Link")</f>
        <v/>
      </c>
      <c r="K382" t="inlineStr">
        <is>
          <t>Harald Dorndorf</t>
        </is>
      </c>
      <c r="L382" s="6">
        <f>HYPERLINK("https://www.dailydose.de/kleinanzeigen/user/11063", "Link")</f>
        <v/>
      </c>
      <c r="M382" s="7" t="n">
        <v>45536.9128587963</v>
      </c>
      <c r="N382" s="3" t="inlineStr">
        <is>
          <t>124.91</t>
        </is>
      </c>
      <c r="O382" t="inlineStr">
        <is>
          <t>Köln</t>
        </is>
      </c>
    </row>
    <row r="383">
      <c r="A383" t="inlineStr">
        <is>
          <t>Severne Enigma</t>
        </is>
      </c>
      <c r="B383" t="inlineStr">
        <is>
          <t>140-190</t>
        </is>
      </c>
      <c r="C383" t="inlineStr"/>
      <c r="D383" s="4" t="n">
        <v>599</v>
      </c>
      <c r="E383" t="inlineStr"/>
      <c r="F383" t="inlineStr">
        <is>
          <t>28357 oder 23769 Bremen oder Fehmarn</t>
        </is>
      </c>
      <c r="G383" s="5" t="n">
        <v>45522</v>
      </c>
      <c r="H383" t="inlineStr">
        <is>
          <t>Sold</t>
        </is>
      </c>
      <c r="I383" s="6">
        <f>HYPERLINK("https://www.dailydose.de/kleinanzeigen/detail.htm?ai=421082&amp;cf=kk&amp;pg=2&amp;ci=13", "Link")</f>
        <v/>
      </c>
      <c r="J383" s="6">
        <f>HYPERLINK("C:\Projects\Kleinanzeigen-Scraper\offer_images\421082", "Link")</f>
        <v/>
      </c>
      <c r="K383" t="inlineStr">
        <is>
          <t>Gold</t>
        </is>
      </c>
      <c r="L383" s="6">
        <f>HYPERLINK("https://www.dailydose.de/kleinanzeigen/user/10200", "Link")</f>
        <v/>
      </c>
      <c r="M383" s="7" t="n">
        <v>45536.9128587963</v>
      </c>
      <c r="N383" s="3" t="inlineStr">
        <is>
          <t>275.85</t>
        </is>
      </c>
      <c r="O383" t="inlineStr">
        <is>
          <t>Köln</t>
        </is>
      </c>
    </row>
    <row r="384">
      <c r="A384" t="inlineStr">
        <is>
          <t>Chinook RDG Alloy</t>
        </is>
      </c>
      <c r="B384" t="inlineStr">
        <is>
          <t>135-195</t>
        </is>
      </c>
      <c r="C384" t="inlineStr"/>
      <c r="D384" s="4" t="n">
        <v>105</v>
      </c>
      <c r="E384" t="inlineStr">
        <is>
          <t>VB</t>
        </is>
      </c>
      <c r="F384" t="inlineStr">
        <is>
          <t>04177 Leipzig</t>
        </is>
      </c>
      <c r="G384" s="5" t="n">
        <v>45515</v>
      </c>
      <c r="H384" t="inlineStr"/>
      <c r="I384" s="6">
        <f>HYPERLINK("https://www.dailydose.de/kleinanzeigen/detail.htm?ai=420743&amp;cf=kk&amp;pg=3&amp;ci=13", "Link")</f>
        <v/>
      </c>
      <c r="J384" s="6">
        <f>HYPERLINK("C:\Projects\Kleinanzeigen-Scraper\offer_images\420743", "Link")</f>
        <v/>
      </c>
      <c r="K384" t="inlineStr">
        <is>
          <t>mulrich91</t>
        </is>
      </c>
      <c r="L384" s="6">
        <f>HYPERLINK("https://www.dailydose.de/kleinanzeigen/user/14860", "Link")</f>
        <v/>
      </c>
      <c r="M384" s="7" t="n">
        <v>45536.91282407408</v>
      </c>
      <c r="N384" s="3" t="inlineStr">
        <is>
          <t>360.58</t>
        </is>
      </c>
      <c r="O384" t="inlineStr">
        <is>
          <t>München</t>
        </is>
      </c>
    </row>
    <row r="385">
      <c r="A385" t="inlineStr">
        <is>
          <t>North Silver</t>
        </is>
      </c>
      <c r="B385" t="inlineStr">
        <is>
          <t>180-230</t>
        </is>
      </c>
      <c r="C385" t="inlineStr"/>
      <c r="D385" s="4" t="inlineStr"/>
      <c r="E385" t="inlineStr"/>
      <c r="F385" t="inlineStr">
        <is>
          <t>83410</t>
        </is>
      </c>
      <c r="G385" s="5" t="n">
        <v>45496</v>
      </c>
      <c r="H385" t="inlineStr"/>
      <c r="I385" s="6">
        <f>HYPERLINK("https://www.dailydose.de/kleinanzeigen/detail.htm?ai=419898&amp;cf=kk&amp;pg=4&amp;ci=13", "Link")</f>
        <v/>
      </c>
      <c r="J385" s="6">
        <f>HYPERLINK("C:\Projects\Kleinanzeigen-Scraper\offer_images\419898", "Link")</f>
        <v/>
      </c>
      <c r="K385" t="inlineStr">
        <is>
          <t>Tom234</t>
        </is>
      </c>
      <c r="L385" s="6">
        <f>HYPERLINK("https://www.dailydose.de/kleinanzeigen/user/24003", "Link")</f>
        <v/>
      </c>
      <c r="M385" s="7" t="n">
        <v>45536.91276620371</v>
      </c>
      <c r="N385" s="3" t="inlineStr">
        <is>
          <t>99.90</t>
        </is>
      </c>
      <c r="O385" t="inlineStr">
        <is>
          <t>München</t>
        </is>
      </c>
    </row>
    <row r="386">
      <c r="A386" t="inlineStr">
        <is>
          <t>Gunsails Cross</t>
        </is>
      </c>
      <c r="B386" t="inlineStr">
        <is>
          <t>160-210</t>
        </is>
      </c>
      <c r="C386" t="inlineStr">
        <is>
          <t>2020</t>
        </is>
      </c>
      <c r="D386" s="4" t="n">
        <v>100</v>
      </c>
      <c r="E386" t="inlineStr"/>
      <c r="F386" t="inlineStr">
        <is>
          <t>6600 Reutte/Gardasee</t>
        </is>
      </c>
      <c r="G386" s="5" t="n">
        <v>45490</v>
      </c>
      <c r="H386" t="inlineStr"/>
      <c r="I386" s="6">
        <f>HYPERLINK("https://www.dailydose.de/kleinanzeigen/detail.htm?ai=419553&amp;cf=kk&amp;pg=4&amp;ci=13", "Link")</f>
        <v/>
      </c>
      <c r="J386" s="6">
        <f>HYPERLINK("C:\Projects\Kleinanzeigen-Scraper\offer_images\419553", "Link")</f>
        <v/>
      </c>
      <c r="K386" t="inlineStr">
        <is>
          <t>Andi_67</t>
        </is>
      </c>
      <c r="L386" s="6">
        <f>HYPERLINK("https://www.dailydose.de/kleinanzeigen/user/3426", "Link")</f>
        <v/>
      </c>
      <c r="M386" s="7" t="n">
        <v>45536.91273148148</v>
      </c>
      <c r="N386" s="3" t="inlineStr">
        <is>
          <t>95.88</t>
        </is>
      </c>
      <c r="O386" t="inlineStr">
        <is>
          <t>München</t>
        </is>
      </c>
    </row>
    <row r="387">
      <c r="A387" t="inlineStr">
        <is>
          <t>Gaastra</t>
        </is>
      </c>
      <c r="B387" t="inlineStr"/>
      <c r="C387" t="inlineStr"/>
      <c r="D387" s="4" t="n">
        <v>450</v>
      </c>
      <c r="E387" t="inlineStr"/>
      <c r="F387" t="inlineStr">
        <is>
          <t>Sylt</t>
        </is>
      </c>
      <c r="G387" s="5" t="n">
        <v>45455</v>
      </c>
      <c r="H387" t="inlineStr"/>
      <c r="I387" s="6">
        <f>HYPERLINK("https://www.dailydose.de/kleinanzeigen/detail.htm?ai=417743&amp;cf=kk&amp;pg=5&amp;ci=13", "Link")</f>
        <v/>
      </c>
      <c r="J387" s="6">
        <f>HYPERLINK("C:\Projects\Kleinanzeigen-Scraper\offer_images\417743", "Link")</f>
        <v/>
      </c>
      <c r="K387" t="inlineStr">
        <is>
          <t>H_michi09</t>
        </is>
      </c>
      <c r="L387" s="6">
        <f>HYPERLINK("https://www.dailydose.de/kleinanzeigen/user/25756", "Link")</f>
        <v/>
      </c>
      <c r="M387" s="7" t="n">
        <v>45536.91269675926</v>
      </c>
      <c r="N387" s="3" t="inlineStr">
        <is>
          <t>447.22</t>
        </is>
      </c>
      <c r="O387" t="inlineStr">
        <is>
          <t>Köln</t>
        </is>
      </c>
    </row>
    <row r="388">
      <c r="A388" t="inlineStr">
        <is>
          <t>Aeron V-Carbon</t>
        </is>
      </c>
      <c r="B388" t="inlineStr">
        <is>
          <t>180-230</t>
        </is>
      </c>
      <c r="C388" t="inlineStr"/>
      <c r="D388" s="4" t="n">
        <v>360</v>
      </c>
      <c r="E388" t="inlineStr"/>
      <c r="F388" t="inlineStr">
        <is>
          <t>86551 Aichach</t>
        </is>
      </c>
      <c r="G388" s="5" t="n">
        <v>45529</v>
      </c>
      <c r="H388" t="inlineStr">
        <is>
          <t>Sold</t>
        </is>
      </c>
      <c r="I388" s="6">
        <f>HYPERLINK("https://www.dailydose.de/kleinanzeigen/detail.htm?ai=421390&amp;cf=kk&amp;pg=2&amp;ci=13", "Link")</f>
        <v/>
      </c>
      <c r="J388" s="6">
        <f>HYPERLINK("C:\Projects\Kleinanzeigen-Scraper\offer_images\421390", "Link")</f>
        <v/>
      </c>
      <c r="K388" t="inlineStr">
        <is>
          <t>Jürgen</t>
        </is>
      </c>
      <c r="L388" s="6">
        <f>HYPERLINK("https://www.dailydose.de/kleinanzeigen/user/25672", "Link")</f>
        <v/>
      </c>
      <c r="M388" s="7" t="n">
        <v>45536.91269675926</v>
      </c>
      <c r="N388" s="3" t="inlineStr">
        <is>
          <t>47.87</t>
        </is>
      </c>
      <c r="O388" t="inlineStr">
        <is>
          <t>München</t>
        </is>
      </c>
    </row>
    <row r="389">
      <c r="A389" t="inlineStr">
        <is>
          <t>Severne Enigma</t>
        </is>
      </c>
      <c r="B389" t="inlineStr">
        <is>
          <t>190-240</t>
        </is>
      </c>
      <c r="C389" t="inlineStr"/>
      <c r="D389" s="4" t="n">
        <v>499</v>
      </c>
      <c r="E389" t="inlineStr"/>
      <c r="F389" t="inlineStr">
        <is>
          <t>22395 Hamburg</t>
        </is>
      </c>
      <c r="G389" s="5" t="n">
        <v>45483</v>
      </c>
      <c r="H389" t="inlineStr">
        <is>
          <t>Sold</t>
        </is>
      </c>
      <c r="I389" s="6">
        <f>HYPERLINK("https://www.dailydose.de/kleinanzeigen/detail.htm?ai=419138&amp;cf=kk&amp;pg=4&amp;ci=13", "Link")</f>
        <v/>
      </c>
      <c r="J389" s="6">
        <f>HYPERLINK("C:\Projects\Kleinanzeigen-Scraper\offer_images\419138", "Link")</f>
        <v/>
      </c>
      <c r="K389" t="inlineStr">
        <is>
          <t>Heiko_37</t>
        </is>
      </c>
      <c r="L389" s="6">
        <f>HYPERLINK("https://www.dailydose.de/kleinanzeigen/user/10476", "Link")</f>
        <v/>
      </c>
      <c r="M389" s="7" t="n">
        <v>45536.91269675926</v>
      </c>
      <c r="N389" s="3" t="inlineStr">
        <is>
          <t>372.75</t>
        </is>
      </c>
      <c r="O389" t="inlineStr">
        <is>
          <t>Köln</t>
        </is>
      </c>
    </row>
    <row r="390">
      <c r="A390" t="inlineStr">
        <is>
          <t>Goya Wave</t>
        </is>
      </c>
      <c r="B390" t="inlineStr">
        <is>
          <t>140-190</t>
        </is>
      </c>
      <c r="C390" t="inlineStr"/>
      <c r="D390" s="4" t="n">
        <v>150</v>
      </c>
      <c r="E390" t="inlineStr">
        <is>
          <t>VB</t>
        </is>
      </c>
      <c r="F390" t="inlineStr">
        <is>
          <t>18119 Warnemünde</t>
        </is>
      </c>
      <c r="G390" s="5" t="n">
        <v>45520</v>
      </c>
      <c r="H390" t="inlineStr"/>
      <c r="I390" s="6">
        <f>HYPERLINK("https://www.dailydose.de/kleinanzeigen/detail.htm?ai=420958&amp;cf=kk&amp;pg=3&amp;ci=13", "Link")</f>
        <v/>
      </c>
      <c r="J390" s="6">
        <f>HYPERLINK("C:\Projects\Kleinanzeigen-Scraper\offer_images\420958", "Link")</f>
        <v/>
      </c>
      <c r="K390" t="inlineStr">
        <is>
          <t>Andi Schlempp</t>
        </is>
      </c>
      <c r="L390" s="6">
        <f>HYPERLINK("https://www.dailydose.de/kleinanzeigen/user/3585", "Link")</f>
        <v/>
      </c>
      <c r="M390" s="7" t="n">
        <v>45536.91263888889</v>
      </c>
      <c r="N390" s="3" t="inlineStr">
        <is>
          <t>499.62</t>
        </is>
      </c>
      <c r="O390" t="inlineStr">
        <is>
          <t>Köln</t>
        </is>
      </c>
    </row>
    <row r="391">
      <c r="A391" t="inlineStr">
        <is>
          <t>Neilpryde XF Freeride</t>
        </is>
      </c>
      <c r="B391" t="inlineStr">
        <is>
          <t>200-250</t>
        </is>
      </c>
      <c r="C391" t="inlineStr"/>
      <c r="D391" s="4" t="n">
        <v>180</v>
      </c>
      <c r="E391" t="inlineStr">
        <is>
          <t>VB</t>
        </is>
      </c>
      <c r="F391" t="inlineStr">
        <is>
          <t>10317 Berlin</t>
        </is>
      </c>
      <c r="G391" s="5" t="n">
        <v>45466</v>
      </c>
      <c r="H391" t="inlineStr">
        <is>
          <t>Sold</t>
        </is>
      </c>
      <c r="I391" s="6">
        <f>HYPERLINK("https://www.dailydose.de/kleinanzeigen/detail.htm?ai=418381&amp;cf=kk&amp;pg=4&amp;ci=13", "Link")</f>
        <v/>
      </c>
      <c r="J391" s="6">
        <f>HYPERLINK("C:\Projects\Kleinanzeigen-Scraper\offer_images\418381", "Link")</f>
        <v/>
      </c>
      <c r="K391" t="inlineStr">
        <is>
          <t>Mache</t>
        </is>
      </c>
      <c r="L391" s="6">
        <f>HYPERLINK("https://www.dailydose.de/kleinanzeigen/user/26138", "Link")</f>
        <v/>
      </c>
      <c r="M391" s="7" t="n">
        <v>45536.91263888889</v>
      </c>
      <c r="N391" s="3" t="inlineStr">
        <is>
          <t>481.96</t>
        </is>
      </c>
      <c r="O391" t="inlineStr">
        <is>
          <t>Köln</t>
        </is>
      </c>
    </row>
    <row r="392">
      <c r="A392" t="inlineStr"/>
      <c r="B392" t="inlineStr">
        <is>
          <t>160-210</t>
        </is>
      </c>
      <c r="C392" t="inlineStr"/>
      <c r="D392" s="4" t="n">
        <v>80</v>
      </c>
      <c r="E392" t="inlineStr"/>
      <c r="F392" t="inlineStr">
        <is>
          <t>50999 Köln</t>
        </is>
      </c>
      <c r="G392" s="5" t="n">
        <v>45477</v>
      </c>
      <c r="H392" t="inlineStr">
        <is>
          <t>Sold</t>
        </is>
      </c>
      <c r="I392" s="6">
        <f>HYPERLINK("https://www.dailydose.de/kleinanzeigen/detail.htm?ai=418855&amp;cf=kk&amp;pg=4&amp;ci=13", "Link")</f>
        <v/>
      </c>
      <c r="J392" s="6">
        <f>HYPERLINK("C:\Projects\Kleinanzeigen-Scraper\offer_images\418855", "Link")</f>
        <v/>
      </c>
      <c r="K392" t="inlineStr">
        <is>
          <t>Katja_154</t>
        </is>
      </c>
      <c r="L392" s="6">
        <f>HYPERLINK("https://www.dailydose.de/kleinanzeigen/user/13227", "Link")</f>
        <v/>
      </c>
      <c r="M392" s="7" t="n">
        <v>45536.91260416667</v>
      </c>
      <c r="N392" s="3" t="inlineStr">
        <is>
          <t>7.80</t>
        </is>
      </c>
      <c r="O392" t="inlineStr">
        <is>
          <t>Köln</t>
        </is>
      </c>
    </row>
    <row r="393">
      <c r="A393" t="inlineStr">
        <is>
          <t>North Platinum</t>
        </is>
      </c>
      <c r="B393" t="inlineStr">
        <is>
          <t>170-210</t>
        </is>
      </c>
      <c r="C393" t="inlineStr"/>
      <c r="D393" s="4" t="n">
        <v>600</v>
      </c>
      <c r="E393" t="inlineStr">
        <is>
          <t>VB</t>
        </is>
      </c>
      <c r="F393" t="inlineStr">
        <is>
          <t>83714  Miesbach</t>
        </is>
      </c>
      <c r="G393" s="5" t="n">
        <v>45510</v>
      </c>
      <c r="H393" t="inlineStr"/>
      <c r="I393" s="6">
        <f>HYPERLINK("https://www.dailydose.de/kleinanzeigen/detail.htm?ai=420528&amp;cf=kk&amp;pg=4&amp;ci=13", "Link")</f>
        <v/>
      </c>
      <c r="J393" s="6">
        <f>HYPERLINK("C:\Projects\Kleinanzeigen-Scraper\offer_images\420528", "Link")</f>
        <v/>
      </c>
      <c r="K393" t="inlineStr">
        <is>
          <t>Elfi</t>
        </is>
      </c>
      <c r="L393" s="6">
        <f>HYPERLINK("https://www.dailydose.de/kleinanzeigen/user/10174", "Link")</f>
        <v/>
      </c>
      <c r="M393" s="7" t="n">
        <v>45536.91260416667</v>
      </c>
      <c r="N393" s="3" t="inlineStr">
        <is>
          <t>41.62</t>
        </is>
      </c>
      <c r="O393" t="inlineStr">
        <is>
          <t>München</t>
        </is>
      </c>
    </row>
    <row r="394">
      <c r="A394" t="inlineStr">
        <is>
          <t>Point-7</t>
        </is>
      </c>
      <c r="B394" t="inlineStr">
        <is>
          <t>220-270</t>
        </is>
      </c>
      <c r="C394" t="inlineStr">
        <is>
          <t>2022</t>
        </is>
      </c>
      <c r="D394" s="4" t="n">
        <v>239</v>
      </c>
      <c r="E394" t="inlineStr"/>
      <c r="F394" t="inlineStr">
        <is>
          <t>81549 München</t>
        </is>
      </c>
      <c r="G394" s="5" t="n">
        <v>45419</v>
      </c>
      <c r="H394" t="inlineStr">
        <is>
          <t>Sold</t>
        </is>
      </c>
      <c r="I394" s="6">
        <f>HYPERLINK("https://www.dailydose.de/kleinanzeigen/detail.htm?ai=415658&amp;cf=kk&amp;pg=5&amp;ci=13", "Link")</f>
        <v/>
      </c>
      <c r="J394" s="6">
        <f>HYPERLINK("C:\Projects\Kleinanzeigen-Scraper\offer_images\415658", "Link")</f>
        <v/>
      </c>
      <c r="K394" t="inlineStr">
        <is>
          <t>Anderl</t>
        </is>
      </c>
      <c r="L394" s="6">
        <f>HYPERLINK("https://www.dailydose.de/kleinanzeigen/user/26004", "Link")</f>
        <v/>
      </c>
      <c r="M394" s="7" t="n">
        <v>45536.91256944444</v>
      </c>
      <c r="N394" s="3" t="inlineStr">
        <is>
          <t>4.99</t>
        </is>
      </c>
      <c r="O394" t="inlineStr">
        <is>
          <t>München</t>
        </is>
      </c>
    </row>
    <row r="395">
      <c r="A395" t="inlineStr">
        <is>
          <t>North Sails Silver Series</t>
        </is>
      </c>
      <c r="B395" t="inlineStr">
        <is>
          <t>140-190</t>
        </is>
      </c>
      <c r="C395" t="inlineStr"/>
      <c r="D395" s="4" t="n">
        <v>90</v>
      </c>
      <c r="E395" t="inlineStr"/>
      <c r="F395" t="inlineStr">
        <is>
          <t>Bremen</t>
        </is>
      </c>
      <c r="G395" s="5" t="n">
        <v>45471</v>
      </c>
      <c r="H395" t="inlineStr"/>
      <c r="I395" s="6">
        <f>HYPERLINK("https://www.dailydose.de/kleinanzeigen/detail.htm?ai=418556&amp;cf=kk&amp;pg=5&amp;ci=13", "Link")</f>
        <v/>
      </c>
      <c r="J395" s="6">
        <f>HYPERLINK("C:\Projects\Kleinanzeigen-Scraper\offer_images\418556", "Link")</f>
        <v/>
      </c>
      <c r="K395" t="inlineStr">
        <is>
          <t>Jan_17</t>
        </is>
      </c>
      <c r="L395" s="6">
        <f>HYPERLINK("https://www.dailydose.de/kleinanzeigen/user/11586", "Link")</f>
        <v/>
      </c>
      <c r="M395" s="7" t="n">
        <v>45536.9125462963</v>
      </c>
      <c r="N395" s="3" t="inlineStr">
        <is>
          <t>269.36</t>
        </is>
      </c>
      <c r="O395" t="inlineStr">
        <is>
          <t>Köln</t>
        </is>
      </c>
    </row>
    <row r="396">
      <c r="A396" t="inlineStr">
        <is>
          <t>Unifiber</t>
        </is>
      </c>
      <c r="B396" t="inlineStr">
        <is>
          <t>140-190</t>
        </is>
      </c>
      <c r="C396" t="inlineStr"/>
      <c r="D396" s="4" t="n">
        <v>150</v>
      </c>
      <c r="E396" t="inlineStr">
        <is>
          <t>VB</t>
        </is>
      </c>
      <c r="F396" t="inlineStr">
        <is>
          <t>24113 Kiel / Tarifa</t>
        </is>
      </c>
      <c r="G396" s="5" t="n">
        <v>45517</v>
      </c>
      <c r="H396" t="inlineStr"/>
      <c r="I396" s="6">
        <f>HYPERLINK("https://www.dailydose.de/kleinanzeigen/detail.htm?ai=420828&amp;cf=kk&amp;pg=3&amp;ci=13", "Link")</f>
        <v/>
      </c>
      <c r="J396" s="6">
        <f>HYPERLINK("C:\Projects\Kleinanzeigen-Scraper\offer_images\420828", "Link")</f>
        <v/>
      </c>
      <c r="K396" t="inlineStr">
        <is>
          <t>MilsePilse</t>
        </is>
      </c>
      <c r="L396" s="6">
        <f>HYPERLINK("https://www.dailydose.de/kleinanzeigen/user/6203", "Link")</f>
        <v/>
      </c>
      <c r="M396" s="7" t="n">
        <v>45536.91251157408</v>
      </c>
      <c r="N396" s="3" t="inlineStr">
        <is>
          <t>427.37</t>
        </is>
      </c>
      <c r="O396" t="inlineStr">
        <is>
          <t>Köln</t>
        </is>
      </c>
    </row>
    <row r="397">
      <c r="A397" t="inlineStr">
        <is>
          <t>Prolimit RDG</t>
        </is>
      </c>
      <c r="B397" t="inlineStr">
        <is>
          <t>160-210</t>
        </is>
      </c>
      <c r="C397" t="inlineStr"/>
      <c r="D397" s="4" t="n">
        <v>600</v>
      </c>
      <c r="E397" t="inlineStr"/>
      <c r="F397" t="inlineStr">
        <is>
          <t>Muenchen Ingolstadt</t>
        </is>
      </c>
      <c r="G397" s="5" t="n">
        <v>45513</v>
      </c>
      <c r="H397" t="inlineStr"/>
      <c r="I397" s="6">
        <f>HYPERLINK("https://www.dailydose.de/kleinanzeigen/detail.htm?ai=420613&amp;cf=kk&amp;pg=4&amp;ci=13", "Link")</f>
        <v/>
      </c>
      <c r="J397" s="6">
        <f>HYPERLINK("C:\Projects\Kleinanzeigen-Scraper\offer_images\420613", "Link")</f>
        <v/>
      </c>
      <c r="K397" t="inlineStr">
        <is>
          <t>OntheRocks</t>
        </is>
      </c>
      <c r="L397" s="6">
        <f>HYPERLINK("https://www.dailydose.de/kleinanzeigen/user/18001", "Link")</f>
        <v/>
      </c>
      <c r="M397" s="7" t="n">
        <v>45536.91244212963</v>
      </c>
      <c r="N397" s="3" t="inlineStr">
        <is>
          <t>0.21</t>
        </is>
      </c>
      <c r="O397" t="inlineStr">
        <is>
          <t>München</t>
        </is>
      </c>
    </row>
    <row r="398">
      <c r="A398" t="inlineStr">
        <is>
          <t>Unifiber</t>
        </is>
      </c>
      <c r="B398" t="inlineStr">
        <is>
          <t>180-230</t>
        </is>
      </c>
      <c r="C398" t="inlineStr"/>
      <c r="D398" s="4" t="n">
        <v>65</v>
      </c>
      <c r="E398" t="inlineStr">
        <is>
          <t>VB</t>
        </is>
      </c>
      <c r="F398" t="inlineStr">
        <is>
          <t>24118 Kiel</t>
        </is>
      </c>
      <c r="G398" s="5" t="n">
        <v>45432</v>
      </c>
      <c r="H398" t="inlineStr">
        <is>
          <t>Sold</t>
        </is>
      </c>
      <c r="I398" s="6">
        <f>HYPERLINK("https://www.dailydose.de/kleinanzeigen/detail.htm?ai=416380&amp;cf=kk&amp;pg=5&amp;ci=13", "Link")</f>
        <v/>
      </c>
      <c r="J398" s="6">
        <f>HYPERLINK("C:\Projects\Kleinanzeigen-Scraper\offer_images\416380", "Link")</f>
        <v/>
      </c>
      <c r="K398" t="inlineStr">
        <is>
          <t>Phil Schreyer</t>
        </is>
      </c>
      <c r="L398" s="6">
        <f>HYPERLINK("https://www.dailydose.de/kleinanzeigen/user/11102", "Link")</f>
        <v/>
      </c>
      <c r="M398" s="7" t="n">
        <v>45536.91238425926</v>
      </c>
      <c r="N398" s="3" t="inlineStr">
        <is>
          <t>434.29</t>
        </is>
      </c>
      <c r="O398" t="inlineStr">
        <is>
          <t>Köln</t>
        </is>
      </c>
    </row>
    <row r="399">
      <c r="A399" t="inlineStr">
        <is>
          <t>Ascan Wave</t>
        </is>
      </c>
      <c r="B399" t="inlineStr">
        <is>
          <t>140-190</t>
        </is>
      </c>
      <c r="C399" t="inlineStr"/>
      <c r="D399" s="4" t="n">
        <v>10</v>
      </c>
      <c r="E399" t="inlineStr"/>
      <c r="F399" t="inlineStr">
        <is>
          <t>06792 Sandersdorf</t>
        </is>
      </c>
      <c r="G399" s="5" t="n">
        <v>45535</v>
      </c>
      <c r="H399" t="inlineStr"/>
      <c r="I399" s="6">
        <f>HYPERLINK("https://www.dailydose.de/kleinanzeigen/detail.htm?ai=421855&amp;cf=kk&amp;pg=2&amp;ci=13", "Link")</f>
        <v/>
      </c>
      <c r="J399" s="6">
        <f>HYPERLINK("C:\Projects\Kleinanzeigen-Scraper\offer_images\421855", "Link")</f>
        <v/>
      </c>
      <c r="K399" t="inlineStr">
        <is>
          <t>MW</t>
        </is>
      </c>
      <c r="L399" s="6">
        <f>HYPERLINK("https://www.dailydose.de/kleinanzeigen/user/16138", "Link")</f>
        <v/>
      </c>
      <c r="M399" s="7" t="n">
        <v>45536.91234953704</v>
      </c>
      <c r="N399" s="3" t="inlineStr">
        <is>
          <t>376.49</t>
        </is>
      </c>
      <c r="O399" t="inlineStr">
        <is>
          <t>Köln</t>
        </is>
      </c>
    </row>
    <row r="400">
      <c r="A400" t="inlineStr">
        <is>
          <t>Gunsails</t>
        </is>
      </c>
      <c r="B400" t="inlineStr"/>
      <c r="C400" t="inlineStr"/>
      <c r="D400" s="4" t="n">
        <v>50</v>
      </c>
      <c r="E400" t="inlineStr"/>
      <c r="F400" t="inlineStr">
        <is>
          <t>24943 Flensburg</t>
        </is>
      </c>
      <c r="G400" s="5" t="n">
        <v>45483</v>
      </c>
      <c r="H400" t="inlineStr"/>
      <c r="I400" s="6">
        <f>HYPERLINK("https://www.dailydose.de/kleinanzeigen/detail.htm?ai=419156&amp;cf=kk&amp;pg=4&amp;ci=13", "Link")</f>
        <v/>
      </c>
      <c r="J400" s="6">
        <f>HYPERLINK("C:\Projects\Kleinanzeigen-Scraper\offer_images\419156", "Link")</f>
        <v/>
      </c>
      <c r="K400" t="inlineStr">
        <is>
          <t>Jennifer</t>
        </is>
      </c>
      <c r="L400" s="6">
        <f>HYPERLINK("https://www.dailydose.de/kleinanzeigen/user/11930", "Link")</f>
        <v/>
      </c>
      <c r="M400" s="7" t="n">
        <v>45536.91231481481</v>
      </c>
      <c r="N400" s="3" t="inlineStr">
        <is>
          <t>459.78</t>
        </is>
      </c>
      <c r="O400" t="inlineStr">
        <is>
          <t>Köln</t>
        </is>
      </c>
    </row>
    <row r="401">
      <c r="A401" t="inlineStr">
        <is>
          <t>Duotone Platinum</t>
        </is>
      </c>
      <c r="B401" t="inlineStr">
        <is>
          <t>150-200</t>
        </is>
      </c>
      <c r="C401" t="inlineStr"/>
      <c r="D401" s="4" t="n">
        <v>175</v>
      </c>
      <c r="E401" t="inlineStr"/>
      <c r="F401" t="inlineStr">
        <is>
          <t>23816</t>
        </is>
      </c>
      <c r="G401" s="5" t="n">
        <v>45526</v>
      </c>
      <c r="H401" t="inlineStr">
        <is>
          <t>Sold</t>
        </is>
      </c>
      <c r="I401" s="6">
        <f>HYPERLINK("https://www.dailydose.de/kleinanzeigen/detail.htm?ai=421267&amp;cf=kk&amp;pg=2&amp;ci=13", "Link")</f>
        <v/>
      </c>
      <c r="J401" s="6">
        <f>HYPERLINK("C:\Projects\Kleinanzeigen-Scraper\offer_images\421267", "Link")</f>
        <v/>
      </c>
      <c r="K401" t="inlineStr">
        <is>
          <t>henning_167</t>
        </is>
      </c>
      <c r="L401" s="6">
        <f>HYPERLINK("https://www.dailydose.de/kleinanzeigen/user/10083", "Link")</f>
        <v/>
      </c>
      <c r="M401" s="7" t="n">
        <v>45536.91228009259</v>
      </c>
      <c r="N401" s="3" t="inlineStr">
        <is>
          <t>393.75</t>
        </is>
      </c>
      <c r="O401" t="inlineStr">
        <is>
          <t>Köln</t>
        </is>
      </c>
    </row>
    <row r="402">
      <c r="A402" t="inlineStr">
        <is>
          <t>Chinook Pro Alloy</t>
        </is>
      </c>
      <c r="B402" t="inlineStr">
        <is>
          <t>185-247</t>
        </is>
      </c>
      <c r="C402" t="inlineStr"/>
      <c r="D402" s="4" t="inlineStr">
        <is>
          <t>120.00 inkl. Versand</t>
        </is>
      </c>
      <c r="E402" t="inlineStr"/>
      <c r="F402" t="inlineStr">
        <is>
          <t>26203 OL/HB</t>
        </is>
      </c>
      <c r="G402" s="5" t="n">
        <v>45510</v>
      </c>
      <c r="H402" t="inlineStr">
        <is>
          <t>Sold</t>
        </is>
      </c>
      <c r="I402" s="6">
        <f>HYPERLINK("https://www.dailydose.de/kleinanzeigen/detail.htm?ai=420520&amp;cf=kk&amp;pg=3&amp;ci=13", "Link")</f>
        <v/>
      </c>
      <c r="J402" s="6">
        <f>HYPERLINK("C:\Projects\Kleinanzeigen-Scraper\offer_images\420520", "Link")</f>
        <v/>
      </c>
      <c r="K402" t="inlineStr">
        <is>
          <t>burk</t>
        </is>
      </c>
      <c r="L402" s="6">
        <f>HYPERLINK("https://www.dailydose.de/kleinanzeigen/user/4274", "Link")</f>
        <v/>
      </c>
      <c r="M402" s="7" t="n">
        <v>45536.91228009259</v>
      </c>
      <c r="N402" s="3" t="inlineStr">
        <is>
          <t>248.34</t>
        </is>
      </c>
      <c r="O402" t="inlineStr">
        <is>
          <t>Köln</t>
        </is>
      </c>
    </row>
    <row r="403">
      <c r="A403" t="inlineStr">
        <is>
          <t>Duotone Epx</t>
        </is>
      </c>
      <c r="B403" t="inlineStr">
        <is>
          <t>140-190</t>
        </is>
      </c>
      <c r="C403" t="inlineStr"/>
      <c r="D403" s="4" t="n">
        <v>420</v>
      </c>
      <c r="E403" t="inlineStr"/>
      <c r="F403" t="inlineStr">
        <is>
          <t>12157 Berlin</t>
        </is>
      </c>
      <c r="G403" s="5" t="n">
        <v>45418</v>
      </c>
      <c r="H403" t="inlineStr">
        <is>
          <t>Sold</t>
        </is>
      </c>
      <c r="I403" s="6">
        <f>HYPERLINK("https://www.dailydose.de/kleinanzeigen/detail.htm?ai=415595&amp;cf=kk&amp;pg=5&amp;ci=13", "Link")</f>
        <v/>
      </c>
      <c r="J403" s="6">
        <f>HYPERLINK("C:\Projects\Kleinanzeigen-Scraper\offer_images\415595", "Link")</f>
        <v/>
      </c>
      <c r="K403" t="inlineStr">
        <is>
          <t>Gast2020</t>
        </is>
      </c>
      <c r="L403" s="6">
        <f>HYPERLINK("https://www.dailydose.de/kleinanzeigen/user/2508", "Link")</f>
        <v/>
      </c>
      <c r="M403" s="7" t="n">
        <v>45536.91224537037</v>
      </c>
      <c r="N403" s="3" t="inlineStr">
        <is>
          <t>471.82</t>
        </is>
      </c>
      <c r="O403" t="inlineStr">
        <is>
          <t>Köln</t>
        </is>
      </c>
    </row>
    <row r="404">
      <c r="A404" t="inlineStr">
        <is>
          <t>Neil Pryde</t>
        </is>
      </c>
      <c r="B404" t="inlineStr">
        <is>
          <t>140-190</t>
        </is>
      </c>
      <c r="C404" t="inlineStr"/>
      <c r="D404" s="4" t="n">
        <v>70</v>
      </c>
      <c r="E404" t="inlineStr">
        <is>
          <t>VB</t>
        </is>
      </c>
      <c r="F404" t="inlineStr">
        <is>
          <t>82211 Herrsching</t>
        </is>
      </c>
      <c r="G404" s="5" t="n">
        <v>45465</v>
      </c>
      <c r="H404" t="inlineStr"/>
      <c r="I404" s="6">
        <f>HYPERLINK("https://www.dailydose.de/kleinanzeigen/detail.htm?ai=418305&amp;cf=kk&amp;pg=5&amp;ci=13", "Link")</f>
        <v/>
      </c>
      <c r="J404" s="6">
        <f>HYPERLINK("C:\Projects\Kleinanzeigen-Scraper\offer_images\418305", "Link")</f>
        <v/>
      </c>
      <c r="K404" t="inlineStr">
        <is>
          <t>OlliW</t>
        </is>
      </c>
      <c r="L404" s="6">
        <f>HYPERLINK("https://www.dailydose.de/kleinanzeigen/user/26125", "Link")</f>
        <v/>
      </c>
      <c r="M404" s="7" t="n">
        <v>45536.91222222222</v>
      </c>
      <c r="N404" s="3" t="inlineStr">
        <is>
          <t>32.73</t>
        </is>
      </c>
      <c r="O404" t="inlineStr">
        <is>
          <t>München</t>
        </is>
      </c>
    </row>
    <row r="405">
      <c r="A405" t="inlineStr">
        <is>
          <t>Ascan</t>
        </is>
      </c>
      <c r="B405" t="inlineStr">
        <is>
          <t>180-240</t>
        </is>
      </c>
      <c r="C405" t="inlineStr"/>
      <c r="D405" s="4" t="n">
        <v>50</v>
      </c>
      <c r="E405" t="inlineStr">
        <is>
          <t>VB</t>
        </is>
      </c>
      <c r="F405" t="inlineStr">
        <is>
          <t>47249 Duisburg</t>
        </is>
      </c>
      <c r="G405" s="5" t="n">
        <v>45498</v>
      </c>
      <c r="H405" t="inlineStr"/>
      <c r="I405" s="6">
        <f>HYPERLINK("https://www.dailydose.de/kleinanzeigen/detail.htm?ai=419967&amp;cf=kk&amp;pg=4&amp;ci=13", "Link")</f>
        <v/>
      </c>
      <c r="J405" s="6">
        <f>HYPERLINK("C:\Projects\Kleinanzeigen-Scraper\offer_images\419967", "Link")</f>
        <v/>
      </c>
      <c r="K405" t="inlineStr">
        <is>
          <t>Guido_3</t>
        </is>
      </c>
      <c r="L405" s="6">
        <f>HYPERLINK("https://www.dailydose.de/kleinanzeigen/user/8056", "Link")</f>
        <v/>
      </c>
      <c r="M405" s="7" t="n">
        <v>45536.91211805555</v>
      </c>
      <c r="N405" s="3" t="inlineStr">
        <is>
          <t>51.56</t>
        </is>
      </c>
      <c r="O405" t="inlineStr">
        <is>
          <t>Köln</t>
        </is>
      </c>
    </row>
    <row r="406">
      <c r="A406" t="inlineStr">
        <is>
          <t>Neilpryde X6</t>
        </is>
      </c>
      <c r="B406" t="inlineStr">
        <is>
          <t>160-220</t>
        </is>
      </c>
      <c r="C406" t="inlineStr"/>
      <c r="D406" s="4" t="n">
        <v>120</v>
      </c>
      <c r="E406" t="inlineStr"/>
      <c r="F406" t="inlineStr">
        <is>
          <t>82211 Herrsching</t>
        </is>
      </c>
      <c r="G406" s="5" t="n">
        <v>45489</v>
      </c>
      <c r="H406" t="inlineStr">
        <is>
          <t>Sold</t>
        </is>
      </c>
      <c r="I406" s="6">
        <f>HYPERLINK("https://www.dailydose.de/kleinanzeigen/detail.htm?ai=419492&amp;cf=kk&amp;pg=3&amp;ci=13", "Link")</f>
        <v/>
      </c>
      <c r="J406" s="6">
        <f>HYPERLINK("C:\Projects\Kleinanzeigen-Scraper\offer_images\419492", "Link")</f>
        <v/>
      </c>
      <c r="K406" t="inlineStr">
        <is>
          <t>Flo8Bft</t>
        </is>
      </c>
      <c r="L406" s="6">
        <f>HYPERLINK("https://www.dailydose.de/kleinanzeigen/user/8453", "Link")</f>
        <v/>
      </c>
      <c r="M406" s="7" t="n">
        <v>45536.91208333334</v>
      </c>
      <c r="N406" s="3" t="inlineStr">
        <is>
          <t>32.73</t>
        </is>
      </c>
      <c r="O406" t="inlineStr">
        <is>
          <t>München</t>
        </is>
      </c>
    </row>
    <row r="407">
      <c r="A407" t="inlineStr">
        <is>
          <t>Gaastra RedLine</t>
        </is>
      </c>
      <c r="B407" t="inlineStr">
        <is>
          <t>186-236</t>
        </is>
      </c>
      <c r="C407" t="inlineStr"/>
      <c r="D407" s="4" t="n">
        <v>30</v>
      </c>
      <c r="E407" t="inlineStr"/>
      <c r="F407" t="inlineStr">
        <is>
          <t>51427 Bergisch Gladbach</t>
        </is>
      </c>
      <c r="G407" s="5" t="n">
        <v>45490</v>
      </c>
      <c r="H407" t="inlineStr"/>
      <c r="I407" s="6">
        <f>HYPERLINK("https://www.dailydose.de/kleinanzeigen/detail.htm?ai=419568&amp;cf=kk&amp;pg=4&amp;ci=13", "Link")</f>
        <v/>
      </c>
      <c r="J407" s="6">
        <f>HYPERLINK("C:\Projects\Kleinanzeigen-Scraper\offer_images\419568", "Link")</f>
        <v/>
      </c>
      <c r="K407" t="inlineStr">
        <is>
          <t>E. Hoffmann_84</t>
        </is>
      </c>
      <c r="L407" s="6">
        <f>HYPERLINK("https://www.dailydose.de/kleinanzeigen/user/7775", "Link")</f>
        <v/>
      </c>
      <c r="M407" s="7" t="n">
        <v>45536.91208333334</v>
      </c>
      <c r="N407" s="3" t="inlineStr">
        <is>
          <t>12.28</t>
        </is>
      </c>
      <c r="O407" t="inlineStr">
        <is>
          <t>Köln</t>
        </is>
      </c>
    </row>
    <row r="408">
      <c r="A408" t="inlineStr">
        <is>
          <t>Point 7 Pro Carbon</t>
        </is>
      </c>
      <c r="B408" t="inlineStr">
        <is>
          <t>210-260</t>
        </is>
      </c>
      <c r="C408" t="inlineStr"/>
      <c r="D408" s="4" t="n">
        <v>550</v>
      </c>
      <c r="E408" t="inlineStr">
        <is>
          <t>VB</t>
        </is>
      </c>
      <c r="F408" t="inlineStr">
        <is>
          <t>Gardasee / Bodensee</t>
        </is>
      </c>
      <c r="G408" s="5" t="n">
        <v>45518</v>
      </c>
      <c r="H408" t="inlineStr"/>
      <c r="I408" s="6">
        <f>HYPERLINK("https://www.dailydose.de/kleinanzeigen/detail.htm?ai=420869&amp;cf=kk&amp;pg=3&amp;ci=13", "Link")</f>
        <v/>
      </c>
      <c r="J408" s="6">
        <f>HYPERLINK("C:\Projects\Kleinanzeigen-Scraper\offer_images\420869", "Link")</f>
        <v/>
      </c>
      <c r="K408" t="inlineStr">
        <is>
          <t>Kawa636</t>
        </is>
      </c>
      <c r="L408" s="6">
        <f>HYPERLINK("https://www.dailydose.de/kleinanzeigen/user/3675", "Link")</f>
        <v/>
      </c>
      <c r="M408" s="7" t="n">
        <v>45536.91208333334</v>
      </c>
      <c r="N408" s="3" t="inlineStr">
        <is>
          <t>140.17</t>
        </is>
      </c>
      <c r="O408" t="inlineStr">
        <is>
          <t>München</t>
        </is>
      </c>
    </row>
    <row r="409">
      <c r="A409" t="inlineStr">
        <is>
          <t>Gun</t>
        </is>
      </c>
      <c r="B409" t="inlineStr">
        <is>
          <t>160-210</t>
        </is>
      </c>
      <c r="C409" t="inlineStr"/>
      <c r="D409" s="4" t="n">
        <v>185</v>
      </c>
      <c r="E409" t="inlineStr"/>
      <c r="F409" t="inlineStr">
        <is>
          <t>81476 München</t>
        </is>
      </c>
      <c r="G409" s="5" t="n">
        <v>45442</v>
      </c>
      <c r="H409" t="inlineStr">
        <is>
          <t>Sold</t>
        </is>
      </c>
      <c r="I409" s="6">
        <f>HYPERLINK("https://www.dailydose.de/kleinanzeigen/detail.htm?ai=416945&amp;cf=kk&amp;pg=5&amp;ci=13", "Link")</f>
        <v/>
      </c>
      <c r="J409" s="6">
        <f>HYPERLINK("C:\Projects\Kleinanzeigen-Scraper\offer_images\416945", "Link")</f>
        <v/>
      </c>
      <c r="K409" t="inlineStr">
        <is>
          <t>Michael_129</t>
        </is>
      </c>
      <c r="L409" s="6">
        <f>HYPERLINK("https://www.dailydose.de/kleinanzeigen/user/16674", "Link")</f>
        <v/>
      </c>
      <c r="M409" s="7" t="n">
        <v>45536.91204861111</v>
      </c>
      <c r="N409" s="3" t="inlineStr">
        <is>
          <t>8.19</t>
        </is>
      </c>
      <c r="O409" t="inlineStr">
        <is>
          <t>München</t>
        </is>
      </c>
    </row>
    <row r="410">
      <c r="A410" t="inlineStr">
        <is>
          <t>Chinook pro 1</t>
        </is>
      </c>
      <c r="B410" t="inlineStr">
        <is>
          <t>150-210</t>
        </is>
      </c>
      <c r="C410" t="inlineStr">
        <is>
          <t>2021/2022</t>
        </is>
      </c>
      <c r="D410" s="4" t="n">
        <v>150</v>
      </c>
      <c r="E410" t="inlineStr"/>
      <c r="F410" t="inlineStr">
        <is>
          <t>66793 Saarwellingen</t>
        </is>
      </c>
      <c r="G410" s="5" t="n">
        <v>45523</v>
      </c>
      <c r="H410" t="inlineStr"/>
      <c r="I410" s="6">
        <f>HYPERLINK("https://www.dailydose.de/kleinanzeigen/detail.htm?ai=421166&amp;cf=kk&amp;pg=3&amp;ci=13", "Link")</f>
        <v/>
      </c>
      <c r="J410" s="6">
        <f>HYPERLINK("C:\Projects\Kleinanzeigen-Scraper\offer_images\421166", "Link")</f>
        <v/>
      </c>
      <c r="K410" t="inlineStr">
        <is>
          <t>Sailor1910</t>
        </is>
      </c>
      <c r="L410" s="6">
        <f>HYPERLINK("https://www.dailydose.de/kleinanzeigen/user/26300", "Link")</f>
        <v/>
      </c>
      <c r="M410" s="7" t="n">
        <v>45536.91202546296</v>
      </c>
      <c r="N410" s="3" t="inlineStr">
        <is>
          <t>118.74</t>
        </is>
      </c>
      <c r="O410" t="inlineStr">
        <is>
          <t>Karlsruhe</t>
        </is>
      </c>
    </row>
    <row r="411">
      <c r="A411" t="inlineStr">
        <is>
          <t>AL360</t>
        </is>
      </c>
      <c r="B411" t="inlineStr">
        <is>
          <t>160-210</t>
        </is>
      </c>
      <c r="C411" t="inlineStr"/>
      <c r="D411" s="4" t="n">
        <v>70</v>
      </c>
      <c r="E411" t="inlineStr">
        <is>
          <t>VB</t>
        </is>
      </c>
      <c r="F411" t="inlineStr">
        <is>
          <t>22459 Hamburg</t>
        </is>
      </c>
      <c r="G411" s="5" t="n">
        <v>45465</v>
      </c>
      <c r="H411" t="inlineStr"/>
      <c r="I411" s="6">
        <f>HYPERLINK("https://www.dailydose.de/kleinanzeigen/detail.htm?ai=418249&amp;cf=kk&amp;pg=5&amp;ci=13", "Link")</f>
        <v/>
      </c>
      <c r="J411" s="6">
        <f>HYPERLINK("C:\Projects\Kleinanzeigen-Scraper\offer_images\418249", "Link")</f>
        <v/>
      </c>
      <c r="K411" t="inlineStr">
        <is>
          <t>alex_39</t>
        </is>
      </c>
      <c r="L411" s="6">
        <f>HYPERLINK("https://www.dailydose.de/kleinanzeigen/user/4092", "Link")</f>
        <v/>
      </c>
      <c r="M411" s="7" t="n">
        <v>45536.91201388889</v>
      </c>
      <c r="N411" s="3" t="inlineStr">
        <is>
          <t>361.89</t>
        </is>
      </c>
      <c r="O411" t="inlineStr">
        <is>
          <t>Köln</t>
        </is>
      </c>
    </row>
    <row r="412">
      <c r="A412" t="inlineStr">
        <is>
          <t>North Sails Progression</t>
        </is>
      </c>
      <c r="B412" t="inlineStr">
        <is>
          <t>205-255</t>
        </is>
      </c>
      <c r="C412" t="inlineStr"/>
      <c r="D412" s="4" t="n">
        <v>10</v>
      </c>
      <c r="E412" t="inlineStr"/>
      <c r="F412" t="inlineStr">
        <is>
          <t>82229 Seefeld</t>
        </is>
      </c>
      <c r="G412" s="5" t="n">
        <v>45475</v>
      </c>
      <c r="H412" t="inlineStr"/>
      <c r="I412" s="6">
        <f>HYPERLINK("https://www.dailydose.de/kleinanzeigen/detail.htm?ai=418776&amp;cf=kk&amp;pg=4&amp;ci=13", "Link")</f>
        <v/>
      </c>
      <c r="J412" s="6">
        <f>HYPERLINK("C:\Projects\Kleinanzeigen-Scraper\offer_images\418776", "Link")</f>
        <v/>
      </c>
      <c r="K412" t="inlineStr">
        <is>
          <t>reef69go</t>
        </is>
      </c>
      <c r="L412" s="6">
        <f>HYPERLINK("https://www.dailydose.de/kleinanzeigen/user/12580", "Link")</f>
        <v/>
      </c>
      <c r="M412" s="7" t="n">
        <v>45536.91199074074</v>
      </c>
      <c r="N412" s="3" t="inlineStr">
        <is>
          <t>27.49</t>
        </is>
      </c>
      <c r="O412" t="inlineStr">
        <is>
          <t>München</t>
        </is>
      </c>
    </row>
    <row r="413">
      <c r="A413" t="inlineStr">
        <is>
          <t>North Progression Comp</t>
        </is>
      </c>
      <c r="B413" t="inlineStr">
        <is>
          <t>165-215</t>
        </is>
      </c>
      <c r="C413" t="inlineStr"/>
      <c r="D413" s="4" t="n">
        <v>39</v>
      </c>
      <c r="E413" t="inlineStr"/>
      <c r="F413" t="inlineStr">
        <is>
          <t>52531 ÜBACH-PALENBERG</t>
        </is>
      </c>
      <c r="G413" s="5" t="n">
        <v>45524</v>
      </c>
      <c r="H413" t="inlineStr"/>
      <c r="I413" s="6">
        <f>HYPERLINK("https://www.dailydose.de/kleinanzeigen/detail.htm?ai=421204&amp;cf=kk&amp;pg=3&amp;ci=13", "Link")</f>
        <v/>
      </c>
      <c r="J413" s="6">
        <f>HYPERLINK("C:\Projects\Kleinanzeigen-Scraper\offer_images\421204", "Link")</f>
        <v/>
      </c>
      <c r="K413" t="inlineStr">
        <is>
          <t>J_12</t>
        </is>
      </c>
      <c r="L413" s="6">
        <f>HYPERLINK("https://www.dailydose.de/kleinanzeigen/user/4975", "Link")</f>
        <v/>
      </c>
      <c r="M413" s="7" t="n">
        <v>45536.91199074074</v>
      </c>
      <c r="N413" s="3" t="inlineStr">
        <is>
          <t>58.62</t>
        </is>
      </c>
      <c r="O413" t="inlineStr">
        <is>
          <t>Köln</t>
        </is>
      </c>
    </row>
    <row r="414">
      <c r="A414" t="inlineStr">
        <is>
          <t>Neilpryde X9</t>
        </is>
      </c>
      <c r="B414" t="inlineStr">
        <is>
          <t>200-260</t>
        </is>
      </c>
      <c r="C414" t="inlineStr"/>
      <c r="D414" s="4" t="n">
        <v>575</v>
      </c>
      <c r="E414" t="inlineStr">
        <is>
          <t>VB</t>
        </is>
      </c>
      <c r="F414" t="inlineStr">
        <is>
          <t>88212 Ravensburg</t>
        </is>
      </c>
      <c r="G414" s="5" t="n">
        <v>45485</v>
      </c>
      <c r="H414" t="inlineStr"/>
      <c r="I414" s="6">
        <f>HYPERLINK("https://www.dailydose.de/kleinanzeigen/detail.htm?ai=419262&amp;cf=kk&amp;pg=4&amp;ci=13", "Link")</f>
        <v/>
      </c>
      <c r="J414" s="6">
        <f>HYPERLINK("C:\Projects\Kleinanzeigen-Scraper\offer_images\419262", "Link")</f>
        <v/>
      </c>
      <c r="K414" t="inlineStr">
        <is>
          <t>Tim_131</t>
        </is>
      </c>
      <c r="L414" s="6">
        <f>HYPERLINK("https://www.dailydose.de/kleinanzeigen/user/23684", "Link")</f>
        <v/>
      </c>
      <c r="M414" s="7" t="n">
        <v>45536.91194444444</v>
      </c>
      <c r="N414" s="3" t="inlineStr">
        <is>
          <t>95.51</t>
        </is>
      </c>
      <c r="O414" t="inlineStr">
        <is>
          <t>Bonndorf</t>
        </is>
      </c>
    </row>
    <row r="415">
      <c r="A415" t="inlineStr">
        <is>
          <t>North Sails Silver Series</t>
        </is>
      </c>
      <c r="B415" t="inlineStr">
        <is>
          <t>166-216</t>
        </is>
      </c>
      <c r="C415" t="inlineStr"/>
      <c r="D415" s="4" t="n">
        <v>25</v>
      </c>
      <c r="E415" t="inlineStr"/>
      <c r="F415" t="inlineStr">
        <is>
          <t>87642 Buching</t>
        </is>
      </c>
      <c r="G415" s="5" t="n">
        <v>45435</v>
      </c>
      <c r="H415" t="inlineStr"/>
      <c r="I415" s="6">
        <f>HYPERLINK("https://www.dailydose.de/kleinanzeigen/detail.htm?ai=416517&amp;cf=kk&amp;pg=5&amp;ci=13", "Link")</f>
        <v/>
      </c>
      <c r="J415" s="6">
        <f>HYPERLINK("C:\Projects\Kleinanzeigen-Scraper\offer_images\416517", "Link")</f>
        <v/>
      </c>
      <c r="K415" t="inlineStr">
        <is>
          <t>Wolfgang_15</t>
        </is>
      </c>
      <c r="L415" s="6">
        <f>HYPERLINK("https://www.dailydose.de/kleinanzeigen/user/24981", "Link")</f>
        <v/>
      </c>
      <c r="M415" s="7" t="n">
        <v>45536.91194444444</v>
      </c>
      <c r="N415" s="3" t="inlineStr">
        <is>
          <t>78.22</t>
        </is>
      </c>
      <c r="O415" t="inlineStr">
        <is>
          <t>München</t>
        </is>
      </c>
    </row>
    <row r="416">
      <c r="A416" t="inlineStr">
        <is>
          <t>Severne Enigma</t>
        </is>
      </c>
      <c r="B416" t="inlineStr">
        <is>
          <t>210-250</t>
        </is>
      </c>
      <c r="C416" t="inlineStr"/>
      <c r="D416" s="4" t="inlineStr">
        <is>
          <t>500 VP</t>
        </is>
      </c>
      <c r="E416" t="inlineStr"/>
      <c r="F416" t="inlineStr">
        <is>
          <t>83395 Freilassing</t>
        </is>
      </c>
      <c r="G416" s="5" t="n">
        <v>45518</v>
      </c>
      <c r="H416" t="inlineStr"/>
      <c r="I416" s="6">
        <f>HYPERLINK("https://www.dailydose.de/kleinanzeigen/detail.htm?ai=420852&amp;cf=kk&amp;pg=3&amp;ci=13", "Link")</f>
        <v/>
      </c>
      <c r="J416" s="6">
        <f>HYPERLINK("C:\Projects\Kleinanzeigen-Scraper\offer_images\420852", "Link")</f>
        <v/>
      </c>
      <c r="K416" t="inlineStr">
        <is>
          <t>Peter_177</t>
        </is>
      </c>
      <c r="L416" s="6">
        <f>HYPERLINK("https://www.dailydose.de/kleinanzeigen/user/19141", "Link")</f>
        <v/>
      </c>
      <c r="M416" s="7" t="n">
        <v>45536.91188657407</v>
      </c>
      <c r="N416" s="3" t="inlineStr">
        <is>
          <t>108.85</t>
        </is>
      </c>
      <c r="O416" t="inlineStr">
        <is>
          <t>München</t>
        </is>
      </c>
    </row>
    <row r="417">
      <c r="A417" t="inlineStr">
        <is>
          <t>Point7 Carbon Pro</t>
        </is>
      </c>
      <c r="B417" t="inlineStr">
        <is>
          <t>220-270</t>
        </is>
      </c>
      <c r="C417" t="inlineStr"/>
      <c r="D417" s="4" t="n">
        <v>489</v>
      </c>
      <c r="E417" t="inlineStr"/>
      <c r="F417" t="inlineStr">
        <is>
          <t>78464 Konstanz</t>
        </is>
      </c>
      <c r="G417" s="5" t="n">
        <v>45448</v>
      </c>
      <c r="H417" t="inlineStr"/>
      <c r="I417" s="6">
        <f>HYPERLINK("https://www.dailydose.de/kleinanzeigen/detail.htm?ai=417416&amp;cf=kk&amp;pg=5&amp;ci=13", "Link")</f>
        <v/>
      </c>
      <c r="J417" s="6">
        <f>HYPERLINK("C:\Projects\Kleinanzeigen-Scraper\offer_images\417416", "Link")</f>
        <v/>
      </c>
      <c r="K417" t="inlineStr">
        <is>
          <t>foil-lover</t>
        </is>
      </c>
      <c r="L417" s="6">
        <f>HYPERLINK("https://www.dailydose.de/kleinanzeigen/user/8539", "Link")</f>
        <v/>
      </c>
      <c r="M417" s="7" t="n">
        <v>45536.91188657407</v>
      </c>
      <c r="N417" s="3" t="inlineStr">
        <is>
          <t>66.23</t>
        </is>
      </c>
      <c r="O417" t="inlineStr">
        <is>
          <t>Bonndorf</t>
        </is>
      </c>
    </row>
    <row r="418">
      <c r="A418" t="inlineStr">
        <is>
          <t>Severne Enigma</t>
        </is>
      </c>
      <c r="B418" t="inlineStr">
        <is>
          <t>210-250</t>
        </is>
      </c>
      <c r="C418" t="inlineStr"/>
      <c r="D418" s="4" t="inlineStr">
        <is>
          <t>500 VP</t>
        </is>
      </c>
      <c r="E418" t="inlineStr"/>
      <c r="F418" t="inlineStr">
        <is>
          <t>83395 Freilassing</t>
        </is>
      </c>
      <c r="G418" s="5" t="n">
        <v>45518</v>
      </c>
      <c r="H418" t="inlineStr"/>
      <c r="I418" s="6">
        <f>HYPERLINK("https://www.dailydose.de/kleinanzeigen/detail.htm?ai=420851&amp;cf=kk&amp;pg=3&amp;ci=13", "Link")</f>
        <v/>
      </c>
      <c r="J418" s="6">
        <f>HYPERLINK("C:\Projects\Kleinanzeigen-Scraper\offer_images\420851", "Link")</f>
        <v/>
      </c>
      <c r="K418" t="inlineStr">
        <is>
          <t>Peter_177</t>
        </is>
      </c>
      <c r="L418" s="6">
        <f>HYPERLINK("https://www.dailydose.de/kleinanzeigen/user/19141", "Link")</f>
        <v/>
      </c>
      <c r="M418" s="7" t="n">
        <v>45536.91185185185</v>
      </c>
      <c r="N418" s="3" t="inlineStr">
        <is>
          <t>108.85</t>
        </is>
      </c>
      <c r="O418" t="inlineStr">
        <is>
          <t>München</t>
        </is>
      </c>
    </row>
    <row r="419">
      <c r="A419" t="inlineStr">
        <is>
          <t>Severne</t>
        </is>
      </c>
      <c r="B419" t="inlineStr">
        <is>
          <t>170-220</t>
        </is>
      </c>
      <c r="C419" t="inlineStr"/>
      <c r="D419" s="4" t="n">
        <v>170</v>
      </c>
      <c r="E419" t="inlineStr"/>
      <c r="F419" t="inlineStr">
        <is>
          <t>86807 Buchloe</t>
        </is>
      </c>
      <c r="G419" s="5" t="n">
        <v>45531</v>
      </c>
      <c r="H419" t="inlineStr"/>
      <c r="I419" s="6">
        <f>HYPERLINK("https://www.dailydose.de/kleinanzeigen/detail.htm?ai=421595&amp;cf=kk&amp;pg=3&amp;ci=13", "Link")</f>
        <v/>
      </c>
      <c r="J419" s="6">
        <f>HYPERLINK("C:\Projects\Kleinanzeigen-Scraper\offer_images\421595", "Link")</f>
        <v/>
      </c>
      <c r="K419" t="inlineStr">
        <is>
          <t>surficus_84</t>
        </is>
      </c>
      <c r="L419" s="6">
        <f>HYPERLINK("https://www.dailydose.de/kleinanzeigen/user/22532", "Link")</f>
        <v/>
      </c>
      <c r="M419" s="7" t="n">
        <v>45536.91182870371</v>
      </c>
      <c r="N419" s="3" t="inlineStr">
        <is>
          <t>63.47</t>
        </is>
      </c>
      <c r="O419" t="inlineStr">
        <is>
          <t>München</t>
        </is>
      </c>
    </row>
    <row r="420">
      <c r="A420" t="inlineStr">
        <is>
          <t>GUN Select</t>
        </is>
      </c>
      <c r="B420" t="inlineStr">
        <is>
          <t>180-240</t>
        </is>
      </c>
      <c r="C420" t="inlineStr"/>
      <c r="D420" s="4" t="n">
        <v>399</v>
      </c>
      <c r="E420" t="inlineStr"/>
      <c r="F420" t="inlineStr">
        <is>
          <t>45711 Datteln</t>
        </is>
      </c>
      <c r="G420" s="5" t="n">
        <v>45522</v>
      </c>
      <c r="H420" t="inlineStr">
        <is>
          <t>Sold</t>
        </is>
      </c>
      <c r="I420" s="6">
        <f>HYPERLINK("https://www.dailydose.de/kleinanzeigen/detail.htm?ai=421118&amp;cf=kk&amp;pg=2&amp;ci=13", "Link")</f>
        <v/>
      </c>
      <c r="J420" s="6">
        <f>HYPERLINK("C:\Projects\Kleinanzeigen-Scraper\offer_images\421118", "Link")</f>
        <v/>
      </c>
      <c r="K420" t="inlineStr">
        <is>
          <t>Freddy_179</t>
        </is>
      </c>
      <c r="L420" s="6">
        <f>HYPERLINK("https://www.dailydose.de/kleinanzeigen/user/8777", "Link")</f>
        <v/>
      </c>
      <c r="M420" s="7" t="n">
        <v>45536.91175925926</v>
      </c>
      <c r="N420" s="3" t="inlineStr">
        <is>
          <t>83.86</t>
        </is>
      </c>
      <c r="O420" t="inlineStr">
        <is>
          <t>Köln</t>
        </is>
      </c>
    </row>
    <row r="421">
      <c r="A421" t="inlineStr">
        <is>
          <t>Point Seven</t>
        </is>
      </c>
      <c r="B421" t="inlineStr">
        <is>
          <t>190-240</t>
        </is>
      </c>
      <c r="C421" t="inlineStr"/>
      <c r="D421" s="4" t="inlineStr">
        <is>
          <t>ab 250.00</t>
        </is>
      </c>
      <c r="E421" t="inlineStr"/>
      <c r="F421" t="inlineStr">
        <is>
          <t>26127 Oldenburg, Bremen, Hamburg</t>
        </is>
      </c>
      <c r="G421" s="5" t="n">
        <v>45454</v>
      </c>
      <c r="H421" t="inlineStr"/>
      <c r="I421" s="6">
        <f>HYPERLINK("https://www.dailydose.de/kleinanzeigen/detail.htm?ai=417716&amp;cf=kk&amp;pg=5&amp;ci=13", "Link")</f>
        <v/>
      </c>
      <c r="J421" s="6">
        <f>HYPERLINK("C:\Projects\Kleinanzeigen-Scraper\offer_images\417716", "Link")</f>
        <v/>
      </c>
      <c r="K421" t="inlineStr">
        <is>
          <t>Ludger_173</t>
        </is>
      </c>
      <c r="L421" s="6">
        <f>HYPERLINK("https://www.dailydose.de/kleinanzeigen/user/14566", "Link")</f>
        <v/>
      </c>
      <c r="M421" s="7" t="n">
        <v>45536.91175925926</v>
      </c>
      <c r="N421" s="3" t="inlineStr">
        <is>
          <t>262.05</t>
        </is>
      </c>
      <c r="O421" t="inlineStr">
        <is>
          <t>Köln</t>
        </is>
      </c>
    </row>
    <row r="422">
      <c r="A422" t="inlineStr">
        <is>
          <t>Severne Enigma</t>
        </is>
      </c>
      <c r="B422" t="inlineStr">
        <is>
          <t>140-190</t>
        </is>
      </c>
      <c r="C422" t="inlineStr">
        <is>
          <t>2021</t>
        </is>
      </c>
      <c r="D422" s="4" t="n">
        <v>500</v>
      </c>
      <c r="E422" t="inlineStr">
        <is>
          <t>VB</t>
        </is>
      </c>
      <c r="F422" t="inlineStr">
        <is>
          <t>Kiel</t>
        </is>
      </c>
      <c r="G422" s="5" t="n">
        <v>45532</v>
      </c>
      <c r="H422" t="inlineStr"/>
      <c r="I422" s="6">
        <f>HYPERLINK("https://www.dailydose.de/kleinanzeigen/detail.htm?ai=421662&amp;cf=kk&amp;pg=3&amp;ci=13", "Link")</f>
        <v/>
      </c>
      <c r="J422" s="6">
        <f>HYPERLINK("C:\Projects\Kleinanzeigen-Scraper\offer_images\421662", "Link")</f>
        <v/>
      </c>
      <c r="K422" t="inlineStr">
        <is>
          <t>Magnus_184</t>
        </is>
      </c>
      <c r="L422" s="6">
        <f>HYPERLINK("https://www.dailydose.de/kleinanzeigen/user/14963", "Link")</f>
        <v/>
      </c>
      <c r="M422" s="7" t="n">
        <v>45536.91172453704</v>
      </c>
      <c r="N422" s="3" t="inlineStr">
        <is>
          <t>433.14</t>
        </is>
      </c>
      <c r="O422" t="inlineStr">
        <is>
          <t>Köln</t>
        </is>
      </c>
    </row>
    <row r="423">
      <c r="A423" t="inlineStr">
        <is>
          <t>North</t>
        </is>
      </c>
      <c r="B423" t="inlineStr">
        <is>
          <t>135-180</t>
        </is>
      </c>
      <c r="C423" t="inlineStr"/>
      <c r="D423" s="4" t="n">
        <v>25</v>
      </c>
      <c r="E423" t="inlineStr"/>
      <c r="F423" t="inlineStr">
        <is>
          <t>27616 Beverstedt</t>
        </is>
      </c>
      <c r="G423" s="5" t="n">
        <v>45434</v>
      </c>
      <c r="H423" t="inlineStr">
        <is>
          <t>Sold</t>
        </is>
      </c>
      <c r="I423" s="6">
        <f>HYPERLINK("https://www.dailydose.de/kleinanzeigen/detail.htm?ai=416429&amp;cf=kk&amp;pg=5&amp;ci=13", "Link")</f>
        <v/>
      </c>
      <c r="J423" s="6">
        <f>HYPERLINK("C:\Projects\Kleinanzeigen-Scraper\offer_images\416429", "Link")</f>
        <v/>
      </c>
      <c r="K423" t="inlineStr">
        <is>
          <t>J_129</t>
        </is>
      </c>
      <c r="L423" s="6">
        <f>HYPERLINK("https://www.dailydose.de/kleinanzeigen/user/12717", "Link")</f>
        <v/>
      </c>
      <c r="M423" s="7" t="n">
        <v>45536.91162037037</v>
      </c>
      <c r="N423" s="3" t="inlineStr">
        <is>
          <t>304.65</t>
        </is>
      </c>
      <c r="O423" t="inlineStr">
        <is>
          <t>Köln</t>
        </is>
      </c>
    </row>
    <row r="424">
      <c r="A424" t="inlineStr">
        <is>
          <t>Gulftech Carbon Glory</t>
        </is>
      </c>
      <c r="B424" t="inlineStr">
        <is>
          <t>145-195</t>
        </is>
      </c>
      <c r="C424" t="inlineStr"/>
      <c r="D424" s="4" t="n">
        <v>185</v>
      </c>
      <c r="E424" t="inlineStr"/>
      <c r="F424" t="inlineStr">
        <is>
          <t>30459 Hannover</t>
        </is>
      </c>
      <c r="G424" s="5" t="n">
        <v>45486</v>
      </c>
      <c r="H424" t="inlineStr"/>
      <c r="I424" s="6">
        <f>HYPERLINK("https://www.dailydose.de/kleinanzeigen/detail.htm?ai=419327&amp;cf=kk&amp;pg=4&amp;ci=13", "Link")</f>
        <v/>
      </c>
      <c r="J424" s="6">
        <f>HYPERLINK("C:\Projects\Kleinanzeigen-Scraper\offer_images\419327", "Link")</f>
        <v/>
      </c>
      <c r="K424" t="inlineStr">
        <is>
          <t>C. Rohde</t>
        </is>
      </c>
      <c r="L424" s="6">
        <f>HYPERLINK("https://www.dailydose.de/kleinanzeigen/user/6269", "Link")</f>
        <v/>
      </c>
      <c r="M424" s="7" t="n">
        <v>45536.9116087963</v>
      </c>
      <c r="N424" s="3" t="inlineStr">
        <is>
          <t>246.57</t>
        </is>
      </c>
      <c r="O424" t="inlineStr">
        <is>
          <t>Köln</t>
        </is>
      </c>
    </row>
    <row r="425">
      <c r="A425" t="inlineStr">
        <is>
          <t>Chinook Pro</t>
        </is>
      </c>
      <c r="B425" t="inlineStr">
        <is>
          <t>135-185</t>
        </is>
      </c>
      <c r="C425" t="inlineStr"/>
      <c r="D425" s="4" t="n">
        <v>345</v>
      </c>
      <c r="E425" t="inlineStr"/>
      <c r="F425" t="inlineStr">
        <is>
          <t>24114 Kiel</t>
        </is>
      </c>
      <c r="G425" s="5" t="n">
        <v>45460</v>
      </c>
      <c r="H425" t="inlineStr">
        <is>
          <t>Sold</t>
        </is>
      </c>
      <c r="I425" s="6">
        <f>HYPERLINK("https://www.dailydose.de/kleinanzeigen/detail.htm?ai=418049&amp;cf=kk&amp;pg=5&amp;ci=13", "Link")</f>
        <v/>
      </c>
      <c r="J425" s="6">
        <f>HYPERLINK("C:\Projects\Kleinanzeigen-Scraper\offer_images\418049", "Link")</f>
        <v/>
      </c>
      <c r="K425" t="inlineStr">
        <is>
          <t>overus</t>
        </is>
      </c>
      <c r="L425" s="6">
        <f>HYPERLINK("https://www.dailydose.de/kleinanzeigen/user/2428", "Link")</f>
        <v/>
      </c>
      <c r="M425" s="7" t="n">
        <v>45536.91158564815</v>
      </c>
      <c r="N425" s="3" t="inlineStr">
        <is>
          <t>431.59</t>
        </is>
      </c>
      <c r="O425" t="inlineStr">
        <is>
          <t>Köln</t>
        </is>
      </c>
    </row>
    <row r="426">
      <c r="A426" t="inlineStr">
        <is>
          <t>Techno Limits XTR</t>
        </is>
      </c>
      <c r="B426" t="inlineStr">
        <is>
          <t>150-210</t>
        </is>
      </c>
      <c r="C426" t="inlineStr"/>
      <c r="D426" s="4" t="n">
        <v>210</v>
      </c>
      <c r="E426" t="inlineStr"/>
      <c r="F426" t="inlineStr">
        <is>
          <t>30459 Hannover</t>
        </is>
      </c>
      <c r="G426" s="5" t="n">
        <v>45486</v>
      </c>
      <c r="H426" t="inlineStr"/>
      <c r="I426" s="6">
        <f>HYPERLINK("https://www.dailydose.de/kleinanzeigen/detail.htm?ai=419325&amp;cf=kk&amp;pg=4&amp;ci=13", "Link")</f>
        <v/>
      </c>
      <c r="J426" s="6">
        <f>HYPERLINK("C:\Projects\Kleinanzeigen-Scraper\offer_images\419325", "Link")</f>
        <v/>
      </c>
      <c r="K426" t="inlineStr">
        <is>
          <t>C. Rohde</t>
        </is>
      </c>
      <c r="L426" s="6">
        <f>HYPERLINK("https://www.dailydose.de/kleinanzeigen/user/6269", "Link")</f>
        <v/>
      </c>
      <c r="M426" s="7" t="n">
        <v>45536.91155092593</v>
      </c>
      <c r="N426" s="3" t="inlineStr">
        <is>
          <t>246.57</t>
        </is>
      </c>
      <c r="O426" t="inlineStr">
        <is>
          <t>Köln</t>
        </is>
      </c>
    </row>
    <row r="427">
      <c r="A427" t="inlineStr">
        <is>
          <t>Arrows Carbon</t>
        </is>
      </c>
      <c r="B427" t="inlineStr">
        <is>
          <t>170-220</t>
        </is>
      </c>
      <c r="C427" t="inlineStr"/>
      <c r="D427" s="4" t="n">
        <v>165</v>
      </c>
      <c r="E427" t="inlineStr"/>
      <c r="F427" t="inlineStr">
        <is>
          <t>30459 Hannover</t>
        </is>
      </c>
      <c r="G427" s="5" t="n">
        <v>45486</v>
      </c>
      <c r="H427" t="inlineStr"/>
      <c r="I427" s="6">
        <f>HYPERLINK("https://www.dailydose.de/kleinanzeigen/detail.htm?ai=419324&amp;cf=kk&amp;pg=4&amp;ci=13", "Link")</f>
        <v/>
      </c>
      <c r="J427" s="6">
        <f>HYPERLINK("C:\Projects\Kleinanzeigen-Scraper\offer_images\419324", "Link")</f>
        <v/>
      </c>
      <c r="K427" t="inlineStr">
        <is>
          <t>C. Rohde</t>
        </is>
      </c>
      <c r="L427" s="6">
        <f>HYPERLINK("https://www.dailydose.de/kleinanzeigen/user/6269", "Link")</f>
        <v/>
      </c>
      <c r="M427" s="7" t="n">
        <v>45536.91155092593</v>
      </c>
      <c r="N427" s="3" t="inlineStr">
        <is>
          <t>246.57</t>
        </is>
      </c>
      <c r="O427" t="inlineStr">
        <is>
          <t>Köln</t>
        </is>
      </c>
    </row>
    <row r="428">
      <c r="A428" t="inlineStr">
        <is>
          <t>Neilpryde</t>
        </is>
      </c>
      <c r="B428" t="inlineStr">
        <is>
          <t>130-185</t>
        </is>
      </c>
      <c r="C428" t="inlineStr"/>
      <c r="D428" s="4" t="n">
        <v>60</v>
      </c>
      <c r="E428" t="inlineStr"/>
      <c r="F428" t="inlineStr">
        <is>
          <t>45219 Essen</t>
        </is>
      </c>
      <c r="G428" s="5" t="n">
        <v>45529</v>
      </c>
      <c r="H428" t="inlineStr"/>
      <c r="I428" s="6">
        <f>HYPERLINK("https://www.dailydose.de/kleinanzeigen/detail.htm?ai=421408&amp;cf=kk&amp;pg=3&amp;ci=13", "Link")</f>
        <v/>
      </c>
      <c r="J428" s="6">
        <f>HYPERLINK("C:\Projects\Kleinanzeigen-Scraper\offer_images\421408", "Link")</f>
        <v/>
      </c>
      <c r="K428" t="inlineStr">
        <is>
          <t>fredpit</t>
        </is>
      </c>
      <c r="L428" s="6">
        <f>HYPERLINK("https://www.dailydose.de/kleinanzeigen/user/3306", "Link")</f>
        <v/>
      </c>
      <c r="M428" s="7" t="n">
        <v>45536.91151620371</v>
      </c>
      <c r="N428" s="3" t="inlineStr">
        <is>
          <t>47.62</t>
        </is>
      </c>
      <c r="O428" t="inlineStr">
        <is>
          <t>Köln</t>
        </is>
      </c>
    </row>
    <row r="429">
      <c r="A429" t="inlineStr">
        <is>
          <t>Duotone</t>
        </is>
      </c>
      <c r="B429" t="inlineStr"/>
      <c r="C429" t="inlineStr">
        <is>
          <t>2021</t>
        </is>
      </c>
      <c r="D429" s="4" t="n">
        <v>790</v>
      </c>
      <c r="E429" t="inlineStr"/>
      <c r="F429" t="inlineStr">
        <is>
          <t>13467 Berlin</t>
        </is>
      </c>
      <c r="G429" s="5" t="n">
        <v>45530</v>
      </c>
      <c r="H429" t="inlineStr"/>
      <c r="I429" s="6">
        <f>HYPERLINK("https://www.dailydose.de/kleinanzeigen/detail.htm?ai=421475&amp;cf=kk&amp;pg=3&amp;ci=13", "Link")</f>
        <v/>
      </c>
      <c r="J429" s="6">
        <f>HYPERLINK("C:\Projects\Kleinanzeigen-Scraper\offer_images\421475", "Link")</f>
        <v/>
      </c>
      <c r="K429" t="inlineStr">
        <is>
          <t>Dirk S.</t>
        </is>
      </c>
      <c r="L429" s="6">
        <f>HYPERLINK("https://www.dailydose.de/kleinanzeigen/user/7036", "Link")</f>
        <v/>
      </c>
      <c r="M429" s="7" t="n">
        <v>45536.91138888889</v>
      </c>
      <c r="N429" s="3" t="inlineStr">
        <is>
          <t>474.84</t>
        </is>
      </c>
      <c r="O429" t="inlineStr">
        <is>
          <t>Köln</t>
        </is>
      </c>
    </row>
    <row r="430">
      <c r="A430" t="inlineStr">
        <is>
          <t>Chinook RDG Wave</t>
        </is>
      </c>
      <c r="B430" t="inlineStr">
        <is>
          <t>135-185</t>
        </is>
      </c>
      <c r="C430" t="inlineStr"/>
      <c r="D430" s="4" t="n">
        <v>350</v>
      </c>
      <c r="E430" t="inlineStr"/>
      <c r="F430" t="inlineStr">
        <is>
          <t>20457 Hamburg</t>
        </is>
      </c>
      <c r="G430" s="5" t="n">
        <v>45417</v>
      </c>
      <c r="H430" t="inlineStr">
        <is>
          <t>Sold</t>
        </is>
      </c>
      <c r="I430" s="6">
        <f>HYPERLINK("https://www.dailydose.de/kleinanzeigen/detail.htm?ai=415515&amp;cf=kk&amp;pg=5&amp;ci=13", "Link")</f>
        <v/>
      </c>
      <c r="J430" s="6">
        <f>HYPERLINK("C:\Projects\Kleinanzeigen-Scraper\offer_images\415515", "Link")</f>
        <v/>
      </c>
      <c r="K430" t="inlineStr">
        <is>
          <t>Irieman</t>
        </is>
      </c>
      <c r="L430" s="6">
        <f>HYPERLINK("https://www.dailydose.de/kleinanzeigen/user/10662", "Link")</f>
        <v/>
      </c>
      <c r="M430" s="7" t="n">
        <v>45536.91136574074</v>
      </c>
      <c r="N430" s="3" t="inlineStr">
        <is>
          <t>354.54</t>
        </is>
      </c>
      <c r="O430" t="inlineStr">
        <is>
          <t>Köln</t>
        </is>
      </c>
    </row>
    <row r="431">
      <c r="A431" t="inlineStr">
        <is>
          <t>Chinook</t>
        </is>
      </c>
      <c r="B431" t="inlineStr">
        <is>
          <t>200-260</t>
        </is>
      </c>
      <c r="C431" t="inlineStr"/>
      <c r="D431" s="4" t="n">
        <v>450</v>
      </c>
      <c r="E431" t="inlineStr">
        <is>
          <t>VB</t>
        </is>
      </c>
      <c r="F431" t="inlineStr">
        <is>
          <t>47807 Krefeld</t>
        </is>
      </c>
      <c r="G431" s="5" t="n">
        <v>45465</v>
      </c>
      <c r="H431" t="inlineStr"/>
      <c r="I431" s="6">
        <f>HYPERLINK("https://www.dailydose.de/kleinanzeigen/detail.htm?ai=418253&amp;cf=kk&amp;pg=5&amp;ci=13", "Link")</f>
        <v/>
      </c>
      <c r="J431" s="6">
        <f>HYPERLINK("C:\Projects\Kleinanzeigen-Scraper\offer_images\418253", "Link")</f>
        <v/>
      </c>
      <c r="K431" t="inlineStr">
        <is>
          <t>Surfinator</t>
        </is>
      </c>
      <c r="L431" s="6">
        <f>HYPERLINK("https://www.dailydose.de/kleinanzeigen/user/5618", "Link")</f>
        <v/>
      </c>
      <c r="M431" s="7" t="n">
        <v>45536.91131944444</v>
      </c>
      <c r="N431" s="3" t="inlineStr">
        <is>
          <t>48.26</t>
        </is>
      </c>
      <c r="O431" t="inlineStr">
        <is>
          <t>Köln</t>
        </is>
      </c>
    </row>
    <row r="432">
      <c r="A432" t="inlineStr">
        <is>
          <t>AMEX Hybrid Carbon</t>
        </is>
      </c>
      <c r="B432" t="inlineStr">
        <is>
          <t>135-195</t>
        </is>
      </c>
      <c r="C432" t="inlineStr"/>
      <c r="D432" s="4" t="n">
        <v>200</v>
      </c>
      <c r="E432" t="inlineStr">
        <is>
          <t>VB</t>
        </is>
      </c>
      <c r="F432" t="inlineStr">
        <is>
          <t>58300 Wetter</t>
        </is>
      </c>
      <c r="G432" s="5" t="n">
        <v>45459</v>
      </c>
      <c r="H432" t="inlineStr"/>
      <c r="I432" s="6">
        <f>HYPERLINK("https://www.dailydose.de/kleinanzeigen/detail.htm?ai=417978&amp;cf=kk&amp;pg=5&amp;ci=13", "Link")</f>
        <v/>
      </c>
      <c r="J432" s="6">
        <f>HYPERLINK("C:\Projects\Kleinanzeigen-Scraper\offer_images\417978", "Link")</f>
        <v/>
      </c>
      <c r="K432" t="inlineStr">
        <is>
          <t>Lorenzosrrd</t>
        </is>
      </c>
      <c r="L432" s="6">
        <f>HYPERLINK("https://www.dailydose.de/kleinanzeigen/user/2134", "Link")</f>
        <v/>
      </c>
      <c r="M432" s="7" t="n">
        <v>45536.9112962963</v>
      </c>
      <c r="N432" s="3" t="inlineStr">
        <is>
          <t>56.63</t>
        </is>
      </c>
      <c r="O432" t="inlineStr">
        <is>
          <t>Köln</t>
        </is>
      </c>
    </row>
    <row r="433">
      <c r="A433" t="inlineStr">
        <is>
          <t>HPL</t>
        </is>
      </c>
      <c r="B433" t="inlineStr">
        <is>
          <t>215</t>
        </is>
      </c>
      <c r="C433" t="inlineStr"/>
      <c r="D433" s="4" t="n">
        <v>0</v>
      </c>
      <c r="E433" t="inlineStr"/>
      <c r="F433" t="inlineStr">
        <is>
          <t>21423 Winsen (Luhe)</t>
        </is>
      </c>
      <c r="G433" s="5" t="n">
        <v>45536</v>
      </c>
      <c r="H433" t="inlineStr"/>
      <c r="I433" s="6">
        <f>HYPERLINK("https://www.dailydose.de/kleinanzeigen/detail.htm?ai=421896&amp;cf=kk&amp;pg=2&amp;ci=13", "Link")</f>
        <v/>
      </c>
      <c r="J433" s="6">
        <f>HYPERLINK("C:\Projects\Kleinanzeigen-Scraper\offer_images\421896", "Link")</f>
        <v/>
      </c>
      <c r="K433" t="inlineStr">
        <is>
          <t>Torsten_281</t>
        </is>
      </c>
      <c r="L433" s="6">
        <f>HYPERLINK("https://www.dailydose.de/kleinanzeigen/user/24189", "Link")</f>
        <v/>
      </c>
      <c r="M433" s="7" t="n">
        <v>45536.9112962963</v>
      </c>
      <c r="N433" s="3" t="inlineStr">
        <is>
          <t>349.14</t>
        </is>
      </c>
      <c r="O433" t="inlineStr">
        <is>
          <t>Köln</t>
        </is>
      </c>
    </row>
    <row r="434">
      <c r="A434" t="inlineStr">
        <is>
          <t>Neil Pryde X6</t>
        </is>
      </c>
      <c r="B434" t="inlineStr">
        <is>
          <t>200-250</t>
        </is>
      </c>
      <c r="C434" t="inlineStr"/>
      <c r="D434" s="4" t="n">
        <v>50</v>
      </c>
      <c r="E434" t="inlineStr"/>
      <c r="F434" t="inlineStr">
        <is>
          <t>48249 Dülmen</t>
        </is>
      </c>
      <c r="G434" s="5" t="n">
        <v>45496</v>
      </c>
      <c r="H434" t="inlineStr"/>
      <c r="I434" s="6">
        <f>HYPERLINK("https://www.dailydose.de/kleinanzeigen/detail.htm?ai=419864&amp;cf=kk&amp;pg=4&amp;ci=13", "Link")</f>
        <v/>
      </c>
      <c r="J434" s="6">
        <f>HYPERLINK("C:\Projects\Kleinanzeigen-Scraper\offer_images\419864", "Link")</f>
        <v/>
      </c>
      <c r="K434" t="inlineStr">
        <is>
          <t>Jochen_197</t>
        </is>
      </c>
      <c r="L434" s="6">
        <f>HYPERLINK("https://www.dailydose.de/kleinanzeigen/user/12170", "Link")</f>
        <v/>
      </c>
      <c r="M434" s="7" t="n">
        <v>45536.91126157407</v>
      </c>
      <c r="N434" s="3" t="inlineStr">
        <is>
          <t>105.23</t>
        </is>
      </c>
      <c r="O434" t="inlineStr">
        <is>
          <t>Köln</t>
        </is>
      </c>
    </row>
    <row r="435">
      <c r="A435" t="inlineStr">
        <is>
          <t>DUOTONE PLATINUM SLIM</t>
        </is>
      </c>
      <c r="B435" t="inlineStr">
        <is>
          <t>140-180</t>
        </is>
      </c>
      <c r="C435" t="inlineStr"/>
      <c r="D435" s="4" t="n">
        <v>650</v>
      </c>
      <c r="E435" t="inlineStr"/>
      <c r="F435" t="inlineStr">
        <is>
          <t>22177 Hamburg</t>
        </is>
      </c>
      <c r="G435" s="5" t="n">
        <v>45530</v>
      </c>
      <c r="H435" t="inlineStr">
        <is>
          <t>Sold</t>
        </is>
      </c>
      <c r="I435" s="6">
        <f>HYPERLINK("https://www.dailydose.de/kleinanzeigen/detail.htm?ai=421491&amp;cf=kk&amp;pg=3&amp;ci=13", "Link")</f>
        <v/>
      </c>
      <c r="J435" s="6">
        <f>HYPERLINK("C:\Projects\Kleinanzeigen-Scraper\offer_images\421491", "Link")</f>
        <v/>
      </c>
      <c r="K435" t="inlineStr">
        <is>
          <t>Karsten_177</t>
        </is>
      </c>
      <c r="L435" s="6">
        <f>HYPERLINK("https://www.dailydose.de/kleinanzeigen/user/11918", "Link")</f>
        <v/>
      </c>
      <c r="M435" s="7" t="n">
        <v>45536.91122685185</v>
      </c>
      <c r="N435" s="3" t="inlineStr">
        <is>
          <t>364.64</t>
        </is>
      </c>
      <c r="O435" t="inlineStr">
        <is>
          <t>Köln</t>
        </is>
      </c>
    </row>
    <row r="436">
      <c r="A436" t="inlineStr">
        <is>
          <t>Prolimit C100</t>
        </is>
      </c>
      <c r="B436" t="inlineStr">
        <is>
          <t>160-220</t>
        </is>
      </c>
      <c r="C436" t="inlineStr"/>
      <c r="D436" s="4" t="n">
        <v>200</v>
      </c>
      <c r="E436" t="inlineStr"/>
      <c r="F436" t="inlineStr">
        <is>
          <t>93309 Kelheim</t>
        </is>
      </c>
      <c r="G436" s="5" t="n">
        <v>45536</v>
      </c>
      <c r="H436" t="inlineStr">
        <is>
          <t>Sold</t>
        </is>
      </c>
      <c r="I436" s="6">
        <f>HYPERLINK("https://www.dailydose.de/kleinanzeigen/detail.htm?ai=421920&amp;cf=kk&amp;pg=1&amp;ci=13", "Link")</f>
        <v/>
      </c>
      <c r="J436" s="6">
        <f>HYPERLINK("C:\Projects\Kleinanzeigen-Scraper\offer_images\421920", "Link")</f>
        <v/>
      </c>
      <c r="K436" t="inlineStr">
        <is>
          <t>Rosl81</t>
        </is>
      </c>
      <c r="L436" s="6">
        <f>HYPERLINK("https://www.dailydose.de/kleinanzeigen/user/16719", "Link")</f>
        <v/>
      </c>
      <c r="M436" s="7" t="n">
        <v>45536.91113425926</v>
      </c>
      <c r="N436" s="3" t="inlineStr">
        <is>
          <t>88.18</t>
        </is>
      </c>
      <c r="O436" t="inlineStr">
        <is>
          <t>München</t>
        </is>
      </c>
    </row>
    <row r="437">
      <c r="A437" t="inlineStr">
        <is>
          <t>Neilpryde XC Race</t>
        </is>
      </c>
      <c r="B437" t="inlineStr">
        <is>
          <t>200-250</t>
        </is>
      </c>
      <c r="C437" t="inlineStr">
        <is>
          <t>2022</t>
        </is>
      </c>
      <c r="D437" s="4" t="n">
        <v>850</v>
      </c>
      <c r="E437" t="inlineStr">
        <is>
          <t>VB</t>
        </is>
      </c>
      <c r="F437" t="inlineStr">
        <is>
          <t>82211 Herrsching</t>
        </is>
      </c>
      <c r="G437" s="5" t="n">
        <v>45465</v>
      </c>
      <c r="H437" t="inlineStr"/>
      <c r="I437" s="6">
        <f>HYPERLINK("https://www.dailydose.de/kleinanzeigen/detail.htm?ai=418302&amp;cf=kk&amp;pg=5&amp;ci=13", "Link")</f>
        <v/>
      </c>
      <c r="J437" s="6">
        <f>HYPERLINK("C:\Projects\Kleinanzeigen-Scraper\offer_images\418302", "Link")</f>
        <v/>
      </c>
      <c r="K437" t="inlineStr">
        <is>
          <t>OlliW</t>
        </is>
      </c>
      <c r="L437" s="6">
        <f>HYPERLINK("https://www.dailydose.de/kleinanzeigen/user/26125", "Link")</f>
        <v/>
      </c>
      <c r="M437" s="7" t="n">
        <v>45536.91113425926</v>
      </c>
      <c r="N437" s="3" t="inlineStr">
        <is>
          <t>32.73</t>
        </is>
      </c>
      <c r="O437" t="inlineStr">
        <is>
          <t>München</t>
        </is>
      </c>
    </row>
    <row r="438">
      <c r="A438" t="inlineStr">
        <is>
          <t>Goya</t>
        </is>
      </c>
      <c r="B438" t="inlineStr">
        <is>
          <t>140-190</t>
        </is>
      </c>
      <c r="C438" t="inlineStr"/>
      <c r="D438" s="4" t="n">
        <v>433</v>
      </c>
      <c r="E438" t="inlineStr"/>
      <c r="F438" t="inlineStr">
        <is>
          <t>24113 Kiel</t>
        </is>
      </c>
      <c r="G438" s="5" t="n">
        <v>45488</v>
      </c>
      <c r="H438" t="inlineStr"/>
      <c r="I438" s="6">
        <f>HYPERLINK("https://www.dailydose.de/kleinanzeigen/detail.htm?ai=419411&amp;cf=kk&amp;pg=4&amp;ci=13", "Link")</f>
        <v/>
      </c>
      <c r="J438" s="6">
        <f>HYPERLINK("C:\Projects\Kleinanzeigen-Scraper\offer_images\419411", "Link")</f>
        <v/>
      </c>
      <c r="K438" t="inlineStr">
        <is>
          <t>der_be</t>
        </is>
      </c>
      <c r="L438" s="6">
        <f>HYPERLINK("https://www.dailydose.de/kleinanzeigen/user/1614", "Link")</f>
        <v/>
      </c>
      <c r="M438" s="7" t="n">
        <v>45536.91104166667</v>
      </c>
      <c r="N438" s="3" t="inlineStr">
        <is>
          <t>427.37</t>
        </is>
      </c>
      <c r="O438" t="inlineStr">
        <is>
          <t>Köln</t>
        </is>
      </c>
    </row>
    <row r="439">
      <c r="A439" t="inlineStr">
        <is>
          <t>North</t>
        </is>
      </c>
      <c r="B439" t="inlineStr">
        <is>
          <t>190-250</t>
        </is>
      </c>
      <c r="C439" t="inlineStr"/>
      <c r="D439" s="4" t="n">
        <v>180</v>
      </c>
      <c r="E439" t="inlineStr"/>
      <c r="F439" t="inlineStr">
        <is>
          <t>35447 Reiskirchen</t>
        </is>
      </c>
      <c r="G439" s="5" t="n">
        <v>45414</v>
      </c>
      <c r="H439" t="inlineStr">
        <is>
          <t>Sold</t>
        </is>
      </c>
      <c r="I439" s="6">
        <f>HYPERLINK("https://www.dailydose.de/kleinanzeigen/detail.htm?ai=415297&amp;cf=kk&amp;pg=5&amp;ci=13", "Link")</f>
        <v/>
      </c>
      <c r="J439" s="6">
        <f>HYPERLINK("C:\Projects\Kleinanzeigen-Scraper\offer_images\415297", "Link")</f>
        <v/>
      </c>
      <c r="K439" t="inlineStr">
        <is>
          <t>Helmut Ufrecht</t>
        </is>
      </c>
      <c r="L439" s="6">
        <f>HYPERLINK("https://www.dailydose.de/kleinanzeigen/user/9672", "Link")</f>
        <v/>
      </c>
      <c r="M439" s="7" t="n">
        <v>45536.91100694444</v>
      </c>
      <c r="N439" s="3" t="inlineStr">
        <is>
          <t>139.29</t>
        </is>
      </c>
      <c r="O439" t="inlineStr">
        <is>
          <t>Köln</t>
        </is>
      </c>
    </row>
    <row r="440">
      <c r="A440" t="inlineStr"/>
      <c r="B440" t="inlineStr">
        <is>
          <t>225-275</t>
        </is>
      </c>
      <c r="C440" t="inlineStr"/>
      <c r="D440" s="4" t="n">
        <v>30</v>
      </c>
      <c r="E440" t="inlineStr"/>
      <c r="F440" t="inlineStr">
        <is>
          <t>38116 Braunschweig</t>
        </is>
      </c>
      <c r="G440" s="5" t="n">
        <v>45417</v>
      </c>
      <c r="H440" t="inlineStr">
        <is>
          <t>Sold</t>
        </is>
      </c>
      <c r="I440" s="6">
        <f>HYPERLINK("https://www.dailydose.de/kleinanzeigen/detail.htm?ai=415486&amp;cf=kk&amp;pg=5&amp;ci=13", "Link")</f>
        <v/>
      </c>
      <c r="J440" s="6">
        <f>HYPERLINK("C:\Projects\Kleinanzeigen-Scraper\offer_images\415486", "Link")</f>
        <v/>
      </c>
      <c r="K440" t="inlineStr">
        <is>
          <t>ChrisBoHi</t>
        </is>
      </c>
      <c r="L440" s="6">
        <f>HYPERLINK("https://www.dailydose.de/kleinanzeigen/user/4501", "Link")</f>
        <v/>
      </c>
      <c r="M440" s="7" t="n">
        <v>45536.91097222222</v>
      </c>
      <c r="N440" s="3" t="inlineStr">
        <is>
          <t>283.60</t>
        </is>
      </c>
      <c r="O440" t="inlineStr">
        <is>
          <t>Köln</t>
        </is>
      </c>
    </row>
    <row r="441">
      <c r="A441" t="inlineStr">
        <is>
          <t>Neil Pryde</t>
        </is>
      </c>
      <c r="B441" t="inlineStr">
        <is>
          <t>170-220</t>
        </is>
      </c>
      <c r="C441" t="inlineStr"/>
      <c r="D441" s="4" t="n">
        <v>50</v>
      </c>
      <c r="E441" t="inlineStr"/>
      <c r="F441" t="inlineStr">
        <is>
          <t>82279 Bayern - Eching am Ammersee</t>
        </is>
      </c>
      <c r="G441" s="5" t="n">
        <v>45444</v>
      </c>
      <c r="H441" t="inlineStr"/>
      <c r="I441" s="6">
        <f>HYPERLINK("https://www.dailydose.de/kleinanzeigen/detail.htm?ai=417087&amp;cf=kk&amp;pg=5&amp;ci=13", "Link")</f>
        <v/>
      </c>
      <c r="J441" s="6">
        <f>HYPERLINK("C:\Projects\Kleinanzeigen-Scraper\offer_images\417087", "Link")</f>
        <v/>
      </c>
      <c r="K441" t="inlineStr">
        <is>
          <t>Oliver Gansser</t>
        </is>
      </c>
      <c r="L441" s="6">
        <f>HYPERLINK("https://www.dailydose.de/kleinanzeigen/user/18328", "Link")</f>
        <v/>
      </c>
      <c r="M441" s="7" t="n">
        <v>45536.91090277778</v>
      </c>
      <c r="N441" s="3" t="inlineStr">
        <is>
          <t>34.50</t>
        </is>
      </c>
      <c r="O441" t="inlineStr">
        <is>
          <t>München</t>
        </is>
      </c>
    </row>
    <row r="442">
      <c r="A442" t="inlineStr">
        <is>
          <t>GA Slim Carbon</t>
        </is>
      </c>
      <c r="B442" t="inlineStr">
        <is>
          <t>150-210</t>
        </is>
      </c>
      <c r="C442" t="inlineStr"/>
      <c r="D442" s="4" t="n">
        <v>450</v>
      </c>
      <c r="E442" t="inlineStr"/>
      <c r="F442" t="inlineStr">
        <is>
          <t>55120 Mainz</t>
        </is>
      </c>
      <c r="G442" s="5" t="n">
        <v>45532</v>
      </c>
      <c r="H442" t="inlineStr">
        <is>
          <t>Sold</t>
        </is>
      </c>
      <c r="I442" s="6">
        <f>HYPERLINK("https://www.dailydose.de/kleinanzeigen/detail.htm?ai=421625&amp;cf=kk&amp;pg=2&amp;ci=13", "Link")</f>
        <v/>
      </c>
      <c r="J442" s="6">
        <f>HYPERLINK("C:\Projects\Kleinanzeigen-Scraper\offer_images\421625", "Link")</f>
        <v/>
      </c>
      <c r="K442" t="inlineStr">
        <is>
          <t>klaus kohlert</t>
        </is>
      </c>
      <c r="L442" s="6">
        <f>HYPERLINK("https://www.dailydose.de/kleinanzeigen/user/12926", "Link")</f>
        <v/>
      </c>
      <c r="M442" s="7" t="n">
        <v>45536.91087962963</v>
      </c>
      <c r="N442" s="3" t="inlineStr">
        <is>
          <t>113.39</t>
        </is>
      </c>
      <c r="O442" t="inlineStr">
        <is>
          <t>Karlsruhe</t>
        </is>
      </c>
    </row>
    <row r="443">
      <c r="A443" t="inlineStr">
        <is>
          <t>Gun Select</t>
        </is>
      </c>
      <c r="B443" t="inlineStr">
        <is>
          <t>200-250</t>
        </is>
      </c>
      <c r="C443" t="inlineStr"/>
      <c r="D443" s="4" t="n">
        <v>290</v>
      </c>
      <c r="E443" t="inlineStr"/>
      <c r="F443" t="inlineStr">
        <is>
          <t>04109 Leipzig (ggf. auch Übergabe im Sep. auf Fehmarn)</t>
        </is>
      </c>
      <c r="G443" s="5" t="n">
        <v>45532</v>
      </c>
      <c r="H443" t="inlineStr">
        <is>
          <t>Sold</t>
        </is>
      </c>
      <c r="I443" s="6">
        <f>HYPERLINK("https://www.dailydose.de/kleinanzeigen/detail.htm?ai=421639&amp;cf=kk&amp;pg=1&amp;ci=13", "Link")</f>
        <v/>
      </c>
      <c r="J443" s="6">
        <f>HYPERLINK("C:\Projects\Kleinanzeigen-Scraper\offer_images\421639", "Link")</f>
        <v/>
      </c>
      <c r="K443" t="inlineStr">
        <is>
          <t>Seewasser</t>
        </is>
      </c>
      <c r="L443" s="6">
        <f>HYPERLINK("https://www.dailydose.de/kleinanzeigen/user/2170", "Link")</f>
        <v/>
      </c>
      <c r="M443" s="7" t="n">
        <v>45536.91087962963</v>
      </c>
      <c r="N443" s="3" t="inlineStr">
        <is>
          <t>360.56</t>
        </is>
      </c>
      <c r="O443" t="inlineStr">
        <is>
          <t>München</t>
        </is>
      </c>
    </row>
    <row r="444">
      <c r="A444" t="inlineStr">
        <is>
          <t>Gaastra Wave</t>
        </is>
      </c>
      <c r="B444" t="inlineStr">
        <is>
          <t>150-200</t>
        </is>
      </c>
      <c r="C444" t="inlineStr">
        <is>
          <t>2009</t>
        </is>
      </c>
      <c r="D444" s="4" t="n">
        <v>100</v>
      </c>
      <c r="E444" t="inlineStr">
        <is>
          <t>VB</t>
        </is>
      </c>
      <c r="F444" t="inlineStr">
        <is>
          <t>47259 Duisburg</t>
        </is>
      </c>
      <c r="G444" s="5" t="n">
        <v>45529</v>
      </c>
      <c r="H444" t="inlineStr"/>
      <c r="I444" s="6">
        <f>HYPERLINK("https://www.dailydose.de/kleinanzeigen/detail.htm?ai=421396&amp;cf=kk&amp;pg=3&amp;ci=13", "Link")</f>
        <v/>
      </c>
      <c r="J444" s="6">
        <f>HYPERLINK("C:\Projects\Kleinanzeigen-Scraper\offer_images\421396", "Link")</f>
        <v/>
      </c>
      <c r="K444" t="inlineStr">
        <is>
          <t>Christoph Laux</t>
        </is>
      </c>
      <c r="L444" s="6">
        <f>HYPERLINK("https://www.dailydose.de/kleinanzeigen/user/6012", "Link")</f>
        <v/>
      </c>
      <c r="M444" s="7" t="n">
        <v>45536.9108449074</v>
      </c>
      <c r="N444" s="3" t="inlineStr">
        <is>
          <t>49.13</t>
        </is>
      </c>
      <c r="O444" t="inlineStr">
        <is>
          <t>Köln</t>
        </is>
      </c>
    </row>
    <row r="445">
      <c r="A445" t="inlineStr">
        <is>
          <t>Neilpryde XCS</t>
        </is>
      </c>
      <c r="B445" t="inlineStr">
        <is>
          <t>140-190</t>
        </is>
      </c>
      <c r="C445" t="inlineStr"/>
      <c r="D445" s="4" t="n">
        <v>420</v>
      </c>
      <c r="E445" t="inlineStr"/>
      <c r="F445" t="inlineStr">
        <is>
          <t>24118 Kiel</t>
        </is>
      </c>
      <c r="G445" s="5" t="n">
        <v>45506</v>
      </c>
      <c r="H445" t="inlineStr">
        <is>
          <t>Sold</t>
        </is>
      </c>
      <c r="I445" s="6">
        <f>HYPERLINK("https://www.dailydose.de/kleinanzeigen/detail.htm?ai=420330&amp;cf=kk&amp;pg=3&amp;ci=13", "Link")</f>
        <v/>
      </c>
      <c r="J445" s="6">
        <f>HYPERLINK("C:\Projects\Kleinanzeigen-Scraper\offer_images\420330", "Link")</f>
        <v/>
      </c>
      <c r="K445" t="inlineStr">
        <is>
          <t>leon der profi</t>
        </is>
      </c>
      <c r="L445" s="6">
        <f>HYPERLINK("https://www.dailydose.de/kleinanzeigen/user/14267", "Link")</f>
        <v/>
      </c>
      <c r="M445" s="7" t="n">
        <v>45536.91081018518</v>
      </c>
      <c r="N445" s="3" t="inlineStr">
        <is>
          <t>434.29</t>
        </is>
      </c>
      <c r="O445" t="inlineStr">
        <is>
          <t>Köln</t>
        </is>
      </c>
    </row>
    <row r="446">
      <c r="A446" t="inlineStr">
        <is>
          <t>Tiki</t>
        </is>
      </c>
      <c r="B446" t="inlineStr">
        <is>
          <t>120-170</t>
        </is>
      </c>
      <c r="C446" t="inlineStr"/>
      <c r="D446" s="4" t="n">
        <v>70</v>
      </c>
      <c r="E446" t="inlineStr"/>
      <c r="F446" t="inlineStr">
        <is>
          <t>50321 Brühl oder DK</t>
        </is>
      </c>
      <c r="G446" s="5" t="n">
        <v>45505</v>
      </c>
      <c r="H446" t="inlineStr"/>
      <c r="I446" s="6">
        <f>HYPERLINK("https://www.dailydose.de/kleinanzeigen/detail.htm?ai=420272&amp;cf=kk&amp;pg=4&amp;ci=13", "Link")</f>
        <v/>
      </c>
      <c r="J446" s="6">
        <f>HYPERLINK("C:\Projects\Kleinanzeigen-Scraper\offer_images\420272", "Link")</f>
        <v/>
      </c>
      <c r="K446" t="inlineStr">
        <is>
          <t>Bj_38</t>
        </is>
      </c>
      <c r="L446" s="6">
        <f>HYPERLINK("https://www.dailydose.de/kleinanzeigen/user/4926", "Link")</f>
        <v/>
      </c>
      <c r="M446" s="7" t="n">
        <v>45536.91077546297</v>
      </c>
      <c r="N446" s="3" t="inlineStr">
        <is>
          <t>14.26</t>
        </is>
      </c>
      <c r="O446" t="inlineStr">
        <is>
          <t>Köln</t>
        </is>
      </c>
    </row>
    <row r="447">
      <c r="A447" t="inlineStr">
        <is>
          <t>Prolimit RDG TCS</t>
        </is>
      </c>
      <c r="B447" t="inlineStr">
        <is>
          <t>135-195</t>
        </is>
      </c>
      <c r="C447" t="inlineStr"/>
      <c r="D447" s="4" t="n">
        <v>90</v>
      </c>
      <c r="E447" t="inlineStr">
        <is>
          <t>VB</t>
        </is>
      </c>
      <c r="F447" t="inlineStr">
        <is>
          <t>24105 Kiel</t>
        </is>
      </c>
      <c r="G447" s="5" t="n">
        <v>45442</v>
      </c>
      <c r="H447" t="inlineStr"/>
      <c r="I447" s="6">
        <f>HYPERLINK("https://www.dailydose.de/kleinanzeigen/detail.htm?ai=416980&amp;cf=kk&amp;pg=5&amp;ci=13", "Link")</f>
        <v/>
      </c>
      <c r="J447" s="6">
        <f>HYPERLINK("C:\Projects\Kleinanzeigen-Scraper\offer_images\416980", "Link")</f>
        <v/>
      </c>
      <c r="K447" t="inlineStr">
        <is>
          <t>Niklas_29</t>
        </is>
      </c>
      <c r="L447" s="6">
        <f>HYPERLINK("https://www.dailydose.de/kleinanzeigen/user/17415", "Link")</f>
        <v/>
      </c>
      <c r="M447" s="7" t="n">
        <v>45536.91077546297</v>
      </c>
      <c r="N447" s="3" t="inlineStr">
        <is>
          <t>435.05</t>
        </is>
      </c>
      <c r="O447" t="inlineStr">
        <is>
          <t>Köln</t>
        </is>
      </c>
    </row>
    <row r="448">
      <c r="A448" t="inlineStr">
        <is>
          <t>Gaastra Carbon</t>
        </is>
      </c>
      <c r="B448" t="inlineStr">
        <is>
          <t>160-210</t>
        </is>
      </c>
      <c r="C448" t="inlineStr"/>
      <c r="D448" s="4" t="n">
        <v>380</v>
      </c>
      <c r="E448" t="inlineStr"/>
      <c r="F448" t="inlineStr">
        <is>
          <t>12527 Berlin</t>
        </is>
      </c>
      <c r="G448" s="5" t="n">
        <v>45522</v>
      </c>
      <c r="H448" t="inlineStr">
        <is>
          <t>Sold</t>
        </is>
      </c>
      <c r="I448" s="6">
        <f>HYPERLINK("https://www.dailydose.de/kleinanzeigen/detail.htm?ai=421061&amp;cf=kk&amp;pg=2&amp;ci=13", "Link")</f>
        <v/>
      </c>
      <c r="J448" s="6">
        <f>HYPERLINK("C:\Projects\Kleinanzeigen-Scraper\offer_images\421061", "Link")</f>
        <v/>
      </c>
      <c r="K448" t="inlineStr">
        <is>
          <t>newt3</t>
        </is>
      </c>
      <c r="L448" s="6">
        <f>HYPERLINK("https://www.dailydose.de/kleinanzeigen/user/22148", "Link")</f>
        <v/>
      </c>
      <c r="M448" s="7" t="n">
        <v>45536.91074074074</v>
      </c>
      <c r="N448" s="3" t="inlineStr">
        <is>
          <t>487.71</t>
        </is>
      </c>
      <c r="O448" t="inlineStr">
        <is>
          <t>Köln</t>
        </is>
      </c>
    </row>
    <row r="449">
      <c r="A449" t="inlineStr">
        <is>
          <t>Chinook Carbon</t>
        </is>
      </c>
      <c r="B449" t="inlineStr">
        <is>
          <t>160-226</t>
        </is>
      </c>
      <c r="C449" t="inlineStr"/>
      <c r="D449" s="4" t="n">
        <v>399</v>
      </c>
      <c r="E449" t="inlineStr">
        <is>
          <t>VB</t>
        </is>
      </c>
      <c r="F449" t="inlineStr">
        <is>
          <t>22459 Hamburg</t>
        </is>
      </c>
      <c r="G449" s="5" t="n">
        <v>45489</v>
      </c>
      <c r="H449" t="inlineStr">
        <is>
          <t>Sold</t>
        </is>
      </c>
      <c r="I449" s="6">
        <f>HYPERLINK("https://www.dailydose.de/kleinanzeigen/detail.htm?ai=419503&amp;cf=kk&amp;pg=3&amp;ci=13", "Link")</f>
        <v/>
      </c>
      <c r="J449" s="6">
        <f>HYPERLINK("C:\Projects\Kleinanzeigen-Scraper\offer_images\419503", "Link")</f>
        <v/>
      </c>
      <c r="K449" t="inlineStr">
        <is>
          <t>O.Flöter</t>
        </is>
      </c>
      <c r="L449" s="6">
        <f>HYPERLINK("https://www.dailydose.de/kleinanzeigen/user/698", "Link")</f>
        <v/>
      </c>
      <c r="M449" s="7" t="n">
        <v>45536.91068287037</v>
      </c>
      <c r="N449" s="3" t="inlineStr">
        <is>
          <t>361.89</t>
        </is>
      </c>
      <c r="O449" t="inlineStr">
        <is>
          <t>Köln</t>
        </is>
      </c>
    </row>
    <row r="450">
      <c r="A450" t="inlineStr">
        <is>
          <t>North Sails</t>
        </is>
      </c>
      <c r="B450" t="inlineStr">
        <is>
          <t>160-210</t>
        </is>
      </c>
      <c r="C450" t="inlineStr"/>
      <c r="D450" s="4" t="n">
        <v>30</v>
      </c>
      <c r="E450" t="inlineStr"/>
      <c r="F450" t="inlineStr">
        <is>
          <t>06792 Sandersdorf</t>
        </is>
      </c>
      <c r="G450" s="5" t="n">
        <v>45535</v>
      </c>
      <c r="H450" t="inlineStr"/>
      <c r="I450" s="6">
        <f>HYPERLINK("https://www.dailydose.de/kleinanzeigen/detail.htm?ai=421853&amp;cf=kk&amp;pg=3&amp;ci=13", "Link")</f>
        <v/>
      </c>
      <c r="J450" s="6">
        <f>HYPERLINK("C:\Projects\Kleinanzeigen-Scraper\offer_images\421853", "Link")</f>
        <v/>
      </c>
      <c r="K450" t="inlineStr">
        <is>
          <t>MW</t>
        </is>
      </c>
      <c r="L450" s="6">
        <f>HYPERLINK("https://www.dailydose.de/kleinanzeigen/user/16138", "Link")</f>
        <v/>
      </c>
      <c r="M450" s="7" t="n">
        <v>45536.91068287037</v>
      </c>
      <c r="N450" s="3" t="inlineStr">
        <is>
          <t>376.49</t>
        </is>
      </c>
      <c r="O450" t="inlineStr">
        <is>
          <t>Köln</t>
        </is>
      </c>
    </row>
    <row r="451">
      <c r="A451" t="inlineStr">
        <is>
          <t>Gunsails Cross Boom</t>
        </is>
      </c>
      <c r="B451" t="inlineStr">
        <is>
          <t>140-190</t>
        </is>
      </c>
      <c r="C451" t="inlineStr"/>
      <c r="D451" s="4" t="n">
        <v>160</v>
      </c>
      <c r="E451" t="inlineStr">
        <is>
          <t>VB</t>
        </is>
      </c>
      <c r="F451" t="inlineStr">
        <is>
          <t>82041 Oberhaching</t>
        </is>
      </c>
      <c r="G451" s="5" t="n">
        <v>45536</v>
      </c>
      <c r="H451" t="inlineStr"/>
      <c r="I451" s="6">
        <f>HYPERLINK("https://www.dailydose.de/kleinanzeigen/detail.htm?ai=421904&amp;cf=kk&amp;pg=2&amp;ci=13", "Link")</f>
        <v/>
      </c>
      <c r="J451" s="6">
        <f>HYPERLINK("C:\Projects\Kleinanzeigen-Scraper\offer_images\421904", "Link")</f>
        <v/>
      </c>
      <c r="K451" t="inlineStr">
        <is>
          <t>nobennet123</t>
        </is>
      </c>
      <c r="L451" s="6">
        <f>HYPERLINK("https://www.dailydose.de/kleinanzeigen/user/26312", "Link")</f>
        <v/>
      </c>
      <c r="M451" s="7" t="n">
        <v>45536.91065972222</v>
      </c>
      <c r="N451" s="3" t="inlineStr">
        <is>
          <t>12.39</t>
        </is>
      </c>
      <c r="O451" t="inlineStr">
        <is>
          <t>München</t>
        </is>
      </c>
    </row>
    <row r="452">
      <c r="A452" t="inlineStr">
        <is>
          <t>GA Carbon</t>
        </is>
      </c>
      <c r="B452" t="inlineStr">
        <is>
          <t>250-300</t>
        </is>
      </c>
      <c r="C452" t="inlineStr"/>
      <c r="D452" s="4" t="n">
        <v>250</v>
      </c>
      <c r="E452" t="inlineStr"/>
      <c r="F452" t="inlineStr">
        <is>
          <t>24114 Kiel</t>
        </is>
      </c>
      <c r="G452" s="5" t="n">
        <v>45534</v>
      </c>
      <c r="H452" t="inlineStr"/>
      <c r="I452" s="6">
        <f>HYPERLINK("https://www.dailydose.de/kleinanzeigen/detail.htm?ai=421779&amp;cf=kk&amp;pg=3&amp;ci=13", "Link")</f>
        <v/>
      </c>
      <c r="J452" s="6">
        <f>HYPERLINK("C:\Projects\Kleinanzeigen-Scraper\offer_images\421779", "Link")</f>
        <v/>
      </c>
      <c r="K452" t="inlineStr">
        <is>
          <t>Marc_196</t>
        </is>
      </c>
      <c r="L452" s="6">
        <f>HYPERLINK("https://www.dailydose.de/kleinanzeigen/user/15317", "Link")</f>
        <v/>
      </c>
      <c r="M452" s="7" t="n">
        <v>45536.91064814815</v>
      </c>
      <c r="N452" s="3" t="inlineStr">
        <is>
          <t>431.59</t>
        </is>
      </c>
      <c r="O452" t="inlineStr">
        <is>
          <t>Köln</t>
        </is>
      </c>
    </row>
    <row r="453">
      <c r="A453" t="inlineStr">
        <is>
          <t>North Sails Silver HD</t>
        </is>
      </c>
      <c r="B453" t="inlineStr">
        <is>
          <t>200-250</t>
        </is>
      </c>
      <c r="C453" t="inlineStr"/>
      <c r="D453" s="4" t="n">
        <v>129</v>
      </c>
      <c r="E453" t="inlineStr">
        <is>
          <t>VB</t>
        </is>
      </c>
      <c r="F453" t="inlineStr">
        <is>
          <t>85716 Unterschleißheim</t>
        </is>
      </c>
      <c r="G453" s="5" t="n">
        <v>45497</v>
      </c>
      <c r="H453" t="inlineStr"/>
      <c r="I453" s="6">
        <f>HYPERLINK("https://www.dailydose.de/kleinanzeigen/detail.htm?ai=419908&amp;cf=kk&amp;pg=4&amp;ci=13", "Link")</f>
        <v/>
      </c>
      <c r="J453" s="6">
        <f>HYPERLINK("C:\Projects\Kleinanzeigen-Scraper\offer_images\419908", "Link")</f>
        <v/>
      </c>
      <c r="K453" t="inlineStr">
        <is>
          <t>deich</t>
        </is>
      </c>
      <c r="L453" s="6">
        <f>HYPERLINK("https://www.dailydose.de/kleinanzeigen/user/7015", "Link")</f>
        <v/>
      </c>
      <c r="M453" s="7" t="n">
        <v>45536.91059027778</v>
      </c>
      <c r="N453" s="3" t="inlineStr">
        <is>
          <t>16.25</t>
        </is>
      </c>
      <c r="O453" t="inlineStr">
        <is>
          <t>München</t>
        </is>
      </c>
    </row>
    <row r="454">
      <c r="A454" t="inlineStr">
        <is>
          <t>Point 7</t>
        </is>
      </c>
      <c r="B454" t="inlineStr">
        <is>
          <t>140-190</t>
        </is>
      </c>
      <c r="C454" t="inlineStr"/>
      <c r="D454" s="4" t="n">
        <v>75</v>
      </c>
      <c r="E454" t="inlineStr">
        <is>
          <t>VB</t>
        </is>
      </c>
      <c r="F454" t="inlineStr">
        <is>
          <t>24975 Schleswig-Holstein - Maasbüll</t>
        </is>
      </c>
      <c r="G454" s="5" t="n">
        <v>45526</v>
      </c>
      <c r="H454" t="inlineStr">
        <is>
          <t>Sold</t>
        </is>
      </c>
      <c r="I454" s="6">
        <f>HYPERLINK("https://www.kleinanzeigen.de/s-anzeige/surfgabel-alu-pro-140-190-point-7-windsurfen/2843721717-230-725", "Link")</f>
        <v/>
      </c>
      <c r="J454" s="6">
        <f>HYPERLINK("C:\Projects\Kleinanzeigen-Scraper\offer_images\2843721717", "Link")</f>
        <v/>
      </c>
      <c r="K454" t="inlineStr">
        <is>
          <t>Tom Swane</t>
        </is>
      </c>
      <c r="L454" s="6">
        <f>HYPERLINK("https://www.kleinanzeigen.de/s-bestandsliste.html?userId=8423221", "Link")</f>
        <v/>
      </c>
      <c r="M454" s="7" t="n">
        <v>45536.91046296297</v>
      </c>
      <c r="N454" s="3" t="inlineStr">
        <is>
          <t>458.46</t>
        </is>
      </c>
      <c r="O454" t="inlineStr">
        <is>
          <t>Köln</t>
        </is>
      </c>
    </row>
    <row r="455">
      <c r="A455" t="inlineStr"/>
      <c r="B455" t="inlineStr">
        <is>
          <t>140-215</t>
        </is>
      </c>
      <c r="C455" t="inlineStr"/>
      <c r="D455" s="4" t="n">
        <v>50</v>
      </c>
      <c r="E455" t="inlineStr"/>
      <c r="F455" t="inlineStr">
        <is>
          <t>66606 Saarland - St. Wendel</t>
        </is>
      </c>
      <c r="G455" s="5" t="n">
        <v>45536</v>
      </c>
      <c r="H455" t="inlineStr">
        <is>
          <t>Sold</t>
        </is>
      </c>
      <c r="I455" s="6">
        <f>HYPERLINK("https://www.kleinanzeigen.de/s-anzeige/windsurfen-gabelbaeume/2851466137-230-316", "Link")</f>
        <v/>
      </c>
      <c r="J455" s="6">
        <f>HYPERLINK("C:\Projects\Kleinanzeigen-Scraper\offer_images\2851466137", "Link")</f>
        <v/>
      </c>
      <c r="K455" t="inlineStr">
        <is>
          <t>Frank</t>
        </is>
      </c>
      <c r="L455" s="6">
        <f>HYPERLINK("https://www.kleinanzeigen.de/s-bestandsliste.html?userId=2001185", "Link")</f>
        <v/>
      </c>
      <c r="M455" s="7" t="n">
        <v>45536.91046296297</v>
      </c>
      <c r="N455" s="3" t="inlineStr">
        <is>
          <t>102.07</t>
        </is>
      </c>
      <c r="O455" t="inlineStr">
        <is>
          <t>Karlsruhe</t>
        </is>
      </c>
    </row>
    <row r="456">
      <c r="A456" t="inlineStr">
        <is>
          <t>Gunsails Cross</t>
        </is>
      </c>
      <c r="B456" t="inlineStr">
        <is>
          <t>150-200</t>
        </is>
      </c>
      <c r="C456" t="inlineStr"/>
      <c r="D456" s="4" t="n">
        <v>120</v>
      </c>
      <c r="E456" t="inlineStr">
        <is>
          <t>VB</t>
        </is>
      </c>
      <c r="F456" t="inlineStr">
        <is>
          <t>88213 Baden-Württemberg - Ravensburg</t>
        </is>
      </c>
      <c r="G456" s="5" t="n">
        <v>45529</v>
      </c>
      <c r="H456" t="inlineStr">
        <is>
          <t>Sold</t>
        </is>
      </c>
      <c r="I456" s="6">
        <f>HYPERLINK("https://www.kleinanzeigen.de/s-anzeige/gunsails-cross-gabelbaum-150-200cm-windsurfen/2846043804-230-9222", "Link")</f>
        <v/>
      </c>
      <c r="J456" s="6">
        <f>HYPERLINK("C:\Projects\Kleinanzeigen-Scraper\offer_images\2846043804", "Link")</f>
        <v/>
      </c>
      <c r="K456" t="inlineStr">
        <is>
          <t>Dominik klaes</t>
        </is>
      </c>
      <c r="L456" s="6">
        <f>HYPERLINK("https://www.kleinanzeigen.de/s-bestandsliste.html?userId=56376183", "Link")</f>
        <v/>
      </c>
      <c r="M456" s="7" t="n">
        <v>45536.91045138889</v>
      </c>
      <c r="N456" s="3" t="inlineStr">
        <is>
          <t>90.52</t>
        </is>
      </c>
      <c r="O456" t="inlineStr">
        <is>
          <t>Bonndorf</t>
        </is>
      </c>
    </row>
    <row r="457">
      <c r="A457" t="inlineStr"/>
      <c r="B457" t="inlineStr"/>
      <c r="C457" t="inlineStr"/>
      <c r="D457" s="4" t="n">
        <v>20</v>
      </c>
      <c r="E457" t="inlineStr"/>
      <c r="F457" t="inlineStr">
        <is>
          <t>22303 Hamburg-Nord - Hamburg Winterhude</t>
        </is>
      </c>
      <c r="G457" s="5" t="n">
        <v>45535</v>
      </c>
      <c r="H457" t="inlineStr">
        <is>
          <t>Sold</t>
        </is>
      </c>
      <c r="I457" s="6">
        <f>HYPERLINK("https://www.kleinanzeigen.de/s-anzeige/gabelbaum-windsurfen/2851099460-230-9482", "Link")</f>
        <v/>
      </c>
      <c r="J457" s="6">
        <f>HYPERLINK("C:\Projects\Kleinanzeigen-Scraper\offer_images\2851099460", "Link")</f>
        <v/>
      </c>
      <c r="K457" t="inlineStr">
        <is>
          <t>Daniel</t>
        </is>
      </c>
      <c r="L457" s="6">
        <f>HYPERLINK("https://www.kleinanzeigen.de/s-bestandsliste.html?userId=33396736", "Link")</f>
        <v/>
      </c>
      <c r="M457" s="7" t="n">
        <v>45536.91043981481</v>
      </c>
      <c r="N457" s="3" t="inlineStr">
        <is>
          <t>361.45</t>
        </is>
      </c>
      <c r="O457" t="inlineStr">
        <is>
          <t>Köln</t>
        </is>
      </c>
    </row>
    <row r="458">
      <c r="A458" t="inlineStr">
        <is>
          <t>Nautix</t>
        </is>
      </c>
      <c r="B458" t="inlineStr">
        <is>
          <t>180-220</t>
        </is>
      </c>
      <c r="C458" t="inlineStr"/>
      <c r="D458" s="4" t="n">
        <v>50</v>
      </c>
      <c r="E458" t="inlineStr">
        <is>
          <t>VB</t>
        </is>
      </c>
      <c r="F458" t="inlineStr">
        <is>
          <t>01454 Sachsen - Radeberg</t>
        </is>
      </c>
      <c r="G458" s="5" t="n">
        <v>45527</v>
      </c>
      <c r="H458" t="inlineStr">
        <is>
          <t>Sold</t>
        </is>
      </c>
      <c r="I458" s="6">
        <f>HYPERLINK("https://www.kleinanzeigen.de/s-anzeige/gabelbaum-windsurfen-1-80-2-20-m/2843975484-230-4132", "Link")</f>
        <v/>
      </c>
      <c r="J458" s="6">
        <f>HYPERLINK("C:\Projects\Kleinanzeigen-Scraper\offer_images\2843975484", "Link")</f>
        <v/>
      </c>
      <c r="K458" t="inlineStr">
        <is>
          <t>Eberth</t>
        </is>
      </c>
      <c r="L458" s="6">
        <f>HYPERLINK("https://www.kleinanzeigen.de/s-bestandsliste.html?userId=1560613", "Link")</f>
        <v/>
      </c>
      <c r="M458" s="7" t="n">
        <v>45536.91042824074</v>
      </c>
      <c r="N458" s="3" t="inlineStr">
        <is>
          <t>373.94</t>
        </is>
      </c>
      <c r="O458" t="inlineStr">
        <is>
          <t>München</t>
        </is>
      </c>
    </row>
    <row r="459">
      <c r="A459" t="inlineStr">
        <is>
          <t>Prolimit Freemove</t>
        </is>
      </c>
      <c r="B459" t="inlineStr">
        <is>
          <t>165-222</t>
        </is>
      </c>
      <c r="C459" t="inlineStr"/>
      <c r="D459" s="4" t="n">
        <v>45</v>
      </c>
      <c r="E459" t="inlineStr"/>
      <c r="F459" t="inlineStr">
        <is>
          <t>47665 Nordrhein-Westfalen - Sonsbeck</t>
        </is>
      </c>
      <c r="G459" s="5" t="n">
        <v>45531</v>
      </c>
      <c r="H459" t="inlineStr">
        <is>
          <t>Sold</t>
        </is>
      </c>
      <c r="I459" s="6">
        <f>HYPERLINK("https://www.kleinanzeigen.de/s-anzeige/windsurf-gabelbaum-165-222-prolimit-freemove/2847718305-230-1404", "Link")</f>
        <v/>
      </c>
      <c r="J459" s="6">
        <f>HYPERLINK("C:\Projects\Kleinanzeigen-Scraper\offer_images\2847718305", "Link")</f>
        <v/>
      </c>
      <c r="K459" t="inlineStr">
        <is>
          <t>Volker Müller</t>
        </is>
      </c>
      <c r="L459" s="6">
        <f>HYPERLINK("https://www.kleinanzeigen.de/s-bestandsliste.html?userId=21982574", "Link")</f>
        <v/>
      </c>
      <c r="M459" s="7" t="n">
        <v>45536.91041666667</v>
      </c>
      <c r="N459" s="3" t="inlineStr">
        <is>
          <t>86.26</t>
        </is>
      </c>
      <c r="O459" t="inlineStr">
        <is>
          <t>Köln</t>
        </is>
      </c>
    </row>
    <row r="460">
      <c r="A460" t="inlineStr"/>
      <c r="B460" t="inlineStr">
        <is>
          <t>170</t>
        </is>
      </c>
      <c r="C460" t="inlineStr"/>
      <c r="D460" s="4" t="n">
        <v>10</v>
      </c>
      <c r="E460" t="inlineStr"/>
      <c r="F460" t="inlineStr">
        <is>
          <t>81369 München - Sendling</t>
        </is>
      </c>
      <c r="G460" s="5" t="n">
        <v>45531</v>
      </c>
      <c r="H460" t="inlineStr">
        <is>
          <t>Sold</t>
        </is>
      </c>
      <c r="I460" s="6">
        <f>HYPERLINK("https://www.kleinanzeigen.de/s-anzeige/gabelbaum-windsurfen-170cm/2847959110-230-16382", "Link")</f>
        <v/>
      </c>
      <c r="J460" s="6">
        <f>HYPERLINK("C:\Projects\Kleinanzeigen-Scraper\offer_images\2847959110", "Link")</f>
        <v/>
      </c>
      <c r="K460" t="inlineStr">
        <is>
          <t>Moritz von Unold</t>
        </is>
      </c>
      <c r="L460" s="6">
        <f>HYPERLINK("https://www.kleinanzeigen.de/s-bestandsliste.html?userId=24552406", "Link")</f>
        <v/>
      </c>
      <c r="M460" s="7" t="n">
        <v>45536.91039351852</v>
      </c>
      <c r="N460" s="3" t="inlineStr">
        <is>
          <t>4.53</t>
        </is>
      </c>
      <c r="O460" t="inlineStr">
        <is>
          <t>München</t>
        </is>
      </c>
    </row>
    <row r="461">
      <c r="A461" t="inlineStr">
        <is>
          <t>Rushwind Freebone</t>
        </is>
      </c>
      <c r="B461" t="inlineStr">
        <is>
          <t>140-190</t>
        </is>
      </c>
      <c r="C461" t="inlineStr"/>
      <c r="D461" s="4" t="n">
        <v>20</v>
      </c>
      <c r="E461" t="inlineStr"/>
      <c r="F461" t="inlineStr">
        <is>
          <t>24232 Schleswig-Holstein - Schönkirchen</t>
        </is>
      </c>
      <c r="G461" s="5" t="n">
        <v>45536</v>
      </c>
      <c r="H461" t="inlineStr">
        <is>
          <t>Sold</t>
        </is>
      </c>
      <c r="I461" s="6">
        <f>HYPERLINK("https://www.kleinanzeigen.de/s-anzeige/rushwind-freebone-140-190-gabelbaum-boom-windsurfen/2851359293-230-667", "Link")</f>
        <v/>
      </c>
      <c r="J461" s="6">
        <f>HYPERLINK("C:\Projects\Kleinanzeigen-Scraper\offer_images\2851359293", "Link")</f>
        <v/>
      </c>
      <c r="K461" t="inlineStr">
        <is>
          <t>Privater Anbieter</t>
        </is>
      </c>
      <c r="L461" s="6">
        <f>HYPERLINK("https://www.kleinanzeigen.de/s-bestandsliste.html?userId=12917490", "Link")</f>
        <v/>
      </c>
      <c r="M461" s="7" t="n">
        <v>45536.91038194444</v>
      </c>
      <c r="N461" s="3" t="inlineStr">
        <is>
          <t>437.64</t>
        </is>
      </c>
      <c r="O461" t="inlineStr">
        <is>
          <t>Köln</t>
        </is>
      </c>
    </row>
    <row r="462">
      <c r="A462" t="inlineStr"/>
      <c r="B462" t="inlineStr">
        <is>
          <t>165-215</t>
        </is>
      </c>
      <c r="C462" t="inlineStr"/>
      <c r="D462" s="4" t="n">
        <v>10</v>
      </c>
      <c r="E462" t="inlineStr"/>
      <c r="F462" t="inlineStr">
        <is>
          <t>44795 Bochum - Bochum-Südwest</t>
        </is>
      </c>
      <c r="G462" s="5" t="n">
        <v>45533</v>
      </c>
      <c r="H462" t="inlineStr">
        <is>
          <t>Sold</t>
        </is>
      </c>
      <c r="I462" s="6">
        <f>HYPERLINK("https://www.kleinanzeigen.de/s-anzeige/gabelbaum-windsurfen-165-215-cm/2849250189-230-1944", "Link")</f>
        <v/>
      </c>
      <c r="J462" s="6">
        <f>HYPERLINK("C:\Projects\Kleinanzeigen-Scraper\offer_images\2849250189", "Link")</f>
        <v/>
      </c>
      <c r="K462" t="inlineStr">
        <is>
          <t>Ich</t>
        </is>
      </c>
      <c r="L462" s="6">
        <f>HYPERLINK("https://www.kleinanzeigen.de/s-bestandsliste.html?userId=5296831", "Link")</f>
        <v/>
      </c>
      <c r="M462" s="7" t="n">
        <v>45536.91024305556</v>
      </c>
      <c r="N462" s="3" t="inlineStr">
        <is>
          <t>59.22</t>
        </is>
      </c>
      <c r="O462" t="inlineStr">
        <is>
          <t>Köln</t>
        </is>
      </c>
    </row>
    <row r="463">
      <c r="A463" t="inlineStr">
        <is>
          <t>Neilpryde X6</t>
        </is>
      </c>
      <c r="B463" t="inlineStr"/>
      <c r="C463" t="inlineStr"/>
      <c r="D463" s="4" t="inlineStr">
        <is>
          <t>Zu verschenken</t>
        </is>
      </c>
      <c r="E463" t="inlineStr"/>
      <c r="F463" t="inlineStr">
        <is>
          <t>31226 Niedersachsen - Peine</t>
        </is>
      </c>
      <c r="G463" s="5" t="n">
        <v>45536</v>
      </c>
      <c r="H463" t="inlineStr">
        <is>
          <t>Sold</t>
        </is>
      </c>
      <c r="I463" s="6">
        <f>HYPERLINK("https://www.kleinanzeigen.de/s-anzeige/neilpryde-x6-ersatzteile-windsurf-gabelbaum-boom/2852079858-230-2674", "Link")</f>
        <v/>
      </c>
      <c r="J463" s="6">
        <f>HYPERLINK("C:\Projects\Kleinanzeigen-Scraper\offer_images\2852079858", "Link")</f>
        <v/>
      </c>
      <c r="K463" t="inlineStr">
        <is>
          <t>Lars</t>
        </is>
      </c>
      <c r="L463" s="6">
        <f>HYPERLINK("https://www.kleinanzeigen.de/s-bestandsliste.html?userId=9937026", "Link")</f>
        <v/>
      </c>
      <c r="M463" s="7" t="n">
        <v>45536.91017361111</v>
      </c>
      <c r="N463" s="3" t="inlineStr">
        <is>
          <t>268.90</t>
        </is>
      </c>
      <c r="O463" t="inlineStr">
        <is>
          <t>Köln</t>
        </is>
      </c>
    </row>
    <row r="464">
      <c r="A464" t="inlineStr">
        <is>
          <t>GUNSAIL Advantage</t>
        </is>
      </c>
      <c r="B464" t="inlineStr">
        <is>
          <t>180-230</t>
        </is>
      </c>
      <c r="C464" t="inlineStr"/>
      <c r="D464" s="4" t="n">
        <v>55</v>
      </c>
      <c r="E464" t="inlineStr"/>
      <c r="F464" t="inlineStr">
        <is>
          <t>18445 Mecklenburg-Vorpommern - Klausdorf</t>
        </is>
      </c>
      <c r="G464" s="5" t="n">
        <v>45556</v>
      </c>
      <c r="H464" t="inlineStr"/>
      <c r="I464" s="6">
        <f>HYPERLINK("https://www.kleinanzeigen.de/s-anzeige/windsurf-gabelbaum-gunsail-advantage-180-230/2825474706-230-26176", "Link")</f>
        <v/>
      </c>
      <c r="J464" s="6">
        <f>HYPERLINK("C:\Projects\Kleinanzeigen-Scraper\offer_images\2825474706", "Link")</f>
        <v/>
      </c>
      <c r="K464" t="inlineStr">
        <is>
          <t>Frank Goetze</t>
        </is>
      </c>
      <c r="L464" s="6">
        <f>HYPERLINK("https://www.kleinanzeigen.de/s-bestandsliste.html?userId=42255991", "Link")</f>
        <v/>
      </c>
      <c r="M464" s="7" t="n">
        <v>45536.91016203703</v>
      </c>
      <c r="N464" s="3" t="inlineStr">
        <is>
          <t>559.35</t>
        </is>
      </c>
      <c r="O464" t="inlineStr">
        <is>
          <t>Köln</t>
        </is>
      </c>
    </row>
    <row r="465">
      <c r="A465" t="inlineStr">
        <is>
          <t>BIC</t>
        </is>
      </c>
      <c r="B465" t="inlineStr"/>
      <c r="C465" t="inlineStr"/>
      <c r="D465" s="4" t="n">
        <v>20</v>
      </c>
      <c r="E465" t="inlineStr">
        <is>
          <t>VB</t>
        </is>
      </c>
      <c r="F465" t="inlineStr">
        <is>
          <t>34414 Nordrhein-Westfalen - Warburg</t>
        </is>
      </c>
      <c r="G465" s="5" t="n">
        <v>45527</v>
      </c>
      <c r="H465" t="inlineStr">
        <is>
          <t>Sold</t>
        </is>
      </c>
      <c r="I465" s="6">
        <f>HYPERLINK("https://www.kleinanzeigen.de/s-anzeige/gabelbaum-bic-windsurfen-windsurfrig/2844157240-230-1164", "Link")</f>
        <v/>
      </c>
      <c r="J465" s="6">
        <f>HYPERLINK("C:\Projects\Kleinanzeigen-Scraper\offer_images\2844157240", "Link")</f>
        <v/>
      </c>
      <c r="K465" t="inlineStr">
        <is>
          <t>Jonas Laudage-Fleckner</t>
        </is>
      </c>
      <c r="L465" s="6">
        <f>HYPERLINK("https://www.kleinanzeigen.de/s-bestandsliste.html?userId=26345913", "Link")</f>
        <v/>
      </c>
      <c r="M465" s="7" t="n">
        <v>45536.91013888889</v>
      </c>
      <c r="N465" s="3" t="inlineStr">
        <is>
          <t>162.99</t>
        </is>
      </c>
      <c r="O465" t="inlineStr">
        <is>
          <t>Köln</t>
        </is>
      </c>
    </row>
    <row r="466">
      <c r="A466" t="inlineStr">
        <is>
          <t>North</t>
        </is>
      </c>
      <c r="B466" t="inlineStr">
        <is>
          <t>150-200</t>
        </is>
      </c>
      <c r="C466" t="inlineStr"/>
      <c r="D466" s="4" t="n">
        <v>35</v>
      </c>
      <c r="E466" t="inlineStr"/>
      <c r="F466" t="inlineStr">
        <is>
          <t>07318 Thüringen - Saalfeld (Saale)</t>
        </is>
      </c>
      <c r="G466" s="5" t="n">
        <v>45535</v>
      </c>
      <c r="H466" t="inlineStr">
        <is>
          <t>Sold</t>
        </is>
      </c>
      <c r="I466" s="6">
        <f>HYPERLINK("https://www.kleinanzeigen.de/s-anzeige/north-gabelbaum-windsurfen-150-200/2850478915-230-3660", "Link")</f>
        <v/>
      </c>
      <c r="J466" s="6">
        <f>HYPERLINK("C:\Projects\Kleinanzeigen-Scraper\offer_images\2850478915", "Link")</f>
        <v/>
      </c>
      <c r="K466" t="inlineStr">
        <is>
          <t>Michaela Bayer</t>
        </is>
      </c>
      <c r="L466" s="6">
        <f>HYPERLINK("https://www.kleinanzeigen.de/s-bestandsliste.html?userId=28120050", "Link")</f>
        <v/>
      </c>
      <c r="M466" s="7" t="n">
        <v>45536.91008101852</v>
      </c>
      <c r="N466" s="3" t="inlineStr">
        <is>
          <t>277.19</t>
        </is>
      </c>
      <c r="O466" t="inlineStr">
        <is>
          <t>Böblingen</t>
        </is>
      </c>
    </row>
    <row r="467">
      <c r="A467" t="inlineStr">
        <is>
          <t>Naish Ripper</t>
        </is>
      </c>
      <c r="B467" t="inlineStr">
        <is>
          <t>110-160</t>
        </is>
      </c>
      <c r="C467" t="inlineStr"/>
      <c r="D467" s="4" t="n">
        <v>50</v>
      </c>
      <c r="E467" t="inlineStr">
        <is>
          <t>VB</t>
        </is>
      </c>
      <c r="F467" t="inlineStr">
        <is>
          <t>81929 München - Bogenhausen</t>
        </is>
      </c>
      <c r="G467" s="5" t="n">
        <v>45527</v>
      </c>
      <c r="H467" t="inlineStr">
        <is>
          <t>Sold</t>
        </is>
      </c>
      <c r="I467" s="6">
        <f>HYPERLINK("https://www.kleinanzeigen.de/s-anzeige/gabelbaum-windsurf-kinder-naish-ripper/2844005131-230-6526", "Link")</f>
        <v/>
      </c>
      <c r="J467" s="6">
        <f>HYPERLINK("C:\Projects\Kleinanzeigen-Scraper\offer_images\2844005131", "Link")</f>
        <v/>
      </c>
      <c r="K467" t="inlineStr">
        <is>
          <t>Michael Rathgeber</t>
        </is>
      </c>
      <c r="L467" s="6">
        <f>HYPERLINK("https://www.kleinanzeigen.de/s-bestandsliste.html?userId=18266806", "Link")</f>
        <v/>
      </c>
      <c r="M467" s="7" t="n">
        <v>45536.91001157407</v>
      </c>
      <c r="N467" s="3" t="inlineStr">
        <is>
          <t>6.89</t>
        </is>
      </c>
      <c r="O467" t="inlineStr">
        <is>
          <t>München</t>
        </is>
      </c>
    </row>
    <row r="468">
      <c r="A468" t="inlineStr">
        <is>
          <t>North Sails</t>
        </is>
      </c>
      <c r="B468" t="inlineStr">
        <is>
          <t>165-215</t>
        </is>
      </c>
      <c r="C468" t="inlineStr"/>
      <c r="D468" s="4" t="n">
        <v>30</v>
      </c>
      <c r="E468" t="inlineStr"/>
      <c r="F468" t="inlineStr">
        <is>
          <t>82131 Bayern - Gauting</t>
        </is>
      </c>
      <c r="G468" s="5" t="n">
        <v>45536</v>
      </c>
      <c r="H468" t="inlineStr">
        <is>
          <t>Sold</t>
        </is>
      </c>
      <c r="I468" s="6">
        <f>HYPERLINK("https://www.kleinanzeigen.de/s-anzeige/north-sails-gabelbaum-windsurf/2852090958-230-6334", "Link")</f>
        <v/>
      </c>
      <c r="J468" s="6">
        <f>HYPERLINK("C:\Projects\Kleinanzeigen-Scraper\offer_images\2852090958", "Link")</f>
        <v/>
      </c>
      <c r="K468" t="inlineStr">
        <is>
          <t>Florian Bauer</t>
        </is>
      </c>
      <c r="L468" s="6">
        <f>HYPERLINK("https://www.kleinanzeigen.de/s-bestandsliste.html?userId=33791003", "Link")</f>
        <v/>
      </c>
      <c r="M468" s="7" t="n">
        <v>45536.91001157407</v>
      </c>
      <c r="N468" s="3" t="inlineStr">
        <is>
          <t>16.76</t>
        </is>
      </c>
      <c r="O468" t="inlineStr">
        <is>
          <t>München</t>
        </is>
      </c>
    </row>
    <row r="469">
      <c r="A469" t="inlineStr">
        <is>
          <t>Neilpryde</t>
        </is>
      </c>
      <c r="B469" t="inlineStr"/>
      <c r="C469" t="inlineStr"/>
      <c r="D469" s="4" t="n">
        <v>15</v>
      </c>
      <c r="E469" t="inlineStr">
        <is>
          <t>VB</t>
        </is>
      </c>
      <c r="F469" t="inlineStr">
        <is>
          <t>34414 Nordrhein-Westfalen - Warburg</t>
        </is>
      </c>
      <c r="G469" s="5" t="n">
        <v>45527</v>
      </c>
      <c r="H469" t="inlineStr"/>
      <c r="I469" s="6">
        <f>HYPERLINK("https://www.kleinanzeigen.de/s-anzeige/gabelbaum-neilpryde-windsurfen-windsurfrig/2844158878-230-1164", "Link")</f>
        <v/>
      </c>
      <c r="J469" s="6">
        <f>HYPERLINK("C:\Projects\Kleinanzeigen-Scraper\offer_images\2844158878", "Link")</f>
        <v/>
      </c>
      <c r="K469" t="inlineStr">
        <is>
          <t>Jonas Laudage-Fleckner</t>
        </is>
      </c>
      <c r="L469" s="6">
        <f>HYPERLINK("https://www.kleinanzeigen.de/s-bestandsliste.html?userId=26345913", "Link")</f>
        <v/>
      </c>
      <c r="M469" s="7" t="n">
        <v>45536.90996527778</v>
      </c>
      <c r="N469" s="3" t="inlineStr">
        <is>
          <t>162.99</t>
        </is>
      </c>
      <c r="O469" t="inlineStr">
        <is>
          <t>Köln</t>
        </is>
      </c>
    </row>
    <row r="470">
      <c r="A470" t="inlineStr">
        <is>
          <t>Unifiber</t>
        </is>
      </c>
      <c r="B470" t="inlineStr">
        <is>
          <t>140-190</t>
        </is>
      </c>
      <c r="C470" t="inlineStr"/>
      <c r="D470" s="4" t="n">
        <v>85</v>
      </c>
      <c r="E470" t="inlineStr">
        <is>
          <t>VB</t>
        </is>
      </c>
      <c r="F470" t="inlineStr">
        <is>
          <t>83629 Bayern - Weyarn</t>
        </is>
      </c>
      <c r="G470" s="5" t="n">
        <v>45535</v>
      </c>
      <c r="H470" t="inlineStr">
        <is>
          <t>Sold</t>
        </is>
      </c>
      <c r="I470" s="6">
        <f>HYPERLINK("https://www.kleinanzeigen.de/s-anzeige/gabelbaum-windsurfen-unifiber-140-190-cm-alu-duenn/2850782597-230-5899", "Link")</f>
        <v/>
      </c>
      <c r="J470" s="6">
        <f>HYPERLINK("C:\Projects\Kleinanzeigen-Scraper\offer_images\2850782597", "Link")</f>
        <v/>
      </c>
      <c r="K470" t="inlineStr">
        <is>
          <t>Matthias Suttner</t>
        </is>
      </c>
      <c r="L470" s="6">
        <f>HYPERLINK("https://www.kleinanzeigen.de/s-bestandsliste.html?userId=6793008", "Link")</f>
        <v/>
      </c>
      <c r="M470" s="7" t="n">
        <v>45536.90994212963</v>
      </c>
      <c r="N470" s="3" t="inlineStr">
        <is>
          <t>36.36</t>
        </is>
      </c>
      <c r="O470" t="inlineStr">
        <is>
          <t>München</t>
        </is>
      </c>
    </row>
    <row r="471">
      <c r="A471" t="inlineStr">
        <is>
          <t>Northsails</t>
        </is>
      </c>
      <c r="B471" t="inlineStr">
        <is>
          <t>180-230</t>
        </is>
      </c>
      <c r="C471" t="inlineStr"/>
      <c r="D471" s="4" t="n">
        <v>80</v>
      </c>
      <c r="E471" t="inlineStr"/>
      <c r="F471" t="inlineStr">
        <is>
          <t>85586 Bayern - Poing</t>
        </is>
      </c>
      <c r="G471" s="5" t="n">
        <v>45536</v>
      </c>
      <c r="H471" t="inlineStr">
        <is>
          <t>Sold</t>
        </is>
      </c>
      <c r="I471" s="6">
        <f>HYPERLINK("https://www.kleinanzeigen.de/s-anzeige/windsurf-gabelbaum-northsails-180-230-cm/2851177128-230-5579", "Link")</f>
        <v/>
      </c>
      <c r="J471" s="6">
        <f>HYPERLINK("C:\Projects\Kleinanzeigen-Scraper\offer_images\2851177128", "Link")</f>
        <v/>
      </c>
      <c r="K471" t="inlineStr">
        <is>
          <t>Lars</t>
        </is>
      </c>
      <c r="L471" s="6">
        <f>HYPERLINK("https://www.kleinanzeigen.de/s-bestandsliste.html?userId=84093014", "Link")</f>
        <v/>
      </c>
      <c r="M471" s="7" t="n">
        <v>45536.90994212963</v>
      </c>
      <c r="N471" s="3" t="inlineStr">
        <is>
          <t>17.56</t>
        </is>
      </c>
      <c r="O471" t="inlineStr">
        <is>
          <t>München</t>
        </is>
      </c>
    </row>
    <row r="472">
      <c r="A472" t="inlineStr">
        <is>
          <t>Severne</t>
        </is>
      </c>
      <c r="B472" t="inlineStr">
        <is>
          <t>160-210</t>
        </is>
      </c>
      <c r="C472" t="inlineStr"/>
      <c r="D472" s="4" t="n">
        <v>190</v>
      </c>
      <c r="E472" t="inlineStr"/>
      <c r="F472" t="inlineStr">
        <is>
          <t>38477 Niedersachsen - Jembke</t>
        </is>
      </c>
      <c r="G472" s="5" t="n">
        <v>45529</v>
      </c>
      <c r="H472" t="inlineStr"/>
      <c r="I472" s="6">
        <f>HYPERLINK("https://www.kleinanzeigen.de/s-anzeige/windsurfen-severne-metal-gabelbaum-160cm-210cm-/2846215559-230-3088", "Link")</f>
        <v/>
      </c>
      <c r="J472" s="6">
        <f>HYPERLINK("C:\Projects\Kleinanzeigen-Scraper\offer_images\2846215559", "Link")</f>
        <v/>
      </c>
      <c r="K472" t="inlineStr">
        <is>
          <t>Holger</t>
        </is>
      </c>
      <c r="L472" s="6">
        <f>HYPERLINK("https://www.kleinanzeigen.de/s-bestandsliste.html?userId=57318661", "Link")</f>
        <v/>
      </c>
      <c r="M472" s="7" t="n">
        <v>45536.90994212963</v>
      </c>
      <c r="N472" s="3" t="inlineStr">
        <is>
          <t>314.62</t>
        </is>
      </c>
      <c r="O472" t="inlineStr">
        <is>
          <t>Köln</t>
        </is>
      </c>
    </row>
    <row r="473">
      <c r="A473" t="inlineStr">
        <is>
          <t>Gunsails</t>
        </is>
      </c>
      <c r="B473" t="inlineStr">
        <is>
          <t>160-180</t>
        </is>
      </c>
      <c r="C473" t="inlineStr"/>
      <c r="D473" s="4" t="n">
        <v>40</v>
      </c>
      <c r="E473" t="inlineStr">
        <is>
          <t>VB</t>
        </is>
      </c>
      <c r="F473" t="inlineStr">
        <is>
          <t>13503 Berlin - Reinickendorf</t>
        </is>
      </c>
      <c r="G473" s="5" t="n">
        <v>45535</v>
      </c>
      <c r="H473" t="inlineStr">
        <is>
          <t>Sold</t>
        </is>
      </c>
      <c r="I473" s="6">
        <f>HYPERLINK("https://www.kleinanzeigen.de/s-anzeige/windsurf-gabelbaum/2850548792-230-3451", "Link")</f>
        <v/>
      </c>
      <c r="J473" s="6">
        <f>HYPERLINK("C:\Projects\Kleinanzeigen-Scraper\offer_images\2850548792", "Link")</f>
        <v/>
      </c>
      <c r="K473" t="inlineStr">
        <is>
          <t>Martina Krautwedel</t>
        </is>
      </c>
      <c r="L473" s="6">
        <f>HYPERLINK("https://www.kleinanzeigen.de/s-bestandsliste.html?userId=13110069", "Link")</f>
        <v/>
      </c>
      <c r="M473" s="7" t="n">
        <v>45536.90987268519</v>
      </c>
      <c r="N473" s="3" t="inlineStr">
        <is>
          <t>470.67</t>
        </is>
      </c>
      <c r="O473" t="inlineStr">
        <is>
          <t>Köln</t>
        </is>
      </c>
    </row>
    <row r="474">
      <c r="A474" t="inlineStr">
        <is>
          <t>Prolimit</t>
        </is>
      </c>
      <c r="B474" t="inlineStr">
        <is>
          <t>200-260</t>
        </is>
      </c>
      <c r="C474" t="inlineStr"/>
      <c r="D474" s="4" t="n">
        <v>75</v>
      </c>
      <c r="E474" t="inlineStr">
        <is>
          <t>VB</t>
        </is>
      </c>
      <c r="F474" t="inlineStr">
        <is>
          <t>22397 Wandsbek - Hamburg Lemsahl-Mellingstedt</t>
        </is>
      </c>
      <c r="G474" s="5" t="n">
        <v>45536</v>
      </c>
      <c r="H474" t="inlineStr">
        <is>
          <t>Sold</t>
        </is>
      </c>
      <c r="I474" s="6">
        <f>HYPERLINK("https://www.kleinanzeigen.de/s-anzeige/gabelbaum-windsurfen-prolimit-200-260/2851597884-230-21154", "Link")</f>
        <v/>
      </c>
      <c r="J474" s="6">
        <f>HYPERLINK("C:\Projects\Kleinanzeigen-Scraper\offer_images\2851597884", "Link")</f>
        <v/>
      </c>
      <c r="K474" t="inlineStr">
        <is>
          <t>Tomforde</t>
        </is>
      </c>
      <c r="L474" s="6">
        <f>HYPERLINK("https://www.kleinanzeigen.de/s-bestandsliste.html?userId=28665098", "Link")</f>
        <v/>
      </c>
      <c r="M474" s="7" t="n">
        <v>45536.90986111111</v>
      </c>
      <c r="N474" s="3" t="inlineStr">
        <is>
          <t>373.25</t>
        </is>
      </c>
      <c r="O474" t="inlineStr">
        <is>
          <t>Köln</t>
        </is>
      </c>
    </row>
    <row r="475">
      <c r="A475" t="inlineStr">
        <is>
          <t>Neil Pryde Duogrip Race</t>
        </is>
      </c>
      <c r="B475" t="inlineStr">
        <is>
          <t>160-200</t>
        </is>
      </c>
      <c r="C475" t="inlineStr"/>
      <c r="D475" s="4" t="n">
        <v>23</v>
      </c>
      <c r="E475" t="inlineStr"/>
      <c r="F475" t="inlineStr">
        <is>
          <t>58332 Nordrhein-Westfalen - Schwelm</t>
        </is>
      </c>
      <c r="G475" s="5" t="n">
        <v>45536</v>
      </c>
      <c r="H475" t="inlineStr">
        <is>
          <t>Sold</t>
        </is>
      </c>
      <c r="I475" s="6">
        <f>HYPERLINK("https://www.kleinanzeigen.de/s-anzeige/gabelbaum-windsurfen-neil-pryde-160-200cm-duogrip-startschot-usw-/2851712625-230-1558", "Link")</f>
        <v/>
      </c>
      <c r="J475" s="6">
        <f>HYPERLINK("C:\Projects\Kleinanzeigen-Scraper\offer_images\2851712625", "Link")</f>
        <v/>
      </c>
      <c r="K475" t="inlineStr">
        <is>
          <t>Udo Terborg</t>
        </is>
      </c>
      <c r="L475" s="6">
        <f>HYPERLINK("https://www.kleinanzeigen.de/s-bestandsliste.html?userId=5725340", "Link")</f>
        <v/>
      </c>
      <c r="M475" s="7" t="n">
        <v>45536.90984953703</v>
      </c>
      <c r="N475" s="3" t="inlineStr">
        <is>
          <t>44.94</t>
        </is>
      </c>
      <c r="O475" t="inlineStr">
        <is>
          <t>Köln</t>
        </is>
      </c>
    </row>
    <row r="476">
      <c r="A476" t="inlineStr">
        <is>
          <t>Gaastra Race</t>
        </is>
      </c>
      <c r="B476" t="inlineStr">
        <is>
          <t>200-250</t>
        </is>
      </c>
      <c r="C476" t="inlineStr"/>
      <c r="D476" s="4" t="n">
        <v>890</v>
      </c>
      <c r="E476" t="inlineStr"/>
      <c r="F476" t="inlineStr">
        <is>
          <t>82319 Bayern - Starnberg</t>
        </is>
      </c>
      <c r="G476" s="5" t="n">
        <v>45562</v>
      </c>
      <c r="H476" t="inlineStr"/>
      <c r="I476" s="6">
        <f>HYPERLINK("https://www.kleinanzeigen.de/s-anzeige/gaastra-race-100-carbon-boom-200-250cm-windsurf-gabelbaum/2018420340-230-5525", "Link")</f>
        <v/>
      </c>
      <c r="J476" s="6">
        <f>HYPERLINK("C:\Projects\Kleinanzeigen-Scraper\offer_images\2018420340", "Link")</f>
        <v/>
      </c>
      <c r="K476" t="inlineStr">
        <is>
          <t>No user name</t>
        </is>
      </c>
      <c r="L476" s="6">
        <f>HYPERLINK("https://www.kleinanzeigen.deNo user link", "Link")</f>
        <v/>
      </c>
      <c r="M476" s="7" t="n">
        <v>45536.90982638889</v>
      </c>
      <c r="N476" s="3" t="inlineStr">
        <is>
          <t>23.17</t>
        </is>
      </c>
      <c r="O476" t="inlineStr">
        <is>
          <t>München</t>
        </is>
      </c>
    </row>
    <row r="477">
      <c r="A477" t="inlineStr">
        <is>
          <t>Unifiber</t>
        </is>
      </c>
      <c r="B477" t="inlineStr">
        <is>
          <t>160-210</t>
        </is>
      </c>
      <c r="C477" t="inlineStr"/>
      <c r="D477" s="4" t="n">
        <v>95</v>
      </c>
      <c r="E477" t="inlineStr"/>
      <c r="F477" t="inlineStr">
        <is>
          <t>47198 Duisburg - Homberg/Ruhrort/Baerl</t>
        </is>
      </c>
      <c r="G477" s="5" t="n">
        <v>45532</v>
      </c>
      <c r="H477" t="inlineStr">
        <is>
          <t>Sold</t>
        </is>
      </c>
      <c r="I477" s="6">
        <f>HYPERLINK("https://www.kleinanzeigen.de/s-anzeige/unifiber-gabelbaum-160-210-windsurfen/2848822562-230-2140", "Link")</f>
        <v/>
      </c>
      <c r="J477" s="6">
        <f>HYPERLINK("C:\Projects\Kleinanzeigen-Scraper\offer_images\2848822562", "Link")</f>
        <v/>
      </c>
      <c r="K477" t="inlineStr">
        <is>
          <t>Stephan Kalbertod</t>
        </is>
      </c>
      <c r="L477" s="6">
        <f>HYPERLINK("https://www.kleinanzeigen.de/s-bestandsliste.html?userId=8064073", "Link")</f>
        <v/>
      </c>
      <c r="M477" s="7" t="n">
        <v>45536.90979166667</v>
      </c>
      <c r="N477" s="3" t="inlineStr">
        <is>
          <t>59.95</t>
        </is>
      </c>
      <c r="O477" t="inlineStr">
        <is>
          <t>Köln</t>
        </is>
      </c>
    </row>
    <row r="478">
      <c r="A478" t="inlineStr">
        <is>
          <t>North Sails Progression B+</t>
        </is>
      </c>
      <c r="B478" t="inlineStr">
        <is>
          <t>185-235</t>
        </is>
      </c>
      <c r="C478" t="inlineStr"/>
      <c r="D478" s="4" t="n">
        <v>30</v>
      </c>
      <c r="E478" t="inlineStr"/>
      <c r="F478" t="inlineStr">
        <is>
          <t>22303 Hamburg-Nord - Hamburg Winterhude</t>
        </is>
      </c>
      <c r="G478" s="5" t="n">
        <v>45535</v>
      </c>
      <c r="H478" t="inlineStr">
        <is>
          <t>Sold</t>
        </is>
      </c>
      <c r="I478" s="6">
        <f>HYPERLINK("https://www.kleinanzeigen.de/s-anzeige/north-sails-gabelbaum-windsurfen-progression-b-185-235cm/2851101508-230-9482", "Link")</f>
        <v/>
      </c>
      <c r="J478" s="6">
        <f>HYPERLINK("C:\Projects\Kleinanzeigen-Scraper\offer_images\2851101508", "Link")</f>
        <v/>
      </c>
      <c r="K478" t="inlineStr">
        <is>
          <t>Daniel</t>
        </is>
      </c>
      <c r="L478" s="6">
        <f>HYPERLINK("https://www.kleinanzeigen.de/s-bestandsliste.html?userId=33396736", "Link")</f>
        <v/>
      </c>
      <c r="M478" s="7" t="n">
        <v>45536.90976851852</v>
      </c>
      <c r="N478" s="3" t="inlineStr">
        <is>
          <t>361.45</t>
        </is>
      </c>
      <c r="O478" t="inlineStr">
        <is>
          <t>Köln</t>
        </is>
      </c>
    </row>
    <row r="479">
      <c r="A479" t="inlineStr">
        <is>
          <t>North Sails Silver HD</t>
        </is>
      </c>
      <c r="B479" t="inlineStr">
        <is>
          <t>150-200</t>
        </is>
      </c>
      <c r="C479" t="inlineStr"/>
      <c r="D479" s="4" t="n">
        <v>90</v>
      </c>
      <c r="E479" t="inlineStr">
        <is>
          <t>VB</t>
        </is>
      </c>
      <c r="F479" t="inlineStr">
        <is>
          <t>51467 Nordrhein-Westfalen - Bergisch Gladbach</t>
        </is>
      </c>
      <c r="G479" s="5" t="n">
        <v>45536</v>
      </c>
      <c r="H479" t="inlineStr">
        <is>
          <t>Sold</t>
        </is>
      </c>
      <c r="I479" s="6">
        <f>HYPERLINK("https://www.kleinanzeigen.de/s-anzeige/gabelbaum-windsurfen-north-sails-silver-hd-150-200-plus-leash/2851627759-230-1589", "Link")</f>
        <v/>
      </c>
      <c r="J479" s="6">
        <f>HYPERLINK("C:\Projects\Kleinanzeigen-Scraper\offer_images\2851627759", "Link")</f>
        <v/>
      </c>
      <c r="K479" t="inlineStr">
        <is>
          <t>Sven</t>
        </is>
      </c>
      <c r="L479" s="6">
        <f>HYPERLINK("https://www.kleinanzeigen.de/s-bestandsliste.html?userId=20956320", "Link")</f>
        <v/>
      </c>
      <c r="M479" s="7" t="n">
        <v>45536.90976851852</v>
      </c>
      <c r="N479" s="3" t="inlineStr">
        <is>
          <t>12.13</t>
        </is>
      </c>
      <c r="O479" t="inlineStr">
        <is>
          <t>Köln</t>
        </is>
      </c>
    </row>
    <row r="480">
      <c r="A480" t="inlineStr">
        <is>
          <t>WSM</t>
        </is>
      </c>
      <c r="B480" t="inlineStr"/>
      <c r="C480" t="inlineStr"/>
      <c r="D480" s="4" t="n">
        <v>5</v>
      </c>
      <c r="E480" t="inlineStr">
        <is>
          <t>VB</t>
        </is>
      </c>
      <c r="F480" t="inlineStr">
        <is>
          <t>45699 Nordrhein-Westfalen - Herten</t>
        </is>
      </c>
      <c r="G480" s="5" t="n">
        <v>45529</v>
      </c>
      <c r="H480" t="inlineStr">
        <is>
          <t>Sold</t>
        </is>
      </c>
      <c r="I480" s="6">
        <f>HYPERLINK("https://www.kleinanzeigen.de/s-anzeige/gabelbaum-windsurf/2845869289-230-1832", "Link")</f>
        <v/>
      </c>
      <c r="J480" s="6">
        <f>HYPERLINK("C:\Projects\Kleinanzeigen-Scraper\offer_images\2845869289", "Link")</f>
        <v/>
      </c>
      <c r="K480" t="inlineStr">
        <is>
          <t>V.P.</t>
        </is>
      </c>
      <c r="L480" s="6">
        <f>HYPERLINK("https://www.kleinanzeigen.de/s-bestandsliste.html?userId=10829434", "Link")</f>
        <v/>
      </c>
      <c r="M480" s="7" t="n">
        <v>45536.90974537037</v>
      </c>
      <c r="N480" s="3" t="inlineStr">
        <is>
          <t>73.42</t>
        </is>
      </c>
      <c r="O480" t="inlineStr">
        <is>
          <t>Köln</t>
        </is>
      </c>
    </row>
    <row r="481">
      <c r="A481" t="inlineStr">
        <is>
          <t>Prolimit</t>
        </is>
      </c>
      <c r="B481" t="inlineStr">
        <is>
          <t>145-195</t>
        </is>
      </c>
      <c r="C481" t="inlineStr"/>
      <c r="D481" s="4" t="n">
        <v>30</v>
      </c>
      <c r="E481" t="inlineStr"/>
      <c r="F481" t="inlineStr">
        <is>
          <t>27404 Niedersachsen - Zeven</t>
        </is>
      </c>
      <c r="G481" s="5" t="n">
        <v>45535</v>
      </c>
      <c r="H481" t="inlineStr">
        <is>
          <t>Sold</t>
        </is>
      </c>
      <c r="I481" s="6">
        <f>HYPERLINK("https://www.kleinanzeigen.de/s-anzeige/gabelbaum-alu-rdm-prolimit-windsurfen/2850356564-230-2932", "Link")</f>
        <v/>
      </c>
      <c r="J481" s="6">
        <f>HYPERLINK("C:\Projects\Kleinanzeigen-Scraper\offer_images\2850356564", "Link")</f>
        <v/>
      </c>
      <c r="K481" t="inlineStr">
        <is>
          <t>Axel Wagner</t>
        </is>
      </c>
      <c r="L481" s="6">
        <f>HYPERLINK("https://www.kleinanzeigen.de/s-bestandsliste.html?userId=23025038", "Link")</f>
        <v/>
      </c>
      <c r="M481" s="7" t="n">
        <v>45536.9096875</v>
      </c>
      <c r="N481" s="3" t="inlineStr">
        <is>
          <t>303.55</t>
        </is>
      </c>
      <c r="O481" t="inlineStr">
        <is>
          <t>Köln</t>
        </is>
      </c>
    </row>
    <row r="482">
      <c r="A482" t="inlineStr">
        <is>
          <t>North Sails Progression Comp</t>
        </is>
      </c>
      <c r="B482" t="inlineStr">
        <is>
          <t>150-200</t>
        </is>
      </c>
      <c r="C482" t="inlineStr"/>
      <c r="D482" s="4" t="n">
        <v>49</v>
      </c>
      <c r="E482" t="inlineStr"/>
      <c r="F482" t="inlineStr">
        <is>
          <t>82229 Bayern - Seefeld</t>
        </is>
      </c>
      <c r="G482" s="5" t="n">
        <v>45535</v>
      </c>
      <c r="H482" t="inlineStr">
        <is>
          <t>Sold</t>
        </is>
      </c>
      <c r="I482" s="6">
        <f>HYPERLINK("https://www.kleinanzeigen.de/s-anzeige/north-sails-progression-comp-windsurf-gabelbaum-150-200cm/2850465684-230-5519", "Link")</f>
        <v/>
      </c>
      <c r="J482" s="6">
        <f>HYPERLINK("C:\Projects\Kleinanzeigen-Scraper\offer_images\2850465684", "Link")</f>
        <v/>
      </c>
      <c r="K482" t="inlineStr">
        <is>
          <t>Tobias</t>
        </is>
      </c>
      <c r="L482" s="6">
        <f>HYPERLINK("https://www.kleinanzeigen.de/s-bestandsliste.html?userId=26072985", "Link")</f>
        <v/>
      </c>
      <c r="M482" s="7" t="n">
        <v>45536.90967592593</v>
      </c>
      <c r="N482" s="3" t="inlineStr">
        <is>
          <t>27.49</t>
        </is>
      </c>
      <c r="O482" t="inlineStr">
        <is>
          <t>München</t>
        </is>
      </c>
    </row>
    <row r="483">
      <c r="A483" t="inlineStr">
        <is>
          <t>Neilpryde Carbon Wave</t>
        </is>
      </c>
      <c r="B483" t="inlineStr">
        <is>
          <t>150-198</t>
        </is>
      </c>
      <c r="C483" t="inlineStr"/>
      <c r="D483" s="4" t="n">
        <v>189</v>
      </c>
      <c r="E483" t="inlineStr">
        <is>
          <t>VB</t>
        </is>
      </c>
      <c r="F483" t="inlineStr">
        <is>
          <t>50858 Köln - Junkersdorf</t>
        </is>
      </c>
      <c r="G483" s="5" t="n">
        <v>45531</v>
      </c>
      <c r="H483" t="inlineStr">
        <is>
          <t>Sold</t>
        </is>
      </c>
      <c r="I483" s="6">
        <f>HYPERLINK("https://www.kleinanzeigen.de/s-anzeige/neilpryde-carbon-wave-boom-pryde-gabelbaum-windsurfen/2847686320-230-17139", "Link")</f>
        <v/>
      </c>
      <c r="J483" s="6">
        <f>HYPERLINK("C:\Projects\Kleinanzeigen-Scraper\offer_images\2847686320", "Link")</f>
        <v/>
      </c>
      <c r="K483" t="inlineStr">
        <is>
          <t>Ingo Riemann</t>
        </is>
      </c>
      <c r="L483" s="6">
        <f>HYPERLINK("https://www.kleinanzeigen.de/s-bestandsliste.html?userId=54165116", "Link")</f>
        <v/>
      </c>
      <c r="M483" s="7" t="n">
        <v>45536.90966435185</v>
      </c>
      <c r="N483" s="3" t="inlineStr">
        <is>
          <t>7.26</t>
        </is>
      </c>
      <c r="O483" t="inlineStr">
        <is>
          <t>Köln</t>
        </is>
      </c>
    </row>
    <row r="484">
      <c r="A484" t="inlineStr">
        <is>
          <t>Al360</t>
        </is>
      </c>
      <c r="B484" t="inlineStr">
        <is>
          <t>160-220</t>
        </is>
      </c>
      <c r="C484" t="inlineStr"/>
      <c r="D484" s="4" t="n">
        <v>370</v>
      </c>
      <c r="E484" t="inlineStr"/>
      <c r="F484" t="inlineStr">
        <is>
          <t>82194 Bayern - Gröbenzell</t>
        </is>
      </c>
      <c r="G484" s="5" t="n">
        <v>45533</v>
      </c>
      <c r="H484" t="inlineStr">
        <is>
          <t>Sold</t>
        </is>
      </c>
      <c r="I484" s="6">
        <f>HYPERLINK("https://www.kleinanzeigen.de/s-anzeige/windsurf-boom-gabelbaum-al360-carbon-160-220cm/2849197406-230-6350", "Link")</f>
        <v/>
      </c>
      <c r="J484" s="6">
        <f>HYPERLINK("C:\Projects\Kleinanzeigen-Scraper\offer_images\2849197406", "Link")</f>
        <v/>
      </c>
      <c r="K484" t="inlineStr">
        <is>
          <t>Maggie</t>
        </is>
      </c>
      <c r="L484" s="6">
        <f>HYPERLINK("https://www.kleinanzeigen.de/s-bestandsliste.html?userId=27957834", "Link")</f>
        <v/>
      </c>
      <c r="M484" s="7" t="n">
        <v>45536.90966435185</v>
      </c>
      <c r="N484" s="3" t="inlineStr">
        <is>
          <t>15.82</t>
        </is>
      </c>
      <c r="O484" t="inlineStr">
        <is>
          <t>München</t>
        </is>
      </c>
    </row>
    <row r="485">
      <c r="A485" t="inlineStr">
        <is>
          <t>Northsails</t>
        </is>
      </c>
      <c r="B485" t="inlineStr">
        <is>
          <t>200-250</t>
        </is>
      </c>
      <c r="C485" t="inlineStr"/>
      <c r="D485" s="4" t="n">
        <v>100</v>
      </c>
      <c r="E485" t="inlineStr"/>
      <c r="F485" t="inlineStr">
        <is>
          <t>85586 Bayern - Poing</t>
        </is>
      </c>
      <c r="G485" s="5" t="n">
        <v>45536</v>
      </c>
      <c r="H485" t="inlineStr">
        <is>
          <t>Sold</t>
        </is>
      </c>
      <c r="I485" s="6">
        <f>HYPERLINK("https://www.kleinanzeigen.de/s-anzeige/windsurf-gabelbaum-northsails-200-250-cm/2851178470-230-5579", "Link")</f>
        <v/>
      </c>
      <c r="J485" s="6">
        <f>HYPERLINK("C:\Projects\Kleinanzeigen-Scraper\offer_images\2851178470", "Link")</f>
        <v/>
      </c>
      <c r="K485" t="inlineStr">
        <is>
          <t>Lars</t>
        </is>
      </c>
      <c r="L485" s="6">
        <f>HYPERLINK("https://www.kleinanzeigen.de/s-bestandsliste.html?userId=84093014", "Link")</f>
        <v/>
      </c>
      <c r="M485" s="7" t="n">
        <v>45536.9096412037</v>
      </c>
      <c r="N485" s="3" t="inlineStr">
        <is>
          <t>17.56</t>
        </is>
      </c>
      <c r="O485" t="inlineStr">
        <is>
          <t>München</t>
        </is>
      </c>
    </row>
    <row r="486">
      <c r="A486" t="inlineStr">
        <is>
          <t>Fanatic</t>
        </is>
      </c>
      <c r="B486" t="inlineStr"/>
      <c r="C486" t="inlineStr"/>
      <c r="D486" s="4" t="inlineStr">
        <is>
          <t>Zu verschenken</t>
        </is>
      </c>
      <c r="E486" t="inlineStr"/>
      <c r="F486" t="inlineStr">
        <is>
          <t>27386 Niedersachsen - Kirchwalsede</t>
        </is>
      </c>
      <c r="G486" s="5" t="n">
        <v>45536</v>
      </c>
      <c r="H486" t="inlineStr">
        <is>
          <t>Sold</t>
        </is>
      </c>
      <c r="I486" s="6">
        <f>HYPERLINK("https://www.kleinanzeigen.de/s-anzeige/gabelbaum-fanatic-windsurfen/2851610326-230-29123", "Link")</f>
        <v/>
      </c>
      <c r="J486" s="6">
        <f>HYPERLINK("C:\Projects\Kleinanzeigen-Scraper\offer_images\2851610326", "Link")</f>
        <v/>
      </c>
      <c r="K486" t="inlineStr">
        <is>
          <t>Lewis</t>
        </is>
      </c>
      <c r="L486" s="6">
        <f>HYPERLINK("https://www.kleinanzeigen.de/s-bestandsliste.html?userId=21316819", "Link")</f>
        <v/>
      </c>
      <c r="M486" s="7" t="n">
        <v>45536.90957175926</v>
      </c>
      <c r="N486" s="3" t="inlineStr">
        <is>
          <t>293.18</t>
        </is>
      </c>
      <c r="O486" t="inlineStr">
        <is>
          <t>Köln</t>
        </is>
      </c>
    </row>
    <row r="487">
      <c r="A487" t="inlineStr"/>
      <c r="B487" t="inlineStr"/>
      <c r="C487" t="inlineStr"/>
      <c r="D487" s="4" t="n">
        <v>39</v>
      </c>
      <c r="E487" t="inlineStr"/>
      <c r="F487" t="inlineStr">
        <is>
          <t>24794 Schwentinental - Rader Insel</t>
        </is>
      </c>
      <c r="G487" s="5" t="n">
        <v>45535</v>
      </c>
      <c r="H487" t="inlineStr">
        <is>
          <t>Sold</t>
        </is>
      </c>
      <c r="I487" s="6">
        <f>HYPERLINK("https://www.kleinanzeigen.de/s-anzeige/gabelbaum-windsurf-gabelbaum/2850535580-230-487", "Link")</f>
        <v/>
      </c>
      <c r="J487" s="6">
        <f>HYPERLINK("C:\Projects\Kleinanzeigen-Scraper\offer_images\2850535580", "Link")</f>
        <v/>
      </c>
      <c r="K487" t="inlineStr">
        <is>
          <t>Klaus</t>
        </is>
      </c>
      <c r="L487" s="6">
        <f>HYPERLINK("https://www.kleinanzeigen.de/s-bestandsliste.html?userId=13149141", "Link")</f>
        <v/>
      </c>
      <c r="M487" s="7" t="n">
        <v>45536.90957175926</v>
      </c>
      <c r="N487" s="3" t="inlineStr">
        <is>
          <t>420.37</t>
        </is>
      </c>
      <c r="O487" t="inlineStr">
        <is>
          <t>Köln</t>
        </is>
      </c>
    </row>
    <row r="488">
      <c r="A488" t="inlineStr">
        <is>
          <t>Neilpryde X3</t>
        </is>
      </c>
      <c r="B488" t="inlineStr">
        <is>
          <t>160-210</t>
        </is>
      </c>
      <c r="C488" t="inlineStr"/>
      <c r="D488" s="4" t="n">
        <v>30</v>
      </c>
      <c r="E488" t="inlineStr"/>
      <c r="F488" t="inlineStr">
        <is>
          <t>34121 Hessen - Kassel</t>
        </is>
      </c>
      <c r="G488" s="5" t="n">
        <v>45536</v>
      </c>
      <c r="H488" t="inlineStr"/>
      <c r="I488" s="6">
        <f>HYPERLINK("https://www.kleinanzeigen.de/s-anzeige/neilpryde-x3-windsurf-gabelbaum-160-bis-210/2851373578-230-4924", "Link")</f>
        <v/>
      </c>
      <c r="J488" s="6">
        <f>HYPERLINK("C:\Projects\Kleinanzeigen-Scraper\offer_images\2851373578", "Link")</f>
        <v/>
      </c>
      <c r="K488" t="inlineStr">
        <is>
          <t>Johannes Rützel</t>
        </is>
      </c>
      <c r="L488" s="6">
        <f>HYPERLINK("https://www.kleinanzeigen.de/s-bestandsliste.html?userId=73982335", "Link")</f>
        <v/>
      </c>
      <c r="M488" s="7" t="n">
        <v>45536.90956018519</v>
      </c>
      <c r="N488" s="3" t="inlineStr">
        <is>
          <t>180.90</t>
        </is>
      </c>
      <c r="O488" t="inlineStr">
        <is>
          <t>Köln</t>
        </is>
      </c>
    </row>
    <row r="489">
      <c r="A489" t="inlineStr">
        <is>
          <t>Neilpryde Freeride</t>
        </is>
      </c>
      <c r="B489" t="inlineStr">
        <is>
          <t>185</t>
        </is>
      </c>
      <c r="C489" t="inlineStr"/>
      <c r="D489" s="4" t="n">
        <v>39</v>
      </c>
      <c r="E489" t="inlineStr"/>
      <c r="F489" t="inlineStr">
        <is>
          <t>82229 Bayern - Seefeld</t>
        </is>
      </c>
      <c r="G489" s="5" t="n">
        <v>45535</v>
      </c>
      <c r="H489" t="inlineStr">
        <is>
          <t>Sold</t>
        </is>
      </c>
      <c r="I489" s="6">
        <f>HYPERLINK("https://www.kleinanzeigen.de/s-anzeige/neilpryde-freeride-185cm-235cm-windsurf-gabelbaum/2850470265-230-5519", "Link")</f>
        <v/>
      </c>
      <c r="J489" s="6">
        <f>HYPERLINK("C:\Projects\Kleinanzeigen-Scraper\offer_images\2850470265", "Link")</f>
        <v/>
      </c>
      <c r="K489" t="inlineStr">
        <is>
          <t>Tobias</t>
        </is>
      </c>
      <c r="L489" s="6">
        <f>HYPERLINK("https://www.kleinanzeigen.de/s-bestandsliste.html?userId=26072985", "Link")</f>
        <v/>
      </c>
      <c r="M489" s="7" t="n">
        <v>45536.90953703703</v>
      </c>
      <c r="N489" s="3" t="inlineStr">
        <is>
          <t>27.49</t>
        </is>
      </c>
      <c r="O489" t="inlineStr">
        <is>
          <t>München</t>
        </is>
      </c>
    </row>
    <row r="490">
      <c r="A490" t="inlineStr">
        <is>
          <t>North</t>
        </is>
      </c>
      <c r="B490" t="inlineStr">
        <is>
          <t>165-215</t>
        </is>
      </c>
      <c r="C490" t="inlineStr"/>
      <c r="D490" s="4" t="n">
        <v>80</v>
      </c>
      <c r="E490" t="inlineStr">
        <is>
          <t>VB</t>
        </is>
      </c>
      <c r="F490" t="inlineStr">
        <is>
          <t>66740 Saarland - Saarlouis</t>
        </is>
      </c>
      <c r="G490" s="5" t="n">
        <v>45528</v>
      </c>
      <c r="H490" t="inlineStr">
        <is>
          <t>Sold</t>
        </is>
      </c>
      <c r="I490" s="6">
        <f>HYPERLINK("https://www.kleinanzeigen.de/s-anzeige/windsurf-gabelbaum-northeim-165-215/2845054363-230-369", "Link")</f>
        <v/>
      </c>
      <c r="J490" s="6">
        <f>HYPERLINK("C:\Projects\Kleinanzeigen-Scraper\offer_images\2845054363", "Link")</f>
        <v/>
      </c>
      <c r="K490" t="inlineStr">
        <is>
          <t>Dieter N.</t>
        </is>
      </c>
      <c r="L490" s="6">
        <f>HYPERLINK("https://www.kleinanzeigen.de/s-bestandsliste.html?userId=56515497", "Link")</f>
        <v/>
      </c>
      <c r="M490" s="7" t="n">
        <v>45536.90953703703</v>
      </c>
      <c r="N490" s="3" t="inlineStr">
        <is>
          <t>124.87</t>
        </is>
      </c>
      <c r="O490" t="inlineStr">
        <is>
          <t>Karlsruhe</t>
        </is>
      </c>
    </row>
    <row r="491">
      <c r="A491" t="inlineStr">
        <is>
          <t>GUN SAIL</t>
        </is>
      </c>
      <c r="B491" t="inlineStr">
        <is>
          <t>160-210</t>
        </is>
      </c>
      <c r="C491" t="inlineStr"/>
      <c r="D491" s="4" t="n">
        <v>130</v>
      </c>
      <c r="E491" t="inlineStr"/>
      <c r="F491" t="inlineStr">
        <is>
          <t>23847 Schleswig-Holstein - Bliestorf</t>
        </is>
      </c>
      <c r="G491" s="5" t="n">
        <v>45535</v>
      </c>
      <c r="H491" t="inlineStr"/>
      <c r="I491" s="6">
        <f>HYPERLINK("https://www.kleinanzeigen.de/s-anzeige/gabelbaum-windsurfen-gun-sail/2850584055-230-18801", "Link")</f>
        <v/>
      </c>
      <c r="J491" s="6">
        <f>HYPERLINK("C:\Projects\Kleinanzeigen-Scraper\offer_images\2850584055", "Link")</f>
        <v/>
      </c>
      <c r="K491" t="inlineStr">
        <is>
          <t>Ingolf</t>
        </is>
      </c>
      <c r="L491" s="6">
        <f>HYPERLINK("https://www.kleinanzeigen.de/s-bestandsliste.html?userId=44541152", "Link")</f>
        <v/>
      </c>
      <c r="M491" s="7" t="n">
        <v>45536.90950231482</v>
      </c>
      <c r="N491" s="3" t="inlineStr">
        <is>
          <t>393.54</t>
        </is>
      </c>
      <c r="O491" t="inlineStr">
        <is>
          <t>Köln</t>
        </is>
      </c>
    </row>
    <row r="492">
      <c r="A492" t="inlineStr">
        <is>
          <t>Gunsails</t>
        </is>
      </c>
      <c r="B492" t="inlineStr"/>
      <c r="C492" t="inlineStr"/>
      <c r="D492" s="4" t="n">
        <v>80</v>
      </c>
      <c r="E492" t="inlineStr"/>
      <c r="F492" t="inlineStr">
        <is>
          <t>66564 Saarland - Ottweiler</t>
        </is>
      </c>
      <c r="G492" s="5" t="n">
        <v>45534</v>
      </c>
      <c r="H492" t="inlineStr">
        <is>
          <t>Sold</t>
        </is>
      </c>
      <c r="I492" s="6">
        <f>HYPERLINK("https://www.kleinanzeigen.de/s-anzeige/windsurf-gabelbaum-gunsails/2849668002-230-347", "Link")</f>
        <v/>
      </c>
      <c r="J492" s="6">
        <f>HYPERLINK("C:\Projects\Kleinanzeigen-Scraper\offer_images\2849668002", "Link")</f>
        <v/>
      </c>
      <c r="K492" t="inlineStr">
        <is>
          <t>Hans</t>
        </is>
      </c>
      <c r="L492" s="6">
        <f>HYPERLINK("https://www.kleinanzeigen.de/s-bestandsliste.html?userId=17552175", "Link")</f>
        <v/>
      </c>
      <c r="M492" s="7" t="n">
        <v>45534.54449074074</v>
      </c>
      <c r="N492" s="3" t="inlineStr">
        <is>
          <t>96.82</t>
        </is>
      </c>
      <c r="O492" t="inlineStr">
        <is>
          <t>Karlsruhe</t>
        </is>
      </c>
    </row>
    <row r="493">
      <c r="A493" t="inlineStr">
        <is>
          <t>RRD</t>
        </is>
      </c>
      <c r="B493" t="inlineStr">
        <is>
          <t>150-200</t>
        </is>
      </c>
      <c r="C493" t="inlineStr"/>
      <c r="D493" s="4" t="n">
        <v>250</v>
      </c>
      <c r="E493" t="inlineStr"/>
      <c r="F493" t="inlineStr">
        <is>
          <t>66386 St. Ingbert</t>
        </is>
      </c>
      <c r="G493" s="5" t="n">
        <v>45523</v>
      </c>
      <c r="H493" t="inlineStr">
        <is>
          <t>Sold</t>
        </is>
      </c>
      <c r="I493" s="6">
        <f>HYPERLINK("https://www.dailydose.de/kleinanzeigen/detail.htm?ai=421157&amp;cf=kk&amp;pg=2&amp;ci=13", "Link")</f>
        <v/>
      </c>
      <c r="J493" s="6">
        <f>HYPERLINK("C:\Projects\Kleinanzeigen-Scraper\offer_images\421157", "Link")</f>
        <v/>
      </c>
      <c r="K493" t="inlineStr">
        <is>
          <t>Peter Elze</t>
        </is>
      </c>
      <c r="L493" s="6">
        <f>HYPERLINK("https://www.dailydose.de/kleinanzeigen/user/18910", "Link")</f>
        <v/>
      </c>
      <c r="M493" s="7" t="n">
        <v>45531.38068287037</v>
      </c>
      <c r="N493" s="3" t="inlineStr">
        <is>
          <t>96.65</t>
        </is>
      </c>
      <c r="O493" t="inlineStr">
        <is>
          <t>Karlsruhe</t>
        </is>
      </c>
    </row>
    <row r="494">
      <c r="A494" t="inlineStr">
        <is>
          <t>Neilpryde</t>
        </is>
      </c>
      <c r="B494" t="inlineStr">
        <is>
          <t>160-210</t>
        </is>
      </c>
      <c r="C494" t="inlineStr"/>
      <c r="D494" s="4" t="n">
        <v>80</v>
      </c>
      <c r="E494" t="inlineStr"/>
      <c r="F494" t="inlineStr">
        <is>
          <t>72070 Tübingen</t>
        </is>
      </c>
      <c r="G494" s="5" t="n">
        <v>45529</v>
      </c>
      <c r="H494" t="inlineStr">
        <is>
          <t>Sold</t>
        </is>
      </c>
      <c r="I494" s="6">
        <f>HYPERLINK("https://www.dailydose.de/kleinanzeigen/detail.htm?ai=421392&amp;cf=kk&amp;pg=2&amp;ci=13", "Link")</f>
        <v/>
      </c>
      <c r="J494" s="6">
        <f>HYPERLINK("C:\Projects\Kleinanzeigen-Scraper\offer_images\421392", "Link")</f>
        <v/>
      </c>
      <c r="K494" t="inlineStr">
        <is>
          <t>SHM</t>
        </is>
      </c>
      <c r="L494" s="6">
        <f>HYPERLINK("https://www.dailydose.de/kleinanzeigen/user/21300", "Link")</f>
        <v/>
      </c>
      <c r="M494" s="7" t="n">
        <v>45531.38028935185</v>
      </c>
      <c r="N494" s="3" t="inlineStr">
        <is>
          <t>17.20</t>
        </is>
      </c>
      <c r="O494" t="inlineStr">
        <is>
          <t>Böblingen</t>
        </is>
      </c>
    </row>
    <row r="495">
      <c r="A495" t="inlineStr">
        <is>
          <t>Gun Sails Cross</t>
        </is>
      </c>
      <c r="B495" t="inlineStr">
        <is>
          <t>180-230</t>
        </is>
      </c>
      <c r="C495" t="inlineStr">
        <is>
          <t>2019</t>
        </is>
      </c>
      <c r="D495" s="4" t="n">
        <v>120</v>
      </c>
      <c r="E495" t="inlineStr"/>
      <c r="F495" t="inlineStr">
        <is>
          <t>Stuttgart</t>
        </is>
      </c>
      <c r="G495" s="5" t="n">
        <v>45530</v>
      </c>
      <c r="H495" t="inlineStr">
        <is>
          <t>Sold</t>
        </is>
      </c>
      <c r="I495" s="6">
        <f>HYPERLINK("https://www.dailydose.de/kleinanzeigen/detail.htm?ai=421449&amp;cf=kk&amp;pg=1&amp;ci=13", "Link")</f>
        <v/>
      </c>
      <c r="J495" s="6">
        <f>HYPERLINK("C:\Projects\Kleinanzeigen-Scraper\offer_images\421449", "Link")</f>
        <v/>
      </c>
      <c r="K495" t="inlineStr">
        <is>
          <t>Roman_96</t>
        </is>
      </c>
      <c r="L495" s="6">
        <f>HYPERLINK("https://www.dailydose.de/kleinanzeigen/user/20905", "Link")</f>
        <v/>
      </c>
      <c r="M495" s="7" t="n">
        <v>45531.38026620371</v>
      </c>
      <c r="N495" s="3" t="inlineStr">
        <is>
          <t>18.71</t>
        </is>
      </c>
      <c r="O495" t="inlineStr">
        <is>
          <t>Böblingen</t>
        </is>
      </c>
    </row>
    <row r="496">
      <c r="A496" t="inlineStr">
        <is>
          <t>Dynafiber</t>
        </is>
      </c>
      <c r="B496" t="inlineStr">
        <is>
          <t>150-210</t>
        </is>
      </c>
      <c r="C496" t="inlineStr"/>
      <c r="D496" s="4" t="n">
        <v>300</v>
      </c>
      <c r="E496" t="inlineStr"/>
      <c r="F496" t="inlineStr">
        <is>
          <t>66386 St. Ingbert</t>
        </is>
      </c>
      <c r="G496" s="5" t="n">
        <v>45522</v>
      </c>
      <c r="H496" t="inlineStr">
        <is>
          <t>Sold</t>
        </is>
      </c>
      <c r="I496" s="6">
        <f>HYPERLINK("https://www.dailydose.de/kleinanzeigen/detail.htm?ai=421128&amp;cf=kk&amp;pg=2&amp;ci=13", "Link")</f>
        <v/>
      </c>
      <c r="J496" s="6">
        <f>HYPERLINK("C:\Projects\Kleinanzeigen-Scraper\offer_images\421128", "Link")</f>
        <v/>
      </c>
      <c r="K496" t="inlineStr">
        <is>
          <t>Peter Elze</t>
        </is>
      </c>
      <c r="L496" s="6">
        <f>HYPERLINK("https://www.dailydose.de/kleinanzeigen/user/18910", "Link")</f>
        <v/>
      </c>
      <c r="M496" s="7" t="n">
        <v>45531.38013888889</v>
      </c>
      <c r="N496" s="3" t="inlineStr">
        <is>
          <t>96.65</t>
        </is>
      </c>
      <c r="O496" t="inlineStr">
        <is>
          <t>Karlsruhe</t>
        </is>
      </c>
    </row>
    <row r="497">
      <c r="A497" t="inlineStr">
        <is>
          <t>Neilpryde XC</t>
        </is>
      </c>
      <c r="B497" t="inlineStr">
        <is>
          <t>160-210</t>
        </is>
      </c>
      <c r="C497" t="inlineStr"/>
      <c r="D497" s="4" t="n">
        <v>120</v>
      </c>
      <c r="E497" t="inlineStr"/>
      <c r="F497" t="inlineStr">
        <is>
          <t>72070 Tübingen</t>
        </is>
      </c>
      <c r="G497" s="5" t="n">
        <v>45529</v>
      </c>
      <c r="H497" t="inlineStr">
        <is>
          <t>Sold</t>
        </is>
      </c>
      <c r="I497" s="6">
        <f>HYPERLINK("https://www.dailydose.de/kleinanzeigen/detail.htm?ai=421391&amp;cf=kk&amp;pg=2&amp;ci=13", "Link")</f>
        <v/>
      </c>
      <c r="J497" s="6">
        <f>HYPERLINK("C:\Projects\Kleinanzeigen-Scraper\offer_images\421391", "Link")</f>
        <v/>
      </c>
      <c r="K497" t="inlineStr">
        <is>
          <t>SHM</t>
        </is>
      </c>
      <c r="L497" s="6">
        <f>HYPERLINK("https://www.dailydose.de/kleinanzeigen/user/21300", "Link")</f>
        <v/>
      </c>
      <c r="M497" s="7" t="n">
        <v>45531.38002314815</v>
      </c>
      <c r="N497" s="3" t="inlineStr">
        <is>
          <t>17.20</t>
        </is>
      </c>
      <c r="O497" t="inlineStr">
        <is>
          <t>Böblingen</t>
        </is>
      </c>
    </row>
    <row r="498">
      <c r="A498" t="inlineStr"/>
      <c r="B498" t="inlineStr">
        <is>
          <t>adjustable</t>
        </is>
      </c>
      <c r="C498" t="inlineStr"/>
      <c r="D498" s="4" t="inlineStr">
        <is>
          <t>No price</t>
        </is>
      </c>
      <c r="E498" t="inlineStr"/>
      <c r="F498" t="inlineStr">
        <is>
          <t>78052 Baden-Württemberg - Villingen-Schwenningen</t>
        </is>
      </c>
      <c r="G498" s="5" t="n">
        <v>45522</v>
      </c>
      <c r="H498" t="inlineStr">
        <is>
          <t>Sold</t>
        </is>
      </c>
      <c r="I498" s="6">
        <f>HYPERLINK("https://www.kleinanzeigen.de/s-anzeige/windsurf-gabelbaum/2839534255-192-9103", "Link")</f>
        <v/>
      </c>
      <c r="J498" s="6">
        <f>HYPERLINK("C:\Projects\Kleinanzeigen-Scraper\offer_images\2839534255", "Link")</f>
        <v/>
      </c>
      <c r="K498" t="inlineStr">
        <is>
          <t>Ruppert</t>
        </is>
      </c>
      <c r="L498" s="6">
        <f>HYPERLINK("https://www.kleinanzeigen.de/s-bestandsliste.html?userId=50597780", "Link")</f>
        <v/>
      </c>
      <c r="M498" s="7" t="n">
        <v>45522.63939814815</v>
      </c>
      <c r="N498" s="3" t="inlineStr">
        <is>
          <t>25.58</t>
        </is>
      </c>
      <c r="O498" t="inlineStr">
        <is>
          <t>Bonndorf</t>
        </is>
      </c>
    </row>
    <row r="499">
      <c r="A499" t="inlineStr"/>
      <c r="B499" t="inlineStr">
        <is>
          <t>190</t>
        </is>
      </c>
      <c r="C499" t="inlineStr"/>
      <c r="D499" s="4" t="n">
        <v>350</v>
      </c>
      <c r="E499" t="inlineStr">
        <is>
          <t>VB</t>
        </is>
      </c>
      <c r="F499" t="inlineStr">
        <is>
          <t>72141 Baden-Württemberg - Walddorfhäslach</t>
        </is>
      </c>
      <c r="G499" s="5" t="n">
        <v>45520</v>
      </c>
      <c r="H499" t="inlineStr">
        <is>
          <t>Sold</t>
        </is>
      </c>
      <c r="I499" s="6">
        <f>HYPERLINK("https://www.kleinanzeigen.de/s-anzeige/windsurf-carbon-boom-gabelbaum-race-190/2838393873-230-8891", "Link")</f>
        <v/>
      </c>
      <c r="J499" s="6">
        <f>HYPERLINK("C:\Projects\Kleinanzeigen-Scraper\offer_images\2838393873", "Link")</f>
        <v/>
      </c>
      <c r="K499" t="inlineStr">
        <is>
          <t>Katharina &amp; Jan</t>
        </is>
      </c>
      <c r="L499" s="6">
        <f>HYPERLINK("https://www.kleinanzeigen.de/s-bestandsliste.html?userId=5363487", "Link")</f>
        <v/>
      </c>
      <c r="M499" s="7" t="n">
        <v>45522.63914351852</v>
      </c>
      <c r="N499" s="3" t="inlineStr">
        <is>
          <t>16.87</t>
        </is>
      </c>
      <c r="O499" t="inlineStr">
        <is>
          <t>Böblingen</t>
        </is>
      </c>
    </row>
    <row r="500">
      <c r="A500" t="inlineStr">
        <is>
          <t>Duotone Silver Series</t>
        </is>
      </c>
      <c r="B500" t="inlineStr">
        <is>
          <t>150-200</t>
        </is>
      </c>
      <c r="C500" t="inlineStr">
        <is>
          <t>3</t>
        </is>
      </c>
      <c r="D500" s="4" t="n">
        <v>130</v>
      </c>
      <c r="E500" t="inlineStr">
        <is>
          <t>VB</t>
        </is>
      </c>
      <c r="F500" t="inlineStr">
        <is>
          <t>69509 Hessen - Mörlenbach</t>
        </is>
      </c>
      <c r="G500" s="5" t="n">
        <v>45519</v>
      </c>
      <c r="H500" t="inlineStr">
        <is>
          <t>Sold</t>
        </is>
      </c>
      <c r="I500" s="6">
        <f>HYPERLINK("https://www.kleinanzeigen.de/s-anzeige/windsurf-vario-gabel-duotone-silver-series-150cm-200cm/2837809692-230-8262", "Link")</f>
        <v/>
      </c>
      <c r="J500" s="6">
        <f>HYPERLINK("C:\Projects\Kleinanzeigen-Scraper\offer_images\2837809692", "Link")</f>
        <v/>
      </c>
      <c r="K500" t="inlineStr">
        <is>
          <t>F.H</t>
        </is>
      </c>
      <c r="L500" s="6">
        <f>HYPERLINK("https://www.kleinanzeigen.de/s-bestandsliste.html?userId=37370143", "Link")</f>
        <v/>
      </c>
      <c r="M500" s="7" t="n">
        <v>45522.63901620371</v>
      </c>
      <c r="N500" s="3" t="inlineStr">
        <is>
          <t>69.61</t>
        </is>
      </c>
      <c r="O500" t="inlineStr">
        <is>
          <t>Karlsruhe</t>
        </is>
      </c>
    </row>
    <row r="501">
      <c r="A501" t="inlineStr">
        <is>
          <t>Gun Sails Expert Hybrid</t>
        </is>
      </c>
      <c r="B501" t="inlineStr">
        <is>
          <t>150-200</t>
        </is>
      </c>
      <c r="C501" t="inlineStr"/>
      <c r="D501" s="4" t="n">
        <v>100</v>
      </c>
      <c r="E501" t="inlineStr">
        <is>
          <t>VB</t>
        </is>
      </c>
      <c r="F501" t="inlineStr">
        <is>
          <t>70563 Stuttgart</t>
        </is>
      </c>
      <c r="G501" s="5" t="n">
        <v>45518</v>
      </c>
      <c r="H501" t="inlineStr">
        <is>
          <t>Sold</t>
        </is>
      </c>
      <c r="I501" s="6">
        <f>HYPERLINK("https://www.dailydose.de/kleinanzeigen/detail.htm?ai=420864&amp;cf=kk&amp;pg=1&amp;ci=13", "Link")</f>
        <v/>
      </c>
      <c r="J501" s="6">
        <f>HYPERLINK("C:\Projects\Kleinanzeigen-Scraper\offer_images\420864", "Link")</f>
        <v/>
      </c>
      <c r="K501" t="inlineStr">
        <is>
          <t>jf_schramm</t>
        </is>
      </c>
      <c r="L501" s="6">
        <f>HYPERLINK("https://www.dailydose.de/kleinanzeigen/user/103", "Link")</f>
        <v/>
      </c>
      <c r="M501" s="7" t="n">
        <v>45518.57850694445</v>
      </c>
      <c r="N501" s="3" t="inlineStr">
        <is>
          <t>10.79</t>
        </is>
      </c>
      <c r="O501" t="inlineStr">
        <is>
          <t>Böblingen</t>
        </is>
      </c>
    </row>
    <row r="502">
      <c r="A502" t="inlineStr">
        <is>
          <t>Arrows</t>
        </is>
      </c>
      <c r="B502" t="inlineStr">
        <is>
          <t>200-250</t>
        </is>
      </c>
      <c r="C502" t="inlineStr"/>
      <c r="D502" s="4" t="n">
        <v>20</v>
      </c>
      <c r="E502" t="inlineStr"/>
      <c r="F502" t="inlineStr">
        <is>
          <t>79350 Baden-Württemberg - Sexau</t>
        </is>
      </c>
      <c r="G502" s="5" t="n">
        <v>45518</v>
      </c>
      <c r="H502" t="inlineStr">
        <is>
          <t>Sold</t>
        </is>
      </c>
      <c r="I502" s="6">
        <f>HYPERLINK("https://www.kleinanzeigen.de/s-anzeige/windsurf-gabelbaum200-250cm-incl-startshot/2836620778-230-8288", "Link")</f>
        <v/>
      </c>
      <c r="J502" s="6">
        <f>HYPERLINK("C:\Projects\Kleinanzeigen-Scraper\offer_images\2836620778", "Link")</f>
        <v/>
      </c>
      <c r="K502" t="inlineStr">
        <is>
          <t>Robert</t>
        </is>
      </c>
      <c r="L502" s="6">
        <f>HYPERLINK("https://www.kleinanzeigen.de/s-bestandsliste.html?userId=18951209", "Link")</f>
        <v/>
      </c>
      <c r="M502" s="7" t="n">
        <v>45518.57774305555</v>
      </c>
      <c r="N502" s="3" t="inlineStr">
        <is>
          <t>45.20</t>
        </is>
      </c>
      <c r="O502" t="inlineStr">
        <is>
          <t>Bonndorf</t>
        </is>
      </c>
    </row>
    <row r="503">
      <c r="A503" t="inlineStr">
        <is>
          <t>North Sails</t>
        </is>
      </c>
      <c r="B503" t="inlineStr">
        <is>
          <t>185-235</t>
        </is>
      </c>
      <c r="C503" t="inlineStr"/>
      <c r="D503" s="4" t="n">
        <v>60</v>
      </c>
      <c r="E503" t="inlineStr"/>
      <c r="F503" t="inlineStr">
        <is>
          <t>71394 Baden-Württemberg - Kernen im Remstal</t>
        </is>
      </c>
      <c r="G503" s="5" t="n">
        <v>45515</v>
      </c>
      <c r="H503" t="inlineStr">
        <is>
          <t>Sold</t>
        </is>
      </c>
      <c r="I503" s="6">
        <f>HYPERLINK("https://www.kleinanzeigen.de/s-anzeige/windsurfen-gabelbaum-north-sails-185-235/2834765036-230-8383", "Link")</f>
        <v/>
      </c>
      <c r="J503" s="6">
        <f>HYPERLINK("C:\Projects\Kleinanzeigen-Scraper\offer_images\2834765036", "Link")</f>
        <v/>
      </c>
      <c r="K503" t="inlineStr">
        <is>
          <t>Thomas Bezler</t>
        </is>
      </c>
      <c r="L503" s="6">
        <f>HYPERLINK("https://www.kleinanzeigen.de/s-bestandsliste.html?userId=31103849", "Link")</f>
        <v/>
      </c>
      <c r="M503" s="7" t="n">
        <v>45516.48402777778</v>
      </c>
      <c r="N503" s="3" t="inlineStr">
        <is>
          <t>29.07</t>
        </is>
      </c>
      <c r="O503" t="inlineStr">
        <is>
          <t>Böblingen</t>
        </is>
      </c>
    </row>
    <row r="504">
      <c r="A504" t="inlineStr">
        <is>
          <t>AL360</t>
        </is>
      </c>
      <c r="B504" t="inlineStr">
        <is>
          <t>160-220</t>
        </is>
      </c>
      <c r="C504" t="inlineStr"/>
      <c r="D504" s="4" t="inlineStr">
        <is>
          <t>Inkl. Versand</t>
        </is>
      </c>
      <c r="E504" t="inlineStr"/>
      <c r="F504" t="inlineStr">
        <is>
          <t>Reutlingen</t>
        </is>
      </c>
      <c r="G504" s="5" t="n">
        <v>45514</v>
      </c>
      <c r="H504" t="inlineStr"/>
      <c r="I504" s="6">
        <f>HYPERLINK("https://www.dailydose.de/kleinanzeigen/detail.htm?ai=420688&amp;cf=kk&amp;pg=3&amp;ci=13", "Link")</f>
        <v/>
      </c>
      <c r="J504" s="6">
        <f>HYPERLINK("C:\Projects\Kleinanzeigen-Scraper\offer_images\420688", "Link")</f>
        <v/>
      </c>
      <c r="K504" t="inlineStr">
        <is>
          <t>Ralph Steiner</t>
        </is>
      </c>
      <c r="L504" s="6">
        <f>HYPERLINK("https://www.dailydose.de/kleinanzeigen/user/19679", "Link")</f>
        <v/>
      </c>
      <c r="M504" s="7" t="n">
        <v>45515.66106481481</v>
      </c>
      <c r="N504" s="3" t="inlineStr">
        <is>
          <t>26.77</t>
        </is>
      </c>
      <c r="O504" t="inlineStr">
        <is>
          <t>Böblingen</t>
        </is>
      </c>
    </row>
    <row r="505">
      <c r="A505" t="inlineStr">
        <is>
          <t>unbekannt</t>
        </is>
      </c>
      <c r="B505" t="inlineStr"/>
      <c r="C505" t="inlineStr"/>
      <c r="D505" s="4" t="n">
        <v>5</v>
      </c>
      <c r="E505" t="inlineStr"/>
      <c r="F505" t="inlineStr">
        <is>
          <t>67227 Rheinland-Pfalz - Frankenthal (Pfalz)</t>
        </is>
      </c>
      <c r="G505" s="5" t="n">
        <v>45515</v>
      </c>
      <c r="H505" t="inlineStr">
        <is>
          <t>Sold</t>
        </is>
      </c>
      <c r="I505" s="6">
        <f>HYPERLINK("https://www.kleinanzeigen.de/s-anzeige/gabelbaum-windsurfen/2834070650-230-5189", "Link")</f>
        <v/>
      </c>
      <c r="J505" s="6">
        <f>HYPERLINK("C:\Projects\Kleinanzeigen-Scraper\offer_images\2834070650", "Link")</f>
        <v/>
      </c>
      <c r="K505" t="inlineStr">
        <is>
          <t>Jan</t>
        </is>
      </c>
      <c r="L505" s="6">
        <f>HYPERLINK("https://www.kleinanzeigen.de/s-bestandsliste.html?userId=20359293", "Link")</f>
        <v/>
      </c>
      <c r="M505" s="7" t="n">
        <v>45515.65931712963</v>
      </c>
      <c r="N505" s="3" t="inlineStr">
        <is>
          <t>59.73</t>
        </is>
      </c>
      <c r="O505" t="inlineStr">
        <is>
          <t>Karlsruhe</t>
        </is>
      </c>
    </row>
    <row r="506">
      <c r="A506" t="inlineStr">
        <is>
          <t>Neilpryde</t>
        </is>
      </c>
      <c r="B506" t="inlineStr">
        <is>
          <t>160-210, 180-230</t>
        </is>
      </c>
      <c r="C506" t="inlineStr"/>
      <c r="D506" s="4" t="n">
        <v>110</v>
      </c>
      <c r="E506" t="inlineStr"/>
      <c r="F506" t="inlineStr">
        <is>
          <t>Stuttgart</t>
        </is>
      </c>
      <c r="G506" s="5" t="n">
        <v>45514</v>
      </c>
      <c r="H506" t="inlineStr"/>
      <c r="I506" s="6">
        <f>HYPERLINK("https://www.dailydose.de/kleinanzeigen/detail.htm?ai=420675&amp;cf=kk&amp;pg=3&amp;ci=13", "Link")</f>
        <v/>
      </c>
      <c r="J506" s="6">
        <f>HYPERLINK("C:\Projects\Kleinanzeigen-Scraper\offer_images\420675", "Link")</f>
        <v/>
      </c>
      <c r="K506" t="inlineStr">
        <is>
          <t>Roman_96</t>
        </is>
      </c>
      <c r="L506" s="6">
        <f>HYPERLINK("https://www.dailydose.de/kleinanzeigen/user/20905", "Link")</f>
        <v/>
      </c>
      <c r="M506" s="7" t="n">
        <v>45514.65098379629</v>
      </c>
      <c r="N506" s="3" t="inlineStr">
        <is>
          <t>18.71</t>
        </is>
      </c>
      <c r="O506" t="inlineStr">
        <is>
          <t>Böblingen</t>
        </is>
      </c>
    </row>
    <row r="507">
      <c r="A507" t="inlineStr"/>
      <c r="B507" t="inlineStr">
        <is>
          <t>adjustable</t>
        </is>
      </c>
      <c r="C507" t="inlineStr"/>
      <c r="D507" s="4" t="inlineStr">
        <is>
          <t>No price</t>
        </is>
      </c>
      <c r="E507" t="inlineStr"/>
      <c r="F507" t="inlineStr">
        <is>
          <t>78052 Baden-Württemberg - Villingen-Schwenningen</t>
        </is>
      </c>
      <c r="G507" s="5" t="n">
        <v>45512</v>
      </c>
      <c r="H507" t="inlineStr">
        <is>
          <t>Sold</t>
        </is>
      </c>
      <c r="I507" s="6">
        <f>HYPERLINK("https://www.kleinanzeigen.de/s-anzeige/windsurf-gabelbaum/2831762496-192-9103", "Link")</f>
        <v/>
      </c>
      <c r="J507" s="6">
        <f>HYPERLINK("C:\Projects\Kleinanzeigen-Scraper\offer_images\2831762496", "Link")</f>
        <v/>
      </c>
      <c r="K507" t="inlineStr">
        <is>
          <t>Ruppert</t>
        </is>
      </c>
      <c r="L507" s="6">
        <f>HYPERLINK("https://www.kleinanzeigen.de/s-bestandsliste.html?userId=50597780", "Link")</f>
        <v/>
      </c>
      <c r="M507" s="7" t="n">
        <v>45514.64835648148</v>
      </c>
      <c r="N507" s="3" t="inlineStr">
        <is>
          <t>25.58</t>
        </is>
      </c>
      <c r="O507" t="inlineStr">
        <is>
          <t>Bonndorf</t>
        </is>
      </c>
    </row>
    <row r="508">
      <c r="A508" t="inlineStr">
        <is>
          <t>North</t>
        </is>
      </c>
      <c r="B508" t="inlineStr">
        <is>
          <t>140 - 190</t>
        </is>
      </c>
      <c r="C508" t="inlineStr"/>
      <c r="D508" s="4" t="n">
        <v>35</v>
      </c>
      <c r="E508" t="inlineStr"/>
      <c r="F508" t="inlineStr">
        <is>
          <t>72768 Baden-Württemberg - Reutlingen</t>
        </is>
      </c>
      <c r="G508" s="5" t="n">
        <v>45508</v>
      </c>
      <c r="H508" t="inlineStr">
        <is>
          <t>Sold</t>
        </is>
      </c>
      <c r="I508" s="6">
        <f>HYPERLINK("https://www.kleinanzeigen.de/s-anzeige/2-x-north-sails-windsurf-gabelbaum-mit-startschot/2829188233-230-9348", "Link")</f>
        <v/>
      </c>
      <c r="J508" s="6">
        <f>HYPERLINK("C:\Projects\Kleinanzeigen-Scraper\offer_images\2829188233", "Link")</f>
        <v/>
      </c>
      <c r="K508" t="inlineStr">
        <is>
          <t>Ralph Saalbach</t>
        </is>
      </c>
      <c r="L508" s="6">
        <f>HYPERLINK("https://www.kleinanzeigen.de/s-bestandsliste.html?userId=17144438", "Link")</f>
        <v/>
      </c>
      <c r="M508" s="7" t="n">
        <v>45509.55408564815</v>
      </c>
      <c r="N508" s="3" t="inlineStr">
        <is>
          <t>22.53</t>
        </is>
      </c>
      <c r="O508" t="inlineStr">
        <is>
          <t>Böblingen</t>
        </is>
      </c>
    </row>
    <row r="509">
      <c r="A509" t="inlineStr">
        <is>
          <t>AL360 E3</t>
        </is>
      </c>
      <c r="B509" t="inlineStr">
        <is>
          <t>200-260</t>
        </is>
      </c>
      <c r="C509" t="inlineStr"/>
      <c r="D509" s="4" t="inlineStr">
        <is>
          <t>Inkl. Versand</t>
        </is>
      </c>
      <c r="E509" t="inlineStr"/>
      <c r="F509" t="inlineStr">
        <is>
          <t>Reutlingen</t>
        </is>
      </c>
      <c r="G509" s="5" t="n">
        <v>45507</v>
      </c>
      <c r="H509" t="inlineStr">
        <is>
          <t>Sold</t>
        </is>
      </c>
      <c r="I509" s="6">
        <f>HYPERLINK("https://www.dailydose.de/kleinanzeigen/detail.htm?ai=420365&amp;cf=kk&amp;pg=1&amp;ci=13", "Link")</f>
        <v/>
      </c>
      <c r="J509" s="6">
        <f>HYPERLINK("C:\Projects\Kleinanzeigen-Scraper\offer_images\420365", "Link")</f>
        <v/>
      </c>
      <c r="K509" t="inlineStr">
        <is>
          <t>Ralph Steiner</t>
        </is>
      </c>
      <c r="L509" s="6">
        <f>HYPERLINK("https://www.dailydose.de/kleinanzeigen/user/19679", "Link")</f>
        <v/>
      </c>
      <c r="M509" s="7" t="n">
        <v>45507.67592592593</v>
      </c>
      <c r="N509" s="3" t="inlineStr">
        <is>
          <t>26.77</t>
        </is>
      </c>
      <c r="O509" t="inlineStr">
        <is>
          <t>Böblingen</t>
        </is>
      </c>
    </row>
    <row r="510">
      <c r="A510" t="inlineStr">
        <is>
          <t>NP Neilpryde Pryde</t>
        </is>
      </c>
      <c r="B510" t="inlineStr">
        <is>
          <t>180-230</t>
        </is>
      </c>
      <c r="C510" t="inlineStr"/>
      <c r="D510" s="4" t="n">
        <v>99</v>
      </c>
      <c r="E510" t="inlineStr"/>
      <c r="F510" t="inlineStr">
        <is>
          <t>64665 Hessen - Alsbach-Hähnlein</t>
        </is>
      </c>
      <c r="G510" s="5" t="n">
        <v>45507</v>
      </c>
      <c r="H510" t="inlineStr">
        <is>
          <t>Sold</t>
        </is>
      </c>
      <c r="I510" s="6">
        <f>HYPERLINK("https://www.kleinanzeigen.de/s-anzeige/np-neilpryde-pryde-gabelbaum-x6-180-230-cm-windsurf/2827675246-230-4511", "Link")</f>
        <v/>
      </c>
      <c r="J510" s="6">
        <f>HYPERLINK("C:\Projects\Kleinanzeigen-Scraper\offer_images\2827675246", "Link")</f>
        <v/>
      </c>
      <c r="K510" t="inlineStr">
        <is>
          <t>Matthias</t>
        </is>
      </c>
      <c r="L510" s="6">
        <f>HYPERLINK("https://www.kleinanzeigen.de/s-bestandsliste.html?userId=6736192", "Link")</f>
        <v/>
      </c>
      <c r="M510" s="7" t="n">
        <v>45507.43269675926</v>
      </c>
      <c r="N510" s="3" t="inlineStr">
        <is>
          <t>82.33</t>
        </is>
      </c>
      <c r="O510" t="inlineStr">
        <is>
          <t>Karlsruhe</t>
        </is>
      </c>
    </row>
    <row r="511">
      <c r="A511" t="inlineStr">
        <is>
          <t>Duotone/North Platinum</t>
        </is>
      </c>
      <c r="B511" t="inlineStr">
        <is>
          <t>170-230</t>
        </is>
      </c>
      <c r="C511" t="inlineStr"/>
      <c r="D511" s="4" t="n">
        <v>450</v>
      </c>
      <c r="E511" t="inlineStr"/>
      <c r="F511" t="inlineStr">
        <is>
          <t>Karlsruhe/Stuttgart</t>
        </is>
      </c>
      <c r="G511" s="5" t="n">
        <v>45505</v>
      </c>
      <c r="H511" t="inlineStr"/>
      <c r="I511" s="6">
        <f>HYPERLINK("https://www.dailydose.de/kleinanzeigen/detail.htm?ai=420274&amp;cf=kk&amp;pg=4&amp;ci=13", "Link")</f>
        <v/>
      </c>
      <c r="J511" s="6">
        <f>HYPERLINK("C:\Projects\Kleinanzeigen-Scraper\offer_images\420274", "Link")</f>
        <v/>
      </c>
      <c r="K511" t="inlineStr">
        <is>
          <t>tobi_92</t>
        </is>
      </c>
      <c r="L511" s="6">
        <f>HYPERLINK("https://www.dailydose.de/kleinanzeigen/user/23836", "Link")</f>
        <v/>
      </c>
      <c r="M511" s="7" t="n">
        <v>45505.94869212963</v>
      </c>
      <c r="N511" s="3" t="inlineStr">
        <is>
          <t>2.29</t>
        </is>
      </c>
      <c r="O511" t="inlineStr">
        <is>
          <t>Karlsruhe</t>
        </is>
      </c>
    </row>
    <row r="512">
      <c r="A512" t="inlineStr">
        <is>
          <t>AL360 E3</t>
        </is>
      </c>
      <c r="B512" t="inlineStr">
        <is>
          <t>200-260</t>
        </is>
      </c>
      <c r="C512" t="inlineStr"/>
      <c r="D512" s="4" t="inlineStr">
        <is>
          <t>Inkl. Versand</t>
        </is>
      </c>
      <c r="E512" t="inlineStr"/>
      <c r="F512" t="inlineStr">
        <is>
          <t>Reutlingen</t>
        </is>
      </c>
      <c r="G512" s="5" t="n">
        <v>45492</v>
      </c>
      <c r="H512" t="inlineStr">
        <is>
          <t>Sold</t>
        </is>
      </c>
      <c r="I512" s="6">
        <f>HYPERLINK("https://www.dailydose.de/kleinanzeigen/detail.htm?ai=419678&amp;cf=kk&amp;pg=1&amp;ci=13", "Link")</f>
        <v/>
      </c>
      <c r="J512" s="6">
        <f>HYPERLINK("C:\Projects\Kleinanzeigen-Scraper\offer_images\419678", "Link")</f>
        <v/>
      </c>
      <c r="K512" t="inlineStr">
        <is>
          <t>Ralph Steiner</t>
        </is>
      </c>
      <c r="L512" s="6">
        <f>HYPERLINK("https://www.dailydose.de/kleinanzeigen/user/19679", "Link")</f>
        <v/>
      </c>
      <c r="M512" s="7" t="n">
        <v>45505.94663194445</v>
      </c>
      <c r="N512" s="3" t="inlineStr">
        <is>
          <t>26.77</t>
        </is>
      </c>
      <c r="O512" t="inlineStr">
        <is>
          <t>Böblingen</t>
        </is>
      </c>
    </row>
    <row r="513">
      <c r="A513" t="inlineStr">
        <is>
          <t>Fanatic</t>
        </is>
      </c>
      <c r="B513" t="inlineStr"/>
      <c r="C513" t="inlineStr"/>
      <c r="D513" s="4" t="n">
        <v>15</v>
      </c>
      <c r="E513" t="inlineStr">
        <is>
          <t>VB</t>
        </is>
      </c>
      <c r="F513" t="inlineStr">
        <is>
          <t>68753 Baden-Württemberg - Waghäusel</t>
        </is>
      </c>
      <c r="G513" s="5" t="n">
        <v>45504</v>
      </c>
      <c r="H513" t="inlineStr">
        <is>
          <t>Sold</t>
        </is>
      </c>
      <c r="I513" s="6">
        <f>HYPERLINK("https://www.kleinanzeigen.de/s-anzeige/gabelbaum-windsurfen/2825947991-230-8337", "Link")</f>
        <v/>
      </c>
      <c r="J513" s="6">
        <f>HYPERLINK("C:\Projects\Kleinanzeigen-Scraper\offer_images\2825947991", "Link")</f>
        <v/>
      </c>
      <c r="K513" t="inlineStr">
        <is>
          <t>Rio</t>
        </is>
      </c>
      <c r="L513" s="6">
        <f>HYPERLINK("https://www.kleinanzeigen.de/s-bestandsliste.html?userId=135446721", "Link")</f>
        <v/>
      </c>
      <c r="M513" s="7" t="n">
        <v>45505.83670138889</v>
      </c>
      <c r="N513" s="3" t="inlineStr">
        <is>
          <t>25.73</t>
        </is>
      </c>
      <c r="O513" t="inlineStr">
        <is>
          <t>Karlsruhe</t>
        </is>
      </c>
    </row>
    <row r="514">
      <c r="A514" t="inlineStr">
        <is>
          <t>Neilpryde X3</t>
        </is>
      </c>
      <c r="B514" t="inlineStr">
        <is>
          <t>135-185</t>
        </is>
      </c>
      <c r="C514" t="inlineStr"/>
      <c r="D514" s="4" t="n">
        <v>80</v>
      </c>
      <c r="E514" t="inlineStr"/>
      <c r="F514" t="inlineStr">
        <is>
          <t>78187 Geisingen</t>
        </is>
      </c>
      <c r="G514" s="5" t="n">
        <v>45467</v>
      </c>
      <c r="H514" t="inlineStr">
        <is>
          <t>Sold</t>
        </is>
      </c>
      <c r="I514" s="6">
        <f>HYPERLINK("https://www.dailydose.de/kleinanzeigen/detail.htm?ai=418424&amp;cf=kk&amp;pg=3&amp;ci=13", "Link")</f>
        <v/>
      </c>
      <c r="J514" s="6">
        <f>HYPERLINK("C:\Projects\Kleinanzeigen-Scraper\offer_images\418424", "Link")</f>
        <v/>
      </c>
      <c r="K514" t="inlineStr">
        <is>
          <t>surferto</t>
        </is>
      </c>
      <c r="L514" s="6">
        <f>HYPERLINK("https://www.dailydose.de/kleinanzeigen/user/23808", "Link")</f>
        <v/>
      </c>
      <c r="M514" s="7" t="n">
        <v>45502.78731481481</v>
      </c>
      <c r="N514" s="3" t="inlineStr">
        <is>
          <t>24.74</t>
        </is>
      </c>
      <c r="O514" t="inlineStr">
        <is>
          <t>Bonndorf</t>
        </is>
      </c>
    </row>
    <row r="515">
      <c r="A515" t="inlineStr">
        <is>
          <t>Maui Magic Vision</t>
        </is>
      </c>
      <c r="B515" t="inlineStr">
        <is>
          <t>162-222</t>
        </is>
      </c>
      <c r="C515" t="inlineStr"/>
      <c r="D515" s="4" t="n">
        <v>150</v>
      </c>
      <c r="E515" t="inlineStr"/>
      <c r="F515" t="inlineStr">
        <is>
          <t>78187 Geisingen</t>
        </is>
      </c>
      <c r="G515" s="5" t="n">
        <v>45467</v>
      </c>
      <c r="H515" t="inlineStr">
        <is>
          <t>Sold</t>
        </is>
      </c>
      <c r="I515" s="6">
        <f>HYPERLINK("https://www.dailydose.de/kleinanzeigen/detail.htm?ai=418426&amp;cf=kk&amp;pg=3&amp;ci=13", "Link")</f>
        <v/>
      </c>
      <c r="J515" s="6">
        <f>HYPERLINK("C:\Projects\Kleinanzeigen-Scraper\offer_images\418426", "Link")</f>
        <v/>
      </c>
      <c r="K515" t="inlineStr">
        <is>
          <t>surferto</t>
        </is>
      </c>
      <c r="L515" s="6">
        <f>HYPERLINK("https://www.dailydose.de/kleinanzeigen/user/23808", "Link")</f>
        <v/>
      </c>
      <c r="M515" s="7" t="n">
        <v>45502.78704861111</v>
      </c>
      <c r="N515" s="3" t="inlineStr">
        <is>
          <t>24.74</t>
        </is>
      </c>
      <c r="O515" t="inlineStr">
        <is>
          <t>Bonndorf</t>
        </is>
      </c>
    </row>
    <row r="516">
      <c r="A516" t="inlineStr">
        <is>
          <t>Duotone Silver HD</t>
        </is>
      </c>
      <c r="B516" t="inlineStr">
        <is>
          <t>150 - 200</t>
        </is>
      </c>
      <c r="C516" t="inlineStr"/>
      <c r="D516" s="4" t="n">
        <v>152</v>
      </c>
      <c r="E516" t="inlineStr">
        <is>
          <t>VB</t>
        </is>
      </c>
      <c r="F516" t="inlineStr">
        <is>
          <t>71083 Herrenberg</t>
        </is>
      </c>
      <c r="G516" s="5" t="n">
        <v>45436</v>
      </c>
      <c r="H516" t="inlineStr">
        <is>
          <t>Sold</t>
        </is>
      </c>
      <c r="I516" s="6">
        <f>HYPERLINK("https://www.dailydose.de/kleinanzeigen/detail.htm?ai=416591&amp;cf=kk&amp;pg=4&amp;ci=13", "Link")</f>
        <v/>
      </c>
      <c r="J516" s="6">
        <f>HYPERLINK("C:\Projects\Kleinanzeigen-Scraper\offer_images\416591", "Link")</f>
        <v/>
      </c>
      <c r="K516" t="inlineStr">
        <is>
          <t>Nick_18</t>
        </is>
      </c>
      <c r="L516" s="6">
        <f>HYPERLINK("https://www.dailydose.de/kleinanzeigen/user/17602", "Link")</f>
        <v/>
      </c>
      <c r="M516" s="7" t="n">
        <v>45502.7869212963</v>
      </c>
      <c r="N516" s="3" t="inlineStr">
        <is>
          <t>12.18</t>
        </is>
      </c>
      <c r="O516" t="inlineStr">
        <is>
          <t>Böblingen</t>
        </is>
      </c>
    </row>
    <row r="517">
      <c r="A517" t="inlineStr">
        <is>
          <t>Silver Series</t>
        </is>
      </c>
      <c r="B517" t="inlineStr">
        <is>
          <t>140-190</t>
        </is>
      </c>
      <c r="C517" t="inlineStr"/>
      <c r="D517" s="4" t="n">
        <v>80</v>
      </c>
      <c r="E517" t="inlineStr"/>
      <c r="F517" t="inlineStr">
        <is>
          <t>76228 Karlsruhe</t>
        </is>
      </c>
      <c r="G517" s="5" t="n">
        <v>45421</v>
      </c>
      <c r="H517" t="inlineStr">
        <is>
          <t>Sold</t>
        </is>
      </c>
      <c r="I517" s="6">
        <f>HYPERLINK("https://www.dailydose.de/kleinanzeigen/detail.htm?ai=415749&amp;cf=kk&amp;pg=5&amp;ci=13", "Link")</f>
        <v/>
      </c>
      <c r="J517" s="6">
        <f>HYPERLINK("C:\Projects\Kleinanzeigen-Scraper\offer_images\415749", "Link")</f>
        <v/>
      </c>
      <c r="K517" t="inlineStr">
        <is>
          <t>Wallo</t>
        </is>
      </c>
      <c r="L517" s="6">
        <f>HYPERLINK("https://www.dailydose.de/kleinanzeigen/user/4145", "Link")</f>
        <v/>
      </c>
      <c r="M517" s="7" t="n">
        <v>45502.78664351852</v>
      </c>
      <c r="N517" s="3" t="inlineStr">
        <is>
          <t>8.23</t>
        </is>
      </c>
      <c r="O517" t="inlineStr">
        <is>
          <t>Karlsruhe</t>
        </is>
      </c>
    </row>
    <row r="518">
      <c r="A518" t="inlineStr">
        <is>
          <t>Prolimit Team Wave</t>
        </is>
      </c>
      <c r="B518" t="inlineStr">
        <is>
          <t>145-195</t>
        </is>
      </c>
      <c r="C518" t="inlineStr"/>
      <c r="D518" s="4" t="n">
        <v>120</v>
      </c>
      <c r="E518" t="inlineStr">
        <is>
          <t>VB</t>
        </is>
      </c>
      <c r="F518" t="inlineStr">
        <is>
          <t>79102 Freiburg im Breisgau</t>
        </is>
      </c>
      <c r="G518" s="5" t="n">
        <v>45465</v>
      </c>
      <c r="H518" t="inlineStr"/>
      <c r="I518" s="6">
        <f>HYPERLINK("https://www.dailydose.de/kleinanzeigen/detail.htm?ai=418311&amp;cf=kk&amp;pg=5&amp;ci=13", "Link")</f>
        <v/>
      </c>
      <c r="J518" s="6">
        <f>HYPERLINK("C:\Projects\Kleinanzeigen-Scraper\offer_images\418311", "Link")</f>
        <v/>
      </c>
      <c r="K518" t="inlineStr">
        <is>
          <t>Alex_68</t>
        </is>
      </c>
      <c r="L518" s="6">
        <f>HYPERLINK("https://www.dailydose.de/kleinanzeigen/user/2823", "Link")</f>
        <v/>
      </c>
      <c r="M518" s="7" t="n">
        <v>45502.78663194444</v>
      </c>
      <c r="N518" s="3" t="inlineStr">
        <is>
          <t>40.20</t>
        </is>
      </c>
      <c r="O518" t="inlineStr">
        <is>
          <t>Bonndorf</t>
        </is>
      </c>
    </row>
    <row r="519">
      <c r="A519" t="inlineStr">
        <is>
          <t>North Sails Platinum</t>
        </is>
      </c>
      <c r="B519" t="inlineStr">
        <is>
          <t>190-250</t>
        </is>
      </c>
      <c r="C519" t="inlineStr">
        <is>
          <t>2019</t>
        </is>
      </c>
      <c r="D519" s="4" t="n">
        <v>521</v>
      </c>
      <c r="E519" t="inlineStr">
        <is>
          <t>VB</t>
        </is>
      </c>
      <c r="F519" t="inlineStr">
        <is>
          <t>71083 Herrenberg</t>
        </is>
      </c>
      <c r="G519" s="5" t="n">
        <v>45436</v>
      </c>
      <c r="H519" t="inlineStr"/>
      <c r="I519" s="6">
        <f>HYPERLINK("https://www.dailydose.de/kleinanzeigen/detail.htm?ai=416592&amp;cf=kk&amp;pg=5&amp;ci=13", "Link")</f>
        <v/>
      </c>
      <c r="J519" s="6">
        <f>HYPERLINK("C:\Projects\Kleinanzeigen-Scraper\offer_images\416592", "Link")</f>
        <v/>
      </c>
      <c r="K519" t="inlineStr">
        <is>
          <t>Nick_18</t>
        </is>
      </c>
      <c r="L519" s="6">
        <f>HYPERLINK("https://www.dailydose.de/kleinanzeigen/user/17602", "Link")</f>
        <v/>
      </c>
      <c r="M519" s="7" t="n">
        <v>45502.78640046297</v>
      </c>
      <c r="N519" s="3" t="inlineStr">
        <is>
          <t>12.18</t>
        </is>
      </c>
      <c r="O519" t="inlineStr">
        <is>
          <t>Böblingen</t>
        </is>
      </c>
    </row>
    <row r="520">
      <c r="A520" t="inlineStr">
        <is>
          <t>Gunsails Select</t>
        </is>
      </c>
      <c r="B520" t="inlineStr">
        <is>
          <t>180-240</t>
        </is>
      </c>
      <c r="C520" t="inlineStr"/>
      <c r="D520" s="4" t="n">
        <v>550</v>
      </c>
      <c r="E520" t="inlineStr"/>
      <c r="F520" t="inlineStr">
        <is>
          <t>76646 Bruchsal</t>
        </is>
      </c>
      <c r="G520" s="5" t="n">
        <v>45374</v>
      </c>
      <c r="H520" t="inlineStr">
        <is>
          <t>Sold</t>
        </is>
      </c>
      <c r="I520" s="6">
        <f>HYPERLINK("https://www.dailydose.de/kleinanzeigen/detail.htm?ai=413146&amp;cf=kk&amp;pg=5&amp;ci=13", "Link")</f>
        <v/>
      </c>
      <c r="J520" s="6">
        <f>HYPERLINK("C:\Projects\Kleinanzeigen-Scraper\offer_images\413146", "Link")</f>
        <v/>
      </c>
      <c r="K520" t="inlineStr">
        <is>
          <t>speedy</t>
        </is>
      </c>
      <c r="L520" s="6">
        <f>HYPERLINK("https://www.dailydose.de/kleinanzeigen/user/3285", "Link")</f>
        <v/>
      </c>
      <c r="M520" s="7" t="n">
        <v>45502.78628472222</v>
      </c>
      <c r="N520" s="3" t="inlineStr">
        <is>
          <t>18.28</t>
        </is>
      </c>
      <c r="O520" t="inlineStr">
        <is>
          <t>Karlsruhe</t>
        </is>
      </c>
    </row>
    <row r="521">
      <c r="A521" t="inlineStr">
        <is>
          <t>Gunsails Select</t>
        </is>
      </c>
      <c r="B521" t="inlineStr">
        <is>
          <t>230-290</t>
        </is>
      </c>
      <c r="C521" t="inlineStr"/>
      <c r="D521" s="4" t="n">
        <v>180</v>
      </c>
      <c r="E521" t="inlineStr">
        <is>
          <t>VB</t>
        </is>
      </c>
      <c r="F521" t="inlineStr">
        <is>
          <t>71131 Jettingen</t>
        </is>
      </c>
      <c r="G521" s="5" t="n">
        <v>45346</v>
      </c>
      <c r="H521" t="inlineStr">
        <is>
          <t>Sold</t>
        </is>
      </c>
      <c r="I521" s="6">
        <f>HYPERLINK("https://www.dailydose.de/kleinanzeigen/detail.htm?ai=411679&amp;cf=kk&amp;pg=5&amp;ci=13", "Link")</f>
        <v/>
      </c>
      <c r="J521" s="6">
        <f>HYPERLINK("C:\Projects\Kleinanzeigen-Scraper\offer_images\411679", "Link")</f>
        <v/>
      </c>
      <c r="K521" t="inlineStr">
        <is>
          <t>J_62</t>
        </is>
      </c>
      <c r="L521" s="6">
        <f>HYPERLINK("https://www.dailydose.de/kleinanzeigen/user/12872", "Link")</f>
        <v/>
      </c>
      <c r="M521" s="7" t="n">
        <v>45502.78622685185</v>
      </c>
      <c r="N521" s="3" t="inlineStr">
        <is>
          <t>18.83</t>
        </is>
      </c>
      <c r="O521" t="inlineStr">
        <is>
          <t>Böblingen</t>
        </is>
      </c>
    </row>
    <row r="522">
      <c r="A522" t="inlineStr">
        <is>
          <t>Gaastra Freeride</t>
        </is>
      </c>
      <c r="B522" t="inlineStr">
        <is>
          <t>185 - 245</t>
        </is>
      </c>
      <c r="C522" t="inlineStr"/>
      <c r="D522" s="4" t="n">
        <v>60</v>
      </c>
      <c r="E522" t="inlineStr"/>
      <c r="F522" t="inlineStr">
        <is>
          <t>70599 Stuttgart</t>
        </is>
      </c>
      <c r="G522" s="5" t="n">
        <v>45285</v>
      </c>
      <c r="H522" t="inlineStr">
        <is>
          <t>Sold</t>
        </is>
      </c>
      <c r="I522" s="6">
        <f>HYPERLINK("https://www.dailydose.de/kleinanzeigen/detail.htm?ai=409558&amp;cf=kk&amp;pg=6&amp;ci=13", "Link")</f>
        <v/>
      </c>
      <c r="J522" s="6">
        <f>HYPERLINK("C:\Projects\Kleinanzeigen-Scraper\offer_images\409558", "Link")</f>
        <v/>
      </c>
      <c r="K522" t="inlineStr">
        <is>
          <t>JoeHumphrey</t>
        </is>
      </c>
      <c r="L522" s="6">
        <f>HYPERLINK("https://www.dailydose.de/kleinanzeigen/user/25734", "Link")</f>
        <v/>
      </c>
      <c r="M522" s="7" t="n">
        <v>45502.78619212963</v>
      </c>
      <c r="N522" s="3" t="inlineStr">
        <is>
          <t>17.12</t>
        </is>
      </c>
      <c r="O522" t="inlineStr">
        <is>
          <t>Böblingen</t>
        </is>
      </c>
    </row>
    <row r="523">
      <c r="A523" t="inlineStr">
        <is>
          <t>Naish</t>
        </is>
      </c>
      <c r="B523" t="inlineStr">
        <is>
          <t>130 - 185</t>
        </is>
      </c>
      <c r="C523" t="inlineStr"/>
      <c r="D523" s="4" t="n">
        <v>40</v>
      </c>
      <c r="E523" t="inlineStr"/>
      <c r="F523" t="inlineStr">
        <is>
          <t>71334 Waiblingen</t>
        </is>
      </c>
      <c r="G523" s="5" t="n">
        <v>45465</v>
      </c>
      <c r="H523" t="inlineStr"/>
      <c r="I523" s="6">
        <f>HYPERLINK("https://www.dailydose.de/kleinanzeigen/detail.htm?ai=418261&amp;cf=kk&amp;pg=5&amp;ci=13", "Link")</f>
        <v/>
      </c>
      <c r="J523" s="6">
        <f>HYPERLINK("C:\Projects\Kleinanzeigen-Scraper\offer_images\418261", "Link")</f>
        <v/>
      </c>
      <c r="K523" t="inlineStr">
        <is>
          <t>Heiko_92</t>
        </is>
      </c>
      <c r="L523" s="6">
        <f>HYPERLINK("https://www.dailydose.de/kleinanzeigen/user/11157", "Link")</f>
        <v/>
      </c>
      <c r="M523" s="7" t="n">
        <v>45502.78541666667</v>
      </c>
      <c r="N523" s="3" t="inlineStr">
        <is>
          <t>31.14</t>
        </is>
      </c>
      <c r="O523" t="inlineStr">
        <is>
          <t>Böblingen</t>
        </is>
      </c>
    </row>
    <row r="524">
      <c r="A524" t="inlineStr">
        <is>
          <t>North Sails Red Series</t>
        </is>
      </c>
      <c r="B524" t="inlineStr">
        <is>
          <t>180-230</t>
        </is>
      </c>
      <c r="C524" t="inlineStr"/>
      <c r="D524" s="4" t="n">
        <v>80</v>
      </c>
      <c r="E524" t="inlineStr"/>
      <c r="F524" t="inlineStr">
        <is>
          <t>78187 Geisingen</t>
        </is>
      </c>
      <c r="G524" s="5" t="n">
        <v>45487</v>
      </c>
      <c r="H524" t="inlineStr">
        <is>
          <t>Sold</t>
        </is>
      </c>
      <c r="I524" s="6">
        <f>HYPERLINK("https://www.dailydose.de/kleinanzeigen/detail.htm?ai=419408&amp;cf=kk&amp;pg=2&amp;ci=13", "Link")</f>
        <v/>
      </c>
      <c r="J524" s="6">
        <f>HYPERLINK("C:\Projects\Kleinanzeigen-Scraper\offer_images\419408", "Link")</f>
        <v/>
      </c>
      <c r="K524" t="inlineStr">
        <is>
          <t>surferto</t>
        </is>
      </c>
      <c r="L524" s="6">
        <f>HYPERLINK("https://www.dailydose.de/kleinanzeigen/user/23808", "Link")</f>
        <v/>
      </c>
      <c r="M524" s="7" t="n">
        <v>45502.785</v>
      </c>
      <c r="N524" s="3" t="inlineStr">
        <is>
          <t>24.74</t>
        </is>
      </c>
      <c r="O524" t="inlineStr">
        <is>
          <t>Bonndorf</t>
        </is>
      </c>
    </row>
    <row r="525">
      <c r="A525" t="inlineStr">
        <is>
          <t>North Sails</t>
        </is>
      </c>
      <c r="B525" t="inlineStr">
        <is>
          <t>150-200</t>
        </is>
      </c>
      <c r="C525" t="inlineStr"/>
      <c r="D525" s="4" t="n">
        <v>114</v>
      </c>
      <c r="E525" t="inlineStr">
        <is>
          <t>VB</t>
        </is>
      </c>
      <c r="F525" t="inlineStr">
        <is>
          <t>71083 Herrenberg</t>
        </is>
      </c>
      <c r="G525" s="5" t="n">
        <v>45436</v>
      </c>
      <c r="H525" t="inlineStr">
        <is>
          <t>Sold</t>
        </is>
      </c>
      <c r="I525" s="6">
        <f>HYPERLINK("https://www.dailydose.de/kleinanzeigen/detail.htm?ai=416590&amp;cf=kk&amp;pg=4&amp;ci=13", "Link")</f>
        <v/>
      </c>
      <c r="J525" s="6">
        <f>HYPERLINK("C:\Projects\Kleinanzeigen-Scraper\offer_images\416590", "Link")</f>
        <v/>
      </c>
      <c r="K525" t="inlineStr">
        <is>
          <t>Nick_18</t>
        </is>
      </c>
      <c r="L525" s="6">
        <f>HYPERLINK("https://www.dailydose.de/kleinanzeigen/user/17602", "Link")</f>
        <v/>
      </c>
      <c r="M525" s="7" t="n">
        <v>45502.78494212963</v>
      </c>
      <c r="N525" s="3" t="inlineStr">
        <is>
          <t>12.18</t>
        </is>
      </c>
      <c r="O525" t="inlineStr">
        <is>
          <t>Böblingen</t>
        </is>
      </c>
    </row>
    <row r="526">
      <c r="A526" t="inlineStr">
        <is>
          <t>CHINOOK - Pro 1 Carbon</t>
        </is>
      </c>
      <c r="B526" t="inlineStr">
        <is>
          <t>220 - 300</t>
        </is>
      </c>
      <c r="C526" t="inlineStr"/>
      <c r="D526" s="4" t="n">
        <v>650</v>
      </c>
      <c r="E526" t="inlineStr"/>
      <c r="F526" t="inlineStr">
        <is>
          <t>73269 Hochdorf</t>
        </is>
      </c>
      <c r="G526" s="5" t="n">
        <v>45380</v>
      </c>
      <c r="H526" t="inlineStr">
        <is>
          <t>Sold</t>
        </is>
      </c>
      <c r="I526" s="6">
        <f>HYPERLINK("https://www.dailydose.de/kleinanzeigen/detail.htm?ai=413423&amp;cf=kk&amp;pg=5&amp;ci=13", "Link")</f>
        <v/>
      </c>
      <c r="J526" s="6">
        <f>HYPERLINK("C:\Projects\Kleinanzeigen-Scraper\offer_images\413423", "Link")</f>
        <v/>
      </c>
      <c r="K526" t="inlineStr">
        <is>
          <t>Steffen Rottweiler</t>
        </is>
      </c>
      <c r="L526" s="6">
        <f>HYPERLINK("https://www.dailydose.de/kleinanzeigen/user/20380", "Link")</f>
        <v/>
      </c>
      <c r="M526" s="7" t="n">
        <v>45502.78480324074</v>
      </c>
      <c r="N526" s="3" t="inlineStr">
        <is>
          <t>36.34</t>
        </is>
      </c>
      <c r="O526" t="inlineStr">
        <is>
          <t>Böblingen</t>
        </is>
      </c>
    </row>
    <row r="527">
      <c r="A527" t="inlineStr">
        <is>
          <t>NP Neilpryde Pryde</t>
        </is>
      </c>
      <c r="B527" t="inlineStr">
        <is>
          <t>180-230</t>
        </is>
      </c>
      <c r="C527" t="inlineStr"/>
      <c r="D527" s="4" t="n">
        <v>139</v>
      </c>
      <c r="E527" t="inlineStr"/>
      <c r="F527" t="inlineStr">
        <is>
          <t>64665 Alsbach-Hähnlein</t>
        </is>
      </c>
      <c r="G527" s="5" t="n">
        <v>45480</v>
      </c>
      <c r="H527" t="inlineStr"/>
      <c r="I527" s="6">
        <f>HYPERLINK("https://www.dailydose.de/kleinanzeigen/detail.htm?ai=419016&amp;cf=kk&amp;pg=4&amp;ci=13", "Link")</f>
        <v/>
      </c>
      <c r="J527" s="6">
        <f>HYPERLINK("C:\Projects\Kleinanzeigen-Scraper\offer_images\419016", "Link")</f>
        <v/>
      </c>
      <c r="K527" t="inlineStr">
        <is>
          <t>pradoo</t>
        </is>
      </c>
      <c r="L527" s="6">
        <f>HYPERLINK("https://www.dailydose.de/kleinanzeigen/user/17201", "Link")</f>
        <v/>
      </c>
      <c r="M527" s="7" t="n">
        <v>45502.78472222222</v>
      </c>
      <c r="N527" s="3" t="inlineStr">
        <is>
          <t>82.33</t>
        </is>
      </c>
      <c r="O527" t="inlineStr">
        <is>
          <t>Karlsruhe</t>
        </is>
      </c>
    </row>
    <row r="528">
      <c r="A528" t="inlineStr">
        <is>
          <t>Duotone Silver SL Series</t>
        </is>
      </c>
      <c r="B528" t="inlineStr">
        <is>
          <t>180-230</t>
        </is>
      </c>
      <c r="C528" t="inlineStr"/>
      <c r="D528" s="4" t="n">
        <v>110</v>
      </c>
      <c r="E528" t="inlineStr"/>
      <c r="F528" t="inlineStr">
        <is>
          <t>64739 Höchst i. Odw.</t>
        </is>
      </c>
      <c r="G528" s="5" t="n">
        <v>45416</v>
      </c>
      <c r="H528" t="inlineStr">
        <is>
          <t>Sold</t>
        </is>
      </c>
      <c r="I528" s="6">
        <f>HYPERLINK("https://www.dailydose.de/kleinanzeigen/detail.htm?ai=415410&amp;cf=kk&amp;pg=5&amp;ci=13", "Link")</f>
        <v/>
      </c>
      <c r="J528" s="6">
        <f>HYPERLINK("C:\Projects\Kleinanzeigen-Scraper\offer_images\415410", "Link")</f>
        <v/>
      </c>
      <c r="K528" t="inlineStr">
        <is>
          <t>Annelsbacher</t>
        </is>
      </c>
      <c r="L528" s="6">
        <f>HYPERLINK("https://www.dailydose.de/kleinanzeigen/user/15568", "Link")</f>
        <v/>
      </c>
      <c r="M528" s="7" t="n">
        <v>45502.784375</v>
      </c>
      <c r="N528" s="3" t="inlineStr">
        <is>
          <t>96.83</t>
        </is>
      </c>
      <c r="O528" t="inlineStr">
        <is>
          <t>Karlsruhe</t>
        </is>
      </c>
    </row>
    <row r="529">
      <c r="A529" t="inlineStr">
        <is>
          <t>Gunsails Cross</t>
        </is>
      </c>
      <c r="B529" t="inlineStr">
        <is>
          <t>150-200</t>
        </is>
      </c>
      <c r="C529" t="inlineStr"/>
      <c r="D529" s="4" t="n">
        <v>140</v>
      </c>
      <c r="E529" t="inlineStr">
        <is>
          <t>VB</t>
        </is>
      </c>
      <c r="F529" t="inlineStr">
        <is>
          <t>69115 Heidelberg</t>
        </is>
      </c>
      <c r="G529" s="5" t="n">
        <v>45473</v>
      </c>
      <c r="H529" t="inlineStr"/>
      <c r="I529" s="6">
        <f>HYPERLINK("https://www.dailydose.de/kleinanzeigen/detail.htm?ai=418676&amp;cf=kk&amp;pg=4&amp;ci=13", "Link")</f>
        <v/>
      </c>
      <c r="J529" s="6">
        <f>HYPERLINK("C:\Projects\Kleinanzeigen-Scraper\offer_images\418676", "Link")</f>
        <v/>
      </c>
      <c r="K529" t="inlineStr">
        <is>
          <t>doklaes</t>
        </is>
      </c>
      <c r="L529" s="6">
        <f>HYPERLINK("https://www.dailydose.de/kleinanzeigen/user/7153", "Link")</f>
        <v/>
      </c>
      <c r="M529" s="7" t="n">
        <v>45502.78431712963</v>
      </c>
      <c r="N529" s="3" t="inlineStr">
        <is>
          <t>48.81</t>
        </is>
      </c>
      <c r="O529" t="inlineStr">
        <is>
          <t>Karlsruhe</t>
        </is>
      </c>
    </row>
    <row r="530">
      <c r="A530" t="inlineStr">
        <is>
          <t>Gun Sails Cross</t>
        </is>
      </c>
      <c r="B530" t="inlineStr">
        <is>
          <t>180 - 240</t>
        </is>
      </c>
      <c r="C530" t="inlineStr"/>
      <c r="D530" s="4" t="n">
        <v>149</v>
      </c>
      <c r="E530" t="inlineStr"/>
      <c r="F530" t="inlineStr">
        <is>
          <t>79102 Baden-Württemberg - Freiburg im Breisgau</t>
        </is>
      </c>
      <c r="G530" s="5" t="n">
        <v>45456</v>
      </c>
      <c r="H530" t="inlineStr">
        <is>
          <t>Sold</t>
        </is>
      </c>
      <c r="I530" s="6">
        <f>HYPERLINK("https://www.kleinanzeigen.de/s-anzeige/gabelbaum-gun-sails-cross-180-240-cm-windsurf/2786995523-230-9364", "Link")</f>
        <v/>
      </c>
      <c r="J530" s="6">
        <f>HYPERLINK("C:\Projects\Kleinanzeigen-Scraper\offer_images\2786995523", "Link")</f>
        <v/>
      </c>
      <c r="K530" t="inlineStr">
        <is>
          <t>Tobias</t>
        </is>
      </c>
      <c r="L530" s="6">
        <f>HYPERLINK("https://www.kleinanzeigen.de/s-bestandsliste.html?userId=11261079", "Link")</f>
        <v/>
      </c>
      <c r="M530" s="7" t="n">
        <v>45502.78351851852</v>
      </c>
      <c r="N530" s="3" t="inlineStr">
        <is>
          <t>40.20</t>
        </is>
      </c>
      <c r="O530" t="inlineStr">
        <is>
          <t>Bonndorf</t>
        </is>
      </c>
    </row>
    <row r="531">
      <c r="A531" t="inlineStr">
        <is>
          <t>Maui Magic Vision</t>
        </is>
      </c>
      <c r="B531" t="inlineStr">
        <is>
          <t>162-222</t>
        </is>
      </c>
      <c r="C531" t="inlineStr"/>
      <c r="D531" s="4" t="n">
        <v>150</v>
      </c>
      <c r="E531" t="inlineStr"/>
      <c r="F531" t="inlineStr">
        <is>
          <t>78187 Baden-Württemberg - Geisingen</t>
        </is>
      </c>
      <c r="G531" s="5" t="n">
        <v>45467</v>
      </c>
      <c r="H531" t="inlineStr">
        <is>
          <t>Sold</t>
        </is>
      </c>
      <c r="I531" s="6">
        <f>HYPERLINK("https://www.kleinanzeigen.de/s-anzeige/windsurfen-gabelbaum-carbon-maui-magic-162-222cm/2796669701-230-8860", "Link")</f>
        <v/>
      </c>
      <c r="J531" s="6">
        <f>HYPERLINK("C:\Projects\Kleinanzeigen-Scraper\offer_images\2796669701", "Link")</f>
        <v/>
      </c>
      <c r="K531" t="inlineStr">
        <is>
          <t>Tobias B.</t>
        </is>
      </c>
      <c r="L531" s="6">
        <f>HYPERLINK("https://www.kleinanzeigen.de/s-bestandsliste.html?userId=35855171", "Link")</f>
        <v/>
      </c>
      <c r="M531" s="7" t="n">
        <v>45500.72443287037</v>
      </c>
      <c r="N531" s="3" t="inlineStr">
        <is>
          <t>24.74</t>
        </is>
      </c>
      <c r="O531" t="inlineStr">
        <is>
          <t>Bonndorf</t>
        </is>
      </c>
    </row>
    <row r="532">
      <c r="A532" t="inlineStr">
        <is>
          <t>Amex</t>
        </is>
      </c>
      <c r="B532" t="inlineStr">
        <is>
          <t>160-210</t>
        </is>
      </c>
      <c r="C532" t="inlineStr"/>
      <c r="D532" s="4" t="n">
        <v>320</v>
      </c>
      <c r="E532" t="inlineStr">
        <is>
          <t>VB</t>
        </is>
      </c>
      <c r="F532" t="inlineStr">
        <is>
          <t>67346 Rheinland-Pfalz - Speyer</t>
        </is>
      </c>
      <c r="G532" s="5" t="n">
        <v>45448</v>
      </c>
      <c r="H532" t="inlineStr">
        <is>
          <t>Sold</t>
        </is>
      </c>
      <c r="I532" s="6">
        <f>HYPERLINK("https://www.kleinanzeigen.de/s-anzeige/windsurf-carbon-gabelbaum-amex-160-210cm/2780932512-230-5365", "Link")</f>
        <v/>
      </c>
      <c r="J532" s="6">
        <f>HYPERLINK("C:\Projects\Kleinanzeigen-Scraper\offer_images\2780932512", "Link")</f>
        <v/>
      </c>
      <c r="K532" t="inlineStr">
        <is>
          <t>D. Ertel</t>
        </is>
      </c>
      <c r="L532" s="6">
        <f>HYPERLINK("https://www.kleinanzeigen.de/s-bestandsliste.html?userId=13322828", "Link")</f>
        <v/>
      </c>
      <c r="M532" s="7" t="n">
        <v>45500.72438657407</v>
      </c>
      <c r="N532" s="3" t="inlineStr">
        <is>
          <t>35.76</t>
        </is>
      </c>
      <c r="O532" t="inlineStr">
        <is>
          <t>Karlsruhe</t>
        </is>
      </c>
    </row>
    <row r="533">
      <c r="A533" t="inlineStr">
        <is>
          <t>Duotone, North Sails, Neil Pryde</t>
        </is>
      </c>
      <c r="B533" t="inlineStr">
        <is>
          <t>140-190</t>
        </is>
      </c>
      <c r="C533" t="inlineStr"/>
      <c r="D533" s="4" t="n">
        <v>100</v>
      </c>
      <c r="E533" t="inlineStr">
        <is>
          <t>VB</t>
        </is>
      </c>
      <c r="F533" t="inlineStr">
        <is>
          <t>75045 Baden-Württemberg - Walzbachtal</t>
        </is>
      </c>
      <c r="G533" s="5" t="n">
        <v>45457</v>
      </c>
      <c r="H533" t="inlineStr">
        <is>
          <t>Sold</t>
        </is>
      </c>
      <c r="I533" s="6">
        <f>HYPERLINK("https://www.kleinanzeigen.de/s-anzeige/windsurf-boom-gabelbaum-duotone-north-sails-neil-pryde-carbon/2787762077-230-8248", "Link")</f>
        <v/>
      </c>
      <c r="J533" s="6">
        <f>HYPERLINK("C:\Projects\Kleinanzeigen-Scraper\offer_images\2787762077", "Link")</f>
        <v/>
      </c>
      <c r="K533" t="inlineStr">
        <is>
          <t>Carsten</t>
        </is>
      </c>
      <c r="L533" s="6">
        <f>HYPERLINK("https://www.kleinanzeigen.de/s-bestandsliste.html?userId=21241938", "Link")</f>
        <v/>
      </c>
      <c r="M533" s="7" t="n">
        <v>45500.72435185185</v>
      </c>
      <c r="N533" s="3" t="inlineStr">
        <is>
          <t>15.32</t>
        </is>
      </c>
      <c r="O533" t="inlineStr">
        <is>
          <t>Karlsruhe</t>
        </is>
      </c>
    </row>
    <row r="534">
      <c r="A534" t="inlineStr">
        <is>
          <t>North</t>
        </is>
      </c>
      <c r="B534" t="inlineStr">
        <is>
          <t>140 – 205</t>
        </is>
      </c>
      <c r="C534" t="inlineStr"/>
      <c r="D534" s="4" t="n">
        <v>40</v>
      </c>
      <c r="E534" t="inlineStr">
        <is>
          <t>VB</t>
        </is>
      </c>
      <c r="F534" t="inlineStr">
        <is>
          <t>72762 Baden-Württemberg - Reutlingen</t>
        </is>
      </c>
      <c r="G534" s="5" t="n">
        <v>45485</v>
      </c>
      <c r="H534" t="inlineStr">
        <is>
          <t>Sold</t>
        </is>
      </c>
      <c r="I534" s="6">
        <f>HYPERLINK("https://www.kleinanzeigen.de/s-anzeige/windsurf-gabelbaum-north-vario-140-205-cm/2810682773-230-9351", "Link")</f>
        <v/>
      </c>
      <c r="J534" s="6">
        <f>HYPERLINK("C:\Projects\Kleinanzeigen-Scraper\offer_images\2810682773", "Link")</f>
        <v/>
      </c>
      <c r="K534" t="inlineStr">
        <is>
          <t>Gerhard Kühne</t>
        </is>
      </c>
      <c r="L534" s="6">
        <f>HYPERLINK("https://www.kleinanzeigen.de/s-bestandsliste.html?userId=26064227", "Link")</f>
        <v/>
      </c>
      <c r="M534" s="7" t="n">
        <v>45500.72430555556</v>
      </c>
      <c r="N534" s="3" t="inlineStr">
        <is>
          <t>27.24</t>
        </is>
      </c>
      <c r="O534" t="inlineStr">
        <is>
          <t>Böblingen</t>
        </is>
      </c>
    </row>
    <row r="535">
      <c r="A535" t="inlineStr"/>
      <c r="B535" t="inlineStr">
        <is>
          <t>adjustable</t>
        </is>
      </c>
      <c r="C535" t="inlineStr"/>
      <c r="D535" s="4" t="n">
        <v>5</v>
      </c>
      <c r="E535" t="inlineStr"/>
      <c r="F535" t="inlineStr">
        <is>
          <t>78052 Baden-Württemberg - Villingen-Schwenningen</t>
        </is>
      </c>
      <c r="G535" s="5" t="n">
        <v>45498</v>
      </c>
      <c r="H535" t="inlineStr">
        <is>
          <t>Sold</t>
        </is>
      </c>
      <c r="I535" s="6">
        <f>HYPERLINK("https://www.kleinanzeigen.de/s-anzeige/windsurf-gabelbaum/2820502762-230-9103", "Link")</f>
        <v/>
      </c>
      <c r="J535" s="6">
        <f>HYPERLINK("C:\Projects\Kleinanzeigen-Scraper\offer_images\2820502762", "Link")</f>
        <v/>
      </c>
      <c r="K535" t="inlineStr">
        <is>
          <t>Ruppert</t>
        </is>
      </c>
      <c r="L535" s="6">
        <f>HYPERLINK("https://www.kleinanzeigen.de/s-bestandsliste.html?userId=50597780", "Link")</f>
        <v/>
      </c>
      <c r="M535" s="7" t="n">
        <v>45500.72429398148</v>
      </c>
      <c r="N535" s="3" t="inlineStr">
        <is>
          <t>25.58</t>
        </is>
      </c>
      <c r="O535" t="inlineStr">
        <is>
          <t>Bonndorf</t>
        </is>
      </c>
    </row>
    <row r="536">
      <c r="A536" t="inlineStr">
        <is>
          <t>Unifiber V-Grip</t>
        </is>
      </c>
      <c r="B536" t="inlineStr">
        <is>
          <t>180-230</t>
        </is>
      </c>
      <c r="C536" t="inlineStr"/>
      <c r="D536" s="4" t="n">
        <v>150</v>
      </c>
      <c r="E536" t="inlineStr">
        <is>
          <t>VB</t>
        </is>
      </c>
      <c r="F536" t="inlineStr">
        <is>
          <t>68649 Hessen - Groß-Rohrheim</t>
        </is>
      </c>
      <c r="G536" s="5" t="n">
        <v>45483</v>
      </c>
      <c r="H536" t="inlineStr">
        <is>
          <t>Sold</t>
        </is>
      </c>
      <c r="I536" s="6">
        <f>HYPERLINK("https://www.kleinanzeigen.de/s-anzeige/unifiber-v-grip-gabelbaum-230-180-windsurfen/2809058566-230-4758", "Link")</f>
        <v/>
      </c>
      <c r="J536" s="6">
        <f>HYPERLINK("C:\Projects\Kleinanzeigen-Scraper\offer_images\2809058566", "Link")</f>
        <v/>
      </c>
      <c r="K536" t="inlineStr">
        <is>
          <t>O. Serfling</t>
        </is>
      </c>
      <c r="L536" s="6">
        <f>HYPERLINK("https://www.kleinanzeigen.de/s-bestandsliste.html?userId=37325871", "Link")</f>
        <v/>
      </c>
      <c r="M536" s="7" t="n">
        <v>45500.72427083334</v>
      </c>
      <c r="N536" s="3" t="inlineStr">
        <is>
          <t>78.85</t>
        </is>
      </c>
      <c r="O536" t="inlineStr">
        <is>
          <t>Karlsruhe</t>
        </is>
      </c>
    </row>
    <row r="537">
      <c r="A537" t="inlineStr">
        <is>
          <t>Neilpryde XA</t>
        </is>
      </c>
      <c r="B537" t="inlineStr">
        <is>
          <t>165 - 215</t>
        </is>
      </c>
      <c r="C537" t="inlineStr"/>
      <c r="D537" s="4" t="n">
        <v>190</v>
      </c>
      <c r="E537" t="inlineStr">
        <is>
          <t>VB</t>
        </is>
      </c>
      <c r="F537" t="inlineStr">
        <is>
          <t>73272 Baden-Württemberg - Neidlingen</t>
        </is>
      </c>
      <c r="G537" s="5" t="n">
        <v>45446</v>
      </c>
      <c r="H537" t="inlineStr"/>
      <c r="I537" s="6">
        <f>HYPERLINK("https://www.kleinanzeigen.de/s-anzeige/neilpryde-xa-boom-gabelbaum-windsurf-165-215-cm-neuwertig/2778750814-230-8457", "Link")</f>
        <v/>
      </c>
      <c r="J537" s="6">
        <f>HYPERLINK("C:\Projects\Kleinanzeigen-Scraper\offer_images\2778750814", "Link")</f>
        <v/>
      </c>
      <c r="K537" t="inlineStr">
        <is>
          <t>C.H.</t>
        </is>
      </c>
      <c r="L537" s="6">
        <f>HYPERLINK("https://www.kleinanzeigen.de/s-bestandsliste.html?userId=47071240", "Link")</f>
        <v/>
      </c>
      <c r="M537" s="7" t="n">
        <v>45500.72424768518</v>
      </c>
      <c r="N537" s="3" t="inlineStr">
        <is>
          <t>44.49</t>
        </is>
      </c>
      <c r="O537" t="inlineStr">
        <is>
          <t>Böblingen</t>
        </is>
      </c>
    </row>
    <row r="538">
      <c r="A538" t="inlineStr"/>
      <c r="B538" t="inlineStr">
        <is>
          <t>140-190</t>
        </is>
      </c>
      <c r="C538" t="inlineStr"/>
      <c r="D538" s="4" t="n">
        <v>65</v>
      </c>
      <c r="E538" t="inlineStr"/>
      <c r="F538" t="inlineStr">
        <is>
          <t>71543 Baden-Württemberg - Wüstenrot</t>
        </is>
      </c>
      <c r="G538" s="5" t="n">
        <v>45068</v>
      </c>
      <c r="H538" t="inlineStr">
        <is>
          <t>Sold</t>
        </is>
      </c>
      <c r="I538" s="6">
        <f>HYPERLINK("https://www.kleinanzeigen.de/s-anzeige/gabelbaum-alu-140-190cm-windsurf-gabel-/2449353708-230-8373", "Link")</f>
        <v/>
      </c>
      <c r="J538" s="6">
        <f>HYPERLINK("C:\Projects\Kleinanzeigen-Scraper\offer_images\2449353708", "Link")</f>
        <v/>
      </c>
      <c r="K538" t="inlineStr">
        <is>
          <t>DaLoop</t>
        </is>
      </c>
      <c r="L538" s="6">
        <f>HYPERLINK("https://www.kleinanzeigen.de/s-bestandsliste.html?userId=14880219", "Link")</f>
        <v/>
      </c>
      <c r="M538" s="7" t="n">
        <v>45500.72424768518</v>
      </c>
      <c r="N538" s="3" t="inlineStr">
        <is>
          <t>58.67</t>
        </is>
      </c>
      <c r="O538" t="inlineStr">
        <is>
          <t>Böblingen</t>
        </is>
      </c>
    </row>
    <row r="539">
      <c r="A539" t="inlineStr">
        <is>
          <t>North Sails Red Series</t>
        </is>
      </c>
      <c r="B539" t="inlineStr">
        <is>
          <t>180-230</t>
        </is>
      </c>
      <c r="C539" t="inlineStr"/>
      <c r="D539" s="4" t="n">
        <v>80</v>
      </c>
      <c r="E539" t="inlineStr"/>
      <c r="F539" t="inlineStr">
        <is>
          <t>78187 Baden-Württemberg - Geisingen</t>
        </is>
      </c>
      <c r="G539" s="5" t="n">
        <v>45487</v>
      </c>
      <c r="H539" t="inlineStr">
        <is>
          <t>Sold</t>
        </is>
      </c>
      <c r="I539" s="6">
        <f>HYPERLINK("https://www.kleinanzeigen.de/s-anzeige/windsurfen-gabelbaum-north-sails-red-series-180-230cm/2812622611-230-8860", "Link")</f>
        <v/>
      </c>
      <c r="J539" s="6">
        <f>HYPERLINK("C:\Projects\Kleinanzeigen-Scraper\offer_images\2812622611", "Link")</f>
        <v/>
      </c>
      <c r="K539" t="inlineStr">
        <is>
          <t>Tobias B.</t>
        </is>
      </c>
      <c r="L539" s="6">
        <f>HYPERLINK("https://www.kleinanzeigen.de/s-bestandsliste.html?userId=35855171", "Link")</f>
        <v/>
      </c>
      <c r="M539" s="7" t="n">
        <v>45500.72418981481</v>
      </c>
      <c r="N539" s="3" t="inlineStr">
        <is>
          <t>24.74</t>
        </is>
      </c>
      <c r="O539" t="inlineStr">
        <is>
          <t>Bonndorf</t>
        </is>
      </c>
    </row>
    <row r="540">
      <c r="A540" t="inlineStr">
        <is>
          <t>ART</t>
        </is>
      </c>
      <c r="B540" t="inlineStr">
        <is>
          <t>125-165</t>
        </is>
      </c>
      <c r="C540" t="inlineStr"/>
      <c r="D540" s="4" t="n">
        <v>10</v>
      </c>
      <c r="E540" t="inlineStr"/>
      <c r="F540" t="inlineStr">
        <is>
          <t>67245 Rheinland-Pfalz - Lambsheim</t>
        </is>
      </c>
      <c r="G540" s="5" t="n">
        <v>45480</v>
      </c>
      <c r="H540" t="inlineStr">
        <is>
          <t>Sold</t>
        </is>
      </c>
      <c r="I540" s="6">
        <f>HYPERLINK("https://www.kleinanzeigen.de/s-anzeige/art-verstellbare-vario-gabel-125-165-cm-windsurfen-segel-rigg/2807020005-230-5186", "Link")</f>
        <v/>
      </c>
      <c r="J540" s="6">
        <f>HYPERLINK("C:\Projects\Kleinanzeigen-Scraper\offer_images\2807020005", "Link")</f>
        <v/>
      </c>
      <c r="K540" t="inlineStr">
        <is>
          <t>Privat</t>
        </is>
      </c>
      <c r="L540" s="6">
        <f>HYPERLINK("https://www.kleinanzeigen.de/s-bestandsliste.html?userId=60526185", "Link")</f>
        <v/>
      </c>
      <c r="M540" s="7" t="n">
        <v>45500.72417824074</v>
      </c>
      <c r="N540" s="3" t="inlineStr">
        <is>
          <t>56.18</t>
        </is>
      </c>
      <c r="O540" t="inlineStr">
        <is>
          <t>Karlsruhe</t>
        </is>
      </c>
    </row>
    <row r="541">
      <c r="A541" t="inlineStr"/>
      <c r="B541" t="inlineStr">
        <is>
          <t>190 - 220</t>
        </is>
      </c>
      <c r="C541" t="inlineStr"/>
      <c r="D541" s="4" t="inlineStr"/>
      <c r="E541" t="inlineStr">
        <is>
          <t>VB</t>
        </is>
      </c>
      <c r="F541" t="inlineStr">
        <is>
          <t>55576 Rheinland-Pfalz - Sprendlingen</t>
        </is>
      </c>
      <c r="G541" s="5" t="n">
        <v>45480</v>
      </c>
      <c r="H541" t="inlineStr">
        <is>
          <t>Sold</t>
        </is>
      </c>
      <c r="I541" s="6">
        <f>HYPERLINK("https://www.kleinanzeigen.de/s-anzeige/windsurfen-gabelbaum/2806972220-230-19380", "Link")</f>
        <v/>
      </c>
      <c r="J541" s="6">
        <f>HYPERLINK("C:\Projects\Kleinanzeigen-Scraper\offer_images\2806972220", "Link")</f>
        <v/>
      </c>
      <c r="K541" t="inlineStr">
        <is>
          <t>Hans Georg Konrad</t>
        </is>
      </c>
      <c r="L541" s="6">
        <f>HYPERLINK("https://www.kleinanzeigen.de/s-bestandsliste.html?userId=61369217", "Link")</f>
        <v/>
      </c>
      <c r="M541" s="7" t="n">
        <v>45500.72414351852</v>
      </c>
      <c r="N541" s="3" t="inlineStr">
        <is>
          <t>99.28</t>
        </is>
      </c>
      <c r="O541" t="inlineStr">
        <is>
          <t>Karlsruhe</t>
        </is>
      </c>
    </row>
    <row r="542">
      <c r="A542" t="inlineStr">
        <is>
          <t>North Platinum</t>
        </is>
      </c>
      <c r="B542" t="inlineStr">
        <is>
          <t>190-250</t>
        </is>
      </c>
      <c r="C542" t="inlineStr"/>
      <c r="D542" s="4" t="n">
        <v>350</v>
      </c>
      <c r="E542" t="inlineStr">
        <is>
          <t>VB</t>
        </is>
      </c>
      <c r="F542" t="inlineStr">
        <is>
          <t>68649 Hessen - Groß-Rohrheim</t>
        </is>
      </c>
      <c r="G542" s="5" t="n">
        <v>45483</v>
      </c>
      <c r="H542" t="inlineStr">
        <is>
          <t>Sold</t>
        </is>
      </c>
      <c r="I542" s="6">
        <f>HYPERLINK("https://www.kleinanzeigen.de/s-anzeige/carbon-gabelbaum-north-platinum-250-190-windsurfen-duotone-/2809055853-230-4758", "Link")</f>
        <v/>
      </c>
      <c r="J542" s="6">
        <f>HYPERLINK("C:\Projects\Kleinanzeigen-Scraper\offer_images\2809055853", "Link")</f>
        <v/>
      </c>
      <c r="K542" t="inlineStr">
        <is>
          <t>O. Serfling</t>
        </is>
      </c>
      <c r="L542" s="6">
        <f>HYPERLINK("https://www.kleinanzeigen.de/s-bestandsliste.html?userId=37325871", "Link")</f>
        <v/>
      </c>
      <c r="M542" s="7" t="n">
        <v>45500.72405092593</v>
      </c>
      <c r="N542" s="3" t="inlineStr">
        <is>
          <t>78.85</t>
        </is>
      </c>
      <c r="O542" t="inlineStr">
        <is>
          <t>Karlsruhe</t>
        </is>
      </c>
    </row>
    <row r="543">
      <c r="A543" t="inlineStr"/>
      <c r="B543" t="inlineStr">
        <is>
          <t>130-150</t>
        </is>
      </c>
      <c r="C543" t="inlineStr"/>
      <c r="D543" s="4" t="n">
        <v>15</v>
      </c>
      <c r="E543" t="inlineStr">
        <is>
          <t>VB</t>
        </is>
      </c>
      <c r="F543" t="inlineStr">
        <is>
          <t>71732 Baden-Württemberg - Tamm</t>
        </is>
      </c>
      <c r="G543" s="5" t="n">
        <v>45452</v>
      </c>
      <c r="H543" t="inlineStr">
        <is>
          <t>Sold</t>
        </is>
      </c>
      <c r="I543" s="6">
        <f>HYPERLINK("https://www.kleinanzeigen.de/s-anzeige/windsurf-gabelbaum-ca-130-150/2783407282-230-8673", "Link")</f>
        <v/>
      </c>
      <c r="J543" s="6">
        <f>HYPERLINK("C:\Projects\Kleinanzeigen-Scraper\offer_images\2783407282", "Link")</f>
        <v/>
      </c>
      <c r="K543" t="inlineStr">
        <is>
          <t>J. G.</t>
        </is>
      </c>
      <c r="L543" s="6">
        <f>HYPERLINK("https://www.kleinanzeigen.de/s-bestandsliste.html?userId=30996898", "Link")</f>
        <v/>
      </c>
      <c r="M543" s="7" t="n">
        <v>45500.72403935185</v>
      </c>
      <c r="N543" s="3" t="inlineStr">
        <is>
          <t>28.86</t>
        </is>
      </c>
      <c r="O543" t="inlineStr">
        <is>
          <t>Böblingen</t>
        </is>
      </c>
    </row>
    <row r="544">
      <c r="A544" t="inlineStr">
        <is>
          <t>Tecno Limits</t>
        </is>
      </c>
      <c r="B544" t="inlineStr">
        <is>
          <t>156-174</t>
        </is>
      </c>
      <c r="C544" t="inlineStr"/>
      <c r="D544" s="4" t="n">
        <v>35</v>
      </c>
      <c r="E544" t="inlineStr">
        <is>
          <t>VB</t>
        </is>
      </c>
      <c r="F544" t="inlineStr">
        <is>
          <t>79104 Baden-Württemberg - Freiburg im Breisgau</t>
        </is>
      </c>
      <c r="G544" s="5" t="n">
        <v>45338</v>
      </c>
      <c r="H544" t="inlineStr">
        <is>
          <t>Sold</t>
        </is>
      </c>
      <c r="I544" s="6">
        <f>HYPERLINK("https://www.kleinanzeigen.de/s-anzeige/tecno-limits-gabelbaum-windsurf-156-174-sdm-rdm/2681008219-230-9363", "Link")</f>
        <v/>
      </c>
      <c r="J544" s="6">
        <f>HYPERLINK("C:\Projects\Kleinanzeigen-Scraper\offer_images\2681008219", "Link")</f>
        <v/>
      </c>
      <c r="K544" t="inlineStr">
        <is>
          <t>Fabian</t>
        </is>
      </c>
      <c r="L544" s="6">
        <f>HYPERLINK("https://www.kleinanzeigen.de/s-bestandsliste.html?userId=37129475", "Link")</f>
        <v/>
      </c>
      <c r="M544" s="7" t="n">
        <v>45500.72396990741</v>
      </c>
      <c r="N544" s="3" t="inlineStr">
        <is>
          <t>39.35</t>
        </is>
      </c>
      <c r="O544" t="inlineStr">
        <is>
          <t>Bonndorf</t>
        </is>
      </c>
    </row>
    <row r="545">
      <c r="A545" t="inlineStr">
        <is>
          <t>Ascan Wave Pro, Arrows</t>
        </is>
      </c>
      <c r="B545" t="inlineStr">
        <is>
          <t>140-185, 165-215</t>
        </is>
      </c>
      <c r="C545" t="inlineStr"/>
      <c r="D545" s="4" t="n">
        <v>30</v>
      </c>
      <c r="E545" t="inlineStr">
        <is>
          <t>VB</t>
        </is>
      </c>
      <c r="F545" t="inlineStr">
        <is>
          <t>64295 Hessen - Darmstadt</t>
        </is>
      </c>
      <c r="G545" s="5" t="n">
        <v>45437</v>
      </c>
      <c r="H545" t="inlineStr">
        <is>
          <t>Sold</t>
        </is>
      </c>
      <c r="I545" s="6">
        <f>HYPERLINK("https://www.kleinanzeigen.de/s-anzeige/2x-windsurf-gabelbaum-140-185-165-215-cm/2770597405-230-4889", "Link")</f>
        <v/>
      </c>
      <c r="J545" s="6">
        <f>HYPERLINK("C:\Projects\Kleinanzeigen-Scraper\offer_images\2770597405", "Link")</f>
        <v/>
      </c>
      <c r="K545" t="inlineStr">
        <is>
          <t>bert8811</t>
        </is>
      </c>
      <c r="L545" s="6">
        <f>HYPERLINK("https://www.kleinanzeigen.de/s-bestandsliste.html?userId=19749391", "Link")</f>
        <v/>
      </c>
      <c r="M545" s="7" t="n">
        <v>45500.72393518518</v>
      </c>
      <c r="N545" s="3" t="inlineStr">
        <is>
          <t>94.84</t>
        </is>
      </c>
      <c r="O545" t="inlineStr">
        <is>
          <t>Karlsruhe</t>
        </is>
      </c>
    </row>
    <row r="546">
      <c r="A546" t="inlineStr"/>
      <c r="B546" t="inlineStr"/>
      <c r="C546" t="inlineStr"/>
      <c r="D546" s="4" t="n">
        <v>49</v>
      </c>
      <c r="E546" t="inlineStr">
        <is>
          <t>VB</t>
        </is>
      </c>
      <c r="F546" t="inlineStr">
        <is>
          <t>72224 Baden-Württemberg - Ebhausen</t>
        </is>
      </c>
      <c r="G546" s="5" t="n">
        <v>45437</v>
      </c>
      <c r="H546" t="inlineStr">
        <is>
          <t>Sold</t>
        </is>
      </c>
      <c r="I546" s="6">
        <f>HYPERLINK("https://www.kleinanzeigen.de/s-anzeige/windsurf-gabelbaum-top-zustand/2771041725-230-8235", "Link")</f>
        <v/>
      </c>
      <c r="J546" s="6">
        <f>HYPERLINK("C:\Projects\Kleinanzeigen-Scraper\offer_images\2771041725", "Link")</f>
        <v/>
      </c>
      <c r="K546" t="inlineStr">
        <is>
          <t>P. Thiel</t>
        </is>
      </c>
      <c r="L546" s="6">
        <f>HYPERLINK("https://www.kleinanzeigen.de/s-bestandsliste.html?userId=10458185", "Link")</f>
        <v/>
      </c>
      <c r="M546" s="7" t="n">
        <v>45500.72392361111</v>
      </c>
      <c r="N546" s="3" t="inlineStr">
        <is>
          <t>23.23</t>
        </is>
      </c>
      <c r="O546" t="inlineStr">
        <is>
          <t>Böblingen</t>
        </is>
      </c>
    </row>
    <row r="547">
      <c r="A547" t="inlineStr">
        <is>
          <t>North Platinum (Duotone)</t>
        </is>
      </c>
      <c r="B547" t="inlineStr">
        <is>
          <t>250-190</t>
        </is>
      </c>
      <c r="C547" t="inlineStr"/>
      <c r="D547" s="4" t="n">
        <v>350</v>
      </c>
      <c r="E547" t="inlineStr">
        <is>
          <t>VB</t>
        </is>
      </c>
      <c r="F547" t="inlineStr">
        <is>
          <t>67459 Rheinland-Pfalz - Böhl-Iggelheim</t>
        </is>
      </c>
      <c r="G547" s="5" t="n">
        <v>45444</v>
      </c>
      <c r="H547" t="inlineStr">
        <is>
          <t>Sold</t>
        </is>
      </c>
      <c r="I547" s="6">
        <f>HYPERLINK("https://www.kleinanzeigen.de/s-anzeige/carbon-gabelbaum-north-platinum-250-190-windsurfen-duotone-/2776839958-230-4964", "Link")</f>
        <v/>
      </c>
      <c r="J547" s="6">
        <f>HYPERLINK("C:\Projects\Kleinanzeigen-Scraper\offer_images\2776839958", "Link")</f>
        <v/>
      </c>
      <c r="K547" t="inlineStr">
        <is>
          <t>O. Serfling</t>
        </is>
      </c>
      <c r="L547" s="6">
        <f>HYPERLINK("https://www.kleinanzeigen.de/s-bestandsliste.html?userId=37325871", "Link")</f>
        <v/>
      </c>
      <c r="M547" s="7" t="n">
        <v>45500.72387731481</v>
      </c>
      <c r="N547" s="3" t="inlineStr">
        <is>
          <t>39.72</t>
        </is>
      </c>
      <c r="O547" t="inlineStr">
        <is>
          <t>Karlsruhe</t>
        </is>
      </c>
    </row>
    <row r="548">
      <c r="A548" t="inlineStr">
        <is>
          <t>Heavy Duty</t>
        </is>
      </c>
      <c r="B548" t="inlineStr">
        <is>
          <t>170-220</t>
        </is>
      </c>
      <c r="C548" t="inlineStr"/>
      <c r="D548" s="4" t="n">
        <v>49</v>
      </c>
      <c r="E548" t="inlineStr"/>
      <c r="F548" t="inlineStr">
        <is>
          <t>74206 Baden-Württemberg - Bad Wimpfen</t>
        </is>
      </c>
      <c r="G548" s="5" t="n">
        <v>45467</v>
      </c>
      <c r="H548" t="inlineStr">
        <is>
          <t>Sold</t>
        </is>
      </c>
      <c r="I548" s="6">
        <f>HYPERLINK("https://www.kleinanzeigen.de/s-anzeige/windsurf-gabelbaum-boom/2796379043-230-8659", "Link")</f>
        <v/>
      </c>
      <c r="J548" s="6">
        <f>HYPERLINK("C:\Projects\Kleinanzeigen-Scraper\offer_images\2796379043", "Link")</f>
        <v/>
      </c>
      <c r="K548" t="inlineStr">
        <is>
          <t>Schimanek</t>
        </is>
      </c>
      <c r="L548" s="6">
        <f>HYPERLINK("https://www.kleinanzeigen.de/s-bestandsliste.html?userId=9666915", "Link")</f>
        <v/>
      </c>
      <c r="M548" s="7" t="n">
        <v>45500.72386574074</v>
      </c>
      <c r="N548" s="3" t="inlineStr">
        <is>
          <t>60.17</t>
        </is>
      </c>
      <c r="O548" t="inlineStr">
        <is>
          <t>Karlsruhe</t>
        </is>
      </c>
    </row>
    <row r="549">
      <c r="A549" t="inlineStr"/>
      <c r="B549" t="inlineStr">
        <is>
          <t>160-210</t>
        </is>
      </c>
      <c r="C549" t="inlineStr"/>
      <c r="D549" s="4" t="n">
        <v>100</v>
      </c>
      <c r="E549" t="inlineStr"/>
      <c r="F549" t="inlineStr">
        <is>
          <t>71543 Baden-Württemberg - Wüstenrot</t>
        </is>
      </c>
      <c r="G549" s="5" t="n">
        <v>45068</v>
      </c>
      <c r="H549" t="inlineStr">
        <is>
          <t>Sold</t>
        </is>
      </c>
      <c r="I549" s="6">
        <f>HYPERLINK("https://www.kleinanzeigen.de/s-anzeige/gabelbaum-alu-160-210cm-windsurf-gabel-/2449357190-230-8373", "Link")</f>
        <v/>
      </c>
      <c r="J549" s="6">
        <f>HYPERLINK("C:\Projects\Kleinanzeigen-Scraper\offer_images\2449357190", "Link")</f>
        <v/>
      </c>
      <c r="K549" t="inlineStr">
        <is>
          <t>DaLoop</t>
        </is>
      </c>
      <c r="L549" s="6">
        <f>HYPERLINK("https://www.kleinanzeigen.de/s-bestandsliste.html?userId=14880219", "Link")</f>
        <v/>
      </c>
      <c r="M549" s="7" t="n">
        <v>45500.72384259259</v>
      </c>
      <c r="N549" s="3" t="inlineStr">
        <is>
          <t>58.67</t>
        </is>
      </c>
      <c r="O549" t="inlineStr">
        <is>
          <t>Böblingen</t>
        </is>
      </c>
    </row>
    <row r="550">
      <c r="A550" t="inlineStr">
        <is>
          <t>Unifiber V-Grip</t>
        </is>
      </c>
      <c r="B550" t="inlineStr">
        <is>
          <t>180-230</t>
        </is>
      </c>
      <c r="C550" t="inlineStr"/>
      <c r="D550" s="4" t="n">
        <v>150</v>
      </c>
      <c r="E550" t="inlineStr">
        <is>
          <t>VB</t>
        </is>
      </c>
      <c r="F550" t="inlineStr">
        <is>
          <t>67459 Rheinland-Pfalz - Böhl-Iggelheim</t>
        </is>
      </c>
      <c r="G550" s="5" t="n">
        <v>45444</v>
      </c>
      <c r="H550" t="inlineStr">
        <is>
          <t>Sold</t>
        </is>
      </c>
      <c r="I550" s="6">
        <f>HYPERLINK("https://www.kleinanzeigen.de/s-anzeige/unifiber-v-grip-gabelbaum-230-180-windsurfen/2776846574-230-4964", "Link")</f>
        <v/>
      </c>
      <c r="J550" s="6">
        <f>HYPERLINK("C:\Projects\Kleinanzeigen-Scraper\offer_images\2776846574", "Link")</f>
        <v/>
      </c>
      <c r="K550" t="inlineStr">
        <is>
          <t>O. Serfling</t>
        </is>
      </c>
      <c r="L550" s="6">
        <f>HYPERLINK("https://www.kleinanzeigen.de/s-bestandsliste.html?userId=37325871", "Link")</f>
        <v/>
      </c>
      <c r="M550" s="7" t="n">
        <v>45500.72371527777</v>
      </c>
      <c r="N550" s="3" t="inlineStr">
        <is>
          <t>39.72</t>
        </is>
      </c>
      <c r="O550" t="inlineStr">
        <is>
          <t>Karlsruhe</t>
        </is>
      </c>
    </row>
    <row r="551">
      <c r="A551" t="inlineStr">
        <is>
          <t>Gunsails Cross</t>
        </is>
      </c>
      <c r="B551" t="inlineStr">
        <is>
          <t>150-200</t>
        </is>
      </c>
      <c r="C551" t="inlineStr"/>
      <c r="D551" s="4" t="n">
        <v>120</v>
      </c>
      <c r="E551" t="inlineStr">
        <is>
          <t>VB</t>
        </is>
      </c>
      <c r="F551" t="inlineStr">
        <is>
          <t>69115 Baden-Württemberg - Heidelberg</t>
        </is>
      </c>
      <c r="G551" s="5" t="n">
        <v>45470</v>
      </c>
      <c r="H551" t="inlineStr">
        <is>
          <t>Sold</t>
        </is>
      </c>
      <c r="I551" s="6">
        <f>HYPERLINK("https://www.kleinanzeigen.de/s-anzeige/gunsails-cross-gabelbaum-150-200cm-windsurfen/2798463362-230-9182", "Link")</f>
        <v/>
      </c>
      <c r="J551" s="6">
        <f>HYPERLINK("C:\Projects\Kleinanzeigen-Scraper\offer_images\2798463362", "Link")</f>
        <v/>
      </c>
      <c r="K551" t="inlineStr">
        <is>
          <t>Dominik klaes</t>
        </is>
      </c>
      <c r="L551" s="6">
        <f>HYPERLINK("https://www.kleinanzeigen.de/s-bestandsliste.html?userId=56376183", "Link")</f>
        <v/>
      </c>
      <c r="M551" s="7" t="n">
        <v>45500.7237037037</v>
      </c>
      <c r="N551" s="3" t="inlineStr">
        <is>
          <t>48.81</t>
        </is>
      </c>
      <c r="O551" t="inlineStr">
        <is>
          <t>Karlsruhe</t>
        </is>
      </c>
    </row>
    <row r="552">
      <c r="A552" t="inlineStr">
        <is>
          <t>North Sails</t>
        </is>
      </c>
      <c r="B552" t="inlineStr">
        <is>
          <t>166-216</t>
        </is>
      </c>
      <c r="C552" t="inlineStr"/>
      <c r="D552" s="4" t="n">
        <v>55</v>
      </c>
      <c r="E552" t="inlineStr"/>
      <c r="F552" t="inlineStr">
        <is>
          <t>74206 Baden-Württemberg - Bad Wimpfen</t>
        </is>
      </c>
      <c r="G552" s="5" t="n">
        <v>45467</v>
      </c>
      <c r="H552" t="inlineStr">
        <is>
          <t>Sold</t>
        </is>
      </c>
      <c r="I552" s="6">
        <f>HYPERLINK("https://www.kleinanzeigen.de/s-anzeige/north-sails-windsurf-gabelbaum-boom/2796402399-230-8659", "Link")</f>
        <v/>
      </c>
      <c r="J552" s="6">
        <f>HYPERLINK("C:\Projects\Kleinanzeigen-Scraper\offer_images\2796402399", "Link")</f>
        <v/>
      </c>
      <c r="K552" t="inlineStr">
        <is>
          <t>Schimanek</t>
        </is>
      </c>
      <c r="L552" s="6">
        <f>HYPERLINK("https://www.kleinanzeigen.de/s-bestandsliste.html?userId=9666915", "Link")</f>
        <v/>
      </c>
      <c r="M552" s="7" t="n">
        <v>45500.72368055556</v>
      </c>
      <c r="N552" s="3" t="inlineStr">
        <is>
          <t>60.17</t>
        </is>
      </c>
      <c r="O552" t="inlineStr">
        <is>
          <t>Karlsruhe</t>
        </is>
      </c>
    </row>
    <row r="553">
      <c r="A553" t="inlineStr">
        <is>
          <t>Arrows Weapon</t>
        </is>
      </c>
      <c r="B553" t="inlineStr">
        <is>
          <t>175-225</t>
        </is>
      </c>
      <c r="C553" t="inlineStr"/>
      <c r="D553" s="4" t="n">
        <v>60</v>
      </c>
      <c r="E553" t="inlineStr"/>
      <c r="F553" t="inlineStr">
        <is>
          <t>79115 Baden-Württemberg - Freiburg im Breisgau</t>
        </is>
      </c>
      <c r="G553" s="5" t="n">
        <v>45427</v>
      </c>
      <c r="H553" t="inlineStr">
        <is>
          <t>Sold</t>
        </is>
      </c>
      <c r="I553" s="6">
        <f>HYPERLINK("https://www.kleinanzeigen.de/s-anzeige/windsurf-gabelbaum-arrows-175-225/2762423473-230-9366", "Link")</f>
        <v/>
      </c>
      <c r="J553" s="6">
        <f>HYPERLINK("C:\Projects\Kleinanzeigen-Scraper\offer_images\2762423473", "Link")</f>
        <v/>
      </c>
      <c r="K553" t="inlineStr">
        <is>
          <t>Natacha</t>
        </is>
      </c>
      <c r="L553" s="6">
        <f>HYPERLINK("https://www.kleinanzeigen.de/s-bestandsliste.html?userId=55241496", "Link")</f>
        <v/>
      </c>
      <c r="M553" s="7" t="n">
        <v>45500.72363425926</v>
      </c>
      <c r="N553" s="3" t="inlineStr">
        <is>
          <t>43.13</t>
        </is>
      </c>
      <c r="O553" t="inlineStr">
        <is>
          <t>Bonndorf</t>
        </is>
      </c>
    </row>
    <row r="554">
      <c r="A554" t="inlineStr"/>
      <c r="B554" t="inlineStr">
        <is>
          <t>196 - 202</t>
        </is>
      </c>
      <c r="C554" t="inlineStr"/>
      <c r="D554" s="4" t="n">
        <v>10</v>
      </c>
      <c r="E554" t="inlineStr"/>
      <c r="F554" t="inlineStr">
        <is>
          <t>70327 Stuttgart - Stuttgart-Ost</t>
        </is>
      </c>
      <c r="G554" s="5" t="n">
        <v>45461</v>
      </c>
      <c r="H554" t="inlineStr">
        <is>
          <t>Sold</t>
        </is>
      </c>
      <c r="I554" s="6">
        <f>HYPERLINK("https://www.kleinanzeigen.de/s-anzeige/2-x-windsurf-gabelbaum/2791435161-230-19335", "Link")</f>
        <v/>
      </c>
      <c r="J554" s="6">
        <f>HYPERLINK("C:\Projects\Kleinanzeigen-Scraper\offer_images\2791435161", "Link")</f>
        <v/>
      </c>
      <c r="K554" t="inlineStr">
        <is>
          <t>Stefan Renz</t>
        </is>
      </c>
      <c r="L554" s="6">
        <f>HYPERLINK("https://www.kleinanzeigen.de/s-bestandsliste.html?userId=4019664", "Link")</f>
        <v/>
      </c>
      <c r="M554" s="7" t="n">
        <v>45500.72349537037</v>
      </c>
      <c r="N554" s="3" t="inlineStr">
        <is>
          <t>23.05</t>
        </is>
      </c>
      <c r="O554" t="inlineStr">
        <is>
          <t>Böblingen</t>
        </is>
      </c>
    </row>
    <row r="555">
      <c r="A555" t="inlineStr">
        <is>
          <t>RRD RobertoRicciDesign Avanti</t>
        </is>
      </c>
      <c r="B555" t="inlineStr">
        <is>
          <t>140-200</t>
        </is>
      </c>
      <c r="C555" t="inlineStr"/>
      <c r="D555" s="4" t="n">
        <v>50</v>
      </c>
      <c r="E555" t="inlineStr">
        <is>
          <t>VB</t>
        </is>
      </c>
      <c r="F555" t="inlineStr">
        <is>
          <t>79183 Baden-Württemberg - Waldkirch</t>
        </is>
      </c>
      <c r="G555" s="5" t="n">
        <v>45489</v>
      </c>
      <c r="H555" t="inlineStr"/>
      <c r="I555" s="6">
        <f>HYPERLINK("https://www.kleinanzeigen.de/s-anzeige/windsurf-gabelbaum-rrd-robertoriccidesign-avanti-140-200-blau-rdm/2813736527-230-8281", "Link")</f>
        <v/>
      </c>
      <c r="J555" s="6">
        <f>HYPERLINK("C:\Projects\Kleinanzeigen-Scraper\offer_images\2813736527", "Link")</f>
        <v/>
      </c>
      <c r="K555" t="inlineStr">
        <is>
          <t>Familie Wissler</t>
        </is>
      </c>
      <c r="L555" s="6">
        <f>HYPERLINK("https://www.kleinanzeigen.de/s-bestandsliste.html?userId=13959110", "Link")</f>
        <v/>
      </c>
      <c r="M555" s="7" t="n">
        <v>45500.7234837963</v>
      </c>
      <c r="N555" s="3" t="inlineStr">
        <is>
          <t>40.50</t>
        </is>
      </c>
      <c r="O555" t="inlineStr">
        <is>
          <t>Bonndorf</t>
        </is>
      </c>
    </row>
    <row r="556">
      <c r="A556" t="inlineStr">
        <is>
          <t>AL 360</t>
        </is>
      </c>
      <c r="B556" t="inlineStr">
        <is>
          <t>160-220</t>
        </is>
      </c>
      <c r="C556" t="inlineStr">
        <is>
          <t>2021</t>
        </is>
      </c>
      <c r="D556" s="4" t="n">
        <v>490</v>
      </c>
      <c r="E556" t="inlineStr">
        <is>
          <t>VB</t>
        </is>
      </c>
      <c r="F556" t="inlineStr">
        <is>
          <t>79104 Baden-Württemberg - Freiburg im Breisgau</t>
        </is>
      </c>
      <c r="G556" s="5" t="n">
        <v>45146</v>
      </c>
      <c r="H556" t="inlineStr">
        <is>
          <t>Sold</t>
        </is>
      </c>
      <c r="I556" s="6">
        <f>HYPERLINK("https://www.kleinanzeigen.de/s-anzeige/al-360-100-carbon-gabelbaum-160-220-windsurf-rdm-sdm/2515470249-230-9363", "Link")</f>
        <v/>
      </c>
      <c r="J556" s="6">
        <f>HYPERLINK("C:\Projects\Kleinanzeigen-Scraper\offer_images\2515470249", "Link")</f>
        <v/>
      </c>
      <c r="K556" t="inlineStr">
        <is>
          <t>Fabian</t>
        </is>
      </c>
      <c r="L556" s="6">
        <f>HYPERLINK("https://www.kleinanzeigen.de/s-bestandsliste.html?userId=37129475", "Link")</f>
        <v/>
      </c>
      <c r="M556" s="7" t="n">
        <v>45500.72347222222</v>
      </c>
      <c r="N556" s="3" t="inlineStr">
        <is>
          <t>39.35</t>
        </is>
      </c>
      <c r="O556" t="inlineStr">
        <is>
          <t>Bonndorf</t>
        </is>
      </c>
    </row>
    <row r="557">
      <c r="A557" t="inlineStr">
        <is>
          <t>North Sails</t>
        </is>
      </c>
      <c r="B557" t="inlineStr">
        <is>
          <t>150-200</t>
        </is>
      </c>
      <c r="C557" t="inlineStr"/>
      <c r="D557" s="4" t="n">
        <v>60</v>
      </c>
      <c r="E557" t="inlineStr"/>
      <c r="F557" t="inlineStr">
        <is>
          <t>74206 Baden-Württemberg - Bad Wimpfen</t>
        </is>
      </c>
      <c r="G557" s="5" t="n">
        <v>45467</v>
      </c>
      <c r="H557" t="inlineStr">
        <is>
          <t>Sold</t>
        </is>
      </c>
      <c r="I557" s="6">
        <f>HYPERLINK("https://www.kleinanzeigen.de/s-anzeige/north-sails-gabelbaum-windsurf-boom/2796411486-230-8659", "Link")</f>
        <v/>
      </c>
      <c r="J557" s="6">
        <f>HYPERLINK("C:\Projects\Kleinanzeigen-Scraper\offer_images\2796411486", "Link")</f>
        <v/>
      </c>
      <c r="K557" t="inlineStr">
        <is>
          <t>Schimanek</t>
        </is>
      </c>
      <c r="L557" s="6">
        <f>HYPERLINK("https://www.kleinanzeigen.de/s-bestandsliste.html?userId=9666915", "Link")</f>
        <v/>
      </c>
      <c r="M557" s="7" t="n">
        <v>45500.72341435185</v>
      </c>
      <c r="N557" s="3" t="inlineStr">
        <is>
          <t>60.17</t>
        </is>
      </c>
      <c r="O557" t="inlineStr">
        <is>
          <t>Karlsruhe</t>
        </is>
      </c>
    </row>
    <row r="558">
      <c r="A558" t="inlineStr">
        <is>
          <t>Duotone Boom Platinum</t>
        </is>
      </c>
      <c r="B558" t="inlineStr">
        <is>
          <t>150-200</t>
        </is>
      </c>
      <c r="C558" t="inlineStr"/>
      <c r="D558" s="4" t="n">
        <v>465</v>
      </c>
      <c r="E558" t="inlineStr">
        <is>
          <t>VB</t>
        </is>
      </c>
      <c r="F558" t="inlineStr">
        <is>
          <t>75045 Baden-Württemberg - Walzbachtal</t>
        </is>
      </c>
      <c r="G558" s="5" t="n">
        <v>45363</v>
      </c>
      <c r="H558" t="inlineStr">
        <is>
          <t>Sold</t>
        </is>
      </c>
      <c r="I558" s="6">
        <f>HYPERLINK("https://www.kleinanzeigen.de/s-anzeige/duotone-boom-platinum-100-carbon-150-200-windsurfen/2704746806-230-8248", "Link")</f>
        <v/>
      </c>
      <c r="J558" s="6">
        <f>HYPERLINK("C:\Projects\Kleinanzeigen-Scraper\offer_images\2704746806", "Link")</f>
        <v/>
      </c>
      <c r="K558" t="inlineStr">
        <is>
          <t>Carsten</t>
        </is>
      </c>
      <c r="L558" s="6">
        <f>HYPERLINK("https://www.kleinanzeigen.de/s-bestandsliste.html?userId=21241938", "Link")</f>
        <v/>
      </c>
      <c r="M558" s="7" t="n">
        <v>45500.72340277778</v>
      </c>
      <c r="N558" s="3" t="inlineStr">
        <is>
          <t>15.32</t>
        </is>
      </c>
      <c r="O558" t="inlineStr">
        <is>
          <t>Karlsruhe</t>
        </is>
      </c>
    </row>
    <row r="559">
      <c r="A559" t="inlineStr">
        <is>
          <t>Neilpryde X3</t>
        </is>
      </c>
      <c r="B559" t="inlineStr">
        <is>
          <t>135-185</t>
        </is>
      </c>
      <c r="C559" t="inlineStr"/>
      <c r="D559" s="4" t="n">
        <v>80</v>
      </c>
      <c r="E559" t="inlineStr"/>
      <c r="F559" t="inlineStr">
        <is>
          <t>78187 Baden-Württemberg - Geisingen</t>
        </is>
      </c>
      <c r="G559" s="5" t="n">
        <v>45467</v>
      </c>
      <c r="H559" t="inlineStr">
        <is>
          <t>Sold</t>
        </is>
      </c>
      <c r="I559" s="6">
        <f>HYPERLINK("https://www.kleinanzeigen.de/s-anzeige/windsurfen-gabelbaum-neilpryde-x3-135-185cm/2796668231-230-8860", "Link")</f>
        <v/>
      </c>
      <c r="J559" s="6">
        <f>HYPERLINK("C:\Projects\Kleinanzeigen-Scraper\offer_images\2796668231", "Link")</f>
        <v/>
      </c>
      <c r="K559" t="inlineStr">
        <is>
          <t>Tobias B.</t>
        </is>
      </c>
      <c r="L559" s="6">
        <f>HYPERLINK("https://www.kleinanzeigen.de/s-bestandsliste.html?userId=35855171", "Link")</f>
        <v/>
      </c>
      <c r="M559" s="7" t="n">
        <v>45500.7233912037</v>
      </c>
      <c r="N559" s="3" t="inlineStr">
        <is>
          <t>24.74</t>
        </is>
      </c>
      <c r="O559" t="inlineStr">
        <is>
          <t>Bonndorf</t>
        </is>
      </c>
    </row>
    <row r="560">
      <c r="A560" t="inlineStr">
        <is>
          <t>Neilpryde X6</t>
        </is>
      </c>
      <c r="B560" t="inlineStr">
        <is>
          <t>160-220</t>
        </is>
      </c>
      <c r="C560" t="inlineStr"/>
      <c r="D560" s="4" t="n">
        <v>79</v>
      </c>
      <c r="E560" t="inlineStr">
        <is>
          <t>VB</t>
        </is>
      </c>
      <c r="F560" t="inlineStr">
        <is>
          <t>79104 Baden-Württemberg - Freiburg im Breisgau</t>
        </is>
      </c>
      <c r="G560" s="5" t="n">
        <v>45337</v>
      </c>
      <c r="H560" t="inlineStr">
        <is>
          <t>Sold</t>
        </is>
      </c>
      <c r="I560" s="6">
        <f>HYPERLINK("https://www.kleinanzeigen.de/s-anzeige/neilpryde-160-220-x6-hybrid-carbon-boom-gabelbaum-windsurf-sdmrdm/2680304275-230-9363", "Link")</f>
        <v/>
      </c>
      <c r="J560" s="6">
        <f>HYPERLINK("C:\Projects\Kleinanzeigen-Scraper\offer_images\2680304275", "Link")</f>
        <v/>
      </c>
      <c r="K560" t="inlineStr">
        <is>
          <t>Fabian</t>
        </is>
      </c>
      <c r="L560" s="6">
        <f>HYPERLINK("https://www.kleinanzeigen.de/s-bestandsliste.html?userId=37129475", "Link")</f>
        <v/>
      </c>
      <c r="M560" s="7" t="n">
        <v>45500.72337962963</v>
      </c>
      <c r="N560" s="3" t="inlineStr">
        <is>
          <t>39.35</t>
        </is>
      </c>
      <c r="O560" t="inlineStr">
        <is>
          <t>Bonndorf</t>
        </is>
      </c>
    </row>
  </sheetData>
  <autoFilter ref="A1:O560"/>
  <pageMargins left="0.75" right="0.75" top="1" bottom="1" header="0.5" footer="0.5"/>
</worksheet>
</file>

<file path=xl/worksheets/sheet5.xml><?xml version="1.0" encoding="utf-8"?>
<worksheet xmlns="http://schemas.openxmlformats.org/spreadsheetml/2006/main">
  <sheetPr>
    <outlinePr summaryBelow="1" summaryRight="1"/>
    <pageSetUpPr/>
  </sheetPr>
  <dimension ref="A1:M628"/>
  <sheetViews>
    <sheetView workbookViewId="0">
      <selection activeCell="A1" sqref="A1"/>
    </sheetView>
  </sheetViews>
  <sheetFormatPr baseColWidth="8" defaultRowHeight="15"/>
  <cols>
    <col width="532" customWidth="1" min="1" max="1"/>
    <col width="20" customWidth="1" min="2" max="2"/>
    <col width="6" customWidth="1" min="3" max="3"/>
    <col width="64" customWidth="1" min="4" max="4"/>
    <col width="10" customWidth="1" min="5" max="5"/>
    <col width="8" customWidth="1" min="6" max="6"/>
    <col width="10" customWidth="1" min="7" max="7"/>
    <col width="10" customWidth="1" min="8" max="8"/>
    <col width="29" customWidth="1" min="9" max="9"/>
    <col width="20" customWidth="1" min="10" max="10"/>
    <col width="23" customWidth="1" min="11" max="11"/>
    <col width="21" customWidth="1" min="12" max="12"/>
    <col width="17" customWidth="1" min="13" max="13"/>
  </cols>
  <sheetData>
    <row r="1">
      <c r="A1" s="1" t="inlineStr">
        <is>
          <t>Content Description</t>
        </is>
      </c>
      <c r="B1" s="1" t="inlineStr">
        <is>
          <t>Price</t>
        </is>
      </c>
      <c r="C1" s="1" t="inlineStr">
        <is>
          <t>VB</t>
        </is>
      </c>
      <c r="D1" s="1" t="inlineStr">
        <is>
          <t>Location</t>
        </is>
      </c>
      <c r="E1" s="1" t="inlineStr">
        <is>
          <t>Date</t>
        </is>
      </c>
      <c r="F1" s="1" t="inlineStr">
        <is>
          <t>Sold</t>
        </is>
      </c>
      <c r="G1" s="1" t="inlineStr">
        <is>
          <t>Link</t>
        </is>
      </c>
      <c r="H1" s="1" t="inlineStr">
        <is>
          <t>Images</t>
        </is>
      </c>
      <c r="I1" s="1" t="inlineStr">
        <is>
          <t>User name</t>
        </is>
      </c>
      <c r="J1" s="1" t="inlineStr">
        <is>
          <t>All other offers</t>
        </is>
      </c>
      <c r="K1" s="1" t="inlineStr">
        <is>
          <t>Scraped on</t>
        </is>
      </c>
      <c r="L1" s="1" t="inlineStr">
        <is>
          <t>Min Distance (km)</t>
        </is>
      </c>
      <c r="M1" s="1" t="inlineStr">
        <is>
          <t>Closest place</t>
        </is>
      </c>
    </row>
    <row r="2">
      <c r="A2" t="inlineStr">
        <is>
          <t>Neilpryde RAF Jet 6.2 and Neilpryde NR 5.0 sails with matching Neilpryde Wave 430cm mast.</t>
        </is>
      </c>
      <c r="B2" s="4" t="n">
        <v>89</v>
      </c>
      <c r="C2" t="inlineStr">
        <is>
          <t>VB</t>
        </is>
      </c>
      <c r="D2" t="inlineStr">
        <is>
          <t>90766 Fürth</t>
        </is>
      </c>
      <c r="E2" s="5" t="n">
        <v>45568</v>
      </c>
      <c r="F2" t="inlineStr"/>
      <c r="G2" s="6">
        <f>HYPERLINK("https://www.dailydose.de/kleinanzeigen/detail.htm?ai=423538&amp;cf=kk&amp;pg=1&amp;ci=5", "Link")</f>
        <v/>
      </c>
      <c r="H2" s="6">
        <f>HYPERLINK("C:\Projects\Kleinanzeigen-Scraper\offer_images\423538", "Link")</f>
        <v/>
      </c>
      <c r="I2" t="inlineStr">
        <is>
          <t>SR</t>
        </is>
      </c>
      <c r="J2" s="6">
        <f>HYPERLINK("https://www.dailydose.de/kleinanzeigen/user/19806", "Link")</f>
        <v/>
      </c>
      <c r="K2" s="7" t="n">
        <v>45568.7553587963</v>
      </c>
      <c r="L2" s="3" t="inlineStr">
        <is>
          <t>156.36</t>
        </is>
      </c>
      <c r="M2" t="inlineStr">
        <is>
          <t>München</t>
        </is>
      </c>
    </row>
    <row r="3">
      <c r="A3" t="inlineStr">
        <is>
          <t>3 Neilpryde Combat sails (4.0, 4.5, 5.0 m²) and 1 JP Magic Ride board (97 liters), both from 2019, with minor repairs.</t>
        </is>
      </c>
      <c r="B3" s="4" t="n">
        <v>500</v>
      </c>
      <c r="C3" t="inlineStr"/>
      <c r="D3" t="inlineStr">
        <is>
          <t>23775 Großenbrode</t>
        </is>
      </c>
      <c r="E3" s="5" t="n">
        <v>45568</v>
      </c>
      <c r="F3" t="inlineStr"/>
      <c r="G3" s="6">
        <f>HYPERLINK("https://www.dailydose.de/kleinanzeigen/detail.htm?ai=423562&amp;cf=kk&amp;pg=1&amp;ci=5", "Link")</f>
        <v/>
      </c>
      <c r="H3" s="6">
        <f>HYPERLINK("C:\Projects\Kleinanzeigen-Scraper\offer_images\423562", "Link")</f>
        <v/>
      </c>
      <c r="I3" t="inlineStr">
        <is>
          <t>Holger_156</t>
        </is>
      </c>
      <c r="J3" s="6">
        <f>HYPERLINK("https://www.dailydose.de/kleinanzeigen/user/10571", "Link")</f>
        <v/>
      </c>
      <c r="K3" s="7" t="n">
        <v>45568.75525462963</v>
      </c>
      <c r="L3" s="3" t="inlineStr">
        <is>
          <t>471.97</t>
        </is>
      </c>
      <c r="M3" t="inlineStr">
        <is>
          <t>Köln</t>
        </is>
      </c>
    </row>
    <row r="4">
      <c r="A4" t="inlineStr">
        <is>
          <t>Set includes Neilpryde Combat Pro sails in sizes 5.0, 4.5, and 4.0, all in very good condition.</t>
        </is>
      </c>
      <c r="B4" s="4" t="inlineStr">
        <is>
          <t>je 330 EUR</t>
        </is>
      </c>
      <c r="C4" t="inlineStr">
        <is>
          <t>VB</t>
        </is>
      </c>
      <c r="D4" t="inlineStr">
        <is>
          <t>80689 München</t>
        </is>
      </c>
      <c r="E4" s="5" t="n">
        <v>45568</v>
      </c>
      <c r="F4" t="inlineStr"/>
      <c r="G4" s="6">
        <f>HYPERLINK("https://www.dailydose.de/kleinanzeigen/detail.htm?ai=423569&amp;cf=kk&amp;pg=1&amp;ci=5", "Link")</f>
        <v/>
      </c>
      <c r="H4" s="6">
        <f>HYPERLINK("C:\Projects\Kleinanzeigen-Scraper\offer_images\423569", "Link")</f>
        <v/>
      </c>
      <c r="I4" t="inlineStr">
        <is>
          <t>Peter_97</t>
        </is>
      </c>
      <c r="J4" s="6">
        <f>HYPERLINK("https://www.dailydose.de/kleinanzeigen/user/18889", "Link")</f>
        <v/>
      </c>
      <c r="K4" s="7" t="n">
        <v>45568.75332175926</v>
      </c>
      <c r="L4" s="3" t="inlineStr">
        <is>
          <t>6.18</t>
        </is>
      </c>
      <c r="M4" t="inlineStr">
        <is>
          <t>München</t>
        </is>
      </c>
    </row>
    <row r="5">
      <c r="A5" t="inlineStr">
        <is>
          <t>Complete windsurfing equipment including Board (RRD X-Fire 114 LTD V10, 114l, 232x71cm), Masts (Neil Pryde SPX 65, 4.30, 4.60), Booms (North Silver HD, 150-200, 180-230), and Sails (Neil Pryde Ryde HD, 7.0, 6.0). All parts are either new or used only twice.</t>
        </is>
      </c>
      <c r="B5" s="4" t="n">
        <v>1.99</v>
      </c>
      <c r="C5" t="inlineStr"/>
      <c r="D5" t="inlineStr">
        <is>
          <t>40549 Düsseldorf - Heerdt</t>
        </is>
      </c>
      <c r="E5" s="5" t="n">
        <v>45567</v>
      </c>
      <c r="F5" t="inlineStr"/>
      <c r="G5" s="6">
        <f>HYPERLINK("https://www.kleinanzeigen.de/s-anzeige/komplette-aktuelle-surfausruestung-rrd-x-fire-ltd-v10-114-usw-/2880493777-230-2069", "Link")</f>
        <v/>
      </c>
      <c r="H5" s="6">
        <f>HYPERLINK("C:\Projects\Kleinanzeigen-Scraper\offer_images\2880493777", "Link")</f>
        <v/>
      </c>
      <c r="I5" t="inlineStr">
        <is>
          <t>Jonas</t>
        </is>
      </c>
      <c r="J5" s="6">
        <f>HYPERLINK("https://www.kleinanzeigen.de/s-bestandsliste.html?userId=144434824", "Link")</f>
        <v/>
      </c>
      <c r="K5" s="7" t="n">
        <v>45568.75284722223</v>
      </c>
      <c r="L5" s="3" t="inlineStr">
        <is>
          <t>36.62</t>
        </is>
      </c>
      <c r="M5" t="inlineStr">
        <is>
          <t>Köln</t>
        </is>
      </c>
    </row>
    <row r="6">
      <c r="A6" t="inlineStr">
        <is>
          <t>Surfboard: Starboard Quad 76l, Sails: North Sails Curve 5.4 m², Gun Sails Peak 5.0 m², Gun Sails Peak 4.5 m², Serverne Blade 4.0 m², Mast: Unifiber 400 C80, Boom: North Sails Silver 140, includes mast extensions and 2 mast feet, all in good used condition.</t>
        </is>
      </c>
      <c r="B6" s="4" t="n">
        <v>850</v>
      </c>
      <c r="C6" t="inlineStr">
        <is>
          <t>VB</t>
        </is>
      </c>
      <c r="D6" t="inlineStr">
        <is>
          <t>24837 Schleswig-Holstein - Schleswig</t>
        </is>
      </c>
      <c r="E6" s="5" t="n">
        <v>45568</v>
      </c>
      <c r="F6" t="inlineStr"/>
      <c r="G6" s="6">
        <f>HYPERLINK("https://www.kleinanzeigen.de/s-anzeige/surfausruestung-starboard-gunsails/2881109142-230-558", "Link")</f>
        <v/>
      </c>
      <c r="H6" s="6">
        <f>HYPERLINK("C:\Projects\Kleinanzeigen-Scraper\offer_images\2881109142", "Link")</f>
        <v/>
      </c>
      <c r="I6" t="inlineStr">
        <is>
          <t>Ove</t>
        </is>
      </c>
      <c r="J6" s="6">
        <f>HYPERLINK("https://www.kleinanzeigen.de/s-bestandsliste.html?userId=15018620", "Link")</f>
        <v/>
      </c>
      <c r="K6" s="7" t="n">
        <v>45568.75100694445</v>
      </c>
      <c r="L6" s="3" t="inlineStr">
        <is>
          <t>435.51</t>
        </is>
      </c>
      <c r="M6" t="inlineStr">
        <is>
          <t>Köln</t>
        </is>
      </c>
    </row>
    <row r="7">
      <c r="A7" t="inlineStr">
        <is>
          <t>Complete windsurfing equipment including Starboard GO 122 board (245 x 72 cm, 122 liters), North Natural 5.8 m² sail, GUNCross Carbon mast (430 cm), GUN Advantage boom (150-200 cm), mast foot, fin, and mast extension.</t>
        </is>
      </c>
      <c r="B7" s="4" t="n">
        <v>500</v>
      </c>
      <c r="C7" t="inlineStr"/>
      <c r="D7" t="inlineStr">
        <is>
          <t>79100 Freiburg im Breisgau - Wiehre</t>
        </is>
      </c>
      <c r="E7" s="5" t="n">
        <v>45568</v>
      </c>
      <c r="F7" t="inlineStr"/>
      <c r="G7" s="6">
        <f>HYPERLINK("https://www.kleinanzeigen.de/s-anzeige/komplette-windsurfausruestung-starboard-go-122-north-rigg-5-8m-/2880987324-230-9368", "Link")</f>
        <v/>
      </c>
      <c r="H7" s="6">
        <f>HYPERLINK("C:\Projects\Kleinanzeigen-Scraper\offer_images\2880987324", "Link")</f>
        <v/>
      </c>
      <c r="I7" t="inlineStr">
        <is>
          <t>MLF</t>
        </is>
      </c>
      <c r="J7" s="6">
        <f>HYPERLINK("https://www.kleinanzeigen.de/s-bestandsliste.html?userId=15574759", "Link")</f>
        <v/>
      </c>
      <c r="K7" s="7" t="n">
        <v>45568.74979166667</v>
      </c>
      <c r="L7" s="3" t="inlineStr">
        <is>
          <t>39.95</t>
        </is>
      </c>
      <c r="M7" t="inlineStr">
        <is>
          <t>Bonndorf</t>
        </is>
      </c>
    </row>
    <row r="8">
      <c r="A8" t="inlineStr">
        <is>
          <t>Includes sails (North 4.5, 5.3, 6.0, 6.5, 7.0, 8.5, Neilpryde 6.0, 7.0), booms, masts, and boards (Tiga Free X 281, F2 Axxis 260) with fins and accessories. Note: 8.5 sail needs a small tape replacement and the board has a small damage that needs gluing or filling.</t>
        </is>
      </c>
      <c r="B8" s="4" t="n">
        <v>299</v>
      </c>
      <c r="C8" t="inlineStr">
        <is>
          <t>VB</t>
        </is>
      </c>
      <c r="D8" t="inlineStr">
        <is>
          <t>32257 Nordrhein-Westfalen - Bünde</t>
        </is>
      </c>
      <c r="E8" s="5" t="n">
        <v>45568</v>
      </c>
      <c r="F8" t="inlineStr"/>
      <c r="G8" s="6">
        <f>HYPERLINK("https://www.kleinanzeigen.de/s-anzeige/windsurf-board-und-segel-komplett-mit-zubehoer/2880826914-230-1604", "Link")</f>
        <v/>
      </c>
      <c r="H8" s="6">
        <f>HYPERLINK("C:\Projects\Kleinanzeigen-Scraper\offer_images\2880826914", "Link")</f>
        <v/>
      </c>
      <c r="I8" t="inlineStr">
        <is>
          <t>Horst Fierus</t>
        </is>
      </c>
      <c r="J8" s="6">
        <f>HYPERLINK("https://www.kleinanzeigen.de/s-bestandsliste.html?userId=8278723", "Link")</f>
        <v/>
      </c>
      <c r="K8" s="7" t="n">
        <v>45568.74952546296</v>
      </c>
      <c r="L8" s="3" t="inlineStr">
        <is>
          <t>179.52</t>
        </is>
      </c>
      <c r="M8" t="inlineStr">
        <is>
          <t>Köln</t>
        </is>
      </c>
    </row>
    <row r="9">
      <c r="A9" t="inlineStr">
        <is>
          <t>Multiple sails available, including Future 6.4 and RAF Jam Wave 4.0, each for 15€.</t>
        </is>
      </c>
      <c r="B9" s="4" t="n">
        <v>15</v>
      </c>
      <c r="C9" t="inlineStr"/>
      <c r="D9" t="inlineStr">
        <is>
          <t>88348 Baden-Württemberg - Bad Saulgau</t>
        </is>
      </c>
      <c r="E9" s="5" t="n">
        <v>45568</v>
      </c>
      <c r="F9" t="inlineStr"/>
      <c r="G9" s="6">
        <f>HYPERLINK("https://www.kleinanzeigen.de/s-anzeige/windsurf-segel/2881358746-230-8728", "Link")</f>
        <v/>
      </c>
      <c r="H9" s="6">
        <f>HYPERLINK("C:\Projects\Kleinanzeigen-Scraper\offer_images\2881358746", "Link")</f>
        <v/>
      </c>
      <c r="I9" t="inlineStr">
        <is>
          <t>Markus Bauser</t>
        </is>
      </c>
      <c r="J9" s="6">
        <f>HYPERLINK("https://www.kleinanzeigen.de/s-bestandsliste.html?userId=2105906", "Link")</f>
        <v/>
      </c>
      <c r="K9" s="7" t="n">
        <v>45568.74770833334</v>
      </c>
      <c r="L9" s="3" t="inlineStr">
        <is>
          <t>82.83</t>
        </is>
      </c>
      <c r="M9" t="inlineStr">
        <is>
          <t>Böblingen</t>
        </is>
      </c>
    </row>
    <row r="10">
      <c r="A10" t="inlineStr">
        <is>
          <t>Includes: Sail (North X-type 6.0 m²), Mast (North SDM 21CC; 100% Carbon; 430 cm), Boom (North Silver Vario 160-210 cm), Mast extension EPX with double pulleys, Sail bag.</t>
        </is>
      </c>
      <c r="B10" s="4" t="n">
        <v>350</v>
      </c>
      <c r="C10" t="inlineStr"/>
      <c r="D10" t="inlineStr">
        <is>
          <t>44267 Dortmund - Benninghofen</t>
        </is>
      </c>
      <c r="E10" s="5" t="n">
        <v>45563</v>
      </c>
      <c r="F10" t="inlineStr"/>
      <c r="G10" s="6">
        <f>HYPERLINK("https://www.kleinanzeigen.de/s-anzeige/komplettrigg-windsurfen/2875994369-230-1088", "Link")</f>
        <v/>
      </c>
      <c r="H10" s="6">
        <f>HYPERLINK("C:\Projects\Kleinanzeigen-Scraper\offer_images\2875994369", "Link")</f>
        <v/>
      </c>
      <c r="I10" t="inlineStr">
        <is>
          <t>Emil</t>
        </is>
      </c>
      <c r="J10" s="6">
        <f>HYPERLINK("https://www.kleinanzeigen.de/s-bestandsliste.html?userId=54934248", "Link")</f>
        <v/>
      </c>
      <c r="K10" s="7" t="n">
        <v>45568.74677083334</v>
      </c>
      <c r="L10" s="3" t="inlineStr">
        <is>
          <t>70.17</t>
        </is>
      </c>
      <c r="M10" t="inlineStr">
        <is>
          <t>Köln</t>
        </is>
      </c>
    </row>
    <row r="11">
      <c r="A11" t="inlineStr">
        <is>
          <t>Set includes Neilpryde Combat Pro sails in sizes 5.0, 4.5, and 4.0, all in very good condition.</t>
        </is>
      </c>
      <c r="B11" s="4" t="n">
        <v>330</v>
      </c>
      <c r="C11" t="inlineStr">
        <is>
          <t>VB</t>
        </is>
      </c>
      <c r="D11" t="inlineStr">
        <is>
          <t>80689 München - Laim</t>
        </is>
      </c>
      <c r="E11" s="5" t="n">
        <v>45568</v>
      </c>
      <c r="F11" t="inlineStr"/>
      <c r="G11" s="6">
        <f>HYPERLINK("https://www.kleinanzeigen.de/s-anzeige/neilpryde-combat-pro-2021-5-0-4-5-und-4-0-sehr-guter-zustand/2881628989-230-16395", "Link")</f>
        <v/>
      </c>
      <c r="H11" s="6">
        <f>HYPERLINK("C:\Projects\Kleinanzeigen-Scraper\offer_images\2881628989", "Link")</f>
        <v/>
      </c>
      <c r="I11" t="inlineStr">
        <is>
          <t>Peter</t>
        </is>
      </c>
      <c r="J11" s="6">
        <f>HYPERLINK("https://www.kleinanzeigen.de/s-bestandsliste.html?userId=46586058", "Link")</f>
        <v/>
      </c>
      <c r="K11" s="7" t="n">
        <v>45568.74612268519</v>
      </c>
      <c r="L11" s="3" t="inlineStr">
        <is>
          <t>6.18</t>
        </is>
      </c>
      <c r="M11" t="inlineStr">
        <is>
          <t>München</t>
        </is>
      </c>
    </row>
    <row r="12">
      <c r="A12" t="inlineStr">
        <is>
          <t>Complete windsurfing equipment including JP Australia board 160 with daggerboard, Gastra mast 4.60m SDM, Gunsail mast 4.3m SDM, Aluminum boom 180-230, mast foot, new board bag, Gastra sail 7.5 in very good condition, Fanatic Free Wing sail 6.5 used once, Gunsail sail 5.5 used but in top condition.</t>
        </is>
      </c>
      <c r="B12" s="4" t="n">
        <v>1.5</v>
      </c>
      <c r="C12" t="inlineStr">
        <is>
          <t>VB</t>
        </is>
      </c>
      <c r="D12" t="inlineStr">
        <is>
          <t>60438 Frankfurt am Main - Kalbach</t>
        </is>
      </c>
      <c r="E12" s="5" t="n">
        <v>45568</v>
      </c>
      <c r="F12" t="inlineStr"/>
      <c r="G12" s="6">
        <f>HYPERLINK("https://www.kleinanzeigen.de/s-anzeige/windsurf-komplett-set-/2881617879-230-4330", "Link")</f>
        <v/>
      </c>
      <c r="H12" s="6">
        <f>HYPERLINK("C:\Projects\Kleinanzeigen-Scraper\offer_images\2881617879", "Link")</f>
        <v/>
      </c>
      <c r="I12" t="inlineStr">
        <is>
          <t>Dali</t>
        </is>
      </c>
      <c r="J12" s="6">
        <f>HYPERLINK("https://www.kleinanzeigen.de/s-bestandsliste.html?userId=59011315", "Link")</f>
        <v/>
      </c>
      <c r="K12" s="7" t="n">
        <v>45568.74582175926</v>
      </c>
      <c r="L12" s="3" t="inlineStr">
        <is>
          <t>131.22</t>
        </is>
      </c>
      <c r="M12" t="inlineStr">
        <is>
          <t>Karlsruhe</t>
        </is>
      </c>
    </row>
    <row r="13">
      <c r="A13" t="inlineStr">
        <is>
          <t>Windsurf equipment including two boards, four sails, two masts, three booms (one broken), bag, and more.</t>
        </is>
      </c>
      <c r="B13" s="4" t="n">
        <v>150</v>
      </c>
      <c r="C13" t="inlineStr"/>
      <c r="D13" t="inlineStr">
        <is>
          <t>20357 Altona - Hamburg Sternschanze</t>
        </is>
      </c>
      <c r="E13" s="5" t="n">
        <v>45562</v>
      </c>
      <c r="F13" t="inlineStr"/>
      <c r="G13" s="6">
        <f>HYPERLINK("https://www.kleinanzeigen.de/s-anzeige/surfen-surfausruestung-windsurfen/2875566841-230-9431", "Link")</f>
        <v/>
      </c>
      <c r="H13" s="6">
        <f>HYPERLINK("C:\Projects\Kleinanzeigen-Scraper\offer_images\2875566841", "Link")</f>
        <v/>
      </c>
      <c r="I13" t="inlineStr">
        <is>
          <t>Leon</t>
        </is>
      </c>
      <c r="J13" s="6">
        <f>HYPERLINK("https://www.kleinanzeigen.de/s-bestandsliste.html?userId=9946170", "Link")</f>
        <v/>
      </c>
      <c r="K13" s="7" t="n">
        <v>45568.74493055556</v>
      </c>
      <c r="L13" s="3" t="inlineStr">
        <is>
          <t>356.83</t>
        </is>
      </c>
      <c r="M13" t="inlineStr">
        <is>
          <t>Köln</t>
        </is>
      </c>
    </row>
    <row r="14">
      <c r="A14" t="inlineStr">
        <is>
          <t>Windsurf SUP with 6qm sail, including mast foot extension and two-part mast.</t>
        </is>
      </c>
      <c r="B14" s="4" t="n">
        <v>725</v>
      </c>
      <c r="C14" t="inlineStr"/>
      <c r="D14" t="inlineStr">
        <is>
          <t>42489 Nordrhein-Westfalen - Wülfrath</t>
        </is>
      </c>
      <c r="E14" s="5" t="n">
        <v>45567</v>
      </c>
      <c r="F14" t="inlineStr"/>
      <c r="G14" s="6">
        <f>HYPERLINK("https://www.kleinanzeigen.de/s-anzeige/stx-windsurf-sup-mit-6qm-segel/2880002307-230-1554", "Link")</f>
        <v/>
      </c>
      <c r="H14" s="6">
        <f>HYPERLINK("C:\Projects\Kleinanzeigen-Scraper\offer_images\2880002307", "Link")</f>
        <v/>
      </c>
      <c r="I14" t="inlineStr">
        <is>
          <t>Alex Dittmar</t>
        </is>
      </c>
      <c r="J14" s="6">
        <f>HYPERLINK("https://www.kleinanzeigen.de/s-bestandsliste.html?userId=4576169", "Link")</f>
        <v/>
      </c>
      <c r="K14" s="7" t="n">
        <v>45567.75424768519</v>
      </c>
      <c r="L14" s="3" t="inlineStr">
        <is>
          <t>39.28</t>
        </is>
      </c>
      <c r="M14" t="inlineStr">
        <is>
          <t>Köln</t>
        </is>
      </c>
    </row>
    <row r="15">
      <c r="A15" t="inlineStr">
        <is>
          <t>Complete windsurfing equipment including sails (Gaastra GTX Race 5.5, Gaastra Poison 5.0, Gaastra Poison 4.5, North Sails id 4.2, North Sails Rave 4.7, North Sails duke 5.9), boards (JP Australia 109L), masts (Gun Sails Mast 430 SDM, Gaastra Mast 400 RDM), booms, and various accessories.</t>
        </is>
      </c>
      <c r="B15" s="4" t="n">
        <v>1.5</v>
      </c>
      <c r="C15" t="inlineStr">
        <is>
          <t>VB</t>
        </is>
      </c>
      <c r="D15" t="inlineStr">
        <is>
          <t>80799 München - Maxvorstadt</t>
        </is>
      </c>
      <c r="E15" s="5" t="n">
        <v>45567</v>
      </c>
      <c r="F15" t="inlineStr"/>
      <c r="G15" s="6">
        <f>HYPERLINK("https://www.kleinanzeigen.de/s-anzeige/windsurf-ausruestung-segel-mast-board-komplet/2880410283-230-16355", "Link")</f>
        <v/>
      </c>
      <c r="H15" s="6">
        <f>HYPERLINK("C:\Projects\Kleinanzeigen-Scraper\offer_images\2880410283", "Link")</f>
        <v/>
      </c>
      <c r="I15" t="inlineStr">
        <is>
          <t>pressel</t>
        </is>
      </c>
      <c r="J15" s="6">
        <f>HYPERLINK("https://www.kleinanzeigen.de/s-bestandsliste.html?userId=24448728", "Link")</f>
        <v/>
      </c>
      <c r="K15" s="7" t="n">
        <v>45567.75126157407</v>
      </c>
      <c r="L15" s="3" t="inlineStr">
        <is>
          <t>1.66</t>
        </is>
      </c>
      <c r="M15" t="inlineStr">
        <is>
          <t>München</t>
        </is>
      </c>
    </row>
    <row r="16">
      <c r="A16" t="inlineStr">
        <is>
          <t>3 Neilpryde Combat HD sails (4.0, 4.5, 5.0 m²) and 1 JP Magic Ride board (97 liters), both from 2019, with minor repairs.</t>
        </is>
      </c>
      <c r="B16" s="4" t="n">
        <v>500</v>
      </c>
      <c r="C16" t="inlineStr"/>
      <c r="D16" t="inlineStr">
        <is>
          <t>23775 Kreis Ostholstein - Großenbrode</t>
        </is>
      </c>
      <c r="E16" s="5" t="n">
        <v>45567</v>
      </c>
      <c r="F16" t="inlineStr"/>
      <c r="G16" s="6">
        <f>HYPERLINK("https://www.kleinanzeigen.de/s-anzeige/neilpryde-combat-hd-3-stck-jp-magic-ride-97-pro-/2880451086-230-429", "Link")</f>
        <v/>
      </c>
      <c r="H16" s="6">
        <f>HYPERLINK("C:\Projects\Kleinanzeigen-Scraper\offer_images\2880451086", "Link")</f>
        <v/>
      </c>
      <c r="I16" t="inlineStr">
        <is>
          <t>heiligenhafen</t>
        </is>
      </c>
      <c r="J16" s="6">
        <f>HYPERLINK("https://www.kleinanzeigen.de/s-bestandsliste.html?userId=21083285", "Link")</f>
        <v/>
      </c>
      <c r="K16" s="7" t="n">
        <v>45567.74958333333</v>
      </c>
      <c r="L16" s="3" t="inlineStr">
        <is>
          <t>471.97</t>
        </is>
      </c>
      <c r="M16" t="inlineStr">
        <is>
          <t>Köln</t>
        </is>
      </c>
    </row>
    <row r="17">
      <c r="A17" t="inlineStr">
        <is>
          <t>Complete set including Fanatic Gecko Foil Freeride Board, Nilepryde Foil, Duotone Boom, two used Blacklabel Masts (400/430), one new Duotone Superstar sail (5.7), one used Severne Convert sail (4.8), mast foot, mast extension, and transport cart.</t>
        </is>
      </c>
      <c r="B17" s="4" t="n">
        <v>2.3</v>
      </c>
      <c r="C17" t="inlineStr">
        <is>
          <t>VB</t>
        </is>
      </c>
      <c r="D17" t="inlineStr">
        <is>
          <t>90480 Nürnberg (Mittelfr) - Oststadt</t>
        </is>
      </c>
      <c r="E17" s="5" t="n">
        <v>45567</v>
      </c>
      <c r="F17" t="inlineStr"/>
      <c r="G17" s="6">
        <f>HYPERLINK("https://www.kleinanzeigen.de/s-anzeige/fanatic-gecko-135l-foil-freeride-board-duotone-severne-kompl-set/2880291900-230-6818", "Link")</f>
        <v/>
      </c>
      <c r="H17" s="6">
        <f>HYPERLINK("C:\Projects\Kleinanzeigen-Scraper\offer_images\2880291900", "Link")</f>
        <v/>
      </c>
      <c r="I17" t="inlineStr">
        <is>
          <t>Roy Louis</t>
        </is>
      </c>
      <c r="J17" s="6">
        <f>HYPERLINK("https://www.kleinanzeigen.de/s-bestandsliste.html?userId=1945326", "Link")</f>
        <v/>
      </c>
      <c r="K17" s="7" t="n">
        <v>45567.74799768518</v>
      </c>
      <c r="L17" s="3" t="inlineStr">
        <is>
          <t>148.86</t>
        </is>
      </c>
      <c r="M17" t="inlineStr">
        <is>
          <t>München</t>
        </is>
      </c>
    </row>
    <row r="18">
      <c r="A18" t="inlineStr">
        <is>
          <t>4 Gaastra sails (3.7, 4.1, 4.6, 5.7) plus 1 boom</t>
        </is>
      </c>
      <c r="B18" s="4" t="n">
        <v>120</v>
      </c>
      <c r="C18" t="inlineStr">
        <is>
          <t>VB</t>
        </is>
      </c>
      <c r="D18" t="inlineStr">
        <is>
          <t>24796 Schleswig-Holstein - Krummwisch</t>
        </is>
      </c>
      <c r="E18" s="5" t="n">
        <v>45567</v>
      </c>
      <c r="F18" t="inlineStr">
        <is>
          <t>Sold</t>
        </is>
      </c>
      <c r="G18" s="6">
        <f>HYPERLINK("https://www.kleinanzeigen.de/s-anzeige/surfsegel-gaastra-3-7-5-7/2880174534-230-490", "Link")</f>
        <v/>
      </c>
      <c r="H18" s="6">
        <f>HYPERLINK("C:\Projects\Kleinanzeigen-Scraper\offer_images\2880174534", "Link")</f>
        <v/>
      </c>
      <c r="I18" t="inlineStr">
        <is>
          <t>Petra Krambeck</t>
        </is>
      </c>
      <c r="J18" s="6">
        <f>HYPERLINK("https://www.kleinanzeigen.de/s-bestandsliste.html?userId=3767097", "Link")</f>
        <v/>
      </c>
      <c r="K18" s="7" t="n">
        <v>45567.74731481481</v>
      </c>
      <c r="L18" s="3" t="inlineStr">
        <is>
          <t>424.32</t>
        </is>
      </c>
      <c r="M18" t="inlineStr">
        <is>
          <t>Köln</t>
        </is>
      </c>
    </row>
    <row r="19">
      <c r="A19" t="inlineStr">
        <is>
          <t>Includes Duotone SuperHero 4.7 sail, Severne Blade 4.2 sail, Severne Blade 4.7 sail, Duotone Platinum 100% RDM 400 mast, Duotone Platinum 140 boom, and Severne Pyro 83l board.</t>
        </is>
      </c>
      <c r="B19" s="4" t="n">
        <v>1</v>
      </c>
      <c r="C19" t="inlineStr"/>
      <c r="D19" t="inlineStr">
        <is>
          <t>82256 FFB</t>
        </is>
      </c>
      <c r="E19" s="5" t="n">
        <v>45566</v>
      </c>
      <c r="F19" t="inlineStr"/>
      <c r="G19" s="6">
        <f>HYPERLINK("https://www.dailydose.de/kleinanzeigen/detail.htm?ai=423469&amp;cf=kk&amp;pg=2&amp;ci=5", "Link")</f>
        <v/>
      </c>
      <c r="H19" s="6">
        <f>HYPERLINK("C:\Projects\Kleinanzeigen-Scraper\offer_images\423469", "Link")</f>
        <v/>
      </c>
      <c r="I19" t="inlineStr">
        <is>
          <t>Lars_133</t>
        </is>
      </c>
      <c r="J19" s="6">
        <f>HYPERLINK("https://www.dailydose.de/kleinanzeigen/user/14091", "Link")</f>
        <v/>
      </c>
      <c r="K19" s="7" t="n">
        <v>45566.74416666666</v>
      </c>
      <c r="L19" s="3" t="inlineStr">
        <is>
          <t>25.37</t>
        </is>
      </c>
      <c r="M19" t="inlineStr">
        <is>
          <t>München</t>
        </is>
      </c>
    </row>
    <row r="20">
      <c r="A20" t="inlineStr">
        <is>
          <t>6.4 m² sail including Epoxy mast, without boom, mast extension, and mast foot.</t>
        </is>
      </c>
      <c r="B20" s="4" t="n">
        <v>0</v>
      </c>
      <c r="C20" t="inlineStr"/>
      <c r="D20" t="inlineStr">
        <is>
          <t>01728 Bannewitz (im Süden Dresdens)</t>
        </is>
      </c>
      <c r="E20" s="5" t="n">
        <v>45566</v>
      </c>
      <c r="F20" t="inlineStr"/>
      <c r="G20" s="6">
        <f>HYPERLINK("https://www.dailydose.de/kleinanzeigen/detail.htm?ai=423457&amp;cf=kk&amp;pg=2&amp;ci=5", "Link")</f>
        <v/>
      </c>
      <c r="H20" s="6">
        <f>HYPERLINK("C:\Projects\Kleinanzeigen-Scraper\offer_images\423457", "Link")</f>
        <v/>
      </c>
      <c r="I20" t="inlineStr">
        <is>
          <t>mrpjp</t>
        </is>
      </c>
      <c r="J20" s="6">
        <f>HYPERLINK("https://www.dailydose.de/kleinanzeigen/user/18504", "Link")</f>
        <v/>
      </c>
      <c r="K20" s="7" t="n">
        <v>45566.74335648148</v>
      </c>
      <c r="L20" s="3" t="inlineStr">
        <is>
          <t>353.22</t>
        </is>
      </c>
      <c r="M20" t="inlineStr">
        <is>
          <t>München</t>
        </is>
      </c>
    </row>
    <row r="21">
      <c r="A21" t="inlineStr">
        <is>
          <t>S2 Maui Dragon sails in sizes 3.8, 4.2, 4.6, and 5.2, including a 400 cm mast (100% Carbon) and a 370 cm mast (75% Carbon).</t>
        </is>
      </c>
      <c r="B21" s="4" t="n">
        <v>999</v>
      </c>
      <c r="C21" t="inlineStr">
        <is>
          <t>VB</t>
        </is>
      </c>
      <c r="D21" t="inlineStr">
        <is>
          <t>24159</t>
        </is>
      </c>
      <c r="E21" s="5" t="n">
        <v>45565</v>
      </c>
      <c r="F21" t="inlineStr"/>
      <c r="G21" s="6">
        <f>HYPERLINK("https://www.dailydose.de/kleinanzeigen/detail.htm?ai=423448&amp;cf=kk&amp;pg=2&amp;ci=5", "Link")</f>
        <v/>
      </c>
      <c r="H21" s="6">
        <f>HYPERLINK("C:\Projects\Kleinanzeigen-Scraper\offer_images\423448", "Link")</f>
        <v/>
      </c>
      <c r="I21" t="inlineStr">
        <is>
          <t>mbitze_10</t>
        </is>
      </c>
      <c r="J21" s="6">
        <f>HYPERLINK("https://www.dailydose.de/kleinanzeigen/user/4890", "Link")</f>
        <v/>
      </c>
      <c r="K21" s="7" t="n">
        <v>45566.74236111111</v>
      </c>
      <c r="L21" s="3" t="inlineStr">
        <is>
          <t>440.84</t>
        </is>
      </c>
      <c r="M21" t="inlineStr">
        <is>
          <t>Köln</t>
        </is>
      </c>
    </row>
    <row r="22">
      <c r="A22" t="inlineStr">
        <is>
          <t>Complete windsurfing equipment including Fanatic Grip 86 board (2020/21), Quatro Cube Quad 80 board (2016), Neil Pryde Combat sails (3.7, 4.0, 4.5, 5.0), Neil Pryde SPX 66 mast (370 &amp; 400), Neil Pryde MXT RDM extension, Neil Pryde carbon boom, and Neil Pryde MXT mast foot.</t>
        </is>
      </c>
      <c r="B22" s="4" t="n">
        <v>2.999</v>
      </c>
      <c r="C22" t="inlineStr">
        <is>
          <t>VB</t>
        </is>
      </c>
      <c r="D22" t="inlineStr">
        <is>
          <t>25996 Sylt - Wenningstedt</t>
        </is>
      </c>
      <c r="E22" s="5" t="n">
        <v>45566</v>
      </c>
      <c r="F22" t="inlineStr"/>
      <c r="G22" s="6">
        <f>HYPERLINK("https://www.kleinanzeigen.de/s-anzeige/fanatic-grip-quatro-cube-quad-neil-pryde-combat-windsurf-wave-set/2879408447-230-635", "Link")</f>
        <v/>
      </c>
      <c r="H22" s="6">
        <f>HYPERLINK("C:\Projects\Kleinanzeigen-Scraper\offer_images\2879408447", "Link")</f>
        <v/>
      </c>
      <c r="I22" t="inlineStr">
        <is>
          <t>VMH</t>
        </is>
      </c>
      <c r="J22" s="6">
        <f>HYPERLINK("https://www.kleinanzeigen.de/s-bestandsliste.html?userId=21233090", "Link")</f>
        <v/>
      </c>
      <c r="K22" s="7" t="n">
        <v>45566.74069444444</v>
      </c>
      <c r="L22" s="3" t="inlineStr">
        <is>
          <t>453.86</t>
        </is>
      </c>
      <c r="M22" t="inlineStr">
        <is>
          <t>Köln</t>
        </is>
      </c>
    </row>
    <row r="23">
      <c r="A23" t="inlineStr">
        <is>
          <t>Various surf equipment including sails, masts, booms, boards, and complete sets. Includes 9 sails of different brands and sizes, complete sets with boards, masts, booms, and accessories.</t>
        </is>
      </c>
      <c r="B23" s="4" t="n">
        <v>65</v>
      </c>
      <c r="C23" t="inlineStr"/>
      <c r="D23" t="inlineStr">
        <is>
          <t>17498 Mecklenburg-Vorpommern - Neuenkirchen bei Greifswald</t>
        </is>
      </c>
      <c r="E23" s="5" t="n">
        <v>45566</v>
      </c>
      <c r="F23" t="inlineStr"/>
      <c r="G23" s="6">
        <f>HYPERLINK("https://www.kleinanzeigen.de/s-anzeige/surfausruestung-surfsegel-mast-komplett-windsurfen-surfen/2879428136-230-20152", "Link")</f>
        <v/>
      </c>
      <c r="H23" s="6">
        <f>HYPERLINK("C:\Projects\Kleinanzeigen-Scraper\offer_images\2879428136", "Link")</f>
        <v/>
      </c>
      <c r="I23" t="inlineStr">
        <is>
          <t>Kai</t>
        </is>
      </c>
      <c r="J23" s="6">
        <f>HYPERLINK("https://www.kleinanzeigen.de/s-bestandsliste.html?userId=2838193", "Link")</f>
        <v/>
      </c>
      <c r="K23" s="7" t="n">
        <v>45566.73945601852</v>
      </c>
      <c r="L23" s="3" t="inlineStr">
        <is>
          <t>559.77</t>
        </is>
      </c>
      <c r="M23" t="inlineStr">
        <is>
          <t>Köln</t>
        </is>
      </c>
    </row>
    <row r="24">
      <c r="A24" t="inlineStr">
        <is>
          <t>Starboard Carbon IQ FOIL Set including 1 Front Wing (800 cm²), 1 Backwing (255 cm²), 1 Carbon Mast (95 cm), 1 Fuselage (115 cm), Original Foil Bag, 6 Shims, and complete screws.</t>
        </is>
      </c>
      <c r="B24" s="4" t="n">
        <v>1.5</v>
      </c>
      <c r="C24" t="inlineStr"/>
      <c r="D24" t="inlineStr">
        <is>
          <t>31542 Niedersachsen - Bad Nenndorf</t>
        </is>
      </c>
      <c r="E24" s="5" t="n">
        <v>45565</v>
      </c>
      <c r="F24" t="inlineStr"/>
      <c r="G24" s="6">
        <f>HYPERLINK("https://www.kleinanzeigen.de/s-anzeige/starboard-carbon-iq-foil-set-sehr-guter-zustand/2878901707-187-2859", "Link")</f>
        <v/>
      </c>
      <c r="H24" s="6">
        <f>HYPERLINK("C:\Projects\Kleinanzeigen-Scraper\offer_images\2878901707", "Link")</f>
        <v/>
      </c>
      <c r="I24" t="inlineStr">
        <is>
          <t>Mara Estelle</t>
        </is>
      </c>
      <c r="J24" s="6">
        <f>HYPERLINK("https://www.kleinanzeigen.de/s-bestandsliste.html?userId=142285552", "Link")</f>
        <v/>
      </c>
      <c r="K24" s="7" t="n">
        <v>45566.73729166666</v>
      </c>
      <c r="L24" s="3" t="inlineStr">
        <is>
          <t>227.94</t>
        </is>
      </c>
      <c r="M24" t="inlineStr">
        <is>
          <t>Köln</t>
        </is>
      </c>
    </row>
    <row r="25">
      <c r="A25" t="inlineStr">
        <is>
          <t>1 x NeilPryde Atlas PRO Wave, Größe 5,8qm, Modell 2022 (neuwertig), 1 x NeilPryde Combat PRO Wave, Größe 5,3qm, Modell 2022 (neu), 1 x NeilPryde Combat HD Wave, Größe 4,7qm, Modell 2022 (neu), 1 x NeilPryde Combat HD Wave, Größe 4,2qm, Modell 2022 (neu)</t>
        </is>
      </c>
      <c r="B25" s="4" t="n">
        <v>430</v>
      </c>
      <c r="C25" t="inlineStr"/>
      <c r="D25" t="inlineStr">
        <is>
          <t>82211 Bayern - Herrsching</t>
        </is>
      </c>
      <c r="E25" s="5" t="n">
        <v>45566</v>
      </c>
      <c r="F25" t="inlineStr"/>
      <c r="G25" s="6">
        <f>HYPERLINK("https://www.kleinanzeigen.de/s-anzeige/surfsegel-neilpryde/2879506482-230-5520", "Link")</f>
        <v/>
      </c>
      <c r="H25" s="6">
        <f>HYPERLINK("C:\Projects\Kleinanzeigen-Scraper\offer_images\2879506482", "Link")</f>
        <v/>
      </c>
      <c r="I25" t="inlineStr">
        <is>
          <t>Thomas</t>
        </is>
      </c>
      <c r="J25" s="6">
        <f>HYPERLINK("https://www.kleinanzeigen.de/s-bestandsliste.html?userId=47570105", "Link")</f>
        <v/>
      </c>
      <c r="K25" s="7" t="n">
        <v>45566.73629629629</v>
      </c>
      <c r="L25" s="3" t="inlineStr">
        <is>
          <t>32.73</t>
        </is>
      </c>
      <c r="M25" t="inlineStr">
        <is>
          <t>München</t>
        </is>
      </c>
    </row>
    <row r="26">
      <c r="A26" t="inlineStr">
        <is>
          <t>Complete windsurfing equipment including 2 Waveboards (Fanatic Goya 93l &amp; Roberto Ricci Design 70l), 2 Board Bags, 4 Sails (Sailloft Hamburg: 5.9 qm, 5.3 qm, 4.7 qm, 4.0 qm), 4 Masts, 3 Booms, Fins, Mast Feet.</t>
        </is>
      </c>
      <c r="B26" s="4" t="inlineStr">
        <is>
          <t>No price</t>
        </is>
      </c>
      <c r="C26" t="inlineStr"/>
      <c r="D26" t="inlineStr">
        <is>
          <t>65187 Hessen - Wiesbaden</t>
        </is>
      </c>
      <c r="E26" s="5" t="n">
        <v>45566</v>
      </c>
      <c r="F26" t="inlineStr">
        <is>
          <t>Sold</t>
        </is>
      </c>
      <c r="G26" s="6">
        <f>HYPERLINK("https://www.kleinanzeigen.de/s-anzeige/windsurf-ausruestung-komplett-zu-verschenken/2879204424-192-4903", "Link")</f>
        <v/>
      </c>
      <c r="H26" s="6">
        <f>HYPERLINK("C:\Projects\Kleinanzeigen-Scraper\offer_images\2879204424", "Link")</f>
        <v/>
      </c>
      <c r="I26" t="inlineStr">
        <is>
          <t>Wiesbaden, Dichterviertel</t>
        </is>
      </c>
      <c r="J26" s="6">
        <f>HYPERLINK("https://www.kleinanzeigen.de/s-bestandsliste.html?userId=31224861", "Link")</f>
        <v/>
      </c>
      <c r="K26" s="7" t="n">
        <v>45566.73483796296</v>
      </c>
      <c r="L26" s="3" t="inlineStr">
        <is>
          <t>117.56</t>
        </is>
      </c>
      <c r="M26" t="inlineStr">
        <is>
          <t>Karlsruhe</t>
        </is>
      </c>
    </row>
    <row r="27">
      <c r="A27" t="inlineStr">
        <is>
          <t>Includes RRD Firestorm ltd 129l board, RRD X-Fire ltd V2 90l board, Neilpryde Hellcat 7.2 sail, Neilpryde Firefly 5.7 sail, Neilpryde SPX65 460 mast, Quick Tipp 430 mast, Neilpryde X1 165-225 boom, fins, foot straps, and mast extensions. All items are used with some damage.</t>
        </is>
      </c>
      <c r="B27" s="4" t="inlineStr"/>
      <c r="C27" t="inlineStr">
        <is>
          <t>VB</t>
        </is>
      </c>
      <c r="D27" t="inlineStr">
        <is>
          <t>52066 Aachen - Aachen-Mitte</t>
        </is>
      </c>
      <c r="E27" s="5" t="n">
        <v>45566</v>
      </c>
      <c r="F27" t="inlineStr"/>
      <c r="G27" s="6">
        <f>HYPERLINK("https://www.kleinanzeigen.de/s-anzeige/windsurf-komplett-abzugeben-rrd-firestorm-129ltd/2879088499-230-1923", "Link")</f>
        <v/>
      </c>
      <c r="H27" s="6">
        <f>HYPERLINK("C:\Projects\Kleinanzeigen-Scraper\offer_images\2879088499", "Link")</f>
        <v/>
      </c>
      <c r="I27" t="inlineStr">
        <is>
          <t>Robin</t>
        </is>
      </c>
      <c r="J27" s="6">
        <f>HYPERLINK("https://www.kleinanzeigen.de/s-bestandsliste.html?userId=42713252", "Link")</f>
        <v/>
      </c>
      <c r="K27" s="7" t="n">
        <v>45566.73363425926</v>
      </c>
      <c r="L27" s="3" t="inlineStr">
        <is>
          <t>62.57</t>
        </is>
      </c>
      <c r="M27" t="inlineStr">
        <is>
          <t>Köln</t>
        </is>
      </c>
    </row>
    <row r="28">
      <c r="A28" t="inlineStr">
        <is>
          <t>Complete set including a North Sails Vertigo sail, a divisible carbon mast, and a variable boom, all showing some signs of use.</t>
        </is>
      </c>
      <c r="B28" s="4" t="n">
        <v>20</v>
      </c>
      <c r="C28" t="inlineStr">
        <is>
          <t>VB</t>
        </is>
      </c>
      <c r="D28" t="inlineStr">
        <is>
          <t>56299 Rheinland-Pfalz - Ochtendung</t>
        </is>
      </c>
      <c r="E28" s="5" t="n">
        <v>45564</v>
      </c>
      <c r="F28" t="inlineStr"/>
      <c r="G28" s="6">
        <f>HYPERLINK("https://www.kleinanzeigen.de/s-anzeige/north-sails-vertigo-surfsegel/2877820032-230-17022", "Link")</f>
        <v/>
      </c>
      <c r="H28" s="6">
        <f>HYPERLINK("C:\Projects\Kleinanzeigen-Scraper\offer_images\2877820032", "Link")</f>
        <v/>
      </c>
      <c r="I28" t="inlineStr">
        <is>
          <t>Denise Bielefeld</t>
        </is>
      </c>
      <c r="J28" s="6">
        <f>HYPERLINK("https://www.kleinanzeigen.de/s-bestandsliste.html?userId=13086965", "Link")</f>
        <v/>
      </c>
      <c r="K28" s="7" t="n">
        <v>45566.73325231481</v>
      </c>
      <c r="L28" s="3" t="inlineStr">
        <is>
          <t>72.44</t>
        </is>
      </c>
      <c r="M28" t="inlineStr">
        <is>
          <t>Köln</t>
        </is>
      </c>
    </row>
    <row r="29">
      <c r="A29" t="inlineStr">
        <is>
          <t>S2Maui Dragon sails, sizes 3.8 and 4.6, both in nearly new condition.</t>
        </is>
      </c>
      <c r="B29" s="4" t="inlineStr"/>
      <c r="C29" t="inlineStr">
        <is>
          <t>VB</t>
        </is>
      </c>
      <c r="D29" t="inlineStr">
        <is>
          <t>24229 Dänischenhagen</t>
        </is>
      </c>
      <c r="E29" s="5" t="n">
        <v>45565</v>
      </c>
      <c r="F29" t="inlineStr"/>
      <c r="G29" s="6">
        <f>HYPERLINK("https://www.dailydose.de/kleinanzeigen/detail.htm?ai=423408&amp;cf=kk&amp;pg=2&amp;ci=5", "Link")</f>
        <v/>
      </c>
      <c r="H29" s="6">
        <f>HYPERLINK("C:\Projects\Kleinanzeigen-Scraper\offer_images\423408", "Link")</f>
        <v/>
      </c>
      <c r="I29" t="inlineStr">
        <is>
          <t>waiting4wind</t>
        </is>
      </c>
      <c r="J29" s="6">
        <f>HYPERLINK("https://www.dailydose.de/kleinanzeigen/user/930", "Link")</f>
        <v/>
      </c>
      <c r="K29" s="7" t="n">
        <v>45565.74701388889</v>
      </c>
      <c r="L29" s="3" t="inlineStr">
        <is>
          <t>445.58</t>
        </is>
      </c>
      <c r="M29" t="inlineStr">
        <is>
          <t>Köln</t>
        </is>
      </c>
    </row>
    <row r="30">
      <c r="A30" t="inlineStr">
        <is>
          <t>Starboard Compact rigg 6.5 including sail, mast, extension, etc. in used condition, no holes, dents, or tears.</t>
        </is>
      </c>
      <c r="B30" s="4" t="n">
        <v>325</v>
      </c>
      <c r="C30" t="inlineStr">
        <is>
          <t>VB</t>
        </is>
      </c>
      <c r="D30" t="inlineStr">
        <is>
          <t>34582 Hessen - Borken</t>
        </is>
      </c>
      <c r="E30" s="5" t="n">
        <v>45565</v>
      </c>
      <c r="F30" t="inlineStr">
        <is>
          <t>Sold</t>
        </is>
      </c>
      <c r="G30" s="6">
        <f>HYPERLINK("https://www.kleinanzeigen.de/s-anzeige/windsurf-starboard-compact-rigg-6-5-segel-mast-verlaengerung-etc-/2878440073-230-4395", "Link")</f>
        <v/>
      </c>
      <c r="H30" s="6">
        <f>HYPERLINK("C:\Projects\Kleinanzeigen-Scraper\offer_images\2878440073", "Link")</f>
        <v/>
      </c>
      <c r="I30" t="inlineStr">
        <is>
          <t>Jos</t>
        </is>
      </c>
      <c r="J30" s="6">
        <f>HYPERLINK("https://www.kleinanzeigen.de/s-bestandsliste.html?userId=10294265", "Link")</f>
        <v/>
      </c>
      <c r="K30" s="7" t="n">
        <v>45565.74384259259</v>
      </c>
      <c r="L30" s="3" t="inlineStr">
        <is>
          <t>163.36</t>
        </is>
      </c>
      <c r="M30" t="inlineStr">
        <is>
          <t>Köln</t>
        </is>
      </c>
    </row>
    <row r="31">
      <c r="A31" t="inlineStr">
        <is>
          <t>Lorch Splash 76l board with bag and fins, Goya Skinny boom (140-190), North 400 SDM 100% wave mast, 370 SDM wave mast, 5 qm Gunsails Transwave sail, 4.2 qm North Volt sail, 3.6 qm Sailloft Quad sail. Sold only as a complete set.</t>
        </is>
      </c>
      <c r="B31" s="4" t="n">
        <v>530</v>
      </c>
      <c r="C31" t="inlineStr">
        <is>
          <t>VB</t>
        </is>
      </c>
      <c r="D31" t="inlineStr">
        <is>
          <t>59368 Nordrhein-Westfalen - Werne</t>
        </is>
      </c>
      <c r="E31" s="5" t="n">
        <v>45560</v>
      </c>
      <c r="F31" t="inlineStr">
        <is>
          <t>Sold</t>
        </is>
      </c>
      <c r="G31" s="6">
        <f>HYPERLINK("https://www.kleinanzeigen.de/s-anzeige/waveboard-lorch-splash-76l-3-segel-goya-carbongabel-sdm-masten/2873216334-230-1446", "Link")</f>
        <v/>
      </c>
      <c r="H31" s="6">
        <f>HYPERLINK("C:\Projects\Kleinanzeigen-Scraper\offer_images\2873216334", "Link")</f>
        <v/>
      </c>
      <c r="I31" t="inlineStr">
        <is>
          <t>Richard</t>
        </is>
      </c>
      <c r="J31" s="6">
        <f>HYPERLINK("https://www.kleinanzeigen.de/s-bestandsliste.html?userId=3823155", "Link")</f>
        <v/>
      </c>
      <c r="K31" s="7" t="n">
        <v>45565.74112268518</v>
      </c>
      <c r="L31" s="3" t="inlineStr">
        <is>
          <t>92.66</t>
        </is>
      </c>
      <c r="M31" t="inlineStr">
        <is>
          <t>Köln</t>
        </is>
      </c>
    </row>
    <row r="32">
      <c r="A32" t="inlineStr">
        <is>
          <t>5.5 Ezzy Legacy sail, 6.5 Ezzy Legacy sail, 7.5 Gunsail sail, Simmer 100 Carbon Mast, Gunsail Mast, Gunsail Cross Boom, Mast feet for the masts</t>
        </is>
      </c>
      <c r="B32" s="4" t="n">
        <v>1.4</v>
      </c>
      <c r="C32" t="inlineStr"/>
      <c r="D32" t="inlineStr">
        <is>
          <t>48291 Nordrhein-Westfalen - Telgte</t>
        </is>
      </c>
      <c r="E32" s="5" t="n">
        <v>45565</v>
      </c>
      <c r="F32" t="inlineStr"/>
      <c r="G32" s="6">
        <f>HYPERLINK("https://www.kleinanzeigen.de/s-anzeige/5-5-ezzy-legacy-und-6-5-ezzy-legacy-segel-und-7-5-gunsail/2878202626-230-1305", "Link")</f>
        <v/>
      </c>
      <c r="H32" s="6">
        <f>HYPERLINK("C:\Projects\Kleinanzeigen-Scraper\offer_images\2878202626", "Link")</f>
        <v/>
      </c>
      <c r="I32" t="inlineStr">
        <is>
          <t>Köbbing</t>
        </is>
      </c>
      <c r="J32" s="6">
        <f>HYPERLINK("https://www.kleinanzeigen.de/s-bestandsliste.html?userId=30507370", "Link")</f>
        <v/>
      </c>
      <c r="K32" s="7" t="n">
        <v>45565.7409837963</v>
      </c>
      <c r="L32" s="3" t="inlineStr">
        <is>
          <t>129.80</t>
        </is>
      </c>
      <c r="M32" t="inlineStr">
        <is>
          <t>Köln</t>
        </is>
      </c>
    </row>
    <row r="33">
      <c r="A33" t="inlineStr">
        <is>
          <t>Complete windsurfing equipment including F2 board (small crack, does not take on water), Neilpryde board bag (damaged), 4.6 m carbon mast, mast foot, Neilpryde boom (145-195 cm), North sail 5.3, North sail 5.8 (damaged), 2 sail bags.</t>
        </is>
      </c>
      <c r="B33" s="4" t="n">
        <v>200</v>
      </c>
      <c r="C33" t="inlineStr">
        <is>
          <t>VB</t>
        </is>
      </c>
      <c r="D33" t="inlineStr">
        <is>
          <t>25436 Kreis Pinneberg - Uetersen</t>
        </is>
      </c>
      <c r="E33" s="5" t="n">
        <v>45565</v>
      </c>
      <c r="F33" t="inlineStr"/>
      <c r="G33" s="6">
        <f>HYPERLINK("https://www.kleinanzeigen.de/s-anzeige/windsurfen-komplettes-set/2878623731-230-622", "Link")</f>
        <v/>
      </c>
      <c r="H33" s="6">
        <f>HYPERLINK("C:\Projects\Kleinanzeigen-Scraper\offer_images\2878623731", "Link")</f>
        <v/>
      </c>
      <c r="I33" t="inlineStr">
        <is>
          <t>Nils Künne</t>
        </is>
      </c>
      <c r="J33" s="6">
        <f>HYPERLINK("https://www.kleinanzeigen.de/s-bestandsliste.html?userId=50414954", "Link")</f>
        <v/>
      </c>
      <c r="K33" s="7" t="n">
        <v>45565.74039351852</v>
      </c>
      <c r="L33" s="3" t="inlineStr">
        <is>
          <t>356.69</t>
        </is>
      </c>
      <c r="M33" t="inlineStr">
        <is>
          <t>Köln</t>
        </is>
      </c>
    </row>
    <row r="34">
      <c r="A34" t="inlineStr">
        <is>
          <t>Complete rig including Sail (5.7 m²), Mast, and Boom from Gaastra.</t>
        </is>
      </c>
      <c r="B34" s="4" t="n">
        <v>50</v>
      </c>
      <c r="C34" t="inlineStr">
        <is>
          <t>VB</t>
        </is>
      </c>
      <c r="D34" t="inlineStr">
        <is>
          <t>44879 Bochum - Bochum-Südwest</t>
        </is>
      </c>
      <c r="E34" s="5" t="n">
        <v>45565</v>
      </c>
      <c r="F34" t="inlineStr"/>
      <c r="G34" s="6">
        <f>HYPERLINK("https://www.kleinanzeigen.de/s-anzeige/windsurfen-gaastra-rigg-komplett-segel-5-7m2-mast-gabelbaum/2878196508-230-1939", "Link")</f>
        <v/>
      </c>
      <c r="H34" s="6">
        <f>HYPERLINK("C:\Projects\Kleinanzeigen-Scraper\offer_images\2878196508", "Link")</f>
        <v/>
      </c>
      <c r="I34" t="inlineStr">
        <is>
          <t>Geli</t>
        </is>
      </c>
      <c r="J34" s="6">
        <f>HYPERLINK("https://www.kleinanzeigen.de/s-bestandsliste.html?userId=16733663", "Link")</f>
        <v/>
      </c>
      <c r="K34" s="7" t="n">
        <v>45565.73972222222</v>
      </c>
      <c r="L34" s="3" t="inlineStr">
        <is>
          <t>56.23</t>
        </is>
      </c>
      <c r="M34" t="inlineStr">
        <is>
          <t>Köln</t>
        </is>
      </c>
    </row>
    <row r="35">
      <c r="A35" t="inlineStr">
        <is>
          <t>Neue Goya Banzaii sails available in sizes 3.7 and 4.2 for windsurfing.</t>
        </is>
      </c>
      <c r="B35" s="4" t="n">
        <v>570</v>
      </c>
      <c r="C35" t="inlineStr"/>
      <c r="D35" t="inlineStr">
        <is>
          <t>18059 Rostock - Südstadt</t>
        </is>
      </c>
      <c r="E35" s="5" t="n">
        <v>45564</v>
      </c>
      <c r="F35" t="inlineStr"/>
      <c r="G35" s="6">
        <f>HYPERLINK("https://www.kleinanzeigen.de/s-anzeige/neue-goya-banzaii-11-2025-serie-windsurf/2878041537-230-13049", "Link")</f>
        <v/>
      </c>
      <c r="H35" s="6">
        <f>HYPERLINK("C:\Projects\Kleinanzeigen-Scraper\offer_images\2878041537", "Link")</f>
        <v/>
      </c>
      <c r="I35" t="inlineStr">
        <is>
          <t>Hauke Nagel</t>
        </is>
      </c>
      <c r="J35" s="6">
        <f>HYPERLINK("https://www.kleinanzeigen.de/s-bestandsliste.html?userId=28050877", "Link")</f>
        <v/>
      </c>
      <c r="K35" s="7" t="n">
        <v>45565.73945601852</v>
      </c>
      <c r="L35" s="3" t="inlineStr">
        <is>
          <t>489.44</t>
        </is>
      </c>
      <c r="M35" t="inlineStr">
        <is>
          <t>Köln</t>
        </is>
      </c>
    </row>
    <row r="36">
      <c r="A36" t="inlineStr">
        <is>
          <t>Complete windsurfing equipment including Starboard GO 122 board (245 x 72 cm, 122 liters), North Natural 5.8 m² sail, GUNCross Carbon mast (430 cm), GUN Advantage boom (150-200 cm), mast foot, fin, and mast extension.</t>
        </is>
      </c>
      <c r="B36" s="4" t="n">
        <v>500</v>
      </c>
      <c r="C36" t="inlineStr"/>
      <c r="D36" t="inlineStr">
        <is>
          <t>79100 Freiburg im Breisgau - Wiehre</t>
        </is>
      </c>
      <c r="E36" s="5" t="n">
        <v>45565</v>
      </c>
      <c r="F36" t="inlineStr">
        <is>
          <t>Sold</t>
        </is>
      </c>
      <c r="G36" s="6">
        <f>HYPERLINK("https://www.kleinanzeigen.de/s-anzeige/komplette-windsurfausruestung-starboard-go-122-north-rigg-5-8/2878340550-230-9368", "Link")</f>
        <v/>
      </c>
      <c r="H36" s="6">
        <f>HYPERLINK("C:\Projects\Kleinanzeigen-Scraper\offer_images\2878340550", "Link")</f>
        <v/>
      </c>
      <c r="I36" t="inlineStr">
        <is>
          <t>MLF</t>
        </is>
      </c>
      <c r="J36" s="6">
        <f>HYPERLINK("https://www.kleinanzeigen.de/s-bestandsliste.html?userId=15574759", "Link")</f>
        <v/>
      </c>
      <c r="K36" s="7" t="n">
        <v>45565.73741898148</v>
      </c>
      <c r="L36" s="3" t="inlineStr">
        <is>
          <t>39.95</t>
        </is>
      </c>
      <c r="M36" t="inlineStr">
        <is>
          <t>Bonndorf</t>
        </is>
      </c>
    </row>
    <row r="37">
      <c r="A37" t="inlineStr">
        <is>
          <t>Complete windsurfing equipment including 2 boards (Starboard 111L and Starboard 145L), 4 sails with corresponding masts, 4 booms, various fins, a waist harness, a life vest, and additional accessories.</t>
        </is>
      </c>
      <c r="B37" s="4" t="n">
        <v>1.25</v>
      </c>
      <c r="C37" t="inlineStr"/>
      <c r="D37" t="inlineStr">
        <is>
          <t>26188 Edewecht - Edewecht - Friedrichsfehn</t>
        </is>
      </c>
      <c r="E37" s="5" t="n">
        <v>45565</v>
      </c>
      <c r="F37" t="inlineStr"/>
      <c r="G37" s="6">
        <f>HYPERLINK("https://www.kleinanzeigen.de/s-anzeige/komplette-windsurfer-ausruestung-sofort-einsatzbereit-hochwertig/2878253968-230-26979", "Link")</f>
        <v/>
      </c>
      <c r="H37" s="6">
        <f>HYPERLINK("C:\Projects\Kleinanzeigen-Scraper\offer_images\2878253968", "Link")</f>
        <v/>
      </c>
      <c r="I37" t="inlineStr">
        <is>
          <t>Werner Hülsmann</t>
        </is>
      </c>
      <c r="J37" s="6">
        <f>HYPERLINK("https://www.kleinanzeigen.de/s-bestandsliste.html?userId=8549417", "Link")</f>
        <v/>
      </c>
      <c r="K37" s="7" t="n">
        <v>45565.73736111111</v>
      </c>
      <c r="L37" s="3" t="inlineStr">
        <is>
          <t>251.76</t>
        </is>
      </c>
      <c r="M37" t="inlineStr">
        <is>
          <t>Köln</t>
        </is>
      </c>
    </row>
    <row r="38">
      <c r="A38" t="inlineStr">
        <is>
          <t>3 Neilpryde Combat sails (4.0, 4.5, 5.0 m²) and 1 JP Magic Ride board (97 liters), both from 2019, with minor repairs.</t>
        </is>
      </c>
      <c r="B38" s="4" t="n">
        <v>500</v>
      </c>
      <c r="C38" t="inlineStr"/>
      <c r="D38" t="inlineStr">
        <is>
          <t>23775 Kreis Ostholstein - Großenbrode</t>
        </is>
      </c>
      <c r="E38" s="5" t="n">
        <v>45565</v>
      </c>
      <c r="F38" t="inlineStr"/>
      <c r="G38" s="6">
        <f>HYPERLINK("https://www.kleinanzeigen.de/s-anzeige/neilpryde-combat-3-stueck-jp-magic-ride-97-/2878687143-230-429", "Link")</f>
        <v/>
      </c>
      <c r="H38" s="6">
        <f>HYPERLINK("C:\Projects\Kleinanzeigen-Scraper\offer_images\2878687143", "Link")</f>
        <v/>
      </c>
      <c r="I38" t="inlineStr">
        <is>
          <t>heiligenhafen</t>
        </is>
      </c>
      <c r="J38" s="6">
        <f>HYPERLINK("https://www.kleinanzeigen.de/s-bestandsliste.html?userId=21083285", "Link")</f>
        <v/>
      </c>
      <c r="K38" s="7" t="n">
        <v>45565.73719907407</v>
      </c>
      <c r="L38" s="3" t="inlineStr">
        <is>
          <t>471.97</t>
        </is>
      </c>
      <c r="M38" t="inlineStr">
        <is>
          <t>Köln</t>
        </is>
      </c>
    </row>
    <row r="39">
      <c r="A39" t="inlineStr">
        <is>
          <t>Surfausrüstung including Tabou Rocket 150l board, 6 sails (North Sails, Gaastra, Sailloft Hamburg), 4 adjustable booms, 6 masts of various sizes and carbon percentages, board bag, 2 fins, foot straps, trapeze vest, and various accessories.</t>
        </is>
      </c>
      <c r="B39" s="4" t="n">
        <v>990</v>
      </c>
      <c r="C39" t="inlineStr">
        <is>
          <t>VB</t>
        </is>
      </c>
      <c r="D39" t="inlineStr">
        <is>
          <t>14552 Brandenburg - Michendorf</t>
        </is>
      </c>
      <c r="E39" s="5" t="n">
        <v>45564</v>
      </c>
      <c r="F39" t="inlineStr"/>
      <c r="G39" s="6">
        <f>HYPERLINK("https://www.kleinanzeigen.de/s-anzeige/surfausruestung-tabou-rocket-150l-6-segel-viel-zubehoer-top-/2877261602-230-18254", "Link")</f>
        <v/>
      </c>
      <c r="H39" s="6">
        <f>HYPERLINK("C:\Projects\Kleinanzeigen-Scraper\offer_images\2877261602", "Link")</f>
        <v/>
      </c>
      <c r="I39" t="inlineStr">
        <is>
          <t>Julius</t>
        </is>
      </c>
      <c r="J39" s="6">
        <f>HYPERLINK("https://www.kleinanzeigen.de/s-bestandsliste.html?userId=14733655", "Link")</f>
        <v/>
      </c>
      <c r="K39" s="7" t="n">
        <v>45564.87028935185</v>
      </c>
      <c r="L39" s="3" t="inlineStr">
        <is>
          <t>448.92</t>
        </is>
      </c>
      <c r="M39" t="inlineStr">
        <is>
          <t>Köln</t>
        </is>
      </c>
    </row>
    <row r="40">
      <c r="A40" t="inlineStr">
        <is>
          <t>Ezzy TAKA 4.5 qm and TAKA 5.3 qm sails from 2018, each used lightly, priced at 350 Eur.</t>
        </is>
      </c>
      <c r="B40" s="4" t="n">
        <v>350</v>
      </c>
      <c r="C40" t="inlineStr"/>
      <c r="D40" t="inlineStr">
        <is>
          <t>85630 Kr. München - Grasbrunn</t>
        </is>
      </c>
      <c r="E40" s="5" t="n">
        <v>45564</v>
      </c>
      <c r="F40" t="inlineStr"/>
      <c r="G40" s="6">
        <f>HYPERLINK("https://www.kleinanzeigen.de/s-anzeige/ezzy-taka-3-4-5-qm-und-taka-5-3-qm/2877177724-230-6184", "Link")</f>
        <v/>
      </c>
      <c r="H40" s="6">
        <f>HYPERLINK("C:\Projects\Kleinanzeigen-Scraper\offer_images\2877177724", "Link")</f>
        <v/>
      </c>
      <c r="I40" t="inlineStr">
        <is>
          <t>Wir</t>
        </is>
      </c>
      <c r="J40" s="6">
        <f>HYPERLINK("https://www.kleinanzeigen.de/s-bestandsliste.html?userId=8574103", "Link")</f>
        <v/>
      </c>
      <c r="K40" s="7" t="n">
        <v>45564.86991898148</v>
      </c>
      <c r="L40" s="3" t="inlineStr">
        <is>
          <t>14.39</t>
        </is>
      </c>
      <c r="M40" t="inlineStr">
        <is>
          <t>München</t>
        </is>
      </c>
    </row>
    <row r="41">
      <c r="A41" t="inlineStr">
        <is>
          <t>Complete set including Sail (Fanatic Ride 6.5 qm), Mast (460 cm SDM Fanatic), Boom (Aeron MCT-29, 175-225 cm), and Mast Extension (30 cm for SDM).</t>
        </is>
      </c>
      <c r="B41" s="4" t="n">
        <v>450</v>
      </c>
      <c r="C41" t="inlineStr">
        <is>
          <t>VB</t>
        </is>
      </c>
      <c r="D41" t="inlineStr">
        <is>
          <t>29410 Sachsen-Anhalt - Salzwedel</t>
        </is>
      </c>
      <c r="E41" s="5" t="n">
        <v>45564</v>
      </c>
      <c r="F41" t="inlineStr"/>
      <c r="G41" s="6">
        <f>HYPERLINK("https://www.kleinanzeigen.de/s-anzeige/windsurf-komplettrigg-set-fanatic-ride-6-5-qm/2877776174-230-2352", "Link")</f>
        <v/>
      </c>
      <c r="H41" s="6">
        <f>HYPERLINK("C:\Projects\Kleinanzeigen-Scraper\offer_images\2877776174", "Link")</f>
        <v/>
      </c>
      <c r="I41" t="inlineStr">
        <is>
          <t>Robert</t>
        </is>
      </c>
      <c r="J41" s="6">
        <f>HYPERLINK("https://www.kleinanzeigen.de/s-bestandsliste.html?userId=107913025", "Link")</f>
        <v/>
      </c>
      <c r="K41" s="7" t="n">
        <v>45564.86958333333</v>
      </c>
      <c r="L41" s="3" t="inlineStr">
        <is>
          <t>359.91</t>
        </is>
      </c>
      <c r="M41" t="inlineStr">
        <is>
          <t>Köln</t>
        </is>
      </c>
    </row>
    <row r="42">
      <c r="A42" t="inlineStr">
        <is>
          <t>Surfbrett Fanatic Snake, Segel Fanatic FreeCam 6.5, Gabelbaum 185-220, 2-part Mast including Mastfoot</t>
        </is>
      </c>
      <c r="B42" s="4" t="n">
        <v>590</v>
      </c>
      <c r="C42" t="inlineStr">
        <is>
          <t>VB</t>
        </is>
      </c>
      <c r="D42" t="inlineStr">
        <is>
          <t>76228 Baden-Württemberg - Karlsruhe</t>
        </is>
      </c>
      <c r="E42" s="5" t="n">
        <v>45563</v>
      </c>
      <c r="F42" t="inlineStr"/>
      <c r="G42" s="6">
        <f>HYPERLINK("https://www.kleinanzeigen.de/s-anzeige/surfbrett-fanatic-snake-komplett-mit-segel/2876559205-230-9198", "Link")</f>
        <v/>
      </c>
      <c r="H42" s="6">
        <f>HYPERLINK("C:\Projects\Kleinanzeigen-Scraper\offer_images\2876559205", "Link")</f>
        <v/>
      </c>
      <c r="I42" t="inlineStr">
        <is>
          <t>Matthias Schröder</t>
        </is>
      </c>
      <c r="J42" s="6">
        <f>HYPERLINK("https://www.kleinanzeigen.de/s-bestandsliste.html?userId=53423059", "Link")</f>
        <v/>
      </c>
      <c r="K42" s="7" t="n">
        <v>45564.86925925926</v>
      </c>
      <c r="L42" s="3" t="inlineStr">
        <is>
          <t>8.23</t>
        </is>
      </c>
      <c r="M42" t="inlineStr">
        <is>
          <t>Karlsruhe</t>
        </is>
      </c>
    </row>
    <row r="43">
      <c r="A43" t="inlineStr">
        <is>
          <t>Includes Naish Titan 138 board (261 cm long, 68.5 cm wide), Fanatic Bee 103 board (274 cm long, 57 cm wide), 2 sails (Fanatic 5.4 m² and Nivea 7.5 m²), 2 booms, 2 masts (1 carbon, 1 fiberglass), and corresponding bags.</t>
        </is>
      </c>
      <c r="B43" s="4" t="n">
        <v>439</v>
      </c>
      <c r="C43" t="inlineStr">
        <is>
          <t>VB</t>
        </is>
      </c>
      <c r="D43" t="inlineStr">
        <is>
          <t>88662 Baden-Württemberg - Überlingen</t>
        </is>
      </c>
      <c r="E43" s="5" t="n">
        <v>45564</v>
      </c>
      <c r="F43" t="inlineStr"/>
      <c r="G43" s="6">
        <f>HYPERLINK("https://www.kleinanzeigen.de/s-anzeige/windsurf-bretter-inklusive-zubehoer/2877334351-230-9207", "Link")</f>
        <v/>
      </c>
      <c r="H43" s="6">
        <f>HYPERLINK("C:\Projects\Kleinanzeigen-Scraper\offer_images\2877334351", "Link")</f>
        <v/>
      </c>
      <c r="I43" t="inlineStr">
        <is>
          <t>Michael B.</t>
        </is>
      </c>
      <c r="J43" s="6">
        <f>HYPERLINK("https://www.kleinanzeigen.de/s-bestandsliste.html?userId=14685400", "Link")</f>
        <v/>
      </c>
      <c r="K43" s="7" t="n">
        <v>45564.86894675926</v>
      </c>
      <c r="L43" s="3" t="inlineStr">
        <is>
          <t>60.60</t>
        </is>
      </c>
      <c r="M43" t="inlineStr">
        <is>
          <t>Bonndorf</t>
        </is>
      </c>
    </row>
    <row r="44">
      <c r="A44" t="inlineStr">
        <is>
          <t>Complete set including 8.3 m² sail, mast, and boom, ready to use.</t>
        </is>
      </c>
      <c r="B44" s="4" t="n">
        <v>180</v>
      </c>
      <c r="C44" t="inlineStr">
        <is>
          <t>VB</t>
        </is>
      </c>
      <c r="D44" t="inlineStr">
        <is>
          <t>50823 Köln - Ehrenfeld</t>
        </is>
      </c>
      <c r="E44" s="5" t="n">
        <v>45564</v>
      </c>
      <c r="F44" t="inlineStr"/>
      <c r="G44" s="6">
        <f>HYPERLINK("https://www.kleinanzeigen.de/s-anzeige/8-3-m-windsurf-segel-mit-mast-und-gabel-komplett/2877924462-230-981", "Link")</f>
        <v/>
      </c>
      <c r="H44" s="6">
        <f>HYPERLINK("C:\Projects\Kleinanzeigen-Scraper\offer_images\2877924462", "Link")</f>
        <v/>
      </c>
      <c r="I44" t="inlineStr">
        <is>
          <t>Hendryk</t>
        </is>
      </c>
      <c r="J44" s="6">
        <f>HYPERLINK("https://www.kleinanzeigen.de/s-bestandsliste.html?userId=88292869", "Link")</f>
        <v/>
      </c>
      <c r="K44" s="7" t="n">
        <v>45564.86804398148</v>
      </c>
      <c r="L44" s="3" t="inlineStr">
        <is>
          <t>2.50</t>
        </is>
      </c>
      <c r="M44" t="inlineStr">
        <is>
          <t>Köln</t>
        </is>
      </c>
    </row>
    <row r="45">
      <c r="A45" t="inlineStr">
        <is>
          <t>Windsurf Board and Sail, good condition, suitable for beginners and experienced surfers.</t>
        </is>
      </c>
      <c r="B45" s="4" t="n">
        <v>40</v>
      </c>
      <c r="C45" t="inlineStr"/>
      <c r="D45" t="inlineStr">
        <is>
          <t>48455 Niedersachsen - Bad Bentheim</t>
        </is>
      </c>
      <c r="E45" s="5" t="n">
        <v>45564</v>
      </c>
      <c r="F45" t="inlineStr"/>
      <c r="G45" s="6">
        <f>HYPERLINK("https://www.kleinanzeigen.de/s-anzeige/windsurf-board-mit-segel-zu-verkaufen-komplettset-fuer-nur-60-/2876903504-230-2492", "Link")</f>
        <v/>
      </c>
      <c r="H45" s="6">
        <f>HYPERLINK("C:\Projects\Kleinanzeigen-Scraper\offer_images\2876903504", "Link")</f>
        <v/>
      </c>
      <c r="I45" t="inlineStr">
        <is>
          <t>Maurice</t>
        </is>
      </c>
      <c r="J45" s="6">
        <f>HYPERLINK("https://www.kleinanzeigen.de/s-bestandsliste.html?userId=66070053", "Link")</f>
        <v/>
      </c>
      <c r="K45" s="7" t="n">
        <v>45564.86754629629</v>
      </c>
      <c r="L45" s="3" t="inlineStr">
        <is>
          <t>151.42</t>
        </is>
      </c>
      <c r="M45" t="inlineStr">
        <is>
          <t>Köln</t>
        </is>
      </c>
    </row>
    <row r="46">
      <c r="A46" t="inlineStr">
        <is>
          <t>Various sails including 6.2 GUN Rapid, 5.0 North Ego, 5.4 Naish Boxer, 4.4 Naish Boxer, 5.3 Goya Banzei, Neil Pryde The Fly 4.8, 6.1 NP Expression, and 4.5 EZZY Wave. Option for complete rig with boom, mast, and mast extension.</t>
        </is>
      </c>
      <c r="B46" s="4" t="n">
        <v>129</v>
      </c>
      <c r="C46" t="inlineStr"/>
      <c r="D46" t="inlineStr">
        <is>
          <t>45772 Nordrhein-Westfalen - Marl</t>
        </is>
      </c>
      <c r="E46" s="5" t="n">
        <v>45563</v>
      </c>
      <c r="F46" t="inlineStr"/>
      <c r="G46" s="6">
        <f>HYPERLINK("https://www.kleinanzeigen.de/s-anzeige/windsurfsegel-4-5-6-2-evt-rigg-segel-north-gun-ezzy/2876624991-230-1772", "Link")</f>
        <v/>
      </c>
      <c r="H46" s="6">
        <f>HYPERLINK("C:\Projects\Kleinanzeigen-Scraper\offer_images\2876624991", "Link")</f>
        <v/>
      </c>
      <c r="I46" t="inlineStr">
        <is>
          <t>privat</t>
        </is>
      </c>
      <c r="J46" s="6">
        <f>HYPERLINK("https://www.kleinanzeigen.de/s-bestandsliste.html?userId=3336499", "Link")</f>
        <v/>
      </c>
      <c r="K46" s="7" t="n">
        <v>45564.86564814814</v>
      </c>
      <c r="L46" s="3" t="inlineStr">
        <is>
          <t>84.29</t>
        </is>
      </c>
      <c r="M46" t="inlineStr">
        <is>
          <t>Köln</t>
        </is>
      </c>
    </row>
    <row r="47">
      <c r="A47" t="inlineStr">
        <is>
          <t>Complete windsurfing set including 2 masts, 2 booms, 3 sails (5.1, 5.8, and 7.5 m²), fin, and daggerboard.</t>
        </is>
      </c>
      <c r="B47" s="4" t="inlineStr"/>
      <c r="C47" t="inlineStr">
        <is>
          <t>VB</t>
        </is>
      </c>
      <c r="D47" t="inlineStr">
        <is>
          <t>27339 Niedersachsen - Riede</t>
        </is>
      </c>
      <c r="E47" s="5" t="n">
        <v>45564</v>
      </c>
      <c r="F47" t="inlineStr"/>
      <c r="G47" s="6">
        <f>HYPERLINK("https://www.kleinanzeigen.de/s-anzeige/surfbrett-fanatic-bat-325cm-mit-kompletten-zubehoer/2877592305-230-2720", "Link")</f>
        <v/>
      </c>
      <c r="H47" s="6">
        <f>HYPERLINK("C:\Projects\Kleinanzeigen-Scraper\offer_images\2877592305", "Link")</f>
        <v/>
      </c>
      <c r="I47" t="inlineStr">
        <is>
          <t>Albrecht Meyer-Kohlhoff</t>
        </is>
      </c>
      <c r="J47" s="6">
        <f>HYPERLINK("https://www.kleinanzeigen.de/s-bestandsliste.html?userId=53469840", "Link")</f>
        <v/>
      </c>
      <c r="K47" s="7" t="n">
        <v>45564.86563657408</v>
      </c>
      <c r="L47" s="3" t="inlineStr">
        <is>
          <t>263.71</t>
        </is>
      </c>
      <c r="M47" t="inlineStr">
        <is>
          <t>Köln</t>
        </is>
      </c>
    </row>
    <row r="48">
      <c r="A48" t="inlineStr">
        <is>
          <t>Complete windsurfing equipment including Mistral PanAm board (385cm x 60cm), original Mistral sail (6.8m²), and North Sails storm sail (5.4m²), adjustable footstraps, and mast foot.</t>
        </is>
      </c>
      <c r="B48" s="4" t="n">
        <v>200</v>
      </c>
      <c r="C48" t="inlineStr">
        <is>
          <t>VB</t>
        </is>
      </c>
      <c r="D48" t="inlineStr">
        <is>
          <t>22549 Altona - Hamburg Osdorf</t>
        </is>
      </c>
      <c r="E48" s="5" t="n">
        <v>45564</v>
      </c>
      <c r="F48" t="inlineStr">
        <is>
          <t>Sold</t>
        </is>
      </c>
      <c r="G48" s="6">
        <f>HYPERLINK("https://www.kleinanzeigen.de/s-anzeige/komplette-windsurf-ausruestung-mistral-panam-mit-zwei-segeln/2877351655-230-19496", "Link")</f>
        <v/>
      </c>
      <c r="H48" s="6">
        <f>HYPERLINK("C:\Projects\Kleinanzeigen-Scraper\offer_images\2877351655", "Link")</f>
        <v/>
      </c>
      <c r="I48" t="inlineStr">
        <is>
          <t>Henning Kado</t>
        </is>
      </c>
      <c r="J48" s="6">
        <f>HYPERLINK("https://www.kleinanzeigen.de/s-bestandsliste.html?userId=36683252", "Link")</f>
        <v/>
      </c>
      <c r="K48" s="7" t="n">
        <v>45564.86553240741</v>
      </c>
      <c r="L48" s="3" t="inlineStr">
        <is>
          <t>354.40</t>
        </is>
      </c>
      <c r="M48" t="inlineStr">
        <is>
          <t>Köln</t>
        </is>
      </c>
    </row>
    <row r="49">
      <c r="A49" t="inlineStr">
        <is>
          <t>Includes Sailloft Ultimate 2019 sails (7.0 and 6.3) and Sailloft Mast Red Line 430 cm.</t>
        </is>
      </c>
      <c r="B49" s="4" t="n">
        <v>840</v>
      </c>
      <c r="C49" t="inlineStr">
        <is>
          <t>VB</t>
        </is>
      </c>
      <c r="D49" t="inlineStr">
        <is>
          <t>22045 Wandsbek - Hamburg Tonndorf</t>
        </is>
      </c>
      <c r="E49" s="5" t="n">
        <v>45564</v>
      </c>
      <c r="F49" t="inlineStr"/>
      <c r="G49" s="6">
        <f>HYPERLINK("https://www.kleinanzeigen.de/s-anzeige/sailloft-ultimate-7-0-6-3-mast-100-carbon-slalom/2877522148-230-17135", "Link")</f>
        <v/>
      </c>
      <c r="H49" s="6">
        <f>HYPERLINK("C:\Projects\Kleinanzeigen-Scraper\offer_images\2877522148", "Link")</f>
        <v/>
      </c>
      <c r="I49" t="inlineStr">
        <is>
          <t>Nadia J.</t>
        </is>
      </c>
      <c r="J49" s="6">
        <f>HYPERLINK("https://www.kleinanzeigen.de/s-bestandsliste.html?userId=79389459", "Link")</f>
        <v/>
      </c>
      <c r="K49" s="7" t="n">
        <v>45564.86451388889</v>
      </c>
      <c r="L49" s="3" t="inlineStr">
        <is>
          <t>364.91</t>
        </is>
      </c>
      <c r="M49" t="inlineStr">
        <is>
          <t>Köln</t>
        </is>
      </c>
    </row>
    <row r="50">
      <c r="A50" t="inlineStr">
        <is>
          <t>Complete IQ FOIL set including Frontwing 900, Backwing 255, Fuselage 115 Plus1, Fuselage 95 Plus1, and carrying bag, all in good condition.</t>
        </is>
      </c>
      <c r="B50" s="4" t="n">
        <v>800</v>
      </c>
      <c r="C50" t="inlineStr"/>
      <c r="D50" t="inlineStr">
        <is>
          <t>22147 Wandsbek - Hamburg Rahlstedt</t>
        </is>
      </c>
      <c r="E50" s="5" t="n">
        <v>45564</v>
      </c>
      <c r="F50" t="inlineStr">
        <is>
          <t>Sold</t>
        </is>
      </c>
      <c r="G50" s="6">
        <f>HYPERLINK("https://www.kleinanzeigen.de/s-anzeige/starboard-iq-foil/2877745850-230-9458", "Link")</f>
        <v/>
      </c>
      <c r="H50" s="6">
        <f>HYPERLINK("C:\Projects\Kleinanzeigen-Scraper\offer_images\2877745850", "Link")</f>
        <v/>
      </c>
      <c r="I50" t="inlineStr">
        <is>
          <t>Andreas Höchst</t>
        </is>
      </c>
      <c r="J50" s="6">
        <f>HYPERLINK("https://www.kleinanzeigen.de/s-bestandsliste.html?userId=30635251", "Link")</f>
        <v/>
      </c>
      <c r="K50" s="7" t="n">
        <v>45564.864375</v>
      </c>
      <c r="L50" s="3" t="inlineStr">
        <is>
          <t>367.83</t>
        </is>
      </c>
      <c r="M50" t="inlineStr">
        <is>
          <t>Köln</t>
        </is>
      </c>
    </row>
    <row r="51">
      <c r="A51" t="inlineStr">
        <is>
          <t>Includes NeilPryde sails: Combat 5.0 (used), Zone 5.0 (very good, used), Search 6.2 (used), along with NeilPryde masts (400cm, 430cm, 460cm), North and NeilPryde booms in various lengths, mast extensions, trapeze lines, start lines, and mast feet.</t>
        </is>
      </c>
      <c r="B51" s="4" t="n">
        <v>100</v>
      </c>
      <c r="C51" t="inlineStr"/>
      <c r="D51" t="inlineStr">
        <is>
          <t>17493 Greifswald</t>
        </is>
      </c>
      <c r="E51" s="5" t="n">
        <v>45563</v>
      </c>
      <c r="F51" t="inlineStr"/>
      <c r="G51" s="6">
        <f>HYPERLINK("https://www.dailydose.de/kleinanzeigen/detail.htm?ai=423286&amp;cf=kk&amp;pg=4&amp;ci=5", "Link")</f>
        <v/>
      </c>
      <c r="H51" s="6">
        <f>HYPERLINK("C:\Projects\Kleinanzeigen-Scraper\offer_images\423286", "Link")</f>
        <v/>
      </c>
      <c r="I51" t="inlineStr">
        <is>
          <t>carsten_17</t>
        </is>
      </c>
      <c r="J51" s="6">
        <f>HYPERLINK("https://www.dailydose.de/kleinanzeigen/user/6151", "Link")</f>
        <v/>
      </c>
      <c r="K51" s="7" t="n">
        <v>45563.7384837963</v>
      </c>
      <c r="L51" s="3" t="inlineStr">
        <is>
          <t>561.43</t>
        </is>
      </c>
      <c r="M51" t="inlineStr">
        <is>
          <t>Köln</t>
        </is>
      </c>
    </row>
    <row r="52">
      <c r="A52" t="inlineStr">
        <is>
          <t>3 x North Rebel sails (sizes 7, 9, and 12 qm) from 2014, plus a bar from 2017. All sails are in good condition with typical signs of use; the 9 qm has a professional repair.</t>
        </is>
      </c>
      <c r="B52" s="4" t="inlineStr"/>
      <c r="C52" t="inlineStr">
        <is>
          <t>VB</t>
        </is>
      </c>
      <c r="D52" t="inlineStr">
        <is>
          <t>26607 Niedersachsen - Aurich</t>
        </is>
      </c>
      <c r="E52" s="5" t="n">
        <v>45563</v>
      </c>
      <c r="F52" t="inlineStr"/>
      <c r="G52" s="6">
        <f>HYPERLINK("https://www.kleinanzeigen.de/s-anzeige/north-rebel-2014-7-9-12-qm-auf-mallorca-zu-verkaufen-/2875928167-230-3034", "Link")</f>
        <v/>
      </c>
      <c r="H52" s="6">
        <f>HYPERLINK("C:\Projects\Kleinanzeigen-Scraper\offer_images\2875928167", "Link")</f>
        <v/>
      </c>
      <c r="I52" t="inlineStr">
        <is>
          <t>Martin Schmidt</t>
        </is>
      </c>
      <c r="J52" s="6">
        <f>HYPERLINK("https://www.kleinanzeigen.de/s-bestandsliste.html?userId=20717086", "Link")</f>
        <v/>
      </c>
      <c r="K52" s="7" t="n">
        <v>45563.73349537037</v>
      </c>
      <c r="L52" s="3" t="inlineStr">
        <is>
          <t>289.91</t>
        </is>
      </c>
      <c r="M52" t="inlineStr">
        <is>
          <t>Köln</t>
        </is>
      </c>
    </row>
    <row r="53">
      <c r="A53" t="inlineStr">
        <is>
          <t>Surfboard with 2 sails (6.6 and 4.5), 2 masts, 2 handles for the sails, and additional accessories.</t>
        </is>
      </c>
      <c r="B53" s="4" t="n">
        <v>150</v>
      </c>
      <c r="C53" t="inlineStr">
        <is>
          <t>VB</t>
        </is>
      </c>
      <c r="D53" t="inlineStr">
        <is>
          <t>72766 Baden-Württemberg - Reutlingen</t>
        </is>
      </c>
      <c r="E53" s="5" t="n">
        <v>45563</v>
      </c>
      <c r="F53" t="inlineStr"/>
      <c r="G53" s="6">
        <f>HYPERLINK("https://www.kleinanzeigen.de/s-anzeige/surfbrett-set-fanatic-mit-segel-6-6-und-4-5/2876471717-230-9350", "Link")</f>
        <v/>
      </c>
      <c r="H53" s="6">
        <f>HYPERLINK("C:\Projects\Kleinanzeigen-Scraper\offer_images\2876471717", "Link")</f>
        <v/>
      </c>
      <c r="I53" t="inlineStr">
        <is>
          <t>Schmid</t>
        </is>
      </c>
      <c r="J53" s="6">
        <f>HYPERLINK("https://www.kleinanzeigen.de/s-bestandsliste.html?userId=132205869", "Link")</f>
        <v/>
      </c>
      <c r="K53" s="7" t="n">
        <v>45563.73296296296</v>
      </c>
      <c r="L53" s="3" t="inlineStr">
        <is>
          <t>25.34</t>
        </is>
      </c>
      <c r="M53" t="inlineStr">
        <is>
          <t>Böblingen</t>
        </is>
      </c>
    </row>
    <row r="54">
      <c r="A54" t="inlineStr">
        <is>
          <t>Complete set including Sail (1.5 m² Vision from JP), Mast, Mastfoot, and Boom.</t>
        </is>
      </c>
      <c r="B54" s="4" t="n">
        <v>100</v>
      </c>
      <c r="C54" t="inlineStr">
        <is>
          <t>VB</t>
        </is>
      </c>
      <c r="D54" t="inlineStr">
        <is>
          <t>91154 Bayern - Roth</t>
        </is>
      </c>
      <c r="E54" s="5" t="n">
        <v>45563</v>
      </c>
      <c r="F54" t="inlineStr"/>
      <c r="G54" s="6">
        <f>HYPERLINK("https://www.kleinanzeigen.de/s-anzeige/jp-australia-windsurfsegel-komplett-mit-masst-masstfuss-gabelbaum/2876544487-230-5631", "Link")</f>
        <v/>
      </c>
      <c r="H54" s="6">
        <f>HYPERLINK("C:\Projects\Kleinanzeigen-Scraper\offer_images\2876544487", "Link")</f>
        <v/>
      </c>
      <c r="I54" t="inlineStr">
        <is>
          <t>Claudia spiegl</t>
        </is>
      </c>
      <c r="J54" s="6">
        <f>HYPERLINK("https://www.kleinanzeigen.de/s-bestandsliste.html?userId=10407237", "Link")</f>
        <v/>
      </c>
      <c r="K54" s="7" t="n">
        <v>45563.73293981481</v>
      </c>
      <c r="L54" s="3" t="inlineStr">
        <is>
          <t>125.04</t>
        </is>
      </c>
      <c r="M54" t="inlineStr">
        <is>
          <t>München</t>
        </is>
      </c>
    </row>
    <row r="55">
      <c r="A55" t="inlineStr">
        <is>
          <t>Complete rig including Sail (5.0qm), 2-part Mast, Mast foot, Aluminum Boom, and Bag. Suitable for beginners.</t>
        </is>
      </c>
      <c r="B55" s="4" t="n">
        <v>350</v>
      </c>
      <c r="C55" t="inlineStr">
        <is>
          <t>VB</t>
        </is>
      </c>
      <c r="D55" t="inlineStr">
        <is>
          <t>70794 Baden-Württemberg - Filderstadt</t>
        </is>
      </c>
      <c r="E55" s="5" t="n">
        <v>45563</v>
      </c>
      <c r="F55" t="inlineStr"/>
      <c r="G55" s="6">
        <f>HYPERLINK("https://www.kleinanzeigen.de/s-anzeige/stx-windsurfrigg-5-0qm-anfaengersegel-windsurfen-segel/2876205517-230-8892", "Link")</f>
        <v/>
      </c>
      <c r="H55" s="6">
        <f>HYPERLINK("C:\Projects\Kleinanzeigen-Scraper\offer_images\2876205517", "Link")</f>
        <v/>
      </c>
      <c r="I55" t="inlineStr">
        <is>
          <t>Hägele</t>
        </is>
      </c>
      <c r="J55" s="6">
        <f>HYPERLINK("https://www.kleinanzeigen.de/s-bestandsliste.html?userId=12584312", "Link")</f>
        <v/>
      </c>
      <c r="K55" s="7" t="n">
        <v>45563.73193287037</v>
      </c>
      <c r="L55" s="3" t="inlineStr">
        <is>
          <t>17.11</t>
        </is>
      </c>
      <c r="M55" t="inlineStr">
        <is>
          <t>Böblingen</t>
        </is>
      </c>
    </row>
    <row r="56">
      <c r="A56" t="inlineStr">
        <is>
          <t>Complete windsurfing equipment including Starboard GO 122 board (245 x 72 cm, 122L volume), North Natural 5.8m² sail, GUNCross Carbon mast (430 cm), GUN Advantage boom (150-200 cm), mast foot, fin, and mast extension.</t>
        </is>
      </c>
      <c r="B56" s="4" t="n">
        <v>500</v>
      </c>
      <c r="C56" t="inlineStr"/>
      <c r="D56" t="inlineStr">
        <is>
          <t>79100 Freiburg im Breisgau - Wiehre</t>
        </is>
      </c>
      <c r="E56" s="5" t="n">
        <v>45563</v>
      </c>
      <c r="F56" t="inlineStr">
        <is>
          <t>Sold</t>
        </is>
      </c>
      <c r="G56" s="6">
        <f>HYPERLINK("https://www.kleinanzeigen.de/s-anzeige/komplette-windsurfausruestung-starboard-go-122-north-rigg-5-8m-/2876101672-230-9368", "Link")</f>
        <v/>
      </c>
      <c r="H56" s="6">
        <f>HYPERLINK("C:\Projects\Kleinanzeigen-Scraper\offer_images\2876101672", "Link")</f>
        <v/>
      </c>
      <c r="I56" t="inlineStr">
        <is>
          <t>MLF</t>
        </is>
      </c>
      <c r="J56" s="6">
        <f>HYPERLINK("https://www.kleinanzeigen.de/s-bestandsliste.html?userId=15574759", "Link")</f>
        <v/>
      </c>
      <c r="K56" s="7" t="n">
        <v>45563.73165509259</v>
      </c>
      <c r="L56" s="3" t="inlineStr">
        <is>
          <t>39.95</t>
        </is>
      </c>
      <c r="M56" t="inlineStr">
        <is>
          <t>Bonndorf</t>
        </is>
      </c>
    </row>
    <row r="57">
      <c r="A57" t="inlineStr">
        <is>
          <t>Goya Banzai Segel in den Größen 4,2 qm und 4,7 qm, guter Zustand.</t>
        </is>
      </c>
      <c r="B57" s="4" t="n">
        <v>340</v>
      </c>
      <c r="C57" t="inlineStr">
        <is>
          <t>VB</t>
        </is>
      </c>
      <c r="D57" t="inlineStr">
        <is>
          <t>82395 Obersöchering - Reinthal</t>
        </is>
      </c>
      <c r="E57" s="5" t="n">
        <v>45563</v>
      </c>
      <c r="F57" t="inlineStr"/>
      <c r="G57" s="6">
        <f>HYPERLINK("https://www.kleinanzeigen.de/s-anzeige/goya-banzai-set-4-2-und-4-7-windsurf-segel/2876245697-230-5617", "Link")</f>
        <v/>
      </c>
      <c r="H57" s="6">
        <f>HYPERLINK("C:\Projects\Kleinanzeigen-Scraper\offer_images\2876245697", "Link")</f>
        <v/>
      </c>
      <c r="I57" t="inlineStr">
        <is>
          <t>Jochen</t>
        </is>
      </c>
      <c r="J57" s="6">
        <f>HYPERLINK("https://www.kleinanzeigen.de/s-bestandsliste.html?userId=12651021", "Link")</f>
        <v/>
      </c>
      <c r="K57" s="7" t="n">
        <v>45563.73155092593</v>
      </c>
      <c r="L57" s="3" t="inlineStr">
        <is>
          <t>50.71</t>
        </is>
      </c>
      <c r="M57" t="inlineStr">
        <is>
          <t>München</t>
        </is>
      </c>
    </row>
    <row r="58">
      <c r="A58" t="inlineStr">
        <is>
          <t>Complete windsurfing equipment including RRD Firemove 130 board, four sails (Gun Tempo 6.9, Gun Trans Wave 5.7, Gun Trans Wave 5.0, Gun Impact 4.5), masts (460, 430, 400), booms (137-198, 162-222), mast foot, extensions, and board bag.</t>
        </is>
      </c>
      <c r="B58" s="4" t="n">
        <v>1.29</v>
      </c>
      <c r="C58" t="inlineStr">
        <is>
          <t>VB</t>
        </is>
      </c>
      <c r="D58" t="inlineStr">
        <is>
          <t>23909 Herzogtum Lauenburg - Ratzeburg</t>
        </is>
      </c>
      <c r="E58" s="5" t="n">
        <v>45563</v>
      </c>
      <c r="F58" t="inlineStr"/>
      <c r="G58" s="6">
        <f>HYPERLINK("https://www.kleinanzeigen.de/s-anzeige/rrd-firemove-130-komplette-windsurfausruestung-mit-4-segeln-etc-/2876142290-230-811", "Link")</f>
        <v/>
      </c>
      <c r="H58" s="6">
        <f>HYPERLINK("C:\Projects\Kleinanzeigen-Scraper\offer_images\2876142290", "Link")</f>
        <v/>
      </c>
      <c r="I58" t="inlineStr">
        <is>
          <t>Windsurfer</t>
        </is>
      </c>
      <c r="J58" s="6">
        <f>HYPERLINK("https://www.kleinanzeigen.de/s-bestandsliste.html?userId=8885706", "Link")</f>
        <v/>
      </c>
      <c r="K58" s="7" t="n">
        <v>45563.73085648148</v>
      </c>
      <c r="L58" s="3" t="inlineStr">
        <is>
          <t>401.75</t>
        </is>
      </c>
      <c r="M58" t="inlineStr">
        <is>
          <t>Köln</t>
        </is>
      </c>
    </row>
    <row r="59">
      <c r="A59" t="inlineStr">
        <is>
          <t>2 Windsurf sails from Simmer, sizes 4.0 and 4.5 qm, being given away.</t>
        </is>
      </c>
      <c r="B59" s="4" t="inlineStr">
        <is>
          <t>Zu verschenken</t>
        </is>
      </c>
      <c r="C59" t="inlineStr"/>
      <c r="D59" t="inlineStr">
        <is>
          <t>85649 Kr. München - Brunnthal</t>
        </is>
      </c>
      <c r="E59" s="5" t="n">
        <v>45563</v>
      </c>
      <c r="F59" t="inlineStr">
        <is>
          <t>Sold</t>
        </is>
      </c>
      <c r="G59" s="6">
        <f>HYPERLINK("https://www.kleinanzeigen.de/s-anzeige/2-simmer-surfsegel-zu-verschenken/2876066903-230-5592", "Link")</f>
        <v/>
      </c>
      <c r="H59" s="6">
        <f>HYPERLINK("C:\Projects\Kleinanzeigen-Scraper\offer_images\2876066903", "Link")</f>
        <v/>
      </c>
      <c r="I59" t="inlineStr">
        <is>
          <t>Verena Bauer</t>
        </is>
      </c>
      <c r="J59" s="6">
        <f>HYPERLINK("https://www.kleinanzeigen.de/s-bestandsliste.html?userId=46662575", "Link")</f>
        <v/>
      </c>
      <c r="K59" s="7" t="n">
        <v>45563.72811342592</v>
      </c>
      <c r="L59" s="3" t="inlineStr">
        <is>
          <t>18.05</t>
        </is>
      </c>
      <c r="M59" t="inlineStr">
        <is>
          <t>München</t>
        </is>
      </c>
    </row>
    <row r="60">
      <c r="A60" t="inlineStr">
        <is>
          <t>Includes two sails: S2 Maui Dragon 4.9 (2024, very good condition) and S2 Maui Dragon 4.2 (2023, good condition with a small hole in the mast pocket).</t>
        </is>
      </c>
      <c r="B60" s="4" t="n">
        <v>600</v>
      </c>
      <c r="C60" t="inlineStr"/>
      <c r="D60" t="inlineStr">
        <is>
          <t>22453 Hamburg</t>
        </is>
      </c>
      <c r="E60" s="5" t="n">
        <v>45562</v>
      </c>
      <c r="F60" t="inlineStr">
        <is>
          <t>Sold</t>
        </is>
      </c>
      <c r="G60" s="6">
        <f>HYPERLINK("https://www.dailydose.de/kleinanzeigen/detail.htm?ai=423255&amp;cf=kk&amp;pg=1&amp;ci=5", "Link")</f>
        <v/>
      </c>
      <c r="H60" s="6">
        <f>HYPERLINK("C:\Projects\Kleinanzeigen-Scraper\offer_images\423255", "Link")</f>
        <v/>
      </c>
      <c r="I60" t="inlineStr">
        <is>
          <t>DiHart</t>
        </is>
      </c>
      <c r="J60" s="6">
        <f>HYPERLINK("https://www.dailydose.de/kleinanzeigen/user/7066", "Link")</f>
        <v/>
      </c>
      <c r="K60" s="7" t="n">
        <v>45562.74862268518</v>
      </c>
      <c r="L60" s="3" t="inlineStr">
        <is>
          <t>361.03</t>
        </is>
      </c>
      <c r="M60" t="inlineStr">
        <is>
          <t>Köln</t>
        </is>
      </c>
    </row>
    <row r="61">
      <c r="A61" t="inlineStr">
        <is>
          <t>Set of 4 Naish Force sails (4.0, 4.5, 5.0, 5.7 m²) in very good condition, includes a free Starboard Kode Freewave 103 board.</t>
        </is>
      </c>
      <c r="B61" s="4" t="n">
        <v>1120</v>
      </c>
      <c r="C61" t="inlineStr"/>
      <c r="D61" t="inlineStr">
        <is>
          <t>23775 Großenbrode</t>
        </is>
      </c>
      <c r="E61" s="5" t="n">
        <v>45562</v>
      </c>
      <c r="F61" t="inlineStr">
        <is>
          <t>Sold</t>
        </is>
      </c>
      <c r="G61" s="6">
        <f>HYPERLINK("https://www.dailydose.de/kleinanzeigen/detail.htm?ai=423254&amp;cf=kk&amp;pg=1&amp;ci=5", "Link")</f>
        <v/>
      </c>
      <c r="H61" s="6">
        <f>HYPERLINK("C:\Projects\Kleinanzeigen-Scraper\offer_images\423254", "Link")</f>
        <v/>
      </c>
      <c r="I61" t="inlineStr">
        <is>
          <t>Holger_156</t>
        </is>
      </c>
      <c r="J61" s="6">
        <f>HYPERLINK("https://www.dailydose.de/kleinanzeigen/user/10571", "Link")</f>
        <v/>
      </c>
      <c r="K61" s="7" t="n">
        <v>45562.74829861111</v>
      </c>
      <c r="L61" s="3" t="inlineStr">
        <is>
          <t>471.97</t>
        </is>
      </c>
      <c r="M61" t="inlineStr">
        <is>
          <t>Köln</t>
        </is>
      </c>
    </row>
    <row r="62">
      <c r="A62" t="inlineStr">
        <is>
          <t>North Sails Hero series sails: 3.7qm, 4.2qm, 5.3qm available individually or as a complete set.</t>
        </is>
      </c>
      <c r="B62" s="4" t="n">
        <v>300</v>
      </c>
      <c r="C62" t="inlineStr">
        <is>
          <t>VB</t>
        </is>
      </c>
      <c r="D62" t="inlineStr">
        <is>
          <t>82346 Bayern - Andechs</t>
        </is>
      </c>
      <c r="E62" s="5" t="n">
        <v>45562</v>
      </c>
      <c r="F62" t="inlineStr">
        <is>
          <t>Sold</t>
        </is>
      </c>
      <c r="G62" s="6">
        <f>HYPERLINK("https://www.kleinanzeigen.de/s-anzeige/wind-surfsegel-palette-north-sails-hero-3-4-5/2875233846-230-5524", "Link")</f>
        <v/>
      </c>
      <c r="H62" s="6">
        <f>HYPERLINK("C:\Projects\Kleinanzeigen-Scraper\offer_images\2875233846", "Link")</f>
        <v/>
      </c>
      <c r="I62" t="inlineStr">
        <is>
          <t>Tobias Mech</t>
        </is>
      </c>
      <c r="J62" s="6">
        <f>HYPERLINK("https://www.kleinanzeigen.de/s-bestandsliste.html?userId=13177588", "Link")</f>
        <v/>
      </c>
      <c r="K62" s="7" t="n">
        <v>45562.74633101852</v>
      </c>
      <c r="L62" s="3" t="inlineStr">
        <is>
          <t>34.46</t>
        </is>
      </c>
      <c r="M62" t="inlineStr">
        <is>
          <t>München</t>
        </is>
      </c>
    </row>
    <row r="63">
      <c r="A63" t="inlineStr">
        <is>
          <t>Neil Pryde Combat HD 4.5 and Gaastra Pure 5.4, each for 90 Euro</t>
        </is>
      </c>
      <c r="B63" s="4" t="n">
        <v>220</v>
      </c>
      <c r="C63" t="inlineStr"/>
      <c r="D63" t="inlineStr">
        <is>
          <t>54295 Rheinland-Pfalz - Trier</t>
        </is>
      </c>
      <c r="E63" s="5" t="n">
        <v>45562</v>
      </c>
      <c r="F63" t="inlineStr"/>
      <c r="G63" s="6">
        <f>HYPERLINK("https://www.kleinanzeigen.de/s-anzeige/for-sale-neil-pryde-combat-hd-4-5-and-gaastra-pure-5-4/2875517378-230-5450", "Link")</f>
        <v/>
      </c>
      <c r="H63" s="6">
        <f>HYPERLINK("C:\Projects\Kleinanzeigen-Scraper\offer_images\2875517378", "Link")</f>
        <v/>
      </c>
      <c r="I63" t="inlineStr">
        <is>
          <t>paolo</t>
        </is>
      </c>
      <c r="J63" s="6">
        <f>HYPERLINK("https://www.kleinanzeigen.de/s-bestandsliste.html?userId=58709124", "Link")</f>
        <v/>
      </c>
      <c r="K63" s="7" t="n">
        <v>45562.74582175926</v>
      </c>
      <c r="L63" s="3" t="inlineStr">
        <is>
          <t>134.95</t>
        </is>
      </c>
      <c r="M63" t="inlineStr">
        <is>
          <t>Köln</t>
        </is>
      </c>
    </row>
    <row r="64">
      <c r="A64" t="inlineStr">
        <is>
          <t>Konvolut Neilpryde Segel: 3.6 Fly, 5.4 Combat, 5.9 Exceed. The sails are older and show corresponding signs of use.</t>
        </is>
      </c>
      <c r="B64" s="4" t="n">
        <v>115</v>
      </c>
      <c r="C64" t="inlineStr">
        <is>
          <t>VB</t>
        </is>
      </c>
      <c r="D64" t="inlineStr">
        <is>
          <t>81547 Obergiesing-Fasangarten - Obergiesing</t>
        </is>
      </c>
      <c r="E64" s="5" t="n">
        <v>45561</v>
      </c>
      <c r="F64" t="inlineStr">
        <is>
          <t>Sold</t>
        </is>
      </c>
      <c r="G64" s="6">
        <f>HYPERLINK("https://www.kleinanzeigen.de/s-anzeige/konvolut-neilpryde-segel-3-6-fly-5-4-combat-5-9-exceed/2874916634-230-16364", "Link")</f>
        <v/>
      </c>
      <c r="H64" s="6">
        <f>HYPERLINK("C:\Projects\Kleinanzeigen-Scraper\offer_images\2874916634", "Link")</f>
        <v/>
      </c>
      <c r="I64" t="inlineStr">
        <is>
          <t>Jens</t>
        </is>
      </c>
      <c r="J64" s="6">
        <f>HYPERLINK("https://www.kleinanzeigen.de/s-bestandsliste.html?userId=22091316", "Link")</f>
        <v/>
      </c>
      <c r="K64" s="7" t="n">
        <v>45562.74450231482</v>
      </c>
      <c r="L64" s="3" t="inlineStr">
        <is>
          <t>3.83</t>
        </is>
      </c>
      <c r="M64" t="inlineStr">
        <is>
          <t>München</t>
        </is>
      </c>
    </row>
    <row r="65">
      <c r="A65" t="inlineStr">
        <is>
          <t>Complete windsurfing equipment including 8 sails, 4 masts, 2 boards, and various accessories.</t>
        </is>
      </c>
      <c r="B65" s="4" t="n">
        <v>500</v>
      </c>
      <c r="C65" t="inlineStr"/>
      <c r="D65" t="inlineStr">
        <is>
          <t>85570 Bayern - Markt Schwaben</t>
        </is>
      </c>
      <c r="E65" s="5" t="n">
        <v>45559</v>
      </c>
      <c r="F65" t="inlineStr">
        <is>
          <t>Sold</t>
        </is>
      </c>
      <c r="G65" s="6">
        <f>HYPERLINK("https://www.kleinanzeigen.de/s-anzeige/windsurf-ausruestung-komplett-2-boards-8-segel-4-masten-/2873176946-230-6582", "Link")</f>
        <v/>
      </c>
      <c r="H65" s="6">
        <f>HYPERLINK("C:\Projects\Kleinanzeigen-Scraper\offer_images\2873176946", "Link")</f>
        <v/>
      </c>
      <c r="I65" t="inlineStr">
        <is>
          <t>Armin</t>
        </is>
      </c>
      <c r="J65" s="6">
        <f>HYPERLINK("https://www.kleinanzeigen.de/s-bestandsliste.html?userId=20528243", "Link")</f>
        <v/>
      </c>
      <c r="K65" s="7" t="n">
        <v>45562.74222222222</v>
      </c>
      <c r="L65" s="3" t="inlineStr">
        <is>
          <t>23.30</t>
        </is>
      </c>
      <c r="M65" t="inlineStr">
        <is>
          <t>München</t>
        </is>
      </c>
    </row>
    <row r="66">
      <c r="A66" t="inlineStr">
        <is>
          <t>Complete windsurf rig including: 1. North Infinity sail 5.5 m² without repair spots; 1 Vario-Camber; 2. North Mast Xcellerator 80, 4.30 m; 3. North Vario extension; 4. Variogabel Gunsails</t>
        </is>
      </c>
      <c r="B66" s="4" t="n">
        <v>250</v>
      </c>
      <c r="C66" t="inlineStr"/>
      <c r="D66" t="inlineStr">
        <is>
          <t>44267 Dortmund - Benninghofen</t>
        </is>
      </c>
      <c r="E66" s="5" t="n">
        <v>45561</v>
      </c>
      <c r="F66" t="inlineStr"/>
      <c r="G66" s="6">
        <f>HYPERLINK("https://www.kleinanzeigen.de/s-anzeige/komplettrigg-windsurfen/2874911068-230-1088", "Link")</f>
        <v/>
      </c>
      <c r="H66" s="6">
        <f>HYPERLINK("C:\Projects\Kleinanzeigen-Scraper\offer_images\2874911068", "Link")</f>
        <v/>
      </c>
      <c r="I66" t="inlineStr">
        <is>
          <t>Emil</t>
        </is>
      </c>
      <c r="J66" s="6">
        <f>HYPERLINK("https://www.kleinanzeigen.de/s-bestandsliste.html?userId=54934248", "Link")</f>
        <v/>
      </c>
      <c r="K66" s="7" t="n">
        <v>45562.74206018518</v>
      </c>
      <c r="L66" s="3" t="inlineStr">
        <is>
          <t>70.17</t>
        </is>
      </c>
      <c r="M66" t="inlineStr">
        <is>
          <t>Köln</t>
        </is>
      </c>
    </row>
    <row r="67">
      <c r="A67" t="inlineStr">
        <is>
          <t>Tabou Bullit 145 board, Neilpryde Hornet 7.2 sail, Duotone boom (160-210 cm), Gaastra mast (460 cm), new fin, board bag</t>
        </is>
      </c>
      <c r="B67" s="4" t="n">
        <v>990</v>
      </c>
      <c r="C67" t="inlineStr"/>
      <c r="D67" t="inlineStr">
        <is>
          <t>79761 Waldshut-Tiengen</t>
        </is>
      </c>
      <c r="E67" s="5" t="n">
        <v>45560</v>
      </c>
      <c r="F67" t="inlineStr"/>
      <c r="G67" s="6">
        <f>HYPERLINK("https://www.dailydose.de/kleinanzeigen/detail.htm?ai=423196&amp;cf=kk&amp;pg=3&amp;ci=11", "Link")</f>
        <v/>
      </c>
      <c r="H67" s="6">
        <f>HYPERLINK("C:\Projects\Kleinanzeigen-Scraper\offer_images\423196", "Link")</f>
        <v/>
      </c>
      <c r="I67" t="inlineStr">
        <is>
          <t>Tommes_69</t>
        </is>
      </c>
      <c r="J67" s="6">
        <f>HYPERLINK("https://www.dailydose.de/kleinanzeigen/user/22876", "Link")</f>
        <v/>
      </c>
      <c r="K67" s="7" t="n">
        <v>45561.68035879629</v>
      </c>
      <c r="L67" s="3" t="inlineStr">
        <is>
          <t>18.78</t>
        </is>
      </c>
      <c r="M67" t="inlineStr">
        <is>
          <t>Bonndorf</t>
        </is>
      </c>
    </row>
    <row r="68">
      <c r="A68" t="inlineStr">
        <is>
          <t>Set of 4 Naish Force sails (4.0, 4.5, 5.0, 5.7 m²) in very good condition, not sold separately.</t>
        </is>
      </c>
      <c r="B68" s="4" t="n">
        <v>1120</v>
      </c>
      <c r="C68" t="inlineStr"/>
      <c r="D68" t="inlineStr">
        <is>
          <t>23775 Großenbrode</t>
        </is>
      </c>
      <c r="E68" s="5" t="n">
        <v>45561</v>
      </c>
      <c r="F68" t="inlineStr">
        <is>
          <t>Sold</t>
        </is>
      </c>
      <c r="G68" s="6">
        <f>HYPERLINK("https://www.dailydose.de/kleinanzeigen/detail.htm?ai=423216&amp;cf=kk&amp;pg=1&amp;ci=5", "Link")</f>
        <v/>
      </c>
      <c r="H68" s="6">
        <f>HYPERLINK("C:\Projects\Kleinanzeigen-Scraper\offer_images\423216", "Link")</f>
        <v/>
      </c>
      <c r="I68" t="inlineStr">
        <is>
          <t>Holger_156</t>
        </is>
      </c>
      <c r="J68" s="6">
        <f>HYPERLINK("https://www.dailydose.de/kleinanzeigen/user/10571", "Link")</f>
        <v/>
      </c>
      <c r="K68" s="7" t="n">
        <v>45561.6797337963</v>
      </c>
      <c r="L68" s="3" t="inlineStr">
        <is>
          <t>471.97</t>
        </is>
      </c>
      <c r="M68" t="inlineStr">
        <is>
          <t>Köln</t>
        </is>
      </c>
    </row>
    <row r="69">
      <c r="A69" t="inlineStr">
        <is>
          <t>Windsurf rig for kids, includes a 3.0 sail, suitable for beginners.</t>
        </is>
      </c>
      <c r="B69" s="4" t="n">
        <v>95</v>
      </c>
      <c r="C69" t="inlineStr"/>
      <c r="D69" t="inlineStr">
        <is>
          <t>31020 Niedersachsen - Salzhemmendorf</t>
        </is>
      </c>
      <c r="E69" s="5" t="n">
        <v>45560</v>
      </c>
      <c r="F69" t="inlineStr"/>
      <c r="G69" s="6">
        <f>HYPERLINK("https://www.kleinanzeigen.de/s-anzeige/windsurf-rigg-mini-kid-3-0-fuer-anfaenger/2873885415-230-3062", "Link")</f>
        <v/>
      </c>
      <c r="H69" s="6">
        <f>HYPERLINK("C:\Projects\Kleinanzeigen-Scraper\offer_images\2873885415", "Link")</f>
        <v/>
      </c>
      <c r="I69" t="inlineStr">
        <is>
          <t>Enrico Paulmann</t>
        </is>
      </c>
      <c r="J69" s="6">
        <f>HYPERLINK("https://www.kleinanzeigen.de/s-bestandsliste.html?userId=21162916", "Link")</f>
        <v/>
      </c>
      <c r="K69" s="7" t="n">
        <v>45561.67726851852</v>
      </c>
      <c r="L69" s="3" t="inlineStr">
        <is>
          <t>223.48</t>
        </is>
      </c>
      <c r="M69" t="inlineStr">
        <is>
          <t>Köln</t>
        </is>
      </c>
    </row>
    <row r="70">
      <c r="A70" t="inlineStr">
        <is>
          <t>Includes various sails (3.9qm Neilpryde, 5.5qm North Sails, 6.4qm Ocean Arrow, 6.5qm Gunsails, 7.2qm Hood River), masts (4.90m Pacificmasts, 4.60m Neilpryde, 4.30m North Sails, 4.30m Rushwind), and booms (Gunsails 165-215, Nash 180-230, North Sails 140-190).</t>
        </is>
      </c>
      <c r="B70" s="4" t="n">
        <v>15</v>
      </c>
      <c r="C70" t="inlineStr"/>
      <c r="D70" t="inlineStr">
        <is>
          <t>24536 Schleswig-Holstein - Neumünster</t>
        </is>
      </c>
      <c r="E70" s="5" t="n">
        <v>45561</v>
      </c>
      <c r="F70" t="inlineStr"/>
      <c r="G70" s="6">
        <f>HYPERLINK("https://www.kleinanzeigen.de/s-anzeige/diverse-windsurf-segel-masten-gabelbaeume/2874289597-230-20567", "Link")</f>
        <v/>
      </c>
      <c r="H70" s="6">
        <f>HYPERLINK("C:\Projects\Kleinanzeigen-Scraper\offer_images\2874289597", "Link")</f>
        <v/>
      </c>
      <c r="I70" t="inlineStr">
        <is>
          <t>Lisa</t>
        </is>
      </c>
      <c r="J70" s="6">
        <f>HYPERLINK("https://www.kleinanzeigen.de/s-bestandsliste.html?userId=23822410", "Link")</f>
        <v/>
      </c>
      <c r="K70" s="7" t="n">
        <v>45561.67715277777</v>
      </c>
      <c r="L70" s="3" t="inlineStr">
        <is>
          <t>408.57</t>
        </is>
      </c>
      <c r="M70" t="inlineStr">
        <is>
          <t>Köln</t>
        </is>
      </c>
    </row>
    <row r="71">
      <c r="A71" t="inlineStr">
        <is>
          <t>Complete windsurfing equipment including Board, Mast, Boom, Fin, and Accessories. All items are used.</t>
        </is>
      </c>
      <c r="B71" s="4" t="n">
        <v>666</v>
      </c>
      <c r="C71" t="inlineStr">
        <is>
          <t>VB</t>
        </is>
      </c>
      <c r="D71" t="inlineStr">
        <is>
          <t>01279 Dresden - Laubegast</t>
        </is>
      </c>
      <c r="E71" s="5" t="n">
        <v>45560</v>
      </c>
      <c r="F71" t="inlineStr"/>
      <c r="G71" s="6">
        <f>HYPERLINK("https://www.kleinanzeigen.de/s-anzeige/windsurf-ausruestung-board-mast-gabelbaum-finne-zubehoer/2873548552-230-20952", "Link")</f>
        <v/>
      </c>
      <c r="H71" s="6">
        <f>HYPERLINK("C:\Projects\Kleinanzeigen-Scraper\offer_images\2873548552", "Link")</f>
        <v/>
      </c>
      <c r="I71" t="inlineStr">
        <is>
          <t>Matthias Bothe</t>
        </is>
      </c>
      <c r="J71" s="6">
        <f>HYPERLINK("https://www.kleinanzeigen.de/s-bestandsliste.html?userId=30847043", "Link")</f>
        <v/>
      </c>
      <c r="K71" s="7" t="n">
        <v>45561.67702546297</v>
      </c>
      <c r="L71" s="3" t="inlineStr">
        <is>
          <t>359.97</t>
        </is>
      </c>
      <c r="M71" t="inlineStr">
        <is>
          <t>München</t>
        </is>
      </c>
    </row>
    <row r="72">
      <c r="A72" t="inlineStr">
        <is>
          <t>Three sails from Gaastra: Pure 4.0 (very good condition), Manic 4.7 (very good condition), Manic 5.4 (good condition).</t>
        </is>
      </c>
      <c r="B72" s="4" t="n">
        <v>420</v>
      </c>
      <c r="C72" t="inlineStr"/>
      <c r="D72" t="inlineStr">
        <is>
          <t>18055 Rostock - Stadtmitte</t>
        </is>
      </c>
      <c r="E72" s="5" t="n">
        <v>45536</v>
      </c>
      <c r="F72" t="inlineStr">
        <is>
          <t>Sold</t>
        </is>
      </c>
      <c r="G72" s="6">
        <f>HYPERLINK("https://www.kleinanzeigen.de/s-anzeige/3-surfsegel-gaastra-manic-und-pure-2019/2566578179-230-157", "Link")</f>
        <v/>
      </c>
      <c r="H72" s="6">
        <f>HYPERLINK("C:\Projects\Kleinanzeigen-Scraper\offer_images\2566578179", "Link")</f>
        <v/>
      </c>
      <c r="I72" t="inlineStr">
        <is>
          <t>Björn</t>
        </is>
      </c>
      <c r="J72" s="6">
        <f>HYPERLINK("https://www.kleinanzeigen.de/s-bestandsliste.html?userId=8612907", "Link")</f>
        <v/>
      </c>
      <c r="K72" s="7" t="n">
        <v>45561.6758912037</v>
      </c>
      <c r="L72" s="3" t="inlineStr">
        <is>
          <t>496.50</t>
        </is>
      </c>
      <c r="M72" t="inlineStr">
        <is>
          <t>Köln</t>
        </is>
      </c>
    </row>
    <row r="73">
      <c r="A73" t="inlineStr">
        <is>
          <t>Complete windsurfing equipment including Starboard GO 122 board (245 x 72 cm, 122L volume), North Natural 5.8m² sail, GUNCross Carbon mast (430 cm), GUN Advantage boom (150-200 cm), mast foot, fin, and mast extension.</t>
        </is>
      </c>
      <c r="B73" s="4" t="n">
        <v>500</v>
      </c>
      <c r="C73" t="inlineStr"/>
      <c r="D73" t="inlineStr">
        <is>
          <t>79100 Freiburg im Breisgau - Wiehre</t>
        </is>
      </c>
      <c r="E73" s="5" t="n">
        <v>45560</v>
      </c>
      <c r="F73" t="inlineStr">
        <is>
          <t>Sold</t>
        </is>
      </c>
      <c r="G73" s="6">
        <f>HYPERLINK("https://www.kleinanzeigen.de/s-anzeige/komplette-windsurfausruestung-starboard-go-122-north-rigg-5-8m-/2874067209-230-9368", "Link")</f>
        <v/>
      </c>
      <c r="H73" s="6">
        <f>HYPERLINK("C:\Projects\Kleinanzeigen-Scraper\offer_images\2874067209", "Link")</f>
        <v/>
      </c>
      <c r="I73" t="inlineStr">
        <is>
          <t>MLF</t>
        </is>
      </c>
      <c r="J73" s="6">
        <f>HYPERLINK("https://www.kleinanzeigen.de/s-bestandsliste.html?userId=15574759", "Link")</f>
        <v/>
      </c>
      <c r="K73" s="7" t="n">
        <v>45561.67556712963</v>
      </c>
      <c r="L73" s="3" t="inlineStr">
        <is>
          <t>39.95</t>
        </is>
      </c>
      <c r="M73" t="inlineStr">
        <is>
          <t>Bonndorf</t>
        </is>
      </c>
    </row>
    <row r="74">
      <c r="A74" t="inlineStr">
        <is>
          <t>FANATIC Foil Set Complete AL Aero High Aspect 2023, includes wings 1750/300 and mast 750/780.</t>
        </is>
      </c>
      <c r="B74" s="4" t="n">
        <v>650</v>
      </c>
      <c r="C74" t="inlineStr"/>
      <c r="D74" t="inlineStr">
        <is>
          <t>20359 Hamburg-Mitte - Hamburg St. Pauli</t>
        </is>
      </c>
      <c r="E74" s="5" t="n">
        <v>45560</v>
      </c>
      <c r="F74" t="inlineStr"/>
      <c r="G74" s="6">
        <f>HYPERLINK("https://www.kleinanzeigen.de/s-anzeige/fanatic-foil-set-complete-al-aero-high-aspect-1750/2874030822-230-9495", "Link")</f>
        <v/>
      </c>
      <c r="H74" s="6">
        <f>HYPERLINK("C:\Projects\Kleinanzeigen-Scraper\offer_images\2874030822", "Link")</f>
        <v/>
      </c>
      <c r="I74" t="inlineStr">
        <is>
          <t>Tobias</t>
        </is>
      </c>
      <c r="J74" s="6">
        <f>HYPERLINK("https://www.kleinanzeigen.de/s-bestandsliste.html?userId=10421135", "Link")</f>
        <v/>
      </c>
      <c r="K74" s="7" t="n">
        <v>45561.67412037037</v>
      </c>
      <c r="L74" s="3" t="inlineStr">
        <is>
          <t>355.45</t>
        </is>
      </c>
      <c r="M74" t="inlineStr">
        <is>
          <t>Köln</t>
        </is>
      </c>
    </row>
    <row r="75">
      <c r="A75" t="inlineStr">
        <is>
          <t>Point-7 Slash sails in excellent condition, with the option to purchase matching masts.</t>
        </is>
      </c>
      <c r="B75" s="4" t="n">
        <v>1</v>
      </c>
      <c r="C75" t="inlineStr">
        <is>
          <t>VB</t>
        </is>
      </c>
      <c r="D75" t="inlineStr">
        <is>
          <t>53909 Nordrhein-Westfalen - Zülpich</t>
        </is>
      </c>
      <c r="E75" s="5" t="n">
        <v>45550</v>
      </c>
      <c r="F75" t="inlineStr"/>
      <c r="G75" s="6">
        <f>HYPERLINK("https://www.kleinanzeigen.de/s-anzeige/point-7-slash-set-2023/2864884971-230-1394", "Link")</f>
        <v/>
      </c>
      <c r="H75" s="6">
        <f>HYPERLINK("C:\Projects\Kleinanzeigen-Scraper\offer_images\2864884971", "Link")</f>
        <v/>
      </c>
      <c r="I75" t="inlineStr">
        <is>
          <t>Nifi</t>
        </is>
      </c>
      <c r="J75" s="6">
        <f>HYPERLINK("https://www.kleinanzeigen.de/s-bestandsliste.html?userId=15739909", "Link")</f>
        <v/>
      </c>
      <c r="K75" s="7" t="n">
        <v>45561.67375</v>
      </c>
      <c r="L75" s="3" t="inlineStr">
        <is>
          <t>36.28</t>
        </is>
      </c>
      <c r="M75" t="inlineStr">
        <is>
          <t>Köln</t>
        </is>
      </c>
    </row>
    <row r="76">
      <c r="A76" t="inlineStr">
        <is>
          <t>Used windsurfing equipment including 2 boards (F2 Xantos 310 and Mistral Stinger 265), 1 Gunsails sail (5.8 sqm) with Vario boom and GFK mast, 1 Northsail sail (3.2 sqm), 3 fins, and 1 mast extension.</t>
        </is>
      </c>
      <c r="B76" s="4" t="n">
        <v>349</v>
      </c>
      <c r="C76" t="inlineStr">
        <is>
          <t>VB</t>
        </is>
      </c>
      <c r="D76" t="inlineStr">
        <is>
          <t>34292 Hessen - Ahnatal</t>
        </is>
      </c>
      <c r="E76" s="5" t="n">
        <v>45560</v>
      </c>
      <c r="F76" t="inlineStr"/>
      <c r="G76" s="6">
        <f>HYPERLINK("https://www.kleinanzeigen.de/s-anzeige/kompl-windsurf-ausruestung/2866699786-230-4413", "Link")</f>
        <v/>
      </c>
      <c r="H76" s="6">
        <f>HYPERLINK("C:\Projects\Kleinanzeigen-Scraper\offer_images\2866699786", "Link")</f>
        <v/>
      </c>
      <c r="I76" t="inlineStr">
        <is>
          <t>Ulli Oschmann</t>
        </is>
      </c>
      <c r="J76" s="6">
        <f>HYPERLINK("https://www.kleinanzeigen.de/s-bestandsliste.html?userId=29333918", "Link")</f>
        <v/>
      </c>
      <c r="K76" s="7" t="n">
        <v>45560.55997685185</v>
      </c>
      <c r="L76" s="3" t="inlineStr">
        <is>
          <t>176.63</t>
        </is>
      </c>
      <c r="M76" t="inlineStr">
        <is>
          <t>Köln</t>
        </is>
      </c>
    </row>
    <row r="77">
      <c r="A77" t="inlineStr">
        <is>
          <t>Fanatic Skate 107 Team Edition board, 4 sails (Severne Blade 6.2 sqm, North and Naish Sails up to 4.2 sqm), 2 fins (Freestyle and Wave), 2 masts (Stilo RDM 400cm and North Viper SDM 430cm), Gun Sails boom, mast extensions, base, trimming crank, and a Wave harness size M.</t>
        </is>
      </c>
      <c r="B77" s="4" t="n">
        <v>960</v>
      </c>
      <c r="C77" t="inlineStr">
        <is>
          <t>VB</t>
        </is>
      </c>
      <c r="D77" t="inlineStr">
        <is>
          <t>87452 Bayern - Altusried</t>
        </is>
      </c>
      <c r="E77" s="5" t="n">
        <v>45560</v>
      </c>
      <c r="F77" t="inlineStr"/>
      <c r="G77" s="6">
        <f>HYPERLINK("https://www.kleinanzeigen.de/s-anzeige/fanatic-skate-107-liter-komplett-set/2873294968-230-7621", "Link")</f>
        <v/>
      </c>
      <c r="H77" s="6">
        <f>HYPERLINK("C:\Projects\Kleinanzeigen-Scraper\offer_images\2873294968", "Link")</f>
        <v/>
      </c>
      <c r="I77" t="inlineStr">
        <is>
          <t>Parzival</t>
        </is>
      </c>
      <c r="J77" s="6">
        <f>HYPERLINK("https://www.kleinanzeigen.de/s-bestandsliste.html?userId=40147316", "Link")</f>
        <v/>
      </c>
      <c r="K77" s="7" t="n">
        <v>45560.55637731482</v>
      </c>
      <c r="L77" s="3" t="inlineStr">
        <is>
          <t>109.83</t>
        </is>
      </c>
      <c r="M77" t="inlineStr">
        <is>
          <t>München</t>
        </is>
      </c>
    </row>
    <row r="78">
      <c r="A78" t="inlineStr">
        <is>
          <t>Complete windsurf set including Tecno Pro Surfboard (355cm), 2 sails (4.2 and 5.4 m²), mast, boom, and accessories.</t>
        </is>
      </c>
      <c r="B78" s="4" t="n">
        <v>220</v>
      </c>
      <c r="C78" t="inlineStr"/>
      <c r="D78" t="inlineStr">
        <is>
          <t>76185 Baden-Württemberg - Karlsruhe</t>
        </is>
      </c>
      <c r="E78" s="5" t="n">
        <v>45552</v>
      </c>
      <c r="F78" t="inlineStr">
        <is>
          <t>Sold</t>
        </is>
      </c>
      <c r="G78" s="6">
        <f>HYPERLINK("https://www.kleinanzeigen.de/s-anzeige/set-windsurfen-inkl-surfbrett-2-x-segel-mast-gabelbaum/2866741034-230-9187", "Link")</f>
        <v/>
      </c>
      <c r="H78" s="6">
        <f>HYPERLINK("C:\Projects\Kleinanzeigen-Scraper\offer_images\2866741034", "Link")</f>
        <v/>
      </c>
      <c r="I78" t="inlineStr">
        <is>
          <t>V.Schneider</t>
        </is>
      </c>
      <c r="J78" s="6">
        <f>HYPERLINK("https://www.kleinanzeigen.de/s-bestandsliste.html?userId=52624576", "Link")</f>
        <v/>
      </c>
      <c r="K78" s="7" t="n">
        <v>45560.55554398148</v>
      </c>
      <c r="L78" s="3" t="inlineStr">
        <is>
          <t>3.01</t>
        </is>
      </c>
      <c r="M78" t="inlineStr">
        <is>
          <t>Karlsruhe</t>
        </is>
      </c>
    </row>
    <row r="79">
      <c r="A79" t="inlineStr">
        <is>
          <t>Includes GA Manic sails: 3.7, 4.7, and 5.0, all 2024 models, partially new and unused.</t>
        </is>
      </c>
      <c r="B79" s="4" t="inlineStr"/>
      <c r="C79" t="inlineStr">
        <is>
          <t>VB</t>
        </is>
      </c>
      <c r="D79" t="inlineStr">
        <is>
          <t>51069 Köln-&gt;Sylt</t>
        </is>
      </c>
      <c r="E79" s="5" t="n">
        <v>45559</v>
      </c>
      <c r="F79" t="inlineStr"/>
      <c r="G79" s="6">
        <f>HYPERLINK("https://www.dailydose.de/kleinanzeigen/detail.htm?ai=423134&amp;cf=kk&amp;pg=4&amp;ci=5", "Link")</f>
        <v/>
      </c>
      <c r="H79" s="6">
        <f>HYPERLINK("C:\Projects\Kleinanzeigen-Scraper\offer_images\423134", "Link")</f>
        <v/>
      </c>
      <c r="I79" t="inlineStr">
        <is>
          <t>Bj_37</t>
        </is>
      </c>
      <c r="J79" s="6">
        <f>HYPERLINK("https://www.dailydose.de/kleinanzeigen/user/4920", "Link")</f>
        <v/>
      </c>
      <c r="K79" s="7" t="n">
        <v>45559.88153935185</v>
      </c>
      <c r="L79" s="3" t="inlineStr">
        <is>
          <t>9.37</t>
        </is>
      </c>
      <c r="M79" t="inlineStr">
        <is>
          <t>Köln</t>
        </is>
      </c>
    </row>
    <row r="80">
      <c r="A80" t="inlineStr">
        <is>
          <t>Fanatic Sky Air Premium board (150 liters), front wing (2200), rear wing (350), mast (80 cm), and a 5 sqm wing, including a board bag and pump.</t>
        </is>
      </c>
      <c r="B80" s="4" t="n">
        <v>1.1</v>
      </c>
      <c r="C80" t="inlineStr">
        <is>
          <t>VB</t>
        </is>
      </c>
      <c r="D80" t="inlineStr">
        <is>
          <t>74821 Baden-Württemberg - Mosbach</t>
        </is>
      </c>
      <c r="E80" s="5" t="n">
        <v>45559</v>
      </c>
      <c r="F80" t="inlineStr"/>
      <c r="G80" s="6">
        <f>HYPERLINK("https://www.kleinanzeigen.de/s-anzeige/fanatic-sky-air-premium-2022-komplett-zum-losfahren/2872536566-230-8021", "Link")</f>
        <v/>
      </c>
      <c r="H80" s="6">
        <f>HYPERLINK("C:\Projects\Kleinanzeigen-Scraper\offer_images\2872536566", "Link")</f>
        <v/>
      </c>
      <c r="I80" t="inlineStr">
        <is>
          <t>Wolfgang</t>
        </is>
      </c>
      <c r="J80" s="6">
        <f>HYPERLINK("https://www.kleinanzeigen.de/s-bestandsliste.html?userId=11709032", "Link")</f>
        <v/>
      </c>
      <c r="K80" s="7" t="n">
        <v>45559.88109953704</v>
      </c>
      <c r="L80" s="3" t="inlineStr">
        <is>
          <t>67.98</t>
        </is>
      </c>
      <c r="M80" t="inlineStr">
        <is>
          <t>Karlsruhe</t>
        </is>
      </c>
    </row>
    <row r="81">
      <c r="A81" t="inlineStr">
        <is>
          <t>Complete set including SUP board, sail, and mast. The sail is in like-new condition, the mast is made of carbon, and the board has been repaired but is ready for use.</t>
        </is>
      </c>
      <c r="B81" s="4" t="inlineStr"/>
      <c r="C81" t="inlineStr">
        <is>
          <t>VB</t>
        </is>
      </c>
      <c r="D81" t="inlineStr">
        <is>
          <t>82405 Bayern - Wessobrunn</t>
        </is>
      </c>
      <c r="E81" s="5" t="n">
        <v>45558</v>
      </c>
      <c r="F81" t="inlineStr">
        <is>
          <t>Sold</t>
        </is>
      </c>
      <c r="G81" s="6">
        <f>HYPERLINK("https://www.kleinanzeigen.de/s-anzeige/sup-mit-segel-windsurf-komplettset-stand-up-paddle-wattsup/2872253858-230-5563", "Link")</f>
        <v/>
      </c>
      <c r="H81" s="6">
        <f>HYPERLINK("C:\Projects\Kleinanzeigen-Scraper\offer_images\2872253858", "Link")</f>
        <v/>
      </c>
      <c r="I81" t="inlineStr">
        <is>
          <t>Simon</t>
        </is>
      </c>
      <c r="J81" s="6">
        <f>HYPERLINK("https://www.kleinanzeigen.de/s-bestandsliste.html?userId=13951664", "Link")</f>
        <v/>
      </c>
      <c r="K81" s="7" t="n">
        <v>45559.88010416667</v>
      </c>
      <c r="L81" s="3" t="inlineStr">
        <is>
          <t>50.81</t>
        </is>
      </c>
      <c r="M81" t="inlineStr">
        <is>
          <t>München</t>
        </is>
      </c>
    </row>
    <row r="82">
      <c r="A82" t="inlineStr">
        <is>
          <t>Includes 2 boards in like-new condition and several sails, all equipment available.</t>
        </is>
      </c>
      <c r="B82" s="4" t="n">
        <v>99</v>
      </c>
      <c r="C82" t="inlineStr"/>
      <c r="D82" t="inlineStr">
        <is>
          <t>83727 Bayern - Schliersee</t>
        </is>
      </c>
      <c r="E82" s="5" t="n">
        <v>45557</v>
      </c>
      <c r="F82" t="inlineStr"/>
      <c r="G82" s="6">
        <f>HYPERLINK("https://www.kleinanzeigen.de/s-anzeige/verkaufe-grosse-windsurf-ausstattung/2870678424-230-5897", "Link")</f>
        <v/>
      </c>
      <c r="H82" s="6">
        <f>HYPERLINK("C:\Projects\Kleinanzeigen-Scraper\offer_images\2870678424", "Link")</f>
        <v/>
      </c>
      <c r="I82" t="inlineStr">
        <is>
          <t>Vanlife</t>
        </is>
      </c>
      <c r="J82" s="6">
        <f>HYPERLINK("https://www.kleinanzeigen.de/s-bestandsliste.html?userId=129191381", "Link")</f>
        <v/>
      </c>
      <c r="K82" s="7" t="n">
        <v>45559.87862268519</v>
      </c>
      <c r="L82" s="3" t="inlineStr">
        <is>
          <t>54.23</t>
        </is>
      </c>
      <c r="M82" t="inlineStr">
        <is>
          <t>München</t>
        </is>
      </c>
    </row>
    <row r="83">
      <c r="A83" t="inlineStr">
        <is>
          <t>Complete windsurf equipment including: Fanatic Skate 97L board with bag, Fanatic Freewave 86L board with bag, Neilpryde Combat 4.7 sail, Neilpryde Alpha 5.8 sail, Gun Sails Beat 5.3 sail, Gaastra 60 370cm RDM mast, Gaastra 100 430cm RDM mast, Enemii 45cm RDM mast extension, Neilpryde UXT-48 Alu 48cm mast extension, two mast feet, Neilpryde X3 140-190 boom, North Sauls Silver Series 140-190 boom, Gun Sails 260/70 double board bag, Neilpryde sail/mast bag, trapeze lines, and various foot straps.</t>
        </is>
      </c>
      <c r="B83" s="4" t="n">
        <v>550</v>
      </c>
      <c r="C83" t="inlineStr">
        <is>
          <t>VB</t>
        </is>
      </c>
      <c r="D83" t="inlineStr">
        <is>
          <t>88279 Baden-Württemberg - Amtzell</t>
        </is>
      </c>
      <c r="E83" s="5" t="n">
        <v>45557</v>
      </c>
      <c r="F83" t="inlineStr"/>
      <c r="G83" s="6">
        <f>HYPERLINK("https://www.kleinanzeigen.de/s-anzeige/komplettes-windsurf-equipment-wegen-hobbyaufgabe-abzugeben/2870799231-230-7319", "Link")</f>
        <v/>
      </c>
      <c r="H83" s="6">
        <f>HYPERLINK("C:\Projects\Kleinanzeigen-Scraper\offer_images\2870799231", "Link")</f>
        <v/>
      </c>
      <c r="I83" t="inlineStr">
        <is>
          <t>lilmoe4u</t>
        </is>
      </c>
      <c r="J83" s="6">
        <f>HYPERLINK("https://www.kleinanzeigen.de/s-bestandsliste.html?userId=6101739", "Link")</f>
        <v/>
      </c>
      <c r="K83" s="7" t="n">
        <v>45559.8775</v>
      </c>
      <c r="L83" s="3" t="inlineStr">
        <is>
          <t>106.48</t>
        </is>
      </c>
      <c r="M83" t="inlineStr">
        <is>
          <t>Bonndorf</t>
        </is>
      </c>
    </row>
    <row r="84">
      <c r="A84" t="inlineStr">
        <is>
          <t>Fanatic Shark 125 Liter board, Gastra Swift 7.0 sail, North Zeta 4.2 sail, Duotone Super Star 5.3 sail, including the corresponding rigs.</t>
        </is>
      </c>
      <c r="B84" s="4" t="n">
        <v>1.2</v>
      </c>
      <c r="C84" t="inlineStr"/>
      <c r="D84" t="inlineStr">
        <is>
          <t>97072 Bayern - Würzburg</t>
        </is>
      </c>
      <c r="E84" s="5" t="n">
        <v>45559</v>
      </c>
      <c r="F84" t="inlineStr"/>
      <c r="G84" s="6">
        <f>HYPERLINK("https://www.kleinanzeigen.de/s-anzeige/fanatic-shark-125-liter-mit-gastra-swift-7-0-north-zeta-4-2/2872288091-230-7699", "Link")</f>
        <v/>
      </c>
      <c r="H84" s="6">
        <f>HYPERLINK("C:\Projects\Kleinanzeigen-Scraper\offer_images\2872288091", "Link")</f>
        <v/>
      </c>
      <c r="I84" t="inlineStr">
        <is>
          <t>Alfred Mahler</t>
        </is>
      </c>
      <c r="J84" s="6">
        <f>HYPERLINK("https://www.kleinanzeigen.de/s-bestandsliste.html?userId=26844269", "Link")</f>
        <v/>
      </c>
      <c r="K84" s="7" t="n">
        <v>45559.87578703704</v>
      </c>
      <c r="L84" s="3" t="inlineStr">
        <is>
          <t>141.22</t>
        </is>
      </c>
      <c r="M84" t="inlineStr">
        <is>
          <t>Karlsruhe</t>
        </is>
      </c>
    </row>
    <row r="85">
      <c r="A85" t="inlineStr">
        <is>
          <t>1 teilbarer Mast, 2 Mastverlängerungen, 1 Gabelbaum North, 1 Segel NPU 6,5m², 1 North Prisma 5,5m², 1 Simmer Wave 5m², 1 Sitztrapez und 3 weitere Segel</t>
        </is>
      </c>
      <c r="B85" s="4" t="n">
        <v>50</v>
      </c>
      <c r="C85" t="inlineStr">
        <is>
          <t>VB</t>
        </is>
      </c>
      <c r="D85" t="inlineStr">
        <is>
          <t>15834 Brandenburg - Rangsdorf</t>
        </is>
      </c>
      <c r="E85" s="5" t="n">
        <v>45559</v>
      </c>
      <c r="F85" t="inlineStr">
        <is>
          <t>Sold</t>
        </is>
      </c>
      <c r="G85" s="6">
        <f>HYPERLINK("https://www.kleinanzeigen.de/s-anzeige/windsurf-equipment/2872846951-230-15773", "Link")</f>
        <v/>
      </c>
      <c r="H85" s="6">
        <f>HYPERLINK("C:\Projects\Kleinanzeigen-Scraper\offer_images\2872846951", "Link")</f>
        <v/>
      </c>
      <c r="I85" t="inlineStr">
        <is>
          <t>J. Kumrow</t>
        </is>
      </c>
      <c r="J85" s="6">
        <f>HYPERLINK("https://www.kleinanzeigen.de/s-bestandsliste.html?userId=31655071", "Link")</f>
        <v/>
      </c>
      <c r="K85" s="7" t="n">
        <v>45559.87394675926</v>
      </c>
      <c r="L85" s="3" t="inlineStr">
        <is>
          <t>473.47</t>
        </is>
      </c>
      <c r="M85" t="inlineStr">
        <is>
          <t>Köln</t>
        </is>
      </c>
    </row>
    <row r="86">
      <c r="A86" t="inlineStr">
        <is>
          <t>Naish Force 4 sail (4.5 qm), Gun Sails mast (370 RDM), extension, and mast sleeve.</t>
        </is>
      </c>
      <c r="B86" s="4" t="n">
        <v>350</v>
      </c>
      <c r="C86" t="inlineStr">
        <is>
          <t>VB</t>
        </is>
      </c>
      <c r="D86" t="inlineStr">
        <is>
          <t>04603 Thüringen - Nobitz</t>
        </is>
      </c>
      <c r="E86" s="5" t="n">
        <v>45557</v>
      </c>
      <c r="F86" t="inlineStr">
        <is>
          <t>Sold</t>
        </is>
      </c>
      <c r="G86" s="6">
        <f>HYPERLINK("https://www.kleinanzeigen.de/s-anzeige/naish-force-4-4-5qm-mit-mast-verlaengerung-und-manschette/2871133929-234-20199", "Link")</f>
        <v/>
      </c>
      <c r="H86" s="6">
        <f>HYPERLINK("C:\Projects\Kleinanzeigen-Scraper\offer_images\2871133929", "Link")</f>
        <v/>
      </c>
      <c r="I86" t="inlineStr">
        <is>
          <t>Markus Konrad</t>
        </is>
      </c>
      <c r="J86" s="6">
        <f>HYPERLINK("https://www.kleinanzeigen.de/s-bestandsliste.html?userId=33246543", "Link")</f>
        <v/>
      </c>
      <c r="K86" s="7" t="n">
        <v>45559.87392361111</v>
      </c>
      <c r="L86" s="3" t="inlineStr">
        <is>
          <t>323.29</t>
        </is>
      </c>
      <c r="M86" t="inlineStr">
        <is>
          <t>München</t>
        </is>
      </c>
    </row>
    <row r="87">
      <c r="A87" t="inlineStr">
        <is>
          <t>Complete GA Foil set including three front wings (Full Carbon), 85 cm aluminum mast, aluminum fuselage, carbon rear wing, GA foil bag, screw box, and Torx screwdriver.</t>
        </is>
      </c>
      <c r="B87" s="4" t="n">
        <v>999</v>
      </c>
      <c r="C87" t="inlineStr">
        <is>
          <t>VB</t>
        </is>
      </c>
      <c r="D87" t="inlineStr">
        <is>
          <t>69168 Baden-Württemberg - Wiesloch</t>
        </is>
      </c>
      <c r="E87" s="5" t="n">
        <v>45564</v>
      </c>
      <c r="F87" t="inlineStr"/>
      <c r="G87" s="6">
        <f>HYPERLINK("https://www.kleinanzeigen.de/s-anzeige/ga-gaastra-super-foilset-zum-top-preis-/2863432535-230-8259", "Link")</f>
        <v/>
      </c>
      <c r="H87" s="6">
        <f>HYPERLINK("C:\Projects\Kleinanzeigen-Scraper\offer_images\2863432535", "Link")</f>
        <v/>
      </c>
      <c r="I87" t="inlineStr">
        <is>
          <t>Andi</t>
        </is>
      </c>
      <c r="J87" s="6">
        <f>HYPERLINK("https://www.kleinanzeigen.de/s-bestandsliste.html?userId=45225115", "Link")</f>
        <v/>
      </c>
      <c r="K87" s="7" t="n">
        <v>45558.74439814815</v>
      </c>
      <c r="L87" s="3" t="inlineStr">
        <is>
          <t>38.40</t>
        </is>
      </c>
      <c r="M87" t="inlineStr">
        <is>
          <t>Karlsruhe</t>
        </is>
      </c>
    </row>
    <row r="88">
      <c r="A88" t="inlineStr">
        <is>
          <t>Windsurf sail Gaastra Pulse 5.3qm, Fiberspar mast 430, and Gaastra boom, fully functional with signs of use.</t>
        </is>
      </c>
      <c r="B88" s="4" t="n">
        <v>120</v>
      </c>
      <c r="C88" t="inlineStr">
        <is>
          <t>VB</t>
        </is>
      </c>
      <c r="D88" t="inlineStr">
        <is>
          <t>82346 Bayern - Andechs</t>
        </is>
      </c>
      <c r="E88" s="5" t="n">
        <v>45498</v>
      </c>
      <c r="F88" t="inlineStr">
        <is>
          <t>Sold</t>
        </is>
      </c>
      <c r="G88" s="6">
        <f>HYPERLINK("https://www.kleinanzeigen.de/s-anzeige/windsurfsegel-gaastra-pulse-5-3-komplett-mit-mast-und-gabelbaum/2821179607-230-5524", "Link")</f>
        <v/>
      </c>
      <c r="H88" s="6">
        <f>HYPERLINK("C:\Projects\Kleinanzeigen-Scraper\offer_images\2821179607", "Link")</f>
        <v/>
      </c>
      <c r="I88" t="inlineStr">
        <is>
          <t>Joerg</t>
        </is>
      </c>
      <c r="J88" s="6">
        <f>HYPERLINK("https://www.kleinanzeigen.de/s-bestandsliste.html?userId=14763231", "Link")</f>
        <v/>
      </c>
      <c r="K88" s="7" t="n">
        <v>45558.74349537037</v>
      </c>
      <c r="L88" s="3" t="inlineStr">
        <is>
          <t>34.46</t>
        </is>
      </c>
      <c r="M88" t="inlineStr">
        <is>
          <t>München</t>
        </is>
      </c>
    </row>
    <row r="89">
      <c r="A89" t="inlineStr">
        <is>
          <t>1x Surfbrett F2 Comet (313cm), 3x Segel (Fanatic Cat 6.5 qm, Gaastra Pilot 5.5 qm, Gaastra Grind 4.5 qm), 2x Gabelbaum, 2x Masten, 3x Mastfuss und Verlängerung, additional accessories as seen in the pictures.</t>
        </is>
      </c>
      <c r="B89" s="4" t="n">
        <v>500</v>
      </c>
      <c r="C89" t="inlineStr">
        <is>
          <t>VB</t>
        </is>
      </c>
      <c r="D89" t="inlineStr">
        <is>
          <t>82178 Bayern - Puchheim</t>
        </is>
      </c>
      <c r="E89" s="5" t="n">
        <v>45450</v>
      </c>
      <c r="F89" t="inlineStr"/>
      <c r="G89" s="6">
        <f>HYPERLINK("https://www.kleinanzeigen.de/s-anzeige/windsurf-komplett-ausruestung-f2-gaastra-fanatic/2782229311-230-5599", "Link")</f>
        <v/>
      </c>
      <c r="H89" s="6">
        <f>HYPERLINK("C:\Projects\Kleinanzeigen-Scraper\offer_images\2782229311", "Link")</f>
        <v/>
      </c>
      <c r="I89" t="inlineStr">
        <is>
          <t>Oliver Bauckmann</t>
        </is>
      </c>
      <c r="J89" s="6">
        <f>HYPERLINK("https://www.kleinanzeigen.de/s-bestandsliste.html?userId=43302179", "Link")</f>
        <v/>
      </c>
      <c r="K89" s="7" t="n">
        <v>45558.74271990741</v>
      </c>
      <c r="L89" s="3" t="inlineStr">
        <is>
          <t>17.38</t>
        </is>
      </c>
      <c r="M89" t="inlineStr">
        <is>
          <t>München</t>
        </is>
      </c>
    </row>
    <row r="90">
      <c r="A90" t="inlineStr">
        <is>
          <t>Surf Segel Sailworks 4.7 Revolution with Gaastra Mast 4.8-5 and accessories in super condition, no defects.</t>
        </is>
      </c>
      <c r="B90" s="4" t="n">
        <v>129</v>
      </c>
      <c r="C90" t="inlineStr"/>
      <c r="D90" t="inlineStr">
        <is>
          <t>97222 Bayern - Rimpar</t>
        </is>
      </c>
      <c r="E90" s="5" t="n">
        <v>45425</v>
      </c>
      <c r="F90" t="inlineStr"/>
      <c r="G90" s="6">
        <f>HYPERLINK("https://www.kleinanzeigen.de/s-anzeige/surf-segel-sailworks-4-7-revolution-m-gaastra-mast-4-8-5-zubehoer/2760550667-230-7689", "Link")</f>
        <v/>
      </c>
      <c r="H90" s="6">
        <f>HYPERLINK("C:\Projects\Kleinanzeigen-Scraper\offer_images\2760550667", "Link")</f>
        <v/>
      </c>
      <c r="I90" t="inlineStr">
        <is>
          <t>VR64</t>
        </is>
      </c>
      <c r="J90" s="6">
        <f>HYPERLINK("https://www.kleinanzeigen.de/s-bestandsliste.html?userId=22306610", "Link")</f>
        <v/>
      </c>
      <c r="K90" s="7" t="n">
        <v>45558.74203703704</v>
      </c>
      <c r="L90" s="3" t="inlineStr">
        <is>
          <t>147.19</t>
        </is>
      </c>
      <c r="M90" t="inlineStr">
        <is>
          <t>Karlsruhe</t>
        </is>
      </c>
    </row>
    <row r="91">
      <c r="A91" t="inlineStr">
        <is>
          <t>Complete beginner set including Fanatic Shark 150 board, Naish Force 4.7m² sail, 400cm RDM mast (75% carbon), North Progression boom (140-190cm), 2 fins, mast foot, and extension.</t>
        </is>
      </c>
      <c r="B91" s="4" t="n">
        <v>690</v>
      </c>
      <c r="C91" t="inlineStr">
        <is>
          <t>VB</t>
        </is>
      </c>
      <c r="D91" t="inlineStr">
        <is>
          <t>21335 Niedersachsen - Lüneburg</t>
        </is>
      </c>
      <c r="E91" s="5" t="n">
        <v>45558</v>
      </c>
      <c r="F91" t="inlineStr"/>
      <c r="G91" s="6">
        <f>HYPERLINK("https://www.kleinanzeigen.de/s-anzeige/fanatic-shark-150-naish-force-4-7m-gabel-mast-komplett-set/2871723600-230-3260", "Link")</f>
        <v/>
      </c>
      <c r="H91" s="6">
        <f>HYPERLINK("C:\Projects\Kleinanzeigen-Scraper\offer_images\2871723600", "Link")</f>
        <v/>
      </c>
      <c r="I91" t="inlineStr">
        <is>
          <t>Andreas</t>
        </is>
      </c>
      <c r="J91" s="6">
        <f>HYPERLINK("https://www.kleinanzeigen.de/s-bestandsliste.html?userId=13479338", "Link")</f>
        <v/>
      </c>
      <c r="K91" s="7" t="n">
        <v>45558.73983796296</v>
      </c>
      <c r="L91" s="3" t="inlineStr">
        <is>
          <t>345.15</t>
        </is>
      </c>
      <c r="M91" t="inlineStr">
        <is>
          <t>Köln</t>
        </is>
      </c>
    </row>
    <row r="92">
      <c r="A92" t="inlineStr">
        <is>
          <t>GA Sails Phantom 8.5 qm sail from 2016 with matching Carbonmast C 100 490 cm. Condition is top, no holes or tears.</t>
        </is>
      </c>
      <c r="B92" s="4" t="n">
        <v>370</v>
      </c>
      <c r="C92" t="inlineStr">
        <is>
          <t>VB</t>
        </is>
      </c>
      <c r="D92" t="inlineStr">
        <is>
          <t>12357 Berlin - Neukölln</t>
        </is>
      </c>
      <c r="E92" s="5" t="n">
        <v>45550</v>
      </c>
      <c r="F92" t="inlineStr">
        <is>
          <t>Sold</t>
        </is>
      </c>
      <c r="G92" s="6">
        <f>HYPERLINK("https://www.kleinanzeigen.de/s-anzeige/ga-gaastra-phantom-freeracesegel-8-5-qm-inkl-carbonmast/2863893201-230-9637", "Link")</f>
        <v/>
      </c>
      <c r="H92" s="6">
        <f>HYPERLINK("C:\Projects\Kleinanzeigen-Scraper\offer_images\2863893201", "Link")</f>
        <v/>
      </c>
      <c r="I92" t="inlineStr">
        <is>
          <t>Matthias</t>
        </is>
      </c>
      <c r="J92" s="6">
        <f>HYPERLINK("https://www.kleinanzeigen.de/s-bestandsliste.html?userId=13259512", "Link")</f>
        <v/>
      </c>
      <c r="K92" s="7" t="n">
        <v>45558.73938657407</v>
      </c>
      <c r="L92" s="3" t="inlineStr">
        <is>
          <t>479.74</t>
        </is>
      </c>
      <c r="M92" t="inlineStr">
        <is>
          <t>Köln</t>
        </is>
      </c>
    </row>
    <row r="93">
      <c r="A93" t="inlineStr">
        <is>
          <t>2 Surfsegel GAASTRA WavefoilPro 4.1 und 5.2 mit Mastfuss</t>
        </is>
      </c>
      <c r="B93" s="4" t="n">
        <v>40</v>
      </c>
      <c r="C93" t="inlineStr"/>
      <c r="D93" t="inlineStr">
        <is>
          <t>51674 Nordrhein-Westfalen - Wiehl</t>
        </is>
      </c>
      <c r="E93" s="5" t="n">
        <v>45476</v>
      </c>
      <c r="F93" t="inlineStr"/>
      <c r="G93" s="6">
        <f>HYPERLINK("https://www.kleinanzeigen.de/s-anzeige/segel-surfsegel-gaastra-wavefoilpro-4-1-und-5-2-mit-mastfuss-surf/2802972566-230-1542", "Link")</f>
        <v/>
      </c>
      <c r="H93" s="6">
        <f>HYPERLINK("C:\Projects\Kleinanzeigen-Scraper\offer_images\2802972566", "Link")</f>
        <v/>
      </c>
      <c r="I93" t="inlineStr">
        <is>
          <t>Thomas Weigle</t>
        </is>
      </c>
      <c r="J93" s="6">
        <f>HYPERLINK("https://www.kleinanzeigen.de/s-bestandsliste.html?userId=27584159", "Link")</f>
        <v/>
      </c>
      <c r="K93" s="7" t="n">
        <v>45558.73875</v>
      </c>
      <c r="L93" s="3" t="inlineStr">
        <is>
          <t>39.39</t>
        </is>
      </c>
      <c r="M93" t="inlineStr">
        <is>
          <t>Köln</t>
        </is>
      </c>
    </row>
    <row r="94">
      <c r="A94" t="inlineStr">
        <is>
          <t>Gaastra Poison sails 4.0 qm and 4.5 qm, both in top condition without damages.</t>
        </is>
      </c>
      <c r="B94" s="4" t="n">
        <v>90</v>
      </c>
      <c r="C94" t="inlineStr"/>
      <c r="D94" t="inlineStr">
        <is>
          <t>21077 Harburg - Hamburg Rönneburg</t>
        </is>
      </c>
      <c r="E94" s="5" t="n">
        <v>45490</v>
      </c>
      <c r="F94" t="inlineStr"/>
      <c r="G94" s="6">
        <f>HYPERLINK("https://www.kleinanzeigen.de/s-anzeige/gaastra-poison-4-0-und-4-5-qm-zusammen/2814876991-230-18309", "Link")</f>
        <v/>
      </c>
      <c r="H94" s="6">
        <f>HYPERLINK("C:\Projects\Kleinanzeigen-Scraper\offer_images\2814876991", "Link")</f>
        <v/>
      </c>
      <c r="I94" t="inlineStr">
        <is>
          <t>Bernd Urban</t>
        </is>
      </c>
      <c r="J94" s="6">
        <f>HYPERLINK("https://www.kleinanzeigen.de/s-bestandsliste.html?userId=17426331", "Link")</f>
        <v/>
      </c>
      <c r="K94" s="7" t="n">
        <v>45558.73846064815</v>
      </c>
      <c r="L94" s="3" t="inlineStr">
        <is>
          <t>344.69</t>
        </is>
      </c>
      <c r="M94" t="inlineStr">
        <is>
          <t>Köln</t>
        </is>
      </c>
    </row>
    <row r="95">
      <c r="A95" t="inlineStr">
        <is>
          <t>F2 Surfboard with 3 sails (4.5 m² Gaastra, 5.5 m² F2, 7.0 m² Gaastra), mast, boom, and accessories. Includes a foldable daggerboard, suitable for beginners.</t>
        </is>
      </c>
      <c r="B95" s="4" t="n">
        <v>75</v>
      </c>
      <c r="C95" t="inlineStr">
        <is>
          <t>VB</t>
        </is>
      </c>
      <c r="D95" t="inlineStr">
        <is>
          <t>66589 Saarland - Merchweiler</t>
        </is>
      </c>
      <c r="E95" s="5" t="n">
        <v>45535</v>
      </c>
      <c r="F95" t="inlineStr"/>
      <c r="G95" s="6">
        <f>HYPERLINK("https://www.kleinanzeigen.de/s-anzeige/f2-comet-surfbrett-komplett-mit-3-segeln-gaastra-f2-/2850649980-230-334", "Link")</f>
        <v/>
      </c>
      <c r="H95" s="6">
        <f>HYPERLINK("C:\Projects\Kleinanzeigen-Scraper\offer_images\2850649980", "Link")</f>
        <v/>
      </c>
      <c r="I95" t="inlineStr">
        <is>
          <t>Rudolf Micka</t>
        </is>
      </c>
      <c r="J95" s="6">
        <f>HYPERLINK("https://www.kleinanzeigen.de/s-bestandsliste.html?userId=31589339", "Link")</f>
        <v/>
      </c>
      <c r="K95" s="7" t="n">
        <v>45558.73789351852</v>
      </c>
      <c r="L95" s="3" t="inlineStr">
        <is>
          <t>103.03</t>
        </is>
      </c>
      <c r="M95" t="inlineStr">
        <is>
          <t>Karlsruhe</t>
        </is>
      </c>
    </row>
    <row r="96">
      <c r="A96" t="inlineStr">
        <is>
          <t>1 Segel Gaastra Swift 7.5 qm, 1 Mast 490 cm, 1 Gabelbaum 218 cm, 1 Segeltasche, 1 Aufholleine</t>
        </is>
      </c>
      <c r="B96" s="4" t="n">
        <v>195</v>
      </c>
      <c r="C96" t="inlineStr"/>
      <c r="D96" t="inlineStr">
        <is>
          <t>40591 Düsseldorf - Oberbilk</t>
        </is>
      </c>
      <c r="E96" s="5" t="n">
        <v>45546</v>
      </c>
      <c r="F96" t="inlineStr"/>
      <c r="G96" s="6">
        <f>HYPERLINK("https://www.kleinanzeigen.de/s-anzeige/segel-gaastra-swift-segel-2-cam-rigg-7-5/2860341575-230-16748", "Link")</f>
        <v/>
      </c>
      <c r="H96" s="6">
        <f>HYPERLINK("C:\Projects\Kleinanzeigen-Scraper\offer_images\2860341575", "Link")</f>
        <v/>
      </c>
      <c r="I96" t="inlineStr">
        <is>
          <t>R&amp;S</t>
        </is>
      </c>
      <c r="J96" s="6">
        <f>HYPERLINK("https://www.kleinanzeigen.de/s-bestandsliste.html?userId=19239843", "Link")</f>
        <v/>
      </c>
      <c r="K96" s="7" t="n">
        <v>45558.73730324074</v>
      </c>
      <c r="L96" s="3" t="inlineStr">
        <is>
          <t>29.32</t>
        </is>
      </c>
      <c r="M96" t="inlineStr">
        <is>
          <t>Köln</t>
        </is>
      </c>
    </row>
    <row r="97">
      <c r="A97" t="inlineStr">
        <is>
          <t>Windsurf rig including Boom, Mast, and Board (Windskate). Used condition with visible wear on the Boom.</t>
        </is>
      </c>
      <c r="B97" s="4" t="n">
        <v>450</v>
      </c>
      <c r="C97" t="inlineStr">
        <is>
          <t>VB</t>
        </is>
      </c>
      <c r="D97" t="inlineStr">
        <is>
          <t>10317 Berlin - Lichtenberg</t>
        </is>
      </c>
      <c r="E97" s="5" t="n">
        <v>45557</v>
      </c>
      <c r="F97" t="inlineStr"/>
      <c r="G97" s="6">
        <f>HYPERLINK("https://www.kleinanzeigen.de/s-anzeige/windsurf-rig-windskate/2871128637-230-9684", "Link")</f>
        <v/>
      </c>
      <c r="H97" s="6">
        <f>HYPERLINK("C:\Projects\Kleinanzeigen-Scraper\offer_images\2871128637", "Link")</f>
        <v/>
      </c>
      <c r="I97" t="inlineStr">
        <is>
          <t>chris</t>
        </is>
      </c>
      <c r="J97" s="6">
        <f>HYPERLINK("https://www.kleinanzeigen.de/s-bestandsliste.html?userId=135860362", "Link")</f>
        <v/>
      </c>
      <c r="K97" s="7" t="n">
        <v>45558.57034722222</v>
      </c>
      <c r="L97" s="3" t="inlineStr">
        <is>
          <t>481.96</t>
        </is>
      </c>
      <c r="M97" t="inlineStr">
        <is>
          <t>Köln</t>
        </is>
      </c>
    </row>
    <row r="98">
      <c r="A98" t="inlineStr">
        <is>
          <t>Konvulut Neilpryde Segel including 3.6 Fly, 5.4 Combat, and 5.9 Exceed, showing signs of use.</t>
        </is>
      </c>
      <c r="B98" s="4" t="n">
        <v>135</v>
      </c>
      <c r="C98" t="inlineStr">
        <is>
          <t>VB</t>
        </is>
      </c>
      <c r="D98" t="inlineStr">
        <is>
          <t>81547 Obergiesing-Fasangarten - Obergiesing</t>
        </is>
      </c>
      <c r="E98" s="5" t="n">
        <v>45557</v>
      </c>
      <c r="F98" t="inlineStr">
        <is>
          <t>Sold</t>
        </is>
      </c>
      <c r="G98" s="6">
        <f>HYPERLINK("https://www.kleinanzeigen.de/s-anzeige/konvulut-neilpryde-segel-3-6-fly-5-4-combat-5-9-exceed/2870700792-230-16364", "Link")</f>
        <v/>
      </c>
      <c r="H98" s="6">
        <f>HYPERLINK("C:\Projects\Kleinanzeigen-Scraper\offer_images\2870700792", "Link")</f>
        <v/>
      </c>
      <c r="I98" t="inlineStr">
        <is>
          <t>Jens</t>
        </is>
      </c>
      <c r="J98" s="6">
        <f>HYPERLINK("https://www.kleinanzeigen.de/s-bestandsliste.html?userId=22091316", "Link")</f>
        <v/>
      </c>
      <c r="K98" s="7" t="n">
        <v>45558.56912037037</v>
      </c>
      <c r="L98" s="3" t="inlineStr">
        <is>
          <t>3.83</t>
        </is>
      </c>
      <c r="M98" t="inlineStr">
        <is>
          <t>München</t>
        </is>
      </c>
    </row>
    <row r="99">
      <c r="A99" t="inlineStr">
        <is>
          <t>Complete set including board, mast, boom, sail, harness, and various accessories in a bag.</t>
        </is>
      </c>
      <c r="B99" s="4" t="inlineStr">
        <is>
          <t>No price</t>
        </is>
      </c>
      <c r="C99" t="inlineStr"/>
      <c r="D99" t="inlineStr">
        <is>
          <t>69412 Baden-Württemberg - Eberbach</t>
        </is>
      </c>
      <c r="E99" s="5" t="n">
        <v>45557</v>
      </c>
      <c r="F99" t="inlineStr"/>
      <c r="G99" s="6">
        <f>HYPERLINK("https://www.kleinanzeigen.de/s-anzeige/windsurf-komplett-set/2870949231-273-15353", "Link")</f>
        <v/>
      </c>
      <c r="H99" s="6">
        <f>HYPERLINK("C:\Projects\Kleinanzeigen-Scraper\offer_images\2870949231", "Link")</f>
        <v/>
      </c>
      <c r="I99" t="inlineStr">
        <is>
          <t>Privat</t>
        </is>
      </c>
      <c r="J99" s="6">
        <f>HYPERLINK("https://www.kleinanzeigen.de/s-bestandsliste.html?userId=129579769", "Link")</f>
        <v/>
      </c>
      <c r="K99" s="7" t="n">
        <v>45558.568125</v>
      </c>
      <c r="L99" s="3" t="inlineStr">
        <is>
          <t>68.32</t>
        </is>
      </c>
      <c r="M99" t="inlineStr">
        <is>
          <t>Karlsruhe</t>
        </is>
      </c>
    </row>
    <row r="100">
      <c r="A100" t="inlineStr">
        <is>
          <t>Surf equipment including Tabou Rocket board (150l), 6 sails (North Sails, Gaastra, Sailloft Hamburg), 4 adjustable booms, 6 masts of various sizes and carbon percentages, fins, foot straps, protective gear, trapeze vest, and various accessories.</t>
        </is>
      </c>
      <c r="B100" s="4" t="n">
        <v>1.2</v>
      </c>
      <c r="C100" t="inlineStr">
        <is>
          <t>VB</t>
        </is>
      </c>
      <c r="D100" t="inlineStr">
        <is>
          <t>14552 Brandenburg - Michendorf</t>
        </is>
      </c>
      <c r="E100" s="5" t="n">
        <v>45557</v>
      </c>
      <c r="F100" t="inlineStr">
        <is>
          <t>Sold</t>
        </is>
      </c>
      <c r="G100" s="6">
        <f>HYPERLINK("https://www.kleinanzeigen.de/s-anzeige/surfausruestung-tabou-rocket-150l-6-segel-viel-zubehoer-top-/2870783079-230-18254", "Link")</f>
        <v/>
      </c>
      <c r="H100" s="6">
        <f>HYPERLINK("C:\Projects\Kleinanzeigen-Scraper\offer_images\2870783079", "Link")</f>
        <v/>
      </c>
      <c r="I100" t="inlineStr">
        <is>
          <t>Julius</t>
        </is>
      </c>
      <c r="J100" s="6">
        <f>HYPERLINK("https://www.kleinanzeigen.de/s-bestandsliste.html?userId=14733655", "Link")</f>
        <v/>
      </c>
      <c r="K100" s="7" t="n">
        <v>45558.56684027778</v>
      </c>
      <c r="L100" s="3" t="inlineStr">
        <is>
          <t>448.92</t>
        </is>
      </c>
      <c r="M100" t="inlineStr">
        <is>
          <t>Köln</t>
        </is>
      </c>
    </row>
    <row r="101">
      <c r="A101" t="inlineStr">
        <is>
          <t>Includes JP Thruster Quad Pro Edition 93L board, Neil Pryde The Fly 3.9 sail, and Neil Pryde The Fly 4.2 sail, with additional board bag and 3 fin setup.</t>
        </is>
      </c>
      <c r="B101" s="4" t="n">
        <v>999</v>
      </c>
      <c r="C101" t="inlineStr">
        <is>
          <t>VB</t>
        </is>
      </c>
      <c r="D101" t="inlineStr">
        <is>
          <t>85521 Kr. München - Riemerling</t>
        </is>
      </c>
      <c r="E101" s="5" t="n">
        <v>45557</v>
      </c>
      <c r="F101" t="inlineStr"/>
      <c r="G101" s="6">
        <f>HYPERLINK("https://www.kleinanzeigen.de/s-anzeige/windsurf-wave-material/2871217043-230-5515", "Link")</f>
        <v/>
      </c>
      <c r="H101" s="6">
        <f>HYPERLINK("C:\Projects\Kleinanzeigen-Scraper\offer_images\2871217043", "Link")</f>
        <v/>
      </c>
      <c r="I101" t="inlineStr">
        <is>
          <t>Franks Profil</t>
        </is>
      </c>
      <c r="J101" s="6">
        <f>HYPERLINK("https://www.kleinanzeigen.de/s-bestandsliste.html?userId=31815103", "Link")</f>
        <v/>
      </c>
      <c r="K101" s="7" t="n">
        <v>45558.56537037037</v>
      </c>
      <c r="L101" s="3" t="inlineStr">
        <is>
          <t>11.05</t>
        </is>
      </c>
      <c r="M101" t="inlineStr">
        <is>
          <t>München</t>
        </is>
      </c>
    </row>
    <row r="102">
      <c r="A102" t="inlineStr">
        <is>
          <t>AHD-Exocet Waveboard 267cm, Naish Hokua Sail 3.7 m², North Boom 140-180 cm, Pinky Stick Wave Mast 440 cm</t>
        </is>
      </c>
      <c r="B102" s="4" t="n">
        <v>220</v>
      </c>
      <c r="C102" t="inlineStr"/>
      <c r="D102" t="inlineStr">
        <is>
          <t>33397 Nordrhein-Westfalen - Rietberg</t>
        </is>
      </c>
      <c r="E102" s="5" t="n">
        <v>45557</v>
      </c>
      <c r="F102" t="inlineStr"/>
      <c r="G102" s="6">
        <f>HYPERLINK("https://www.kleinanzeigen.de/s-anzeige/ahd-waveboard-naish-segel-north-gabel-wave-mast/2870773551-230-1364", "Link")</f>
        <v/>
      </c>
      <c r="H102" s="6">
        <f>HYPERLINK("C:\Projects\Kleinanzeigen-Scraper\offer_images\2870773551", "Link")</f>
        <v/>
      </c>
      <c r="I102" t="inlineStr">
        <is>
          <t>Gaby Bickmeier</t>
        </is>
      </c>
      <c r="J102" s="6">
        <f>HYPERLINK("https://www.kleinanzeigen.de/s-bestandsliste.html?userId=13739917", "Link")</f>
        <v/>
      </c>
      <c r="K102" s="7" t="n">
        <v>45558.56534722223</v>
      </c>
      <c r="L102" s="3" t="inlineStr">
        <is>
          <t>137.38</t>
        </is>
      </c>
      <c r="M102" t="inlineStr">
        <is>
          <t>Köln</t>
        </is>
      </c>
    </row>
    <row r="103">
      <c r="A103" t="inlineStr">
        <is>
          <t>Windsurf Set including Surfboard BIC 185d, Sail STX Powerkid 4.0 with sail bag, Boom STX, and 2-piece Mast with mast foot and connector. Includes a board bag with minor tears.</t>
        </is>
      </c>
      <c r="B103" s="4" t="n">
        <v>600</v>
      </c>
      <c r="C103" t="inlineStr">
        <is>
          <t>VB</t>
        </is>
      </c>
      <c r="D103" t="inlineStr">
        <is>
          <t>33335 Nordrhein-Westfalen - Gütersloh</t>
        </is>
      </c>
      <c r="E103" s="5" t="n">
        <v>45557</v>
      </c>
      <c r="F103" t="inlineStr"/>
      <c r="G103" s="6">
        <f>HYPERLINK("https://www.kleinanzeigen.de/s-anzeige/windsurf-set-surfbrett-bic-185d-segel-mast-und-gabelbaum/2871206293-230-1742", "Link")</f>
        <v/>
      </c>
      <c r="H103" s="6">
        <f>HYPERLINK("C:\Projects\Kleinanzeigen-Scraper\offer_images\2871206293", "Link")</f>
        <v/>
      </c>
      <c r="I103" t="inlineStr">
        <is>
          <t>MS</t>
        </is>
      </c>
      <c r="J103" s="6">
        <f>HYPERLINK("https://www.kleinanzeigen.de/s-bestandsliste.html?userId=20460010", "Link")</f>
        <v/>
      </c>
      <c r="K103" s="7" t="n">
        <v>45558.56368055556</v>
      </c>
      <c r="L103" s="3" t="inlineStr">
        <is>
          <t>150.52</t>
        </is>
      </c>
      <c r="M103" t="inlineStr">
        <is>
          <t>Köln</t>
        </is>
      </c>
    </row>
    <row r="104">
      <c r="A104" t="inlineStr">
        <is>
          <t>Three GunSails Transwave sails in sizes 4.7, 5.3, and 5.7, all in good condition with bags included.</t>
        </is>
      </c>
      <c r="B104" s="4" t="n">
        <v>125</v>
      </c>
      <c r="C104" t="inlineStr">
        <is>
          <t>VB</t>
        </is>
      </c>
      <c r="D104" t="inlineStr">
        <is>
          <t>21465 Schleswig-Holstein - Reinbek</t>
        </is>
      </c>
      <c r="E104" s="5" t="n">
        <v>45557</v>
      </c>
      <c r="F104" t="inlineStr"/>
      <c r="G104" s="6">
        <f>HYPERLINK("https://www.kleinanzeigen.de/s-anzeige/gunsails-transwave-powerwave-segel-in-5-7-gun-sails/2870900702-230-13590", "Link")</f>
        <v/>
      </c>
      <c r="H104" s="6">
        <f>HYPERLINK("C:\Projects\Kleinanzeigen-Scraper\offer_images\2870900702", "Link")</f>
        <v/>
      </c>
      <c r="I104" t="inlineStr">
        <is>
          <t>Martin</t>
        </is>
      </c>
      <c r="J104" s="6">
        <f>HYPERLINK("https://www.kleinanzeigen.de/s-bestandsliste.html?userId=58390548", "Link")</f>
        <v/>
      </c>
      <c r="K104" s="7" t="n">
        <v>45558.56324074074</v>
      </c>
      <c r="L104" s="3" t="inlineStr">
        <is>
          <t>366.85</t>
        </is>
      </c>
      <c r="M104" t="inlineStr">
        <is>
          <t>Köln</t>
        </is>
      </c>
    </row>
    <row r="105">
      <c r="A105" t="inlineStr">
        <is>
          <t>Includes Tabou Bullit 145L board, Neilpryde Hornet 7.2 sail, Gaastra 460 mast, Duotone boom (160-210), and a new fin.</t>
        </is>
      </c>
      <c r="B105" s="4" t="n">
        <v>999</v>
      </c>
      <c r="C105" t="inlineStr">
        <is>
          <t>VB</t>
        </is>
      </c>
      <c r="D105" t="inlineStr">
        <is>
          <t>79804 Baden-Württemberg - Dogern</t>
        </is>
      </c>
      <c r="E105" s="5" t="n">
        <v>45557</v>
      </c>
      <c r="F105" t="inlineStr"/>
      <c r="G105" s="6">
        <f>HYPERLINK("https://www.kleinanzeigen.de/s-anzeige/windsurfboard-surfbrett-tabou-145-neilpryde-rigg/2871361752-230-8300", "Link")</f>
        <v/>
      </c>
      <c r="H105" s="6">
        <f>HYPERLINK("C:\Projects\Kleinanzeigen-Scraper\offer_images\2871361752", "Link")</f>
        <v/>
      </c>
      <c r="I105" t="inlineStr">
        <is>
          <t>Thomas Gethke</t>
        </is>
      </c>
      <c r="J105" s="6">
        <f>HYPERLINK("https://www.kleinanzeigen.de/s-bestandsliste.html?userId=6226478", "Link")</f>
        <v/>
      </c>
      <c r="K105" s="7" t="n">
        <v>45558.5625</v>
      </c>
      <c r="L105" s="3" t="inlineStr">
        <is>
          <t>26.60</t>
        </is>
      </c>
      <c r="M105" t="inlineStr">
        <is>
          <t>Bonndorf</t>
        </is>
      </c>
    </row>
    <row r="106">
      <c r="A106" t="inlineStr">
        <is>
          <t>Used AHD Board 250cm / 79cm / 145L with 3 fins and complete 6.8qm Gaastra rig.</t>
        </is>
      </c>
      <c r="B106" s="4" t="n">
        <v>495</v>
      </c>
      <c r="C106" t="inlineStr"/>
      <c r="D106" t="inlineStr">
        <is>
          <t>34298 Hessen - Helsa</t>
        </is>
      </c>
      <c r="E106" s="5" t="n">
        <v>45557</v>
      </c>
      <c r="F106" t="inlineStr"/>
      <c r="G106" s="6">
        <f>HYPERLINK("https://www.kleinanzeigen.de/s-anzeige/windsurf-board-ahd-145l-incl-rigg/2870406735-230-4592", "Link")</f>
        <v/>
      </c>
      <c r="H106" s="6">
        <f>HYPERLINK("C:\Projects\Kleinanzeigen-Scraper\offer_images\2870406735", "Link")</f>
        <v/>
      </c>
      <c r="I106" t="inlineStr">
        <is>
          <t>OBJECKLI</t>
        </is>
      </c>
      <c r="J106" s="6">
        <f>HYPERLINK("https://www.kleinanzeigen.de/s-bestandsliste.html?userId=53012845", "Link")</f>
        <v/>
      </c>
      <c r="K106" s="7" t="n">
        <v>45557.56300925926</v>
      </c>
      <c r="L106" s="3" t="inlineStr">
        <is>
          <t>194.05</t>
        </is>
      </c>
      <c r="M106" t="inlineStr">
        <is>
          <t>Köln</t>
        </is>
      </c>
    </row>
    <row r="107">
      <c r="A107" t="inlineStr">
        <is>
          <t>2 Boards, 3 Sails (7.1, 4.7, and 5.7), 2 Booms, 2 Masts. Items can be purchased individually.</t>
        </is>
      </c>
      <c r="B107" s="4" t="inlineStr"/>
      <c r="C107" t="inlineStr">
        <is>
          <t>VB</t>
        </is>
      </c>
      <c r="D107" t="inlineStr">
        <is>
          <t>21218 Niedersachsen - Seevetal</t>
        </is>
      </c>
      <c r="E107" s="5" t="n">
        <v>45557</v>
      </c>
      <c r="F107" t="inlineStr"/>
      <c r="G107" s="6">
        <f>HYPERLINK("https://www.kleinanzeigen.de/s-anzeige/div-windsurf-material/2870613711-230-2814", "Link")</f>
        <v/>
      </c>
      <c r="H107" s="6">
        <f>HYPERLINK("C:\Projects\Kleinanzeigen-Scraper\offer_images\2870613711", "Link")</f>
        <v/>
      </c>
      <c r="I107" t="inlineStr">
        <is>
          <t>Finja Esselmann</t>
        </is>
      </c>
      <c r="J107" s="6">
        <f>HYPERLINK("https://www.kleinanzeigen.de/s-bestandsliste.html?userId=33100812", "Link")</f>
        <v/>
      </c>
      <c r="K107" s="7" t="n">
        <v>45557.56119212963</v>
      </c>
      <c r="L107" s="3" t="inlineStr">
        <is>
          <t>340.43</t>
        </is>
      </c>
      <c r="M107" t="inlineStr">
        <is>
          <t>Köln</t>
        </is>
      </c>
    </row>
    <row r="108">
      <c r="A108" t="inlineStr">
        <is>
          <t>Leichtwind Windsurfsegel Gunsails Sunray 9.6 and North Sails Strike 8.5 including STX Mast and Neilpryde Boom, all in good used condition.</t>
        </is>
      </c>
      <c r="B108" s="4" t="n">
        <v>200</v>
      </c>
      <c r="C108" t="inlineStr"/>
      <c r="D108" t="inlineStr">
        <is>
          <t>14770 Brandenburg - Brandenburg an der Havel</t>
        </is>
      </c>
      <c r="E108" s="5" t="n">
        <v>45555</v>
      </c>
      <c r="F108" t="inlineStr">
        <is>
          <t>Sold</t>
        </is>
      </c>
      <c r="G108" s="6">
        <f>HYPERLINK("https://www.kleinanzeigen.de/s-anzeige/leichtwind-rigg-gunsails-sunray-9-6-north-sails-strike-8-5/2869174592-230-7739", "Link")</f>
        <v/>
      </c>
      <c r="H108" s="6">
        <f>HYPERLINK("C:\Projects\Kleinanzeigen-Scraper\offer_images\2869174592", "Link")</f>
        <v/>
      </c>
      <c r="I108" t="inlineStr">
        <is>
          <t>Christian</t>
        </is>
      </c>
      <c r="J108" s="6">
        <f>HYPERLINK("https://www.kleinanzeigen.de/s-bestandsliste.html?userId=4978346", "Link")</f>
        <v/>
      </c>
      <c r="K108" s="7" t="n">
        <v>45557.55523148148</v>
      </c>
      <c r="L108" s="3" t="inlineStr">
        <is>
          <t>416.86</t>
        </is>
      </c>
      <c r="M108" t="inlineStr">
        <is>
          <t>Köln</t>
        </is>
      </c>
    </row>
    <row r="109">
      <c r="A109" t="inlineStr">
        <is>
          <t>Complete set including Fanatic Ripper board (2.40 x 0.72), Naish sail (3.7 qm), boom, mast, mast foot, and extension. Suitable for kids and beginners.</t>
        </is>
      </c>
      <c r="B109" s="4" t="n">
        <v>439</v>
      </c>
      <c r="C109" t="inlineStr">
        <is>
          <t>VB</t>
        </is>
      </c>
      <c r="D109" t="inlineStr">
        <is>
          <t>23769 Fehmarn - Westfehmarn</t>
        </is>
      </c>
      <c r="E109" s="5" t="n">
        <v>45557</v>
      </c>
      <c r="F109" t="inlineStr"/>
      <c r="G109" s="6">
        <f>HYPERLINK("https://www.kleinanzeigen.de/s-anzeige/fanatic-ripper-naish-3-7-kids/2870556468-230-430", "Link")</f>
        <v/>
      </c>
      <c r="H109" s="6">
        <f>HYPERLINK("C:\Projects\Kleinanzeigen-Scraper\offer_images\2870556468", "Link")</f>
        <v/>
      </c>
      <c r="I109" t="inlineStr">
        <is>
          <t>Matthias</t>
        </is>
      </c>
      <c r="J109" s="6">
        <f>HYPERLINK("https://www.kleinanzeigen.de/s-bestandsliste.html?userId=6598870", "Link")</f>
        <v/>
      </c>
      <c r="K109" s="7" t="n">
        <v>45557.55408564815</v>
      </c>
      <c r="L109" s="3" t="inlineStr">
        <is>
          <t>483.01</t>
        </is>
      </c>
      <c r="M109" t="inlineStr">
        <is>
          <t>Köln</t>
        </is>
      </c>
    </row>
    <row r="110">
      <c r="A110" t="inlineStr">
        <is>
          <t>Mistral OneDesign Board (Equipe) 3.72m, 235l volume with daggerboard, fin, mast foot, extension, foot straps, Mistral OneDesign sails in 5.9m² and 7.4m² with 2 cambers, Mistral OneDesign carbon mast 2-piece 4.90m.</t>
        </is>
      </c>
      <c r="B110" s="4" t="n">
        <v>450</v>
      </c>
      <c r="C110" t="inlineStr">
        <is>
          <t>VB</t>
        </is>
      </c>
      <c r="D110" t="inlineStr">
        <is>
          <t>45663 Recklinghausen</t>
        </is>
      </c>
      <c r="E110" s="5" t="n">
        <v>45555</v>
      </c>
      <c r="F110" t="inlineStr"/>
      <c r="G110" s="6">
        <f>HYPERLINK("https://www.dailydose.de/kleinanzeigen/detail.htm?ai=422909&amp;cf=kk&amp;pg=5&amp;ci=11", "Link")</f>
        <v/>
      </c>
      <c r="H110" s="6">
        <f>HYPERLINK("C:\Projects\Kleinanzeigen-Scraper\offer_images\422909", "Link")</f>
        <v/>
      </c>
      <c r="I110" t="inlineStr">
        <is>
          <t>cheimann</t>
        </is>
      </c>
      <c r="J110" s="6">
        <f>HYPERLINK("https://www.dailydose.de/kleinanzeigen/user/5652", "Link")</f>
        <v/>
      </c>
      <c r="K110" s="7" t="n">
        <v>45556.94710648148</v>
      </c>
      <c r="L110" s="3" t="inlineStr">
        <is>
          <t>74.16</t>
        </is>
      </c>
      <c r="M110" t="inlineStr">
        <is>
          <t>Köln</t>
        </is>
      </c>
    </row>
    <row r="111">
      <c r="A111" t="inlineStr">
        <is>
          <t>Includes Sail Gunsail Beat 6.3 m², Mast Severne Red 4.30 m (100% Carbon), and Boom Gun Select Carbon (1.60 - 2.20 m). All in good used condition.</t>
        </is>
      </c>
      <c r="B111" s="4" t="n">
        <v>550</v>
      </c>
      <c r="C111" t="inlineStr"/>
      <c r="D111" t="inlineStr">
        <is>
          <t>23775 Großenbrode</t>
        </is>
      </c>
      <c r="E111" s="5" t="n">
        <v>45556</v>
      </c>
      <c r="F111" t="inlineStr">
        <is>
          <t>Sold</t>
        </is>
      </c>
      <c r="G111" s="6">
        <f>HYPERLINK("https://www.dailydose.de/kleinanzeigen/detail.htm?ai=422930&amp;cf=kk&amp;pg=2&amp;ci=5", "Link")</f>
        <v/>
      </c>
      <c r="H111" s="6">
        <f>HYPERLINK("C:\Projects\Kleinanzeigen-Scraper\offer_images\422930", "Link")</f>
        <v/>
      </c>
      <c r="I111" t="inlineStr">
        <is>
          <t>Holger_156</t>
        </is>
      </c>
      <c r="J111" s="6">
        <f>HYPERLINK("https://www.dailydose.de/kleinanzeigen/user/10571", "Link")</f>
        <v/>
      </c>
      <c r="K111" s="7" t="n">
        <v>45556.94690972222</v>
      </c>
      <c r="L111" s="3" t="inlineStr">
        <is>
          <t>471.97</t>
        </is>
      </c>
      <c r="M111" t="inlineStr">
        <is>
          <t>Köln</t>
        </is>
      </c>
    </row>
    <row r="112">
      <c r="A112" t="inlineStr">
        <is>
          <t>Includes Patrik Foil Comp 2 board (91 with board bag), S2 Maui Foil Sail (8.8), S2 Maui Hornet Sail (7.5), S2 Maui Osprey Sail (6.9), S2 Venom Mast (5.20 cm), S2 Venom Mast (4.60 cm), and Maui Ultra Fins Foil with two front wings (800 and 1000).</t>
        </is>
      </c>
      <c r="B112" s="4" t="n">
        <v>1</v>
      </c>
      <c r="C112" t="inlineStr"/>
      <c r="D112" t="inlineStr">
        <is>
          <t>6340 Kruså</t>
        </is>
      </c>
      <c r="E112" s="5" t="n">
        <v>45555</v>
      </c>
      <c r="F112" t="inlineStr">
        <is>
          <t>Sold</t>
        </is>
      </c>
      <c r="G112" s="6">
        <f>HYPERLINK("https://www.dailydose.de/kleinanzeigen/detail.htm?ai=422901&amp;cf=kk&amp;pg=5&amp;ci=5", "Link")</f>
        <v/>
      </c>
      <c r="H112" s="6">
        <f>HYPERLINK("C:\Projects\Kleinanzeigen-Scraper\offer_images\422901", "Link")</f>
        <v/>
      </c>
      <c r="I112" t="inlineStr">
        <is>
          <t>Christian Carstens</t>
        </is>
      </c>
      <c r="J112" s="6">
        <f>HYPERLINK("https://www.dailydose.de/kleinanzeigen/user/5888", "Link")</f>
        <v/>
      </c>
      <c r="K112" s="7" t="n">
        <v>45556.94665509259</v>
      </c>
      <c r="L112" s="3" t="inlineStr">
        <is>
          <t>464.74</t>
        </is>
      </c>
      <c r="M112" t="inlineStr">
        <is>
          <t>Köln</t>
        </is>
      </c>
    </row>
    <row r="113">
      <c r="A113" t="inlineStr">
        <is>
          <t>Neil Pryde Combat HD 4.0 (2015, excellent condition), Neil Pryde Combat HD 4.5 (2010, good condition), Neil Pryde Combat HD 4.5 (2017, very good condition), Neil Pryde Wizard 5.4 (2018, used good condition)</t>
        </is>
      </c>
      <c r="B113" s="4" t="n">
        <v>180</v>
      </c>
      <c r="C113" t="inlineStr"/>
      <c r="D113" t="inlineStr">
        <is>
          <t>6212 Maurach am Achensee</t>
        </is>
      </c>
      <c r="E113" s="5" t="n">
        <v>45555</v>
      </c>
      <c r="F113" t="inlineStr">
        <is>
          <t>Sold</t>
        </is>
      </c>
      <c r="G113" s="6">
        <f>HYPERLINK("https://www.dailydose.de/kleinanzeigen/detail.htm?ai=422880&amp;cf=kk&amp;pg=5&amp;ci=5", "Link")</f>
        <v/>
      </c>
      <c r="H113" s="6">
        <f>HYPERLINK("C:\Projects\Kleinanzeigen-Scraper\offer_images\422880", "Link")</f>
        <v/>
      </c>
      <c r="I113" t="inlineStr">
        <is>
          <t>Patrick_66</t>
        </is>
      </c>
      <c r="J113" s="6">
        <f>HYPERLINK("https://www.dailydose.de/kleinanzeigen/user/18672", "Link")</f>
        <v/>
      </c>
      <c r="K113" s="7" t="n">
        <v>45556.9450462963</v>
      </c>
      <c r="L113" s="3" t="inlineStr">
        <is>
          <t>80.30</t>
        </is>
      </c>
      <c r="M113" t="inlineStr">
        <is>
          <t>München</t>
        </is>
      </c>
    </row>
    <row r="114">
      <c r="A114" t="inlineStr">
        <is>
          <t>Three Neilpryde X-Wave HD sails from 2019 in sizes 4.2, 4.7, and 5.3, used with minor patches but in good condition.</t>
        </is>
      </c>
      <c r="B114" s="4" t="n">
        <v>360</v>
      </c>
      <c r="C114" t="inlineStr"/>
      <c r="D114" t="inlineStr">
        <is>
          <t>23775 Kreis Ostholstein - Großenbrode</t>
        </is>
      </c>
      <c r="E114" s="5" t="n">
        <v>45556</v>
      </c>
      <c r="F114" t="inlineStr">
        <is>
          <t>Sold</t>
        </is>
      </c>
      <c r="G114" s="6">
        <f>HYPERLINK("https://www.kleinanzeigen.de/s-anzeige/neilpryde-x-wave-hd-4-2-4-7-5-3-von-2019/2869993081-230-429", "Link")</f>
        <v/>
      </c>
      <c r="H114" s="6">
        <f>HYPERLINK("C:\Projects\Kleinanzeigen-Scraper\offer_images\2869993081", "Link")</f>
        <v/>
      </c>
      <c r="I114" t="inlineStr">
        <is>
          <t>heiligenhafen</t>
        </is>
      </c>
      <c r="J114" s="6">
        <f>HYPERLINK("https://www.kleinanzeigen.de/s-bestandsliste.html?userId=21083285", "Link")</f>
        <v/>
      </c>
      <c r="K114" s="7" t="n">
        <v>45556.94377314814</v>
      </c>
      <c r="L114" s="3" t="inlineStr">
        <is>
          <t>471.97</t>
        </is>
      </c>
      <c r="M114" t="inlineStr">
        <is>
          <t>Köln</t>
        </is>
      </c>
    </row>
    <row r="115">
      <c r="A115" t="inlineStr">
        <is>
          <t>Includes 2 surfboards (F2 Comet Slalom and Mistral Shredder), Vulcano Vision boom, various accessories, carbon mast (6m), and 3 windsurf sails (North Sails Katana 6.5m).</t>
        </is>
      </c>
      <c r="B115" s="4" t="n">
        <v>150</v>
      </c>
      <c r="C115" t="inlineStr">
        <is>
          <t>VB</t>
        </is>
      </c>
      <c r="D115" t="inlineStr">
        <is>
          <t>88364 Baden-Württemberg - Wolfegg</t>
        </is>
      </c>
      <c r="E115" s="5" t="n">
        <v>45555</v>
      </c>
      <c r="F115" t="inlineStr"/>
      <c r="G115" s="6">
        <f>HYPERLINK("https://www.kleinanzeigen.de/s-anzeige/windsurf-gabelbaum-zubehoer/2869062213-230-8743", "Link")</f>
        <v/>
      </c>
      <c r="H115" s="6">
        <f>HYPERLINK("C:\Projects\Kleinanzeigen-Scraper\offer_images\2869062213", "Link")</f>
        <v/>
      </c>
      <c r="I115" t="inlineStr">
        <is>
          <t>Georg</t>
        </is>
      </c>
      <c r="J115" s="6">
        <f>HYPERLINK("https://www.kleinanzeigen.de/s-bestandsliste.html?userId=43014825", "Link")</f>
        <v/>
      </c>
      <c r="K115" s="7" t="n">
        <v>45556.94372685185</v>
      </c>
      <c r="L115" s="3" t="inlineStr">
        <is>
          <t>109.10</t>
        </is>
      </c>
      <c r="M115" t="inlineStr">
        <is>
          <t>Bonndorf</t>
        </is>
      </c>
    </row>
    <row r="116">
      <c r="A116" t="inlineStr">
        <is>
          <t>Includes Fanatic Ultra Rat 280 board, 3 sails (6.5 North, 5.7 North, 5.0 NP), 2 carbon masts (base), 3 carbon masts (top), North boom, and various accessories.</t>
        </is>
      </c>
      <c r="B116" s="4" t="n">
        <v>222</v>
      </c>
      <c r="C116" t="inlineStr">
        <is>
          <t>VB</t>
        </is>
      </c>
      <c r="D116" t="inlineStr">
        <is>
          <t>21218 Niedersachsen - Seevetal</t>
        </is>
      </c>
      <c r="E116" s="5" t="n">
        <v>45555</v>
      </c>
      <c r="F116" t="inlineStr"/>
      <c r="G116" s="6">
        <f>HYPERLINK("https://www.kleinanzeigen.de/s-anzeige/windsurfen-komplettset/2868909377-230-2814", "Link")</f>
        <v/>
      </c>
      <c r="H116" s="6">
        <f>HYPERLINK("C:\Projects\Kleinanzeigen-Scraper\offer_images\2868909377", "Link")</f>
        <v/>
      </c>
      <c r="I116" t="inlineStr">
        <is>
          <t>Dirk</t>
        </is>
      </c>
      <c r="J116" s="6">
        <f>HYPERLINK("https://www.kleinanzeigen.de/s-bestandsliste.html?userId=6411537", "Link")</f>
        <v/>
      </c>
      <c r="K116" s="7" t="n">
        <v>45556.94342592593</v>
      </c>
      <c r="L116" s="3" t="inlineStr">
        <is>
          <t>340.43</t>
        </is>
      </c>
      <c r="M116" t="inlineStr">
        <is>
          <t>Köln</t>
        </is>
      </c>
    </row>
    <row r="117">
      <c r="A117" t="inlineStr">
        <is>
          <t>Naish Torch 2018 Set including 7 qm (new), 9 qm (1x flown), 12 qm (1x repaired), and 2 Naish Torque 5 Leiner Bars (1 new, 1 used).</t>
        </is>
      </c>
      <c r="B117" s="4" t="n">
        <v>12.345</v>
      </c>
      <c r="C117" t="inlineStr">
        <is>
          <t>VB</t>
        </is>
      </c>
      <c r="D117" t="inlineStr">
        <is>
          <t>24229 Schleswig-Holstein - Schwedeneck</t>
        </is>
      </c>
      <c r="E117" s="5" t="n">
        <v>45556</v>
      </c>
      <c r="F117" t="inlineStr"/>
      <c r="G117" s="6">
        <f>HYPERLINK("https://www.kleinanzeigen.de/s-anzeige/naish-torch-2018-set-7-9-12-qm-2x-torque-bar-siehe-beschreibung/2869790244-230-17470", "Link")</f>
        <v/>
      </c>
      <c r="H117" s="6">
        <f>HYPERLINK("C:\Projects\Kleinanzeigen-Scraper\offer_images\2869790244", "Link")</f>
        <v/>
      </c>
      <c r="I117" t="inlineStr">
        <is>
          <t>Bernd</t>
        </is>
      </c>
      <c r="J117" s="6">
        <f>HYPERLINK("https://www.kleinanzeigen.de/s-bestandsliste.html?userId=7833787", "Link")</f>
        <v/>
      </c>
      <c r="K117" s="7" t="n">
        <v>45556.94322916667</v>
      </c>
      <c r="L117" s="3" t="inlineStr">
        <is>
          <t>445.58</t>
        </is>
      </c>
      <c r="M117" t="inlineStr">
        <is>
          <t>Köln</t>
        </is>
      </c>
    </row>
    <row r="118">
      <c r="A118" t="inlineStr">
        <is>
          <t>Complete windsurfing set including Fanatic Shark board, new boom, sails in good condition, and a large car roof bag.</t>
        </is>
      </c>
      <c r="B118" s="4" t="n">
        <v>450</v>
      </c>
      <c r="C118" t="inlineStr">
        <is>
          <t>VB</t>
        </is>
      </c>
      <c r="D118" t="inlineStr">
        <is>
          <t>33378 Nordrhein-Westfalen - Rheda-Wiedenbrück</t>
        </is>
      </c>
      <c r="E118" s="5" t="n">
        <v>45555</v>
      </c>
      <c r="F118" t="inlineStr"/>
      <c r="G118" s="6">
        <f>HYPERLINK("https://www.kleinanzeigen.de/s-anzeige/fanatic-shark-130l-windsurf-komplett-set-segel-usw-/2869168493-230-1649", "Link")</f>
        <v/>
      </c>
      <c r="H118" s="6">
        <f>HYPERLINK("C:\Projects\Kleinanzeigen-Scraper\offer_images\2869168493", "Link")</f>
        <v/>
      </c>
      <c r="I118" t="inlineStr">
        <is>
          <t>Alex</t>
        </is>
      </c>
      <c r="J118" s="6">
        <f>HYPERLINK("https://www.kleinanzeigen.de/s-bestandsliste.html?userId=88719510", "Link")</f>
        <v/>
      </c>
      <c r="K118" s="7" t="n">
        <v>45556.94313657407</v>
      </c>
      <c r="L118" s="3" t="inlineStr">
        <is>
          <t>136.52</t>
        </is>
      </c>
      <c r="M118" t="inlineStr">
        <is>
          <t>Köln</t>
        </is>
      </c>
    </row>
    <row r="119">
      <c r="A119" t="inlineStr">
        <is>
          <t>Complete windsurfing equipment set including sail, masts, mast extension, and boom. Very well maintained!</t>
        </is>
      </c>
      <c r="B119" s="4" t="n">
        <v>240</v>
      </c>
      <c r="C119" t="inlineStr">
        <is>
          <t>VB</t>
        </is>
      </c>
      <c r="D119" t="inlineStr">
        <is>
          <t>88048 Baden-Württemberg - Friedrichshafen</t>
        </is>
      </c>
      <c r="E119" s="5" t="n">
        <v>45556</v>
      </c>
      <c r="F119" t="inlineStr"/>
      <c r="G119" s="6">
        <f>HYPERLINK("https://www.kleinanzeigen.de/s-anzeige/goya-windsurf-set-3-9qm/2869637076-230-9212", "Link")</f>
        <v/>
      </c>
      <c r="H119" s="6">
        <f>HYPERLINK("C:\Projects\Kleinanzeigen-Scraper\offer_images\2869637076", "Link")</f>
        <v/>
      </c>
      <c r="I119" t="inlineStr">
        <is>
          <t>Lotti Maier</t>
        </is>
      </c>
      <c r="J119" s="6">
        <f>HYPERLINK("https://www.kleinanzeigen.de/s-bestandsliste.html?userId=16045975", "Link")</f>
        <v/>
      </c>
      <c r="K119" s="7" t="n">
        <v>45556.94247685185</v>
      </c>
      <c r="L119" s="3" t="inlineStr">
        <is>
          <t>87.69</t>
        </is>
      </c>
      <c r="M119" t="inlineStr">
        <is>
          <t>Bonndorf</t>
        </is>
      </c>
    </row>
    <row r="120">
      <c r="A120" t="inlineStr">
        <is>
          <t>Complete windsurfing equipment including 1x Fanatic Slalom Board (103L, 274cm) and 4 NeilPryde sails (3.7qm, 4.5qm, 5.0qm, 6.0qm), 3 carbon masts, 2 booms, and various accessories.</t>
        </is>
      </c>
      <c r="B120" s="4" t="n">
        <v>950</v>
      </c>
      <c r="C120" t="inlineStr">
        <is>
          <t>VB</t>
        </is>
      </c>
      <c r="D120" t="inlineStr">
        <is>
          <t>22085 Hamburg-Nord - Hamburg Uhlenhorst</t>
        </is>
      </c>
      <c r="E120" s="5" t="n">
        <v>45556</v>
      </c>
      <c r="F120" t="inlineStr">
        <is>
          <t>Sold</t>
        </is>
      </c>
      <c r="G120" s="6">
        <f>HYPERLINK("https://www.kleinanzeigen.de/s-anzeige/windsurfen-ausruestung-103l-fanatic-board-4x-neilpryde-sails/2869723621-230-9486", "Link")</f>
        <v/>
      </c>
      <c r="H120" s="6">
        <f>HYPERLINK("C:\Projects\Kleinanzeigen-Scraper\offer_images\2869723621", "Link")</f>
        <v/>
      </c>
      <c r="I120" t="inlineStr">
        <is>
          <t>Jan Witt</t>
        </is>
      </c>
      <c r="J120" s="6">
        <f>HYPERLINK("https://www.kleinanzeigen.de/s-bestandsliste.html?userId=15362181", "Link")</f>
        <v/>
      </c>
      <c r="K120" s="7" t="n">
        <v>45556.94226851852</v>
      </c>
      <c r="L120" s="3" t="inlineStr">
        <is>
          <t>359.41</t>
        </is>
      </c>
      <c r="M120" t="inlineStr">
        <is>
          <t>Köln</t>
        </is>
      </c>
    </row>
    <row r="121">
      <c r="A121" t="inlineStr">
        <is>
          <t>Complete set including Mistral Equipe 2 XR Raceboard, multiple repaired board, Dakine footstraps, carbon fin, several mast bases, Severne race boom, Challenger mast 490 carbon, Lefebvre 9.5m race sail, Sailloft 8.7m Ultimate sail, board bag, adjustable outhaul and downhaul.</t>
        </is>
      </c>
      <c r="B121" s="4" t="n">
        <v>600</v>
      </c>
      <c r="C121" t="inlineStr">
        <is>
          <t>VB</t>
        </is>
      </c>
      <c r="D121" t="inlineStr">
        <is>
          <t>12047 Berlin - Neukölln</t>
        </is>
      </c>
      <c r="E121" s="5" t="n">
        <v>45555</v>
      </c>
      <c r="F121" t="inlineStr">
        <is>
          <t>Sold</t>
        </is>
      </c>
      <c r="G121" s="6">
        <f>HYPERLINK("https://www.kleinanzeigen.de/s-anzeige/mistral-equipe-2-xr-raceboard-rigg-komplettset-windsurfen/2869084632-230-3395", "Link")</f>
        <v/>
      </c>
      <c r="H121" s="6">
        <f>HYPERLINK("C:\Projects\Kleinanzeigen-Scraper\offer_images\2869084632", "Link")</f>
        <v/>
      </c>
      <c r="I121" t="inlineStr">
        <is>
          <t>Thomas Böltken</t>
        </is>
      </c>
      <c r="J121" s="6">
        <f>HYPERLINK("https://www.kleinanzeigen.de/s-bestandsliste.html?userId=11415476", "Link")</f>
        <v/>
      </c>
      <c r="K121" s="7" t="n">
        <v>45556.94208333334</v>
      </c>
      <c r="L121" s="3" t="inlineStr">
        <is>
          <t>478.04</t>
        </is>
      </c>
      <c r="M121" t="inlineStr">
        <is>
          <t>Köln</t>
        </is>
      </c>
    </row>
    <row r="122">
      <c r="A122" t="inlineStr">
        <is>
          <t>Includes Gaastra sails 4.5 and 5.0, Vandal 6.4, complete rig with skinny mast and boom, base and trapeze lines.</t>
        </is>
      </c>
      <c r="B122" s="4" t="n">
        <v>150</v>
      </c>
      <c r="C122" t="inlineStr">
        <is>
          <t>VB</t>
        </is>
      </c>
      <c r="D122" t="inlineStr">
        <is>
          <t>83109 Bayern - Großkarolinenfeld</t>
        </is>
      </c>
      <c r="E122" s="5" t="n">
        <v>45555</v>
      </c>
      <c r="F122" t="inlineStr"/>
      <c r="G122" s="6">
        <f>HYPERLINK("https://www.kleinanzeigen.de/s-anzeige/surfmaterial-segel-gaastra-vandal-6-4/2868879405-230-6255", "Link")</f>
        <v/>
      </c>
      <c r="H122" s="6">
        <f>HYPERLINK("C:\Projects\Kleinanzeigen-Scraper\offer_images\2868879405", "Link")</f>
        <v/>
      </c>
      <c r="I122" t="inlineStr">
        <is>
          <t>Mayer Jutta</t>
        </is>
      </c>
      <c r="J122" s="6">
        <f>HYPERLINK("https://www.kleinanzeigen.de/s-bestandsliste.html?userId=9582607", "Link")</f>
        <v/>
      </c>
      <c r="K122" s="7" t="n">
        <v>45556.94108796296</v>
      </c>
      <c r="L122" s="3" t="inlineStr">
        <is>
          <t>45.57</t>
        </is>
      </c>
      <c r="M122" t="inlineStr">
        <is>
          <t>München</t>
        </is>
      </c>
    </row>
    <row r="123">
      <c r="A123" t="inlineStr">
        <is>
          <t>Includes 3 sails, 3 masts, and 3 booms with a surf bag.</t>
        </is>
      </c>
      <c r="B123" s="4" t="n">
        <v>20</v>
      </c>
      <c r="C123" t="inlineStr"/>
      <c r="D123" t="inlineStr">
        <is>
          <t>51469 Nordrhein-Westfalen - Bergisch Gladbach</t>
        </is>
      </c>
      <c r="E123" s="5" t="n">
        <v>45556</v>
      </c>
      <c r="F123" t="inlineStr">
        <is>
          <t>Sold</t>
        </is>
      </c>
      <c r="G123" s="6">
        <f>HYPERLINK("https://www.kleinanzeigen.de/s-anzeige/surfsegel-surfmast-gabelbaum-windsurf-equipment-im-komplettset/2870149059-230-1590", "Link")</f>
        <v/>
      </c>
      <c r="H123" s="6">
        <f>HYPERLINK("C:\Projects\Kleinanzeigen-Scraper\offer_images\2870149059", "Link")</f>
        <v/>
      </c>
      <c r="I123" t="inlineStr">
        <is>
          <t>Jan Brinkman</t>
        </is>
      </c>
      <c r="J123" s="6">
        <f>HYPERLINK("https://www.kleinanzeigen.de/s-bestandsliste.html?userId=19548685", "Link")</f>
        <v/>
      </c>
      <c r="K123" s="7" t="n">
        <v>45556.93913194445</v>
      </c>
      <c r="L123" s="3" t="inlineStr">
        <is>
          <t>11.86</t>
        </is>
      </c>
      <c r="M123" t="inlineStr">
        <is>
          <t>Köln</t>
        </is>
      </c>
    </row>
    <row r="124">
      <c r="A124" t="inlineStr">
        <is>
          <t>Complete rig including Sail, Mast, Mastfoot, Mast base, Boom, and Sail bag. Suitable for beginners.</t>
        </is>
      </c>
      <c r="B124" s="4" t="n">
        <v>240</v>
      </c>
      <c r="C124" t="inlineStr"/>
      <c r="D124" t="inlineStr">
        <is>
          <t>28201 Neustadt - Huckelriede</t>
        </is>
      </c>
      <c r="E124" s="5" t="n">
        <v>45556</v>
      </c>
      <c r="F124" t="inlineStr"/>
      <c r="G124" s="6">
        <f>HYPERLINK("https://www.kleinanzeigen.de/s-anzeige/jp-australia-vision-4-5-sup-segel-komplett-rigg/2869863190-230-13503", "Link")</f>
        <v/>
      </c>
      <c r="H124" s="6">
        <f>HYPERLINK("C:\Projects\Kleinanzeigen-Scraper\offer_images\2869863190", "Link")</f>
        <v/>
      </c>
      <c r="I124" t="inlineStr">
        <is>
          <t>Meyer zu Altenschildesche</t>
        </is>
      </c>
      <c r="J124" s="6">
        <f>HYPERLINK("https://www.kleinanzeigen.de/s-bestandsliste.html?userId=2111576", "Link")</f>
        <v/>
      </c>
      <c r="K124" s="7" t="n">
        <v>45556.93854166667</v>
      </c>
      <c r="L124" s="3" t="inlineStr">
        <is>
          <t>267.67</t>
        </is>
      </c>
      <c r="M124" t="inlineStr">
        <is>
          <t>Köln</t>
        </is>
      </c>
    </row>
    <row r="125">
      <c r="A125" t="inlineStr">
        <is>
          <t>Complete windsurfing equipment including 3 boards (Fanatic CAT Race, Fanatic Shark, Bic Electric Rock), 5 booms, 7 sails (1 unused, 2 like new, others in very good condition), various fins, mast feet, mast extensions, and accessories.</t>
        </is>
      </c>
      <c r="B125" s="4" t="n">
        <v>520</v>
      </c>
      <c r="C125" t="inlineStr">
        <is>
          <t>VB</t>
        </is>
      </c>
      <c r="D125" t="inlineStr">
        <is>
          <t>21395 Niedersachsen - Tespe</t>
        </is>
      </c>
      <c r="E125" s="5" t="n">
        <v>45556</v>
      </c>
      <c r="F125" t="inlineStr"/>
      <c r="G125" s="6">
        <f>HYPERLINK("https://www.kleinanzeigen.de/s-anzeige/windsurf-komplettausruestung/2869846755-230-604", "Link")</f>
        <v/>
      </c>
      <c r="H125" s="6">
        <f>HYPERLINK("C:\Projects\Kleinanzeigen-Scraper\offer_images\2869846755", "Link")</f>
        <v/>
      </c>
      <c r="I125" t="inlineStr">
        <is>
          <t>Kainbo</t>
        </is>
      </c>
      <c r="J125" s="6">
        <f>HYPERLINK("https://www.kleinanzeigen.de/s-bestandsliste.html?userId=144519548", "Link")</f>
        <v/>
      </c>
      <c r="K125" s="7" t="n">
        <v>45556.93813657408</v>
      </c>
      <c r="L125" s="3" t="inlineStr">
        <is>
          <t>360.91</t>
        </is>
      </c>
      <c r="M125" t="inlineStr">
        <is>
          <t>Köln</t>
        </is>
      </c>
    </row>
    <row r="126">
      <c r="A126" t="inlineStr">
        <is>
          <t>Complete windsurfing equipment set including board, sails, mast, boom, and accessories in good used condition.</t>
        </is>
      </c>
      <c r="B126" s="4" t="n">
        <v>777</v>
      </c>
      <c r="C126" t="inlineStr"/>
      <c r="D126" t="inlineStr">
        <is>
          <t>58300 Nordrhein-Westfalen - Wetter (Ruhr)</t>
        </is>
      </c>
      <c r="E126" s="5" t="n">
        <v>45555</v>
      </c>
      <c r="F126" t="inlineStr"/>
      <c r="G126" s="6">
        <f>HYPERLINK("https://www.kleinanzeigen.de/s-anzeige/surfausruestung-komplett-set-xxl-windsurfen/2868998763-230-1418", "Link")</f>
        <v/>
      </c>
      <c r="H126" s="6">
        <f>HYPERLINK("C:\Projects\Kleinanzeigen-Scraper\offer_images\2868998763", "Link")</f>
        <v/>
      </c>
      <c r="I126" t="inlineStr">
        <is>
          <t>Anne</t>
        </is>
      </c>
      <c r="J126" s="6">
        <f>HYPERLINK("https://www.kleinanzeigen.de/s-bestandsliste.html?userId=2559697", "Link")</f>
        <v/>
      </c>
      <c r="K126" s="7" t="n">
        <v>45556.93714120371</v>
      </c>
      <c r="L126" s="3" t="inlineStr">
        <is>
          <t>56.63</t>
        </is>
      </c>
      <c r="M126" t="inlineStr">
        <is>
          <t>Köln</t>
        </is>
      </c>
    </row>
    <row r="127">
      <c r="A127" t="inlineStr">
        <is>
          <t>Includes multiple sails: 4.5 Hotsail, 6.0 Gun Sail, 6.5 Gaastra Matrix, 7.0 North IQ, 6.9 North Duke, 5.7 Nort Voodoo, 6.5 North Sailes IQ Plus, 5.0 Naish Boxer, 3.3 Neil Pryde Combat, 4.1 North Sails Doctor X, 5.0 North Sail Ice, 4.7 Gaastra, 4.7 Neilpryde NR.</t>
        </is>
      </c>
      <c r="B127" s="4" t="inlineStr"/>
      <c r="C127" t="inlineStr">
        <is>
          <t>VB</t>
        </is>
      </c>
      <c r="D127" t="inlineStr">
        <is>
          <t>48653 Nordrhein-Westfalen - Coesfeld</t>
        </is>
      </c>
      <c r="E127" s="5" t="n">
        <v>45555</v>
      </c>
      <c r="F127" t="inlineStr"/>
      <c r="G127" s="6">
        <f>HYPERLINK("https://www.kleinanzeigen.de/s-anzeige/windsurfen-hobbyaufgabe-segel-north-gaastra-neil-pryde/2869002551-230-1173", "Link")</f>
        <v/>
      </c>
      <c r="H127" s="6">
        <f>HYPERLINK("C:\Projects\Kleinanzeigen-Scraper\offer_images\2869002551", "Link")</f>
        <v/>
      </c>
      <c r="I127" t="inlineStr">
        <is>
          <t>Marvin</t>
        </is>
      </c>
      <c r="J127" s="6">
        <f>HYPERLINK("https://www.kleinanzeigen.de/s-bestandsliste.html?userId=7238612", "Link")</f>
        <v/>
      </c>
      <c r="K127" s="7" t="n">
        <v>45556.93577546296</v>
      </c>
      <c r="L127" s="3" t="inlineStr">
        <is>
          <t>108.96</t>
        </is>
      </c>
      <c r="M127" t="inlineStr">
        <is>
          <t>Köln</t>
        </is>
      </c>
    </row>
    <row r="128">
      <c r="A128" t="inlineStr">
        <is>
          <t>Windsurf material including Naish Wave boards (8.2, 8.4, 8.6), Naish Freeride boards (8.7), Combat sails (4.7), Zone sails (5.2), carbon masts (2x370, 2x400), various mast extensions and mast feet, Neil Pryde booms (2x145-195, 1x135-185), and wetsuits, all in good condition.</t>
        </is>
      </c>
      <c r="B128" s="4" t="inlineStr"/>
      <c r="C128" t="inlineStr">
        <is>
          <t>VB</t>
        </is>
      </c>
      <c r="D128" t="inlineStr">
        <is>
          <t>31249 Niedersachsen - Hohenhameln</t>
        </is>
      </c>
      <c r="E128" s="5" t="n">
        <v>45556</v>
      </c>
      <c r="F128" t="inlineStr"/>
      <c r="G128" s="6">
        <f>HYPERLINK("https://www.kleinanzeigen.de/s-anzeige/windsurfen-naish-combat-neil-pryde-boards-segel-maste-etc-/2869893099-230-2923", "Link")</f>
        <v/>
      </c>
      <c r="H128" s="6">
        <f>HYPERLINK("C:\Projects\Kleinanzeigen-Scraper\offer_images\2869893099", "Link")</f>
        <v/>
      </c>
      <c r="I128" t="inlineStr">
        <is>
          <t>KöCo</t>
        </is>
      </c>
      <c r="J128" s="6">
        <f>HYPERLINK("https://www.kleinanzeigen.de/s-bestandsliste.html?userId=72494058", "Link")</f>
        <v/>
      </c>
      <c r="K128" s="7" t="n">
        <v>45556.93545138889</v>
      </c>
      <c r="L128" s="3" t="inlineStr">
        <is>
          <t>260.87</t>
        </is>
      </c>
      <c r="M128" t="inlineStr">
        <is>
          <t>Köln</t>
        </is>
      </c>
    </row>
    <row r="129">
      <c r="A129" t="inlineStr">
        <is>
          <t>Complete rig with 5.8 sail, mast, and boom, including transport cover (without surfboard and mast foot)</t>
        </is>
      </c>
      <c r="B129" s="4" t="n">
        <v>90</v>
      </c>
      <c r="C129" t="inlineStr">
        <is>
          <t>VB</t>
        </is>
      </c>
      <c r="D129" t="inlineStr">
        <is>
          <t>59069 Nordrhein-Westfalen - Hamm</t>
        </is>
      </c>
      <c r="E129" s="5" t="n">
        <v>45556</v>
      </c>
      <c r="F129" t="inlineStr"/>
      <c r="G129" s="6">
        <f>HYPERLINK("https://www.kleinanzeigen.de/s-anzeige/windsurfen-rigg-kevlar-5-8-surfen/2869373017-230-2026", "Link")</f>
        <v/>
      </c>
      <c r="H129" s="6">
        <f>HYPERLINK("C:\Projects\Kleinanzeigen-Scraper\offer_images\2869373017", "Link")</f>
        <v/>
      </c>
      <c r="I129" t="inlineStr">
        <is>
          <t>Simone</t>
        </is>
      </c>
      <c r="J129" s="6">
        <f>HYPERLINK("https://www.kleinanzeigen.de/s-bestandsliste.html?userId=3885986", "Link")</f>
        <v/>
      </c>
      <c r="K129" s="7" t="n">
        <v>45556.9353587963</v>
      </c>
      <c r="L129" s="3" t="inlineStr">
        <is>
          <t>98.79</t>
        </is>
      </c>
      <c r="M129" t="inlineStr">
        <is>
          <t>Köln</t>
        </is>
      </c>
    </row>
    <row r="130">
      <c r="A130" t="inlineStr">
        <is>
          <t>Point 7 Salt Wave sails in sizes 3.6, 4.2, and 4.8 m², all in good condition, along with a Neilpryde X9 carbon boom and a Unifiber 370 mast with 80% carbon.</t>
        </is>
      </c>
      <c r="B130" s="4" t="n">
        <v>160</v>
      </c>
      <c r="C130" t="inlineStr">
        <is>
          <t>VB</t>
        </is>
      </c>
      <c r="D130" t="inlineStr">
        <is>
          <t>24107 Kiel - Suchsdorf</t>
        </is>
      </c>
      <c r="E130" s="5" t="n">
        <v>45555</v>
      </c>
      <c r="F130" t="inlineStr"/>
      <c r="G130" s="6">
        <f>HYPERLINK("https://www.kleinanzeigen.de/s-anzeige/point-7-salt-wave-segel-3-6-4-2-4-8-m-windsurfen/2868953307-230-11840", "Link")</f>
        <v/>
      </c>
      <c r="H130" s="6">
        <f>HYPERLINK("C:\Projects\Kleinanzeigen-Scraper\offer_images\2868953307", "Link")</f>
        <v/>
      </c>
      <c r="I130" t="inlineStr">
        <is>
          <t>Felix Rother</t>
        </is>
      </c>
      <c r="J130" s="6">
        <f>HYPERLINK("https://www.kleinanzeigen.de/s-bestandsliste.html?userId=45539522", "Link")</f>
        <v/>
      </c>
      <c r="K130" s="7" t="n">
        <v>45556.93527777777</v>
      </c>
      <c r="L130" s="3" t="inlineStr">
        <is>
          <t>432.01</t>
        </is>
      </c>
      <c r="M130" t="inlineStr">
        <is>
          <t>Köln</t>
        </is>
      </c>
    </row>
    <row r="131">
      <c r="A131" t="inlineStr">
        <is>
          <t>3 Neilpryde X-Wave HD sails (4.2, 4.7, 5.3 qm) from 2019, used with minor repairs.</t>
        </is>
      </c>
      <c r="B131" s="4" t="n">
        <v>300</v>
      </c>
      <c r="C131" t="inlineStr"/>
      <c r="D131" t="inlineStr">
        <is>
          <t>23775 Kreis Ostholstein - Großenbrode</t>
        </is>
      </c>
      <c r="E131" s="5" t="n">
        <v>45555</v>
      </c>
      <c r="F131" t="inlineStr">
        <is>
          <t>Sold</t>
        </is>
      </c>
      <c r="G131" s="6">
        <f>HYPERLINK("https://www.kleinanzeigen.de/s-anzeige/neilpryde-x-wave-hd-4-2-4-7-5-3qm-2019-/2869155018-230-429", "Link")</f>
        <v/>
      </c>
      <c r="H131" s="6">
        <f>HYPERLINK("C:\Projects\Kleinanzeigen-Scraper\offer_images\2869155018", "Link")</f>
        <v/>
      </c>
      <c r="I131" t="inlineStr">
        <is>
          <t>heiligenhafen</t>
        </is>
      </c>
      <c r="J131" s="6">
        <f>HYPERLINK("https://www.kleinanzeigen.de/s-bestandsliste.html?userId=21083285", "Link")</f>
        <v/>
      </c>
      <c r="K131" s="7" t="n">
        <v>45556.93501157407</v>
      </c>
      <c r="L131" s="3" t="inlineStr">
        <is>
          <t>471.97</t>
        </is>
      </c>
      <c r="M131" t="inlineStr">
        <is>
          <t>Köln</t>
        </is>
      </c>
    </row>
    <row r="132">
      <c r="A132" t="inlineStr">
        <is>
          <t>Windsurf equipment including trapeze, lines, and mast foot.</t>
        </is>
      </c>
      <c r="B132" s="4" t="n">
        <v>15</v>
      </c>
      <c r="C132" t="inlineStr"/>
      <c r="D132" t="inlineStr">
        <is>
          <t>53913 Nordrhein-Westfalen - Swisttal</t>
        </is>
      </c>
      <c r="E132" s="5" t="n">
        <v>45556</v>
      </c>
      <c r="F132" t="inlineStr"/>
      <c r="G132" s="6">
        <f>HYPERLINK("https://www.kleinanzeigen.de/s-anzeige/windsurf-equipment-accesories-trapez-tampen-mastfuss/2870178066-230-1666", "Link")</f>
        <v/>
      </c>
      <c r="H132" s="6">
        <f>HYPERLINK("C:\Projects\Kleinanzeigen-Scraper\offer_images\2870178066", "Link")</f>
        <v/>
      </c>
      <c r="I132" t="inlineStr">
        <is>
          <t>Georg</t>
        </is>
      </c>
      <c r="J132" s="6">
        <f>HYPERLINK("https://www.kleinanzeigen.de/s-bestandsliste.html?userId=3811212", "Link")</f>
        <v/>
      </c>
      <c r="K132" s="7" t="n">
        <v>45556.93497685185</v>
      </c>
      <c r="L132" s="3" t="inlineStr">
        <is>
          <t>27.48</t>
        </is>
      </c>
      <c r="M132" t="inlineStr">
        <is>
          <t>Köln</t>
        </is>
      </c>
    </row>
    <row r="133">
      <c r="A133" t="inlineStr">
        <is>
          <t>Windsurf Komplett-Set including STX 285 lt inflatable board, Neilpryde 7 m² sail, Neilpryde 460 SDM mast (55% carbon), Neilpryde Vario boom (1.65-2.25 m), Cardan mast foot, and Prolimit 30 cm mast extension.</t>
        </is>
      </c>
      <c r="B133" s="4" t="n">
        <v>990</v>
      </c>
      <c r="C133" t="inlineStr">
        <is>
          <t>VB</t>
        </is>
      </c>
      <c r="D133" t="inlineStr">
        <is>
          <t>85375 Bayern - Neufahrn</t>
        </is>
      </c>
      <c r="E133" s="5" t="n">
        <v>45556</v>
      </c>
      <c r="F133" t="inlineStr"/>
      <c r="G133" s="6">
        <f>HYPERLINK("https://www.kleinanzeigen.de/s-anzeige/windsurf-komplett-set-stx-285-neu-mit-neilpryde-sail-komplett-/2869482487-230-6620", "Link")</f>
        <v/>
      </c>
      <c r="H133" s="6">
        <f>HYPERLINK("C:\Projects\Kleinanzeigen-Scraper\offer_images\2869482487", "Link")</f>
        <v/>
      </c>
      <c r="I133" t="inlineStr">
        <is>
          <t>Marcel</t>
        </is>
      </c>
      <c r="J133" s="6">
        <f>HYPERLINK("https://www.kleinanzeigen.de/s-bestandsliste.html?userId=24643540", "Link")</f>
        <v/>
      </c>
      <c r="K133" s="7" t="n">
        <v>45556.9347337963</v>
      </c>
      <c r="L133" s="3" t="inlineStr">
        <is>
          <t>21.85</t>
        </is>
      </c>
      <c r="M133" t="inlineStr">
        <is>
          <t>München</t>
        </is>
      </c>
    </row>
    <row r="134">
      <c r="A134" t="inlineStr">
        <is>
          <t>Two Windsurf Foil Sails: 1. Neil Pryde Flight Evo 7.0 with normal wear, used in freshwater. 2. Neil Pryde V8 Flight 8.0, lightly used.</t>
        </is>
      </c>
      <c r="B134" s="4" t="n">
        <v>620</v>
      </c>
      <c r="C134" t="inlineStr">
        <is>
          <t>VB</t>
        </is>
      </c>
      <c r="D134" t="inlineStr">
        <is>
          <t>40883 Nordrhein-Westfalen - Ratingen</t>
        </is>
      </c>
      <c r="E134" s="5" t="n">
        <v>45556</v>
      </c>
      <c r="F134" t="inlineStr">
        <is>
          <t>Sold</t>
        </is>
      </c>
      <c r="G134" s="6">
        <f>HYPERLINK("https://www.kleinanzeigen.de/s-anzeige/foilsegel-windsurf-7-8-m2/2869869088-230-1779", "Link")</f>
        <v/>
      </c>
      <c r="H134" s="6">
        <f>HYPERLINK("C:\Projects\Kleinanzeigen-Scraper\offer_images\2869869088", "Link")</f>
        <v/>
      </c>
      <c r="I134" t="inlineStr">
        <is>
          <t>Monika Dewitz</t>
        </is>
      </c>
      <c r="J134" s="6">
        <f>HYPERLINK("https://www.kleinanzeigen.de/s-bestandsliste.html?userId=1702066", "Link")</f>
        <v/>
      </c>
      <c r="K134" s="7" t="n">
        <v>45556.93418981481</v>
      </c>
      <c r="L134" s="3" t="inlineStr">
        <is>
          <t>43.64</t>
        </is>
      </c>
      <c r="M134" t="inlineStr">
        <is>
          <t>Köln</t>
        </is>
      </c>
    </row>
    <row r="135">
      <c r="A135" t="inlineStr">
        <is>
          <t>Fanatic Skate Team Edition 107L board, 4 sails (4.2 to 6.2 m²), 2 fins (Freestyle and Wave), 2 masts (Stilo RDM 400cm and North Viper SDM 430cm), Gun Sails boom, mast extensions, base, trimming crank, and a Wave harness size M.</t>
        </is>
      </c>
      <c r="B135" s="4" t="n">
        <v>960</v>
      </c>
      <c r="C135" t="inlineStr">
        <is>
          <t>VB</t>
        </is>
      </c>
      <c r="D135" t="inlineStr">
        <is>
          <t>87452 Altusried</t>
        </is>
      </c>
      <c r="E135" s="5" t="n">
        <v>45554</v>
      </c>
      <c r="F135" t="inlineStr"/>
      <c r="G135" s="6">
        <f>HYPERLINK("https://www.dailydose.de/kleinanzeigen/detail.htm?ai=422837&amp;cf=kk&amp;pg=5&amp;ci=11", "Link")</f>
        <v/>
      </c>
      <c r="H135" s="6">
        <f>HYPERLINK("C:\Projects\Kleinanzeigen-Scraper\offer_images\422837", "Link")</f>
        <v/>
      </c>
      <c r="I135" t="inlineStr">
        <is>
          <t>parzival</t>
        </is>
      </c>
      <c r="J135" s="6">
        <f>HYPERLINK("https://www.dailydose.de/kleinanzeigen/user/18577", "Link")</f>
        <v/>
      </c>
      <c r="K135" s="7" t="n">
        <v>45555.56915509259</v>
      </c>
      <c r="L135" s="3" t="inlineStr">
        <is>
          <t>109.83</t>
        </is>
      </c>
      <c r="M135" t="inlineStr">
        <is>
          <t>München</t>
        </is>
      </c>
    </row>
    <row r="136">
      <c r="A136" t="inlineStr">
        <is>
          <t>Two brand new Duotone Superhero sails (4.0 and 5.0) with optional matching masts (370 and 400 RDM), all unused and in original packaging.</t>
        </is>
      </c>
      <c r="B136" s="4" t="n">
        <v>480</v>
      </c>
      <c r="C136" t="inlineStr"/>
      <c r="D136" t="inlineStr">
        <is>
          <t>04157 Versand</t>
        </is>
      </c>
      <c r="E136" s="5" t="n">
        <v>45554</v>
      </c>
      <c r="F136" t="inlineStr">
        <is>
          <t>Sold</t>
        </is>
      </c>
      <c r="G136" s="6">
        <f>HYPERLINK("https://www.dailydose.de/kleinanzeigen/detail.htm?ai=422843&amp;cf=kk&amp;pg=4&amp;ci=5", "Link")</f>
        <v/>
      </c>
      <c r="H136" s="6">
        <f>HYPERLINK("C:\Projects\Kleinanzeigen-Scraper\offer_images\422843", "Link")</f>
        <v/>
      </c>
      <c r="I136" t="inlineStr">
        <is>
          <t>WingDing</t>
        </is>
      </c>
      <c r="J136" s="6">
        <f>HYPERLINK("https://www.dailydose.de/kleinanzeigen/user/21852", "Link")</f>
        <v/>
      </c>
      <c r="K136" s="7" t="n">
        <v>45555.56766203704</v>
      </c>
      <c r="L136" s="3" t="inlineStr">
        <is>
          <t>364.64</t>
        </is>
      </c>
      <c r="M136" t="inlineStr">
        <is>
          <t>München</t>
        </is>
      </c>
    </row>
    <row r="137">
      <c r="A137" t="inlineStr">
        <is>
          <t>Complete windsurfing equipment including Board, Mast, Sail, Boom, and additional accessories.</t>
        </is>
      </c>
      <c r="B137" s="4" t="inlineStr">
        <is>
          <t>Zu verschenken</t>
        </is>
      </c>
      <c r="C137" t="inlineStr"/>
      <c r="D137" t="inlineStr">
        <is>
          <t>65779 Hessen - Kelkheim</t>
        </is>
      </c>
      <c r="E137" s="5" t="n">
        <v>45553</v>
      </c>
      <c r="F137" t="inlineStr">
        <is>
          <t>Sold</t>
        </is>
      </c>
      <c r="G137" s="6">
        <f>HYPERLINK("https://www.kleinanzeigen.de/s-anzeige/windsurf-ausruestung-komplett-intakt/2866898042-230-4813", "Link")</f>
        <v/>
      </c>
      <c r="H137" s="6">
        <f>HYPERLINK("C:\Projects\Kleinanzeigen-Scraper\offer_images\2866898042", "Link")</f>
        <v/>
      </c>
      <c r="I137" t="inlineStr">
        <is>
          <t>Susanne Moses</t>
        </is>
      </c>
      <c r="J137" s="6">
        <f>HYPERLINK("https://www.kleinanzeigen.de/s-bestandsliste.html?userId=14323106", "Link")</f>
        <v/>
      </c>
      <c r="K137" s="7" t="n">
        <v>45555.56473379629</v>
      </c>
      <c r="L137" s="3" t="inlineStr">
        <is>
          <t>127.81</t>
        </is>
      </c>
      <c r="M137" t="inlineStr">
        <is>
          <t>Karlsruhe</t>
        </is>
      </c>
    </row>
    <row r="138">
      <c r="A138" t="inlineStr">
        <is>
          <t>Complete windsurfing equipment including Starboard GO 122 board (245 x 72 cm, 122 liters), North Natural 5.8 m² sail, GUNCross Carbon mast (430 cm), GUN Advantage boom (150-200 cm), mast foot, fin, and mast extension.</t>
        </is>
      </c>
      <c r="B138" s="4" t="n">
        <v>500</v>
      </c>
      <c r="C138" t="inlineStr"/>
      <c r="D138" t="inlineStr">
        <is>
          <t>79100 Freiburg im Breisgau - Wiehre</t>
        </is>
      </c>
      <c r="E138" s="5" t="n">
        <v>45554</v>
      </c>
      <c r="F138" t="inlineStr">
        <is>
          <t>Sold</t>
        </is>
      </c>
      <c r="G138" s="6">
        <f>HYPERLINK("https://www.kleinanzeigen.de/s-anzeige/komplette-windsurfausruestung-starboard-go-122-north-rigg-5-8m-/2867859838-230-9368", "Link")</f>
        <v/>
      </c>
      <c r="H138" s="6">
        <f>HYPERLINK("C:\Projects\Kleinanzeigen-Scraper\offer_images\2867859838", "Link")</f>
        <v/>
      </c>
      <c r="I138" t="inlineStr">
        <is>
          <t>MLF</t>
        </is>
      </c>
      <c r="J138" s="6">
        <f>HYPERLINK("https://www.kleinanzeigen.de/s-bestandsliste.html?userId=15574759", "Link")</f>
        <v/>
      </c>
      <c r="K138" s="7" t="n">
        <v>45555.56354166667</v>
      </c>
      <c r="L138" s="3" t="inlineStr">
        <is>
          <t>39.95</t>
        </is>
      </c>
      <c r="M138" t="inlineStr">
        <is>
          <t>Bonndorf</t>
        </is>
      </c>
    </row>
    <row r="139">
      <c r="A139" t="inlineStr">
        <is>
          <t>Complete windsurfing equipment including F2 Hornet board (145L), sails (5.0, 6.2, 7.8 from Northsails), mast, boom, mast extension, mast foot, harness, and sail bags.</t>
        </is>
      </c>
      <c r="B139" s="4" t="n">
        <v>400</v>
      </c>
      <c r="C139" t="inlineStr">
        <is>
          <t>VB</t>
        </is>
      </c>
      <c r="D139" t="inlineStr">
        <is>
          <t>34128 Hessen - Kassel</t>
        </is>
      </c>
      <c r="E139" s="5" t="n">
        <v>45554</v>
      </c>
      <c r="F139" t="inlineStr"/>
      <c r="G139" s="6">
        <f>HYPERLINK("https://www.kleinanzeigen.de/s-anzeige/komplette-windsurf-ausruestung-zu-verkaufen-perfekt-abgestimmt-u/2868307694-187-4927", "Link")</f>
        <v/>
      </c>
      <c r="H139" s="6">
        <f>HYPERLINK("C:\Projects\Kleinanzeigen-Scraper\offer_images\2868307694", "Link")</f>
        <v/>
      </c>
      <c r="I139" t="inlineStr">
        <is>
          <t>Steffi</t>
        </is>
      </c>
      <c r="J139" s="6">
        <f>HYPERLINK("https://www.kleinanzeigen.de/s-bestandsliste.html?userId=144476132", "Link")</f>
        <v/>
      </c>
      <c r="K139" s="7" t="n">
        <v>45555.5633912037</v>
      </c>
      <c r="L139" s="3" t="inlineStr">
        <is>
          <t>178.92</t>
        </is>
      </c>
      <c r="M139" t="inlineStr">
        <is>
          <t>Köln</t>
        </is>
      </c>
    </row>
    <row r="140">
      <c r="A140" t="inlineStr">
        <is>
          <t>Includes various sails: Gaastra Grind 4.2, Gaastra Manic 4.7, Konda 3.6</t>
        </is>
      </c>
      <c r="B140" s="4" t="n">
        <v>29</v>
      </c>
      <c r="C140" t="inlineStr">
        <is>
          <t>VB</t>
        </is>
      </c>
      <c r="D140" t="inlineStr">
        <is>
          <t>24114 Schleswig-Holstein - Kiel</t>
        </is>
      </c>
      <c r="E140" s="5" t="n">
        <v>45554</v>
      </c>
      <c r="F140" t="inlineStr">
        <is>
          <t>Sold</t>
        </is>
      </c>
      <c r="G140" s="6">
        <f>HYPERLINK("https://www.kleinanzeigen.de/s-anzeige/verkaufe-verschiedene-windsurf-segeln/2868273932-230-697", "Link")</f>
        <v/>
      </c>
      <c r="H140" s="6">
        <f>HYPERLINK("C:\Projects\Kleinanzeigen-Scraper\offer_images\2868273932", "Link")</f>
        <v/>
      </c>
      <c r="I140" t="inlineStr">
        <is>
          <t>Pauline</t>
        </is>
      </c>
      <c r="J140" s="6">
        <f>HYPERLINK("https://www.kleinanzeigen.de/s-bestandsliste.html?userId=64963334", "Link")</f>
        <v/>
      </c>
      <c r="K140" s="7" t="n">
        <v>45555.5630787037</v>
      </c>
      <c r="L140" s="3" t="inlineStr">
        <is>
          <t>431.59</t>
        </is>
      </c>
      <c r="M140" t="inlineStr">
        <is>
          <t>Köln</t>
        </is>
      </c>
    </row>
    <row r="141">
      <c r="A141" t="inlineStr">
        <is>
          <t>Includes two sails: 8.9 and 9.9 m², both in excellent condition. Masts available.</t>
        </is>
      </c>
      <c r="B141" s="4" t="n">
        <v>300</v>
      </c>
      <c r="C141" t="inlineStr">
        <is>
          <t>VB</t>
        </is>
      </c>
      <c r="D141" t="inlineStr">
        <is>
          <t>87463 Bayern - Dietmannsried</t>
        </is>
      </c>
      <c r="E141" s="5" t="n">
        <v>45552</v>
      </c>
      <c r="F141" t="inlineStr">
        <is>
          <t>Sold</t>
        </is>
      </c>
      <c r="G141" s="6">
        <f>HYPERLINK("https://www.kleinanzeigen.de/s-anzeige/duotone-warp-foil-8-9-9-9-2022-top-zustand/2865929826-230-7623", "Link")</f>
        <v/>
      </c>
      <c r="H141" s="6">
        <f>HYPERLINK("C:\Projects\Kleinanzeigen-Scraper\offer_images\2865929826", "Link")</f>
        <v/>
      </c>
      <c r="I141" t="inlineStr">
        <is>
          <t>Robert Bircheneder</t>
        </is>
      </c>
      <c r="J141" s="6">
        <f>HYPERLINK("https://www.kleinanzeigen.de/s-bestandsliste.html?userId=43544466", "Link")</f>
        <v/>
      </c>
      <c r="K141" s="7" t="n">
        <v>45555.56240740741</v>
      </c>
      <c r="L141" s="3" t="inlineStr">
        <is>
          <t>102.25</t>
        </is>
      </c>
      <c r="M141" t="inlineStr">
        <is>
          <t>München</t>
        </is>
      </c>
    </row>
    <row r="142">
      <c r="A142" t="inlineStr">
        <is>
          <t>Severne Gator sails in sizes 5.7, 6.5, and 7.5, all in very good condition with minimal usage.</t>
        </is>
      </c>
      <c r="B142" s="4" t="n">
        <v>500</v>
      </c>
      <c r="C142" t="inlineStr"/>
      <c r="D142" t="inlineStr">
        <is>
          <t>46242 Nordrhein-Westfalen - Bottrop</t>
        </is>
      </c>
      <c r="E142" s="5" t="n">
        <v>45553</v>
      </c>
      <c r="F142" t="inlineStr"/>
      <c r="G142" s="6">
        <f>HYPERLINK("https://www.kleinanzeigen.de/s-anzeige/severne-gator-5-7-6-5-7-5-2023-wie-neu-windsurf-segel/2867136270-230-1954", "Link")</f>
        <v/>
      </c>
      <c r="H142" s="6">
        <f>HYPERLINK("C:\Projects\Kleinanzeigen-Scraper\offer_images\2867136270", "Link")</f>
        <v/>
      </c>
      <c r="I142" t="inlineStr">
        <is>
          <t>Robby Hein</t>
        </is>
      </c>
      <c r="J142" s="6">
        <f>HYPERLINK("https://www.kleinanzeigen.de/s-bestandsliste.html?userId=15549119", "Link")</f>
        <v/>
      </c>
      <c r="K142" s="7" t="n">
        <v>45555.56082175926</v>
      </c>
      <c r="L142" s="3" t="inlineStr">
        <is>
          <t>65.36</t>
        </is>
      </c>
      <c r="M142" t="inlineStr">
        <is>
          <t>Köln</t>
        </is>
      </c>
    </row>
    <row r="143">
      <c r="A143" t="inlineStr">
        <is>
          <t>Starboard Slalom Foil Set including Carbon Mast 95cm, Fuselage 105 Plus, Fuselage 115 Plus, Tail Wing 255-2 Thin, Tail Wing 255, Shim Adapter, and 4 Front Wings: 1000cm, 2800cm, 2725cm, 2650cm.</t>
        </is>
      </c>
      <c r="B143" s="4" t="inlineStr"/>
      <c r="C143" t="inlineStr">
        <is>
          <t>VB</t>
        </is>
      </c>
      <c r="D143" t="inlineStr">
        <is>
          <t>88279 Baden-Württemberg - Amtzell</t>
        </is>
      </c>
      <c r="E143" s="5" t="n">
        <v>45554</v>
      </c>
      <c r="F143" t="inlineStr">
        <is>
          <t>Sold</t>
        </is>
      </c>
      <c r="G143" s="6">
        <f>HYPERLINK("https://www.kleinanzeigen.de/s-anzeige/starboard-slalom-foil-set/2864094084-230-7319", "Link")</f>
        <v/>
      </c>
      <c r="H143" s="6">
        <f>HYPERLINK("C:\Projects\Kleinanzeigen-Scraper\offer_images\2864094084", "Link")</f>
        <v/>
      </c>
      <c r="I143" t="inlineStr">
        <is>
          <t>Waltenheimer</t>
        </is>
      </c>
      <c r="J143" s="6">
        <f>HYPERLINK("https://www.kleinanzeigen.de/s-bestandsliste.html?userId=10995078", "Link")</f>
        <v/>
      </c>
      <c r="K143" s="7" t="n">
        <v>45555.56079861111</v>
      </c>
      <c r="L143" s="3" t="inlineStr">
        <is>
          <t>106.48</t>
        </is>
      </c>
      <c r="M143" t="inlineStr">
        <is>
          <t>Bonndorf</t>
        </is>
      </c>
    </row>
    <row r="144">
      <c r="A144" t="inlineStr">
        <is>
          <t>Includes sails: 3.0 (new, original packaging), 4.0 (used twice), 5.5 (used five times). All in very good condition, only used in freshwater, no damages or repairs.</t>
        </is>
      </c>
      <c r="B144" s="4" t="n">
        <v>1.75</v>
      </c>
      <c r="C144" t="inlineStr"/>
      <c r="D144" t="inlineStr">
        <is>
          <t>80993 München - Moosach</t>
        </is>
      </c>
      <c r="E144" s="5" t="n">
        <v>45553</v>
      </c>
      <c r="F144" t="inlineStr">
        <is>
          <t>Sold</t>
        </is>
      </c>
      <c r="G144" s="6">
        <f>HYPERLINK("https://www.kleinanzeigen.de/s-anzeige/duotone-unit-2024-3-0-4-0-5-5-auch-einzeln/2866958706-230-6446", "Link")</f>
        <v/>
      </c>
      <c r="H144" s="6">
        <f>HYPERLINK("C:\Projects\Kleinanzeigen-Scraper\offer_images\2866958706", "Link")</f>
        <v/>
      </c>
      <c r="I144" t="inlineStr">
        <is>
          <t>Magnus</t>
        </is>
      </c>
      <c r="J144" s="6">
        <f>HYPERLINK("https://www.kleinanzeigen.de/s-bestandsliste.html?userId=86472404", "Link")</f>
        <v/>
      </c>
      <c r="K144" s="7" t="n">
        <v>45555.55943287037</v>
      </c>
      <c r="L144" s="3" t="inlineStr">
        <is>
          <t>6.77</t>
        </is>
      </c>
      <c r="M144" t="inlineStr">
        <is>
          <t>München</t>
        </is>
      </c>
    </row>
    <row r="145">
      <c r="A145" t="inlineStr">
        <is>
          <t>Segelsatz Goya Banzai X Pro Edition including sails of sizes 4.7, 5.3, and 5.7 qm Powerwave, all in top condition with minor signs of use.</t>
        </is>
      </c>
      <c r="B145" s="4" t="n">
        <v>230</v>
      </c>
      <c r="C145" t="inlineStr"/>
      <c r="D145" t="inlineStr">
        <is>
          <t>81476 München - Thalk.Obersendl.-Forsten-Fürstenr.-Solln</t>
        </is>
      </c>
      <c r="E145" s="5" t="n">
        <v>45553</v>
      </c>
      <c r="F145" t="inlineStr">
        <is>
          <t>Sold</t>
        </is>
      </c>
      <c r="G145" s="6">
        <f>HYPERLINK("https://www.kleinanzeigen.de/s-anzeige/windsurf-segel-goya-banzai-x-pro-edition-5-3-u-5-7-qm-powerwave/2867620885-230-6436", "Link")</f>
        <v/>
      </c>
      <c r="H145" s="6">
        <f>HYPERLINK("C:\Projects\Kleinanzeigen-Scraper\offer_images\2867620885", "Link")</f>
        <v/>
      </c>
      <c r="I145" t="inlineStr">
        <is>
          <t>Mike</t>
        </is>
      </c>
      <c r="J145" s="6">
        <f>HYPERLINK("https://www.kleinanzeigen.de/s-bestandsliste.html?userId=27971111", "Link")</f>
        <v/>
      </c>
      <c r="K145" s="7" t="n">
        <v>45555.5590162037</v>
      </c>
      <c r="L145" s="3" t="inlineStr">
        <is>
          <t>8.19</t>
        </is>
      </c>
      <c r="M145" t="inlineStr">
        <is>
          <t>München</t>
        </is>
      </c>
    </row>
    <row r="146">
      <c r="A146" t="inlineStr">
        <is>
          <t>Kinder Windsurf Segel 3.2m², Originalverpackt, ideal für Kinder und Anfänger</t>
        </is>
      </c>
      <c r="B146" s="4" t="n">
        <v>160</v>
      </c>
      <c r="C146" t="inlineStr">
        <is>
          <t>VB</t>
        </is>
      </c>
      <c r="D146" t="inlineStr">
        <is>
          <t>97074 Bayern - Würzburg</t>
        </is>
      </c>
      <c r="E146" s="5" t="n">
        <v>45555</v>
      </c>
      <c r="F146" t="inlineStr">
        <is>
          <t>Sold</t>
        </is>
      </c>
      <c r="G146" s="6">
        <f>HYPERLINK("https://www.kleinanzeigen.de/s-anzeige/kinder-windsurf-segel-3-2m-2-originalverpackt-/2868714940-230-7698", "Link")</f>
        <v/>
      </c>
      <c r="H146" s="6">
        <f>HYPERLINK("C:\Projects\Kleinanzeigen-Scraper\offer_images\2868714940", "Link")</f>
        <v/>
      </c>
      <c r="I146" t="inlineStr">
        <is>
          <t>Finn K.</t>
        </is>
      </c>
      <c r="J146" s="6">
        <f>HYPERLINK("https://www.kleinanzeigen.de/s-bestandsliste.html?userId=144109168", "Link")</f>
        <v/>
      </c>
      <c r="K146" s="7" t="n">
        <v>45555.55855324074</v>
      </c>
      <c r="L146" s="3" t="inlineStr">
        <is>
          <t>142.15</t>
        </is>
      </c>
      <c r="M146" t="inlineStr">
        <is>
          <t>Böblingen</t>
        </is>
      </c>
    </row>
    <row r="147">
      <c r="A147" t="inlineStr">
        <is>
          <t>Inflatable SUP and Wind-SUP equipment including 11.6'x30'' Starboard Touring Zen board, 5.5 sqm sail, 4-part mast, 3-part boom, mast foot extension, pump, paddles, and carrying bags.</t>
        </is>
      </c>
      <c r="B147" s="4" t="n">
        <v>1.3</v>
      </c>
      <c r="C147" t="inlineStr"/>
      <c r="D147" t="inlineStr">
        <is>
          <t>83623 Bayern - Dietramszell</t>
        </is>
      </c>
      <c r="E147" s="5" t="n">
        <v>45456</v>
      </c>
      <c r="F147" t="inlineStr"/>
      <c r="G147" s="6">
        <f>HYPERLINK("https://www.kleinanzeigen.de/s-anzeige/starboard-waterman-package-sup-wind-sup-ueberg-muenchen-mgl-2-vorh/2787226724-230-6194", "Link")</f>
        <v/>
      </c>
      <c r="H147" s="6">
        <f>HYPERLINK("C:\Projects\Kleinanzeigen-Scraper\offer_images\2787226724", "Link")</f>
        <v/>
      </c>
      <c r="I147" t="inlineStr">
        <is>
          <t>Ines</t>
        </is>
      </c>
      <c r="J147" s="6">
        <f>HYPERLINK("https://www.kleinanzeigen.de/s-bestandsliste.html?userId=39148388", "Link")</f>
        <v/>
      </c>
      <c r="K147" s="7" t="n">
        <v>45555.55818287037</v>
      </c>
      <c r="L147" s="3" t="inlineStr">
        <is>
          <t>31.34</t>
        </is>
      </c>
      <c r="M147" t="inlineStr">
        <is>
          <t>München</t>
        </is>
      </c>
    </row>
    <row r="148">
      <c r="A148" t="inlineStr">
        <is>
          <t>Slalom Board Nove Nove 139L and Sail Gun Sails GS R 7.9m, includes two small repair spots, full carbon board, foil box, fin, and board bag.</t>
        </is>
      </c>
      <c r="B148" s="4" t="n">
        <v>650</v>
      </c>
      <c r="C148" t="inlineStr">
        <is>
          <t>VB</t>
        </is>
      </c>
      <c r="D148" t="inlineStr">
        <is>
          <t>12305 Berlin - Tempelhof</t>
        </is>
      </c>
      <c r="E148" s="5" t="n">
        <v>45550</v>
      </c>
      <c r="F148" t="inlineStr"/>
      <c r="G148" s="6">
        <f>HYPERLINK("https://www.kleinanzeigen.de/s-anzeige/windsurfboard-nove-nove-windsurfsegel-gun-sails-gs-r-7-9/2864524036-230-3410", "Link")</f>
        <v/>
      </c>
      <c r="H148" s="6">
        <f>HYPERLINK("C:\Projects\Kleinanzeigen-Scraper\offer_images\2864524036", "Link")</f>
        <v/>
      </c>
      <c r="I148" t="inlineStr">
        <is>
          <t>Nik</t>
        </is>
      </c>
      <c r="J148" s="6">
        <f>HYPERLINK("https://www.kleinanzeigen.de/s-bestandsliste.html?userId=25802532", "Link")</f>
        <v/>
      </c>
      <c r="K148" s="7" t="n">
        <v>45555.55753472223</v>
      </c>
      <c r="L148" s="3" t="inlineStr">
        <is>
          <t>473.28</t>
        </is>
      </c>
      <c r="M148" t="inlineStr">
        <is>
          <t>Köln</t>
        </is>
      </c>
    </row>
    <row r="149">
      <c r="A149" t="inlineStr">
        <is>
          <t>Windsurf equipment including 2 sails with damages, boards, masts, and accessories. Good condition.</t>
        </is>
      </c>
      <c r="B149" s="4" t="n">
        <v>250</v>
      </c>
      <c r="C149" t="inlineStr">
        <is>
          <t>VB</t>
        </is>
      </c>
      <c r="D149" t="inlineStr">
        <is>
          <t>86485 Bayern - Biberbach</t>
        </is>
      </c>
      <c r="E149" s="5" t="n">
        <v>45553</v>
      </c>
      <c r="F149" t="inlineStr"/>
      <c r="G149" s="6">
        <f>HYPERLINK("https://www.kleinanzeigen.de/s-anzeige/windsurf-equipment/2867617196-230-7045", "Link")</f>
        <v/>
      </c>
      <c r="H149" s="6">
        <f>HYPERLINK("C:\Projects\Kleinanzeigen-Scraper\offer_images\2867617196", "Link")</f>
        <v/>
      </c>
      <c r="I149" t="inlineStr">
        <is>
          <t>Sel.</t>
        </is>
      </c>
      <c r="J149" s="6">
        <f>HYPERLINK("https://www.kleinanzeigen.de/s-bestandsliste.html?userId=81900505", "Link")</f>
        <v/>
      </c>
      <c r="K149" s="7" t="n">
        <v>45555.55740740741</v>
      </c>
      <c r="L149" s="3" t="inlineStr">
        <is>
          <t>71.09</t>
        </is>
      </c>
      <c r="M149" t="inlineStr">
        <is>
          <t>München</t>
        </is>
      </c>
    </row>
    <row r="150">
      <c r="A150" t="inlineStr">
        <is>
          <t>Naish Windsurf Foil Komplettset including 1150 Frontwing, 320 Backwing, Mast (85cm), Fuselage, Case, Screws, and Naish Screwdriver.</t>
        </is>
      </c>
      <c r="B150" s="4" t="n">
        <v>400</v>
      </c>
      <c r="C150" t="inlineStr">
        <is>
          <t>VB</t>
        </is>
      </c>
      <c r="D150" t="inlineStr">
        <is>
          <t>24118 Kiel - Ravensberg-Brunswik-Düsternbrook</t>
        </is>
      </c>
      <c r="E150" s="5" t="n">
        <v>45552</v>
      </c>
      <c r="F150" t="inlineStr"/>
      <c r="G150" s="6">
        <f>HYPERLINK("https://www.kleinanzeigen.de/s-anzeige/naish-windsurf-foil-komplett-set/2866789787-230-704", "Link")</f>
        <v/>
      </c>
      <c r="H150" s="6">
        <f>HYPERLINK("C:\Projects\Kleinanzeigen-Scraper\offer_images\2866789787", "Link")</f>
        <v/>
      </c>
      <c r="I150" t="inlineStr">
        <is>
          <t>Merlin</t>
        </is>
      </c>
      <c r="J150" s="6">
        <f>HYPERLINK("https://www.kleinanzeigen.de/s-bestandsliste.html?userId=47728449", "Link")</f>
        <v/>
      </c>
      <c r="K150" s="7" t="n">
        <v>45555.55700231482</v>
      </c>
      <c r="L150" s="3" t="inlineStr">
        <is>
          <t>434.29</t>
        </is>
      </c>
      <c r="M150" t="inlineStr">
        <is>
          <t>Köln</t>
        </is>
      </c>
    </row>
    <row r="151">
      <c r="A151" t="inlineStr">
        <is>
          <t>Complete windsurfing equipment including FANATIC Board Fun 320, fin, daggerboard, sail 5.6 sqm, mast, mast foot, and boom.</t>
        </is>
      </c>
      <c r="B151" s="4" t="n">
        <v>70</v>
      </c>
      <c r="C151" t="inlineStr"/>
      <c r="D151" t="inlineStr">
        <is>
          <t>78464 Baden-Württemberg - Konstanz</t>
        </is>
      </c>
      <c r="E151" s="5" t="n">
        <v>45554</v>
      </c>
      <c r="F151" t="inlineStr"/>
      <c r="G151" s="6">
        <f>HYPERLINK("https://www.kleinanzeigen.de/s-anzeige/windsurf-ausruestung-fanatic-board-fun-320/2868428372-230-9387", "Link")</f>
        <v/>
      </c>
      <c r="H151" s="6">
        <f>HYPERLINK("C:\Projects\Kleinanzeigen-Scraper\offer_images\2868428372", "Link")</f>
        <v/>
      </c>
      <c r="I151" t="inlineStr">
        <is>
          <t>Oleksii</t>
        </is>
      </c>
      <c r="J151" s="6">
        <f>HYPERLINK("https://www.kleinanzeigen.de/s-bestandsliste.html?userId=136401099", "Link")</f>
        <v/>
      </c>
      <c r="K151" s="7" t="n">
        <v>45555.55652777778</v>
      </c>
      <c r="L151" s="3" t="inlineStr">
        <is>
          <t>66.23</t>
        </is>
      </c>
      <c r="M151" t="inlineStr">
        <is>
          <t>Bonndorf</t>
        </is>
      </c>
    </row>
    <row r="152">
      <c r="A152" t="inlineStr">
        <is>
          <t>Naish HA Foil Komplett Set including Frontflügel 2140, Heck Flügel 310, 2 Masten (75 cm and 85 cm), and adjustable Fuselage (62-64 cm).</t>
        </is>
      </c>
      <c r="B152" s="4" t="n">
        <v>649</v>
      </c>
      <c r="C152" t="inlineStr"/>
      <c r="D152" t="inlineStr">
        <is>
          <t>18586 Rügen - Thiessow</t>
        </is>
      </c>
      <c r="E152" s="5" t="n">
        <v>45553</v>
      </c>
      <c r="F152" t="inlineStr">
        <is>
          <t>Sold</t>
        </is>
      </c>
      <c r="G152" s="6">
        <f>HYPERLINK("https://www.kleinanzeigen.de/s-anzeige/naish-2140-ha-foil-set-75-85-cm-mast/2867106337-230-11838", "Link")</f>
        <v/>
      </c>
      <c r="H152" s="6">
        <f>HYPERLINK("C:\Projects\Kleinanzeigen-Scraper\offer_images\2867106337", "Link")</f>
        <v/>
      </c>
      <c r="I152" t="inlineStr">
        <is>
          <t>Mathias Weinhauer</t>
        </is>
      </c>
      <c r="J152" s="6">
        <f>HYPERLINK("https://www.kleinanzeigen.de/s-bestandsliste.html?userId=9235426", "Link")</f>
        <v/>
      </c>
      <c r="K152" s="7" t="n">
        <v>45555.55592592592</v>
      </c>
      <c r="L152" s="3" t="inlineStr">
        <is>
          <t>591.22</t>
        </is>
      </c>
      <c r="M152" t="inlineStr">
        <is>
          <t>Köln</t>
        </is>
      </c>
    </row>
    <row r="153">
      <c r="A153" t="inlineStr">
        <is>
          <t>FANATIC Falcon Air Premium SUP (12'6" x 26.5"), removable fin, transport bag with storage and wheels, adjustable carbon paddle, original double chamber pump, leash, unused repair kit, car cigarette lighter pump with valve for SUP.</t>
        </is>
      </c>
      <c r="B153" s="4" t="n">
        <v>650</v>
      </c>
      <c r="C153" t="inlineStr">
        <is>
          <t>VB</t>
        </is>
      </c>
      <c r="D153" t="inlineStr">
        <is>
          <t>81547 Obergiesing-Fasangarten - Obergiesing</t>
        </is>
      </c>
      <c r="E153" s="5" t="n">
        <v>45552</v>
      </c>
      <c r="F153" t="inlineStr"/>
      <c r="G153" s="6">
        <f>HYPERLINK("https://www.kleinanzeigen.de/s-anzeige/stand-up-paddle-fanatic-im-komplett-set/2866238621-230-16364", "Link")</f>
        <v/>
      </c>
      <c r="H153" s="6">
        <f>HYPERLINK("C:\Projects\Kleinanzeigen-Scraper\offer_images\2866238621", "Link")</f>
        <v/>
      </c>
      <c r="I153" t="inlineStr">
        <is>
          <t>Teresa Wurmstein</t>
        </is>
      </c>
      <c r="J153" s="6">
        <f>HYPERLINK("https://www.kleinanzeigen.de/s-bestandsliste.html?userId=49866103", "Link")</f>
        <v/>
      </c>
      <c r="K153" s="7" t="n">
        <v>45555.55568287037</v>
      </c>
      <c r="L153" s="3" t="inlineStr">
        <is>
          <t>3.83</t>
        </is>
      </c>
      <c r="M153" t="inlineStr">
        <is>
          <t>München</t>
        </is>
      </c>
    </row>
    <row r="154">
      <c r="A154" t="inlineStr">
        <is>
          <t>Complete windsurf set including 3 sails (NeilPryde 6.1m² with Carbon Mast, NorthSail 5.0m² with Carbon Mast, Kids sail 3.6m² with Aluminium Mast), surfboard 160L with padded cover, beach trolley, and harness.</t>
        </is>
      </c>
      <c r="B154" s="4" t="n">
        <v>150</v>
      </c>
      <c r="C154" t="inlineStr">
        <is>
          <t>VB</t>
        </is>
      </c>
      <c r="D154" t="inlineStr">
        <is>
          <t>61118 Hessen - Bad Vilbel</t>
        </is>
      </c>
      <c r="E154" s="5" t="n">
        <v>45553</v>
      </c>
      <c r="F154" t="inlineStr">
        <is>
          <t>Sold</t>
        </is>
      </c>
      <c r="G154" s="6">
        <f>HYPERLINK("https://www.kleinanzeigen.de/s-anzeige/windsurf-set-komplett-mit-3-segeln-und-brett/2867042567-230-4548", "Link")</f>
        <v/>
      </c>
      <c r="H154" s="6">
        <f>HYPERLINK("C:\Projects\Kleinanzeigen-Scraper\offer_images\2867042567", "Link")</f>
        <v/>
      </c>
      <c r="I154" t="inlineStr">
        <is>
          <t>Gerhard Bonk</t>
        </is>
      </c>
      <c r="J154" s="6">
        <f>HYPERLINK("https://www.kleinanzeigen.de/s-bestandsliste.html?userId=18729381", "Link")</f>
        <v/>
      </c>
      <c r="K154" s="7" t="n">
        <v>45555.55487268518</v>
      </c>
      <c r="L154" s="3" t="inlineStr">
        <is>
          <t>134.59</t>
        </is>
      </c>
      <c r="M154" t="inlineStr">
        <is>
          <t>Karlsruhe</t>
        </is>
      </c>
    </row>
    <row r="155">
      <c r="A155" t="inlineStr">
        <is>
          <t>Windsurf Komplettset including Board (KT Quatro Cube pro, 93L, 224cm x 59.5cm), multiple sails (Gun Sails: Seal 5.7qm, 5.3qm, 4.7qm; Peak 4.2qm), 2 Chinook Pro Alloy booms (135-197cm, 150-212cm), 1 Unifiber Carbon Boom (140-190cm), 1 Gun Sails Select mast (100% Carbon, 400cm), 1 Caas Powerwave mast (100% Carbon, 370cm), accessories including 3 mast feet, Gun Sails mast extension (320cm), trapeze lines, and mast foot protector.</t>
        </is>
      </c>
      <c r="B155" s="4" t="n">
        <v>1.65</v>
      </c>
      <c r="C155" t="inlineStr">
        <is>
          <t>VB</t>
        </is>
      </c>
      <c r="D155" t="inlineStr">
        <is>
          <t>25899 Nordfriesland - Niebüll</t>
        </is>
      </c>
      <c r="E155" s="5" t="n">
        <v>45552</v>
      </c>
      <c r="F155" t="inlineStr"/>
      <c r="G155" s="6">
        <f>HYPERLINK("https://www.kleinanzeigen.de/s-anzeige/windsurf-komplettset-quatro-gun-sails/2866472722-230-12892", "Link")</f>
        <v/>
      </c>
      <c r="H155" s="6">
        <f>HYPERLINK("C:\Projects\Kleinanzeigen-Scraper\offer_images\2866472722", "Link")</f>
        <v/>
      </c>
      <c r="I155" t="inlineStr">
        <is>
          <t>Mommsen</t>
        </is>
      </c>
      <c r="J155" s="6">
        <f>HYPERLINK("https://www.kleinanzeigen.de/s-bestandsliste.html?userId=27889810", "Link")</f>
        <v/>
      </c>
      <c r="K155" s="7" t="n">
        <v>45555.55447916667</v>
      </c>
      <c r="L155" s="3" t="inlineStr">
        <is>
          <t>441.17</t>
        </is>
      </c>
      <c r="M155" t="inlineStr">
        <is>
          <t>Köln</t>
        </is>
      </c>
    </row>
    <row r="156">
      <c r="A156" t="inlineStr">
        <is>
          <t>Lorch Splash 76l board with fins and bag, Goya Carbon boom (140-190 cm), North 100% Wavemast (400 cm), 55% Wavemast (370 cm), Sailloft Quad 3.6 qm sail, North Volt 4.2 qm sail (repaired), Gunsails Transwave 5 qm sail.</t>
        </is>
      </c>
      <c r="B156" s="4" t="n">
        <v>579</v>
      </c>
      <c r="C156" t="inlineStr">
        <is>
          <t>VB</t>
        </is>
      </c>
      <c r="D156" t="inlineStr">
        <is>
          <t>59368 Nordrhein-Westfalen - Werne</t>
        </is>
      </c>
      <c r="E156" s="5" t="n">
        <v>45536</v>
      </c>
      <c r="F156" t="inlineStr">
        <is>
          <t>Sold</t>
        </is>
      </c>
      <c r="G156" s="6">
        <f>HYPERLINK("https://www.kleinanzeigen.de/s-anzeige/lorch-splash-76l-goya-carbongabel-3-x-wavesegel-2-x-sdm-mast/2851956921-230-1446", "Link")</f>
        <v/>
      </c>
      <c r="H156" s="6">
        <f>HYPERLINK("C:\Projects\Kleinanzeigen-Scraper\offer_images\2851956921", "Link")</f>
        <v/>
      </c>
      <c r="I156" t="inlineStr">
        <is>
          <t>Richard</t>
        </is>
      </c>
      <c r="J156" s="6">
        <f>HYPERLINK("https://www.kleinanzeigen.de/s-bestandsliste.html?userId=3823155", "Link")</f>
        <v/>
      </c>
      <c r="K156" s="7" t="n">
        <v>45551.59439814815</v>
      </c>
      <c r="L156" s="3" t="inlineStr">
        <is>
          <t>92.66</t>
        </is>
      </c>
      <c r="M156" t="inlineStr">
        <is>
          <t>Köln</t>
        </is>
      </c>
    </row>
    <row r="157">
      <c r="A157" t="inlineStr">
        <is>
          <t>Complete IQ-Foil Set including board, foil, and sail (8.0) with some parts needing replacement.</t>
        </is>
      </c>
      <c r="B157" s="4" t="n">
        <v>4.1</v>
      </c>
      <c r="C157" t="inlineStr">
        <is>
          <t>VB</t>
        </is>
      </c>
      <c r="D157" t="inlineStr">
        <is>
          <t>22045 Wandsbek - Hamburg Tonndorf</t>
        </is>
      </c>
      <c r="E157" s="5" t="n">
        <v>45338</v>
      </c>
      <c r="F157" t="inlineStr">
        <is>
          <t>Sold</t>
        </is>
      </c>
      <c r="G157" s="6">
        <f>HYPERLINK("https://www.kleinanzeigen.de/s-anzeige/iq-foil-set-starboard-severne/2681080845-230-17135", "Link")</f>
        <v/>
      </c>
      <c r="H157" s="6">
        <f>HYPERLINK("C:\Projects\Kleinanzeigen-Scraper\offer_images\2681080845", "Link")</f>
        <v/>
      </c>
      <c r="I157" t="inlineStr">
        <is>
          <t>Nadia J.</t>
        </is>
      </c>
      <c r="J157" s="6">
        <f>HYPERLINK("https://www.kleinanzeigen.de/s-bestandsliste.html?userId=79389459", "Link")</f>
        <v/>
      </c>
      <c r="K157" s="7" t="n">
        <v>45551.59429398148</v>
      </c>
      <c r="L157" s="3" t="inlineStr">
        <is>
          <t>364.91</t>
        </is>
      </c>
      <c r="M157" t="inlineStr">
        <is>
          <t>Köln</t>
        </is>
      </c>
    </row>
    <row r="158">
      <c r="A158" t="inlineStr">
        <is>
          <t>F2 GLIDE WINDSURF SUP 11,7" including bag, pump, repair kit, and F2 CHECKER sail 4.0 QM (complete rig - includes mast, boom, extension, mast foot, and uphaul line) plus a 3-piece paddle (165 - 215 cm).</t>
        </is>
      </c>
      <c r="B158" s="4" t="n">
        <v>599</v>
      </c>
      <c r="C158" t="inlineStr"/>
      <c r="D158" t="inlineStr">
        <is>
          <t>95028 Bayern - Hof (Saale)</t>
        </is>
      </c>
      <c r="E158" s="5" t="n">
        <v>45546</v>
      </c>
      <c r="F158" t="inlineStr">
        <is>
          <t>Sold</t>
        </is>
      </c>
      <c r="G158" s="6">
        <f>HYPERLINK("https://www.kleinanzeigen.de/s-anzeige/f2-glide-windsurf-sup-11-7-grey-checker-rigg-4-0-qm/2835016416-230-7244", "Link")</f>
        <v/>
      </c>
      <c r="H158" s="6">
        <f>HYPERLINK("C:\Projects\Kleinanzeigen-Scraper\offer_images\2835016416", "Link")</f>
        <v/>
      </c>
      <c r="I158" t="inlineStr">
        <is>
          <t>No user name</t>
        </is>
      </c>
      <c r="J158" s="6">
        <f>HYPERLINK("https://www.kleinanzeigen.deNo user link", "Link")</f>
        <v/>
      </c>
      <c r="K158" s="7" t="n">
        <v>45551.59309027778</v>
      </c>
      <c r="L158" s="3" t="inlineStr">
        <is>
          <t>244.83</t>
        </is>
      </c>
      <c r="M158" t="inlineStr">
        <is>
          <t>München</t>
        </is>
      </c>
    </row>
    <row r="159">
      <c r="A159" t="inlineStr">
        <is>
          <t>Point-7 Slash sails in excellent condition, with the option to purchase matching masts.</t>
        </is>
      </c>
      <c r="B159" s="4" t="inlineStr"/>
      <c r="C159" t="inlineStr"/>
      <c r="D159" t="inlineStr">
        <is>
          <t>53909 Zülpich</t>
        </is>
      </c>
      <c r="E159" s="5" t="n">
        <v>45550</v>
      </c>
      <c r="F159" t="inlineStr">
        <is>
          <t>Sold</t>
        </is>
      </c>
      <c r="G159" s="6">
        <f>HYPERLINK("https://www.dailydose.de/kleinanzeigen/detail.htm?ai=422688&amp;cf=kk&amp;pg=5&amp;ci=5", "Link")</f>
        <v/>
      </c>
      <c r="H159" s="6">
        <f>HYPERLINK("C:\Projects\Kleinanzeigen-Scraper\offer_images\422688", "Link")</f>
        <v/>
      </c>
      <c r="I159" t="inlineStr">
        <is>
          <t>Kalle_56</t>
        </is>
      </c>
      <c r="J159" s="6">
        <f>HYPERLINK("https://www.dailydose.de/kleinanzeigen/user/13113", "Link")</f>
        <v/>
      </c>
      <c r="K159" s="7" t="n">
        <v>45551.41546296296</v>
      </c>
      <c r="L159" s="3" t="inlineStr">
        <is>
          <t>36.28</t>
        </is>
      </c>
      <c r="M159" t="inlineStr">
        <is>
          <t>Köln</t>
        </is>
      </c>
    </row>
    <row r="160">
      <c r="A160" t="inlineStr">
        <is>
          <t>Multiple Neil Pryde Wizard sails for sale: 2014 Wizard 4.8 (replaced window), 2013 Wizard 5.3 (tear in window), 2018 Wizard 4.8 (good condition), 2017 Wizard 5.7 (good condition), 2016 Wizard 4.2 (small repaired tear).</t>
        </is>
      </c>
      <c r="B160" s="4" t="n">
        <v>100</v>
      </c>
      <c r="C160" t="inlineStr"/>
      <c r="D160" t="inlineStr">
        <is>
          <t>40547 Düsseldorf</t>
        </is>
      </c>
      <c r="E160" s="5" t="n">
        <v>45550</v>
      </c>
      <c r="F160" t="inlineStr">
        <is>
          <t>Sold</t>
        </is>
      </c>
      <c r="G160" s="6">
        <f>HYPERLINK("https://www.dailydose.de/kleinanzeigen/detail.htm?ai=422680&amp;cf=kk&amp;pg=3&amp;ci=5", "Link")</f>
        <v/>
      </c>
      <c r="H160" s="6">
        <f>HYPERLINK("C:\Projects\Kleinanzeigen-Scraper\offer_images\422680", "Link")</f>
        <v/>
      </c>
      <c r="I160" t="inlineStr">
        <is>
          <t>Pascal_126</t>
        </is>
      </c>
      <c r="J160" s="6">
        <f>HYPERLINK("https://www.dailydose.de/kleinanzeigen/user/18599", "Link")</f>
        <v/>
      </c>
      <c r="K160" s="7" t="n">
        <v>45551.41466435185</v>
      </c>
      <c r="L160" s="3" t="inlineStr">
        <is>
          <t>36.67</t>
        </is>
      </c>
      <c r="M160" t="inlineStr">
        <is>
          <t>Köln</t>
        </is>
      </c>
    </row>
    <row r="161">
      <c r="A161" t="inlineStr">
        <is>
          <t>Includes Kindersegel Tiki X-Ply Eagle 4.5 qm, Mast, Gabelbaum, and Mastfuß. Used but in good condition with only minor signs of use.</t>
        </is>
      </c>
      <c r="B161" s="4" t="n">
        <v>285</v>
      </c>
      <c r="C161" t="inlineStr">
        <is>
          <t>VB</t>
        </is>
      </c>
      <c r="D161" t="inlineStr">
        <is>
          <t>41068 Mönchengladbach</t>
        </is>
      </c>
      <c r="E161" s="5" t="n">
        <v>45550</v>
      </c>
      <c r="F161" t="inlineStr">
        <is>
          <t>Sold</t>
        </is>
      </c>
      <c r="G161" s="6">
        <f>HYPERLINK("https://www.dailydose.de/kleinanzeigen/detail.htm?ai=422642&amp;cf=kk&amp;pg=5&amp;ci=5", "Link")</f>
        <v/>
      </c>
      <c r="H161" s="6">
        <f>HYPERLINK("C:\Projects\Kleinanzeigen-Scraper\offer_images\422642", "Link")</f>
        <v/>
      </c>
      <c r="I161" t="inlineStr">
        <is>
          <t>Lutz_122</t>
        </is>
      </c>
      <c r="J161" s="6">
        <f>HYPERLINK("https://www.dailydose.de/kleinanzeigen/user/14675", "Link")</f>
        <v/>
      </c>
      <c r="K161" s="7" t="n">
        <v>45551.41462962963</v>
      </c>
      <c r="L161" s="3" t="inlineStr">
        <is>
          <t>48.63</t>
        </is>
      </c>
      <c r="M161" t="inlineStr">
        <is>
          <t>Köln</t>
        </is>
      </c>
    </row>
    <row r="162">
      <c r="A162" t="inlineStr">
        <is>
          <t>Goya Banzai X Pro sails in sizes 3.7, 4.2, 4.7, and 5.3, model years 21 and 22/23, with normal wear and a small repair on the 5.3.</t>
        </is>
      </c>
      <c r="B162" s="4" t="inlineStr"/>
      <c r="C162" t="inlineStr">
        <is>
          <t>VB</t>
        </is>
      </c>
      <c r="D162" t="inlineStr">
        <is>
          <t>22307 Hamburg</t>
        </is>
      </c>
      <c r="E162" s="5" t="n">
        <v>45550</v>
      </c>
      <c r="F162" t="inlineStr">
        <is>
          <t>Sold</t>
        </is>
      </c>
      <c r="G162" s="6">
        <f>HYPERLINK("https://www.dailydose.de/kleinanzeigen/detail.htm?ai=422635&amp;cf=kk&amp;pg=5&amp;ci=5", "Link")</f>
        <v/>
      </c>
      <c r="H162" s="6">
        <f>HYPERLINK("C:\Projects\Kleinanzeigen-Scraper\offer_images\422635", "Link")</f>
        <v/>
      </c>
      <c r="I162" t="inlineStr">
        <is>
          <t>henning.rothfuss</t>
        </is>
      </c>
      <c r="J162" s="6">
        <f>HYPERLINK("https://www.dailydose.de/kleinanzeigen/user/180", "Link")</f>
        <v/>
      </c>
      <c r="K162" s="7" t="n">
        <v>45551.41446759259</v>
      </c>
      <c r="L162" s="3" t="inlineStr">
        <is>
          <t>362.75</t>
        </is>
      </c>
      <c r="M162" t="inlineStr">
        <is>
          <t>Köln</t>
        </is>
      </c>
    </row>
    <row r="163">
      <c r="A163" t="inlineStr">
        <is>
          <t>Includes Goya Banzai X Pro sails in sizes 4.2, 4.7, 5.3, and 3.7, with original accessories (bag, hex key).</t>
        </is>
      </c>
      <c r="B163" s="4" t="inlineStr"/>
      <c r="C163" t="inlineStr">
        <is>
          <t>VB</t>
        </is>
      </c>
      <c r="D163" t="inlineStr">
        <is>
          <t>22307 Hamburg</t>
        </is>
      </c>
      <c r="E163" s="5" t="n">
        <v>45550</v>
      </c>
      <c r="F163" t="inlineStr">
        <is>
          <t>Sold</t>
        </is>
      </c>
      <c r="G163" s="6">
        <f>HYPERLINK("https://www.dailydose.de/kleinanzeigen/detail.htm?ai=422634&amp;cf=kk&amp;pg=5&amp;ci=5", "Link")</f>
        <v/>
      </c>
      <c r="H163" s="6">
        <f>HYPERLINK("C:\Projects\Kleinanzeigen-Scraper\offer_images\422634", "Link")</f>
        <v/>
      </c>
      <c r="I163" t="inlineStr">
        <is>
          <t>henning.rothfuss</t>
        </is>
      </c>
      <c r="J163" s="6">
        <f>HYPERLINK("https://www.dailydose.de/kleinanzeigen/user/180", "Link")</f>
        <v/>
      </c>
      <c r="K163" s="7" t="n">
        <v>45551.41383101852</v>
      </c>
      <c r="L163" s="3" t="inlineStr">
        <is>
          <t>362.75</t>
        </is>
      </c>
      <c r="M163" t="inlineStr">
        <is>
          <t>Köln</t>
        </is>
      </c>
    </row>
    <row r="164">
      <c r="A164" t="inlineStr">
        <is>
          <t>Kindersegel Grommet 2.5 qm including Mast, Boom, and Mastfoot. Used but in good condition with only signs of use and no damage.</t>
        </is>
      </c>
      <c r="B164" s="4" t="n">
        <v>90</v>
      </c>
      <c r="C164" t="inlineStr">
        <is>
          <t>VB</t>
        </is>
      </c>
      <c r="D164" t="inlineStr">
        <is>
          <t>41068 Mönchengladbach</t>
        </is>
      </c>
      <c r="E164" s="5" t="n">
        <v>45550</v>
      </c>
      <c r="F164" t="inlineStr">
        <is>
          <t>Sold</t>
        </is>
      </c>
      <c r="G164" s="6">
        <f>HYPERLINK("https://www.dailydose.de/kleinanzeigen/detail.htm?ai=422645&amp;cf=kk&amp;pg=5&amp;ci=5", "Link")</f>
        <v/>
      </c>
      <c r="H164" s="6">
        <f>HYPERLINK("C:\Projects\Kleinanzeigen-Scraper\offer_images\422645", "Link")</f>
        <v/>
      </c>
      <c r="I164" t="inlineStr">
        <is>
          <t>Lutz_122</t>
        </is>
      </c>
      <c r="J164" s="6">
        <f>HYPERLINK("https://www.dailydose.de/kleinanzeigen/user/14675", "Link")</f>
        <v/>
      </c>
      <c r="K164" s="7" t="n">
        <v>45551.41332175926</v>
      </c>
      <c r="L164" s="3" t="inlineStr">
        <is>
          <t>48.63</t>
        </is>
      </c>
      <c r="M164" t="inlineStr">
        <is>
          <t>Köln</t>
        </is>
      </c>
    </row>
    <row r="165">
      <c r="A165" t="inlineStr">
        <is>
          <t>Includes Gunsail Beat 6.3 m² sail, Severne Red 4.30 m mast (100% Carbon), and Gun Select Carbon boom (1.60 - 2.20 m), all in good used condition.</t>
        </is>
      </c>
      <c r="B165" s="4" t="n">
        <v>595</v>
      </c>
      <c r="C165" t="inlineStr"/>
      <c r="D165" t="inlineStr">
        <is>
          <t>23775 Großenbrode</t>
        </is>
      </c>
      <c r="E165" s="5" t="n">
        <v>45550</v>
      </c>
      <c r="F165" t="inlineStr">
        <is>
          <t>Sold</t>
        </is>
      </c>
      <c r="G165" s="6">
        <f>HYPERLINK("https://www.dailydose.de/kleinanzeigen/detail.htm?ai=422630&amp;cf=kk&amp;pg=3&amp;ci=5", "Link")</f>
        <v/>
      </c>
      <c r="H165" s="6">
        <f>HYPERLINK("C:\Projects\Kleinanzeigen-Scraper\offer_images\422630", "Link")</f>
        <v/>
      </c>
      <c r="I165" t="inlineStr">
        <is>
          <t>Holger_156</t>
        </is>
      </c>
      <c r="J165" s="6">
        <f>HYPERLINK("https://www.dailydose.de/kleinanzeigen/user/10571", "Link")</f>
        <v/>
      </c>
      <c r="K165" s="7" t="n">
        <v>45551.41222222222</v>
      </c>
      <c r="L165" s="3" t="inlineStr">
        <is>
          <t>471.97</t>
        </is>
      </c>
      <c r="M165" t="inlineStr">
        <is>
          <t>Köln</t>
        </is>
      </c>
    </row>
    <row r="166">
      <c r="A166" t="inlineStr">
        <is>
          <t>Sail Set including sizes 3.3, 3.7, 4.2, and 4.7 from GA Manic-HD 2024, used for 2 months.</t>
        </is>
      </c>
      <c r="B166" s="4" t="n">
        <v>1360</v>
      </c>
      <c r="C166" t="inlineStr"/>
      <c r="D166" t="inlineStr">
        <is>
          <t>24539 Neumünster</t>
        </is>
      </c>
      <c r="E166" s="5" t="n">
        <v>45550</v>
      </c>
      <c r="F166" t="inlineStr">
        <is>
          <t>Sold</t>
        </is>
      </c>
      <c r="G166" s="6">
        <f>HYPERLINK("https://www.dailydose.de/kleinanzeigen/detail.htm?ai=422674&amp;cf=kk&amp;pg=5&amp;ci=5", "Link")</f>
        <v/>
      </c>
      <c r="H166" s="6">
        <f>HYPERLINK("C:\Projects\Kleinanzeigen-Scraper\offer_images\422674", "Link")</f>
        <v/>
      </c>
      <c r="I166" t="inlineStr">
        <is>
          <t>Lars Bubelach</t>
        </is>
      </c>
      <c r="J166" s="6">
        <f>HYPERLINK("https://www.dailydose.de/kleinanzeigen/user/14076", "Link")</f>
        <v/>
      </c>
      <c r="K166" s="7" t="n">
        <v>45551.41184027777</v>
      </c>
      <c r="L166" s="3" t="inlineStr">
        <is>
          <t>402.09</t>
        </is>
      </c>
      <c r="M166" t="inlineStr">
        <is>
          <t>Köln</t>
        </is>
      </c>
    </row>
    <row r="167">
      <c r="A167" t="inlineStr">
        <is>
          <t>Severne Mach 6 sails in sizes 6.5 m² and 7.5 m², both in very good condition with normal signs of use.</t>
        </is>
      </c>
      <c r="B167" s="4" t="n">
        <v>1.1</v>
      </c>
      <c r="C167" t="inlineStr"/>
      <c r="D167" t="inlineStr">
        <is>
          <t>48477 Nordrhein-Westfalen - Hörstel</t>
        </is>
      </c>
      <c r="E167" s="5" t="n">
        <v>45549</v>
      </c>
      <c r="F167" t="inlineStr"/>
      <c r="G167" s="6">
        <f>HYPERLINK("https://www.kleinanzeigen.de/s-anzeige/severne-mach-6-in-6-5-m2-u-7-5-m2/2863514925-230-1253", "Link")</f>
        <v/>
      </c>
      <c r="H167" s="6">
        <f>HYPERLINK("C:\Projects\Kleinanzeigen-Scraper\offer_images\2863514925", "Link")</f>
        <v/>
      </c>
      <c r="I167" t="inlineStr">
        <is>
          <t>Rhode</t>
        </is>
      </c>
      <c r="J167" s="6">
        <f>HYPERLINK("https://www.kleinanzeigen.de/s-bestandsliste.html?userId=11671928", "Link")</f>
        <v/>
      </c>
      <c r="K167" s="7" t="n">
        <v>45551.41162037037</v>
      </c>
      <c r="L167" s="3" t="inlineStr">
        <is>
          <t>157.42</t>
        </is>
      </c>
      <c r="M167" t="inlineStr">
        <is>
          <t>Köln</t>
        </is>
      </c>
    </row>
    <row r="168">
      <c r="A168" t="inlineStr">
        <is>
          <t>Complete Windsurf Foil Set including Starboard i-Sonic 83 board, NeilPryde V8 and Severne NCX sails, NeilPryde and Severne masts, Severne Enigma Carbon boom, various fins, and Starboard Wind Foil SuperCruiser Carbon foil set.</t>
        </is>
      </c>
      <c r="B168" s="4" t="n">
        <v>3.8</v>
      </c>
      <c r="C168" t="inlineStr">
        <is>
          <t>VB</t>
        </is>
      </c>
      <c r="D168" t="inlineStr">
        <is>
          <t>86911 Bayern - Dießen</t>
        </is>
      </c>
      <c r="E168" s="5" t="n">
        <v>45495</v>
      </c>
      <c r="F168" t="inlineStr">
        <is>
          <t>Sold</t>
        </is>
      </c>
      <c r="G168" s="6">
        <f>HYPERLINK("https://www.kleinanzeigen.de/s-anzeige/starboard-i-sonic-83-2020-windsurf-foil-leichtwind-speed-komplett/2818131275-230-5566", "Link")</f>
        <v/>
      </c>
      <c r="H168" s="6">
        <f>HYPERLINK("C:\Projects\Kleinanzeigen-Scraper\offer_images\2818131275", "Link")</f>
        <v/>
      </c>
      <c r="I168" t="inlineStr">
        <is>
          <t>Jörn Steffen</t>
        </is>
      </c>
      <c r="J168" s="6">
        <f>HYPERLINK("https://www.kleinanzeigen.de/s-bestandsliste.html?userId=47941368", "Link")</f>
        <v/>
      </c>
      <c r="K168" s="7" t="n">
        <v>45551.41141203704</v>
      </c>
      <c r="L168" s="3" t="inlineStr">
        <is>
          <t>41.04</t>
        </is>
      </c>
      <c r="M168" t="inlineStr">
        <is>
          <t>München</t>
        </is>
      </c>
    </row>
    <row r="169">
      <c r="A169" t="inlineStr">
        <is>
          <t>Duotone Foil SLS Carve 950 set including 90cm Carbon SLS Mast, Front Wing, Back Wing, and Fuselage. Board is optional.</t>
        </is>
      </c>
      <c r="B169" s="4" t="n">
        <v>1.02</v>
      </c>
      <c r="C169" t="inlineStr">
        <is>
          <t>VB</t>
        </is>
      </c>
      <c r="D169" t="inlineStr">
        <is>
          <t>82438 Bayern - Eschenlohe</t>
        </is>
      </c>
      <c r="E169" s="5" t="n">
        <v>45549</v>
      </c>
      <c r="F169" t="inlineStr">
        <is>
          <t>Sold</t>
        </is>
      </c>
      <c r="G169" s="6">
        <f>HYPERLINK("https://www.kleinanzeigen.de/s-anzeige/duotone-foil-sls-carve-950-alles-carbon-/2863409975-230-5608", "Link")</f>
        <v/>
      </c>
      <c r="H169" s="6">
        <f>HYPERLINK("C:\Projects\Kleinanzeigen-Scraper\offer_images\2863409975", "Link")</f>
        <v/>
      </c>
      <c r="I169" t="inlineStr">
        <is>
          <t>Patrik</t>
        </is>
      </c>
      <c r="J169" s="6">
        <f>HYPERLINK("https://www.kleinanzeigen.de/s-bestandsliste.html?userId=13872384", "Link")</f>
        <v/>
      </c>
      <c r="K169" s="7" t="n">
        <v>45551.41137731481</v>
      </c>
      <c r="L169" s="3" t="inlineStr">
        <is>
          <t>66.48</t>
        </is>
      </c>
      <c r="M169" t="inlineStr">
        <is>
          <t>München</t>
        </is>
      </c>
    </row>
    <row r="170">
      <c r="A170" t="inlineStr">
        <is>
          <t>Fanatic Viper Air Board (335.3 cm long, 85.1 cm wide, 15 cm thick, 355 l volume) with Fanatic Ride SUP Rig Sail (5.5 m²) and Carbon Paddle.</t>
        </is>
      </c>
      <c r="B170" s="4" t="n">
        <v>890</v>
      </c>
      <c r="C170" t="inlineStr">
        <is>
          <t>VB</t>
        </is>
      </c>
      <c r="D170" t="inlineStr">
        <is>
          <t>08468 Sachsen - Reichenbach (Vogtland)</t>
        </is>
      </c>
      <c r="E170" s="5" t="n">
        <v>45549</v>
      </c>
      <c r="F170" t="inlineStr">
        <is>
          <t>Sold</t>
        </is>
      </c>
      <c r="G170" s="6">
        <f>HYPERLINK("https://www.kleinanzeigen.de/s-anzeige/fanatic-viper-air-mit-windsurfsegel/2863157989-230-4170", "Link")</f>
        <v/>
      </c>
      <c r="H170" s="6">
        <f>HYPERLINK("C:\Projects\Kleinanzeigen-Scraper\offer_images\2863157989", "Link")</f>
        <v/>
      </c>
      <c r="I170" t="inlineStr">
        <is>
          <t>Schneider</t>
        </is>
      </c>
      <c r="J170" s="6">
        <f>HYPERLINK("https://www.kleinanzeigen.de/s-bestandsliste.html?userId=85999912", "Link")</f>
        <v/>
      </c>
      <c r="K170" s="7" t="n">
        <v>45551.41104166667</v>
      </c>
      <c r="L170" s="3" t="inlineStr">
        <is>
          <t>281.49</t>
        </is>
      </c>
      <c r="M170" t="inlineStr">
        <is>
          <t>München</t>
        </is>
      </c>
    </row>
    <row r="171">
      <c r="A171" t="inlineStr">
        <is>
          <t>Foil Set consisting of Frontwing Aero Free 1000 and Backwing 216, including protective covers.</t>
        </is>
      </c>
      <c r="B171" s="4" t="n">
        <v>400</v>
      </c>
      <c r="C171" t="inlineStr"/>
      <c r="D171" t="inlineStr">
        <is>
          <t>82229 Bayern - Seefeld</t>
        </is>
      </c>
      <c r="E171" s="5" t="n">
        <v>45550</v>
      </c>
      <c r="F171" t="inlineStr">
        <is>
          <t>Sold</t>
        </is>
      </c>
      <c r="G171" s="6">
        <f>HYPERLINK("https://www.kleinanzeigen.de/s-anzeige/duotone-fanatic-foil-aero-free-1000-216-set/2863842832-230-5519", "Link")</f>
        <v/>
      </c>
      <c r="H171" s="6">
        <f>HYPERLINK("C:\Projects\Kleinanzeigen-Scraper\offer_images\2863842832", "Link")</f>
        <v/>
      </c>
      <c r="I171" t="inlineStr">
        <is>
          <t>Gampe</t>
        </is>
      </c>
      <c r="J171" s="6">
        <f>HYPERLINK("https://www.kleinanzeigen.de/s-bestandsliste.html?userId=28566085", "Link")</f>
        <v/>
      </c>
      <c r="K171" s="7" t="n">
        <v>45551.40962962963</v>
      </c>
      <c r="L171" s="3" t="inlineStr">
        <is>
          <t>27.49</t>
        </is>
      </c>
      <c r="M171" t="inlineStr">
        <is>
          <t>München</t>
        </is>
      </c>
    </row>
    <row r="172">
      <c r="A172" t="inlineStr">
        <is>
          <t>Windsurf set including sails (Gun Sails Future 4.7, Neilpryde Supernova 5.5, North Duke 5.9, Gun Sails Stream 6.4), masts (Techno Limits 430 RDM, Gun Sails Expert 430 RDM, Gun Sails Cross 400 RDM), booms (Neilpryde X3 140-190, Neilpryde X3 160-210), mast feet, and extensions.</t>
        </is>
      </c>
      <c r="B172" s="4" t="n">
        <v>650</v>
      </c>
      <c r="C172" t="inlineStr">
        <is>
          <t>VB</t>
        </is>
      </c>
      <c r="D172" t="inlineStr">
        <is>
          <t>24119 Kiel - Kronshagen</t>
        </is>
      </c>
      <c r="E172" s="5" t="n">
        <v>45549</v>
      </c>
      <c r="F172" t="inlineStr">
        <is>
          <t>Sold</t>
        </is>
      </c>
      <c r="G172" s="6">
        <f>HYPERLINK("https://www.kleinanzeigen.de/s-anzeige/windsurf-set-segel-4-7-5-5-5-9-6-4-masten-gabelbaeume/2863343125-230-705", "Link")</f>
        <v/>
      </c>
      <c r="H172" s="6">
        <f>HYPERLINK("C:\Projects\Kleinanzeigen-Scraper\offer_images\2863343125", "Link")</f>
        <v/>
      </c>
      <c r="I172" t="inlineStr">
        <is>
          <t>Denis</t>
        </is>
      </c>
      <c r="J172" s="6">
        <f>HYPERLINK("https://www.kleinanzeigen.de/s-bestandsliste.html?userId=14237400", "Link")</f>
        <v/>
      </c>
      <c r="K172" s="7" t="n">
        <v>45551.40885416666</v>
      </c>
      <c r="L172" s="3" t="inlineStr">
        <is>
          <t>432.46</t>
        </is>
      </c>
      <c r="M172" t="inlineStr">
        <is>
          <t>Köln</t>
        </is>
      </c>
    </row>
    <row r="173">
      <c r="A173" t="inlineStr">
        <is>
          <t>Complete windsurfing equipment including 1 board (Lorch Hunter 140L, full carbon), 6 sails (9.5m², 7.8m², 6.5m², 5.6m² (defective but repairable), 5.3m², 5.0m²), 5 masts, 1 mast foot, 1 fin, 4 foot straps, 5 booms, 1 ION trapeze (like new), bag, and various accessories.</t>
        </is>
      </c>
      <c r="B173" s="4" t="n">
        <v>1.2</v>
      </c>
      <c r="C173" t="inlineStr">
        <is>
          <t>VB</t>
        </is>
      </c>
      <c r="D173" t="inlineStr">
        <is>
          <t>14480 Brandenburg - Potsdam</t>
        </is>
      </c>
      <c r="E173" s="5" t="n">
        <v>45549</v>
      </c>
      <c r="F173" t="inlineStr">
        <is>
          <t>Sold</t>
        </is>
      </c>
      <c r="G173" s="6">
        <f>HYPERLINK("https://www.kleinanzeigen.de/s-anzeige/windsurf-komplett-set/2863275240-230-7965", "Link")</f>
        <v/>
      </c>
      <c r="H173" s="6">
        <f>HYPERLINK("C:\Projects\Kleinanzeigen-Scraper\offer_images\2863275240", "Link")</f>
        <v/>
      </c>
      <c r="I173" t="inlineStr">
        <is>
          <t>Sascha</t>
        </is>
      </c>
      <c r="J173" s="6">
        <f>HYPERLINK("https://www.kleinanzeigen.de/s-bestandsliste.html?userId=53265988", "Link")</f>
        <v/>
      </c>
      <c r="K173" s="7" t="n">
        <v>45551.40857638889</v>
      </c>
      <c r="L173" s="3" t="inlineStr">
        <is>
          <t>454.59</t>
        </is>
      </c>
      <c r="M173" t="inlineStr">
        <is>
          <t>Köln</t>
        </is>
      </c>
    </row>
    <row r="174">
      <c r="A174" t="inlineStr">
        <is>
          <t>Complete windsurfing equipment including boards (F2 Powerglide 130, Fanatic Skate 61cm), sails (Neil Pryde Supernova 7.0, Gun Sails Torro 6.6, Neil Pryde Soul 5.8, Gasstra Manic 5.4, Gun Sails Transwave 4.5), mast foot, mast extension, and boom (165-215). All items are in usable condition.</t>
        </is>
      </c>
      <c r="B174" s="4" t="n">
        <v>460</v>
      </c>
      <c r="C174" t="inlineStr">
        <is>
          <t>VB</t>
        </is>
      </c>
      <c r="D174" t="inlineStr">
        <is>
          <t>24837 Schleswig-Holstein - Schleswig</t>
        </is>
      </c>
      <c r="E174" s="5" t="n">
        <v>45550</v>
      </c>
      <c r="F174" t="inlineStr">
        <is>
          <t>Sold</t>
        </is>
      </c>
      <c r="G174" s="6">
        <f>HYPERLINK("https://www.kleinanzeigen.de/s-anzeige/windsurf-stuff-komplett/2864567233-230-558", "Link")</f>
        <v/>
      </c>
      <c r="H174" s="6">
        <f>HYPERLINK("C:\Projects\Kleinanzeigen-Scraper\offer_images\2864567233", "Link")</f>
        <v/>
      </c>
      <c r="I174" t="inlineStr">
        <is>
          <t>Burkhard Voß</t>
        </is>
      </c>
      <c r="J174" s="6">
        <f>HYPERLINK("https://www.kleinanzeigen.de/s-bestandsliste.html?userId=14102632", "Link")</f>
        <v/>
      </c>
      <c r="K174" s="7" t="n">
        <v>45551.4080787037</v>
      </c>
      <c r="L174" s="3" t="inlineStr">
        <is>
          <t>435.51</t>
        </is>
      </c>
      <c r="M174" t="inlineStr">
        <is>
          <t>Köln</t>
        </is>
      </c>
    </row>
    <row r="175">
      <c r="A175" t="inlineStr">
        <is>
          <t>North Foil Speedster Combo 2018 Foil Set including Free Foil Board, 2 Masts (90 cm and 70 cm), and various accessories.</t>
        </is>
      </c>
      <c r="B175" s="4" t="n">
        <v>345</v>
      </c>
      <c r="C175" t="inlineStr"/>
      <c r="D175" t="inlineStr">
        <is>
          <t>85635 Kr. München - Höhenkirchen-Siegertsbrunn</t>
        </is>
      </c>
      <c r="E175" s="5" t="n">
        <v>45550</v>
      </c>
      <c r="F175" t="inlineStr">
        <is>
          <t>Sold</t>
        </is>
      </c>
      <c r="G175" s="6">
        <f>HYPERLINK("https://www.kleinanzeigen.de/s-anzeige/north-foil-speedster-combo-foil-set-vollaustattung/2864169123-242-5513", "Link")</f>
        <v/>
      </c>
      <c r="H175" s="6">
        <f>HYPERLINK("C:\Projects\Kleinanzeigen-Scraper\offer_images\2864169123", "Link")</f>
        <v/>
      </c>
      <c r="I175" t="inlineStr">
        <is>
          <t>Paul</t>
        </is>
      </c>
      <c r="J175" s="6">
        <f>HYPERLINK("https://www.kleinanzeigen.de/s-bestandsliste.html?userId=29735350", "Link")</f>
        <v/>
      </c>
      <c r="K175" s="7" t="n">
        <v>45551.40792824074</v>
      </c>
      <c r="L175" s="3" t="inlineStr">
        <is>
          <t>18.14</t>
        </is>
      </c>
      <c r="M175" t="inlineStr">
        <is>
          <t>München</t>
        </is>
      </c>
    </row>
    <row r="176">
      <c r="A176" t="inlineStr">
        <is>
          <t>Includes a small board with bag, matching boom, mast, and a 4.1 Core sail from NP, along with additional sails, large boom, and mast extensions.</t>
        </is>
      </c>
      <c r="B176" s="4" t="n">
        <v>850</v>
      </c>
      <c r="C176" t="inlineStr">
        <is>
          <t>VB</t>
        </is>
      </c>
      <c r="D176" t="inlineStr">
        <is>
          <t>22143 Wandsbek - Hamburg Rahlstedt</t>
        </is>
      </c>
      <c r="E176" s="5" t="n">
        <v>45478</v>
      </c>
      <c r="F176" t="inlineStr">
        <is>
          <t>Sold</t>
        </is>
      </c>
      <c r="G176" s="6">
        <f>HYPERLINK("https://www.kleinanzeigen.de/s-anzeige/windsurfmaterial-sets-auf-anfrage-starboard-jp-np/2804605904-230-9455", "Link")</f>
        <v/>
      </c>
      <c r="H176" s="6">
        <f>HYPERLINK("C:\Projects\Kleinanzeigen-Scraper\offer_images\2804605904", "Link")</f>
        <v/>
      </c>
      <c r="I176" t="inlineStr">
        <is>
          <t>Anya</t>
        </is>
      </c>
      <c r="J176" s="6">
        <f>HYPERLINK("https://www.kleinanzeigen.de/s-bestandsliste.html?userId=5274841", "Link")</f>
        <v/>
      </c>
      <c r="K176" s="7" t="n">
        <v>45551.40767361111</v>
      </c>
      <c r="L176" s="3" t="inlineStr">
        <is>
          <t>368.45</t>
        </is>
      </c>
      <c r="M176" t="inlineStr">
        <is>
          <t>Köln</t>
        </is>
      </c>
    </row>
    <row r="177">
      <c r="A177" t="inlineStr">
        <is>
          <t>Includes STX WS250 and WS280 windsurf boards along with various rigs and accessories for windsurfing.</t>
        </is>
      </c>
      <c r="B177" s="4" t="n">
        <v>699</v>
      </c>
      <c r="C177" t="inlineStr">
        <is>
          <t>VB</t>
        </is>
      </c>
      <c r="D177" t="inlineStr">
        <is>
          <t>18586 Mecklenburg-Vorpommern - Mönchgut, Ostseebad</t>
        </is>
      </c>
      <c r="E177" s="5" t="n">
        <v>45550</v>
      </c>
      <c r="F177" t="inlineStr">
        <is>
          <t>Sold</t>
        </is>
      </c>
      <c r="G177" s="6">
        <f>HYPERLINK("https://www.kleinanzeigen.de/s-anzeige/stx-ws250-ws280-2024-windsurf-board-und-riggs/1479430292-230-120", "Link")</f>
        <v/>
      </c>
      <c r="H177" s="6">
        <f>HYPERLINK("C:\Projects\Kleinanzeigen-Scraper\offer_images\1479430292", "Link")</f>
        <v/>
      </c>
      <c r="I177" t="inlineStr">
        <is>
          <t>No user name</t>
        </is>
      </c>
      <c r="J177" s="6">
        <f>HYPERLINK("https://www.kleinanzeigen.deNo user link", "Link")</f>
        <v/>
      </c>
      <c r="K177" s="7" t="n">
        <v>45551.40762731482</v>
      </c>
      <c r="L177" s="3" t="inlineStr">
        <is>
          <t>591.22</t>
        </is>
      </c>
      <c r="M177" t="inlineStr">
        <is>
          <t>Köln</t>
        </is>
      </c>
    </row>
    <row r="178">
      <c r="A178" t="inlineStr">
        <is>
          <t>Complete windsurfing equipment including Fanatic Shark 125 board, Neilpryde Solo 6.0 sail, carbon mast, Neilpryde FreeRide boom (165-215 cm), fins, mast foot, board bag, and additional accessories.</t>
        </is>
      </c>
      <c r="B178" s="4" t="n">
        <v>750</v>
      </c>
      <c r="C178" t="inlineStr"/>
      <c r="D178" t="inlineStr">
        <is>
          <t>12527 Berlin - Köpenick</t>
        </is>
      </c>
      <c r="E178" s="5" t="n">
        <v>45550</v>
      </c>
      <c r="F178" t="inlineStr">
        <is>
          <t>Sold</t>
        </is>
      </c>
      <c r="G178" s="6">
        <f>HYPERLINK("https://www.kleinanzeigen.de/s-anzeige/surfausruestung-fanatic-shark-125-6-0-neilpryde-freeride/2863768924-230-3370", "Link")</f>
        <v/>
      </c>
      <c r="H178" s="6">
        <f>HYPERLINK("C:\Projects\Kleinanzeigen-Scraper\offer_images\2863768924", "Link")</f>
        <v/>
      </c>
      <c r="I178" t="inlineStr">
        <is>
          <t>stg</t>
        </is>
      </c>
      <c r="J178" s="6">
        <f>HYPERLINK("https://www.kleinanzeigen.de/s-bestandsliste.html?userId=8377", "Link")</f>
        <v/>
      </c>
      <c r="K178" s="7" t="n">
        <v>45551.40759259259</v>
      </c>
      <c r="L178" s="3" t="inlineStr">
        <is>
          <t>487.71</t>
        </is>
      </c>
      <c r="M178" t="inlineStr">
        <is>
          <t>Köln</t>
        </is>
      </c>
    </row>
    <row r="179">
      <c r="A179" t="inlineStr">
        <is>
          <t>Windsurf sails available: 3.0 Schulsegel (light wear), 3.7 Crossover (like new), 4.5 Nealpride (used, taped), 4.5 Gaastra Grind (light wear), 5.4 Gaastra Grind (light wear), 5.5 Gaastra Wave Pro (used, taped), 6.0 Gaastra Pulse (light wear), 6.7 GUN Sails freeride groove (light wear).</t>
        </is>
      </c>
      <c r="B179" s="4" t="inlineStr"/>
      <c r="C179" t="inlineStr">
        <is>
          <t>VB</t>
        </is>
      </c>
      <c r="D179" t="inlineStr">
        <is>
          <t>22415 Hamburg-Nord - Hamburg Langenhorn</t>
        </is>
      </c>
      <c r="E179" s="5" t="n">
        <v>45550</v>
      </c>
      <c r="F179" t="inlineStr">
        <is>
          <t>Sold</t>
        </is>
      </c>
      <c r="G179" s="6">
        <f>HYPERLINK("https://www.kleinanzeigen.de/s-anzeige/windsurfen-segel/2864013401-230-9488", "Link")</f>
        <v/>
      </c>
      <c r="H179" s="6">
        <f>HYPERLINK("C:\Projects\Kleinanzeigen-Scraper\offer_images\2864013401", "Link")</f>
        <v/>
      </c>
      <c r="I179" t="inlineStr">
        <is>
          <t>Frederic Biesinger</t>
        </is>
      </c>
      <c r="J179" s="6">
        <f>HYPERLINK("https://www.kleinanzeigen.de/s-bestandsliste.html?userId=17709235", "Link")</f>
        <v/>
      </c>
      <c r="K179" s="7" t="n">
        <v>45551.4075</v>
      </c>
      <c r="L179" s="3" t="inlineStr">
        <is>
          <t>366.01</t>
        </is>
      </c>
      <c r="M179" t="inlineStr">
        <is>
          <t>Köln</t>
        </is>
      </c>
    </row>
    <row r="180">
      <c r="A180" t="inlineStr">
        <is>
          <t>Includes Gunsail Beat 6.3 sail, Severne Red 4.30m mast (100% Carbon), and Gun Select Carbon boom (1.60 - 2.20m), all in good used condition.</t>
        </is>
      </c>
      <c r="B180" s="4" t="n">
        <v>550</v>
      </c>
      <c r="C180" t="inlineStr"/>
      <c r="D180" t="inlineStr">
        <is>
          <t>23775 Kreis Ostholstein - Großenbrode</t>
        </is>
      </c>
      <c r="E180" s="5" t="n">
        <v>45550</v>
      </c>
      <c r="F180" t="inlineStr">
        <is>
          <t>Sold</t>
        </is>
      </c>
      <c r="G180" s="6">
        <f>HYPERLINK("https://www.kleinanzeigen.de/s-anzeige/segel-6-3-mast-severne-red-4-30-carbon-gabel-/2864522703-230-429", "Link")</f>
        <v/>
      </c>
      <c r="H180" s="6">
        <f>HYPERLINK("C:\Projects\Kleinanzeigen-Scraper\offer_images\2864522703", "Link")</f>
        <v/>
      </c>
      <c r="I180" t="inlineStr">
        <is>
          <t>heiligenhafen</t>
        </is>
      </c>
      <c r="J180" s="6">
        <f>HYPERLINK("https://www.kleinanzeigen.de/s-bestandsliste.html?userId=21083285", "Link")</f>
        <v/>
      </c>
      <c r="K180" s="7" t="n">
        <v>45551.40734953704</v>
      </c>
      <c r="L180" s="3" t="inlineStr">
        <is>
          <t>471.97</t>
        </is>
      </c>
      <c r="M180" t="inlineStr">
        <is>
          <t>Köln</t>
        </is>
      </c>
    </row>
    <row r="181">
      <c r="A181" t="inlineStr">
        <is>
          <t>Complete windsurfing equipment set including Fanatic board (approx. 2.5m), Dakine harness, 3 sails (sizes 3.5 to 5.5), mast, and boom. Suitable for beginners.</t>
        </is>
      </c>
      <c r="B181" s="4" t="n">
        <v>450</v>
      </c>
      <c r="C181" t="inlineStr">
        <is>
          <t>VB</t>
        </is>
      </c>
      <c r="D181" t="inlineStr">
        <is>
          <t>71131 Baden-Württemberg - Jettingen</t>
        </is>
      </c>
      <c r="E181" s="5" t="n">
        <v>45550</v>
      </c>
      <c r="F181" t="inlineStr">
        <is>
          <t>Sold</t>
        </is>
      </c>
      <c r="G181" s="6">
        <f>HYPERLINK("https://www.kleinanzeigen.de/s-anzeige/windsurf-komplettset/2864699479-230-8229", "Link")</f>
        <v/>
      </c>
      <c r="H181" s="6">
        <f>HYPERLINK("C:\Projects\Kleinanzeigen-Scraper\offer_images\2864699479", "Link")</f>
        <v/>
      </c>
      <c r="I181" t="inlineStr">
        <is>
          <t>Jonas Leibinger</t>
        </is>
      </c>
      <c r="J181" s="6">
        <f>HYPERLINK("https://www.kleinanzeigen.de/s-bestandsliste.html?userId=50423467", "Link")</f>
        <v/>
      </c>
      <c r="K181" s="7" t="n">
        <v>45551.40717592592</v>
      </c>
      <c r="L181" s="3" t="inlineStr">
        <is>
          <t>18.83</t>
        </is>
      </c>
      <c r="M181" t="inlineStr">
        <is>
          <t>Böblingen</t>
        </is>
      </c>
    </row>
    <row r="182">
      <c r="A182" t="inlineStr">
        <is>
          <t>Complete Freeride windsurfing equipment including Starboard KodeTufskin Freeride Board (247 x 74.5 cm, 137 liters), Neil Pryde The Fly sail (5.4 m²), adjustable boom (140-190 cm), Unifiber RDM C60 mast (400 cm), foot straps, mast foot, board bag, and additional accessories.</t>
        </is>
      </c>
      <c r="B182" s="4" t="n">
        <v>900</v>
      </c>
      <c r="C182" t="inlineStr"/>
      <c r="D182" t="inlineStr">
        <is>
          <t>82229 Bayern - Seefeld</t>
        </is>
      </c>
      <c r="E182" s="5" t="n">
        <v>44725</v>
      </c>
      <c r="F182" t="inlineStr"/>
      <c r="G182" s="6">
        <f>HYPERLINK("https://www.kleinanzeigen.de/s-anzeige/freeride-surfausruestung-starboard-neil-pryde/2131711643-230-5519", "Link")</f>
        <v/>
      </c>
      <c r="H182" s="6">
        <f>HYPERLINK("C:\Projects\Kleinanzeigen-Scraper\offer_images\2131711643", "Link")</f>
        <v/>
      </c>
      <c r="I182" t="inlineStr">
        <is>
          <t>Michael Egger</t>
        </is>
      </c>
      <c r="J182" s="6">
        <f>HYPERLINK("https://www.kleinanzeigen.de/s-bestandsliste.html?userId=67236519", "Link")</f>
        <v/>
      </c>
      <c r="K182" s="7" t="n">
        <v>45551.40673611111</v>
      </c>
      <c r="L182" s="3" t="inlineStr">
        <is>
          <t>27.49</t>
        </is>
      </c>
      <c r="M182" t="inlineStr">
        <is>
          <t>München</t>
        </is>
      </c>
    </row>
    <row r="183">
      <c r="A183" t="inlineStr">
        <is>
          <t>1x Rebel SLS - Blau - 12qm, 1x Rebel SLS - Weiß/Neon - 9qm, 1x Rebel SLS - Blau - 7qm, 2024 Quad Control Bar</t>
        </is>
      </c>
      <c r="B183" s="4" t="n">
        <v>1.29</v>
      </c>
      <c r="C183" t="inlineStr">
        <is>
          <t>VB</t>
        </is>
      </c>
      <c r="D183" t="inlineStr">
        <is>
          <t>10823 Berlin - Schöneberg</t>
        </is>
      </c>
      <c r="E183" s="5" t="n">
        <v>45544</v>
      </c>
      <c r="F183" t="inlineStr">
        <is>
          <t>Sold</t>
        </is>
      </c>
      <c r="G183" s="6">
        <f>HYPERLINK("https://www.kleinanzeigen.de/s-anzeige/duotone-rebel-sls-aus-2024-12-9-7qm-neuwertig/2858729515-230-3448", "Link")</f>
        <v/>
      </c>
      <c r="H183" s="6">
        <f>HYPERLINK("C:\Projects\Kleinanzeigen-Scraper\offer_images\2858729515", "Link")</f>
        <v/>
      </c>
      <c r="I183" t="inlineStr">
        <is>
          <t>Richard</t>
        </is>
      </c>
      <c r="J183" s="6">
        <f>HYPERLINK("https://www.kleinanzeigen.de/s-bestandsliste.html?userId=31164713", "Link")</f>
        <v/>
      </c>
      <c r="K183" s="7" t="n">
        <v>45551.4065162037</v>
      </c>
      <c r="L183" s="3" t="inlineStr">
        <is>
          <t>472.78</t>
        </is>
      </c>
      <c r="M183" t="inlineStr">
        <is>
          <t>Köln</t>
        </is>
      </c>
    </row>
    <row r="184">
      <c r="A184" t="inlineStr">
        <is>
          <t>Windsurf foil set including a 120-liter JP Hydrofoil board with nose protector and a 1700 cm² Starboard Super Cruiser foil.</t>
        </is>
      </c>
      <c r="B184" s="4" t="n">
        <v>890</v>
      </c>
      <c r="C184" t="inlineStr"/>
      <c r="D184" t="inlineStr">
        <is>
          <t>72336 Baden-Württemberg - Balingen</t>
        </is>
      </c>
      <c r="E184" s="5" t="n">
        <v>45499</v>
      </c>
      <c r="F184" t="inlineStr">
        <is>
          <t>Sold</t>
        </is>
      </c>
      <c r="G184" s="6">
        <f>HYPERLINK("https://www.kleinanzeigen.de/s-anzeige/windsurffoilset-jp-hydrofoil-mit-starboard-super-cruiser/2821540954-230-8700", "Link")</f>
        <v/>
      </c>
      <c r="H184" s="6">
        <f>HYPERLINK("C:\Projects\Kleinanzeigen-Scraper\offer_images\2821540954", "Link")</f>
        <v/>
      </c>
      <c r="I184" t="inlineStr">
        <is>
          <t>Peter</t>
        </is>
      </c>
      <c r="J184" s="6">
        <f>HYPERLINK("https://www.kleinanzeigen.de/s-bestandsliste.html?userId=41930834", "Link")</f>
        <v/>
      </c>
      <c r="K184" s="7" t="n">
        <v>45551.4059837963</v>
      </c>
      <c r="L184" s="3" t="inlineStr">
        <is>
          <t>46.31</t>
        </is>
      </c>
      <c r="M184" t="inlineStr">
        <is>
          <t>Böblingen</t>
        </is>
      </c>
    </row>
    <row r="185">
      <c r="A185" t="inlineStr">
        <is>
          <t>Duotone Foil-Komplettset including Duotone Mast AL 75cm, Fuselage AL 70, Duotone Wing Set Carve 950/215, Bag &amp; Original accessories</t>
        </is>
      </c>
      <c r="B185" s="4" t="n">
        <v>850</v>
      </c>
      <c r="C185" t="inlineStr"/>
      <c r="D185" t="inlineStr">
        <is>
          <t>82211 Bayern - Herrsching</t>
        </is>
      </c>
      <c r="E185" s="5" t="n">
        <v>45550</v>
      </c>
      <c r="F185" t="inlineStr">
        <is>
          <t>Sold</t>
        </is>
      </c>
      <c r="G185" s="6">
        <f>HYPERLINK("https://www.kleinanzeigen.de/s-anzeige/duotone-foil-carve-75-komplett-set/2864378547-230-5520", "Link")</f>
        <v/>
      </c>
      <c r="H185" s="6">
        <f>HYPERLINK("C:\Projects\Kleinanzeigen-Scraper\offer_images\2864378547", "Link")</f>
        <v/>
      </c>
      <c r="I185" t="inlineStr">
        <is>
          <t>Marlo Kindl</t>
        </is>
      </c>
      <c r="J185" s="6">
        <f>HYPERLINK("https://www.kleinanzeigen.de/s-bestandsliste.html?userId=14416867", "Link")</f>
        <v/>
      </c>
      <c r="K185" s="7" t="n">
        <v>45551.40590277778</v>
      </c>
      <c r="L185" s="3" t="inlineStr">
        <is>
          <t>32.73</t>
        </is>
      </c>
      <c r="M185" t="inlineStr">
        <is>
          <t>München</t>
        </is>
      </c>
    </row>
    <row r="186">
      <c r="A186" t="inlineStr">
        <is>
          <t>Includes two boards: Fanatic Bee Freeride (94 L, 267x55 cm) and Starboard Carve (121 L, 253x66 cm), along with 5 fins.</t>
        </is>
      </c>
      <c r="B186" s="4" t="n">
        <v>1.2</v>
      </c>
      <c r="C186" t="inlineStr">
        <is>
          <t>VB</t>
        </is>
      </c>
      <c r="D186" t="inlineStr">
        <is>
          <t>32760 Nordrhein-Westfalen - Detmold</t>
        </is>
      </c>
      <c r="E186" s="5" t="n">
        <v>45467</v>
      </c>
      <c r="F186" t="inlineStr"/>
      <c r="G186" s="6">
        <f>HYPERLINK("https://www.kleinanzeigen.de/s-anzeige/surfbretter-von-fanatic-und-starboard/2796139267-230-1795", "Link")</f>
        <v/>
      </c>
      <c r="H186" s="6">
        <f>HYPERLINK("C:\Projects\Kleinanzeigen-Scraper\offer_images\2796139267", "Link")</f>
        <v/>
      </c>
      <c r="I186" t="inlineStr">
        <is>
          <t>Ulli Bröker</t>
        </is>
      </c>
      <c r="J186" s="6">
        <f>HYPERLINK("https://www.kleinanzeigen.de/s-bestandsliste.html?userId=59653168", "Link")</f>
        <v/>
      </c>
      <c r="K186" s="7" t="n">
        <v>45551.40563657408</v>
      </c>
      <c r="L186" s="3" t="inlineStr">
        <is>
          <t>172.40</t>
        </is>
      </c>
      <c r="M186" t="inlineStr">
        <is>
          <t>Köln</t>
        </is>
      </c>
    </row>
    <row r="187">
      <c r="A187" t="inlineStr">
        <is>
          <t>4 sails (4.0m², 3.9m², 4.1m², 5.9m²), 2 variogabeln, 1 variomast (2-part)</t>
        </is>
      </c>
      <c r="B187" s="4" t="inlineStr">
        <is>
          <t>Zu verschenken</t>
        </is>
      </c>
      <c r="C187" t="inlineStr"/>
      <c r="D187" t="inlineStr">
        <is>
          <t>58511 Nordrhein-Westfalen - Lüdenscheid</t>
        </is>
      </c>
      <c r="E187" s="5" t="n">
        <v>45549</v>
      </c>
      <c r="F187" t="inlineStr">
        <is>
          <t>Sold</t>
        </is>
      </c>
      <c r="G187" s="6">
        <f>HYPERLINK("https://www.kleinanzeigen.de/s-anzeige/windsurfen-segel-gabel-mast/2862938129-230-1806", "Link")</f>
        <v/>
      </c>
      <c r="H187" s="6">
        <f>HYPERLINK("C:\Projects\Kleinanzeigen-Scraper\offer_images\2862938129", "Link")</f>
        <v/>
      </c>
      <c r="I187" t="inlineStr">
        <is>
          <t>Gehlhar</t>
        </is>
      </c>
      <c r="J187" s="6">
        <f>HYPERLINK("https://www.kleinanzeigen.de/s-bestandsliste.html?userId=46741167", "Link")</f>
        <v/>
      </c>
      <c r="K187" s="7" t="n">
        <v>45551.40563657408</v>
      </c>
      <c r="L187" s="3" t="inlineStr">
        <is>
          <t>57.67</t>
        </is>
      </c>
      <c r="M187" t="inlineStr">
        <is>
          <t>Köln</t>
        </is>
      </c>
    </row>
    <row r="188">
      <c r="A188" t="inlineStr">
        <is>
          <t>Naish Hover 122 board with bag, Thrust Foil 1220 cm², Back-Wing, 70 cm Mast, Fuselage, and Quick Mount Plate. Includes a 90 cm Mast. Items from the 2019 season, with some repairs on the board.</t>
        </is>
      </c>
      <c r="B188" s="4" t="n">
        <v>525</v>
      </c>
      <c r="C188" t="inlineStr">
        <is>
          <t>VB</t>
        </is>
      </c>
      <c r="D188" t="inlineStr">
        <is>
          <t>21037 Bergedorf - Spadenland</t>
        </is>
      </c>
      <c r="E188" s="5" t="n">
        <v>45506</v>
      </c>
      <c r="F188" t="inlineStr">
        <is>
          <t>Sold</t>
        </is>
      </c>
      <c r="G188" s="6">
        <f>HYPERLINK("https://www.kleinanzeigen.de/s-anzeige/windsurf-foilen-naish-hover-122-und-thrust-foil/2827349109-230-27271", "Link")</f>
        <v/>
      </c>
      <c r="H188" s="6">
        <f>HYPERLINK("C:\Projects\Kleinanzeigen-Scraper\offer_images\2827349109", "Link")</f>
        <v/>
      </c>
      <c r="I188" t="inlineStr">
        <is>
          <t>Karl Ahlers</t>
        </is>
      </c>
      <c r="J188" s="6">
        <f>HYPERLINK("https://www.kleinanzeigen.de/s-bestandsliste.html?userId=17889539", "Link")</f>
        <v/>
      </c>
      <c r="K188" s="7" t="n">
        <v>45550.99847222222</v>
      </c>
      <c r="L188" s="3" t="inlineStr">
        <is>
          <t>354.05</t>
        </is>
      </c>
      <c r="M188" t="inlineStr">
        <is>
          <t>Köln</t>
        </is>
      </c>
    </row>
    <row r="189">
      <c r="A189" t="inlineStr">
        <is>
          <t>Complete rig including sail, 2-piece mast, mast foot, aluminum boom, and bag. Suitable for beginners.</t>
        </is>
      </c>
      <c r="B189" s="4" t="n">
        <v>380</v>
      </c>
      <c r="C189" t="inlineStr">
        <is>
          <t>VB</t>
        </is>
      </c>
      <c r="D189" t="inlineStr">
        <is>
          <t>70794 Baden-Württemberg - Filderstadt</t>
        </is>
      </c>
      <c r="E189" s="5" t="n">
        <v>45548</v>
      </c>
      <c r="F189" t="inlineStr">
        <is>
          <t>Sold</t>
        </is>
      </c>
      <c r="G189" s="6">
        <f>HYPERLINK("https://www.kleinanzeigen.de/s-anzeige/surfrigg-stx-powerkidd-5-0qm-anfaengersegel-windsurfen-segel/2862335595-230-8892", "Link")</f>
        <v/>
      </c>
      <c r="H189" s="6">
        <f>HYPERLINK("C:\Projects\Kleinanzeigen-Scraper\offer_images\2862335595", "Link")</f>
        <v/>
      </c>
      <c r="I189" t="inlineStr">
        <is>
          <t>Hägele</t>
        </is>
      </c>
      <c r="J189" s="6">
        <f>HYPERLINK("https://www.kleinanzeigen.de/s-bestandsliste.html?userId=12584312", "Link")</f>
        <v/>
      </c>
      <c r="K189" s="7" t="n">
        <v>45550.9964699074</v>
      </c>
      <c r="L189" s="3" t="inlineStr">
        <is>
          <t>17.11</t>
        </is>
      </c>
      <c r="M189" t="inlineStr">
        <is>
          <t>Böblingen</t>
        </is>
      </c>
    </row>
    <row r="190">
      <c r="A190" t="inlineStr">
        <is>
          <t>Severne xs-3 sail size 3.6, includes boom, mast, and bag. Requires a mast extension (RDM).</t>
        </is>
      </c>
      <c r="B190" s="4" t="n">
        <v>170</v>
      </c>
      <c r="C190" t="inlineStr">
        <is>
          <t>VB</t>
        </is>
      </c>
      <c r="D190" t="inlineStr">
        <is>
          <t>50321 Nordrhein-Westfalen - Brühl</t>
        </is>
      </c>
      <c r="E190" s="5" t="n">
        <v>45550</v>
      </c>
      <c r="F190" t="inlineStr">
        <is>
          <t>Sold</t>
        </is>
      </c>
      <c r="G190" s="6">
        <f>HYPERLINK("https://www.kleinanzeigen.de/s-anzeige/kindersegel-severne-xs-3-3-6-jugendsegel-kinderrigg/2864210172-230-1158", "Link")</f>
        <v/>
      </c>
      <c r="H190" s="6">
        <f>HYPERLINK("C:\Projects\Kleinanzeigen-Scraper\offer_images\2864210172", "Link")</f>
        <v/>
      </c>
      <c r="I190" t="inlineStr">
        <is>
          <t>Christoph S.</t>
        </is>
      </c>
      <c r="J190" s="6">
        <f>HYPERLINK("https://www.kleinanzeigen.de/s-bestandsliste.html?userId=32311279", "Link")</f>
        <v/>
      </c>
      <c r="K190" s="7" t="n">
        <v>45550.99568287037</v>
      </c>
      <c r="L190" s="3" t="inlineStr">
        <is>
          <t>14.26</t>
        </is>
      </c>
      <c r="M190" t="inlineStr">
        <is>
          <t>Köln</t>
        </is>
      </c>
    </row>
    <row r="191">
      <c r="A191" t="inlineStr">
        <is>
          <t>Windsurf beginner set including a BIC board (120L), a bag, a mast, and two Neil Pryde sails (4.2 and 5.7). The board has been repaired at the nose and is watertight.</t>
        </is>
      </c>
      <c r="B191" s="4" t="n">
        <v>450</v>
      </c>
      <c r="C191" t="inlineStr">
        <is>
          <t>VB</t>
        </is>
      </c>
      <c r="D191" t="inlineStr">
        <is>
          <t>78315 Baden-Württemberg - Radolfzell am Bodensee</t>
        </is>
      </c>
      <c r="E191" s="5" t="n">
        <v>45549</v>
      </c>
      <c r="F191" t="inlineStr">
        <is>
          <t>Sold</t>
        </is>
      </c>
      <c r="G191" s="6">
        <f>HYPERLINK("https://www.kleinanzeigen.de/s-anzeige/windsurf-board-120l-bic-mast-segel-neil-pryde-4-2-5-7/2863631679-230-8190", "Link")</f>
        <v/>
      </c>
      <c r="H191" s="6">
        <f>HYPERLINK("C:\Projects\Kleinanzeigen-Scraper\offer_images\2863631679", "Link")</f>
        <v/>
      </c>
      <c r="I191" t="inlineStr">
        <is>
          <t>Sebastian R.</t>
        </is>
      </c>
      <c r="J191" s="6">
        <f>HYPERLINK("https://www.kleinanzeigen.de/s-bestandsliste.html?userId=36427143", "Link")</f>
        <v/>
      </c>
      <c r="K191" s="7" t="n">
        <v>45550.99546296296</v>
      </c>
      <c r="L191" s="3" t="inlineStr">
        <is>
          <t>48.46</t>
        </is>
      </c>
      <c r="M191" t="inlineStr">
        <is>
          <t>Bonndorf</t>
        </is>
      </c>
    </row>
    <row r="192">
      <c r="A192" t="inlineStr">
        <is>
          <t>Fanatic Viper Air Board (335.3 cm long, 85.1 cm wide, 15 cm thick, 355 l volume) with Fanatic Ride SUP Rig Sail (5.5 m²) and Carbon Paddle.</t>
        </is>
      </c>
      <c r="B192" s="4" t="n">
        <v>890</v>
      </c>
      <c r="C192" t="inlineStr">
        <is>
          <t>VB</t>
        </is>
      </c>
      <c r="D192" t="inlineStr">
        <is>
          <t>08468 Sachsen - Reichenbach (Vogtland)</t>
        </is>
      </c>
      <c r="E192" s="5" t="n">
        <v>45549</v>
      </c>
      <c r="F192" t="inlineStr">
        <is>
          <t>Sold</t>
        </is>
      </c>
      <c r="G192" s="6">
        <f>HYPERLINK("https://www.kleinanzeigen.de/s-anzeige/fanatic-viper-air-mit-windsurfsegel/2863153598-230-4170", "Link")</f>
        <v/>
      </c>
      <c r="H192" s="6">
        <f>HYPERLINK("C:\Projects\Kleinanzeigen-Scraper\offer_images\2863153598", "Link")</f>
        <v/>
      </c>
      <c r="I192" t="inlineStr">
        <is>
          <t>Schneider</t>
        </is>
      </c>
      <c r="J192" s="6">
        <f>HYPERLINK("https://www.kleinanzeigen.de/s-bestandsliste.html?userId=85999912", "Link")</f>
        <v/>
      </c>
      <c r="K192" s="7" t="n">
        <v>45550.99474537037</v>
      </c>
      <c r="L192" s="3" t="inlineStr">
        <is>
          <t>281.49</t>
        </is>
      </c>
      <c r="M192" t="inlineStr">
        <is>
          <t>München</t>
        </is>
      </c>
    </row>
    <row r="193">
      <c r="A193" t="inlineStr">
        <is>
          <t>Complete Freeride windsurfing equipment including Starboard KodeTufskin Freeride Board (247 x 74.5 cm, 137 liters), Neil Pryde The Fly sail (5.4 m²), adjustable boom (140-190 cm), Unifiber RDM C60 mast (400 cm), foot straps, mast base, board bag, and harness size M.</t>
        </is>
      </c>
      <c r="B193" s="4" t="n">
        <v>900</v>
      </c>
      <c r="C193" t="inlineStr"/>
      <c r="D193" t="inlineStr">
        <is>
          <t>82229 Bayern - Seefeld</t>
        </is>
      </c>
      <c r="E193" s="5" t="n">
        <v>45433</v>
      </c>
      <c r="F193" t="inlineStr"/>
      <c r="G193" s="6">
        <f>HYPERLINK("https://www.kleinanzeigen.de/s-anzeige/freeride-surfausruestung-starboard-neil-pryde/2767530674-230-5519", "Link")</f>
        <v/>
      </c>
      <c r="H193" s="6">
        <f>HYPERLINK("C:\Projects\Kleinanzeigen-Scraper\offer_images\2767530674", "Link")</f>
        <v/>
      </c>
      <c r="I193" t="inlineStr">
        <is>
          <t>Michael Egger</t>
        </is>
      </c>
      <c r="J193" s="6">
        <f>HYPERLINK("https://www.kleinanzeigen.de/s-bestandsliste.html?userId=67236519", "Link")</f>
        <v/>
      </c>
      <c r="K193" s="7" t="n">
        <v>45550.99440972223</v>
      </c>
      <c r="L193" s="3" t="inlineStr">
        <is>
          <t>27.49</t>
        </is>
      </c>
      <c r="M193" t="inlineStr">
        <is>
          <t>München</t>
        </is>
      </c>
    </row>
    <row r="194">
      <c r="A194" t="inlineStr">
        <is>
          <t>Point 7 AC1 sails in sizes 5.6, 6.2, and 7.1, in very good condition, sold as a package.</t>
        </is>
      </c>
      <c r="B194" s="4" t="n">
        <v>600</v>
      </c>
      <c r="C194" t="inlineStr"/>
      <c r="D194" t="inlineStr">
        <is>
          <t>10245 Friedrichshain-Kreuzberg - Friedrichshain</t>
        </is>
      </c>
      <c r="E194" s="5" t="n">
        <v>45534</v>
      </c>
      <c r="F194" t="inlineStr"/>
      <c r="G194" s="6">
        <f>HYPERLINK("https://www.kleinanzeigen.de/s-anzeige/windsurfsegel-paket-point-7-ac1-5-6-6-2-7-1/2849730888-230-3352", "Link")</f>
        <v/>
      </c>
      <c r="H194" s="6">
        <f>HYPERLINK("C:\Projects\Kleinanzeigen-Scraper\offer_images\2849730888", "Link")</f>
        <v/>
      </c>
      <c r="I194" t="inlineStr">
        <is>
          <t>Andreas</t>
        </is>
      </c>
      <c r="J194" s="6">
        <f>HYPERLINK("https://www.kleinanzeigen.de/s-bestandsliste.html?userId=69753985", "Link")</f>
        <v/>
      </c>
      <c r="K194" s="7" t="n">
        <v>45550.99318287037</v>
      </c>
      <c r="L194" s="3" t="inlineStr">
        <is>
          <t>480.20</t>
        </is>
      </c>
      <c r="M194" t="inlineStr">
        <is>
          <t>Köln</t>
        </is>
      </c>
    </row>
    <row r="195">
      <c r="A195" t="inlineStr">
        <is>
          <t>Slalom set including Patrick Slalom board (128l, 81 cm wide) with foot straps, board bag, fins (35-45 cm), Gaastra Vapor sails (7.9 and 7.1) with masts (460 cm SDM, 100% new, and 430 cm SDM, 75% new), Unifiber carbon boom (200-250 cm), Neil Pryde SDM aluminum extension (uxt 48), and stainless steel mast foot.</t>
        </is>
      </c>
      <c r="B195" s="4" t="n">
        <v>2200</v>
      </c>
      <c r="C195" t="inlineStr">
        <is>
          <t>VB</t>
        </is>
      </c>
      <c r="D195" t="inlineStr">
        <is>
          <t>04155 Leipzig</t>
        </is>
      </c>
      <c r="E195" s="5" t="n">
        <v>45549</v>
      </c>
      <c r="F195" t="inlineStr">
        <is>
          <t>Sold</t>
        </is>
      </c>
      <c r="G195" s="6">
        <f>HYPERLINK("https://www.dailydose.de/kleinanzeigen/detail.htm?ai=422573&amp;cf=kk&amp;pg=5&amp;ci=11", "Link")</f>
        <v/>
      </c>
      <c r="H195" s="6">
        <f>HYPERLINK("C:\Projects\Kleinanzeigen-Scraper\offer_images\422573", "Link")</f>
        <v/>
      </c>
      <c r="I195" t="inlineStr">
        <is>
          <t>aetzchen</t>
        </is>
      </c>
      <c r="J195" s="6">
        <f>HYPERLINK("https://www.dailydose.de/kleinanzeigen/user/3037", "Link")</f>
        <v/>
      </c>
      <c r="K195" s="7" t="n">
        <v>45549.58377314815</v>
      </c>
      <c r="L195" s="3" t="inlineStr">
        <is>
          <t>362.90</t>
        </is>
      </c>
      <c r="M195" t="inlineStr">
        <is>
          <t>München</t>
        </is>
      </c>
    </row>
    <row r="196">
      <c r="A196" t="inlineStr">
        <is>
          <t>Komplett Rigg-Set bestehend aus RRD Compact Freeride Rig Pack und RRD Compact Freefoil/Windsurf-Segel 6.4 Y25, gekauft in 02/2021.</t>
        </is>
      </c>
      <c r="B196" s="4" t="n">
        <v>790</v>
      </c>
      <c r="C196" t="inlineStr"/>
      <c r="D196" t="inlineStr">
        <is>
          <t>82223 Bayern - Roggenstein</t>
        </is>
      </c>
      <c r="E196" s="5" t="n">
        <v>45450</v>
      </c>
      <c r="F196" t="inlineStr">
        <is>
          <t>Sold</t>
        </is>
      </c>
      <c r="G196" s="6">
        <f>HYPERLINK("https://www.kleinanzeigen.de/s-anzeige/windsurf-komplett-rigg-set-rrd-compact-freeride/2781865351-230-5600", "Link")</f>
        <v/>
      </c>
      <c r="H196" s="6">
        <f>HYPERLINK("C:\Projects\Kleinanzeigen-Scraper\offer_images\2781865351", "Link")</f>
        <v/>
      </c>
      <c r="I196" t="inlineStr">
        <is>
          <t>Martin</t>
        </is>
      </c>
      <c r="J196" s="6">
        <f>HYPERLINK("https://www.kleinanzeigen.de/s-bestandsliste.html?userId=6975156", "Link")</f>
        <v/>
      </c>
      <c r="K196" s="7" t="n">
        <v>45549.58126157407</v>
      </c>
      <c r="L196" s="3" t="inlineStr">
        <is>
          <t>19.02</t>
        </is>
      </c>
      <c r="M196" t="inlineStr">
        <is>
          <t>München</t>
        </is>
      </c>
    </row>
    <row r="197">
      <c r="A197" t="inlineStr">
        <is>
          <t>Includes two sails: 4.0m² (blue) in top condition and 5.2m² (orange) in top condition, both used only once.</t>
        </is>
      </c>
      <c r="B197" s="4" t="n">
        <v>1</v>
      </c>
      <c r="C197" t="inlineStr">
        <is>
          <t>VB</t>
        </is>
      </c>
      <c r="D197" t="inlineStr">
        <is>
          <t>48653 Nordrhein-Westfalen - Coesfeld</t>
        </is>
      </c>
      <c r="E197" s="5" t="n">
        <v>45542</v>
      </c>
      <c r="F197" t="inlineStr">
        <is>
          <t>Sold</t>
        </is>
      </c>
      <c r="G197" s="6">
        <f>HYPERLINK("https://www.kleinanzeigen.de/s-anzeige/sailloft-air-4-0qm-und-5-2qm-top-zustand-windsurfsegel/2856836419-230-1173", "Link")</f>
        <v/>
      </c>
      <c r="H197" s="6">
        <f>HYPERLINK("C:\Projects\Kleinanzeigen-Scraper\offer_images\2856836419", "Link")</f>
        <v/>
      </c>
      <c r="I197" t="inlineStr">
        <is>
          <t>Lisa</t>
        </is>
      </c>
      <c r="J197" s="6">
        <f>HYPERLINK("https://www.kleinanzeigen.de/s-bestandsliste.html?userId=50470108", "Link")</f>
        <v/>
      </c>
      <c r="K197" s="7" t="n">
        <v>45549.58123842593</v>
      </c>
      <c r="L197" s="3" t="inlineStr">
        <is>
          <t>108.96</t>
        </is>
      </c>
      <c r="M197" t="inlineStr">
        <is>
          <t>Köln</t>
        </is>
      </c>
    </row>
    <row r="198">
      <c r="A198" t="inlineStr">
        <is>
          <t>Set includes four Naish Pivot 2020 Kites (6m, 8m, 10m, 12m), Naish Torque 2 Bars (55cm), and a Naish Pump. Kites are in various conditions, with some repairs noted.</t>
        </is>
      </c>
      <c r="B198" s="4" t="n">
        <v>1.5</v>
      </c>
      <c r="C198" t="inlineStr">
        <is>
          <t>VB</t>
        </is>
      </c>
      <c r="D198" t="inlineStr">
        <is>
          <t>20251 Hamburg-Nord - Hamburg Eppendorf</t>
        </is>
      </c>
      <c r="E198" s="5" t="n">
        <v>45510</v>
      </c>
      <c r="F198" t="inlineStr">
        <is>
          <t>Sold</t>
        </is>
      </c>
      <c r="G198" s="6">
        <f>HYPERLINK("https://www.kleinanzeigen.de/s-anzeige/naish-pivot-2020-kites-naish-torque-2-bars-pumpe-komplettset/2830715103-230-9475", "Link")</f>
        <v/>
      </c>
      <c r="H198" s="6">
        <f>HYPERLINK("C:\Projects\Kleinanzeigen-Scraper\offer_images\2830715103", "Link")</f>
        <v/>
      </c>
      <c r="I198" t="inlineStr">
        <is>
          <t>Caspar Volquardsen</t>
        </is>
      </c>
      <c r="J198" s="6">
        <f>HYPERLINK("https://www.kleinanzeigen.de/s-bestandsliste.html?userId=37309988", "Link")</f>
        <v/>
      </c>
      <c r="K198" s="7" t="n">
        <v>45549.58107638889</v>
      </c>
      <c r="L198" s="3" t="inlineStr">
        <is>
          <t>360.06</t>
        </is>
      </c>
      <c r="M198" t="inlineStr">
        <is>
          <t>Köln</t>
        </is>
      </c>
    </row>
    <row r="199">
      <c r="A199" t="inlineStr">
        <is>
          <t>Different Windsurf sails from Duotone in top condition, starting from 250€ each.</t>
        </is>
      </c>
      <c r="B199" s="4" t="n">
        <v>250</v>
      </c>
      <c r="C199" t="inlineStr">
        <is>
          <t>VB</t>
        </is>
      </c>
      <c r="D199" t="inlineStr">
        <is>
          <t>30419 Hannover - Herrenhausen-Stöcken</t>
        </is>
      </c>
      <c r="E199" s="5" t="n">
        <v>45547</v>
      </c>
      <c r="F199" t="inlineStr">
        <is>
          <t>Sold</t>
        </is>
      </c>
      <c r="G199" s="6">
        <f>HYPERLINK("https://www.kleinanzeigen.de/s-anzeige/duotone-hero-stargazer-duke-superstar/2861425731-230-3178", "Link")</f>
        <v/>
      </c>
      <c r="H199" s="6">
        <f>HYPERLINK("C:\Projects\Kleinanzeigen-Scraper\offer_images\2861425731", "Link")</f>
        <v/>
      </c>
      <c r="I199" t="inlineStr">
        <is>
          <t>Roxy</t>
        </is>
      </c>
      <c r="J199" s="6">
        <f>HYPERLINK("https://www.kleinanzeigen.de/s-bestandsliste.html?userId=83974897", "Link")</f>
        <v/>
      </c>
      <c r="K199" s="7" t="n">
        <v>45549.58107638889</v>
      </c>
      <c r="L199" s="3" t="inlineStr">
        <is>
          <t>248.55</t>
        </is>
      </c>
      <c r="M199" t="inlineStr">
        <is>
          <t>Köln</t>
        </is>
      </c>
    </row>
    <row r="200">
      <c r="A200" t="inlineStr">
        <is>
          <t>Complete set including Duotone Neo 12 and 10 kites, Duotone bar, Gonzales board, Duotone pump, Mystic harness (size M, seat harness), and a voucher for 5 shuttle rides at Lake Garda.</t>
        </is>
      </c>
      <c r="B200" s="4" t="n">
        <v>1.8</v>
      </c>
      <c r="C200" t="inlineStr">
        <is>
          <t>VB</t>
        </is>
      </c>
      <c r="D200" t="inlineStr">
        <is>
          <t>83278 Bayern - Traunstein</t>
        </is>
      </c>
      <c r="E200" s="5" t="n">
        <v>45543</v>
      </c>
      <c r="F200" t="inlineStr">
        <is>
          <t>Sold</t>
        </is>
      </c>
      <c r="G200" s="6">
        <f>HYPERLINK("https://www.kleinanzeigen.de/s-anzeige/kite-komplettset-duotone-anfaenger/2857993612-230-5740", "Link")</f>
        <v/>
      </c>
      <c r="H200" s="6">
        <f>HYPERLINK("C:\Projects\Kleinanzeigen-Scraper\offer_images\2857993612", "Link")</f>
        <v/>
      </c>
      <c r="I200" t="inlineStr">
        <is>
          <t>Sophie</t>
        </is>
      </c>
      <c r="J200" s="6">
        <f>HYPERLINK("https://www.kleinanzeigen.de/s-bestandsliste.html?userId=18641316", "Link")</f>
        <v/>
      </c>
      <c r="K200" s="7" t="n">
        <v>45549.58105324074</v>
      </c>
      <c r="L200" s="3" t="inlineStr">
        <is>
          <t>84.14</t>
        </is>
      </c>
      <c r="M200" t="inlineStr">
        <is>
          <t>München</t>
        </is>
      </c>
    </row>
    <row r="201">
      <c r="A201" t="inlineStr">
        <is>
          <t>Duotone Kite Neo (8 and 10), Cabrinha Spectrum Board, Click Bar, Dakine bag, and custom bindings.</t>
        </is>
      </c>
      <c r="B201" s="4" t="n">
        <v>1.25</v>
      </c>
      <c r="C201" t="inlineStr"/>
      <c r="D201" t="inlineStr">
        <is>
          <t>90471 Nürnberg (Mittelfr) - Südoststadt</t>
        </is>
      </c>
      <c r="E201" s="5" t="n">
        <v>45549</v>
      </c>
      <c r="F201" t="inlineStr">
        <is>
          <t>Sold</t>
        </is>
      </c>
      <c r="G201" s="6">
        <f>HYPERLINK("https://www.kleinanzeigen.de/s-anzeige/duotone-kite-neo-8-10-cabrinha-spectrum-board-click-bar-2021/2862907369-230-6812", "Link")</f>
        <v/>
      </c>
      <c r="H201" s="6">
        <f>HYPERLINK("C:\Projects\Kleinanzeigen-Scraper\offer_images\2862907369", "Link")</f>
        <v/>
      </c>
      <c r="I201" t="inlineStr">
        <is>
          <t>David</t>
        </is>
      </c>
      <c r="J201" s="6">
        <f>HYPERLINK("https://www.kleinanzeigen.de/s-bestandsliste.html?userId=20276725", "Link")</f>
        <v/>
      </c>
      <c r="K201" s="7" t="n">
        <v>45549.58096064815</v>
      </c>
      <c r="L201" s="3" t="inlineStr">
        <is>
          <t>146.07</t>
        </is>
      </c>
      <c r="M201" t="inlineStr">
        <is>
          <t>München</t>
        </is>
      </c>
    </row>
    <row r="202">
      <c r="A202" t="inlineStr">
        <is>
          <t>Goya Banzai X Pro sails available in sizes 3.7, 4.2, 4.7, and 5.3, all in excellent condition from 2023.</t>
        </is>
      </c>
      <c r="B202" s="4" t="n">
        <v>480</v>
      </c>
      <c r="C202" t="inlineStr">
        <is>
          <t>VB</t>
        </is>
      </c>
      <c r="D202" t="inlineStr">
        <is>
          <t>84095 Kr. Landshut - Furth</t>
        </is>
      </c>
      <c r="E202" s="5" t="n">
        <v>45532</v>
      </c>
      <c r="F202" t="inlineStr"/>
      <c r="G202" s="6">
        <f>HYPERLINK("https://www.kleinanzeigen.de/s-anzeige/goya-banzai-x-pro-3-7-4-2-4-7-5-3-bj-2023/2848812666-230-6398", "Link")</f>
        <v/>
      </c>
      <c r="H202" s="6">
        <f>HYPERLINK("C:\Projects\Kleinanzeigen-Scraper\offer_images\2848812666", "Link")</f>
        <v/>
      </c>
      <c r="I202" t="inlineStr">
        <is>
          <t>Niklas</t>
        </is>
      </c>
      <c r="J202" s="6">
        <f>HYPERLINK("https://www.kleinanzeigen.de/s-bestandsliste.html?userId=22205576", "Link")</f>
        <v/>
      </c>
      <c r="K202" s="7" t="n">
        <v>45549.5808912037</v>
      </c>
      <c r="L202" s="3" t="inlineStr">
        <is>
          <t>60.37</t>
        </is>
      </c>
      <c r="M202" t="inlineStr">
        <is>
          <t>München</t>
        </is>
      </c>
    </row>
    <row r="203">
      <c r="A203" t="inlineStr">
        <is>
          <t>Collection of 5 Simmer On Shore Wave sails: 4.2m² Green, 4.5m² Blue/Yellow, 4.7m² Green, 5.2m² Green, 5.7m² Yellow. All sails are undamaged and suitable for SDM and RDM masts.</t>
        </is>
      </c>
      <c r="B203" s="4" t="n">
        <v>650</v>
      </c>
      <c r="C203" t="inlineStr"/>
      <c r="D203" t="inlineStr">
        <is>
          <t>23562 Schleswig-Holstein - Lübeck</t>
        </is>
      </c>
      <c r="E203" s="5" t="n">
        <v>45417</v>
      </c>
      <c r="F203" t="inlineStr"/>
      <c r="G203" s="6">
        <f>HYPERLINK("https://www.kleinanzeigen.de/s-anzeige/simmer-style-on-shore-wave-segel-satz/2754049412-230-423", "Link")</f>
        <v/>
      </c>
      <c r="H203" s="6">
        <f>HYPERLINK("C:\Projects\Kleinanzeigen-Scraper\offer_images\2754049412", "Link")</f>
        <v/>
      </c>
      <c r="I203" t="inlineStr">
        <is>
          <t>Olaf Kühnert</t>
        </is>
      </c>
      <c r="J203" s="6">
        <f>HYPERLINK("https://www.kleinanzeigen.de/s-bestandsliste.html?userId=14979628", "Link")</f>
        <v/>
      </c>
      <c r="K203" s="7" t="n">
        <v>45549.58077546296</v>
      </c>
      <c r="L203" s="3" t="inlineStr">
        <is>
          <t>410.15</t>
        </is>
      </c>
      <c r="M203" t="inlineStr">
        <is>
          <t>Köln</t>
        </is>
      </c>
    </row>
    <row r="204">
      <c r="A204" t="inlineStr">
        <is>
          <t>Fanatic Surfboard with transport bag, multiple masts, rig, and several sails</t>
        </is>
      </c>
      <c r="B204" s="4" t="n">
        <v>270</v>
      </c>
      <c r="C204" t="inlineStr"/>
      <c r="D204" t="inlineStr">
        <is>
          <t>81541 München - Au-Haidhausen</t>
        </is>
      </c>
      <c r="E204" s="5" t="n">
        <v>45515</v>
      </c>
      <c r="F204" t="inlineStr">
        <is>
          <t>Sold</t>
        </is>
      </c>
      <c r="G204" s="6">
        <f>HYPERLINK("https://www.kleinanzeigen.de/s-anzeige/surfbretter-fanatic-jag270-mit-zubehoer/2834288893-230-6426", "Link")</f>
        <v/>
      </c>
      <c r="H204" s="6">
        <f>HYPERLINK("C:\Projects\Kleinanzeigen-Scraper\offer_images\2834288893", "Link")</f>
        <v/>
      </c>
      <c r="I204" t="inlineStr">
        <is>
          <t>Stefan Klostermann</t>
        </is>
      </c>
      <c r="J204" s="6">
        <f>HYPERLINK("https://www.kleinanzeigen.de/s-bestandsliste.html?userId=504609", "Link")</f>
        <v/>
      </c>
      <c r="K204" s="7" t="n">
        <v>45549.58074074074</v>
      </c>
      <c r="L204" s="3" t="inlineStr">
        <is>
          <t>1.89</t>
        </is>
      </c>
      <c r="M204" t="inlineStr">
        <is>
          <t>München</t>
        </is>
      </c>
    </row>
    <row r="205">
      <c r="A205" t="inlineStr">
        <is>
          <t>Complete set of three wings from North Mode in sizes 7.0, 5.5, and 4.2 m², all professionally repaired.</t>
        </is>
      </c>
      <c r="B205" s="4" t="n">
        <v>1.649</v>
      </c>
      <c r="C205" t="inlineStr"/>
      <c r="D205" t="inlineStr">
        <is>
          <t>82377 Bayern - Penzberg</t>
        </is>
      </c>
      <c r="E205" s="5" t="n">
        <v>45540</v>
      </c>
      <c r="F205" t="inlineStr">
        <is>
          <t>Sold</t>
        </is>
      </c>
      <c r="G205" s="6">
        <f>HYPERLINK("https://www.kleinanzeigen.de/s-anzeige/biete-set-wing-north-mode-7-0-5-5-und-4-2/2855350611-230-5620", "Link")</f>
        <v/>
      </c>
      <c r="H205" s="6">
        <f>HYPERLINK("C:\Projects\Kleinanzeigen-Scraper\offer_images\2855350611", "Link")</f>
        <v/>
      </c>
      <c r="I205" t="inlineStr">
        <is>
          <t>Stefan</t>
        </is>
      </c>
      <c r="J205" s="6">
        <f>HYPERLINK("https://www.kleinanzeigen.de/s-bestandsliste.html?userId=36774380", "Link")</f>
        <v/>
      </c>
      <c r="K205" s="7" t="n">
        <v>45549.58069444444</v>
      </c>
      <c r="L205" s="3" t="inlineStr">
        <is>
          <t>43.83</t>
        </is>
      </c>
      <c r="M205" t="inlineStr">
        <is>
          <t>München</t>
        </is>
      </c>
    </row>
    <row r="206">
      <c r="A206" t="inlineStr">
        <is>
          <t>Complete surf equipment set including Fanatic Blast 117 board, sail, boom, and all covers. Condition: brand new, unused.</t>
        </is>
      </c>
      <c r="B206" s="4" t="n">
        <v>2.1</v>
      </c>
      <c r="C206" t="inlineStr"/>
      <c r="D206" t="inlineStr">
        <is>
          <t>15366 Brandenburg - Neuenhagen</t>
        </is>
      </c>
      <c r="E206" s="5" t="n">
        <v>45525</v>
      </c>
      <c r="F206" t="inlineStr">
        <is>
          <t>Sold</t>
        </is>
      </c>
      <c r="G206" s="6">
        <f>HYPERLINK("https://www.kleinanzeigen.de/s-anzeige/surfboard-fanatic-blast-117-komplettset-segel-gabelbaum-etc/2842412752-230-7915", "Link")</f>
        <v/>
      </c>
      <c r="H206" s="6">
        <f>HYPERLINK("C:\Projects\Kleinanzeigen-Scraper\offer_images\2842412752", "Link")</f>
        <v/>
      </c>
      <c r="I206" t="inlineStr">
        <is>
          <t>anke</t>
        </is>
      </c>
      <c r="J206" s="6">
        <f>HYPERLINK("https://www.kleinanzeigen.de/s-bestandsliste.html?userId=5466534", "Link")</f>
        <v/>
      </c>
      <c r="K206" s="7" t="n">
        <v>45549.58063657407</v>
      </c>
      <c r="L206" s="3" t="inlineStr">
        <is>
          <t>493.44</t>
        </is>
      </c>
      <c r="M206" t="inlineStr">
        <is>
          <t>Köln</t>
        </is>
      </c>
    </row>
    <row r="207">
      <c r="A207" t="inlineStr">
        <is>
          <t>Freestyle waveboard RRD x tech 75L, Boardbag Concept X2, Fins</t>
        </is>
      </c>
      <c r="B207" s="4" t="n">
        <v>300</v>
      </c>
      <c r="C207" t="inlineStr"/>
      <c r="D207" t="inlineStr">
        <is>
          <t>22143 Wandsbek - Hamburg Rahlstedt</t>
        </is>
      </c>
      <c r="E207" s="5" t="n">
        <v>45478</v>
      </c>
      <c r="F207" t="inlineStr"/>
      <c r="G207" s="6">
        <f>HYPERLINK("https://www.kleinanzeigen.de/s-anzeige/windsurfmaterial-rrd-freestyle-wave-75-inkl-boardbag/2804537428-230-9455", "Link")</f>
        <v/>
      </c>
      <c r="H207" s="6">
        <f>HYPERLINK("C:\Projects\Kleinanzeigen-Scraper\offer_images\2804537428", "Link")</f>
        <v/>
      </c>
      <c r="I207" t="inlineStr">
        <is>
          <t>Anya</t>
        </is>
      </c>
      <c r="J207" s="6">
        <f>HYPERLINK("https://www.kleinanzeigen.de/s-bestandsliste.html?userId=5274841", "Link")</f>
        <v/>
      </c>
      <c r="K207" s="7" t="n">
        <v>45549.58061342593</v>
      </c>
      <c r="L207" s="3" t="inlineStr">
        <is>
          <t>368.45</t>
        </is>
      </c>
      <c r="M207" t="inlineStr">
        <is>
          <t>Köln</t>
        </is>
      </c>
    </row>
    <row r="208">
      <c r="A208" t="inlineStr">
        <is>
          <t>F2 GLIDE Windsurf SUP 10.8' board including a complete rig with F2 CHECKER sail (2.0 m²), mast, boom, extension, mast foot, and repair kit, along with a paddle (165-215 cm).</t>
        </is>
      </c>
      <c r="B208" s="4" t="n">
        <v>599</v>
      </c>
      <c r="C208" t="inlineStr"/>
      <c r="D208" t="inlineStr">
        <is>
          <t>95028 Bayern - Hof (Saale)</t>
        </is>
      </c>
      <c r="E208" s="5" t="n">
        <v>45546</v>
      </c>
      <c r="F208" t="inlineStr">
        <is>
          <t>Sold</t>
        </is>
      </c>
      <c r="G208" s="6">
        <f>HYPERLINK("https://www.kleinanzeigen.de/s-anzeige/f2-glide-windsurf-sup-10-8-grey-board-checker-rigg-2-0-qm/2835056975-230-7244", "Link")</f>
        <v/>
      </c>
      <c r="H208" s="6">
        <f>HYPERLINK("C:\Projects\Kleinanzeigen-Scraper\offer_images\2835056975", "Link")</f>
        <v/>
      </c>
      <c r="I208" t="inlineStr">
        <is>
          <t>No user name</t>
        </is>
      </c>
      <c r="J208" s="6">
        <f>HYPERLINK("https://www.kleinanzeigen.deNo user link", "Link")</f>
        <v/>
      </c>
      <c r="K208" s="7" t="n">
        <v>45549.58061342593</v>
      </c>
      <c r="L208" s="3" t="inlineStr">
        <is>
          <t>244.83</t>
        </is>
      </c>
      <c r="M208" t="inlineStr">
        <is>
          <t>München</t>
        </is>
      </c>
    </row>
    <row r="209">
      <c r="A209" t="inlineStr">
        <is>
          <t>Neilpryde H2 Racing 8.2 Sail, Neilpryde Mast FX 100 490, Neilpryde Gabelbaum X9 180-230</t>
        </is>
      </c>
      <c r="B209" s="4" t="n">
        <v>200</v>
      </c>
      <c r="C209" t="inlineStr">
        <is>
          <t>VB</t>
        </is>
      </c>
      <c r="D209" t="inlineStr">
        <is>
          <t>23562 Schleswig-Holstein - Lübeck</t>
        </is>
      </c>
      <c r="E209" s="5" t="n">
        <v>45543</v>
      </c>
      <c r="F209" t="inlineStr"/>
      <c r="G209" s="6">
        <f>HYPERLINK("https://www.kleinanzeigen.de/s-anzeige/neilpryde-h2-racing-8-2-mast-fx-100-490-einzeln-fuer-200-00-/2857349428-230-423", "Link")</f>
        <v/>
      </c>
      <c r="H209" s="6">
        <f>HYPERLINK("C:\Projects\Kleinanzeigen-Scraper\offer_images\2857349428", "Link")</f>
        <v/>
      </c>
      <c r="I209" t="inlineStr">
        <is>
          <t>Hugo</t>
        </is>
      </c>
      <c r="J209" s="6">
        <f>HYPERLINK("https://www.kleinanzeigen.de/s-bestandsliste.html?userId=140877310", "Link")</f>
        <v/>
      </c>
      <c r="K209" s="7" t="n">
        <v>45549.58055555556</v>
      </c>
      <c r="L209" s="3" t="inlineStr">
        <is>
          <t>410.15</t>
        </is>
      </c>
      <c r="M209" t="inlineStr">
        <is>
          <t>Köln</t>
        </is>
      </c>
    </row>
    <row r="210">
      <c r="A210" t="inlineStr">
        <is>
          <t>DUOTONE PACE 4.2 Kite-Foil-Board and DUOTONE SPIRIT CARVE Hydrofoil Set including Mast, Frontwing, Backwing, and Fuselage.</t>
        </is>
      </c>
      <c r="B210" s="4" t="n">
        <v>1.25</v>
      </c>
      <c r="C210" t="inlineStr"/>
      <c r="D210" t="inlineStr">
        <is>
          <t>79115 Baden-Württemberg - Freiburg im Breisgau</t>
        </is>
      </c>
      <c r="E210" s="5" t="n">
        <v>45548</v>
      </c>
      <c r="F210" t="inlineStr">
        <is>
          <t>Sold</t>
        </is>
      </c>
      <c r="G210" s="6">
        <f>HYPERLINK("https://www.kleinanzeigen.de/s-anzeige/duotone-kitefoilset-pace-4-2-spirit-carve-hydrofoil-set-700/2857363134-230-9366", "Link")</f>
        <v/>
      </c>
      <c r="H210" s="6">
        <f>HYPERLINK("C:\Projects\Kleinanzeigen-Scraper\offer_images\2857363134", "Link")</f>
        <v/>
      </c>
      <c r="I210" t="inlineStr">
        <is>
          <t>Christian Vogt</t>
        </is>
      </c>
      <c r="J210" s="6">
        <f>HYPERLINK("https://www.kleinanzeigen.de/s-bestandsliste.html?userId=11889225", "Link")</f>
        <v/>
      </c>
      <c r="K210" s="7" t="n">
        <v>45549.58054398148</v>
      </c>
      <c r="L210" s="3" t="inlineStr">
        <is>
          <t>43.13</t>
        </is>
      </c>
      <c r="M210" t="inlineStr">
        <is>
          <t>Bonndorf</t>
        </is>
      </c>
    </row>
    <row r="211">
      <c r="A211" t="inlineStr">
        <is>
          <t>Fanatic Shark board (145 liters, 264cm x 64cm) with complete rig including 6.0m² sail, mast foot, straps, and powerbox.</t>
        </is>
      </c>
      <c r="B211" s="4" t="n">
        <v>395</v>
      </c>
      <c r="C211" t="inlineStr">
        <is>
          <t>VB</t>
        </is>
      </c>
      <c r="D211" t="inlineStr">
        <is>
          <t>78315 Baden-Württemberg - Radolfzell am Bodensee</t>
        </is>
      </c>
      <c r="E211" s="5" t="n">
        <v>45546</v>
      </c>
      <c r="F211" t="inlineStr">
        <is>
          <t>Sold</t>
        </is>
      </c>
      <c r="G211" s="6">
        <f>HYPERLINK("https://www.kleinanzeigen.de/s-anzeige/fanatic-shark-145-liter-rigg-6-0m2-komplett-vdws/2860275960-230-8190", "Link")</f>
        <v/>
      </c>
      <c r="H211" s="6">
        <f>HYPERLINK("C:\Projects\Kleinanzeigen-Scraper\offer_images\2860275960", "Link")</f>
        <v/>
      </c>
      <c r="I211" t="inlineStr">
        <is>
          <t>SilverSurfer</t>
        </is>
      </c>
      <c r="J211" s="6">
        <f>HYPERLINK("https://www.kleinanzeigen.de/s-bestandsliste.html?userId=138556160", "Link")</f>
        <v/>
      </c>
      <c r="K211" s="7" t="n">
        <v>45549.58050925926</v>
      </c>
      <c r="L211" s="3" t="inlineStr">
        <is>
          <t>48.46</t>
        </is>
      </c>
      <c r="M211" t="inlineStr">
        <is>
          <t>Bonndorf</t>
        </is>
      </c>
    </row>
    <row r="212">
      <c r="A212" t="inlineStr">
        <is>
          <t>Wavesegel Sailloft Quad in sizes 4.0, 4.4, and 4.8, with minor defects on the 4.8 but overall in good condition.</t>
        </is>
      </c>
      <c r="B212" s="4" t="n">
        <v>200</v>
      </c>
      <c r="C212" t="inlineStr">
        <is>
          <t>VB</t>
        </is>
      </c>
      <c r="D212" t="inlineStr">
        <is>
          <t>24229 Schleswig-Holstein - Dänischenhagen</t>
        </is>
      </c>
      <c r="E212" s="5" t="n">
        <v>45548</v>
      </c>
      <c r="F212" t="inlineStr"/>
      <c r="G212" s="6">
        <f>HYPERLINK("https://www.kleinanzeigen.de/s-anzeige/wavesegel-sailloft-quad-guter-zustand-4-0-4-4-4-8/2862228093-230-17472", "Link")</f>
        <v/>
      </c>
      <c r="H212" s="6">
        <f>HYPERLINK("C:\Projects\Kleinanzeigen-Scraper\offer_images\2862228093", "Link")</f>
        <v/>
      </c>
      <c r="I212" t="inlineStr">
        <is>
          <t>Britta</t>
        </is>
      </c>
      <c r="J212" s="6">
        <f>HYPERLINK("https://www.kleinanzeigen.de/s-bestandsliste.html?userId=33755573", "Link")</f>
        <v/>
      </c>
      <c r="K212" s="7" t="n">
        <v>45549.58035879629</v>
      </c>
      <c r="L212" s="3" t="inlineStr">
        <is>
          <t>445.58</t>
        </is>
      </c>
      <c r="M212" t="inlineStr">
        <is>
          <t>Köln</t>
        </is>
      </c>
    </row>
    <row r="213">
      <c r="A213" t="inlineStr">
        <is>
          <t>JP Australia X-Cite Ride 100 board, Zero Seven Sail 6.4m², including Carbon Mast, Boom, Mastfoot, and small parts. No fin included.</t>
        </is>
      </c>
      <c r="B213" s="4" t="n">
        <v>245</v>
      </c>
      <c r="C213" t="inlineStr">
        <is>
          <t>VB</t>
        </is>
      </c>
      <c r="D213" t="inlineStr">
        <is>
          <t>46539 Nordrhein-Westfalen - Dinslaken</t>
        </is>
      </c>
      <c r="E213" s="5" t="n">
        <v>45545</v>
      </c>
      <c r="F213" t="inlineStr"/>
      <c r="G213" s="6">
        <f>HYPERLINK("https://www.kleinanzeigen.de/s-anzeige/-jp-australia-x-cite-ride-100/2859521772-230-1855", "Link")</f>
        <v/>
      </c>
      <c r="H213" s="6">
        <f>HYPERLINK("C:\Projects\Kleinanzeigen-Scraper\offer_images\2859521772", "Link")</f>
        <v/>
      </c>
      <c r="I213" t="inlineStr">
        <is>
          <t>Ralf</t>
        </is>
      </c>
      <c r="J213" s="6">
        <f>HYPERLINK("https://www.kleinanzeigen.de/s-bestandsliste.html?userId=34224599", "Link")</f>
        <v/>
      </c>
      <c r="K213" s="7" t="n">
        <v>45549.58024305556</v>
      </c>
      <c r="L213" s="3" t="inlineStr">
        <is>
          <t>72.34</t>
        </is>
      </c>
      <c r="M213" t="inlineStr">
        <is>
          <t>Köln</t>
        </is>
      </c>
    </row>
    <row r="214">
      <c r="A214" t="inlineStr">
        <is>
          <t>Fanatic Gecko 120L board (2019), North Sails Volt 5.9qm sail (2016), including boardbag, original fin, original straps, mast, boom, and other accessories.</t>
        </is>
      </c>
      <c r="B214" s="4" t="n">
        <v>700</v>
      </c>
      <c r="C214" t="inlineStr">
        <is>
          <t>VB</t>
        </is>
      </c>
      <c r="D214" t="inlineStr">
        <is>
          <t>15526 Brandenburg - Bad Saarow</t>
        </is>
      </c>
      <c r="E214" s="5" t="n">
        <v>45542</v>
      </c>
      <c r="F214" t="inlineStr">
        <is>
          <t>Sold</t>
        </is>
      </c>
      <c r="G214" s="6">
        <f>HYPERLINK("https://www.kleinanzeigen.de/s-anzeige/windsurfset-fanatic-gecko-120l-north-sails-volt-5-9qm-segel/2856906641-230-19642", "Link")</f>
        <v/>
      </c>
      <c r="H214" s="6">
        <f>HYPERLINK("C:\Projects\Kleinanzeigen-Scraper\offer_images\2856906641", "Link")</f>
        <v/>
      </c>
      <c r="I214" t="inlineStr">
        <is>
          <t>Tatjana S.</t>
        </is>
      </c>
      <c r="J214" s="6">
        <f>HYPERLINK("https://www.kleinanzeigen.de/s-bestandsliste.html?userId=23482648", "Link")</f>
        <v/>
      </c>
      <c r="K214" s="7" t="n">
        <v>45549.58021990741</v>
      </c>
      <c r="L214" s="3" t="inlineStr">
        <is>
          <t>491.09</t>
        </is>
      </c>
      <c r="M214" t="inlineStr">
        <is>
          <t>München</t>
        </is>
      </c>
    </row>
    <row r="215">
      <c r="A215" t="inlineStr">
        <is>
          <t>Complete windsurfing equipment including Starboard GO 122 board (245 x 72 cm, 122 liters), North Natural 5.8 m² sail, GUN Cross Carbon mast (430 cm), GUN Advantage boom (150-200 cm), mast foot, fin, and mast extension.</t>
        </is>
      </c>
      <c r="B215" s="4" t="n">
        <v>500</v>
      </c>
      <c r="C215" t="inlineStr"/>
      <c r="D215" t="inlineStr">
        <is>
          <t>79100 Freiburg im Breisgau - Wiehre</t>
        </is>
      </c>
      <c r="E215" s="5" t="n">
        <v>45549</v>
      </c>
      <c r="F215" t="inlineStr">
        <is>
          <t>Sold</t>
        </is>
      </c>
      <c r="G215" s="6">
        <f>HYPERLINK("https://www.kleinanzeigen.de/s-anzeige/komplette-windsurfausruestung-starboard-go-122-north-rigg-5-8m-/2863026955-230-9368", "Link")</f>
        <v/>
      </c>
      <c r="H215" s="6">
        <f>HYPERLINK("C:\Projects\Kleinanzeigen-Scraper\offer_images\2863026955", "Link")</f>
        <v/>
      </c>
      <c r="I215" t="inlineStr">
        <is>
          <t>MLF</t>
        </is>
      </c>
      <c r="J215" s="6">
        <f>HYPERLINK("https://www.kleinanzeigen.de/s-bestandsliste.html?userId=15574759", "Link")</f>
        <v/>
      </c>
      <c r="K215" s="7" t="n">
        <v>45549.58004629629</v>
      </c>
      <c r="L215" s="3" t="inlineStr">
        <is>
          <t>39.95</t>
        </is>
      </c>
      <c r="M215" t="inlineStr">
        <is>
          <t>Bonndorf</t>
        </is>
      </c>
    </row>
    <row r="216">
      <c r="A216" t="inlineStr">
        <is>
          <t>Complete kite equipment including various kites (7-19qm), boards (130-150cm), and accessories suitable for all skill levels. Includes options for beginners and advanced users, with both new and used items available.</t>
        </is>
      </c>
      <c r="B216" s="4" t="n">
        <v>1</v>
      </c>
      <c r="C216" t="inlineStr">
        <is>
          <t>VB</t>
        </is>
      </c>
      <c r="D216" t="inlineStr">
        <is>
          <t>80937 München - Milbertshofen - Am Hart</t>
        </is>
      </c>
      <c r="E216" s="5" t="n">
        <v>45547</v>
      </c>
      <c r="F216" t="inlineStr">
        <is>
          <t>Sold</t>
        </is>
      </c>
      <c r="G216" s="6">
        <f>HYPERLINK("https://www.kleinanzeigen.de/s-anzeige/aufloesung-komplette-ausstattung-kite-sets-core-north-flysurfer-/2861233939-230-6451", "Link")</f>
        <v/>
      </c>
      <c r="H216" s="6">
        <f>HYPERLINK("C:\Projects\Kleinanzeigen-Scraper\offer_images\2861233939", "Link")</f>
        <v/>
      </c>
      <c r="I216" t="inlineStr">
        <is>
          <t>Markus Huber</t>
        </is>
      </c>
      <c r="J216" s="6">
        <f>HYPERLINK("https://www.kleinanzeigen.de/s-bestandsliste.html?userId=140860503", "Link")</f>
        <v/>
      </c>
      <c r="K216" s="7" t="n">
        <v>45549.58004629629</v>
      </c>
      <c r="L216" s="3" t="inlineStr">
        <is>
          <t>9.35</t>
        </is>
      </c>
      <c r="M216" t="inlineStr">
        <is>
          <t>München</t>
        </is>
      </c>
    </row>
    <row r="217">
      <c r="A217" t="inlineStr">
        <is>
          <t>Complete Wing Foil Set including Sven Anton Custom Board (153 x 69 cm, approx. 90L), Naish Jet HA 1800 with 75 cm mast, Naish Wings (6 sqm and 4.6 sqm), 2 leashes, 1 pump, board bag, foil bag, and 2 wing bags.</t>
        </is>
      </c>
      <c r="B217" s="4" t="n">
        <v>1.75</v>
      </c>
      <c r="C217" t="inlineStr">
        <is>
          <t>VB</t>
        </is>
      </c>
      <c r="D217" t="inlineStr">
        <is>
          <t>22307 Hamburg-Nord - Hamburg Barmbek</t>
        </is>
      </c>
      <c r="E217" s="5" t="n">
        <v>45516</v>
      </c>
      <c r="F217" t="inlineStr">
        <is>
          <t>Sold</t>
        </is>
      </c>
      <c r="G217" s="6">
        <f>HYPERLINK("https://www.kleinanzeigen.de/s-anzeige/wingfoil-komplett-set-board-foil-2x-wing-naish-anton/2835317628-230-9449", "Link")</f>
        <v/>
      </c>
      <c r="H217" s="6">
        <f>HYPERLINK("C:\Projects\Kleinanzeigen-Scraper\offer_images\2835317628", "Link")</f>
        <v/>
      </c>
      <c r="I217" t="inlineStr">
        <is>
          <t>Erik</t>
        </is>
      </c>
      <c r="J217" s="6">
        <f>HYPERLINK("https://www.kleinanzeigen.de/s-bestandsliste.html?userId=119761947", "Link")</f>
        <v/>
      </c>
      <c r="K217" s="7" t="n">
        <v>45549.57983796296</v>
      </c>
      <c r="L217" s="3" t="inlineStr">
        <is>
          <t>362.75</t>
        </is>
      </c>
      <c r="M217" t="inlineStr">
        <is>
          <t>Köln</t>
        </is>
      </c>
    </row>
    <row r="218">
      <c r="A218" t="inlineStr">
        <is>
          <t>Starboard GO 141 board, Neil Pryde RhydeHD 6.0 sail, NeilPryde XA Wave165/225 boom, NeilPryde SPX65 mast, with foot straps and I.O.N. board bag. Absolutely like new.</t>
        </is>
      </c>
      <c r="B218" s="4" t="n">
        <v>1.79</v>
      </c>
      <c r="C218" t="inlineStr">
        <is>
          <t>VB</t>
        </is>
      </c>
      <c r="D218" t="inlineStr">
        <is>
          <t>82346 Bayern - Andechs</t>
        </is>
      </c>
      <c r="E218" s="5" t="n">
        <v>45522</v>
      </c>
      <c r="F218" t="inlineStr"/>
      <c r="G218" s="6">
        <f>HYPERLINK("https://www.kleinanzeigen.de/s-anzeige/neuwertiges-windsurf-komplettset-starboard-go/2839639396-230-5524", "Link")</f>
        <v/>
      </c>
      <c r="H218" s="6">
        <f>HYPERLINK("C:\Projects\Kleinanzeigen-Scraper\offer_images\2839639396", "Link")</f>
        <v/>
      </c>
      <c r="I218" t="inlineStr">
        <is>
          <t>Markus Mitterhusen</t>
        </is>
      </c>
      <c r="J218" s="6">
        <f>HYPERLINK("https://www.kleinanzeigen.de/s-bestandsliste.html?userId=131002224", "Link")</f>
        <v/>
      </c>
      <c r="K218" s="7" t="n">
        <v>45549.57979166666</v>
      </c>
      <c r="L218" s="3" t="inlineStr">
        <is>
          <t>34.46</t>
        </is>
      </c>
      <c r="M218" t="inlineStr">
        <is>
          <t>München</t>
        </is>
      </c>
    </row>
    <row r="219">
      <c r="A219" t="inlineStr">
        <is>
          <t>Three Sailloft Curve sails in sizes 4.7 (good condition, window replaced), 4.2 (good condition), and 3.7 (older).</t>
        </is>
      </c>
      <c r="B219" s="4" t="n">
        <v>170</v>
      </c>
      <c r="C219" t="inlineStr">
        <is>
          <t>VB</t>
        </is>
      </c>
      <c r="D219" t="inlineStr">
        <is>
          <t>22175 Wandsbek - Hamburg Bramfeld</t>
        </is>
      </c>
      <c r="E219" s="5" t="n">
        <v>45546</v>
      </c>
      <c r="F219" t="inlineStr">
        <is>
          <t>Sold</t>
        </is>
      </c>
      <c r="G219" s="6">
        <f>HYPERLINK("https://www.kleinanzeigen.de/s-anzeige/segelset-sailloft-curve-3-7-4-2-4-7/2860790923-230-9453", "Link")</f>
        <v/>
      </c>
      <c r="H219" s="6">
        <f>HYPERLINK("C:\Projects\Kleinanzeigen-Scraper\offer_images\2860790923", "Link")</f>
        <v/>
      </c>
      <c r="I219" t="inlineStr">
        <is>
          <t>Wolfgang</t>
        </is>
      </c>
      <c r="J219" s="6">
        <f>HYPERLINK("https://www.kleinanzeigen.de/s-bestandsliste.html?userId=12180310", "Link")</f>
        <v/>
      </c>
      <c r="K219" s="7" t="n">
        <v>45549.57975694445</v>
      </c>
      <c r="L219" s="3" t="inlineStr">
        <is>
          <t>367.43</t>
        </is>
      </c>
      <c r="M219" t="inlineStr">
        <is>
          <t>Köln</t>
        </is>
      </c>
    </row>
    <row r="220">
      <c r="A220" t="inlineStr">
        <is>
          <t>Complete kite equipment including various kites (7-19qm), boards (130-170cm), bars, harnesses, and accessories. Suitable for all skill levels, with options for beginners to advanced users.</t>
        </is>
      </c>
      <c r="B220" s="4" t="n">
        <v>1</v>
      </c>
      <c r="C220" t="inlineStr">
        <is>
          <t>VB</t>
        </is>
      </c>
      <c r="D220" t="inlineStr">
        <is>
          <t>80937 München - Milbertshofen - Am Hart</t>
        </is>
      </c>
      <c r="E220" s="5" t="n">
        <v>45538</v>
      </c>
      <c r="F220" t="inlineStr">
        <is>
          <t>Sold</t>
        </is>
      </c>
      <c r="G220" s="6">
        <f>HYPERLINK("https://www.kleinanzeigen.de/s-anzeige/aufloesung-komplette-ausstattung-kite-sets-core-north-flysurfer-/2853539215-230-6451", "Link")</f>
        <v/>
      </c>
      <c r="H220" s="6">
        <f>HYPERLINK("C:\Projects\Kleinanzeigen-Scraper\offer_images\2853539215", "Link")</f>
        <v/>
      </c>
      <c r="I220" t="inlineStr">
        <is>
          <t>Markus Huber</t>
        </is>
      </c>
      <c r="J220" s="6">
        <f>HYPERLINK("https://www.kleinanzeigen.de/s-bestandsliste.html?userId=140860503", "Link")</f>
        <v/>
      </c>
      <c r="K220" s="7" t="n">
        <v>45549.57966435186</v>
      </c>
      <c r="L220" s="3" t="inlineStr">
        <is>
          <t>9.35</t>
        </is>
      </c>
      <c r="M220" t="inlineStr">
        <is>
          <t>München</t>
        </is>
      </c>
    </row>
    <row r="221">
      <c r="A221" t="inlineStr">
        <is>
          <t>FANATIC Surfbrett LITE VIPER and Sailboard 320 lite Ace, including fins, daggerboard, sail mount, and sail with some stock stains. Includes various accessories.</t>
        </is>
      </c>
      <c r="B221" s="4" t="n">
        <v>100</v>
      </c>
      <c r="C221" t="inlineStr"/>
      <c r="D221" t="inlineStr">
        <is>
          <t>53332 Nordrhein-Westfalen - Bornheim</t>
        </is>
      </c>
      <c r="E221" s="5" t="n">
        <v>45529</v>
      </c>
      <c r="F221" t="inlineStr">
        <is>
          <t>Sold</t>
        </is>
      </c>
      <c r="G221" s="6">
        <f>HYPERLINK("https://www.kleinanzeigen.de/s-anzeige/fanatic-surfbrett-lite-viper-sailboard-320-lite-ace/2846022600-230-1606", "Link")</f>
        <v/>
      </c>
      <c r="H221" s="6">
        <f>HYPERLINK("C:\Projects\Kleinanzeigen-Scraper\offer_images\2846022600", "Link")</f>
        <v/>
      </c>
      <c r="I221" t="inlineStr">
        <is>
          <t>Baehr</t>
        </is>
      </c>
      <c r="J221" s="6">
        <f>HYPERLINK("https://www.kleinanzeigen.de/s-bestandsliste.html?userId=23413126", "Link")</f>
        <v/>
      </c>
      <c r="K221" s="7" t="n">
        <v>45549.57957175926</v>
      </c>
      <c r="L221" s="3" t="inlineStr">
        <is>
          <t>18.44</t>
        </is>
      </c>
      <c r="M221" t="inlineStr">
        <is>
          <t>Köln</t>
        </is>
      </c>
    </row>
    <row r="222">
      <c r="A222" t="inlineStr">
        <is>
          <t>Duotone Slick 4.5 m² and 6.0 m² wings, optional with Duotone Miniboom Platinum Carbon</t>
        </is>
      </c>
      <c r="B222" s="4" t="n">
        <v>550</v>
      </c>
      <c r="C222" t="inlineStr"/>
      <c r="D222" t="inlineStr">
        <is>
          <t>50679 Innenstadt - Köln Deutz</t>
        </is>
      </c>
      <c r="E222" s="5" t="n">
        <v>45546</v>
      </c>
      <c r="F222" t="inlineStr">
        <is>
          <t>Sold</t>
        </is>
      </c>
      <c r="G222" s="6">
        <f>HYPERLINK("https://www.kleinanzeigen.de/s-anzeige/duotone-slick-set-4-5-6-0-m-optional-mit-boom-platinum-665-/2860124386-230-988", "Link")</f>
        <v/>
      </c>
      <c r="H222" s="6">
        <f>HYPERLINK("C:\Projects\Kleinanzeigen-Scraper\offer_images\2860124386", "Link")</f>
        <v/>
      </c>
      <c r="I222" t="inlineStr">
        <is>
          <t>Peter H</t>
        </is>
      </c>
      <c r="J222" s="6">
        <f>HYPERLINK("https://www.kleinanzeigen.de/s-bestandsliste.html?userId=18482154", "Link")</f>
        <v/>
      </c>
      <c r="K222" s="7" t="n">
        <v>45549.57956018519</v>
      </c>
      <c r="L222" s="3" t="inlineStr">
        <is>
          <t>1.61</t>
        </is>
      </c>
      <c r="M222" t="inlineStr">
        <is>
          <t>Köln</t>
        </is>
      </c>
    </row>
    <row r="223">
      <c r="A223" t="inlineStr">
        <is>
          <t>Windsurf Foil Set including Board (142L) and Foil with 65cm Mast</t>
        </is>
      </c>
      <c r="B223" s="4" t="n">
        <v>1</v>
      </c>
      <c r="C223" t="inlineStr"/>
      <c r="D223" t="inlineStr">
        <is>
          <t>50859 Köln - Lindenthal</t>
        </is>
      </c>
      <c r="E223" s="5" t="n">
        <v>45491</v>
      </c>
      <c r="F223" t="inlineStr">
        <is>
          <t>Sold</t>
        </is>
      </c>
      <c r="G223" s="6">
        <f>HYPERLINK("https://www.kleinanzeigen.de/s-anzeige/naish-windsurffoil-set-windfoil-foilboard-windsurf/2815560334-230-953", "Link")</f>
        <v/>
      </c>
      <c r="H223" s="6">
        <f>HYPERLINK("C:\Projects\Kleinanzeigen-Scraper\offer_images\2815560334", "Link")</f>
        <v/>
      </c>
      <c r="I223" t="inlineStr">
        <is>
          <t>Tim</t>
        </is>
      </c>
      <c r="J223" s="6">
        <f>HYPERLINK("https://www.kleinanzeigen.de/s-bestandsliste.html?userId=90174207", "Link")</f>
        <v/>
      </c>
      <c r="K223" s="7" t="n">
        <v>45549.57953703704</v>
      </c>
      <c r="L223" s="3" t="inlineStr">
        <is>
          <t>8.43</t>
        </is>
      </c>
      <c r="M223" t="inlineStr">
        <is>
          <t>Köln</t>
        </is>
      </c>
    </row>
    <row r="224">
      <c r="A224" t="inlineStr">
        <is>
          <t>Complete kite equipment set including North Rebel 11 (2016), North Rebel 8 (2016), North Bar 24m, Cabrinha Spectrum board (136x41), size S trapeze, and Golf kite bag.</t>
        </is>
      </c>
      <c r="B224" s="4" t="n">
        <v>1.3</v>
      </c>
      <c r="C224" t="inlineStr">
        <is>
          <t>VB</t>
        </is>
      </c>
      <c r="D224" t="inlineStr">
        <is>
          <t>72379 Baden-Württemberg - Hechingen</t>
        </is>
      </c>
      <c r="E224" s="5" t="n">
        <v>45546</v>
      </c>
      <c r="F224" t="inlineStr">
        <is>
          <t>Sold</t>
        </is>
      </c>
      <c r="G224" s="6">
        <f>HYPERLINK("https://www.kleinanzeigen.de/s-anzeige/kite-komplettset-north-rebel-11-8-jetzt-duotone-/2860726400-230-8090", "Link")</f>
        <v/>
      </c>
      <c r="H224" s="6">
        <f>HYPERLINK("C:\Projects\Kleinanzeigen-Scraper\offer_images\2860726400", "Link")</f>
        <v/>
      </c>
      <c r="I224" t="inlineStr">
        <is>
          <t>Christoph Glatz</t>
        </is>
      </c>
      <c r="J224" s="6">
        <f>HYPERLINK("https://www.kleinanzeigen.de/s-bestandsliste.html?userId=41562103", "Link")</f>
        <v/>
      </c>
      <c r="K224" s="7" t="n">
        <v>45549.57953703704</v>
      </c>
      <c r="L224" s="3" t="inlineStr">
        <is>
          <t>35.37</t>
        </is>
      </c>
      <c r="M224" t="inlineStr">
        <is>
          <t>Böblingen</t>
        </is>
      </c>
    </row>
    <row r="225">
      <c r="A225" t="inlineStr">
        <is>
          <t>Complete Starboard SUP Windsurfing set including Enduro Carbon mast, STX HD2 Rig Monofilm 5.5qm sail, and carrying bag. New, never used, original packaging.</t>
        </is>
      </c>
      <c r="B225" s="4" t="n">
        <v>495</v>
      </c>
      <c r="C225" t="inlineStr">
        <is>
          <t>VB</t>
        </is>
      </c>
      <c r="D225" t="inlineStr">
        <is>
          <t>77836 Baden-Württemberg - Rheinmünster</t>
        </is>
      </c>
      <c r="E225" s="5" t="n">
        <v>45530</v>
      </c>
      <c r="F225" t="inlineStr"/>
      <c r="G225" s="6">
        <f>HYPERLINK("https://www.kleinanzeigen.de/s-anzeige/surfsegel-fuer-starboard-sup-neu/2846732568-230-8748", "Link")</f>
        <v/>
      </c>
      <c r="H225" s="6">
        <f>HYPERLINK("C:\Projects\Kleinanzeigen-Scraper\offer_images\2846732568", "Link")</f>
        <v/>
      </c>
      <c r="I225" t="inlineStr">
        <is>
          <t>Belle</t>
        </is>
      </c>
      <c r="J225" s="6">
        <f>HYPERLINK("https://www.kleinanzeigen.de/s-bestandsliste.html?userId=6985988", "Link")</f>
        <v/>
      </c>
      <c r="K225" s="7" t="n">
        <v>45549.57925925926</v>
      </c>
      <c r="L225" s="3" t="inlineStr">
        <is>
          <t>38.29</t>
        </is>
      </c>
      <c r="M225" t="inlineStr">
        <is>
          <t>Karlsruhe</t>
        </is>
      </c>
    </row>
    <row r="226">
      <c r="A226" t="inlineStr">
        <is>
          <t>Includes 2 surfboards (MISTRAL Garda and FANATIC Gecko), 4 sails (NORTH SAILS Orbital Classic 5.3, NORTH SAILS Prisma 6.0, Five Star Sails RAF SPEED SLALOM 4.9, Sailworks BRAVO 6.5), 1 fiberglass mast, 1 carbon mast, fins, mast extension, and mast holders.</t>
        </is>
      </c>
      <c r="B226" s="4" t="n">
        <v>350</v>
      </c>
      <c r="C226" t="inlineStr">
        <is>
          <t>VB</t>
        </is>
      </c>
      <c r="D226" t="inlineStr">
        <is>
          <t>16833 Brandenburg - Fehrbellin</t>
        </is>
      </c>
      <c r="E226" s="5" t="n">
        <v>45543</v>
      </c>
      <c r="F226" t="inlineStr">
        <is>
          <t>Sold</t>
        </is>
      </c>
      <c r="G226" s="6">
        <f>HYPERLINK("https://www.kleinanzeigen.de/s-anzeige/komplettset-2x-surfbrett-4x-segel-mistral-fanatic-north-sails/2857642493-230-19580", "Link")</f>
        <v/>
      </c>
      <c r="H226" s="6">
        <f>HYPERLINK("C:\Projects\Kleinanzeigen-Scraper\offer_images\2857642493", "Link")</f>
        <v/>
      </c>
      <c r="I226" t="inlineStr">
        <is>
          <t>Daniel Uhlig</t>
        </is>
      </c>
      <c r="J226" s="6">
        <f>HYPERLINK("https://www.kleinanzeigen.de/s-bestandsliste.html?userId=7470299", "Link")</f>
        <v/>
      </c>
      <c r="K226" s="7" t="n">
        <v>45549.57908564815</v>
      </c>
      <c r="L226" s="3" t="inlineStr">
        <is>
          <t>450.38</t>
        </is>
      </c>
      <c r="M226" t="inlineStr">
        <is>
          <t>Köln</t>
        </is>
      </c>
    </row>
    <row r="227">
      <c r="A227" t="inlineStr">
        <is>
          <t>Fanatic Fun Race 340 board with 5.6 sqm rig, boom, split mast, trapeze, and surf cart. Option for an additional 4.8 sqm rig.</t>
        </is>
      </c>
      <c r="B227" s="4" t="n">
        <v>170</v>
      </c>
      <c r="C227" t="inlineStr"/>
      <c r="D227" t="inlineStr">
        <is>
          <t>44379 Dortmund - Lütgendortmund</t>
        </is>
      </c>
      <c r="E227" s="5" t="n">
        <v>45515</v>
      </c>
      <c r="F227" t="inlineStr">
        <is>
          <t>Sold</t>
        </is>
      </c>
      <c r="G227" s="6">
        <f>HYPERLINK("https://www.kleinanzeigen.de/s-anzeige/fanatic-fun-race-340/2834421448-230-19681", "Link")</f>
        <v/>
      </c>
      <c r="H227" s="6">
        <f>HYPERLINK("C:\Projects\Kleinanzeigen-Scraper\offer_images\2834421448", "Link")</f>
        <v/>
      </c>
      <c r="I227" t="inlineStr">
        <is>
          <t>Merkes</t>
        </is>
      </c>
      <c r="J227" s="6">
        <f>HYPERLINK("https://www.kleinanzeigen.de/s-bestandsliste.html?userId=28396791", "Link")</f>
        <v/>
      </c>
      <c r="K227" s="7" t="n">
        <v>45549.57899305555</v>
      </c>
      <c r="L227" s="3" t="inlineStr">
        <is>
          <t>70.01</t>
        </is>
      </c>
      <c r="M227" t="inlineStr">
        <is>
          <t>Köln</t>
        </is>
      </c>
    </row>
    <row r="228">
      <c r="A228" t="inlineStr">
        <is>
          <t>Duotone 2024 Wingset Foil Aero Free SLS including Front and Back Wing, Cover, Screws, and Tools.</t>
        </is>
      </c>
      <c r="B228" s="4" t="n">
        <v>730</v>
      </c>
      <c r="C228" t="inlineStr"/>
      <c r="D228" t="inlineStr">
        <is>
          <t>90451 Nürnberg (Mittelfr) - Aussenstadt-Sued</t>
        </is>
      </c>
      <c r="E228" s="5" t="n">
        <v>45545</v>
      </c>
      <c r="F228" t="inlineStr">
        <is>
          <t>Sold</t>
        </is>
      </c>
      <c r="G228" s="6">
        <f>HYPERLINK("https://www.kleinanzeigen.de/s-anzeige/duotone-2024-wingset-foil-aero-free-sls-2000-300/2760440301-230-6836", "Link")</f>
        <v/>
      </c>
      <c r="H228" s="6">
        <f>HYPERLINK("C:\Projects\Kleinanzeigen-Scraper\offer_images\2760440301", "Link")</f>
        <v/>
      </c>
      <c r="I228" t="inlineStr">
        <is>
          <t>No user name</t>
        </is>
      </c>
      <c r="J228" s="6">
        <f>HYPERLINK("https://www.kleinanzeigen.deNo user link", "Link")</f>
        <v/>
      </c>
      <c r="K228" s="7" t="n">
        <v>45549.57895833333</v>
      </c>
      <c r="L228" s="3" t="inlineStr">
        <is>
          <t>145.92</t>
        </is>
      </c>
      <c r="M228" t="inlineStr">
        <is>
          <t>München</t>
        </is>
      </c>
    </row>
    <row r="229">
      <c r="A229" t="inlineStr">
        <is>
          <t>Surfboard Tabou 3S (237 cm, 62 cm, 97 l) with Finne, Mastfuß, Mast, Gabelbaum, Segel (5.7 m²), Boardbag, Segeltasche</t>
        </is>
      </c>
      <c r="B229" s="4" t="n">
        <v>350</v>
      </c>
      <c r="C229" t="inlineStr"/>
      <c r="D229" t="inlineStr">
        <is>
          <t>30459 Hannover - Ricklingen</t>
        </is>
      </c>
      <c r="E229" s="5" t="n">
        <v>45437</v>
      </c>
      <c r="F229" t="inlineStr">
        <is>
          <t>Sold</t>
        </is>
      </c>
      <c r="G229" s="6">
        <f>HYPERLINK("https://www.kleinanzeigen.de/s-anzeige/surfausruestung-surfboard-tabou-3s-97-l-mit-finne-mastfuss-rigg/2770565486-230-3192", "Link")</f>
        <v/>
      </c>
      <c r="H229" s="6">
        <f>HYPERLINK("C:\Projects\Kleinanzeigen-Scraper\offer_images\2770565486", "Link")</f>
        <v/>
      </c>
      <c r="I229" t="inlineStr">
        <is>
          <t>Herr K</t>
        </is>
      </c>
      <c r="J229" s="6">
        <f>HYPERLINK("https://www.kleinanzeigen.de/s-bestandsliste.html?userId=45590895", "Link")</f>
        <v/>
      </c>
      <c r="K229" s="7" t="n">
        <v>45549.57893518519</v>
      </c>
      <c r="L229" s="3" t="inlineStr">
        <is>
          <t>246.57</t>
        </is>
      </c>
      <c r="M229" t="inlineStr">
        <is>
          <t>Köln</t>
        </is>
      </c>
    </row>
    <row r="230">
      <c r="A230" t="inlineStr">
        <is>
          <t>Complete set including Tabou Pocket Air board (107-117-137 liters), Gaastra Foil Hybrid Fee (1750 or 2000 cm²), Gaastra Poison wings (2021: 4.2 or 6.2 m²; 2022: 3.5, 4.2, or 5.2 m²), Gaastra Cross wings (2022: 4.2 or 5.2 m²), arm and leg leash, belly leash, pump.</t>
        </is>
      </c>
      <c r="B230" s="4" t="n">
        <v>1.6</v>
      </c>
      <c r="C230" t="inlineStr"/>
      <c r="D230" t="inlineStr">
        <is>
          <t>92442 Bayern - Wackersdorf</t>
        </is>
      </c>
      <c r="E230" s="5" t="n">
        <v>45518</v>
      </c>
      <c r="F230" t="inlineStr">
        <is>
          <t>Sold</t>
        </is>
      </c>
      <c r="G230" s="6">
        <f>HYPERLINK("https://www.kleinanzeigen.de/s-anzeige/gaastra-tabou-wingfoil-set-komplett/2836456075-230-5746", "Link")</f>
        <v/>
      </c>
      <c r="H230" s="6">
        <f>HYPERLINK("C:\Projects\Kleinanzeigen-Scraper\offer_images\2836456075", "Link")</f>
        <v/>
      </c>
      <c r="I230" t="inlineStr">
        <is>
          <t>Michael Roth</t>
        </is>
      </c>
      <c r="J230" s="6">
        <f>HYPERLINK("https://www.kleinanzeigen.de/s-bestandsliste.html?userId=27546907", "Link")</f>
        <v/>
      </c>
      <c r="K230" s="7" t="n">
        <v>45549.57884259259</v>
      </c>
      <c r="L230" s="3" t="inlineStr">
        <is>
          <t>137.33</t>
        </is>
      </c>
      <c r="M230" t="inlineStr">
        <is>
          <t>München</t>
        </is>
      </c>
    </row>
    <row r="231">
      <c r="A231" t="inlineStr">
        <is>
          <t>Used Neilpryde windsurf board with 2 sails and complete accessories as shown in the photos.</t>
        </is>
      </c>
      <c r="B231" s="4" t="n">
        <v>210</v>
      </c>
      <c r="C231" t="inlineStr">
        <is>
          <t>VB</t>
        </is>
      </c>
      <c r="D231" t="inlineStr">
        <is>
          <t>93194 Bayern - Walderbach</t>
        </is>
      </c>
      <c r="E231" s="5" t="n">
        <v>45507</v>
      </c>
      <c r="F231" t="inlineStr"/>
      <c r="G231" s="6">
        <f>HYPERLINK("https://www.kleinanzeigen.de/s-anzeige/komplettpaket-windsurfboard-neilpryde-2-segel/2828129200-230-5767", "Link")</f>
        <v/>
      </c>
      <c r="H231" s="6">
        <f>HYPERLINK("C:\Projects\Kleinanzeigen-Scraper\offer_images\2828129200", "Link")</f>
        <v/>
      </c>
      <c r="I231" t="inlineStr">
        <is>
          <t>Krystina Beer</t>
        </is>
      </c>
      <c r="J231" s="6">
        <f>HYPERLINK("https://www.kleinanzeigen.de/s-bestandsliste.html?userId=50971797", "Link")</f>
        <v/>
      </c>
      <c r="K231" s="7" t="n">
        <v>45549.57883101852</v>
      </c>
      <c r="L231" s="3" t="inlineStr">
        <is>
          <t>130.99</t>
        </is>
      </c>
      <c r="M231" t="inlineStr">
        <is>
          <t>München</t>
        </is>
      </c>
    </row>
    <row r="232">
      <c r="A232" t="inlineStr">
        <is>
          <t>Windfoil Set including F4 Race Foil Package (Front wings 945 cm² and 850 cm², Fuselage 115 and 115+, Rear wings 210 cm² and 230 cm², Mast 97 cm HM Carbon), Slalom front wing 640, Foil sail Avanti Icarus 6.5 m (2022), JP-Australia Hydrofoil 135 Pro (2018). All items show signs of use but are in good condition.</t>
        </is>
      </c>
      <c r="B232" s="4" t="n">
        <v>2.5</v>
      </c>
      <c r="C232" t="inlineStr">
        <is>
          <t>VB</t>
        </is>
      </c>
      <c r="D232" t="inlineStr">
        <is>
          <t>22765 Altona - Hamburg Ottensen</t>
        </is>
      </c>
      <c r="E232" s="5" t="n">
        <v>45533</v>
      </c>
      <c r="F232" t="inlineStr">
        <is>
          <t>Sold</t>
        </is>
      </c>
      <c r="G232" s="6">
        <f>HYPERLINK("https://www.kleinanzeigen.de/s-anzeige/windfoil-set-f4-race-jp-australia-hydrofoil-avanti-icarus/2849297223-230-9504", "Link")</f>
        <v/>
      </c>
      <c r="H232" s="6">
        <f>HYPERLINK("C:\Projects\Kleinanzeigen-Scraper\offer_images\2849297223", "Link")</f>
        <v/>
      </c>
      <c r="I232" t="inlineStr">
        <is>
          <t>I. Kouprine</t>
        </is>
      </c>
      <c r="J232" s="6">
        <f>HYPERLINK("https://www.kleinanzeigen.de/s-bestandsliste.html?userId=17939643", "Link")</f>
        <v/>
      </c>
      <c r="K232" s="7" t="n">
        <v>45549.57878472222</v>
      </c>
      <c r="L232" s="3" t="inlineStr">
        <is>
          <t>354.49</t>
        </is>
      </c>
      <c r="M232" t="inlineStr">
        <is>
          <t>Köln</t>
        </is>
      </c>
    </row>
    <row r="233">
      <c r="A233" t="inlineStr">
        <is>
          <t>Complete windsurfing equipment including 3 Naish sails (4.5 Naish Force 2013, 5.0 Naish 2015, 5.7 Naish Force 2010), 2 RDM masts (400cm and 430cm, both 60% carbon), 2 mast extensions, mast foot, and RRD surfboard (77L).</t>
        </is>
      </c>
      <c r="B233" s="4" t="n">
        <v>410</v>
      </c>
      <c r="C233" t="inlineStr">
        <is>
          <t>VB</t>
        </is>
      </c>
      <c r="D233" t="inlineStr">
        <is>
          <t>24106 Schleswig-Holstein - Kiel</t>
        </is>
      </c>
      <c r="E233" s="5" t="n">
        <v>45514</v>
      </c>
      <c r="F233" t="inlineStr"/>
      <c r="G233" s="6">
        <f>HYPERLINK("https://www.kleinanzeigen.de/s-anzeige/windsurfausruestung-komplett-3-naish-segel-2-maste-gabelbaum/2833812337-230-707", "Link")</f>
        <v/>
      </c>
      <c r="H233" s="6">
        <f>HYPERLINK("C:\Projects\Kleinanzeigen-Scraper\offer_images\2833812337", "Link")</f>
        <v/>
      </c>
      <c r="I233" t="inlineStr">
        <is>
          <t>Maximilian Krämer</t>
        </is>
      </c>
      <c r="J233" s="6">
        <f>HYPERLINK("https://www.kleinanzeigen.de/s-bestandsliste.html?userId=43538301", "Link")</f>
        <v/>
      </c>
      <c r="K233" s="7" t="n">
        <v>45549.57876157408</v>
      </c>
      <c r="L233" s="3" t="inlineStr">
        <is>
          <t>436.03</t>
        </is>
      </c>
      <c r="M233" t="inlineStr">
        <is>
          <t>Köln</t>
        </is>
      </c>
    </row>
    <row r="234">
      <c r="A234" t="inlineStr">
        <is>
          <t>Includes JP Australia 165X Cite Ride board (262x80, 165 liters), board bag, Seegras fin, Concept X 32 Race fin, mast extension, mast foot, 460 cm mast, 40400 cm mast, 370 cm mast, Neil Pryde Wave 4.0 sail, North Sails 4.7 sail, North Sails 6.7 sail, and 2 booms.</t>
        </is>
      </c>
      <c r="B234" s="4" t="n">
        <v>790</v>
      </c>
      <c r="C234" t="inlineStr"/>
      <c r="D234" t="inlineStr">
        <is>
          <t>32825 Nordrhein-Westfalen - Blomberg</t>
        </is>
      </c>
      <c r="E234" s="5" t="n">
        <v>45501</v>
      </c>
      <c r="F234" t="inlineStr"/>
      <c r="G234" s="6">
        <f>HYPERLINK("https://www.kleinanzeigen.de/s-anzeige/jp-australia-x-citeride-165-rrd-fanatic-north-sails/2823095132-230-1276", "Link")</f>
        <v/>
      </c>
      <c r="H234" s="6">
        <f>HYPERLINK("C:\Projects\Kleinanzeigen-Scraper\offer_images\2823095132", "Link")</f>
        <v/>
      </c>
      <c r="I234" t="inlineStr">
        <is>
          <t>Ulrich</t>
        </is>
      </c>
      <c r="J234" s="6">
        <f>HYPERLINK("https://www.kleinanzeigen.de/s-bestandsliste.html?userId=19709369", "Link")</f>
        <v/>
      </c>
      <c r="K234" s="7" t="n">
        <v>45549.57873842592</v>
      </c>
      <c r="L234" s="3" t="inlineStr">
        <is>
          <t>184.29</t>
        </is>
      </c>
      <c r="M234" t="inlineStr">
        <is>
          <t>Köln</t>
        </is>
      </c>
    </row>
    <row r="235">
      <c r="A235" t="inlineStr">
        <is>
          <t>Gun Sails Wave MC 4.5 sail including a matching carbon mast, in good used condition, no holes or tears.</t>
        </is>
      </c>
      <c r="B235" s="4" t="n">
        <v>115</v>
      </c>
      <c r="C235" t="inlineStr">
        <is>
          <t>VB</t>
        </is>
      </c>
      <c r="D235" t="inlineStr">
        <is>
          <t>04177 Leipzig - Altlindenau</t>
        </is>
      </c>
      <c r="E235" s="5" t="n">
        <v>45459</v>
      </c>
      <c r="F235" t="inlineStr"/>
      <c r="G235" s="6">
        <f>HYPERLINK("https://www.kleinanzeigen.de/s-anzeige/-gun-sails-4-5-carbon-mast-wave-mc-segel-/2789720487-230-4234", "Link")</f>
        <v/>
      </c>
      <c r="H235" s="6">
        <f>HYPERLINK("C:\Projects\Kleinanzeigen-Scraper\offer_images\2789720487", "Link")</f>
        <v/>
      </c>
      <c r="I235" t="inlineStr">
        <is>
          <t>Maurice</t>
        </is>
      </c>
      <c r="J235" s="6">
        <f>HYPERLINK("https://www.kleinanzeigen.de/s-bestandsliste.html?userId=81940870", "Link")</f>
        <v/>
      </c>
      <c r="K235" s="7" t="n">
        <v>45549.57873842592</v>
      </c>
      <c r="L235" s="3" t="inlineStr">
        <is>
          <t>360.58</t>
        </is>
      </c>
      <c r="M235" t="inlineStr">
        <is>
          <t>München</t>
        </is>
      </c>
    </row>
    <row r="236">
      <c r="A236" t="inlineStr">
        <is>
          <t>Set includes sails of sizes 3.6, 4.0, 4.4, 4.8, 5.2, all in top condition with minimal use.</t>
        </is>
      </c>
      <c r="B236" s="4" t="n">
        <v>2</v>
      </c>
      <c r="C236" t="inlineStr"/>
      <c r="D236" t="inlineStr">
        <is>
          <t>20257 Eimsbüttel - Hamburg Eimsbüttel (Stadtteil)</t>
        </is>
      </c>
      <c r="E236" s="5" t="n">
        <v>45523</v>
      </c>
      <c r="F236" t="inlineStr"/>
      <c r="G236" s="6">
        <f>HYPERLINK("https://www.kleinanzeigen.de/s-anzeige/2024-severne-s1-segelsatz-4-0-4-4-4-8-5-2-top-zustand/2841035738-230-9429", "Link")</f>
        <v/>
      </c>
      <c r="H236" s="6">
        <f>HYPERLINK("C:\Projects\Kleinanzeigen-Scraper\offer_images\2841035738", "Link")</f>
        <v/>
      </c>
      <c r="I236" t="inlineStr">
        <is>
          <t>eckbert</t>
        </is>
      </c>
      <c r="J236" s="6">
        <f>HYPERLINK("https://www.kleinanzeigen.de/s-bestandsliste.html?userId=40296824", "Link")</f>
        <v/>
      </c>
      <c r="K236" s="7" t="n">
        <v>45549.57872685185</v>
      </c>
      <c r="L236" s="3" t="inlineStr">
        <is>
          <t>356.84</t>
        </is>
      </c>
      <c r="M236" t="inlineStr">
        <is>
          <t>Köln</t>
        </is>
      </c>
    </row>
    <row r="237">
      <c r="A237" t="inlineStr">
        <is>
          <t>Fanatic Gecko 120 board, two sails (4.7 and 7.4), two masts (460 and 430), two booms, two fins with covers, Ion boardbag, sail bag, mast bag, Power XT mast extension, and surfboard protection.</t>
        </is>
      </c>
      <c r="B237" s="4" t="n">
        <v>590</v>
      </c>
      <c r="C237" t="inlineStr"/>
      <c r="D237" t="inlineStr">
        <is>
          <t>13187 Berlin - Pankow</t>
        </is>
      </c>
      <c r="E237" s="5" t="n">
        <v>45529</v>
      </c>
      <c r="F237" t="inlineStr">
        <is>
          <t>Sold</t>
        </is>
      </c>
      <c r="G237" s="6">
        <f>HYPERLINK("https://www.kleinanzeigen.de/s-anzeige/fanatic-gecko-120-masten-segel-4-7-7-4-windsurfboard/2845937438-230-3473", "Link")</f>
        <v/>
      </c>
      <c r="H237" s="6">
        <f>HYPERLINK("C:\Projects\Kleinanzeigen-Scraper\offer_images\2845937438", "Link")</f>
        <v/>
      </c>
      <c r="I237" t="inlineStr">
        <is>
          <t>Felix</t>
        </is>
      </c>
      <c r="J237" s="6">
        <f>HYPERLINK("https://www.kleinanzeigen.de/s-bestandsliste.html?userId=7669352", "Link")</f>
        <v/>
      </c>
      <c r="K237" s="7" t="n">
        <v>45549.57871527778</v>
      </c>
      <c r="L237" s="3" t="inlineStr">
        <is>
          <t>480.03</t>
        </is>
      </c>
      <c r="M237" t="inlineStr">
        <is>
          <t>Köln</t>
        </is>
      </c>
    </row>
    <row r="238">
      <c r="A238" t="inlineStr">
        <is>
          <t>Includes Neilpryde Hellcat 6.7 sail (2018, good used condition), Neilpryde Ryde 6.0 sail (2018, like new), and Neilpryde SDM Mast X6 (430 cm) compatible with both sails.</t>
        </is>
      </c>
      <c r="B238" s="4" t="n">
        <v>500</v>
      </c>
      <c r="C238" t="inlineStr"/>
      <c r="D238" t="inlineStr">
        <is>
          <t>82178 Bayern - Puchheim</t>
        </is>
      </c>
      <c r="E238" s="5" t="n">
        <v>45549</v>
      </c>
      <c r="F238" t="inlineStr">
        <is>
          <t>Sold</t>
        </is>
      </c>
      <c r="G238" s="6">
        <f>HYPERLINK("https://www.kleinanzeigen.de/s-anzeige/windsurf-segel-neilpryde-hellcat-6-7-und-ryde-6-0-inkl-np-mast/2862657646-230-5599", "Link")</f>
        <v/>
      </c>
      <c r="H238" s="6">
        <f>HYPERLINK("C:\Projects\Kleinanzeigen-Scraper\offer_images\2862657646", "Link")</f>
        <v/>
      </c>
      <c r="I238" t="inlineStr">
        <is>
          <t>Michael Nanini</t>
        </is>
      </c>
      <c r="J238" s="6">
        <f>HYPERLINK("https://www.kleinanzeigen.de/s-bestandsliste.html?userId=11859414", "Link")</f>
        <v/>
      </c>
      <c r="K238" s="7" t="n">
        <v>45549.57861111111</v>
      </c>
      <c r="L238" s="3" t="inlineStr">
        <is>
          <t>17.38</t>
        </is>
      </c>
      <c r="M238" t="inlineStr">
        <is>
          <t>München</t>
        </is>
      </c>
    </row>
    <row r="239">
      <c r="A239" t="inlineStr">
        <is>
          <t>Beginner Kite Foil Set including Slingshot Hover Glide FKITE V4 Foil, North Sense Foil Board 2021, bags and straps.</t>
        </is>
      </c>
      <c r="B239" s="4" t="n">
        <v>899</v>
      </c>
      <c r="C239" t="inlineStr">
        <is>
          <t>VB</t>
        </is>
      </c>
      <c r="D239" t="inlineStr">
        <is>
          <t>89231 Bayern - Neu Ulm</t>
        </is>
      </c>
      <c r="E239" s="5" t="n">
        <v>45548</v>
      </c>
      <c r="F239" t="inlineStr">
        <is>
          <t>Sold</t>
        </is>
      </c>
      <c r="G239" s="6">
        <f>HYPERLINK("https://www.kleinanzeigen.de/s-anzeige/slingshot-hover-glide-fkite-v4-foil-north-sense-board/2861961740-230-6681", "Link")</f>
        <v/>
      </c>
      <c r="H239" s="6">
        <f>HYPERLINK("C:\Projects\Kleinanzeigen-Scraper\offer_images\2861961740", "Link")</f>
        <v/>
      </c>
      <c r="I239" t="inlineStr">
        <is>
          <t>Valentin Breitling</t>
        </is>
      </c>
      <c r="J239" s="6">
        <f>HYPERLINK("https://www.kleinanzeigen.de/s-bestandsliste.html?userId=24707396", "Link")</f>
        <v/>
      </c>
      <c r="K239" s="7" t="n">
        <v>45549.57850694445</v>
      </c>
      <c r="L239" s="3" t="inlineStr">
        <is>
          <t>83.18</t>
        </is>
      </c>
      <c r="M239" t="inlineStr">
        <is>
          <t>Böblingen</t>
        </is>
      </c>
    </row>
    <row r="240">
      <c r="A240" t="inlineStr">
        <is>
          <t>Set of Naish sails: Nalu 5.3, 5.0 and Hokua 4.6, 4.0, compatible with a 430 cm mast.</t>
        </is>
      </c>
      <c r="B240" s="4" t="n">
        <v>150</v>
      </c>
      <c r="C240" t="inlineStr">
        <is>
          <t>VB</t>
        </is>
      </c>
      <c r="D240" t="inlineStr">
        <is>
          <t>80809 München - Milbertshofen - Am Hart</t>
        </is>
      </c>
      <c r="E240" s="5" t="n">
        <v>45489</v>
      </c>
      <c r="F240" t="inlineStr">
        <is>
          <t>Sold</t>
        </is>
      </c>
      <c r="G240" s="6">
        <f>HYPERLINK("https://www.kleinanzeigen.de/s-anzeige/set-surfsegel-naish-nalu-und-hokua-5-3-5-0-4-6-4-0/2814188970-230-6471", "Link")</f>
        <v/>
      </c>
      <c r="H240" s="6">
        <f>HYPERLINK("C:\Projects\Kleinanzeigen-Scraper\offer_images\2814188970", "Link")</f>
        <v/>
      </c>
      <c r="I240" t="inlineStr">
        <is>
          <t>Wolfgang</t>
        </is>
      </c>
      <c r="J240" s="6">
        <f>HYPERLINK("https://www.kleinanzeigen.de/s-bestandsliste.html?userId=10675782", "Link")</f>
        <v/>
      </c>
      <c r="K240" s="7" t="n">
        <v>45549.57848379629</v>
      </c>
      <c r="L240" s="3" t="inlineStr">
        <is>
          <t>5.17</t>
        </is>
      </c>
      <c r="M240" t="inlineStr">
        <is>
          <t>München</t>
        </is>
      </c>
    </row>
    <row r="241">
      <c r="A241" t="inlineStr">
        <is>
          <t>Complete set for beginners including Fanatic Hot Bat Windsurf Board (320 cm, 160 liters), Neilpryde sails (3.9 and 5.4), ART sail (7.2), mast, and 2 booms. All used but in good condition.</t>
        </is>
      </c>
      <c r="B241" s="4" t="n">
        <v>449</v>
      </c>
      <c r="C241" t="inlineStr"/>
      <c r="D241" t="inlineStr">
        <is>
          <t>80798 München - Maxvorstadt</t>
        </is>
      </c>
      <c r="E241" s="5" t="n">
        <v>45457</v>
      </c>
      <c r="F241" t="inlineStr"/>
      <c r="G241" s="6">
        <f>HYPERLINK("https://www.kleinanzeigen.de/s-anzeige/windsurfen-set-komplett-fanatic-neilpryde-beginner-3-segel-sup/2788054290-230-9616", "Link")</f>
        <v/>
      </c>
      <c r="H241" s="6">
        <f>HYPERLINK("C:\Projects\Kleinanzeigen-Scraper\offer_images\2788054290", "Link")</f>
        <v/>
      </c>
      <c r="I241" t="inlineStr">
        <is>
          <t>Jonas</t>
        </is>
      </c>
      <c r="J241" s="6">
        <f>HYPERLINK("https://www.kleinanzeigen.de/s-bestandsliste.html?userId=11412375", "Link")</f>
        <v/>
      </c>
      <c r="K241" s="7" t="n">
        <v>45549.57831018518</v>
      </c>
      <c r="L241" s="3" t="inlineStr">
        <is>
          <t>2.07</t>
        </is>
      </c>
      <c r="M241" t="inlineStr">
        <is>
          <t>München</t>
        </is>
      </c>
    </row>
    <row r="242">
      <c r="A242" t="inlineStr">
        <is>
          <t>Complete windsurfing set including a Windsurfboard, Sail, Mast, and Boom, used but in good condition and ready to use.</t>
        </is>
      </c>
      <c r="B242" s="4" t="n">
        <v>1.4</v>
      </c>
      <c r="C242" t="inlineStr">
        <is>
          <t>VB</t>
        </is>
      </c>
      <c r="D242" t="inlineStr">
        <is>
          <t>90530 Bayern - Wendelstein</t>
        </is>
      </c>
      <c r="E242" s="5" t="n">
        <v>45542</v>
      </c>
      <c r="F242" t="inlineStr">
        <is>
          <t>Sold</t>
        </is>
      </c>
      <c r="G242" s="6">
        <f>HYPERLINK("https://www.kleinanzeigen.de/s-anzeige/windsurfboard-set-rocket-135-tabou-surfen-board/2856449200-230-5655", "Link")</f>
        <v/>
      </c>
      <c r="H242" s="6">
        <f>HYPERLINK("C:\Projects\Kleinanzeigen-Scraper\offer_images\2856449200", "Link")</f>
        <v/>
      </c>
      <c r="I242" t="inlineStr">
        <is>
          <t>Claudia Löhlein</t>
        </is>
      </c>
      <c r="J242" s="6">
        <f>HYPERLINK("https://www.kleinanzeigen.de/s-bestandsliste.html?userId=19488940", "Link")</f>
        <v/>
      </c>
      <c r="K242" s="7" t="n">
        <v>45549.57831018518</v>
      </c>
      <c r="L242" s="3" t="inlineStr">
        <is>
          <t>137.59</t>
        </is>
      </c>
      <c r="M242" t="inlineStr">
        <is>
          <t>München</t>
        </is>
      </c>
    </row>
    <row r="243">
      <c r="A243" t="inlineStr">
        <is>
          <t>Includes 9 older but functional wave, race, and freeride sails (brands: Gaastra, Arrow, Neil Pryde), various matching masts and booms, and a Tabou Rocket 135L freeride board (foil ready).</t>
        </is>
      </c>
      <c r="B243" s="4" t="n">
        <v>2</v>
      </c>
      <c r="C243" t="inlineStr">
        <is>
          <t>VB</t>
        </is>
      </c>
      <c r="D243" t="inlineStr">
        <is>
          <t>28717 Burglesum - Lesum</t>
        </is>
      </c>
      <c r="E243" s="5" t="n">
        <v>45547</v>
      </c>
      <c r="F243" t="inlineStr">
        <is>
          <t>Sold</t>
        </is>
      </c>
      <c r="G243" s="6">
        <f>HYPERLINK("https://www.kleinanzeigen.de/s-anzeige/windsurfen-egal-wie-es-grad-weht-/2861649540-230-8", "Link")</f>
        <v/>
      </c>
      <c r="H243" s="6">
        <f>HYPERLINK("C:\Projects\Kleinanzeigen-Scraper\offer_images\2861649540", "Link")</f>
        <v/>
      </c>
      <c r="I243" t="inlineStr">
        <is>
          <t>Thomas</t>
        </is>
      </c>
      <c r="J243" s="6">
        <f>HYPERLINK("https://www.kleinanzeigen.de/s-bestandsliste.html?userId=48944787", "Link")</f>
        <v/>
      </c>
      <c r="K243" s="7" t="n">
        <v>45549.57828703704</v>
      </c>
      <c r="L243" s="3" t="inlineStr">
        <is>
          <t>275.02</t>
        </is>
      </c>
      <c r="M243" t="inlineStr">
        <is>
          <t>Köln</t>
        </is>
      </c>
    </row>
    <row r="244">
      <c r="A244" t="inlineStr">
        <is>
          <t>Complete set including Board (Starboard SUP 7x 31 Air Foil), Foil (S-Type 2000 Quick Lock II Glass), and Wing (Freewing FW23 Go 5.5).</t>
        </is>
      </c>
      <c r="B244" s="4" t="n">
        <v>1.89</v>
      </c>
      <c r="C244" t="inlineStr">
        <is>
          <t>VB</t>
        </is>
      </c>
      <c r="D244" t="inlineStr">
        <is>
          <t>82494 Bayern - Krün</t>
        </is>
      </c>
      <c r="E244" s="5" t="n">
        <v>45544</v>
      </c>
      <c r="F244" t="inlineStr">
        <is>
          <t>Sold</t>
        </is>
      </c>
      <c r="G244" s="6">
        <f>HYPERLINK("https://www.kleinanzeigen.de/s-anzeige/starboard-wing-foil-set-2x-in-gebrauch-beginner-komplett-set/2858319323-230-6347", "Link")</f>
        <v/>
      </c>
      <c r="H244" s="6">
        <f>HYPERLINK("C:\Projects\Kleinanzeigen-Scraper\offer_images\2858319323", "Link")</f>
        <v/>
      </c>
      <c r="I244" t="inlineStr">
        <is>
          <t>Stichhaller</t>
        </is>
      </c>
      <c r="J244" s="6">
        <f>HYPERLINK("https://www.kleinanzeigen.de/s-bestandsliste.html?userId=17337647", "Link")</f>
        <v/>
      </c>
      <c r="K244" s="7" t="n">
        <v>45549.57824074074</v>
      </c>
      <c r="L244" s="3" t="inlineStr">
        <is>
          <t>73.52</t>
        </is>
      </c>
      <c r="M244" t="inlineStr">
        <is>
          <t>München</t>
        </is>
      </c>
    </row>
    <row r="245">
      <c r="A245" t="inlineStr">
        <is>
          <t>Complete set including Neilpryde JP Board, 2 sails, mast, and boom. Minimal storage marks, never used.</t>
        </is>
      </c>
      <c r="B245" s="4" t="n">
        <v>1.55</v>
      </c>
      <c r="C245" t="inlineStr"/>
      <c r="D245" t="inlineStr">
        <is>
          <t>87459 Bayern - Pfronten</t>
        </is>
      </c>
      <c r="E245" s="5" t="n">
        <v>45508</v>
      </c>
      <c r="F245" t="inlineStr">
        <is>
          <t>Sold</t>
        </is>
      </c>
      <c r="G245" s="6">
        <f>HYPERLINK("https://www.kleinanzeigen.de/s-anzeige/windsurf-neilpryde-jp-board-set-mast-2-segel-bag-gabelbaum-neuw-/2828448793-230-5528", "Link")</f>
        <v/>
      </c>
      <c r="H245" s="6">
        <f>HYPERLINK("C:\Projects\Kleinanzeigen-Scraper\offer_images\2828448793", "Link")</f>
        <v/>
      </c>
      <c r="I245" t="inlineStr">
        <is>
          <t>Angy</t>
        </is>
      </c>
      <c r="J245" s="6">
        <f>HYPERLINK("https://www.kleinanzeigen.de/s-bestandsliste.html?userId=49562339", "Link")</f>
        <v/>
      </c>
      <c r="K245" s="7" t="n">
        <v>45549.57811342592</v>
      </c>
      <c r="L245" s="3" t="inlineStr">
        <is>
          <t>99.84</t>
        </is>
      </c>
      <c r="M245" t="inlineStr">
        <is>
          <t>München</t>
        </is>
      </c>
    </row>
    <row r="246">
      <c r="A246" t="inlineStr">
        <is>
          <t>Complete windfoil setup including Fanatic Stingray board (140L) and Starboard GTR foil, with bags included.</t>
        </is>
      </c>
      <c r="B246" s="4" t="n">
        <v>1.1</v>
      </c>
      <c r="C246" t="inlineStr">
        <is>
          <t>VB</t>
        </is>
      </c>
      <c r="D246" t="inlineStr">
        <is>
          <t>86972 Bayern - Altenstadt</t>
        </is>
      </c>
      <c r="E246" s="5" t="n">
        <v>45535</v>
      </c>
      <c r="F246" t="inlineStr"/>
      <c r="G246" s="6">
        <f>HYPERLINK("https://www.kleinanzeigen.de/s-anzeige/windsurffoil-fanatic-stingray-140l-starboard-gtr-foil/2850698433-230-6557", "Link")</f>
        <v/>
      </c>
      <c r="H246" s="6">
        <f>HYPERLINK("C:\Projects\Kleinanzeigen-Scraper\offer_images\2850698433", "Link")</f>
        <v/>
      </c>
      <c r="I246" t="inlineStr">
        <is>
          <t>Johannes</t>
        </is>
      </c>
      <c r="J246" s="6">
        <f>HYPERLINK("https://www.kleinanzeigen.de/s-bestandsliste.html?userId=43847253", "Link")</f>
        <v/>
      </c>
      <c r="K246" s="7" t="n">
        <v>45549.57803240741</v>
      </c>
      <c r="L246" s="3" t="inlineStr">
        <is>
          <t>62.44</t>
        </is>
      </c>
      <c r="M246" t="inlineStr">
        <is>
          <t>München</t>
        </is>
      </c>
    </row>
    <row r="247">
      <c r="A247" t="inlineStr">
        <is>
          <t>Complete Kitesurf Set including 14m Naish Park Kite, North Kiteboarding SPIKE Board (153/46.5), Naish Control System Bar, Naish Pump, and various accessories.</t>
        </is>
      </c>
      <c r="B247" s="4" t="n">
        <v>1.2</v>
      </c>
      <c r="C247" t="inlineStr">
        <is>
          <t>VB</t>
        </is>
      </c>
      <c r="D247" t="inlineStr">
        <is>
          <t>91632 Bayern - Wieseth</t>
        </is>
      </c>
      <c r="E247" s="5" t="n">
        <v>45486</v>
      </c>
      <c r="F247" t="inlineStr">
        <is>
          <t>Sold</t>
        </is>
      </c>
      <c r="G247" s="6">
        <f>HYPERLINK("https://www.kleinanzeigen.de/s-anzeige/kitesurf-set-naish-park-north-wie-neu-komplett-set/2811592220-187-6125", "Link")</f>
        <v/>
      </c>
      <c r="H247" s="6">
        <f>HYPERLINK("C:\Projects\Kleinanzeigen-Scraper\offer_images\2811592220", "Link")</f>
        <v/>
      </c>
      <c r="I247" t="inlineStr">
        <is>
          <t>Mar.Un.</t>
        </is>
      </c>
      <c r="J247" s="6">
        <f>HYPERLINK("https://www.kleinanzeigen.de/s-bestandsliste.html?userId=140481775", "Link")</f>
        <v/>
      </c>
      <c r="K247" s="7" t="n">
        <v>45549.57795138889</v>
      </c>
      <c r="L247" s="3" t="inlineStr">
        <is>
          <t>122.67</t>
        </is>
      </c>
      <c r="M247" t="inlineStr">
        <is>
          <t>Böblingen</t>
        </is>
      </c>
    </row>
    <row r="248">
      <c r="A248" t="inlineStr">
        <is>
          <t>Complete kite equipment including Best Kahoona+ 13.5m² kite, Naish Hero board (140 x 43), Daikine waist harness, Best RP bar V4 (52cm) with lines, Best2L pump, Naish transport roller bag, and kite pack sack.</t>
        </is>
      </c>
      <c r="B248" s="4" t="n">
        <v>849</v>
      </c>
      <c r="C248" t="inlineStr">
        <is>
          <t>VB</t>
        </is>
      </c>
      <c r="D248" t="inlineStr">
        <is>
          <t>61381 Hessen - Friedrichsdorf</t>
        </is>
      </c>
      <c r="E248" s="5" t="n">
        <v>45540</v>
      </c>
      <c r="F248" t="inlineStr">
        <is>
          <t>Sold</t>
        </is>
      </c>
      <c r="G248" s="6">
        <f>HYPERLINK("https://www.kleinanzeigen.de/s-anzeige/kite-set-best-kahoona-13-5m-naish-hero-zubehoer/2855316287-230-4567", "Link")</f>
        <v/>
      </c>
      <c r="H248" s="6">
        <f>HYPERLINK("C:\Projects\Kleinanzeigen-Scraper\offer_images\2855316287", "Link")</f>
        <v/>
      </c>
      <c r="I248" t="inlineStr">
        <is>
          <t>Andreas Krämer</t>
        </is>
      </c>
      <c r="J248" s="6">
        <f>HYPERLINK("https://www.kleinanzeigen.de/s-bestandsliste.html?userId=7755508", "Link")</f>
        <v/>
      </c>
      <c r="K248" s="7" t="n">
        <v>45549.57793981482</v>
      </c>
      <c r="L248" s="3" t="inlineStr">
        <is>
          <t>140.13</t>
        </is>
      </c>
      <c r="M248" t="inlineStr">
        <is>
          <t>Köln</t>
        </is>
      </c>
    </row>
    <row r="249">
      <c r="A249" t="inlineStr">
        <is>
          <t>Duotone Echo Wing 3.3m, includes Wing, Gabelbaumstange, Tasche, Pumpe, and Leash.</t>
        </is>
      </c>
      <c r="B249" s="4" t="n">
        <v>270</v>
      </c>
      <c r="C249" t="inlineStr"/>
      <c r="D249" t="inlineStr">
        <is>
          <t>13467 Berlin - Reinickendorf</t>
        </is>
      </c>
      <c r="E249" s="5" t="n">
        <v>45541</v>
      </c>
      <c r="F249" t="inlineStr">
        <is>
          <t>Sold</t>
        </is>
      </c>
      <c r="G249" s="6">
        <f>HYPERLINK("https://www.kleinanzeigen.de/s-anzeige/duotone-echo-wing-3-3m-3-3m-qm-wingsurf-wingfoil-surf-foil/2856097461-230-3455", "Link")</f>
        <v/>
      </c>
      <c r="H249" s="6">
        <f>HYPERLINK("C:\Projects\Kleinanzeigen-Scraper\offer_images\2856097461", "Link")</f>
        <v/>
      </c>
      <c r="I249" t="inlineStr">
        <is>
          <t>Johannes</t>
        </is>
      </c>
      <c r="J249" s="6">
        <f>HYPERLINK("https://www.kleinanzeigen.de/s-bestandsliste.html?userId=75398664", "Link")</f>
        <v/>
      </c>
      <c r="K249" s="7" t="n">
        <v>45549.57790509259</v>
      </c>
      <c r="L249" s="3" t="inlineStr">
        <is>
          <t>474.84</t>
        </is>
      </c>
      <c r="M249" t="inlineStr">
        <is>
          <t>Köln</t>
        </is>
      </c>
    </row>
    <row r="250">
      <c r="A250" t="inlineStr">
        <is>
          <t>Starboard SUP Windsurf Sail Compact Package including a four-part mast and a three-part boom, available in sizes 4.5, 5.5, and 6.5.</t>
        </is>
      </c>
      <c r="B250" s="4" t="n">
        <v>768</v>
      </c>
      <c r="C250" t="inlineStr"/>
      <c r="D250" t="inlineStr">
        <is>
          <t>82319 Bayern - Starnberg</t>
        </is>
      </c>
      <c r="E250" s="5" t="n">
        <v>45551</v>
      </c>
      <c r="F250" t="inlineStr"/>
      <c r="G250" s="6">
        <f>HYPERLINK("https://www.kleinanzeigen.de/s-anzeige/starboard-sup-windsurf-sail-compact-package-2022-neu-/2451549386-230-5525", "Link")</f>
        <v/>
      </c>
      <c r="H250" s="6">
        <f>HYPERLINK("C:\Projects\Kleinanzeigen-Scraper\offer_images\2451549386", "Link")</f>
        <v/>
      </c>
      <c r="I250" t="inlineStr">
        <is>
          <t>No user name</t>
        </is>
      </c>
      <c r="J250" s="6">
        <f>HYPERLINK("https://www.kleinanzeigen.deNo user link", "Link")</f>
        <v/>
      </c>
      <c r="K250" s="7" t="n">
        <v>45549.57788194445</v>
      </c>
      <c r="L250" s="3" t="inlineStr">
        <is>
          <t>23.17</t>
        </is>
      </c>
      <c r="M250" t="inlineStr">
        <is>
          <t>München</t>
        </is>
      </c>
    </row>
    <row r="251">
      <c r="A251" t="inlineStr">
        <is>
          <t>Severne Convert 6.7 and 7.5 sails, both from 2021, with various conditions and repairs noted.</t>
        </is>
      </c>
      <c r="B251" s="4" t="n">
        <v>250</v>
      </c>
      <c r="C251" t="inlineStr">
        <is>
          <t>VB</t>
        </is>
      </c>
      <c r="D251" t="inlineStr">
        <is>
          <t>23769 Fehmarn - Westfehmarn</t>
        </is>
      </c>
      <c r="E251" s="5" t="n">
        <v>45557</v>
      </c>
      <c r="F251" t="inlineStr"/>
      <c r="G251" s="6">
        <f>HYPERLINK("https://www.kleinanzeigen.de/s-anzeige/severne-convert-6-7-7-5-ab-250-/2745040521-230-430", "Link")</f>
        <v/>
      </c>
      <c r="H251" s="6">
        <f>HYPERLINK("C:\Projects\Kleinanzeigen-Scraper\offer_images\2745040521", "Link")</f>
        <v/>
      </c>
      <c r="I251" t="inlineStr">
        <is>
          <t>No user name</t>
        </is>
      </c>
      <c r="J251" s="6">
        <f>HYPERLINK("https://www.kleinanzeigen.deNo user link", "Link")</f>
        <v/>
      </c>
      <c r="K251" s="7" t="n">
        <v>45549.5778125</v>
      </c>
      <c r="L251" s="3" t="inlineStr">
        <is>
          <t>483.01</t>
        </is>
      </c>
      <c r="M251" t="inlineStr">
        <is>
          <t>Köln</t>
        </is>
      </c>
    </row>
    <row r="252">
      <c r="A252" t="inlineStr">
        <is>
          <t>Complete windsurfing set including a 295cm board and three different fins.</t>
        </is>
      </c>
      <c r="B252" s="4" t="n">
        <v>50</v>
      </c>
      <c r="C252" t="inlineStr">
        <is>
          <t>VB</t>
        </is>
      </c>
      <c r="D252" t="inlineStr">
        <is>
          <t>71384 Baden-Württemberg - Weinstadt</t>
        </is>
      </c>
      <c r="E252" s="5" t="n">
        <v>45532</v>
      </c>
      <c r="F252" t="inlineStr">
        <is>
          <t>Sold</t>
        </is>
      </c>
      <c r="G252" s="6">
        <f>HYPERLINK("https://www.kleinanzeigen.de/s-anzeige/fanatic-windsurfing-board-set/2848525795-230-8386", "Link")</f>
        <v/>
      </c>
      <c r="H252" s="6">
        <f>HYPERLINK("C:\Projects\Kleinanzeigen-Scraper\offer_images\2848525795", "Link")</f>
        <v/>
      </c>
      <c r="I252" t="inlineStr">
        <is>
          <t>Thomas D.</t>
        </is>
      </c>
      <c r="J252" s="6">
        <f>HYPERLINK("https://www.kleinanzeigen.de/s-bestandsliste.html?userId=35440059", "Link")</f>
        <v/>
      </c>
      <c r="K252" s="7" t="n">
        <v>45549.57777777778</v>
      </c>
      <c r="L252" s="3" t="inlineStr">
        <is>
          <t>33.53</t>
        </is>
      </c>
      <c r="M252" t="inlineStr">
        <is>
          <t>Böblingen</t>
        </is>
      </c>
    </row>
    <row r="253">
      <c r="A253" t="inlineStr">
        <is>
          <t>Complete windsurfing equipment including JP Australia Freeride board (130L, 274 x 66.5), North Ego sail (4.7), RDM mast, boom, and various accessories.</t>
        </is>
      </c>
      <c r="B253" s="4" t="n">
        <v>350</v>
      </c>
      <c r="C253" t="inlineStr">
        <is>
          <t>VB</t>
        </is>
      </c>
      <c r="D253" t="inlineStr">
        <is>
          <t>88131 Bayern - Lindau</t>
        </is>
      </c>
      <c r="E253" s="5" t="n">
        <v>45520</v>
      </c>
      <c r="F253" t="inlineStr"/>
      <c r="G253" s="6">
        <f>HYPERLINK("https://www.kleinanzeigen.de/s-anzeige/windsurfausruestung-komplett-jp-australia-freeride-f2-rdm-mast/2838220665-230-7707", "Link")</f>
        <v/>
      </c>
      <c r="H253" s="6">
        <f>HYPERLINK("C:\Projects\Kleinanzeigen-Scraper\offer_images\2838220665", "Link")</f>
        <v/>
      </c>
      <c r="I253" t="inlineStr">
        <is>
          <t>Manfred</t>
        </is>
      </c>
      <c r="J253" s="6">
        <f>HYPERLINK("https://www.kleinanzeigen.de/s-bestandsliste.html?userId=77435235", "Link")</f>
        <v/>
      </c>
      <c r="K253" s="7" t="n">
        <v>45549.57775462963</v>
      </c>
      <c r="L253" s="3" t="inlineStr">
        <is>
          <t>104.13</t>
        </is>
      </c>
      <c r="M253" t="inlineStr">
        <is>
          <t>Bonndorf</t>
        </is>
      </c>
    </row>
    <row r="254">
      <c r="A254" t="inlineStr">
        <is>
          <t>Set includes two Naish kites (10 m² and 12 m²), pump, two bags, two control systems, and an additional board available upon request.</t>
        </is>
      </c>
      <c r="B254" s="4" t="n">
        <v>1</v>
      </c>
      <c r="C254" t="inlineStr">
        <is>
          <t>VB</t>
        </is>
      </c>
      <c r="D254" t="inlineStr">
        <is>
          <t>51065 Köln - Mülheim</t>
        </is>
      </c>
      <c r="E254" s="5" t="n">
        <v>45495</v>
      </c>
      <c r="F254" t="inlineStr">
        <is>
          <t>Sold</t>
        </is>
      </c>
      <c r="G254" s="6">
        <f>HYPERLINK("https://www.kleinanzeigen.de/s-anzeige/naish-kites-set-bar-board-und-viele-extras/2818502737-230-997", "Link")</f>
        <v/>
      </c>
      <c r="H254" s="6">
        <f>HYPERLINK("C:\Projects\Kleinanzeigen-Scraper\offer_images\2818502737", "Link")</f>
        <v/>
      </c>
      <c r="I254" t="inlineStr">
        <is>
          <t>Christoph Hüsch</t>
        </is>
      </c>
      <c r="J254" s="6">
        <f>HYPERLINK("https://www.kleinanzeigen.de/s-bestandsliste.html?userId=51740436", "Link")</f>
        <v/>
      </c>
      <c r="K254" s="7" t="n">
        <v>45549.57767361111</v>
      </c>
      <c r="L254" s="3" t="inlineStr">
        <is>
          <t>4.45</t>
        </is>
      </c>
      <c r="M254" t="inlineStr">
        <is>
          <t>Köln</t>
        </is>
      </c>
    </row>
    <row r="255">
      <c r="A255" t="inlineStr">
        <is>
          <t>Aero AL 90/76 SLS 24 Glide Duotone Foil Komplett Set including wings, mast, and accessories with light signs of use.</t>
        </is>
      </c>
      <c r="B255" s="4" t="n">
        <v>1.1</v>
      </c>
      <c r="C255" t="inlineStr">
        <is>
          <t>VB</t>
        </is>
      </c>
      <c r="D255" t="inlineStr">
        <is>
          <t>34281 Hessen - Gudensberg</t>
        </is>
      </c>
      <c r="E255" s="5" t="n">
        <v>45547</v>
      </c>
      <c r="F255" t="inlineStr">
        <is>
          <t>Sold</t>
        </is>
      </c>
      <c r="G255" s="6">
        <f>HYPERLINK("https://www.kleinanzeigen.de/s-anzeige/aero-al-90-76-sls-24-glide-duotone-foil-komplett-set-24/2860928356-230-4423", "Link")</f>
        <v/>
      </c>
      <c r="H255" s="6">
        <f>HYPERLINK("C:\Projects\Kleinanzeigen-Scraper\offer_images\2860928356", "Link")</f>
        <v/>
      </c>
      <c r="I255" t="inlineStr">
        <is>
          <t>Kai</t>
        </is>
      </c>
      <c r="J255" s="6">
        <f>HYPERLINK("https://www.kleinanzeigen.de/s-bestandsliste.html?userId=40384233", "Link")</f>
        <v/>
      </c>
      <c r="K255" s="7" t="n">
        <v>45549.57761574074</v>
      </c>
      <c r="L255" s="3" t="inlineStr">
        <is>
          <t>170.54</t>
        </is>
      </c>
      <c r="M255" t="inlineStr">
        <is>
          <t>Köln</t>
        </is>
      </c>
    </row>
    <row r="256">
      <c r="A256" t="inlineStr">
        <is>
          <t>Complete Windsurf Set including HiFly Board, NeilPryde 6.0 Sail, HighFly 5.4 Sail with Mast and Boom.</t>
        </is>
      </c>
      <c r="B256" s="4" t="n">
        <v>120</v>
      </c>
      <c r="C256" t="inlineStr"/>
      <c r="D256" t="inlineStr">
        <is>
          <t>25499 Kreis Pinneberg - Tangstedt</t>
        </is>
      </c>
      <c r="E256" s="5" t="n">
        <v>45523</v>
      </c>
      <c r="F256" t="inlineStr"/>
      <c r="G256" s="6">
        <f>HYPERLINK("https://www.kleinanzeigen.de/s-anzeige/windsurf-set-hifly-board-neilpryde-6-0-segel-high/2841253688-230-792", "Link")</f>
        <v/>
      </c>
      <c r="H256" s="6">
        <f>HYPERLINK("C:\Projects\Kleinanzeigen-Scraper\offer_images\2841253688", "Link")</f>
        <v/>
      </c>
      <c r="I256" t="inlineStr">
        <is>
          <t>K.S.</t>
        </is>
      </c>
      <c r="J256" s="6">
        <f>HYPERLINK("https://www.kleinanzeigen.de/s-bestandsliste.html?userId=20671765", "Link")</f>
        <v/>
      </c>
      <c r="K256" s="7" t="n">
        <v>45549.57751157408</v>
      </c>
      <c r="L256" s="3" t="inlineStr">
        <is>
          <t>362.84</t>
        </is>
      </c>
      <c r="M256" t="inlineStr">
        <is>
          <t>Köln</t>
        </is>
      </c>
    </row>
    <row r="257">
      <c r="A257" t="inlineStr">
        <is>
          <t>Two neuwertige Loftsails Oxygen sails (5.8 and 6.8) with corresponding 100% Carbon masts (400cm and 430cm) in SDM.</t>
        </is>
      </c>
      <c r="B257" s="4" t="n">
        <v>900</v>
      </c>
      <c r="C257" t="inlineStr"/>
      <c r="D257" t="inlineStr">
        <is>
          <t>84095 Kr. Landshut - Furth</t>
        </is>
      </c>
      <c r="E257" s="5" t="n">
        <v>45537</v>
      </c>
      <c r="F257" t="inlineStr">
        <is>
          <t>Sold</t>
        </is>
      </c>
      <c r="G257" s="6">
        <f>HYPERLINK("https://www.kleinanzeigen.de/s-anzeige/setpreis-loftsails-oxygen-hd-5-8-6-8-mit-100-team-edition/2775472955-230-6398", "Link")</f>
        <v/>
      </c>
      <c r="H257" s="6">
        <f>HYPERLINK("C:\Projects\Kleinanzeigen-Scraper\offer_images\2775472955", "Link")</f>
        <v/>
      </c>
      <c r="I257" t="inlineStr">
        <is>
          <t>Niklas</t>
        </is>
      </c>
      <c r="J257" s="6">
        <f>HYPERLINK("https://www.kleinanzeigen.de/s-bestandsliste.html?userId=22205576", "Link")</f>
        <v/>
      </c>
      <c r="K257" s="7" t="n">
        <v>45549.57746527778</v>
      </c>
      <c r="L257" s="3" t="inlineStr">
        <is>
          <t>60.37</t>
        </is>
      </c>
      <c r="M257" t="inlineStr">
        <is>
          <t>München</t>
        </is>
      </c>
    </row>
    <row r="258">
      <c r="A258" t="inlineStr">
        <is>
          <t>Complete iFoil Set including Naish 2023 Foil Mast Alu 75, Naish 2023 Jet Foil Semi Complete 2000, Naish 2022/23 Wingsurfer MK4 5.5qm, STX 2022/23 Inflatable 5'10, all original bags/parts included, with a new unused pump.</t>
        </is>
      </c>
      <c r="B258" s="4" t="n">
        <v>1.499</v>
      </c>
      <c r="C258" t="inlineStr">
        <is>
          <t>VB</t>
        </is>
      </c>
      <c r="D258" t="inlineStr">
        <is>
          <t>52499 Nordrhein-Westfalen - Baesweiler</t>
        </is>
      </c>
      <c r="E258" s="5" t="n">
        <v>45529</v>
      </c>
      <c r="F258" t="inlineStr">
        <is>
          <t>Sold</t>
        </is>
      </c>
      <c r="G258" s="6">
        <f>HYPERLINK("https://www.kleinanzeigen.de/s-anzeige/naish-stx-wing-foil-einsteiger-set-kompl-/2846153540-230-1710", "Link")</f>
        <v/>
      </c>
      <c r="H258" s="6">
        <f>HYPERLINK("C:\Projects\Kleinanzeigen-Scraper\offer_images\2846153540", "Link")</f>
        <v/>
      </c>
      <c r="I258" t="inlineStr">
        <is>
          <t>GT</t>
        </is>
      </c>
      <c r="J258" s="6">
        <f>HYPERLINK("https://www.kleinanzeigen.de/s-bestandsliste.html?userId=4984231", "Link")</f>
        <v/>
      </c>
      <c r="K258" s="7" t="n">
        <v>45549.57741898148</v>
      </c>
      <c r="L258" s="3" t="inlineStr">
        <is>
          <t>53.24</t>
        </is>
      </c>
      <c r="M258" t="inlineStr">
        <is>
          <t>Köln</t>
        </is>
      </c>
    </row>
    <row r="259">
      <c r="A259" t="inlineStr">
        <is>
          <t>2024 SEVERNE S1 Segelsatz including sails of sizes 3.6, 4.0, 4.4, and 4.8, all in top condition.</t>
        </is>
      </c>
      <c r="B259" s="4" t="n">
        <v>1.96</v>
      </c>
      <c r="C259" t="inlineStr"/>
      <c r="D259" t="inlineStr">
        <is>
          <t>20257 Eimsbüttel - Hamburg Eimsbüttel (Stadtteil)</t>
        </is>
      </c>
      <c r="E259" s="5" t="n">
        <v>45523</v>
      </c>
      <c r="F259" t="inlineStr"/>
      <c r="G259" s="6">
        <f>HYPERLINK("https://www.kleinanzeigen.de/s-anzeige/2024-severne-s1-segelsatz-3-6-4-0-4-4-4-8-top-zustand/2841032828-230-9429", "Link")</f>
        <v/>
      </c>
      <c r="H259" s="6">
        <f>HYPERLINK("C:\Projects\Kleinanzeigen-Scraper\offer_images\2841032828", "Link")</f>
        <v/>
      </c>
      <c r="I259" t="inlineStr">
        <is>
          <t>eckbert</t>
        </is>
      </c>
      <c r="J259" s="6">
        <f>HYPERLINK("https://www.kleinanzeigen.de/s-bestandsliste.html?userId=40296824", "Link")</f>
        <v/>
      </c>
      <c r="K259" s="7" t="n">
        <v>45549.57737268518</v>
      </c>
      <c r="L259" s="3" t="inlineStr">
        <is>
          <t>356.84</t>
        </is>
      </c>
      <c r="M259" t="inlineStr">
        <is>
          <t>Köln</t>
        </is>
      </c>
    </row>
    <row r="260">
      <c r="A260" t="inlineStr">
        <is>
          <t>2 older Gun Sails IMPACT WAVE sails: 1 at 4.5 m² with 406 cm luff and 160 cm boom, 1 at 5.0 m² with 426 cm luff and 170 cm boom, both in excellent condition.</t>
        </is>
      </c>
      <c r="B260" s="4" t="n">
        <v>55</v>
      </c>
      <c r="C260" t="inlineStr">
        <is>
          <t>VB</t>
        </is>
      </c>
      <c r="D260" t="inlineStr">
        <is>
          <t>23909 Herzogtum Lauenburg - Ratzeburg</t>
        </is>
      </c>
      <c r="E260" s="5" t="n">
        <v>45546</v>
      </c>
      <c r="F260" t="inlineStr"/>
      <c r="G260" s="6">
        <f>HYPERLINK("https://www.kleinanzeigen.de/s-anzeige/gun-sails-impact-wave-4-5-5-0-in-top-zustand/2860161747-230-811", "Link")</f>
        <v/>
      </c>
      <c r="H260" s="6">
        <f>HYPERLINK("C:\Projects\Kleinanzeigen-Scraper\offer_images\2860161747", "Link")</f>
        <v/>
      </c>
      <c r="I260" t="inlineStr">
        <is>
          <t>Silvia S.</t>
        </is>
      </c>
      <c r="J260" s="6">
        <f>HYPERLINK("https://www.kleinanzeigen.de/s-bestandsliste.html?userId=86555296", "Link")</f>
        <v/>
      </c>
      <c r="K260" s="7" t="n">
        <v>45549.57737268518</v>
      </c>
      <c r="L260" s="3" t="inlineStr">
        <is>
          <t>401.75</t>
        </is>
      </c>
      <c r="M260" t="inlineStr">
        <is>
          <t>Köln</t>
        </is>
      </c>
    </row>
    <row r="261">
      <c r="A261" t="inlineStr">
        <is>
          <t>Includes two Duotone Rebel kites (9m from 2020 and 7m from 2019) and a Click Bar (2020, M/L).</t>
        </is>
      </c>
      <c r="B261" s="4" t="n">
        <v>1.15</v>
      </c>
      <c r="C261" t="inlineStr"/>
      <c r="D261" t="inlineStr">
        <is>
          <t>28757 Bremen - Vegesack</t>
        </is>
      </c>
      <c r="E261" s="5" t="n">
        <v>45539</v>
      </c>
      <c r="F261" t="inlineStr">
        <is>
          <t>Sold</t>
        </is>
      </c>
      <c r="G261" s="6">
        <f>HYPERLINK("https://www.kleinanzeigen.de/s-anzeige/komplett-paket-2x-duotone-rebel-9-7-click-bar/2854112263-187-12", "Link")</f>
        <v/>
      </c>
      <c r="H261" s="6">
        <f>HYPERLINK("C:\Projects\Kleinanzeigen-Scraper\offer_images\2854112263", "Link")</f>
        <v/>
      </c>
      <c r="I261" t="inlineStr">
        <is>
          <t>Kira Gai</t>
        </is>
      </c>
      <c r="J261" s="6">
        <f>HYPERLINK("https://www.kleinanzeigen.de/s-bestandsliste.html?userId=14673629", "Link")</f>
        <v/>
      </c>
      <c r="K261" s="7" t="n">
        <v>45549.57733796296</v>
      </c>
      <c r="L261" s="3" t="inlineStr">
        <is>
          <t>274.08</t>
        </is>
      </c>
      <c r="M261" t="inlineStr">
        <is>
          <t>Köln</t>
        </is>
      </c>
    </row>
    <row r="262">
      <c r="A262" t="inlineStr">
        <is>
          <t>Duotone Now 3.2 and 4.0 sails, both from 2024, in very good condition, available for viewing and testing at the station.</t>
        </is>
      </c>
      <c r="B262" s="4" t="n">
        <v>450</v>
      </c>
      <c r="C262" t="inlineStr">
        <is>
          <t>VB</t>
        </is>
      </c>
      <c r="D262" t="inlineStr">
        <is>
          <t>23769 Fehmarn - Westfehmarn</t>
        </is>
      </c>
      <c r="E262" s="5" t="n">
        <v>45539</v>
      </c>
      <c r="F262" t="inlineStr">
        <is>
          <t>Sold</t>
        </is>
      </c>
      <c r="G262" s="6">
        <f>HYPERLINK("https://www.kleinanzeigen.de/s-anzeige/duotone-now-3-2-4-0/2781202473-230-430", "Link")</f>
        <v/>
      </c>
      <c r="H262" s="6">
        <f>HYPERLINK("C:\Projects\Kleinanzeigen-Scraper\offer_images\2781202473", "Link")</f>
        <v/>
      </c>
      <c r="I262" t="inlineStr">
        <is>
          <t>No user name</t>
        </is>
      </c>
      <c r="J262" s="6">
        <f>HYPERLINK("https://www.kleinanzeigen.deNo user link", "Link")</f>
        <v/>
      </c>
      <c r="K262" s="7" t="n">
        <v>45549.57731481481</v>
      </c>
      <c r="L262" s="3" t="inlineStr">
        <is>
          <t>483.01</t>
        </is>
      </c>
      <c r="M262" t="inlineStr">
        <is>
          <t>Köln</t>
        </is>
      </c>
    </row>
    <row r="263">
      <c r="A263" t="inlineStr">
        <is>
          <t>Starboard Carbon Foil Set including Carbon Mast 82, Foil 1700, with protective covers, screws, blades, and assembly tool.</t>
        </is>
      </c>
      <c r="B263" s="4" t="n">
        <v>780</v>
      </c>
      <c r="C263" t="inlineStr"/>
      <c r="D263" t="inlineStr">
        <is>
          <t>04179 Leipzig - Altlindenau</t>
        </is>
      </c>
      <c r="E263" s="5" t="n">
        <v>45531</v>
      </c>
      <c r="F263" t="inlineStr">
        <is>
          <t>Sold</t>
        </is>
      </c>
      <c r="G263" s="6">
        <f>HYPERLINK("https://www.kleinanzeigen.de/s-anzeige/starboard-carbon-foil-set-carbon-mast-82-foil-1700-wing-surfen/2847443799-230-4236", "Link")</f>
        <v/>
      </c>
      <c r="H263" s="6">
        <f>HYPERLINK("C:\Projects\Kleinanzeigen-Scraper\offer_images\2847443799", "Link")</f>
        <v/>
      </c>
      <c r="I263" t="inlineStr">
        <is>
          <t>Motte</t>
        </is>
      </c>
      <c r="J263" s="6">
        <f>HYPERLINK("https://www.kleinanzeigen.de/s-bestandsliste.html?userId=55051309", "Link")</f>
        <v/>
      </c>
      <c r="K263" s="7" t="n">
        <v>45549.57726851852</v>
      </c>
      <c r="L263" s="3" t="inlineStr">
        <is>
          <t>361.18</t>
        </is>
      </c>
      <c r="M263" t="inlineStr">
        <is>
          <t>München</t>
        </is>
      </c>
    </row>
    <row r="264">
      <c r="A264" t="inlineStr">
        <is>
          <t>Board: Severne Alien 105, Windsurf Freeride Foil; Foil: Severne Redwing Hydrofoil 1800</t>
        </is>
      </c>
      <c r="B264" s="4" t="n">
        <v>1.5</v>
      </c>
      <c r="C264" t="inlineStr"/>
      <c r="D264" t="inlineStr">
        <is>
          <t>84107 Bayern - Weihmichl</t>
        </is>
      </c>
      <c r="E264" s="5" t="n">
        <v>45529</v>
      </c>
      <c r="F264" t="inlineStr"/>
      <c r="G264" s="6">
        <f>HYPERLINK("https://www.kleinanzeigen.de/s-anzeige/severne-windsurffoil/2845609764-187-6402", "Link")</f>
        <v/>
      </c>
      <c r="H264" s="6">
        <f>HYPERLINK("C:\Projects\Kleinanzeigen-Scraper\offer_images\2845609764", "Link")</f>
        <v/>
      </c>
      <c r="I264" t="inlineStr">
        <is>
          <t>Sittenauer Herbert</t>
        </is>
      </c>
      <c r="J264" s="6">
        <f>HYPERLINK("https://www.kleinanzeigen.de/s-bestandsliste.html?userId=30027096", "Link")</f>
        <v/>
      </c>
      <c r="K264" s="7" t="n">
        <v>45549.57711805555</v>
      </c>
      <c r="L264" s="3" t="inlineStr">
        <is>
          <t>62.44</t>
        </is>
      </c>
      <c r="M264" t="inlineStr">
        <is>
          <t>München</t>
        </is>
      </c>
    </row>
    <row r="265">
      <c r="A265" t="inlineStr">
        <is>
          <t>Simmer Style Windsurfboard 160LEVA, Mast, Boom, and Center Fin</t>
        </is>
      </c>
      <c r="B265" s="4" t="n">
        <v>650</v>
      </c>
      <c r="C265" t="inlineStr">
        <is>
          <t>VB</t>
        </is>
      </c>
      <c r="D265" t="inlineStr">
        <is>
          <t>29345 Niedersachsen - Unterlüß</t>
        </is>
      </c>
      <c r="E265" s="5" t="n">
        <v>45522</v>
      </c>
      <c r="F265" t="inlineStr"/>
      <c r="G265" s="6">
        <f>HYPERLINK("https://www.kleinanzeigen.de/s-anzeige/simmer-style-windsurfbrett-mast-gabel-mittelschwert-finne/2840369922-230-2948", "Link")</f>
        <v/>
      </c>
      <c r="H265" s="6">
        <f>HYPERLINK("C:\Projects\Kleinanzeigen-Scraper\offer_images\2840369922", "Link")</f>
        <v/>
      </c>
      <c r="I265" t="inlineStr">
        <is>
          <t>Michael Harms</t>
        </is>
      </c>
      <c r="J265" s="6">
        <f>HYPERLINK("https://www.kleinanzeigen.de/s-bestandsliste.html?userId=127868240", "Link")</f>
        <v/>
      </c>
      <c r="K265" s="7" t="n">
        <v>45549.57701388889</v>
      </c>
      <c r="L265" s="3" t="inlineStr">
        <is>
          <t>312.04</t>
        </is>
      </c>
      <c r="M265" t="inlineStr">
        <is>
          <t>Köln</t>
        </is>
      </c>
    </row>
    <row r="266">
      <c r="A266" t="inlineStr">
        <is>
          <t>Set includes sails of sizes 3.6, 4.0, 4.4, 4.8, 5.2, and 5.6, all in top condition with minimal use.</t>
        </is>
      </c>
      <c r="B266" s="4" t="n">
        <v>2.1</v>
      </c>
      <c r="C266" t="inlineStr"/>
      <c r="D266" t="inlineStr">
        <is>
          <t>20257 Eimsbüttel - Hamburg Eimsbüttel (Stadtteil)</t>
        </is>
      </c>
      <c r="E266" s="5" t="n">
        <v>45523</v>
      </c>
      <c r="F266" t="inlineStr"/>
      <c r="G266" s="6">
        <f>HYPERLINK("https://www.kleinanzeigen.de/s-anzeige/2024-severne-s1-segelsatz-4-4-4-8-5-2-5-6-top-zustand/2841036917-230-9429", "Link")</f>
        <v/>
      </c>
      <c r="H266" s="6">
        <f>HYPERLINK("C:\Projects\Kleinanzeigen-Scraper\offer_images\2841036917", "Link")</f>
        <v/>
      </c>
      <c r="I266" t="inlineStr">
        <is>
          <t>eckbert</t>
        </is>
      </c>
      <c r="J266" s="6">
        <f>HYPERLINK("https://www.kleinanzeigen.de/s-bestandsliste.html?userId=40296824", "Link")</f>
        <v/>
      </c>
      <c r="K266" s="7" t="n">
        <v>45549.57701388889</v>
      </c>
      <c r="L266" s="3" t="inlineStr">
        <is>
          <t>356.84</t>
        </is>
      </c>
      <c r="M266" t="inlineStr">
        <is>
          <t>Köln</t>
        </is>
      </c>
    </row>
    <row r="267">
      <c r="A267" t="inlineStr">
        <is>
          <t>Fanatic Ultra Boa board with complete accessories including 4 sails, 2 booms, mast, 4 fins, 2 mast extensions, mast foot, 2 mast protectors, start line, board bag (zipper defective), seat harness, and various accessories.</t>
        </is>
      </c>
      <c r="B267" s="4" t="n">
        <v>749</v>
      </c>
      <c r="C267" t="inlineStr">
        <is>
          <t>VB</t>
        </is>
      </c>
      <c r="D267" t="inlineStr">
        <is>
          <t>24787 Schleswig-Holstein - Fockbek</t>
        </is>
      </c>
      <c r="E267" s="5" t="n">
        <v>45531</v>
      </c>
      <c r="F267" t="inlineStr">
        <is>
          <t>Sold</t>
        </is>
      </c>
      <c r="G267" s="6">
        <f>HYPERLINK("https://www.kleinanzeigen.de/s-anzeige/windsurfboard-fanatic-ultra-boa-mit-komplettem-zubehoer/2847695807-230-498", "Link")</f>
        <v/>
      </c>
      <c r="H267" s="6">
        <f>HYPERLINK("C:\Projects\Kleinanzeigen-Scraper\offer_images\2847695807", "Link")</f>
        <v/>
      </c>
      <c r="I267" t="inlineStr">
        <is>
          <t>Thomas Gosch</t>
        </is>
      </c>
      <c r="J267" s="6">
        <f>HYPERLINK("https://www.kleinanzeigen.de/s-bestandsliste.html?userId=5532506", "Link")</f>
        <v/>
      </c>
      <c r="K267" s="7" t="n">
        <v>45549.576875</v>
      </c>
      <c r="L267" s="3" t="inlineStr">
        <is>
          <t>414.38</t>
        </is>
      </c>
      <c r="M267" t="inlineStr">
        <is>
          <t>Köln</t>
        </is>
      </c>
    </row>
    <row r="268">
      <c r="A268" t="inlineStr">
        <is>
          <t>Complete foil set including mast, fuselage, front wing, and back wing from Duotone/Fanatic, with some signs of use. Includes a bag for individual parts.</t>
        </is>
      </c>
      <c r="B268" s="4" t="n">
        <v>1.02</v>
      </c>
      <c r="C268" t="inlineStr">
        <is>
          <t>VB</t>
        </is>
      </c>
      <c r="D268" t="inlineStr">
        <is>
          <t>24235 Schleswig-Holstein - Stein (Probstei)</t>
        </is>
      </c>
      <c r="E268" s="5" t="n">
        <v>45546</v>
      </c>
      <c r="F268" t="inlineStr">
        <is>
          <t>Sold</t>
        </is>
      </c>
      <c r="G268" s="6">
        <f>HYPERLINK("https://www.kleinanzeigen.de/s-anzeige/duotone-fanatic-foil-mast-fuselage-frontwing-backwing/2860476990-230-19456", "Link")</f>
        <v/>
      </c>
      <c r="H268" s="6">
        <f>HYPERLINK("C:\Projects\Kleinanzeigen-Scraper\offer_images\2860476990", "Link")</f>
        <v/>
      </c>
      <c r="I268" t="inlineStr">
        <is>
          <t>Tatort-Hawaii</t>
        </is>
      </c>
      <c r="J268" s="6">
        <f>HYPERLINK("https://www.kleinanzeigen.de/s-bestandsliste.html?userId=65290662", "Link")</f>
        <v/>
      </c>
      <c r="K268" s="7" t="n">
        <v>45549.576875</v>
      </c>
      <c r="L268" s="3" t="inlineStr">
        <is>
          <t>443.73</t>
        </is>
      </c>
      <c r="M268" t="inlineStr">
        <is>
          <t>Köln</t>
        </is>
      </c>
    </row>
    <row r="269">
      <c r="A269" t="inlineStr">
        <is>
          <t>Includes 5.5 Ezzy Legacy sail, 6.5 Ezzy Legacy sail, 7.5 Gunsail sail, Simmer 100% Carbon mast for the smaller sails, Gunsail mast for the larger sail, and a Gunsail Cross boom.</t>
        </is>
      </c>
      <c r="B269" s="4" t="n">
        <v>1.5</v>
      </c>
      <c r="C269" t="inlineStr"/>
      <c r="D269" t="inlineStr">
        <is>
          <t>48291 Nordrhein-Westfalen - Telgte</t>
        </is>
      </c>
      <c r="E269" s="5" t="n">
        <v>45548</v>
      </c>
      <c r="F269" t="inlineStr">
        <is>
          <t>Sold</t>
        </is>
      </c>
      <c r="G269" s="6">
        <f>HYPERLINK("https://www.kleinanzeigen.de/s-anzeige/ezzy-legacy-surf-segel-5-5-u-6-5-gunsail-7-5-neu-simmer-100-c/2861833506-230-1305", "Link")</f>
        <v/>
      </c>
      <c r="H269" s="6">
        <f>HYPERLINK("C:\Projects\Kleinanzeigen-Scraper\offer_images\2861833506", "Link")</f>
        <v/>
      </c>
      <c r="I269" t="inlineStr">
        <is>
          <t>Köbbing</t>
        </is>
      </c>
      <c r="J269" s="6">
        <f>HYPERLINK("https://www.kleinanzeigen.de/s-bestandsliste.html?userId=30507370", "Link")</f>
        <v/>
      </c>
      <c r="K269" s="7" t="n">
        <v>45549.57674768518</v>
      </c>
      <c r="L269" s="3" t="inlineStr">
        <is>
          <t>129.80</t>
        </is>
      </c>
      <c r="M269" t="inlineStr">
        <is>
          <t>Köln</t>
        </is>
      </c>
    </row>
    <row r="270">
      <c r="A270" t="inlineStr">
        <is>
          <t>Fanatic Falcon 145 board, Fanatic Freewave 105 board, 2 aluminum booms (160-210 cm and 138-195 cm), both heavily used.</t>
        </is>
      </c>
      <c r="B270" s="4" t="n">
        <v>10</v>
      </c>
      <c r="C270" t="inlineStr">
        <is>
          <t>VB</t>
        </is>
      </c>
      <c r="D270" t="inlineStr">
        <is>
          <t>25421 Kreis Pinneberg - Pinneberg</t>
        </is>
      </c>
      <c r="E270" s="5" t="n">
        <v>45505</v>
      </c>
      <c r="F270" t="inlineStr">
        <is>
          <t>Sold</t>
        </is>
      </c>
      <c r="G270" s="6">
        <f>HYPERLINK("https://www.kleinanzeigen.de/s-anzeige/fanatic-falcon-145-blank-fanatic-freewave-105-2-gabelbaeume/2826345101-230-786", "Link")</f>
        <v/>
      </c>
      <c r="H270" s="6">
        <f>HYPERLINK("C:\Projects\Kleinanzeigen-Scraper\offer_images\2826345101", "Link")</f>
        <v/>
      </c>
      <c r="I270" t="inlineStr">
        <is>
          <t>Herr Tune Virgils</t>
        </is>
      </c>
      <c r="J270" s="6">
        <f>HYPERLINK("https://www.kleinanzeigen.de/s-bestandsliste.html?userId=14571733", "Link")</f>
        <v/>
      </c>
      <c r="K270" s="7" t="n">
        <v>45549.57665509259</v>
      </c>
      <c r="L270" s="3" t="inlineStr">
        <is>
          <t>357.38</t>
        </is>
      </c>
      <c r="M270" t="inlineStr">
        <is>
          <t>Köln</t>
        </is>
      </c>
    </row>
    <row r="271">
      <c r="A271" t="inlineStr">
        <is>
          <t>Includes Sailloft Mission 7.8 m² sail (Luff: 491 cm, Boom: 218 cm) and Sailloft Ultimate 8.6 m² sail (Luff: 511 cm, Boom: 232 cm), along with a 490 cm 100% Carbon mast.</t>
        </is>
      </c>
      <c r="B271" s="4" t="n">
        <v>499</v>
      </c>
      <c r="C271" t="inlineStr">
        <is>
          <t>VB</t>
        </is>
      </c>
      <c r="D271" t="inlineStr">
        <is>
          <t>81379 Sendling - Obersendling</t>
        </is>
      </c>
      <c r="E271" s="5" t="n">
        <v>45498</v>
      </c>
      <c r="F271" t="inlineStr">
        <is>
          <t>Sold</t>
        </is>
      </c>
      <c r="G271" s="6">
        <f>HYPERLINK("https://www.kleinanzeigen.de/s-anzeige/sailloft-segel-set-carbon-mast/2820521324-230-9618", "Link")</f>
        <v/>
      </c>
      <c r="H271" s="6">
        <f>HYPERLINK("C:\Projects\Kleinanzeigen-Scraper\offer_images\2820521324", "Link")</f>
        <v/>
      </c>
      <c r="I271" t="inlineStr">
        <is>
          <t>Kirchner</t>
        </is>
      </c>
      <c r="J271" s="6">
        <f>HYPERLINK("https://www.kleinanzeigen.de/s-bestandsliste.html?userId=69675775", "Link")</f>
        <v/>
      </c>
      <c r="K271" s="7" t="n">
        <v>45549.57665509259</v>
      </c>
      <c r="L271" s="3" t="inlineStr">
        <is>
          <t>5.49</t>
        </is>
      </c>
      <c r="M271" t="inlineStr">
        <is>
          <t>München</t>
        </is>
      </c>
    </row>
    <row r="272">
      <c r="A272" t="inlineStr">
        <is>
          <t>Fanatic Viper with mast, boom, and sail</t>
        </is>
      </c>
      <c r="B272" s="4" t="n">
        <v>85</v>
      </c>
      <c r="C272" t="inlineStr"/>
      <c r="D272" t="inlineStr">
        <is>
          <t>27578 Häfen - Bremerhaven</t>
        </is>
      </c>
      <c r="E272" s="5" t="n">
        <v>45546</v>
      </c>
      <c r="F272" t="inlineStr">
        <is>
          <t>Sold</t>
        </is>
      </c>
      <c r="G272" s="6">
        <f>HYPERLINK("https://www.kleinanzeigen.de/s-anzeige/fanatic-viper-mit-zubehoer/2860709343-230-54", "Link")</f>
        <v/>
      </c>
      <c r="H272" s="6">
        <f>HYPERLINK("C:\Projects\Kleinanzeigen-Scraper\offer_images\2860709343", "Link")</f>
        <v/>
      </c>
      <c r="I272" t="inlineStr">
        <is>
          <t>Kasper</t>
        </is>
      </c>
      <c r="J272" s="6">
        <f>HYPERLINK("https://www.kleinanzeigen.de/s-bestandsliste.html?userId=13010556", "Link")</f>
        <v/>
      </c>
      <c r="K272" s="7" t="n">
        <v>45549.57664351852</v>
      </c>
      <c r="L272" s="3" t="inlineStr">
        <is>
          <t>315.40</t>
        </is>
      </c>
      <c r="M272" t="inlineStr">
        <is>
          <t>Köln</t>
        </is>
      </c>
    </row>
    <row r="273">
      <c r="A273" t="inlineStr">
        <is>
          <t>Surfboard Fanatic Rabbit (295cm, 64cm, 125L) with sail (5.6qm), 2-part mast, mast foot, boom, fin, foot straps, trapeze, vest, and padded protective cover.</t>
        </is>
      </c>
      <c r="B273" s="4" t="n">
        <v>199</v>
      </c>
      <c r="C273" t="inlineStr">
        <is>
          <t>VB</t>
        </is>
      </c>
      <c r="D273" t="inlineStr">
        <is>
          <t>81543 München - Au-Haidhausen</t>
        </is>
      </c>
      <c r="E273" s="5" t="n">
        <v>45526</v>
      </c>
      <c r="F273" t="inlineStr">
        <is>
          <t>Sold</t>
        </is>
      </c>
      <c r="G273" s="6">
        <f>HYPERLINK("https://www.kleinanzeigen.de/s-anzeige/surfbrett-fanatic-rabbit-vintage-und-neuwertig/2843715529-230-16344", "Link")</f>
        <v/>
      </c>
      <c r="H273" s="6">
        <f>HYPERLINK("C:\Projects\Kleinanzeigen-Scraper\offer_images\2843715529", "Link")</f>
        <v/>
      </c>
      <c r="I273" t="inlineStr">
        <is>
          <t>Erwin Pfuhler</t>
        </is>
      </c>
      <c r="J273" s="6">
        <f>HYPERLINK("https://www.kleinanzeigen.de/s-bestandsliste.html?userId=63266643", "Link")</f>
        <v/>
      </c>
      <c r="K273" s="7" t="n">
        <v>45549.57658564814</v>
      </c>
      <c r="L273" s="3" t="inlineStr">
        <is>
          <t>2.63</t>
        </is>
      </c>
      <c r="M273" t="inlineStr">
        <is>
          <t>München</t>
        </is>
      </c>
    </row>
    <row r="274">
      <c r="A274" t="inlineStr">
        <is>
          <t>Duotone Super Hero HD sails in sizes 4.0, 4.5, and 5.0, with varying conditions.</t>
        </is>
      </c>
      <c r="B274" s="4" t="n">
        <v>1.55</v>
      </c>
      <c r="C274" t="inlineStr"/>
      <c r="D274" t="inlineStr">
        <is>
          <t>80993 München - Moosach</t>
        </is>
      </c>
      <c r="E274" s="5" t="n">
        <v>45538</v>
      </c>
      <c r="F274" t="inlineStr">
        <is>
          <t>Sold</t>
        </is>
      </c>
      <c r="G274" s="6">
        <f>HYPERLINK("https://www.kleinanzeigen.de/s-anzeige/duotone-super-hero-hd-2024-4-0-4-5-5-0/2853615115-230-6446", "Link")</f>
        <v/>
      </c>
      <c r="H274" s="6">
        <f>HYPERLINK("C:\Projects\Kleinanzeigen-Scraper\offer_images\2853615115", "Link")</f>
        <v/>
      </c>
      <c r="I274" t="inlineStr">
        <is>
          <t>Magnus</t>
        </is>
      </c>
      <c r="J274" s="6">
        <f>HYPERLINK("https://www.kleinanzeigen.de/s-bestandsliste.html?userId=86472404", "Link")</f>
        <v/>
      </c>
      <c r="K274" s="7" t="n">
        <v>45549.57652777778</v>
      </c>
      <c r="L274" s="3" t="inlineStr">
        <is>
          <t>6.77</t>
        </is>
      </c>
      <c r="M274" t="inlineStr">
        <is>
          <t>München</t>
        </is>
      </c>
    </row>
    <row r="275">
      <c r="A275" t="inlineStr">
        <is>
          <t>Kitesurf Set including North Neo Kite 10qm (2018), North Gonzales Board (142x41), and Duotone Trust Bar (2019).</t>
        </is>
      </c>
      <c r="B275" s="4" t="n">
        <v>1</v>
      </c>
      <c r="C275" t="inlineStr">
        <is>
          <t>VB</t>
        </is>
      </c>
      <c r="D275" t="inlineStr">
        <is>
          <t>82205 Bayern - Gilching</t>
        </is>
      </c>
      <c r="E275" s="5" t="n">
        <v>45540</v>
      </c>
      <c r="F275" t="inlineStr">
        <is>
          <t>Sold</t>
        </is>
      </c>
      <c r="G275" s="6">
        <f>HYPERLINK("https://www.kleinanzeigen.de/s-anzeige/kitesurf-komplettset-north-neo-10qm-gonzales-board-duotone-bar/2854851122-230-15740", "Link")</f>
        <v/>
      </c>
      <c r="H275" s="6">
        <f>HYPERLINK("C:\Projects\Kleinanzeigen-Scraper\offer_images\2854851122", "Link")</f>
        <v/>
      </c>
      <c r="I275" t="inlineStr">
        <is>
          <t>Nik Jaschhof</t>
        </is>
      </c>
      <c r="J275" s="6">
        <f>HYPERLINK("https://www.kleinanzeigen.de/s-bestandsliste.html?userId=73414619", "Link")</f>
        <v/>
      </c>
      <c r="K275" s="7" t="n">
        <v>45549.57650462963</v>
      </c>
      <c r="L275" s="3" t="inlineStr">
        <is>
          <t>23.04</t>
        </is>
      </c>
      <c r="M275" t="inlineStr">
        <is>
          <t>München</t>
        </is>
      </c>
    </row>
    <row r="276">
      <c r="A276" t="inlineStr">
        <is>
          <t>Fanatic Hawk 108l board including Simmer rig (4.7 sail)</t>
        </is>
      </c>
      <c r="B276" s="4" t="n">
        <v>150</v>
      </c>
      <c r="C276" t="inlineStr">
        <is>
          <t>VB</t>
        </is>
      </c>
      <c r="D276" t="inlineStr">
        <is>
          <t>72770 Baden-Württemberg - Reutlingen</t>
        </is>
      </c>
      <c r="E276" s="5" t="n">
        <v>45510</v>
      </c>
      <c r="F276" t="inlineStr"/>
      <c r="G276" s="6">
        <f>HYPERLINK("https://www.kleinanzeigen.de/s-anzeige/surfbrett-inkl-simmer-rigg-zur-selbstabholung-in-reutlingen/2830797901-230-9353", "Link")</f>
        <v/>
      </c>
      <c r="H276" s="6">
        <f>HYPERLINK("C:\Projects\Kleinanzeigen-Scraper\offer_images\2830797901", "Link")</f>
        <v/>
      </c>
      <c r="I276" t="inlineStr">
        <is>
          <t>H.  Reinbold</t>
        </is>
      </c>
      <c r="J276" s="6">
        <f>HYPERLINK("https://www.kleinanzeigen.de/s-bestandsliste.html?userId=74326215", "Link")</f>
        <v/>
      </c>
      <c r="K276" s="7" t="n">
        <v>45549.57649305555</v>
      </c>
      <c r="L276" s="3" t="inlineStr">
        <is>
          <t>24.76</t>
        </is>
      </c>
      <c r="M276" t="inlineStr">
        <is>
          <t>Böblingen</t>
        </is>
      </c>
    </row>
    <row r="277">
      <c r="A277" t="inlineStr">
        <is>
          <t>North Rave sail 4.9 m², North Vario boom in heavy duty version, sail bag</t>
        </is>
      </c>
      <c r="B277" s="4" t="n">
        <v>100</v>
      </c>
      <c r="C277" t="inlineStr"/>
      <c r="D277" t="inlineStr">
        <is>
          <t>44267 Dortmund - Benninghofen</t>
        </is>
      </c>
      <c r="E277" s="5" t="n">
        <v>45536</v>
      </c>
      <c r="F277" t="inlineStr">
        <is>
          <t>Sold</t>
        </is>
      </c>
      <c r="G277" s="6">
        <f>HYPERLINK("https://www.kleinanzeigen.de/s-anzeige/4-9-north-rave-mit-north-gabelbaum/2851135722-230-1088", "Link")</f>
        <v/>
      </c>
      <c r="H277" s="6">
        <f>HYPERLINK("C:\Projects\Kleinanzeigen-Scraper\offer_images\2851135722", "Link")</f>
        <v/>
      </c>
      <c r="I277" t="inlineStr">
        <is>
          <t>Emil</t>
        </is>
      </c>
      <c r="J277" s="6">
        <f>HYPERLINK("https://www.kleinanzeigen.de/s-bestandsliste.html?userId=54934248", "Link")</f>
        <v/>
      </c>
      <c r="K277" s="7" t="n">
        <v>45549.57648148148</v>
      </c>
      <c r="L277" s="3" t="inlineStr">
        <is>
          <t>70.17</t>
        </is>
      </c>
      <c r="M277" t="inlineStr">
        <is>
          <t>Köln</t>
        </is>
      </c>
    </row>
    <row r="278">
      <c r="A278" t="inlineStr">
        <is>
          <t>Used surf sails including North Idra 5.7 and GUN Sails 5.7, 6.3, and 7.0, suitable for beginners.</t>
        </is>
      </c>
      <c r="B278" s="4" t="inlineStr"/>
      <c r="C278" t="inlineStr">
        <is>
          <t>VB</t>
        </is>
      </c>
      <c r="D278" t="inlineStr">
        <is>
          <t>53819 Nordrhein-Westfalen - Neunkirchen-Seelscheid</t>
        </is>
      </c>
      <c r="E278" s="5" t="n">
        <v>44324</v>
      </c>
      <c r="F278" t="inlineStr"/>
      <c r="G278" s="6">
        <f>HYPERLINK("https://www.kleinanzeigen.de/s-anzeige/diverse-surfsegel-gun-sails-north-sails/1759504130-230-1676", "Link")</f>
        <v/>
      </c>
      <c r="H278" s="6">
        <f>HYPERLINK("C:\Projects\Kleinanzeigen-Scraper\offer_images\1759504130", "Link")</f>
        <v/>
      </c>
      <c r="I278" t="inlineStr">
        <is>
          <t>Niermann</t>
        </is>
      </c>
      <c r="J278" s="6">
        <f>HYPERLINK("https://www.kleinanzeigen.de/s-bestandsliste.html?userId=3407383", "Link")</f>
        <v/>
      </c>
      <c r="K278" s="7" t="n">
        <v>45549.57648148148</v>
      </c>
      <c r="L278" s="3" t="inlineStr">
        <is>
          <t>28.08</t>
        </is>
      </c>
      <c r="M278" t="inlineStr">
        <is>
          <t>Köln</t>
        </is>
      </c>
    </row>
    <row r="279">
      <c r="A279" t="inlineStr">
        <is>
          <t>Neilpryde RSR Evo X sail collection including sails of sizes 7.8 qm, 7.0 qm, 6.4 qm, and 5.6 qm, each priced at 250€.</t>
        </is>
      </c>
      <c r="B279" s="4" t="n">
        <v>750</v>
      </c>
      <c r="C279" t="inlineStr">
        <is>
          <t>VB</t>
        </is>
      </c>
      <c r="D279" t="inlineStr">
        <is>
          <t>79350 Baden-Württemberg - Sexau</t>
        </is>
      </c>
      <c r="E279" s="5" t="n">
        <v>45535</v>
      </c>
      <c r="F279" t="inlineStr"/>
      <c r="G279" s="6">
        <f>HYPERLINK("https://www.kleinanzeigen.de/s-anzeige/segelpalette-neilpryde-rsr-evo-x/2850684210-230-8288", "Link")</f>
        <v/>
      </c>
      <c r="H279" s="6">
        <f>HYPERLINK("C:\Projects\Kleinanzeigen-Scraper\offer_images\2850684210", "Link")</f>
        <v/>
      </c>
      <c r="I279" t="inlineStr">
        <is>
          <t>Martin</t>
        </is>
      </c>
      <c r="J279" s="6">
        <f>HYPERLINK("https://www.kleinanzeigen.de/s-bestandsliste.html?userId=81591579", "Link")</f>
        <v/>
      </c>
      <c r="K279" s="7" t="n">
        <v>45549.57646990741</v>
      </c>
      <c r="L279" s="3" t="inlineStr">
        <is>
          <t>45.20</t>
        </is>
      </c>
      <c r="M279" t="inlineStr">
        <is>
          <t>Bonndorf</t>
        </is>
      </c>
    </row>
    <row r="280">
      <c r="A280" t="inlineStr">
        <is>
          <t>Set includes 2 boards, 1 sail, 1 handlebar, and 2 fins from Fanatic and Manitou.</t>
        </is>
      </c>
      <c r="B280" s="4" t="n">
        <v>230</v>
      </c>
      <c r="C280" t="inlineStr"/>
      <c r="D280" t="inlineStr">
        <is>
          <t>07545 Thüringen - Gera</t>
        </is>
      </c>
      <c r="E280" s="5" t="n">
        <v>45554</v>
      </c>
      <c r="F280" t="inlineStr"/>
      <c r="G280" s="6">
        <f>HYPERLINK("https://www.kleinanzeigen.de/s-anzeige/2-windsurfbretter-1-segel-1-handlebar-2-finnen-fanatic-manitou/2821675270-230-3798", "Link")</f>
        <v/>
      </c>
      <c r="H280" s="6">
        <f>HYPERLINK("C:\Projects\Kleinanzeigen-Scraper\offer_images\2821675270", "Link")</f>
        <v/>
      </c>
      <c r="I280" t="inlineStr">
        <is>
          <t>Benji</t>
        </is>
      </c>
      <c r="J280" s="6">
        <f>HYPERLINK("https://www.kleinanzeigen.de/s-bestandsliste.html?userId=9726729", "Link")</f>
        <v/>
      </c>
      <c r="K280" s="7" t="n">
        <v>45549.57642361111</v>
      </c>
      <c r="L280" s="3" t="inlineStr">
        <is>
          <t>307.34</t>
        </is>
      </c>
      <c r="M280" t="inlineStr">
        <is>
          <t>München</t>
        </is>
      </c>
    </row>
    <row r="281">
      <c r="A281" t="inlineStr">
        <is>
          <t>Neilpryde Wizard Pro 4.4 (2021) and Neilpryde Wizard HD 4.5 (2020), both used with signs of wear.</t>
        </is>
      </c>
      <c r="B281" s="4" t="n">
        <v>280</v>
      </c>
      <c r="C281" t="inlineStr">
        <is>
          <t>VB</t>
        </is>
      </c>
      <c r="D281" t="inlineStr">
        <is>
          <t>23769 Fehmarn - Westfehmarn</t>
        </is>
      </c>
      <c r="E281" s="5" t="n">
        <v>45558</v>
      </c>
      <c r="F281" t="inlineStr"/>
      <c r="G281" s="6">
        <f>HYPERLINK("https://www.kleinanzeigen.de/s-anzeige/neilpryde-wizard-ab-280-/2745664402-230-430", "Link")</f>
        <v/>
      </c>
      <c r="H281" s="6">
        <f>HYPERLINK("C:\Projects\Kleinanzeigen-Scraper\offer_images\2745664402", "Link")</f>
        <v/>
      </c>
      <c r="I281" t="inlineStr">
        <is>
          <t>No user name</t>
        </is>
      </c>
      <c r="J281" s="6">
        <f>HYPERLINK("https://www.kleinanzeigen.deNo user link", "Link")</f>
        <v/>
      </c>
      <c r="K281" s="7" t="n">
        <v>45549.57635416667</v>
      </c>
      <c r="L281" s="3" t="inlineStr">
        <is>
          <t>483.01</t>
        </is>
      </c>
      <c r="M281" t="inlineStr">
        <is>
          <t>Köln</t>
        </is>
      </c>
    </row>
    <row r="282">
      <c r="A282" t="inlineStr">
        <is>
          <t>Mistral Wave Board 265 (92l, used), The Gun Wave MC 4.2 (new), The Gun Top Wave 4.7 (used), Mast, Boom, Fins, and various bags. Includes damaged sails: The Gun Top Wave 5.3 and North Sails Convertible 6.3.</t>
        </is>
      </c>
      <c r="B282" s="4" t="n">
        <v>180</v>
      </c>
      <c r="C282" t="inlineStr">
        <is>
          <t>VB</t>
        </is>
      </c>
      <c r="D282" t="inlineStr">
        <is>
          <t>22589 Altona - Hamburg Iserbrook</t>
        </is>
      </c>
      <c r="E282" s="5" t="n">
        <v>45548</v>
      </c>
      <c r="F282" t="inlineStr">
        <is>
          <t>Sold</t>
        </is>
      </c>
      <c r="G282" s="6">
        <f>HYPERLINK("https://www.kleinanzeigen.de/s-anzeige/windsurf-equipment-mistral-wave-265-waveboard/2862446224-242-9510", "Link")</f>
        <v/>
      </c>
      <c r="H282" s="6">
        <f>HYPERLINK("C:\Projects\Kleinanzeigen-Scraper\offer_images\2862446224", "Link")</f>
        <v/>
      </c>
      <c r="I282" t="inlineStr">
        <is>
          <t>Joachim Faelske</t>
        </is>
      </c>
      <c r="J282" s="6">
        <f>HYPERLINK("https://www.kleinanzeigen.de/s-bestandsliste.html?userId=11706656", "Link")</f>
        <v/>
      </c>
      <c r="K282" s="7" t="n">
        <v>45549.57631944444</v>
      </c>
      <c r="L282" s="3" t="inlineStr">
        <is>
          <t>352.31</t>
        </is>
      </c>
      <c r="M282" t="inlineStr">
        <is>
          <t>Köln</t>
        </is>
      </c>
    </row>
    <row r="283">
      <c r="A283" t="inlineStr">
        <is>
          <t>Complete children's rig including Sail (1.0 m²), Aluminum Mast with extension, and Boom with start line from North Sails (VDWS nexxt).</t>
        </is>
      </c>
      <c r="B283" s="4" t="n">
        <v>50</v>
      </c>
      <c r="C283" t="inlineStr"/>
      <c r="D283" t="inlineStr">
        <is>
          <t>82449 Bayern - Uffing</t>
        </is>
      </c>
      <c r="E283" s="5" t="n">
        <v>45540</v>
      </c>
      <c r="F283" t="inlineStr">
        <is>
          <t>Sold</t>
        </is>
      </c>
      <c r="G283" s="6">
        <f>HYPERLINK("https://www.kleinanzeigen.de/s-anzeige/kinderrigg-segel-mast-gabelbaum-vdws-north-sails-1-0/2855038493-230-5553", "Link")</f>
        <v/>
      </c>
      <c r="H283" s="6">
        <f>HYPERLINK("C:\Projects\Kleinanzeigen-Scraper\offer_images\2855038493", "Link")</f>
        <v/>
      </c>
      <c r="I283" t="inlineStr">
        <is>
          <t>Christian</t>
        </is>
      </c>
      <c r="J283" s="6">
        <f>HYPERLINK("https://www.kleinanzeigen.de/s-bestandsliste.html?userId=46330700", "Link")</f>
        <v/>
      </c>
      <c r="K283" s="7" t="n">
        <v>45549.57619212963</v>
      </c>
      <c r="L283" s="3" t="inlineStr">
        <is>
          <t>58.83</t>
        </is>
      </c>
      <c r="M283" t="inlineStr">
        <is>
          <t>München</t>
        </is>
      </c>
    </row>
    <row r="284">
      <c r="A284" t="inlineStr">
        <is>
          <t>Includes Sail (5.7 m²), Mast, Mastfoot, Fin, Boom, and Boardbag with Fanatic Xray Board (150 liters)</t>
        </is>
      </c>
      <c r="B284" s="4" t="n">
        <v>100</v>
      </c>
      <c r="C284" t="inlineStr"/>
      <c r="D284" t="inlineStr">
        <is>
          <t>65795 Hessen - Hattersheim am Main</t>
        </is>
      </c>
      <c r="E284" s="5" t="n">
        <v>45543</v>
      </c>
      <c r="F284" t="inlineStr">
        <is>
          <t>Sold</t>
        </is>
      </c>
      <c r="G284" s="6">
        <f>HYPERLINK("https://www.kleinanzeigen.de/s-anzeige/fanatic-xray-150-liter-surfbrett-komplett-mit-rigg/2857765155-230-4519", "Link")</f>
        <v/>
      </c>
      <c r="H284" s="6">
        <f>HYPERLINK("C:\Projects\Kleinanzeigen-Scraper\offer_images\2857765155", "Link")</f>
        <v/>
      </c>
      <c r="I284" t="inlineStr">
        <is>
          <t>Ralf Bohne</t>
        </is>
      </c>
      <c r="J284" s="6">
        <f>HYPERLINK("https://www.kleinanzeigen.de/s-bestandsliste.html?userId=32262775", "Link")</f>
        <v/>
      </c>
      <c r="K284" s="7" t="n">
        <v>45549.57618055555</v>
      </c>
      <c r="L284" s="3" t="inlineStr">
        <is>
          <t>116.59</t>
        </is>
      </c>
      <c r="M284" t="inlineStr">
        <is>
          <t>Karlsruhe</t>
        </is>
      </c>
    </row>
    <row r="285">
      <c r="A285" t="inlineStr">
        <is>
          <t>Sail 'YES' 6.7 m² freestyle and 2 masts from Gun-sails: 'Advantage' 4.60 m with 30% Carbon and 'Energy' 4.90 m with 35% Carbon.</t>
        </is>
      </c>
      <c r="B285" s="4" t="n">
        <v>50</v>
      </c>
      <c r="C285" t="inlineStr">
        <is>
          <t>VB</t>
        </is>
      </c>
      <c r="D285" t="inlineStr">
        <is>
          <t>71254 Baden-Württemberg - Ditzingen</t>
        </is>
      </c>
      <c r="E285" s="5" t="n">
        <v>45545</v>
      </c>
      <c r="F285" t="inlineStr"/>
      <c r="G285" s="6">
        <f>HYPERLINK("https://www.kleinanzeigen.de/s-anzeige/segel-yes-und-2-masten-von-gun-sails/2859703623-230-8865", "Link")</f>
        <v/>
      </c>
      <c r="H285" s="6">
        <f>HYPERLINK("C:\Projects\Kleinanzeigen-Scraper\offer_images\2859703623", "Link")</f>
        <v/>
      </c>
      <c r="I285" t="inlineStr">
        <is>
          <t>Dirk Oberdorfer</t>
        </is>
      </c>
      <c r="J285" s="6">
        <f>HYPERLINK("https://www.kleinanzeigen.de/s-bestandsliste.html?userId=75574795", "Link")</f>
        <v/>
      </c>
      <c r="K285" s="7" t="n">
        <v>45549.57609953704</v>
      </c>
      <c r="L285" s="3" t="inlineStr">
        <is>
          <t>18.57</t>
        </is>
      </c>
      <c r="M285" t="inlineStr">
        <is>
          <t>Böblingen</t>
        </is>
      </c>
    </row>
    <row r="286">
      <c r="A286" t="inlineStr">
        <is>
          <t>Complete windsurfing equipment including Naish Titan board (125L, 257cm x 65.5cm), Gaastra sails (Rad Wave 3.9, Matrix 6.5, Matrix 7.5), Neil Pryde Supernova 4.9, various masts and booms, and a Dakine sail bag.</t>
        </is>
      </c>
      <c r="B286" s="4" t="n">
        <v>600</v>
      </c>
      <c r="C286" t="inlineStr">
        <is>
          <t>VB</t>
        </is>
      </c>
      <c r="D286" t="inlineStr">
        <is>
          <t>80937 München - Milbertshofen - Am Hart</t>
        </is>
      </c>
      <c r="E286" s="5" t="n">
        <v>45515</v>
      </c>
      <c r="F286" t="inlineStr"/>
      <c r="G286" s="6">
        <f>HYPERLINK("https://www.kleinanzeigen.de/s-anzeige/windsurf-equipment-naish-gaastra-neil-pryde-segel-und-zubehoer/2834542917-230-6451", "Link")</f>
        <v/>
      </c>
      <c r="H286" s="6">
        <f>HYPERLINK("C:\Projects\Kleinanzeigen-Scraper\offer_images\2834542917", "Link")</f>
        <v/>
      </c>
      <c r="I286" t="inlineStr">
        <is>
          <t>Peter</t>
        </is>
      </c>
      <c r="J286" s="6">
        <f>HYPERLINK("https://www.kleinanzeigen.de/s-bestandsliste.html?userId=2494702", "Link")</f>
        <v/>
      </c>
      <c r="K286" s="7" t="n">
        <v>45549.57605324074</v>
      </c>
      <c r="L286" s="3" t="inlineStr">
        <is>
          <t>9.35</t>
        </is>
      </c>
      <c r="M286" t="inlineStr">
        <is>
          <t>München</t>
        </is>
      </c>
    </row>
    <row r="287">
      <c r="A287" t="inlineStr">
        <is>
          <t>Complete windsurfing equipment including Fanatic Ultra Shark board (291cm, 59cm, 125L), 2 sails (North 5.3m², Arrows 5.7m²), North boom, mast foot with extension, 3 carbon masts (5.9m, 4.7m, 4.7m), transport bag, and various small parts.</t>
        </is>
      </c>
      <c r="B287" s="4" t="n">
        <v>77</v>
      </c>
      <c r="C287" t="inlineStr">
        <is>
          <t>VB</t>
        </is>
      </c>
      <c r="D287" t="inlineStr">
        <is>
          <t>30880 Niedersachsen - Laatzen</t>
        </is>
      </c>
      <c r="E287" s="5" t="n">
        <v>45524</v>
      </c>
      <c r="F287" t="inlineStr">
        <is>
          <t>Sold</t>
        </is>
      </c>
      <c r="G287" s="6">
        <f>HYPERLINK("https://www.kleinanzeigen.de/s-anzeige/surfausruestung-fanatic-ultra-shark/2841893495-230-2893", "Link")</f>
        <v/>
      </c>
      <c r="H287" s="6">
        <f>HYPERLINK("C:\Projects\Kleinanzeigen-Scraper\offer_images\2841893495", "Link")</f>
        <v/>
      </c>
      <c r="I287" t="inlineStr">
        <is>
          <t>Wolfgang Meyer</t>
        </is>
      </c>
      <c r="J287" s="6">
        <f>HYPERLINK("https://www.kleinanzeigen.de/s-bestandsliste.html?userId=24075238", "Link")</f>
        <v/>
      </c>
      <c r="K287" s="7" t="n">
        <v>45549.57599537037</v>
      </c>
      <c r="L287" s="3" t="inlineStr">
        <is>
          <t>249.44</t>
        </is>
      </c>
      <c r="M287" t="inlineStr">
        <is>
          <t>Köln</t>
        </is>
      </c>
    </row>
    <row r="288">
      <c r="A288" t="inlineStr">
        <is>
          <t>Starboard isonic board (133L, 223cm length, 85cm width), The Loft Switchblade sail (9.2m²), Gun Sails mast (490cm, 75% Carbon, SDM and RDM compatible), board bag. Good condition.</t>
        </is>
      </c>
      <c r="B288" s="4" t="n">
        <v>980</v>
      </c>
      <c r="C288" t="inlineStr">
        <is>
          <t>VB</t>
        </is>
      </c>
      <c r="D288" t="inlineStr">
        <is>
          <t>66798 Saarland - Wallerfangen</t>
        </is>
      </c>
      <c r="E288" s="5" t="n">
        <v>45516</v>
      </c>
      <c r="F288" t="inlineStr"/>
      <c r="G288" s="6">
        <f>HYPERLINK("https://www.kleinanzeigen.de/s-anzeige/starboard-isonic-133l-mit-the-loft-switchblade-9-2-und-mast/2834946643-230-292", "Link")</f>
        <v/>
      </c>
      <c r="H288" s="6">
        <f>HYPERLINK("C:\Projects\Kleinanzeigen-Scraper\offer_images\2834946643", "Link")</f>
        <v/>
      </c>
      <c r="I288" t="inlineStr">
        <is>
          <t>Jürgen</t>
        </is>
      </c>
      <c r="J288" s="6">
        <f>HYPERLINK("https://www.kleinanzeigen.de/s-bestandsliste.html?userId=6826455", "Link")</f>
        <v/>
      </c>
      <c r="K288" s="7" t="n">
        <v>45549.57582175926</v>
      </c>
      <c r="L288" s="3" t="inlineStr">
        <is>
          <t>132.15</t>
        </is>
      </c>
      <c r="M288" t="inlineStr">
        <is>
          <t>Karlsruhe</t>
        </is>
      </c>
    </row>
    <row r="289">
      <c r="A289" t="inlineStr">
        <is>
          <t>Ezzy Wave SE sails in sizes 5.2 qm and 5.8 qm, with the 5.2 in super condition and the 5.8 having some sticker residue but otherwise in good condition.</t>
        </is>
      </c>
      <c r="B289" s="4" t="n">
        <v>150</v>
      </c>
      <c r="C289" t="inlineStr"/>
      <c r="D289" t="inlineStr">
        <is>
          <t>58566 Nordrhein-Westfalen - Kierspe</t>
        </is>
      </c>
      <c r="E289" s="5" t="n">
        <v>45549</v>
      </c>
      <c r="F289" t="inlineStr">
        <is>
          <t>Sold</t>
        </is>
      </c>
      <c r="G289" s="6">
        <f>HYPERLINK("https://www.kleinanzeigen.de/s-anzeige/ezzy-wave-se-5-2qm-und-5-8qm-windsurfsegel/2862748725-230-1430", "Link")</f>
        <v/>
      </c>
      <c r="H289" s="6">
        <f>HYPERLINK("C:\Projects\Kleinanzeigen-Scraper\offer_images\2862748725", "Link")</f>
        <v/>
      </c>
      <c r="I289" t="inlineStr">
        <is>
          <t>Tom</t>
        </is>
      </c>
      <c r="J289" s="6">
        <f>HYPERLINK("https://www.kleinanzeigen.de/s-bestandsliste.html?userId=11092661", "Link")</f>
        <v/>
      </c>
      <c r="K289" s="7" t="n">
        <v>45549.57581018518</v>
      </c>
      <c r="L289" s="3" t="inlineStr">
        <is>
          <t>48.00</t>
        </is>
      </c>
      <c r="M289" t="inlineStr">
        <is>
          <t>Köln</t>
        </is>
      </c>
    </row>
    <row r="290">
      <c r="A290" t="inlineStr">
        <is>
          <t>Includes Duotone Superhero sails in 4.0 and 5.0, and RDM masts of 370 and 400 cm, all 2024 model, unused.</t>
        </is>
      </c>
      <c r="B290" s="4" t="n">
        <v>500</v>
      </c>
      <c r="C290" t="inlineStr"/>
      <c r="D290" t="inlineStr">
        <is>
          <t>04157 Leipzig - Gohlis-Nord</t>
        </is>
      </c>
      <c r="E290" s="5" t="n">
        <v>45539</v>
      </c>
      <c r="F290" t="inlineStr">
        <is>
          <t>Sold</t>
        </is>
      </c>
      <c r="G290" s="6">
        <f>HYPERLINK("https://www.kleinanzeigen.de/s-anzeige/neu-duotone-super-hero-4-0-und-5-0-passende-maste/2854128165-230-4256", "Link")</f>
        <v/>
      </c>
      <c r="H290" s="6">
        <f>HYPERLINK("C:\Projects\Kleinanzeigen-Scraper\offer_images\2854128165", "Link")</f>
        <v/>
      </c>
      <c r="I290" t="inlineStr">
        <is>
          <t>Stefan</t>
        </is>
      </c>
      <c r="J290" s="6">
        <f>HYPERLINK("https://www.kleinanzeigen.de/s-bestandsliste.html?userId=5062741", "Link")</f>
        <v/>
      </c>
      <c r="K290" s="7" t="n">
        <v>45549.57578703704</v>
      </c>
      <c r="L290" s="3" t="inlineStr">
        <is>
          <t>364.64</t>
        </is>
      </c>
      <c r="M290" t="inlineStr">
        <is>
          <t>München</t>
        </is>
      </c>
    </row>
    <row r="291">
      <c r="A291" t="inlineStr">
        <is>
          <t>Wingfoil Anfänger Set including Fanatic Sky Wing 5.4, GA Cross Wing 5.2, Gong Wing Foil X-Over XL 95, and bags for the board and foil.</t>
        </is>
      </c>
      <c r="B291" s="4" t="n">
        <v>1.45</v>
      </c>
      <c r="C291" t="inlineStr"/>
      <c r="D291" t="inlineStr">
        <is>
          <t>52355 Nordrhein-Westfalen - Düren</t>
        </is>
      </c>
      <c r="E291" s="5" t="n">
        <v>45536</v>
      </c>
      <c r="F291" t="inlineStr">
        <is>
          <t>Sold</t>
        </is>
      </c>
      <c r="G291" s="6">
        <f>HYPERLINK("https://www.kleinanzeigen.de/s-anzeige/wingfoil-anfaenger-set-fanatic-sky-wing-ga-cross-und-gong-foil/2851593759-230-1769", "Link")</f>
        <v/>
      </c>
      <c r="H291" s="6">
        <f>HYPERLINK("C:\Projects\Kleinanzeigen-Scraper\offer_images\2851593759", "Link")</f>
        <v/>
      </c>
      <c r="I291" t="inlineStr">
        <is>
          <t>Stephan Schmitz</t>
        </is>
      </c>
      <c r="J291" s="6">
        <f>HYPERLINK("https://www.kleinanzeigen.de/s-bestandsliste.html?userId=14251565", "Link")</f>
        <v/>
      </c>
      <c r="K291" s="7" t="n">
        <v>45549.57578703704</v>
      </c>
      <c r="L291" s="3" t="inlineStr">
        <is>
          <t>39.49</t>
        </is>
      </c>
      <c r="M291" t="inlineStr">
        <is>
          <t>Köln</t>
        </is>
      </c>
    </row>
    <row r="292">
      <c r="A292" t="inlineStr">
        <is>
          <t>RRD Religion MK9 sails in sizes 5, 7, 9, and 10.5, well-maintained, no damages or repairs.</t>
        </is>
      </c>
      <c r="B292" s="4" t="n">
        <v>999</v>
      </c>
      <c r="C292" t="inlineStr"/>
      <c r="D292" t="inlineStr">
        <is>
          <t>38350 Niedersachsen - Helmstedt</t>
        </is>
      </c>
      <c r="E292" s="5" t="n">
        <v>45521</v>
      </c>
      <c r="F292" t="inlineStr"/>
      <c r="G292" s="6">
        <f>HYPERLINK("https://www.kleinanzeigen.de/s-anzeige/rrd-religion-mk9-2020-5-7-9-10-5-top-zustand-1-ste-hand/2838753750-230-14238", "Link")</f>
        <v/>
      </c>
      <c r="H292" s="6">
        <f>HYPERLINK("C:\Projects\Kleinanzeigen-Scraper\offer_images\2838753750", "Link")</f>
        <v/>
      </c>
      <c r="I292" t="inlineStr">
        <is>
          <t>Liebing</t>
        </is>
      </c>
      <c r="J292" s="6">
        <f>HYPERLINK("https://www.kleinanzeigen.de/s-bestandsliste.html?userId=11767375", "Link")</f>
        <v/>
      </c>
      <c r="K292" s="7" t="n">
        <v>45549.57568287037</v>
      </c>
      <c r="L292" s="3" t="inlineStr">
        <is>
          <t>314.95</t>
        </is>
      </c>
      <c r="M292" t="inlineStr">
        <is>
          <t>Köln</t>
        </is>
      </c>
    </row>
    <row r="293">
      <c r="A293" t="inlineStr">
        <is>
          <t>Includes Fanatic Gecko 133 board, 6m sail, mast, boom, mast foot, and mast extension with pulley.</t>
        </is>
      </c>
      <c r="B293" s="4" t="n">
        <v>700</v>
      </c>
      <c r="C293" t="inlineStr">
        <is>
          <t>VB</t>
        </is>
      </c>
      <c r="D293" t="inlineStr">
        <is>
          <t>41379 Nordrhein-Westfalen - Brüggen</t>
        </is>
      </c>
      <c r="E293" s="5" t="n">
        <v>45515</v>
      </c>
      <c r="F293" t="inlineStr">
        <is>
          <t>Sold</t>
        </is>
      </c>
      <c r="G293" s="6">
        <f>HYPERLINK("https://www.kleinanzeigen.de/s-anzeige/windsurf-komplettset-fanatic-gecko-windsurfausruestung/2834769299-230-1204", "Link")</f>
        <v/>
      </c>
      <c r="H293" s="6">
        <f>HYPERLINK("C:\Projects\Kleinanzeigen-Scraper\offer_images\2834769299", "Link")</f>
        <v/>
      </c>
      <c r="I293" t="inlineStr">
        <is>
          <t>Bettina Brosterhus</t>
        </is>
      </c>
      <c r="J293" s="6">
        <f>HYPERLINK("https://www.kleinanzeigen.de/s-bestandsliste.html?userId=37965220", "Link")</f>
        <v/>
      </c>
      <c r="K293" s="7" t="n">
        <v>45549.5756712963</v>
      </c>
      <c r="L293" s="3" t="inlineStr">
        <is>
          <t>65.56</t>
        </is>
      </c>
      <c r="M293" t="inlineStr">
        <is>
          <t>Köln</t>
        </is>
      </c>
    </row>
    <row r="294">
      <c r="A294" t="inlineStr">
        <is>
          <t>Includes Neilpryde Expression 6.2 sail, Ascan Pro Wave boom (140-185cm), and Neilpryde mast (430 cm)</t>
        </is>
      </c>
      <c r="B294" s="4" t="n">
        <v>40</v>
      </c>
      <c r="C294" t="inlineStr"/>
      <c r="D294" t="inlineStr">
        <is>
          <t>25495 Kreis Pinneberg - Kummerfeld</t>
        </is>
      </c>
      <c r="E294" s="5" t="n">
        <v>45519</v>
      </c>
      <c r="F294" t="inlineStr">
        <is>
          <t>Sold</t>
        </is>
      </c>
      <c r="G294" s="6">
        <f>HYPERLINK("https://www.kleinanzeigen.de/s-anzeige/surfsegel-neilpryde-expression-6-2/2837449000-230-789", "Link")</f>
        <v/>
      </c>
      <c r="H294" s="6">
        <f>HYPERLINK("C:\Projects\Kleinanzeigen-Scraper\offer_images\2837449000", "Link")</f>
        <v/>
      </c>
      <c r="I294" t="inlineStr">
        <is>
          <t>Gert Richter</t>
        </is>
      </c>
      <c r="J294" s="6">
        <f>HYPERLINK("https://www.kleinanzeigen.de/s-bestandsliste.html?userId=25266665", "Link")</f>
        <v/>
      </c>
      <c r="K294" s="7" t="n">
        <v>45549.57556712963</v>
      </c>
      <c r="L294" s="3" t="inlineStr">
        <is>
          <t>362.59</t>
        </is>
      </c>
      <c r="M294" t="inlineStr">
        <is>
          <t>Köln</t>
        </is>
      </c>
    </row>
    <row r="295">
      <c r="A295" t="inlineStr">
        <is>
          <t>Three North Sails Voodoo in sizes 4.2, 4.7, and 5.3. One sail has a tear in the mast pocket.</t>
        </is>
      </c>
      <c r="B295" s="4" t="inlineStr"/>
      <c r="C295" t="inlineStr">
        <is>
          <t>VB</t>
        </is>
      </c>
      <c r="D295" t="inlineStr">
        <is>
          <t>34298 Hessen - Helsa</t>
        </is>
      </c>
      <c r="E295" s="5" t="n">
        <v>45547</v>
      </c>
      <c r="F295" t="inlineStr">
        <is>
          <t>Sold</t>
        </is>
      </c>
      <c r="G295" s="6">
        <f>HYPERLINK("https://www.kleinanzeigen.de/s-anzeige/north-sails-voodoo-4-2-4-7-5-3/2861185339-230-4592", "Link")</f>
        <v/>
      </c>
      <c r="H295" s="6">
        <f>HYPERLINK("C:\Projects\Kleinanzeigen-Scraper\offer_images\2861185339", "Link")</f>
        <v/>
      </c>
      <c r="I295" t="inlineStr">
        <is>
          <t>Schröder</t>
        </is>
      </c>
      <c r="J295" s="6">
        <f>HYPERLINK("https://www.kleinanzeigen.de/s-bestandsliste.html?userId=2523504", "Link")</f>
        <v/>
      </c>
      <c r="K295" s="7" t="n">
        <v>45549.57550925926</v>
      </c>
      <c r="L295" s="3" t="inlineStr">
        <is>
          <t>194.05</t>
        </is>
      </c>
      <c r="M295" t="inlineStr">
        <is>
          <t>Köln</t>
        </is>
      </c>
    </row>
    <row r="296">
      <c r="A296" t="inlineStr">
        <is>
          <t>Gun Sails Dragon Kindersegel 3.2 with matching mast, boom, and mast base.</t>
        </is>
      </c>
      <c r="B296" s="4" t="n">
        <v>70</v>
      </c>
      <c r="C296" t="inlineStr"/>
      <c r="D296" t="inlineStr">
        <is>
          <t>23974 Mecklenburg-Vorpommern - Neuburg (Nordwestmecklenburg)</t>
        </is>
      </c>
      <c r="E296" s="5" t="n">
        <v>45542</v>
      </c>
      <c r="F296" t="inlineStr">
        <is>
          <t>Sold</t>
        </is>
      </c>
      <c r="G296" s="6">
        <f>HYPERLINK("https://www.kleinanzeigen.de/s-anzeige/gun-sails-dragon-segel-fuer-kinder-komplett-3-2/2856201425-230-20460", "Link")</f>
        <v/>
      </c>
      <c r="H296" s="6">
        <f>HYPERLINK("C:\Projects\Kleinanzeigen-Scraper\offer_images\2856201425", "Link")</f>
        <v/>
      </c>
      <c r="I296" t="inlineStr">
        <is>
          <t>I. Hoppe</t>
        </is>
      </c>
      <c r="J296" s="6">
        <f>HYPERLINK("https://www.kleinanzeigen.de/s-bestandsliste.html?userId=34604023", "Link")</f>
        <v/>
      </c>
      <c r="K296" s="7" t="n">
        <v>45549.57549768518</v>
      </c>
      <c r="L296" s="3" t="inlineStr">
        <is>
          <t>458.65</t>
        </is>
      </c>
      <c r="M296" t="inlineStr">
        <is>
          <t>Köln</t>
        </is>
      </c>
    </row>
    <row r="297">
      <c r="A297" t="inlineStr">
        <is>
          <t>Windsurfboard Fanatic 165l with rig including sail (6.5m²), mast, boom, fin, footstrap, and board bag.</t>
        </is>
      </c>
      <c r="B297" s="4" t="n">
        <v>300</v>
      </c>
      <c r="C297" t="inlineStr"/>
      <c r="D297" t="inlineStr">
        <is>
          <t>04571 Sachsen - Rötha</t>
        </is>
      </c>
      <c r="E297" s="5" t="n">
        <v>45535</v>
      </c>
      <c r="F297" t="inlineStr">
        <is>
          <t>Sold</t>
        </is>
      </c>
      <c r="G297" s="6">
        <f>HYPERLINK("https://www.kleinanzeigen.de/s-anzeige/windsurfboard-fanatic-165l-anfaenger-aufsteiger-brett-inkl-rigg/2850322576-230-3914", "Link")</f>
        <v/>
      </c>
      <c r="H297" s="6">
        <f>HYPERLINK("C:\Projects\Kleinanzeigen-Scraper\offer_images\2850322576", "Link")</f>
        <v/>
      </c>
      <c r="I297" t="inlineStr">
        <is>
          <t>Torsten Backofen</t>
        </is>
      </c>
      <c r="J297" s="6">
        <f>HYPERLINK("https://www.kleinanzeigen.de/s-bestandsliste.html?userId=27084302", "Link")</f>
        <v/>
      </c>
      <c r="K297" s="7" t="n">
        <v>45549.57537037037</v>
      </c>
      <c r="L297" s="3" t="inlineStr">
        <is>
          <t>345.73</t>
        </is>
      </c>
      <c r="M297" t="inlineStr">
        <is>
          <t>München</t>
        </is>
      </c>
    </row>
    <row r="298">
      <c r="A298" t="inlineStr">
        <is>
          <t>Includes sails (5.4, 5.8, 6.2), mast (caas Power Wave 100% Carbon 430), and extension (caas Carbon 20 cm).</t>
        </is>
      </c>
      <c r="B298" s="4" t="n">
        <v>460</v>
      </c>
      <c r="C298" t="inlineStr"/>
      <c r="D298" t="inlineStr">
        <is>
          <t>82380 Bayern - Peißenberg</t>
        </is>
      </c>
      <c r="E298" s="5" t="n">
        <v>45543</v>
      </c>
      <c r="F298" t="inlineStr"/>
      <c r="G298" s="6">
        <f>HYPERLINK("https://www.kleinanzeigen.de/s-anzeige/neilpryde-segel-5-4-5-8-6-2-mast-und-verlaengerung-caas-/2857027642-230-17122", "Link")</f>
        <v/>
      </c>
      <c r="H298" s="6">
        <f>HYPERLINK("C:\Projects\Kleinanzeigen-Scraper\offer_images\2857027642", "Link")</f>
        <v/>
      </c>
      <c r="I298" t="inlineStr">
        <is>
          <t>Ritter Florian</t>
        </is>
      </c>
      <c r="J298" s="6">
        <f>HYPERLINK("https://www.kleinanzeigen.de/s-bestandsliste.html?userId=16025105", "Link")</f>
        <v/>
      </c>
      <c r="K298" s="7" t="n">
        <v>45549.57517361111</v>
      </c>
      <c r="L298" s="3" t="inlineStr">
        <is>
          <t>51.99</t>
        </is>
      </c>
      <c r="M298" t="inlineStr">
        <is>
          <t>München</t>
        </is>
      </c>
    </row>
    <row r="299">
      <c r="A299" t="inlineStr">
        <is>
          <t>Includes Tabou Rocket Board (135L, 100% Carbon), Exocet Cross Freestyle Wave Board (94L), 4 NP sails (4.0, 4.5, 5.4, 7.0), corresponding carbon masts, 3 ART booms, fins, mast protectors, and bags for boards and masts.</t>
        </is>
      </c>
      <c r="B299" s="4" t="n">
        <v>350</v>
      </c>
      <c r="C299" t="inlineStr">
        <is>
          <t>VB</t>
        </is>
      </c>
      <c r="D299" t="inlineStr">
        <is>
          <t>26121 Niedersachsen - Oldenburg</t>
        </is>
      </c>
      <c r="E299" s="5" t="n">
        <v>45534</v>
      </c>
      <c r="F299" t="inlineStr">
        <is>
          <t>Sold</t>
        </is>
      </c>
      <c r="G299" s="6">
        <f>HYPERLINK("https://www.kleinanzeigen.de/s-anzeige/windsurf-board-exocet-cross-carbon-sehr-guter-zustand/2849826348-230-3114", "Link")</f>
        <v/>
      </c>
      <c r="H299" s="6">
        <f>HYPERLINK("C:\Projects\Kleinanzeigen-Scraper\offer_images\2849826348", "Link")</f>
        <v/>
      </c>
      <c r="I299" t="inlineStr">
        <is>
          <t>Olaf</t>
        </is>
      </c>
      <c r="J299" s="6">
        <f>HYPERLINK("https://www.kleinanzeigen.de/s-bestandsliste.html?userId=22466413", "Link")</f>
        <v/>
      </c>
      <c r="K299" s="7" t="n">
        <v>45549.57511574074</v>
      </c>
      <c r="L299" s="3" t="inlineStr">
        <is>
          <t>260.83</t>
        </is>
      </c>
      <c r="M299" t="inlineStr">
        <is>
          <t>Köln</t>
        </is>
      </c>
    </row>
    <row r="300">
      <c r="A300" t="inlineStr">
        <is>
          <t>Complete set including Fanatic Fly Air Premium SUP 10'4'', paddle, original backpack, and pump. Windsurf option included.</t>
        </is>
      </c>
      <c r="B300" s="4" t="n">
        <v>475</v>
      </c>
      <c r="C300" t="inlineStr"/>
      <c r="D300" t="inlineStr">
        <is>
          <t>24589 Schleswig-Holstein - Nortorf</t>
        </is>
      </c>
      <c r="E300" s="5" t="n">
        <v>45505</v>
      </c>
      <c r="F300" t="inlineStr">
        <is>
          <t>Sold</t>
        </is>
      </c>
      <c r="G300" s="6">
        <f>HYPERLINK("https://www.kleinanzeigen.de/s-anzeige/sup-fanatic-fly-air-premium-mit-windsurf-option/2826616685-230-18924", "Link")</f>
        <v/>
      </c>
      <c r="H300" s="6">
        <f>HYPERLINK("C:\Projects\Kleinanzeigen-Scraper\offer_images\2826616685", "Link")</f>
        <v/>
      </c>
      <c r="I300" t="inlineStr">
        <is>
          <t>Jan</t>
        </is>
      </c>
      <c r="J300" s="6">
        <f>HYPERLINK("https://www.kleinanzeigen.de/s-bestandsliste.html?userId=21429698", "Link")</f>
        <v/>
      </c>
      <c r="K300" s="7" t="n">
        <v>45549.57501157407</v>
      </c>
      <c r="L300" s="3" t="inlineStr">
        <is>
          <t>408.91</t>
        </is>
      </c>
      <c r="M300" t="inlineStr">
        <is>
          <t>Köln</t>
        </is>
      </c>
    </row>
    <row r="301">
      <c r="A301" t="inlineStr">
        <is>
          <t>Includes Duotone Evo 12m² Kite (2019) and Flysurfer Radical Board (134x40 cm) with Eleveight AirGo Binding.</t>
        </is>
      </c>
      <c r="B301" s="4" t="n">
        <v>999</v>
      </c>
      <c r="C301" t="inlineStr"/>
      <c r="D301" t="inlineStr">
        <is>
          <t>20251 Hamburg-Nord - Hamburg Eppendorf</t>
        </is>
      </c>
      <c r="E301" s="5" t="n">
        <v>45546</v>
      </c>
      <c r="F301" t="inlineStr">
        <is>
          <t>Sold</t>
        </is>
      </c>
      <c r="G301" s="6">
        <f>HYPERLINK("https://www.kleinanzeigen.de/s-anzeige/bundle-duotone-evo-12-qm-flysurfer-radical-inkl-airgo-bindung/2860529585-230-9475", "Link")</f>
        <v/>
      </c>
      <c r="H301" s="6">
        <f>HYPERLINK("C:\Projects\Kleinanzeigen-Scraper\offer_images\2860529585", "Link")</f>
        <v/>
      </c>
      <c r="I301" t="inlineStr">
        <is>
          <t>Manuela</t>
        </is>
      </c>
      <c r="J301" s="6">
        <f>HYPERLINK("https://www.kleinanzeigen.de/s-bestandsliste.html?userId=44132253", "Link")</f>
        <v/>
      </c>
      <c r="K301" s="7" t="n">
        <v>45549.57491898148</v>
      </c>
      <c r="L301" s="3" t="inlineStr">
        <is>
          <t>360.06</t>
        </is>
      </c>
      <c r="M301" t="inlineStr">
        <is>
          <t>Köln</t>
        </is>
      </c>
    </row>
    <row r="302">
      <c r="A302" t="inlineStr">
        <is>
          <t>Complete set including a Naish board (105 liters), 2 Gaastra sails, carbon mast, and boom. The board has 2 small repairs.</t>
        </is>
      </c>
      <c r="B302" s="4" t="n">
        <v>460</v>
      </c>
      <c r="C302" t="inlineStr"/>
      <c r="D302" t="inlineStr">
        <is>
          <t>23627 Schleswig-Holstein - Groß Sarau</t>
        </is>
      </c>
      <c r="E302" s="5" t="n">
        <v>45528</v>
      </c>
      <c r="F302" t="inlineStr"/>
      <c r="G302" s="6">
        <f>HYPERLINK("https://www.kleinanzeigen.de/s-anzeige/surfausruestung-naish-105-l-2-segel-gaastra-carbonmast-gabelbaum/2844967043-230-25994", "Link")</f>
        <v/>
      </c>
      <c r="H302" s="6">
        <f>HYPERLINK("C:\Projects\Kleinanzeigen-Scraper\offer_images\2844967043", "Link")</f>
        <v/>
      </c>
      <c r="I302" t="inlineStr">
        <is>
          <t>Inga</t>
        </is>
      </c>
      <c r="J302" s="6">
        <f>HYPERLINK("https://www.kleinanzeigen.de/s-bestandsliste.html?userId=8108739", "Link")</f>
        <v/>
      </c>
      <c r="K302" s="7" t="n">
        <v>45549.57482638889</v>
      </c>
      <c r="L302" s="3" t="inlineStr">
        <is>
          <t>409.47</t>
        </is>
      </c>
      <c r="M302" t="inlineStr">
        <is>
          <t>Köln</t>
        </is>
      </c>
    </row>
    <row r="303">
      <c r="A303" t="inlineStr">
        <is>
          <t>Complete windsurfing equipment including Fanatic Shark 125 board, Neilpryde Solo 6.0 sail, carbon mast, Neilpryde FreeRide boom (165-215 cm), fins, mast foot, board bag, and additional accessories.</t>
        </is>
      </c>
      <c r="B303" s="4" t="n">
        <v>750</v>
      </c>
      <c r="C303" t="inlineStr"/>
      <c r="D303" t="inlineStr">
        <is>
          <t>12527 Berlin - Köpenick</t>
        </is>
      </c>
      <c r="E303" s="5" t="n">
        <v>45544</v>
      </c>
      <c r="F303" t="inlineStr">
        <is>
          <t>Sold</t>
        </is>
      </c>
      <c r="G303" s="6">
        <f>HYPERLINK("https://www.kleinanzeigen.de/s-anzeige/surfausruestung-fanatic-shark-125-6-0-neilpryde-freeride/2858751266-230-3370", "Link")</f>
        <v/>
      </c>
      <c r="H303" s="6">
        <f>HYPERLINK("C:\Projects\Kleinanzeigen-Scraper\offer_images\2858751266", "Link")</f>
        <v/>
      </c>
      <c r="I303" t="inlineStr">
        <is>
          <t>stg</t>
        </is>
      </c>
      <c r="J303" s="6">
        <f>HYPERLINK("https://www.kleinanzeigen.de/s-bestandsliste.html?userId=8377", "Link")</f>
        <v/>
      </c>
      <c r="K303" s="7" t="n">
        <v>45549.57469907407</v>
      </c>
      <c r="L303" s="3" t="inlineStr">
        <is>
          <t>487.71</t>
        </is>
      </c>
      <c r="M303" t="inlineStr">
        <is>
          <t>Köln</t>
        </is>
      </c>
    </row>
    <row r="304">
      <c r="A304" t="inlineStr">
        <is>
          <t>Set includes Goya Fringe X Pro sails in sizes 4.2 m², 4.7 m², and 5.3 m², with corresponding mast and boom sizes for each sail.</t>
        </is>
      </c>
      <c r="B304" s="4" t="n">
        <v>260</v>
      </c>
      <c r="C304" t="inlineStr">
        <is>
          <t>VB</t>
        </is>
      </c>
      <c r="D304" t="inlineStr">
        <is>
          <t>83708 Bayern - Kreuth</t>
        </is>
      </c>
      <c r="E304" s="5" t="n">
        <v>45511</v>
      </c>
      <c r="F304" t="inlineStr"/>
      <c r="G304" s="6">
        <f>HYPERLINK("https://www.kleinanzeigen.de/s-anzeige/goya-fringe-x-pro-4-2-4-7-und-5-3/2831714672-230-5886", "Link")</f>
        <v/>
      </c>
      <c r="H304" s="6">
        <f>HYPERLINK("C:\Projects\Kleinanzeigen-Scraper\offer_images\2831714672", "Link")</f>
        <v/>
      </c>
      <c r="I304" t="inlineStr">
        <is>
          <t>Michi Oberauer</t>
        </is>
      </c>
      <c r="J304" s="6">
        <f>HYPERLINK("https://www.kleinanzeigen.de/s-bestandsliste.html?userId=5117441", "Link")</f>
        <v/>
      </c>
      <c r="K304" s="7" t="n">
        <v>45549.57462962963</v>
      </c>
      <c r="L304" s="3" t="inlineStr">
        <is>
          <t>58.72</t>
        </is>
      </c>
      <c r="M304" t="inlineStr">
        <is>
          <t>München</t>
        </is>
      </c>
    </row>
    <row r="305">
      <c r="A305" t="inlineStr">
        <is>
          <t>Ezzy Wave sails in sizes 5.5 and 6.3, new and original packaging, available as a complete set or individually.</t>
        </is>
      </c>
      <c r="B305" s="4" t="n">
        <v>1</v>
      </c>
      <c r="C305" t="inlineStr">
        <is>
          <t>VB</t>
        </is>
      </c>
      <c r="D305" t="inlineStr">
        <is>
          <t>55257 Rheinland-Pfalz - Budenheim</t>
        </is>
      </c>
      <c r="E305" s="5" t="n">
        <v>45461</v>
      </c>
      <c r="F305" t="inlineStr"/>
      <c r="G305" s="6">
        <f>HYPERLINK("https://www.kleinanzeigen.de/s-anzeige/ezzy-wave-5-5-6-3-neu-und-ovp/2791664034-230-4803", "Link")</f>
        <v/>
      </c>
      <c r="H305" s="6">
        <f>HYPERLINK("C:\Projects\Kleinanzeigen-Scraper\offer_images\2791664034", "Link")</f>
        <v/>
      </c>
      <c r="I305" t="inlineStr">
        <is>
          <t>Joachim Maier</t>
        </is>
      </c>
      <c r="J305" s="6">
        <f>HYPERLINK("https://www.kleinanzeigen.de/s-bestandsliste.html?userId=27551141", "Link")</f>
        <v/>
      </c>
      <c r="K305" s="7" t="n">
        <v>45549.57457175926</v>
      </c>
      <c r="L305" s="3" t="inlineStr">
        <is>
          <t>114.25</t>
        </is>
      </c>
      <c r="M305" t="inlineStr">
        <is>
          <t>Karlsruhe</t>
        </is>
      </c>
    </row>
    <row r="306">
      <c r="A306" t="inlineStr">
        <is>
          <t>Complete new SUP board set including SUP board, paddle, pump, safety leash, and transport bag.</t>
        </is>
      </c>
      <c r="B306" s="4" t="n">
        <v>250</v>
      </c>
      <c r="C306" t="inlineStr">
        <is>
          <t>VB</t>
        </is>
      </c>
      <c r="D306" t="inlineStr">
        <is>
          <t>63694 Hessen - Limeshain</t>
        </is>
      </c>
      <c r="E306" s="5" t="n">
        <v>45540</v>
      </c>
      <c r="F306" t="inlineStr">
        <is>
          <t>Sold</t>
        </is>
      </c>
      <c r="G306" s="6">
        <f>HYPERLINK("https://www.kleinanzeigen.de/s-anzeige/sup-set-fanatic-fly-air-pure-10-4/2854725284-230-4573", "Link")</f>
        <v/>
      </c>
      <c r="H306" s="6">
        <f>HYPERLINK("C:\Projects\Kleinanzeigen-Scraper\offer_images\2854725284", "Link")</f>
        <v/>
      </c>
      <c r="I306" t="inlineStr">
        <is>
          <t>Lena</t>
        </is>
      </c>
      <c r="J306" s="6">
        <f>HYPERLINK("https://www.kleinanzeigen.de/s-bestandsliste.html?userId=65342453", "Link")</f>
        <v/>
      </c>
      <c r="K306" s="7" t="n">
        <v>45549.57447916667</v>
      </c>
      <c r="L306" s="3" t="inlineStr">
        <is>
          <t>146.25</t>
        </is>
      </c>
      <c r="M306" t="inlineStr">
        <is>
          <t>Karlsruhe</t>
        </is>
      </c>
    </row>
    <row r="307">
      <c r="A307" t="inlineStr">
        <is>
          <t>Windsurf material including Naish Wave boards (8.2, 8.4, 8.6), Naish Freeride boards (8.7), Combat sails (4.7), Zone sails (5.2), carbon masts (2x370, 2x400), Neil Pryde booms (2x145-195, 1x135-185), and various accessories.</t>
        </is>
      </c>
      <c r="B307" s="4" t="inlineStr"/>
      <c r="C307" t="inlineStr">
        <is>
          <t>VB</t>
        </is>
      </c>
      <c r="D307" t="inlineStr">
        <is>
          <t>31249 Niedersachsen - Hohenhameln</t>
        </is>
      </c>
      <c r="E307" s="5" t="n">
        <v>45496</v>
      </c>
      <c r="F307" t="inlineStr">
        <is>
          <t>Sold</t>
        </is>
      </c>
      <c r="G307" s="6">
        <f>HYPERLINK("https://www.kleinanzeigen.de/s-anzeige/windsurfen-naish-combat-neil-pryde-boards-segel-maste-etc-/2819153331-230-2923", "Link")</f>
        <v/>
      </c>
      <c r="H307" s="6">
        <f>HYPERLINK("C:\Projects\Kleinanzeigen-Scraper\offer_images\2819153331", "Link")</f>
        <v/>
      </c>
      <c r="I307" t="inlineStr">
        <is>
          <t>KöCo</t>
        </is>
      </c>
      <c r="J307" s="6">
        <f>HYPERLINK("https://www.kleinanzeigen.de/s-bestandsliste.html?userId=72494058", "Link")</f>
        <v/>
      </c>
      <c r="K307" s="7" t="n">
        <v>45549.57447916667</v>
      </c>
      <c r="L307" s="3" t="inlineStr">
        <is>
          <t>260.87</t>
        </is>
      </c>
      <c r="M307" t="inlineStr">
        <is>
          <t>Köln</t>
        </is>
      </c>
    </row>
    <row r="308">
      <c r="A308" t="inlineStr">
        <is>
          <t>Gun Sails Freeride 4.5 sail and boom included.</t>
        </is>
      </c>
      <c r="B308" s="4" t="n">
        <v>50</v>
      </c>
      <c r="C308" t="inlineStr"/>
      <c r="D308" t="inlineStr">
        <is>
          <t>52457 Nordrhein-Westfalen - Aldenhoven</t>
        </is>
      </c>
      <c r="E308" s="5" t="n">
        <v>45535</v>
      </c>
      <c r="F308" t="inlineStr">
        <is>
          <t>Sold</t>
        </is>
      </c>
      <c r="G308" s="6">
        <f>HYPERLINK("https://www.kleinanzeigen.de/s-anzeige/gun-sails-freeride-4-5-gabelbaum/2851085243-230-1721", "Link")</f>
        <v/>
      </c>
      <c r="H308" s="6">
        <f>HYPERLINK("C:\Projects\Kleinanzeigen-Scraper\offer_images\2851085243", "Link")</f>
        <v/>
      </c>
      <c r="I308" t="inlineStr">
        <is>
          <t>Klaus</t>
        </is>
      </c>
      <c r="J308" s="6">
        <f>HYPERLINK("https://www.kleinanzeigen.de/s-bestandsliste.html?userId=13660140", "Link")</f>
        <v/>
      </c>
      <c r="K308" s="7" t="n">
        <v>45549.5742824074</v>
      </c>
      <c r="L308" s="3" t="inlineStr">
        <is>
          <t>48.38</t>
        </is>
      </c>
      <c r="M308" t="inlineStr">
        <is>
          <t>Köln</t>
        </is>
      </c>
    </row>
    <row r="309">
      <c r="A309" t="inlineStr">
        <is>
          <t>Complete rig including Sail, Mast, Mastfoot, Mastbase, and Boom from JP Australia, model Vision 4.5. Suitable for beginners and in very good condition.</t>
        </is>
      </c>
      <c r="B309" s="4" t="n">
        <v>250</v>
      </c>
      <c r="C309" t="inlineStr"/>
      <c r="D309" t="inlineStr">
        <is>
          <t>28201 Neustadt - Huckelriede</t>
        </is>
      </c>
      <c r="E309" s="5" t="n">
        <v>45528</v>
      </c>
      <c r="F309" t="inlineStr">
        <is>
          <t>Sold</t>
        </is>
      </c>
      <c r="G309" s="6">
        <f>HYPERLINK("https://www.kleinanzeigen.de/s-anzeige/jp-australia-vision-4-5-sup-segel-komplett-rigg/2844887439-230-13503", "Link")</f>
        <v/>
      </c>
      <c r="H309" s="6">
        <f>HYPERLINK("C:\Projects\Kleinanzeigen-Scraper\offer_images\2844887439", "Link")</f>
        <v/>
      </c>
      <c r="I309" t="inlineStr">
        <is>
          <t>Meyer zu Altenschildesche</t>
        </is>
      </c>
      <c r="J309" s="6">
        <f>HYPERLINK("https://www.kleinanzeigen.de/s-bestandsliste.html?userId=2111576", "Link")</f>
        <v/>
      </c>
      <c r="K309" s="7" t="n">
        <v>45549.57422453703</v>
      </c>
      <c r="L309" s="3" t="inlineStr">
        <is>
          <t>267.67</t>
        </is>
      </c>
      <c r="M309" t="inlineStr">
        <is>
          <t>Köln</t>
        </is>
      </c>
    </row>
    <row r="310">
      <c r="A310" t="inlineStr">
        <is>
          <t>Includes North Foil Free Foil 4.1 board, North Speedster Wing, 90 cm mast, and carrying bag.</t>
        </is>
      </c>
      <c r="B310" s="4" t="n">
        <v>450</v>
      </c>
      <c r="C310" t="inlineStr">
        <is>
          <t>VB</t>
        </is>
      </c>
      <c r="D310" t="inlineStr">
        <is>
          <t>24103 Kiel - Kiel - Exerzierplatz</t>
        </is>
      </c>
      <c r="E310" s="5" t="n">
        <v>45539</v>
      </c>
      <c r="F310" t="inlineStr">
        <is>
          <t>Sold</t>
        </is>
      </c>
      <c r="G310" s="6">
        <f>HYPERLINK("https://www.kleinanzeigen.de/s-anzeige/north-foil-free-foil-4-1-north-speedster-foil-komplett/2854183338-230-26993", "Link")</f>
        <v/>
      </c>
      <c r="H310" s="6">
        <f>HYPERLINK("C:\Projects\Kleinanzeigen-Scraper\offer_images\2854183338", "Link")</f>
        <v/>
      </c>
      <c r="I310" t="inlineStr">
        <is>
          <t>Markus</t>
        </is>
      </c>
      <c r="J310" s="6">
        <f>HYPERLINK("https://www.kleinanzeigen.de/s-bestandsliste.html?userId=25003930", "Link")</f>
        <v/>
      </c>
      <c r="K310" s="7" t="n">
        <v>45549.57420138889</v>
      </c>
      <c r="L310" s="3" t="inlineStr">
        <is>
          <t>433.13</t>
        </is>
      </c>
      <c r="M310" t="inlineStr">
        <is>
          <t>Köln</t>
        </is>
      </c>
    </row>
    <row r="311">
      <c r="A311" t="inlineStr">
        <is>
          <t>Includes North Surf Sail 7m², North Mast, Power XT Boom, and North Mastfoot</t>
        </is>
      </c>
      <c r="B311" s="4" t="n">
        <v>399</v>
      </c>
      <c r="C311" t="inlineStr">
        <is>
          <t>VB</t>
        </is>
      </c>
      <c r="D311" t="inlineStr">
        <is>
          <t>14770 Brandenburg - Brandenburg an der Havel</t>
        </is>
      </c>
      <c r="E311" s="5" t="n">
        <v>45538</v>
      </c>
      <c r="F311" t="inlineStr">
        <is>
          <t>Sold</t>
        </is>
      </c>
      <c r="G311" s="6">
        <f>HYPERLINK("https://www.kleinanzeigen.de/s-anzeige/north-surf-segel-7m2-mast-gabelbaum-power-xt-mastfuss/2842396414-230-7739", "Link")</f>
        <v/>
      </c>
      <c r="H311" s="6">
        <f>HYPERLINK("C:\Projects\Kleinanzeigen-Scraper\offer_images\2842396414", "Link")</f>
        <v/>
      </c>
      <c r="I311" t="inlineStr">
        <is>
          <t>Tina</t>
        </is>
      </c>
      <c r="J311" s="6">
        <f>HYPERLINK("https://www.kleinanzeigen.de/s-bestandsliste.html?userId=124673996", "Link")</f>
        <v/>
      </c>
      <c r="K311" s="7" t="n">
        <v>45549.57417824074</v>
      </c>
      <c r="L311" s="3" t="inlineStr">
        <is>
          <t>416.86</t>
        </is>
      </c>
      <c r="M311" t="inlineStr">
        <is>
          <t>Köln</t>
        </is>
      </c>
    </row>
    <row r="312">
      <c r="A312" t="inlineStr">
        <is>
          <t>Multiple sails including North Quadro 4.0, North Rave 4.1 (damaged), North Zeta 4.5 (damaged), North Rave 4.9, Neilpryde Supernova 7.5, and various masts and booms.</t>
        </is>
      </c>
      <c r="B312" s="4" t="inlineStr"/>
      <c r="C312" t="inlineStr">
        <is>
          <t>VB</t>
        </is>
      </c>
      <c r="D312" t="inlineStr">
        <is>
          <t>23769 Kreis Ostholstein - Fehmarn</t>
        </is>
      </c>
      <c r="E312" s="5" t="n">
        <v>45537</v>
      </c>
      <c r="F312" t="inlineStr">
        <is>
          <t>Sold</t>
        </is>
      </c>
      <c r="G312" s="6">
        <f>HYPERLINK("https://www.kleinanzeigen.de/s-anzeige/5-surfsegel-north-und-neilpride-4-0-7-5/2852424869-230-19951", "Link")</f>
        <v/>
      </c>
      <c r="H312" s="6">
        <f>HYPERLINK("C:\Projects\Kleinanzeigen-Scraper\offer_images\2852424869", "Link")</f>
        <v/>
      </c>
      <c r="I312" t="inlineStr">
        <is>
          <t>Sandra Rossmann</t>
        </is>
      </c>
      <c r="J312" s="6">
        <f>HYPERLINK("https://www.kleinanzeigen.de/s-bestandsliste.html?userId=42591057", "Link")</f>
        <v/>
      </c>
      <c r="K312" s="7" t="n">
        <v>45549.57417824074</v>
      </c>
      <c r="L312" s="3" t="inlineStr">
        <is>
          <t>483.01</t>
        </is>
      </c>
      <c r="M312" t="inlineStr">
        <is>
          <t>Köln</t>
        </is>
      </c>
    </row>
    <row r="313">
      <c r="A313" t="inlineStr">
        <is>
          <t>Ezzy sails in sizes 4.2m², 5.0m², and 6.9m², all in good to very good condition.</t>
        </is>
      </c>
      <c r="B313" s="4" t="n">
        <v>69</v>
      </c>
      <c r="C313" t="inlineStr"/>
      <c r="D313" t="inlineStr">
        <is>
          <t>72644 Baden-Württemberg - Oberboihingen</t>
        </is>
      </c>
      <c r="E313" s="5" t="n">
        <v>45536</v>
      </c>
      <c r="F313" t="inlineStr">
        <is>
          <t>Sold</t>
        </is>
      </c>
      <c r="G313" s="6">
        <f>HYPERLINK("https://www.kleinanzeigen.de/s-anzeige/windsurfsegel-ezzy-4-2m-5-0m-6-9m-/2851315654-230-8218", "Link")</f>
        <v/>
      </c>
      <c r="H313" s="6">
        <f>HYPERLINK("C:\Projects\Kleinanzeigen-Scraper\offer_images\2851315654", "Link")</f>
        <v/>
      </c>
      <c r="I313" t="inlineStr">
        <is>
          <t>Andreas Braun</t>
        </is>
      </c>
      <c r="J313" s="6">
        <f>HYPERLINK("https://www.kleinanzeigen.de/s-bestandsliste.html?userId=20212035", "Link")</f>
        <v/>
      </c>
      <c r="K313" s="7" t="n">
        <v>45549.57403935185</v>
      </c>
      <c r="L313" s="3" t="inlineStr">
        <is>
          <t>28.77</t>
        </is>
      </c>
      <c r="M313" t="inlineStr">
        <is>
          <t>Böblingen</t>
        </is>
      </c>
    </row>
    <row r="314">
      <c r="A314" t="inlineStr">
        <is>
          <t>Naish Kailua 160 Windsurfboard with Rebel Windsurf sail (2.7 m²) and additional accessories including mast, boom, and mast extension.</t>
        </is>
      </c>
      <c r="B314" s="4" t="n">
        <v>400</v>
      </c>
      <c r="C314" t="inlineStr"/>
      <c r="D314" t="inlineStr">
        <is>
          <t>24340 Schleswig-Holstein - Eckernförde</t>
        </is>
      </c>
      <c r="E314" s="5" t="n">
        <v>45515</v>
      </c>
      <c r="F314" t="inlineStr"/>
      <c r="G314" s="6">
        <f>HYPERLINK("https://www.kleinanzeigen.de/s-anzeige/surfbrett-naish-kailua-160-mit-segel-und-zubehoer/2834738049-230-13234", "Link")</f>
        <v/>
      </c>
      <c r="H314" s="6">
        <f>HYPERLINK("C:\Projects\Kleinanzeigen-Scraper\offer_images\2834738049", "Link")</f>
        <v/>
      </c>
      <c r="I314" t="inlineStr">
        <is>
          <t>Hansen</t>
        </is>
      </c>
      <c r="J314" s="6">
        <f>HYPERLINK("https://www.kleinanzeigen.de/s-bestandsliste.html?userId=90877589", "Link")</f>
        <v/>
      </c>
      <c r="K314" s="7" t="n">
        <v>45549.57400462963</v>
      </c>
      <c r="L314" s="3" t="inlineStr">
        <is>
          <t>434.69</t>
        </is>
      </c>
      <c r="M314" t="inlineStr">
        <is>
          <t>Köln</t>
        </is>
      </c>
    </row>
    <row r="315">
      <c r="A315" t="inlineStr">
        <is>
          <t>Fanatic Bat with mast, boom, sail (various), and carrying bag, lightly used with some signs of wear.</t>
        </is>
      </c>
      <c r="B315" s="4" t="n">
        <v>95</v>
      </c>
      <c r="C315" t="inlineStr"/>
      <c r="D315" t="inlineStr">
        <is>
          <t>27578 Häfen - Bremerhaven</t>
        </is>
      </c>
      <c r="E315" s="5" t="n">
        <v>45546</v>
      </c>
      <c r="F315" t="inlineStr">
        <is>
          <t>Sold</t>
        </is>
      </c>
      <c r="G315" s="6">
        <f>HYPERLINK("https://www.kleinanzeigen.de/s-anzeige/fanatic-bat-mit-zubehoer/2860706049-230-54", "Link")</f>
        <v/>
      </c>
      <c r="H315" s="6">
        <f>HYPERLINK("C:\Projects\Kleinanzeigen-Scraper\offer_images\2860706049", "Link")</f>
        <v/>
      </c>
      <c r="I315" t="inlineStr">
        <is>
          <t>Kasper</t>
        </is>
      </c>
      <c r="J315" s="6">
        <f>HYPERLINK("https://www.kleinanzeigen.de/s-bestandsliste.html?userId=13010556", "Link")</f>
        <v/>
      </c>
      <c r="K315" s="7" t="n">
        <v>45549.57390046296</v>
      </c>
      <c r="L315" s="3" t="inlineStr">
        <is>
          <t>315.40</t>
        </is>
      </c>
      <c r="M315" t="inlineStr">
        <is>
          <t>Köln</t>
        </is>
      </c>
    </row>
    <row r="316">
      <c r="A316" t="inlineStr">
        <is>
          <t>Three Windsurf sails: Neilpryde 3.7 (repaired), Gastra 4.5 (top condition), Ezzy 5.2 (used, with repairs), and one Carbon mast (330 cm, in good condition).</t>
        </is>
      </c>
      <c r="B316" s="4" t="n">
        <v>80</v>
      </c>
      <c r="C316" t="inlineStr">
        <is>
          <t>VB</t>
        </is>
      </c>
      <c r="D316" t="inlineStr">
        <is>
          <t>22391 Wandsbek - Hamburg Wellingsbüttel</t>
        </is>
      </c>
      <c r="E316" s="5" t="n">
        <v>45509</v>
      </c>
      <c r="F316" t="inlineStr"/>
      <c r="G316" s="6">
        <f>HYPERLINK("https://www.kleinanzeigen.de/s-anzeige/3-surfsegel-ezzy-neilpryde-gastra-mit-carbonmast/2830179934-230-9469", "Link")</f>
        <v/>
      </c>
      <c r="H316" s="6">
        <f>HYPERLINK("C:\Projects\Kleinanzeigen-Scraper\offer_images\2830179934", "Link")</f>
        <v/>
      </c>
      <c r="I316" t="inlineStr">
        <is>
          <t>Gabriel</t>
        </is>
      </c>
      <c r="J316" s="6">
        <f>HYPERLINK("https://www.kleinanzeigen.de/s-bestandsliste.html?userId=54994592", "Link")</f>
        <v/>
      </c>
      <c r="K316" s="7" t="n">
        <v>45549.57383101852</v>
      </c>
      <c r="L316" s="3" t="inlineStr">
        <is>
          <t>368.10</t>
        </is>
      </c>
      <c r="M316" t="inlineStr">
        <is>
          <t>Köln</t>
        </is>
      </c>
    </row>
    <row r="317">
      <c r="A317" t="inlineStr">
        <is>
          <t>Fanatic Sky Wing 140 Liter board, Fanatic Aero High Aspect Foil 2000, Aluminium Mast 90 cm, Frontwing 2000, Backwing 300</t>
        </is>
      </c>
      <c r="B317" s="4" t="n">
        <v>1.4</v>
      </c>
      <c r="C317" t="inlineStr">
        <is>
          <t>VB</t>
        </is>
      </c>
      <c r="D317" t="inlineStr">
        <is>
          <t>24229 Schleswig-Holstein - Schwedeneck</t>
        </is>
      </c>
      <c r="E317" s="5" t="n">
        <v>45543</v>
      </c>
      <c r="F317" t="inlineStr">
        <is>
          <t>Sold</t>
        </is>
      </c>
      <c r="G317" s="6">
        <f>HYPERLINK("https://www.kleinanzeigen.de/s-anzeige/fanatic-wing-foil-set-fanatic-sky-wing-6-3-140-liter-aero-2000/2857177729-230-17470", "Link")</f>
        <v/>
      </c>
      <c r="H317" s="6">
        <f>HYPERLINK("C:\Projects\Kleinanzeigen-Scraper\offer_images\2857177729", "Link")</f>
        <v/>
      </c>
      <c r="I317" t="inlineStr">
        <is>
          <t>Bernd</t>
        </is>
      </c>
      <c r="J317" s="6">
        <f>HYPERLINK("https://www.kleinanzeigen.de/s-bestandsliste.html?userId=7833787", "Link")</f>
        <v/>
      </c>
      <c r="K317" s="7" t="n">
        <v>45549.57380787037</v>
      </c>
      <c r="L317" s="3" t="inlineStr">
        <is>
          <t>445.58</t>
        </is>
      </c>
      <c r="M317" t="inlineStr">
        <is>
          <t>Köln</t>
        </is>
      </c>
    </row>
    <row r="318">
      <c r="A318" t="inlineStr">
        <is>
          <t>Includes Starboard Wingboard 7'0" x 30" x 4.3", 140 liters; RRD Dynamic Alu Foil with 85 cm mast, Dynamic Carbon Frontwing 106 cm, and Rear Wing 52 cm; Takuma 4.3 m² Wing with leash and bag.</t>
        </is>
      </c>
      <c r="B318" s="4" t="n">
        <v>2.1</v>
      </c>
      <c r="C318" t="inlineStr"/>
      <c r="D318" t="inlineStr">
        <is>
          <t>24254 Schleswig-Holstein - Rumohr</t>
        </is>
      </c>
      <c r="E318" s="5" t="n">
        <v>45379</v>
      </c>
      <c r="F318" t="inlineStr">
        <is>
          <t>Sold</t>
        </is>
      </c>
      <c r="G318" s="6">
        <f>HYPERLINK("https://www.kleinanzeigen.de/s-anzeige/wing-foil-ausruestung-rrd-starboard-takuma/2719700191-230-675", "Link")</f>
        <v/>
      </c>
      <c r="H318" s="6">
        <f>HYPERLINK("C:\Projects\Kleinanzeigen-Scraper\offer_images\2719700191", "Link")</f>
        <v/>
      </c>
      <c r="I318" t="inlineStr">
        <is>
          <t>Lars</t>
        </is>
      </c>
      <c r="J318" s="6">
        <f>HYPERLINK("https://www.kleinanzeigen.de/s-bestandsliste.html?userId=5304528", "Link")</f>
        <v/>
      </c>
      <c r="K318" s="7" t="n">
        <v>45549.57373842593</v>
      </c>
      <c r="L318" s="3" t="inlineStr">
        <is>
          <t>423.10</t>
        </is>
      </c>
      <c r="M318" t="inlineStr">
        <is>
          <t>Köln</t>
        </is>
      </c>
    </row>
    <row r="319">
      <c r="A319" t="inlineStr">
        <is>
          <t>Complete set including Tabou Rocket LTD 2020 surfboard (135l), North Sails Super Session 2018 sail (5.2), CAAS Power Wave RDM mast (430cm), Prolimit Boom Team Wave (160-210), Duotone Power XT 2.0 mast extension (36cm), Neil Pryde Power U Base mast foot, and Duotone Uphaul Line Pro.</t>
        </is>
      </c>
      <c r="B319" s="4" t="n">
        <v>1.499</v>
      </c>
      <c r="C319" t="inlineStr">
        <is>
          <t>VB</t>
        </is>
      </c>
      <c r="D319" t="inlineStr">
        <is>
          <t>90427 Nürnberg (Mittelfr) - Nordstadt</t>
        </is>
      </c>
      <c r="E319" s="5" t="n">
        <v>45425</v>
      </c>
      <c r="F319" t="inlineStr"/>
      <c r="G319" s="6">
        <f>HYPERLINK("https://www.kleinanzeigen.de/s-anzeige/surfboard-tabou-rocket-ltd-2020-135l-komplett/2760457345-230-6829", "Link")</f>
        <v/>
      </c>
      <c r="H319" s="6">
        <f>HYPERLINK("C:\Projects\Kleinanzeigen-Scraper\offer_images\2760457345", "Link")</f>
        <v/>
      </c>
      <c r="I319" t="inlineStr">
        <is>
          <t>wolfr100</t>
        </is>
      </c>
      <c r="J319" s="6">
        <f>HYPERLINK("https://www.kleinanzeigen.de/s-bestandsliste.html?userId=140831312", "Link")</f>
        <v/>
      </c>
      <c r="K319" s="7" t="n">
        <v>45549.57368055556</v>
      </c>
      <c r="L319" s="3" t="inlineStr">
        <is>
          <t>156.67</t>
        </is>
      </c>
      <c r="M319" t="inlineStr">
        <is>
          <t>München</t>
        </is>
      </c>
    </row>
    <row r="320">
      <c r="A320" t="inlineStr">
        <is>
          <t>3.20 m Fanatic Lite Bat board with retractable dagger, spacious board bag for transport and protection, 5.6 sqm and 4 sqm sails, hip harness, and other accessories.</t>
        </is>
      </c>
      <c r="B320" s="4" t="n">
        <v>60</v>
      </c>
      <c r="C320" t="inlineStr"/>
      <c r="D320" t="inlineStr">
        <is>
          <t>52525 Nordrhein-Westfalen - Heinsberg</t>
        </is>
      </c>
      <c r="E320" s="5" t="n">
        <v>45515</v>
      </c>
      <c r="F320" t="inlineStr">
        <is>
          <t>Sold</t>
        </is>
      </c>
      <c r="G320" s="6">
        <f>HYPERLINK("https://www.kleinanzeigen.de/s-anzeige/surfboard-3-20-fanatic-2-segel-boardbag-zubehoer/2834509564-230-16235", "Link")</f>
        <v/>
      </c>
      <c r="H320" s="6">
        <f>HYPERLINK("C:\Projects\Kleinanzeigen-Scraper\offer_images\2834509564", "Link")</f>
        <v/>
      </c>
      <c r="I320" t="inlineStr">
        <is>
          <t>Sascha Kruklat</t>
        </is>
      </c>
      <c r="J320" s="6">
        <f>HYPERLINK("https://www.kleinanzeigen.de/s-bestandsliste.html?userId=10838998", "Link")</f>
        <v/>
      </c>
      <c r="K320" s="7" t="n">
        <v>45549.57364583333</v>
      </c>
      <c r="L320" s="3" t="inlineStr">
        <is>
          <t>60.56</t>
        </is>
      </c>
      <c r="M320" t="inlineStr">
        <is>
          <t>Köln</t>
        </is>
      </c>
    </row>
    <row r="321">
      <c r="A321" t="inlineStr">
        <is>
          <t>Two Windsurf sails: Neilpryde The Fly 4.5 and The Fly 2 (3.9), both in good used condition, compatible with 370cm and 4m masts.</t>
        </is>
      </c>
      <c r="B321" s="4" t="n">
        <v>75</v>
      </c>
      <c r="C321" t="inlineStr"/>
      <c r="D321" t="inlineStr">
        <is>
          <t>23566 Lübeck - St. Gertrud</t>
        </is>
      </c>
      <c r="E321" s="5" t="n">
        <v>45505</v>
      </c>
      <c r="F321" t="inlineStr"/>
      <c r="G321" s="6">
        <f>HYPERLINK("https://www.kleinanzeigen.de/s-anzeige/neilpryde-segel-the-fly-4-5-und-the-fly-2-3-9/2826683145-230-24239", "Link")</f>
        <v/>
      </c>
      <c r="H321" s="6">
        <f>HYPERLINK("C:\Projects\Kleinanzeigen-Scraper\offer_images\2826683145", "Link")</f>
        <v/>
      </c>
      <c r="I321" t="inlineStr">
        <is>
          <t>Lena</t>
        </is>
      </c>
      <c r="J321" s="6">
        <f>HYPERLINK("https://www.kleinanzeigen.de/s-bestandsliste.html?userId=5998499", "Link")</f>
        <v/>
      </c>
      <c r="K321" s="7" t="n">
        <v>45549.57342592593</v>
      </c>
      <c r="L321" s="3" t="inlineStr">
        <is>
          <t>415.00</t>
        </is>
      </c>
      <c r="M321" t="inlineStr">
        <is>
          <t>Köln</t>
        </is>
      </c>
    </row>
    <row r="322">
      <c r="A322" t="inlineStr">
        <is>
          <t>Includes multiple sails from Neilpryde and Sailloft, sold as a package.</t>
        </is>
      </c>
      <c r="B322" s="4" t="n">
        <v>180</v>
      </c>
      <c r="C322" t="inlineStr"/>
      <c r="D322" t="inlineStr">
        <is>
          <t>30916 Niedersachsen - Isernhagen</t>
        </is>
      </c>
      <c r="E322" s="5" t="n">
        <v>45541</v>
      </c>
      <c r="F322" t="inlineStr"/>
      <c r="G322" s="6">
        <f>HYPERLINK("https://www.kleinanzeigen.de/s-anzeige/segelausruestung-konvolut-bestehend-aus-neilpryde-sailloft/2855716887-230-2895", "Link")</f>
        <v/>
      </c>
      <c r="H322" s="6">
        <f>HYPERLINK("C:\Projects\Kleinanzeigen-Scraper\offer_images\2855716887", "Link")</f>
        <v/>
      </c>
      <c r="I322" t="inlineStr">
        <is>
          <t>Jan-Ole Hennig</t>
        </is>
      </c>
      <c r="J322" s="6">
        <f>HYPERLINK("https://www.kleinanzeigen.de/s-bestandsliste.html?userId=66964874", "Link")</f>
        <v/>
      </c>
      <c r="K322" s="7" t="n">
        <v>45549.57342592593</v>
      </c>
      <c r="L322" s="3" t="inlineStr">
        <is>
          <t>261.21</t>
        </is>
      </c>
      <c r="M322" t="inlineStr">
        <is>
          <t>Köln</t>
        </is>
      </c>
    </row>
    <row r="323">
      <c r="A323" t="inlineStr">
        <is>
          <t>Kite-Set including North Trace 145x45 board with binding, Naish Pivot 11 kite, Naish Boxer 14 kite, Naish Torque kitebar, Naish safety leash, Naish Airmax 2 pump, ION Riot Curv 14 harness.</t>
        </is>
      </c>
      <c r="B323" s="4" t="n">
        <v>2.19</v>
      </c>
      <c r="C323" t="inlineStr">
        <is>
          <t>VB</t>
        </is>
      </c>
      <c r="D323" t="inlineStr">
        <is>
          <t>24783 Schleswig-Holstein - Osterrönfeld</t>
        </is>
      </c>
      <c r="E323" s="5" t="n">
        <v>45543</v>
      </c>
      <c r="F323" t="inlineStr">
        <is>
          <t>Sold</t>
        </is>
      </c>
      <c r="G323" s="6">
        <f>HYPERLINK("https://www.kleinanzeigen.de/s-anzeige/kite-set-kiteboard-kitebar-north-naish/2857367363-230-500", "Link")</f>
        <v/>
      </c>
      <c r="H323" s="6">
        <f>HYPERLINK("C:\Projects\Kleinanzeigen-Scraper\offer_images\2857367363", "Link")</f>
        <v/>
      </c>
      <c r="I323" t="inlineStr">
        <is>
          <t>herr zink</t>
        </is>
      </c>
      <c r="J323" s="6">
        <f>HYPERLINK("https://www.kleinanzeigen.de/s-bestandsliste.html?userId=28393242", "Link")</f>
        <v/>
      </c>
      <c r="K323" s="7" t="n">
        <v>45549.57331018519</v>
      </c>
      <c r="L323" s="3" t="inlineStr">
        <is>
          <t>415.35</t>
        </is>
      </c>
      <c r="M323" t="inlineStr">
        <is>
          <t>Köln</t>
        </is>
      </c>
    </row>
    <row r="324">
      <c r="A324" t="inlineStr">
        <is>
          <t>Complete windsurf set including Starboard iSonic 107 slalom board with fin, Ezzy Sails Lion 6.5 sail, 91% carbon mast, mast extension, mast foot, boom, and harnesses.</t>
        </is>
      </c>
      <c r="B324" s="4" t="n">
        <v>850</v>
      </c>
      <c r="C324" t="inlineStr"/>
      <c r="D324" t="inlineStr">
        <is>
          <t>41464 Nordrhein-Westfalen - Neuss</t>
        </is>
      </c>
      <c r="E324" s="5" t="n">
        <v>45521</v>
      </c>
      <c r="F324" t="inlineStr"/>
      <c r="G324" s="6">
        <f>HYPERLINK("https://www.kleinanzeigen.de/s-anzeige/windsurf-set-komplett-starboard-isonic-107-ezzy-sails-lion-6-5/2839433388-230-2113", "Link")</f>
        <v/>
      </c>
      <c r="H324" s="6">
        <f>HYPERLINK("C:\Projects\Kleinanzeigen-Scraper\offer_images\2839433388", "Link")</f>
        <v/>
      </c>
      <c r="I324" t="inlineStr">
        <is>
          <t>V.Mue</t>
        </is>
      </c>
      <c r="J324" s="6">
        <f>HYPERLINK("https://www.kleinanzeigen.de/s-bestandsliste.html?userId=34971216", "Link")</f>
        <v/>
      </c>
      <c r="K324" s="7" t="n">
        <v>45549.57329861111</v>
      </c>
      <c r="L324" s="3" t="inlineStr">
        <is>
          <t>34.26</t>
        </is>
      </c>
      <c r="M324" t="inlineStr">
        <is>
          <t>Köln</t>
        </is>
      </c>
    </row>
    <row r="325">
      <c r="A325" t="inlineStr">
        <is>
          <t>Includes 2 Boards, 2 Masts, 3 Booms, Sails, 2 Boardbags, Sailbag, Mastbag. Used condition.</t>
        </is>
      </c>
      <c r="B325" s="4" t="n">
        <v>150</v>
      </c>
      <c r="C325" t="inlineStr"/>
      <c r="D325" t="inlineStr">
        <is>
          <t>53947 Nordrhein-Westfalen - Nettersheim</t>
        </is>
      </c>
      <c r="E325" s="5" t="n">
        <v>45560</v>
      </c>
      <c r="F325" t="inlineStr">
        <is>
          <t>Sold</t>
        </is>
      </c>
      <c r="G325" s="6">
        <f>HYPERLINK("https://www.kleinanzeigen.de/s-anzeige/windsurfkonvolut-neilpryde-fanatic-f2/2816212481-230-1620", "Link")</f>
        <v/>
      </c>
      <c r="H325" s="6">
        <f>HYPERLINK("C:\Projects\Kleinanzeigen-Scraper\offer_images\2816212481", "Link")</f>
        <v/>
      </c>
      <c r="I325" t="inlineStr">
        <is>
          <t>Merks</t>
        </is>
      </c>
      <c r="J325" s="6">
        <f>HYPERLINK("https://www.kleinanzeigen.de/s-bestandsliste.html?userId=20836441", "Link")</f>
        <v/>
      </c>
      <c r="K325" s="7" t="n">
        <v>45549.57318287037</v>
      </c>
      <c r="L325" s="3" t="inlineStr">
        <is>
          <t>52.88</t>
        </is>
      </c>
      <c r="M325" t="inlineStr">
        <is>
          <t>Köln</t>
        </is>
      </c>
    </row>
    <row r="326">
      <c r="A326" t="inlineStr">
        <is>
          <t>Fanatic Sky wing 5‘0 board (75L) with some scratches and a repaired spot, includes foot straps and windsurf board bag, Sabfoil 945 set with 945 front wing, 425 stabilizer, 70cm HS fuselage, 82cm mast with quick mount plate, covers for mast, stabilizer, and front wing.</t>
        </is>
      </c>
      <c r="B326" s="4" t="n">
        <v>1.325</v>
      </c>
      <c r="C326" t="inlineStr"/>
      <c r="D326" t="inlineStr">
        <is>
          <t>87509 Bayern - Immenstadt</t>
        </is>
      </c>
      <c r="E326" s="5" t="n">
        <v>45536</v>
      </c>
      <c r="F326" t="inlineStr">
        <is>
          <t>Sold</t>
        </is>
      </c>
      <c r="G326" s="6">
        <f>HYPERLINK("https://www.kleinanzeigen.de/s-anzeige/foil-board-set-fanatic-sky-wing-5-0-75l-sabfoil-945-1300cm2/2851421437-230-5538", "Link")</f>
        <v/>
      </c>
      <c r="H326" s="6">
        <f>HYPERLINK("C:\Projects\Kleinanzeigen-Scraper\offer_images\2851421437", "Link")</f>
        <v/>
      </c>
      <c r="I326" t="inlineStr">
        <is>
          <t>Benjamin</t>
        </is>
      </c>
      <c r="J326" s="6">
        <f>HYPERLINK("https://www.kleinanzeigen.de/s-bestandsliste.html?userId=22383457", "Link")</f>
        <v/>
      </c>
      <c r="K326" s="7" t="n">
        <v>45549.57309027778</v>
      </c>
      <c r="L326" s="3" t="inlineStr">
        <is>
          <t>120.75</t>
        </is>
      </c>
      <c r="M326" t="inlineStr">
        <is>
          <t>München</t>
        </is>
      </c>
    </row>
    <row r="327">
      <c r="A327" t="inlineStr">
        <is>
          <t>Unused Simmer Style Cyber Race Windsurf sails in sizes 7.0 and 7.4, includes two mast extensions for controlled flex.</t>
        </is>
      </c>
      <c r="B327" s="4" t="n">
        <v>55</v>
      </c>
      <c r="C327" t="inlineStr">
        <is>
          <t>VB</t>
        </is>
      </c>
      <c r="D327" t="inlineStr">
        <is>
          <t>33607 Bielefeld - Bielefeld (Innenstadt)</t>
        </is>
      </c>
      <c r="E327" s="5" t="n">
        <v>45428</v>
      </c>
      <c r="F327" t="inlineStr"/>
      <c r="G327" s="6">
        <f>HYPERLINK("https://www.kleinanzeigen.de/s-anzeige/simmer-style-cyber-race-surfsegel-mehrere-groessen-neuwertig/2762565560-230-1069", "Link")</f>
        <v/>
      </c>
      <c r="H327" s="6">
        <f>HYPERLINK("C:\Projects\Kleinanzeigen-Scraper\offer_images\2762565560", "Link")</f>
        <v/>
      </c>
      <c r="I327" t="inlineStr">
        <is>
          <t>Horst</t>
        </is>
      </c>
      <c r="J327" s="6">
        <f>HYPERLINK("https://www.kleinanzeigen.de/s-bestandsliste.html?userId=18007600", "Link")</f>
        <v/>
      </c>
      <c r="K327" s="7" t="n">
        <v>45549.57291666666</v>
      </c>
      <c r="L327" s="3" t="inlineStr">
        <is>
          <t>164.50</t>
        </is>
      </c>
      <c r="M327" t="inlineStr">
        <is>
          <t>Köln</t>
        </is>
      </c>
    </row>
    <row r="328">
      <c r="A328" t="inlineStr">
        <is>
          <t>Complete windsurfing rig including sail, boom, and other equipment.</t>
        </is>
      </c>
      <c r="B328" s="4" t="n">
        <v>150</v>
      </c>
      <c r="C328" t="inlineStr">
        <is>
          <t>VB</t>
        </is>
      </c>
      <c r="D328" t="inlineStr">
        <is>
          <t>63801 Bayern - Kleinostheim</t>
        </is>
      </c>
      <c r="E328" s="5" t="n">
        <v>45509</v>
      </c>
      <c r="F328" t="inlineStr">
        <is>
          <t>Sold</t>
        </is>
      </c>
      <c r="G328" s="6">
        <f>HYPERLINK("https://www.kleinanzeigen.de/s-anzeige/fanatic-surfsegel-5-5-komplett-windsurf-rigg-gabelbaum-vario-top/2829444776-230-7433", "Link")</f>
        <v/>
      </c>
      <c r="H328" s="6">
        <f>HYPERLINK("C:\Projects\Kleinanzeigen-Scraper\offer_images\2829444776", "Link")</f>
        <v/>
      </c>
      <c r="I328" t="inlineStr">
        <is>
          <t>März</t>
        </is>
      </c>
      <c r="J328" s="6">
        <f>HYPERLINK("https://www.kleinanzeigen.de/s-bestandsliste.html?userId=9071682", "Link")</f>
        <v/>
      </c>
      <c r="K328" s="7" t="n">
        <v>45549.57277777778</v>
      </c>
      <c r="L328" s="3" t="inlineStr">
        <is>
          <t>122.74</t>
        </is>
      </c>
      <c r="M328" t="inlineStr">
        <is>
          <t>Karlsruhe</t>
        </is>
      </c>
    </row>
    <row r="329">
      <c r="A329" t="inlineStr">
        <is>
          <t>Complete set including Fanatic X-Ray Surfboard (Length: 266 cm, Width: 66 cm, Volume: 130L), Neil Pryde V8 Streetracer Sail (6.5 m²), Neil Pryde Freeride Pro Carbon Mast (460 cm), mast foot extension, and 1 fin.</t>
        </is>
      </c>
      <c r="B329" s="4" t="n">
        <v>320</v>
      </c>
      <c r="C329" t="inlineStr">
        <is>
          <t>VB</t>
        </is>
      </c>
      <c r="D329" t="inlineStr">
        <is>
          <t>68167 Baden-Württemberg - Mannheim</t>
        </is>
      </c>
      <c r="E329" s="5" t="n">
        <v>45510</v>
      </c>
      <c r="F329" t="inlineStr">
        <is>
          <t>Sold</t>
        </is>
      </c>
      <c r="G329" s="6">
        <f>HYPERLINK("https://www.kleinanzeigen.de/s-anzeige/surfbrett-fanatic-komplett-mit-rigg/2830516891-230-7979", "Link")</f>
        <v/>
      </c>
      <c r="H329" s="6">
        <f>HYPERLINK("C:\Projects\Kleinanzeigen-Scraper\offer_images\2830516891", "Link")</f>
        <v/>
      </c>
      <c r="I329" t="inlineStr">
        <is>
          <t>Juretzek</t>
        </is>
      </c>
      <c r="J329" s="6">
        <f>HYPERLINK("https://www.kleinanzeigen.de/s-bestandsliste.html?userId=58928053", "Link")</f>
        <v/>
      </c>
      <c r="K329" s="7" t="n">
        <v>45549.57273148148</v>
      </c>
      <c r="L329" s="3" t="inlineStr">
        <is>
          <t>55.12</t>
        </is>
      </c>
      <c r="M329" t="inlineStr">
        <is>
          <t>Karlsruhe</t>
        </is>
      </c>
    </row>
    <row r="330">
      <c r="A330" t="inlineStr">
        <is>
          <t>Complete windsurfing equipment set including: 1x Tabou Rocket 125 board, 1x board bag, 1x original fin, 1x mast foot from GunSails, 1x Severne NCX 6.5 sail (barely used), 1x Severne NCX 7.5 sail (lightly used), 1x Gaastra GA Cosmic 8.3 sail (brand new), 1x sail and mast bag from ConceptX (fits up to three sails and three detachable masts), 3x Severne ARC Carbon masts (430, 460, 490 cm), 2x Severne extensions of different lengths, 2x GunSails booms with start lines and new adjustable trapeze straps (160-210 cm, 180-230 cm).</t>
        </is>
      </c>
      <c r="B330" s="4" t="n">
        <v>2.75</v>
      </c>
      <c r="C330" t="inlineStr"/>
      <c r="D330" t="inlineStr">
        <is>
          <t>83122 Bayern - Samerberg</t>
        </is>
      </c>
      <c r="E330" s="5" t="n">
        <v>45548</v>
      </c>
      <c r="F330" t="inlineStr"/>
      <c r="G330" s="6">
        <f>HYPERLINK("https://www.kleinanzeigen.de/s-anzeige/komplettes-surfequipment-tabou-severne-gaastra-gunsails/2845110531-230-7572", "Link")</f>
        <v/>
      </c>
      <c r="H330" s="6">
        <f>HYPERLINK("C:\Projects\Kleinanzeigen-Scraper\offer_images\2845110531", "Link")</f>
        <v/>
      </c>
      <c r="I330" t="inlineStr">
        <is>
          <t>Georg Trenker</t>
        </is>
      </c>
      <c r="J330" s="6">
        <f>HYPERLINK("https://www.kleinanzeigen.de/s-bestandsliste.html?userId=83510678", "Link")</f>
        <v/>
      </c>
      <c r="K330" s="7" t="n">
        <v>45549.5725</v>
      </c>
      <c r="L330" s="3" t="inlineStr">
        <is>
          <t>61.87</t>
        </is>
      </c>
      <c r="M330" t="inlineStr">
        <is>
          <t>München</t>
        </is>
      </c>
    </row>
    <row r="331">
      <c r="A331" t="inlineStr">
        <is>
          <t>DRAGON-Set from Gunsails including a 3.6 m² sail, 3 battens, Pro Kid Boom (120-160 cm), 2-part aluminum mast (300-320 cm adjustable), accessories: start line, trapeze lines, Dragon mast foot, transport bag. Condition: like new.</t>
        </is>
      </c>
      <c r="B331" s="4" t="n">
        <v>170</v>
      </c>
      <c r="C331" t="inlineStr">
        <is>
          <t>VB</t>
        </is>
      </c>
      <c r="D331" t="inlineStr">
        <is>
          <t>83093 Bayern - Bad Endorf</t>
        </is>
      </c>
      <c r="E331" s="5" t="n">
        <v>45547</v>
      </c>
      <c r="F331" t="inlineStr">
        <is>
          <t>Sold</t>
        </is>
      </c>
      <c r="G331" s="6">
        <f>HYPERLINK("https://www.kleinanzeigen.de/s-anzeige/dragon-set-von-gun-sails-kindersegel-und-jugendsegel-komplett/2814862956-242-7578", "Link")</f>
        <v/>
      </c>
      <c r="H331" s="6">
        <f>HYPERLINK("C:\Projects\Kleinanzeigen-Scraper\offer_images\2814862956", "Link")</f>
        <v/>
      </c>
      <c r="I331" t="inlineStr">
        <is>
          <t>Birgit Heffner</t>
        </is>
      </c>
      <c r="J331" s="6">
        <f>HYPERLINK("https://www.kleinanzeigen.de/s-bestandsliste.html?userId=46713870", "Link")</f>
        <v/>
      </c>
      <c r="K331" s="7" t="n">
        <v>45549.57247685185</v>
      </c>
      <c r="L331" s="3" t="inlineStr">
        <is>
          <t>60.48</t>
        </is>
      </c>
      <c r="M331" t="inlineStr">
        <is>
          <t>München</t>
        </is>
      </c>
    </row>
    <row r="332">
      <c r="A332" t="inlineStr">
        <is>
          <t>Includes RRD Vogue PRO MK8 sails in sizes 3.7 qm and 4.2 qm, with corresponding booms and a 370 RDM mast.</t>
        </is>
      </c>
      <c r="B332" s="4" t="n">
        <v>200</v>
      </c>
      <c r="C332" t="inlineStr">
        <is>
          <t>VB</t>
        </is>
      </c>
      <c r="D332" t="inlineStr">
        <is>
          <t>23769 Fehmarn - Westfehmarn</t>
        </is>
      </c>
      <c r="E332" s="5" t="n">
        <v>45184</v>
      </c>
      <c r="F332" t="inlineStr"/>
      <c r="G332" s="6">
        <f>HYPERLINK("https://www.kleinanzeigen.de/s-anzeige/windsurf-segel-rrd-vogue-pro-mk8-3-7-qm-4-2-qm/2546448595-230-430", "Link")</f>
        <v/>
      </c>
      <c r="H332" s="6">
        <f>HYPERLINK("C:\Projects\Kleinanzeigen-Scraper\offer_images\2546448595", "Link")</f>
        <v/>
      </c>
      <c r="I332" t="inlineStr">
        <is>
          <t>Steven</t>
        </is>
      </c>
      <c r="J332" s="6">
        <f>HYPERLINK("https://www.kleinanzeigen.de/s-bestandsliste.html?userId=14267040", "Link")</f>
        <v/>
      </c>
      <c r="K332" s="7" t="n">
        <v>45549.57237268519</v>
      </c>
      <c r="L332" s="3" t="inlineStr">
        <is>
          <t>483.01</t>
        </is>
      </c>
      <c r="M332" t="inlineStr">
        <is>
          <t>Köln</t>
        </is>
      </c>
    </row>
    <row r="333">
      <c r="A333" t="inlineStr">
        <is>
          <t>Complete Foil Set including AL Carve 75/76 and 950/216 for Wingsurfing</t>
        </is>
      </c>
      <c r="B333" s="4" t="n">
        <v>899</v>
      </c>
      <c r="C333" t="inlineStr"/>
      <c r="D333" t="inlineStr">
        <is>
          <t>22457 Eimsbüttel - Hamburg Schnelsen</t>
        </is>
      </c>
      <c r="E333" s="5" t="n">
        <v>45539</v>
      </c>
      <c r="F333" t="inlineStr">
        <is>
          <t>Sold</t>
        </is>
      </c>
      <c r="G333" s="6">
        <f>HYPERLINK("https://www.kleinanzeigen.de/s-anzeige/duotone-foil-set-complete-al-carve-75-76-950-216-wingsurfen/2597620602-230-9492", "Link")</f>
        <v/>
      </c>
      <c r="H333" s="6">
        <f>HYPERLINK("C:\Projects\Kleinanzeigen-Scraper\offer_images\2597620602", "Link")</f>
        <v/>
      </c>
      <c r="I333" t="inlineStr">
        <is>
          <t>No user name</t>
        </is>
      </c>
      <c r="J333" s="6">
        <f>HYPERLINK("https://www.kleinanzeigen.deNo user link", "Link")</f>
        <v/>
      </c>
      <c r="K333" s="7" t="n">
        <v>45549.57225694445</v>
      </c>
      <c r="L333" s="3" t="inlineStr">
        <is>
          <t>362.41</t>
        </is>
      </c>
      <c r="M333" t="inlineStr">
        <is>
          <t>Köln</t>
        </is>
      </c>
    </row>
    <row r="334">
      <c r="A334" t="inlineStr">
        <is>
          <t>Complete Windsurfing equipment set including Starboard Isonic board (228x72cm), Point 7 AC One sail (7.1), Point 7 430cm 80% Carbon mast, Point 7 180-230 Alu boom, Point 7 48cm aluminum extension, Point 7 mast foot, Point 7 adjustable outhaul set, Point 7 Vario harness lines, Dakine uphaul, Surfbent, outhaul pulley, Concept X bag, Maui Ultra Fin Carbon 30cm (defective), C-Fins 40cm.</t>
        </is>
      </c>
      <c r="B334" s="4" t="n">
        <v>1.85</v>
      </c>
      <c r="C334" t="inlineStr"/>
      <c r="D334" t="inlineStr">
        <is>
          <t>24351 Schleswig-Holstein - Damp</t>
        </is>
      </c>
      <c r="E334" s="5" t="n">
        <v>45462</v>
      </c>
      <c r="F334" t="inlineStr"/>
      <c r="G334" s="6">
        <f>HYPERLINK("https://www.kleinanzeigen.de/s-anzeige/windsurf-ausruestung-set-slalom-starboard-point-7/2792049753-230-21598", "Link")</f>
        <v/>
      </c>
      <c r="H334" s="6">
        <f>HYPERLINK("C:\Projects\Kleinanzeigen-Scraper\offer_images\2792049753", "Link")</f>
        <v/>
      </c>
      <c r="I334" t="inlineStr">
        <is>
          <t>Privat</t>
        </is>
      </c>
      <c r="J334" s="6">
        <f>HYPERLINK("https://www.kleinanzeigen.de/s-bestandsliste.html?userId=128986672", "Link")</f>
        <v/>
      </c>
      <c r="K334" s="7" t="n">
        <v>45549.57225694445</v>
      </c>
      <c r="L334" s="3" t="inlineStr">
        <is>
          <t>451.72</t>
        </is>
      </c>
      <c r="M334" t="inlineStr">
        <is>
          <t>Köln</t>
        </is>
      </c>
    </row>
    <row r="335">
      <c r="A335" t="inlineStr">
        <is>
          <t>Foilboard STX Wing 160Ltr, Naish Wing, Duotone 5, Flysurfer 3.5, including Fantic bag and 95er Naish Foil. All items in top condition, nearly new.</t>
        </is>
      </c>
      <c r="B335" s="4" t="n">
        <v>1.3</v>
      </c>
      <c r="C335" t="inlineStr"/>
      <c r="D335" t="inlineStr">
        <is>
          <t>48291 Nordrhein-Westfalen - Telgte</t>
        </is>
      </c>
      <c r="E335" s="5" t="n">
        <v>45544</v>
      </c>
      <c r="F335" t="inlineStr">
        <is>
          <t>Sold</t>
        </is>
      </c>
      <c r="G335" s="6">
        <f>HYPERLINK("https://www.kleinanzeigen.de/s-anzeige/foilboard-stx-wing-160ltr-naish-wing-duotone-5-flysurfer-3-5/2858265474-230-1305", "Link")</f>
        <v/>
      </c>
      <c r="H335" s="6">
        <f>HYPERLINK("C:\Projects\Kleinanzeigen-Scraper\offer_images\2858265474", "Link")</f>
        <v/>
      </c>
      <c r="I335" t="inlineStr">
        <is>
          <t>Köbbing</t>
        </is>
      </c>
      <c r="J335" s="6">
        <f>HYPERLINK("https://www.kleinanzeigen.de/s-bestandsliste.html?userId=30507370", "Link")</f>
        <v/>
      </c>
      <c r="K335" s="7" t="n">
        <v>45549.5721875</v>
      </c>
      <c r="L335" s="3" t="inlineStr">
        <is>
          <t>129.80</t>
        </is>
      </c>
      <c r="M335" t="inlineStr">
        <is>
          <t>Köln</t>
        </is>
      </c>
    </row>
    <row r="336">
      <c r="A336" t="inlineStr">
        <is>
          <t>Includes 2 boards (Fanatic Lite Viper 187L, Fanatic Rabbit 130L), 2 masts, 2 sails (Neil Pride 7.0qm, Fanatic 6.2), 1 boom, 1 children's sail with mast and boom, and 1 harness from Gaastra.</t>
        </is>
      </c>
      <c r="B336" s="4" t="n">
        <v>200</v>
      </c>
      <c r="C336" t="inlineStr">
        <is>
          <t>VB</t>
        </is>
      </c>
      <c r="D336" t="inlineStr">
        <is>
          <t>73614 Baden-Württemberg - Schorndorf</t>
        </is>
      </c>
      <c r="E336" s="5" t="n">
        <v>45517</v>
      </c>
      <c r="F336" t="inlineStr">
        <is>
          <t>Sold</t>
        </is>
      </c>
      <c r="G336" s="6">
        <f>HYPERLINK("https://www.kleinanzeigen.de/s-anzeige/fanatic-lite-viper-und-fanatic-rabbit-komplett-set/2836323808-230-8415", "Link")</f>
        <v/>
      </c>
      <c r="H336" s="6">
        <f>HYPERLINK("C:\Projects\Kleinanzeigen-Scraper\offer_images\2836323808", "Link")</f>
        <v/>
      </c>
      <c r="I336" t="inlineStr">
        <is>
          <t>T. Schuster</t>
        </is>
      </c>
      <c r="J336" s="6">
        <f>HYPERLINK("https://www.kleinanzeigen.de/s-bestandsliste.html?userId=48317920", "Link")</f>
        <v/>
      </c>
      <c r="K336" s="7" t="n">
        <v>45549.57206018519</v>
      </c>
      <c r="L336" s="3" t="inlineStr">
        <is>
          <t>42.17</t>
        </is>
      </c>
      <c r="M336" t="inlineStr">
        <is>
          <t>Böblingen</t>
        </is>
      </c>
    </row>
    <row r="337">
      <c r="A337" t="inlineStr">
        <is>
          <t>STX ISup Hybrid 11.6 with Naish MK4 Wing 4.5, including paddle, backpack, pump, and leash.</t>
        </is>
      </c>
      <c r="B337" s="4" t="n">
        <v>699</v>
      </c>
      <c r="C337" t="inlineStr"/>
      <c r="D337" t="inlineStr">
        <is>
          <t>35096 Hessen - Weimar (Lahn)</t>
        </is>
      </c>
      <c r="E337" s="5" t="n">
        <v>45496</v>
      </c>
      <c r="F337" t="inlineStr">
        <is>
          <t>Sold</t>
        </is>
      </c>
      <c r="G337" s="6">
        <f>HYPERLINK("https://www.kleinanzeigen.de/s-anzeige/stx-isup-hybrid-11-6-naish-wing/2819254429-230-4828", "Link")</f>
        <v/>
      </c>
      <c r="H337" s="6">
        <f>HYPERLINK("C:\Projects\Kleinanzeigen-Scraper\offer_images\2819254429", "Link")</f>
        <v/>
      </c>
      <c r="I337" t="inlineStr">
        <is>
          <t>Marc Zeppel</t>
        </is>
      </c>
      <c r="J337" s="6">
        <f>HYPERLINK("https://www.kleinanzeigen.de/s-bestandsliste.html?userId=20961983", "Link")</f>
        <v/>
      </c>
      <c r="K337" s="7" t="n">
        <v>45549.5718287037</v>
      </c>
      <c r="L337" s="3" t="inlineStr">
        <is>
          <t>124.91</t>
        </is>
      </c>
      <c r="M337" t="inlineStr">
        <is>
          <t>Köln</t>
        </is>
      </c>
    </row>
    <row r="338">
      <c r="A338" t="inlineStr">
        <is>
          <t>Complete windsurfing set including RRD Style Pro MK6 5.2 qm sail, RRD T800 MCS 19 CC 400cm 100% Aero Carbon mast, Duotone Silver 140-190 boom, and Duotone UNI_XT Aero RDM 34 100% Carbon mast foot.</t>
        </is>
      </c>
      <c r="B338" s="4" t="n">
        <v>1</v>
      </c>
      <c r="C338" t="inlineStr">
        <is>
          <t>VB</t>
        </is>
      </c>
      <c r="D338" t="inlineStr">
        <is>
          <t>80939 München - Schwabing-Freimann</t>
        </is>
      </c>
      <c r="E338" s="5" t="n">
        <v>45547</v>
      </c>
      <c r="F338" t="inlineStr"/>
      <c r="G338" s="6">
        <f>HYPERLINK("https://www.kleinanzeigen.de/s-anzeige/rrd-roberto-ricci-designs-style-pro-mk6-5-2qm-komplettset/2861576320-230-6450", "Link")</f>
        <v/>
      </c>
      <c r="H338" s="6">
        <f>HYPERLINK("C:\Projects\Kleinanzeigen-Scraper\offer_images\2861576320", "Link")</f>
        <v/>
      </c>
      <c r="I338" t="inlineStr">
        <is>
          <t>Maxi</t>
        </is>
      </c>
      <c r="J338" s="6">
        <f>HYPERLINK("https://www.kleinanzeigen.de/s-bestandsliste.html?userId=55167151", "Link")</f>
        <v/>
      </c>
      <c r="K338" s="7" t="n">
        <v>45549.57166666666</v>
      </c>
      <c r="L338" s="3" t="inlineStr">
        <is>
          <t>7.86</t>
        </is>
      </c>
      <c r="M338" t="inlineStr">
        <is>
          <t>München</t>
        </is>
      </c>
    </row>
    <row r="339">
      <c r="A339" t="inlineStr">
        <is>
          <t>Fanatic Ripper Windsurfboard with 2 fins, 4 foot straps, board bag, harness lines, 2.5 m² and 3.5 m² Neil Pryde Dragonfly sails, carbon mast, boom, and mast foot.</t>
        </is>
      </c>
      <c r="B339" s="4" t="n">
        <v>1.3</v>
      </c>
      <c r="C339" t="inlineStr">
        <is>
          <t>VB</t>
        </is>
      </c>
      <c r="D339" t="inlineStr">
        <is>
          <t>26382 Niedersachsen - Wilhelmshaven</t>
        </is>
      </c>
      <c r="E339" s="5" t="n">
        <v>45534</v>
      </c>
      <c r="F339" t="inlineStr">
        <is>
          <t>Sold</t>
        </is>
      </c>
      <c r="G339" s="6">
        <f>HYPERLINK("https://www.kleinanzeigen.de/s-anzeige/fanatic-ripper-windsurfboard-fuer-kids-young-gun-s-surfbrett/2839752958-230-3099", "Link")</f>
        <v/>
      </c>
      <c r="H339" s="6">
        <f>HYPERLINK("C:\Projects\Kleinanzeigen-Scraper\offer_images\2839752958", "Link")</f>
        <v/>
      </c>
      <c r="I339" t="inlineStr">
        <is>
          <t>Robert</t>
        </is>
      </c>
      <c r="J339" s="6">
        <f>HYPERLINK("https://www.kleinanzeigen.de/s-bestandsliste.html?userId=20290419", "Link")</f>
        <v/>
      </c>
      <c r="K339" s="7" t="n">
        <v>45549.57163194445</v>
      </c>
      <c r="L339" s="3" t="inlineStr">
        <is>
          <t>297.88</t>
        </is>
      </c>
      <c r="M339" t="inlineStr">
        <is>
          <t>Köln</t>
        </is>
      </c>
    </row>
    <row r="340">
      <c r="A340" t="inlineStr">
        <is>
          <t>Kite Set including Naish Pivot 7m Kite, Naish Torque ATB Bar, and Infinity Pulse Board (140 x 42) with Comfort Pad, Grab, and Fins.</t>
        </is>
      </c>
      <c r="B340" s="4" t="n">
        <v>699</v>
      </c>
      <c r="C340" t="inlineStr"/>
      <c r="D340" t="inlineStr">
        <is>
          <t>21037 Bergedorf - Kirchwerder</t>
        </is>
      </c>
      <c r="E340" s="5" t="n">
        <v>45494</v>
      </c>
      <c r="F340" t="inlineStr">
        <is>
          <t>Sold</t>
        </is>
      </c>
      <c r="G340" s="6">
        <f>HYPERLINK("https://www.kleinanzeigen.de/s-anzeige/kite-set-naish-pivot-7m-s25-bar-und-board/2817246392-230-18570", "Link")</f>
        <v/>
      </c>
      <c r="H340" s="6">
        <f>HYPERLINK("C:\Projects\Kleinanzeigen-Scraper\offer_images\2817246392", "Link")</f>
        <v/>
      </c>
      <c r="I340" t="inlineStr">
        <is>
          <t>Kai</t>
        </is>
      </c>
      <c r="J340" s="6">
        <f>HYPERLINK("https://www.kleinanzeigen.de/s-bestandsliste.html?userId=295775", "Link")</f>
        <v/>
      </c>
      <c r="K340" s="7" t="n">
        <v>45549.57158564815</v>
      </c>
      <c r="L340" s="3" t="inlineStr">
        <is>
          <t>354.05</t>
        </is>
      </c>
      <c r="M340" t="inlineStr">
        <is>
          <t>Köln</t>
        </is>
      </c>
    </row>
    <row r="341">
      <c r="A341" t="inlineStr">
        <is>
          <t>Fanatic Lite Viper Surfboard, complete with daggerboard, mast, mast foot, boom, and 2 sails (Fun Wind 6.2 m²; Power Control 5.1 m²)</t>
        </is>
      </c>
      <c r="B341" s="4" t="n">
        <v>150</v>
      </c>
      <c r="C341" t="inlineStr"/>
      <c r="D341" t="inlineStr">
        <is>
          <t>57462 Nordrhein-Westfalen - Olpe</t>
        </is>
      </c>
      <c r="E341" s="5" t="n">
        <v>45511</v>
      </c>
      <c r="F341" t="inlineStr">
        <is>
          <t>Sold</t>
        </is>
      </c>
      <c r="G341" s="6">
        <f>HYPERLINK("https://www.kleinanzeigen.de/s-anzeige/surfboard-fanatic-lite-viper/2831001366-230-1529", "Link")</f>
        <v/>
      </c>
      <c r="H341" s="6">
        <f>HYPERLINK("C:\Projects\Kleinanzeigen-Scraper\offer_images\2831001366", "Link")</f>
        <v/>
      </c>
      <c r="I341" t="inlineStr">
        <is>
          <t>Christoph Brandt</t>
        </is>
      </c>
      <c r="J341" s="6">
        <f>HYPERLINK("https://www.kleinanzeigen.de/s-bestandsliste.html?userId=36649510", "Link")</f>
        <v/>
      </c>
      <c r="K341" s="7" t="n">
        <v>45549.57157407407</v>
      </c>
      <c r="L341" s="3" t="inlineStr">
        <is>
          <t>66.77</t>
        </is>
      </c>
      <c r="M341" t="inlineStr">
        <is>
          <t>Köln</t>
        </is>
      </c>
    </row>
    <row r="342">
      <c r="A342" t="inlineStr">
        <is>
          <t>Complete set of 5 sails: sizes 3.7, 4.2, 4.7, 5.3, 5.9 from SIMMER STYLE BLACKTIP LEGACY 2023. The sails are in like-new condition, with the 4.2 having a small scratch.</t>
        </is>
      </c>
      <c r="B342" s="4" t="n">
        <v>1.599</v>
      </c>
      <c r="C342" t="inlineStr"/>
      <c r="D342" t="inlineStr">
        <is>
          <t>44534 Nordrhein-Westfalen - Lünen</t>
        </is>
      </c>
      <c r="E342" s="5" t="n">
        <v>45491</v>
      </c>
      <c r="F342" t="inlineStr">
        <is>
          <t>Sold</t>
        </is>
      </c>
      <c r="G342" s="6">
        <f>HYPERLINK("https://www.kleinanzeigen.de/s-anzeige/simmer-style-blacktip-legacy-2023-5-segel/2815044045-230-1754", "Link")</f>
        <v/>
      </c>
      <c r="H342" s="6">
        <f>HYPERLINK("C:\Projects\Kleinanzeigen-Scraper\offer_images\2815044045", "Link")</f>
        <v/>
      </c>
      <c r="I342" t="inlineStr">
        <is>
          <t>Ali KANTE</t>
        </is>
      </c>
      <c r="J342" s="6">
        <f>HYPERLINK("https://www.kleinanzeigen.de/s-bestandsliste.html?userId=57384942", "Link")</f>
        <v/>
      </c>
      <c r="K342" s="7" t="n">
        <v>45549.57155092592</v>
      </c>
      <c r="L342" s="3" t="inlineStr">
        <is>
          <t>85.74</t>
        </is>
      </c>
      <c r="M342" t="inlineStr">
        <is>
          <t>Köln</t>
        </is>
      </c>
    </row>
    <row r="343">
      <c r="A343" t="inlineStr">
        <is>
          <t>Two sails from Neilpryde Combat, sizes 4.2 and 4.7, suitable for beginners.</t>
        </is>
      </c>
      <c r="B343" s="4" t="n">
        <v>100</v>
      </c>
      <c r="C343" t="inlineStr">
        <is>
          <t>VB</t>
        </is>
      </c>
      <c r="D343" t="inlineStr">
        <is>
          <t>35649 Hessen - Bischoffen</t>
        </is>
      </c>
      <c r="E343" s="5" t="n">
        <v>45519</v>
      </c>
      <c r="F343" t="inlineStr">
        <is>
          <t>Sold</t>
        </is>
      </c>
      <c r="G343" s="6">
        <f>HYPERLINK("https://www.kleinanzeigen.de/s-anzeige/windsurfen-neilpryde-combat/2837295411-230-4701", "Link")</f>
        <v/>
      </c>
      <c r="H343" s="6">
        <f>HYPERLINK("C:\Projects\Kleinanzeigen-Scraper\offer_images\2837295411", "Link")</f>
        <v/>
      </c>
      <c r="I343" t="inlineStr">
        <is>
          <t>Daniel</t>
        </is>
      </c>
      <c r="J343" s="6">
        <f>HYPERLINK("https://www.kleinanzeigen.de/s-bestandsliste.html?userId=39267213", "Link")</f>
        <v/>
      </c>
      <c r="K343" s="7" t="n">
        <v>45549.57153935185</v>
      </c>
      <c r="L343" s="3" t="inlineStr">
        <is>
          <t>110.92</t>
        </is>
      </c>
      <c r="M343" t="inlineStr">
        <is>
          <t>Köln</t>
        </is>
      </c>
    </row>
    <row r="344">
      <c r="A344" t="inlineStr">
        <is>
          <t>Includes RRD Kid Joy sail (1.5 m²), aluminum mast, and base (no boom included).</t>
        </is>
      </c>
      <c r="B344" s="4" t="n">
        <v>90</v>
      </c>
      <c r="C344" t="inlineStr"/>
      <c r="D344" t="inlineStr">
        <is>
          <t>82041 Kr. München - Oberhaching</t>
        </is>
      </c>
      <c r="E344" s="5" t="n">
        <v>45243</v>
      </c>
      <c r="F344" t="inlineStr"/>
      <c r="G344" s="6">
        <f>HYPERLINK("https://www.kleinanzeigen.de/s-anzeige/rrd-kid-joy-1-5-m-segel-mast-base/2601242649-230-17092", "Link")</f>
        <v/>
      </c>
      <c r="H344" s="6">
        <f>HYPERLINK("C:\Projects\Kleinanzeigen-Scraper\offer_images\2601242649", "Link")</f>
        <v/>
      </c>
      <c r="I344" t="inlineStr">
        <is>
          <t>Gloria</t>
        </is>
      </c>
      <c r="J344" s="6">
        <f>HYPERLINK("https://www.kleinanzeigen.de/s-bestandsliste.html?userId=23114877", "Link")</f>
        <v/>
      </c>
      <c r="K344" s="7" t="n">
        <v>45549.57146990741</v>
      </c>
      <c r="L344" s="3" t="inlineStr">
        <is>
          <t>12.39</t>
        </is>
      </c>
      <c r="M344" t="inlineStr">
        <is>
          <t>München</t>
        </is>
      </c>
    </row>
    <row r="345">
      <c r="A345" t="inlineStr">
        <is>
          <t>Complete Wingfoil package including Fanatic Sky Air board (5'8, 120L), Fanatic Aero 1750 foil with 75cm mast and 78cm fuselage, Duotone Slick wing (5.0), and all necessary accessories (pump, screws, bags, etc.)</t>
        </is>
      </c>
      <c r="B345" s="4" t="n">
        <v>1.63</v>
      </c>
      <c r="C345" t="inlineStr">
        <is>
          <t>VB</t>
        </is>
      </c>
      <c r="D345" t="inlineStr">
        <is>
          <t>24119 Kiel - Kronshagen</t>
        </is>
      </c>
      <c r="E345" s="5" t="n">
        <v>45521</v>
      </c>
      <c r="F345" t="inlineStr">
        <is>
          <t>Sold</t>
        </is>
      </c>
      <c r="G345" s="6">
        <f>HYPERLINK("https://www.kleinanzeigen.de/s-anzeige/wingfoil-komplett-fanatic-sky-air-aero-foil-duotone-slick/2839132097-230-705", "Link")</f>
        <v/>
      </c>
      <c r="H345" s="6">
        <f>HYPERLINK("C:\Projects\Kleinanzeigen-Scraper\offer_images\2839132097", "Link")</f>
        <v/>
      </c>
      <c r="I345" t="inlineStr">
        <is>
          <t>Privat</t>
        </is>
      </c>
      <c r="J345" s="6">
        <f>HYPERLINK("https://www.kleinanzeigen.de/s-bestandsliste.html?userId=6591092", "Link")</f>
        <v/>
      </c>
      <c r="K345" s="7" t="n">
        <v>45549.57143518519</v>
      </c>
      <c r="L345" s="3" t="inlineStr">
        <is>
          <t>432.46</t>
        </is>
      </c>
      <c r="M345" t="inlineStr">
        <is>
          <t>Köln</t>
        </is>
      </c>
    </row>
    <row r="346">
      <c r="A346" t="inlineStr">
        <is>
          <t>Cabrinha Code Wood Board (5'2" or 5'4"), Cabrinha Crosswing X3 (sizes 4.0 or 4.5), Neilpryde Glide Surf (sizes 17, 19, or 23)</t>
        </is>
      </c>
      <c r="B346" s="4" t="n">
        <v>1.836</v>
      </c>
      <c r="C346" t="inlineStr"/>
      <c r="D346" t="inlineStr">
        <is>
          <t>82319 Bayern - Starnberg</t>
        </is>
      </c>
      <c r="E346" s="5" t="n">
        <v>45549</v>
      </c>
      <c r="F346" t="inlineStr">
        <is>
          <t>Sold</t>
        </is>
      </c>
      <c r="G346" s="6">
        <f>HYPERLINK("https://www.kleinanzeigen.de/s-anzeige/cabrinha-code-wood-board-crosswing-x3-wing-neilpryde-glide-set/2475049358-230-5525", "Link")</f>
        <v/>
      </c>
      <c r="H346" s="6">
        <f>HYPERLINK("C:\Projects\Kleinanzeigen-Scraper\offer_images\2475049358", "Link")</f>
        <v/>
      </c>
      <c r="I346" t="inlineStr">
        <is>
          <t>No user name</t>
        </is>
      </c>
      <c r="J346" s="6">
        <f>HYPERLINK("https://www.kleinanzeigen.deNo user link", "Link")</f>
        <v/>
      </c>
      <c r="K346" s="7" t="n">
        <v>45549.57135416667</v>
      </c>
      <c r="L346" s="3" t="inlineStr">
        <is>
          <t>23.17</t>
        </is>
      </c>
      <c r="M346" t="inlineStr">
        <is>
          <t>München</t>
        </is>
      </c>
    </row>
    <row r="347">
      <c r="A347" t="inlineStr">
        <is>
          <t>Duotone X Fanatic Sky Style Team Edition Board 5‘1“ 85 Liters, Duotone Unit Wing 5.0 qm, Fanatic Aero Free Foil AL with 1250 cm2 Frontwing, 250 cm2 Backwing, 82 cm Mast, 66 cm Fuselage, includes foot straps, leash, bag, pump, screws, and tools.</t>
        </is>
      </c>
      <c r="B347" s="4" t="n">
        <v>1.9</v>
      </c>
      <c r="C347" t="inlineStr"/>
      <c r="D347" t="inlineStr">
        <is>
          <t>26121 Niedersachsen - Oldenburg</t>
        </is>
      </c>
      <c r="E347" s="5" t="n">
        <v>45519</v>
      </c>
      <c r="F347" t="inlineStr">
        <is>
          <t>Sold</t>
        </is>
      </c>
      <c r="G347" s="6">
        <f>HYPERLINK("https://www.kleinanzeigen.de/s-anzeige/hochwertiges-wingfoil-set-duotone-x-fanatic-wie-neu/2837839593-230-3114", "Link")</f>
        <v/>
      </c>
      <c r="H347" s="6">
        <f>HYPERLINK("C:\Projects\Kleinanzeigen-Scraper\offer_images\2837839593", "Link")</f>
        <v/>
      </c>
      <c r="I347" t="inlineStr">
        <is>
          <t>Oliver</t>
        </is>
      </c>
      <c r="J347" s="6">
        <f>HYPERLINK("https://www.kleinanzeigen.de/s-bestandsliste.html?userId=7949554", "Link")</f>
        <v/>
      </c>
      <c r="K347" s="7" t="n">
        <v>45549.57135416667</v>
      </c>
      <c r="L347" s="3" t="inlineStr">
        <is>
          <t>260.83</t>
        </is>
      </c>
      <c r="M347" t="inlineStr">
        <is>
          <t>Köln</t>
        </is>
      </c>
    </row>
    <row r="348">
      <c r="A348" t="inlineStr">
        <is>
          <t>Windsurfsegel: Duotone Super Star Stargazer Edition 6.2 qm, Windsurfmast: Duotone Platinum SLS RDM 430cm 100% Carbon, Windsurfgabel: Duotone Silver 160-220, Windsurfmastfuß: Duotone UNI_XT Aero RDM 34 100% Carbon</t>
        </is>
      </c>
      <c r="B348" s="4" t="n">
        <v>1.11</v>
      </c>
      <c r="C348" t="inlineStr">
        <is>
          <t>VB</t>
        </is>
      </c>
      <c r="D348" t="inlineStr">
        <is>
          <t>80939 München - Schwabing-Freimann</t>
        </is>
      </c>
      <c r="E348" s="5" t="n">
        <v>45547</v>
      </c>
      <c r="F348" t="inlineStr">
        <is>
          <t>Sold</t>
        </is>
      </c>
      <c r="G348" s="6">
        <f>HYPERLINK("https://www.kleinanzeigen.de/s-anzeige/duotone-super-star-stargazer-6-2-qm-windsurfsegel-komplettset/2861582744-230-6450", "Link")</f>
        <v/>
      </c>
      <c r="H348" s="6">
        <f>HYPERLINK("C:\Projects\Kleinanzeigen-Scraper\offer_images\2861582744", "Link")</f>
        <v/>
      </c>
      <c r="I348" t="inlineStr">
        <is>
          <t>Maxi</t>
        </is>
      </c>
      <c r="J348" s="6">
        <f>HYPERLINK("https://www.kleinanzeigen.de/s-bestandsliste.html?userId=55167151", "Link")</f>
        <v/>
      </c>
      <c r="K348" s="7" t="n">
        <v>45549.57135416667</v>
      </c>
      <c r="L348" s="3" t="inlineStr">
        <is>
          <t>7.86</t>
        </is>
      </c>
      <c r="M348" t="inlineStr">
        <is>
          <t>München</t>
        </is>
      </c>
    </row>
    <row r="349">
      <c r="A349" t="inlineStr">
        <is>
          <t>Goya Segel Palette including Banzai X Pro and Fringe sails, with sizes ranging from 3.7 to 5.5 sqm, and masts available.</t>
        </is>
      </c>
      <c r="B349" s="4" t="n">
        <v>480</v>
      </c>
      <c r="C349" t="inlineStr">
        <is>
          <t>VB</t>
        </is>
      </c>
      <c r="D349" t="inlineStr">
        <is>
          <t>84095 Kr. Landshut - Furth</t>
        </is>
      </c>
      <c r="E349" s="5" t="n">
        <v>45532</v>
      </c>
      <c r="F349" t="inlineStr"/>
      <c r="G349" s="6">
        <f>HYPERLINK("https://www.kleinanzeigen.de/s-anzeige/goya-segel-palette-3-7-5-5qm-banzai-x-pro-fringe-und-fringe-x-pro/2848823947-230-6398", "Link")</f>
        <v/>
      </c>
      <c r="H349" s="6">
        <f>HYPERLINK("C:\Projects\Kleinanzeigen-Scraper\offer_images\2848823947", "Link")</f>
        <v/>
      </c>
      <c r="I349" t="inlineStr">
        <is>
          <t>Niklas</t>
        </is>
      </c>
      <c r="J349" s="6">
        <f>HYPERLINK("https://www.kleinanzeigen.de/s-bestandsliste.html?userId=22205576", "Link")</f>
        <v/>
      </c>
      <c r="K349" s="7" t="n">
        <v>45549.57127314815</v>
      </c>
      <c r="L349" s="3" t="inlineStr">
        <is>
          <t>60.37</t>
        </is>
      </c>
      <c r="M349" t="inlineStr">
        <is>
          <t>München</t>
        </is>
      </c>
    </row>
    <row r="350">
      <c r="A350" t="inlineStr">
        <is>
          <t>A collection of various high-quality windsurf sails from brands like GUN, North Sails, Neilpryde, and ART. Includes additional sails, masts, booms, mast feet, and fins, all fully functional with varying degrees of wear.</t>
        </is>
      </c>
      <c r="B350" s="4" t="n">
        <v>1</v>
      </c>
      <c r="C350" t="inlineStr">
        <is>
          <t>VB</t>
        </is>
      </c>
      <c r="D350" t="inlineStr">
        <is>
          <t>38102 Niedersachsen - Braunschweig</t>
        </is>
      </c>
      <c r="E350" s="5" t="n">
        <v>45534</v>
      </c>
      <c r="F350" t="inlineStr"/>
      <c r="G350" s="6">
        <f>HYPERLINK("https://www.kleinanzeigen.de/s-anzeige/surfsegel-windsurfing-gun-north-sails-neilpryde-art-1/2850244347-230-2460", "Link")</f>
        <v/>
      </c>
      <c r="H350" s="6">
        <f>HYPERLINK("C:\Projects\Kleinanzeigen-Scraper\offer_images\2850244347", "Link")</f>
        <v/>
      </c>
      <c r="I350" t="inlineStr">
        <is>
          <t>Ole</t>
        </is>
      </c>
      <c r="J350" s="6">
        <f>HYPERLINK("https://www.kleinanzeigen.de/s-bestandsliste.html?userId=10971033", "Link")</f>
        <v/>
      </c>
      <c r="K350" s="7" t="n">
        <v>45549.57125</v>
      </c>
      <c r="L350" s="3" t="inlineStr">
        <is>
          <t>287.38</t>
        </is>
      </c>
      <c r="M350" t="inlineStr">
        <is>
          <t>Köln</t>
        </is>
      </c>
    </row>
    <row r="351">
      <c r="A351" t="inlineStr">
        <is>
          <t>Includes Goya sail 2.5 m², RDM mast 90% carbon, Naish Ripper boom (110-160 cm), and mast base adapter.</t>
        </is>
      </c>
      <c r="B351" s="4" t="n">
        <v>399</v>
      </c>
      <c r="C351" t="inlineStr">
        <is>
          <t>VB</t>
        </is>
      </c>
      <c r="D351" t="inlineStr">
        <is>
          <t>24357 Schleswig-Holstein - Fleckeby</t>
        </is>
      </c>
      <c r="E351" s="5" t="n">
        <v>45044</v>
      </c>
      <c r="F351" t="inlineStr"/>
      <c r="G351" s="6">
        <f>HYPERLINK("https://www.kleinanzeigen.de/s-anzeige/windsurf-komplettring-goya-segel-fuer-kleine-oder-starkwind/2427538173-230-520", "Link")</f>
        <v/>
      </c>
      <c r="H351" s="6">
        <f>HYPERLINK("C:\Projects\Kleinanzeigen-Scraper\offer_images\2427538173", "Link")</f>
        <v/>
      </c>
      <c r="I351" t="inlineStr">
        <is>
          <t>Nachtigall</t>
        </is>
      </c>
      <c r="J351" s="6">
        <f>HYPERLINK("https://www.kleinanzeigen.de/s-bestandsliste.html?userId=18574032", "Link")</f>
        <v/>
      </c>
      <c r="K351" s="7" t="n">
        <v>45549.57125</v>
      </c>
      <c r="L351" s="3" t="inlineStr">
        <is>
          <t>435.87</t>
        </is>
      </c>
      <c r="M351" t="inlineStr">
        <is>
          <t>Köln</t>
        </is>
      </c>
    </row>
    <row r="352">
      <c r="A352" t="inlineStr">
        <is>
          <t>Complete Foil Set including Starboard Foilboard Freeride 150, Starboard Foil GT-R with aluminum mast, Point7 AC-K 8.5 sail, Point7 490 C80 SDM mast, Gunsails mast extension 30cm, STX boom 183-244, start line, and trapeze lines.</t>
        </is>
      </c>
      <c r="B352" s="4" t="n">
        <v>1.649</v>
      </c>
      <c r="C352" t="inlineStr">
        <is>
          <t>VB</t>
        </is>
      </c>
      <c r="D352" t="inlineStr">
        <is>
          <t>21109 Hamburg-Mitte - Hamburg Wilhelmsburg</t>
        </is>
      </c>
      <c r="E352" s="5" t="n">
        <v>45382</v>
      </c>
      <c r="F352" t="inlineStr">
        <is>
          <t>Sold</t>
        </is>
      </c>
      <c r="G352" s="6">
        <f>HYPERLINK("https://www.kleinanzeigen.de/s-anzeige/windsurf-foil-komplettset-starboard-point7-board-foil-rigg-/2722161430-230-9442", "Link")</f>
        <v/>
      </c>
      <c r="H352" s="6">
        <f>HYPERLINK("C:\Projects\Kleinanzeigen-Scraper\offer_images\2722161430", "Link")</f>
        <v/>
      </c>
      <c r="I352" t="inlineStr">
        <is>
          <t>Johannes Watermann</t>
        </is>
      </c>
      <c r="J352" s="6">
        <f>HYPERLINK("https://www.kleinanzeigen.de/s-bestandsliste.html?userId=12447079", "Link")</f>
        <v/>
      </c>
      <c r="K352" s="7" t="n">
        <v>45549.57113425926</v>
      </c>
      <c r="L352" s="3" t="inlineStr">
        <is>
          <t>353.16</t>
        </is>
      </c>
      <c r="M352" t="inlineStr">
        <is>
          <t>Köln</t>
        </is>
      </c>
    </row>
    <row r="353">
      <c r="A353" t="inlineStr">
        <is>
          <t>Includes Pure Paddle, HP2 Power Pump, Fin, Premium Backpack, and Leash.</t>
        </is>
      </c>
      <c r="B353" s="4" t="n">
        <v>310</v>
      </c>
      <c r="C353" t="inlineStr">
        <is>
          <t>VB</t>
        </is>
      </c>
      <c r="D353" t="inlineStr">
        <is>
          <t>04435 Sachsen - Schkeuditz</t>
        </is>
      </c>
      <c r="E353" s="5" t="n">
        <v>45527</v>
      </c>
      <c r="F353" t="inlineStr">
        <is>
          <t>Sold</t>
        </is>
      </c>
      <c r="G353" s="6">
        <f>HYPERLINK("https://www.kleinanzeigen.de/s-anzeige/fanatic-fly-air-pure-edition/2844202248-230-3900", "Link")</f>
        <v/>
      </c>
      <c r="H353" s="6">
        <f>HYPERLINK("C:\Projects\Kleinanzeigen-Scraper\offer_images\2844202248", "Link")</f>
        <v/>
      </c>
      <c r="I353" t="inlineStr">
        <is>
          <t>Herr L.</t>
        </is>
      </c>
      <c r="J353" s="6">
        <f>HYPERLINK("https://www.kleinanzeigen.de/s-bestandsliste.html?userId=15403958", "Link")</f>
        <v/>
      </c>
      <c r="K353" s="7" t="n">
        <v>45549.57112268519</v>
      </c>
      <c r="L353" s="3" t="inlineStr">
        <is>
          <t>367.46</t>
        </is>
      </c>
      <c r="M353" t="inlineStr">
        <is>
          <t>München</t>
        </is>
      </c>
    </row>
    <row r="354">
      <c r="A354" t="inlineStr">
        <is>
          <t>RRD Dynamic SW Alu Foil Set including 1400 qcm front wing, 262 qcm rear wing, fuselage 76 cm, mast 85 cm, and all screws.</t>
        </is>
      </c>
      <c r="B354" s="4" t="n">
        <v>639</v>
      </c>
      <c r="C354" t="inlineStr"/>
      <c r="D354" t="inlineStr">
        <is>
          <t>23564 Lübeck - St. Gertrud</t>
        </is>
      </c>
      <c r="E354" s="5" t="n">
        <v>45136</v>
      </c>
      <c r="F354" t="inlineStr"/>
      <c r="G354" s="6">
        <f>HYPERLINK("https://www.kleinanzeigen.de/s-anzeige/rrd-dynamic-sw-alu-foil-set-1400-ideal-fuer-einsteiger/2505687761-230-24238", "Link")</f>
        <v/>
      </c>
      <c r="H354" s="6">
        <f>HYPERLINK("C:\Projects\Kleinanzeigen-Scraper\offer_images\2505687761", "Link")</f>
        <v/>
      </c>
      <c r="I354" t="inlineStr">
        <is>
          <t>Andi</t>
        </is>
      </c>
      <c r="J354" s="6">
        <f>HYPERLINK("https://www.kleinanzeigen.de/s-bestandsliste.html?userId=16394392", "Link")</f>
        <v/>
      </c>
      <c r="K354" s="7" t="n">
        <v>45549.57107638889</v>
      </c>
      <c r="L354" s="3" t="inlineStr">
        <is>
          <t>413.01</t>
        </is>
      </c>
      <c r="M354" t="inlineStr">
        <is>
          <t>Köln</t>
        </is>
      </c>
    </row>
    <row r="355">
      <c r="A355" t="inlineStr">
        <is>
          <t>Complete kite equipment including North Reach 7qm, North Reach 10qm, North Navigator bar, Mystic Trapez Warrior S.</t>
        </is>
      </c>
      <c r="B355" s="4" t="n">
        <v>1.95</v>
      </c>
      <c r="C355" t="inlineStr">
        <is>
          <t>VB</t>
        </is>
      </c>
      <c r="D355" t="inlineStr">
        <is>
          <t>23843 Schleswig-Holstein - Bad Oldesloe</t>
        </is>
      </c>
      <c r="E355" s="5" t="n">
        <v>45543</v>
      </c>
      <c r="F355" t="inlineStr">
        <is>
          <t>Sold</t>
        </is>
      </c>
      <c r="G355" s="6">
        <f>HYPERLINK("https://www.kleinanzeigen.de/s-anzeige/kite-ausruestung-north-2021-reach-07qm-10qm-navigatior-bar/2857606945-230-12923", "Link")</f>
        <v/>
      </c>
      <c r="H355" s="6">
        <f>HYPERLINK("C:\Projects\Kleinanzeigen-Scraper\offer_images\2857606945", "Link")</f>
        <v/>
      </c>
      <c r="I355" t="inlineStr">
        <is>
          <t>Timo</t>
        </is>
      </c>
      <c r="J355" s="6">
        <f>HYPERLINK("https://www.kleinanzeigen.de/s-bestandsliste.html?userId=5727004", "Link")</f>
        <v/>
      </c>
      <c r="K355" s="7" t="n">
        <v>45549.57105324074</v>
      </c>
      <c r="L355" s="3" t="inlineStr">
        <is>
          <t>393.04</t>
        </is>
      </c>
      <c r="M355" t="inlineStr">
        <is>
          <t>Köln</t>
        </is>
      </c>
    </row>
    <row r="356">
      <c r="A356" t="inlineStr">
        <is>
          <t>Mistral Diamond Head SST Hybrid Surfboard (285cm x 58.5cm, 115L), 2 sails (4.5m² and 5.4m²), 2 epoxy masts, 2 booms, 2 fins, mast foot, board cover, and trapeze. The 6.6m² sail and mast extension are not included.</t>
        </is>
      </c>
      <c r="B356" s="4" t="n">
        <v>70</v>
      </c>
      <c r="C356" t="inlineStr"/>
      <c r="D356" t="inlineStr">
        <is>
          <t>21037 Bergedorf - Kirchwerder</t>
        </is>
      </c>
      <c r="E356" s="5" t="n">
        <v>45501</v>
      </c>
      <c r="F356" t="inlineStr"/>
      <c r="G356" s="6">
        <f>HYPERLINK("https://www.kleinanzeigen.de/s-anzeige/mistral-diamond-head-surfboard-naish-komplett/2823345215-230-18570", "Link")</f>
        <v/>
      </c>
      <c r="H356" s="6">
        <f>HYPERLINK("C:\Projects\Kleinanzeigen-Scraper\offer_images\2823345215", "Link")</f>
        <v/>
      </c>
      <c r="I356" t="inlineStr">
        <is>
          <t>Dirk</t>
        </is>
      </c>
      <c r="J356" s="6">
        <f>HYPERLINK("https://www.kleinanzeigen.de/s-bestandsliste.html?userId=11910804", "Link")</f>
        <v/>
      </c>
      <c r="K356" s="7" t="n">
        <v>45549.57090277778</v>
      </c>
      <c r="L356" s="3" t="inlineStr">
        <is>
          <t>354.05</t>
        </is>
      </c>
      <c r="M356" t="inlineStr">
        <is>
          <t>Köln</t>
        </is>
      </c>
    </row>
    <row r="357">
      <c r="A357" t="inlineStr">
        <is>
          <t>Set of three Ezzy Wave sails in sizes 4.5 qm, 5.5 qm, and 6.5 qm, all in Heavy Duty execution.</t>
        </is>
      </c>
      <c r="B357" s="4" t="n">
        <v>499</v>
      </c>
      <c r="C357" t="inlineStr">
        <is>
          <t>VB</t>
        </is>
      </c>
      <c r="D357" t="inlineStr">
        <is>
          <t>14165 Berlin - Zehlendorf</t>
        </is>
      </c>
      <c r="E357" s="5" t="n">
        <v>45536</v>
      </c>
      <c r="F357" t="inlineStr">
        <is>
          <t>Sold</t>
        </is>
      </c>
      <c r="G357" s="6">
        <f>HYPERLINK("https://www.kleinanzeigen.de/s-anzeige/ezzy-wave-surfsegel-3-stueck-4-5-5-5-und-6-5-qm/2851614342-230-3528", "Link")</f>
        <v/>
      </c>
      <c r="H357" s="6">
        <f>HYPERLINK("C:\Projects\Kleinanzeigen-Scraper\offer_images\2851614342", "Link")</f>
        <v/>
      </c>
      <c r="I357" t="inlineStr">
        <is>
          <t>Thorsten</t>
        </is>
      </c>
      <c r="J357" s="6">
        <f>HYPERLINK("https://www.kleinanzeigen.de/s-bestandsliste.html?userId=14476488", "Link")</f>
        <v/>
      </c>
      <c r="K357" s="7" t="n">
        <v>45549.57087962963</v>
      </c>
      <c r="L357" s="3" t="inlineStr">
        <is>
          <t>464.54</t>
        </is>
      </c>
      <c r="M357" t="inlineStr">
        <is>
          <t>Köln</t>
        </is>
      </c>
    </row>
    <row r="358">
      <c r="A358" t="inlineStr">
        <is>
          <t>Windsurf Komplett Set bestehend aus Surfbrett Fanatic Viper mit 2 Segeln (5qm und 6.2qm), Mastlänge ca. 4.8m, Brett ist ca. 3.7m lang und 70cm breit.</t>
        </is>
      </c>
      <c r="B358" s="4" t="n">
        <v>200</v>
      </c>
      <c r="C358" t="inlineStr">
        <is>
          <t>VB</t>
        </is>
      </c>
      <c r="D358" t="inlineStr">
        <is>
          <t>73249 Baden-Württemberg - Wernau</t>
        </is>
      </c>
      <c r="E358" s="5" t="n">
        <v>45530</v>
      </c>
      <c r="F358" t="inlineStr">
        <is>
          <t>Sold</t>
        </is>
      </c>
      <c r="G358" s="6">
        <f>HYPERLINK("https://www.kleinanzeigen.de/s-anzeige/surfbrett-fanatic-viper-mit-2-segeln/2847313603-230-8391", "Link")</f>
        <v/>
      </c>
      <c r="H358" s="6">
        <f>HYPERLINK("C:\Projects\Kleinanzeigen-Scraper\offer_images\2847313603", "Link")</f>
        <v/>
      </c>
      <c r="I358" t="inlineStr">
        <is>
          <t>D. Jäger</t>
        </is>
      </c>
      <c r="J358" s="6">
        <f>HYPERLINK("https://www.kleinanzeigen.de/s-bestandsliste.html?userId=19168269", "Link")</f>
        <v/>
      </c>
      <c r="K358" s="7" t="n">
        <v>45549.57086805555</v>
      </c>
      <c r="L358" s="3" t="inlineStr">
        <is>
          <t>32.39</t>
        </is>
      </c>
      <c r="M358" t="inlineStr">
        <is>
          <t>Böblingen</t>
        </is>
      </c>
    </row>
    <row r="359">
      <c r="A359" t="inlineStr">
        <is>
          <t>F2 CRUISE TEAM WINDSURF HFT inflatable SUP set including bag, pump, repair kit, and 3-piece paddle (165 - 215 cm) with windsurf option.</t>
        </is>
      </c>
      <c r="B359" s="4" t="n">
        <v>469</v>
      </c>
      <c r="C359" t="inlineStr"/>
      <c r="D359" t="inlineStr">
        <is>
          <t>95028 Bayern - Hof (Saale)</t>
        </is>
      </c>
      <c r="E359" s="5" t="n">
        <v>45547</v>
      </c>
      <c r="F359" t="inlineStr">
        <is>
          <t>Sold</t>
        </is>
      </c>
      <c r="G359" s="6">
        <f>HYPERLINK("https://www.kleinanzeigen.de/s-anzeige/f2-cruise-team-windsurf-hft-inflatable-sup-set-10-6-komplett/2835792847-230-7244", "Link")</f>
        <v/>
      </c>
      <c r="H359" s="6">
        <f>HYPERLINK("C:\Projects\Kleinanzeigen-Scraper\offer_images\2835792847", "Link")</f>
        <v/>
      </c>
      <c r="I359" t="inlineStr">
        <is>
          <t>No user name</t>
        </is>
      </c>
      <c r="J359" s="6">
        <f>HYPERLINK("https://www.kleinanzeigen.deNo user link", "Link")</f>
        <v/>
      </c>
      <c r="K359" s="7" t="n">
        <v>45548.54946759259</v>
      </c>
      <c r="L359" s="3" t="inlineStr">
        <is>
          <t>244.83</t>
        </is>
      </c>
      <c r="M359" t="inlineStr">
        <is>
          <t>München</t>
        </is>
      </c>
    </row>
    <row r="360">
      <c r="A360" t="inlineStr">
        <is>
          <t>Complete windsurfing equipment including: 1 Dachcontainer PACWOLF, 1 Slipwagen Eckla, 1 Surfbord Mistral Explosion CHS (288cm), 1 Mast Alpha Sportlife (450cm), 1 Mastfuß Sunshine, 1 Mastverlängerung Mistral ATS (60cm), 1 Teleskopgabel ART SLALOM (160-200cm), 1 Finne Mistral Race SLALOM, 1 Finne Concrete Wave, 1 Segel North Infinity (6.0 m²), 1 Segel NEIL PRYDE JUMP-GYBE (4.5 m²), 1 Trapez with quick release, 1 Long John suit Tikatan (Size 48), 1 Shorty Tribord semidry (Size L), 1 pair of surf shoes (Size 40)</t>
        </is>
      </c>
      <c r="B360" s="4" t="n">
        <v>800</v>
      </c>
      <c r="C360" t="inlineStr">
        <is>
          <t>VB</t>
        </is>
      </c>
      <c r="D360" t="inlineStr">
        <is>
          <t>71540 Baden-Württemberg - Murrhardt</t>
        </is>
      </c>
      <c r="E360" s="5" t="n">
        <v>45547</v>
      </c>
      <c r="F360" t="inlineStr">
        <is>
          <t>Sold</t>
        </is>
      </c>
      <c r="G360" s="6">
        <f>HYPERLINK("https://www.kleinanzeigen.de/s-anzeige/windsurf-komplettausruestung-zu-verkaufen/2861001022-230-8354", "Link")</f>
        <v/>
      </c>
      <c r="H360" s="6">
        <f>HYPERLINK("C:\Projects\Kleinanzeigen-Scraper\offer_images\2861001022", "Link")</f>
        <v/>
      </c>
      <c r="I360" t="inlineStr">
        <is>
          <t>Leistner</t>
        </is>
      </c>
      <c r="J360" s="6">
        <f>HYPERLINK("https://www.kleinanzeigen.de/s-bestandsliste.html?userId=48979795", "Link")</f>
        <v/>
      </c>
      <c r="K360" s="7" t="n">
        <v>45548.54946759259</v>
      </c>
      <c r="L360" s="3" t="inlineStr">
        <is>
          <t>56.36</t>
        </is>
      </c>
      <c r="M360" t="inlineStr">
        <is>
          <t>Böblingen</t>
        </is>
      </c>
    </row>
    <row r="361">
      <c r="A361" t="inlineStr">
        <is>
          <t>F2 Cruise Team Windsurf HFT SUP Set 11.6 including board, F2 Checker rig (2.0 m² sail, mast, boom, extension, mast foot, and uphaul line), paddle (165-215 cm), bag, pump, and repair kit.</t>
        </is>
      </c>
      <c r="B361" s="4" t="n">
        <v>799</v>
      </c>
      <c r="C361" t="inlineStr"/>
      <c r="D361" t="inlineStr">
        <is>
          <t>95028 Bayern - Hof (Saale)</t>
        </is>
      </c>
      <c r="E361" s="5" t="n">
        <v>45547</v>
      </c>
      <c r="F361" t="inlineStr">
        <is>
          <t>Sold</t>
        </is>
      </c>
      <c r="G361" s="6">
        <f>HYPERLINK("https://www.kleinanzeigen.de/s-anzeige/f2-cruise-team-windsurf-hft-sup-set-11-6-f2-checker-rigg-2-0-qm/2835783753-230-7244", "Link")</f>
        <v/>
      </c>
      <c r="H361" s="6">
        <f>HYPERLINK("C:\Projects\Kleinanzeigen-Scraper\offer_images\2835783753", "Link")</f>
        <v/>
      </c>
      <c r="I361" t="inlineStr">
        <is>
          <t>No user name</t>
        </is>
      </c>
      <c r="J361" s="6">
        <f>HYPERLINK("https://www.kleinanzeigen.deNo user link", "Link")</f>
        <v/>
      </c>
      <c r="K361" s="7" t="n">
        <v>45548.54929398148</v>
      </c>
      <c r="L361" s="3" t="inlineStr">
        <is>
          <t>244.83</t>
        </is>
      </c>
      <c r="M361" t="inlineStr">
        <is>
          <t>München</t>
        </is>
      </c>
    </row>
    <row r="362">
      <c r="A362" t="inlineStr">
        <is>
          <t>2x Duotone NOW Windsurf Segel for children: 1x 3.2m and 1x 3.6m, both in used condition without repairs or tears.</t>
        </is>
      </c>
      <c r="B362" s="4" t="n">
        <v>270</v>
      </c>
      <c r="C362" t="inlineStr">
        <is>
          <t>VB</t>
        </is>
      </c>
      <c r="D362" t="inlineStr">
        <is>
          <t>24248 Schleswig-Holstein - Mönkeberg</t>
        </is>
      </c>
      <c r="E362" s="5" t="n">
        <v>45542</v>
      </c>
      <c r="F362" t="inlineStr">
        <is>
          <t>Sold</t>
        </is>
      </c>
      <c r="G362" s="6">
        <f>HYPERLINK("https://www.kleinanzeigen.de/s-anzeige/duotone-now-windsurf-segel-kinder/2856345648-230-666", "Link")</f>
        <v/>
      </c>
      <c r="H362" s="6">
        <f>HYPERLINK("C:\Projects\Kleinanzeigen-Scraper\offer_images\2856345648", "Link")</f>
        <v/>
      </c>
      <c r="I362" t="inlineStr">
        <is>
          <t>Alexander Rudnicki</t>
        </is>
      </c>
      <c r="J362" s="6">
        <f>HYPERLINK("https://www.kleinanzeigen.de/s-bestandsliste.html?userId=41552540", "Link")</f>
        <v/>
      </c>
      <c r="K362" s="7" t="n">
        <v>45548.54927083333</v>
      </c>
      <c r="L362" s="3" t="inlineStr">
        <is>
          <t>437.31</t>
        </is>
      </c>
      <c r="M362" t="inlineStr">
        <is>
          <t>Köln</t>
        </is>
      </c>
    </row>
    <row r="363">
      <c r="A363" t="inlineStr">
        <is>
          <t>F2 CRUISE TEAM WINDSURF HFT SUP SET 10.6' including SUP with windsurf option, F2 CHECKER sail 3.0 m², complete rig (mast, boom, extension, mast foot, and uphaul), paddle (165-215 cm), bag, pump, and repair kit.</t>
        </is>
      </c>
      <c r="B363" s="4" t="n">
        <v>799</v>
      </c>
      <c r="C363" t="inlineStr"/>
      <c r="D363" t="inlineStr">
        <is>
          <t>95028 Bayern - Hof (Saale)</t>
        </is>
      </c>
      <c r="E363" s="5" t="n">
        <v>45547</v>
      </c>
      <c r="F363" t="inlineStr">
        <is>
          <t>Sold</t>
        </is>
      </c>
      <c r="G363" s="6">
        <f>HYPERLINK("https://www.kleinanzeigen.de/s-anzeige/f2-cruise-team-windsurf-hft-sup-set-10-6-f2-checker-rigg-3-0-qm/2835802056-230-7244", "Link")</f>
        <v/>
      </c>
      <c r="H363" s="6">
        <f>HYPERLINK("C:\Projects\Kleinanzeigen-Scraper\offer_images\2835802056", "Link")</f>
        <v/>
      </c>
      <c r="I363" t="inlineStr">
        <is>
          <t>No user name</t>
        </is>
      </c>
      <c r="J363" s="6">
        <f>HYPERLINK("https://www.kleinanzeigen.deNo user link", "Link")</f>
        <v/>
      </c>
      <c r="K363" s="7" t="n">
        <v>45548.54924768519</v>
      </c>
      <c r="L363" s="3" t="inlineStr">
        <is>
          <t>244.83</t>
        </is>
      </c>
      <c r="M363" t="inlineStr">
        <is>
          <t>München</t>
        </is>
      </c>
    </row>
    <row r="364">
      <c r="A364" t="inlineStr">
        <is>
          <t>F2 Cruise Team Windsurf HFT SUP Set 11.6 including board, F2 Checker rig (3.0 m² sail, mast, boom, extension, mast foot, and uphaul line), paddle, bag, pump, and repair kit.</t>
        </is>
      </c>
      <c r="B364" s="4" t="n">
        <v>799</v>
      </c>
      <c r="C364" t="inlineStr"/>
      <c r="D364" t="inlineStr">
        <is>
          <t>95028 Bayern - Hof (Saale)</t>
        </is>
      </c>
      <c r="E364" s="5" t="n">
        <v>45547</v>
      </c>
      <c r="F364" t="inlineStr">
        <is>
          <t>Sold</t>
        </is>
      </c>
      <c r="G364" s="6">
        <f>HYPERLINK("https://www.kleinanzeigen.de/s-anzeige/f2-cruise-team-windsurf-hft-sup-set-11-6-f2-checker-rigg-3-0-qm/2835777020-230-7244", "Link")</f>
        <v/>
      </c>
      <c r="H364" s="6">
        <f>HYPERLINK("C:\Projects\Kleinanzeigen-Scraper\offer_images\2835777020", "Link")</f>
        <v/>
      </c>
      <c r="I364" t="inlineStr">
        <is>
          <t>No user name</t>
        </is>
      </c>
      <c r="J364" s="6">
        <f>HYPERLINK("https://www.kleinanzeigen.deNo user link", "Link")</f>
        <v/>
      </c>
      <c r="K364" s="7" t="n">
        <v>45548.54921296296</v>
      </c>
      <c r="L364" s="3" t="inlineStr">
        <is>
          <t>244.83</t>
        </is>
      </c>
      <c r="M364" t="inlineStr">
        <is>
          <t>München</t>
        </is>
      </c>
    </row>
    <row r="365">
      <c r="A365" t="inlineStr">
        <is>
          <t>F2 Cruise Team Windsurf HFT SUP Set 11.6' including board, F2 Checker rig (4.0 m² sail, mast, boom, extension, mast foot), paddle (165-215 cm), bag, pump, and repair kit.</t>
        </is>
      </c>
      <c r="B365" s="4" t="n">
        <v>799</v>
      </c>
      <c r="C365" t="inlineStr"/>
      <c r="D365" t="inlineStr">
        <is>
          <t>95028 Bayern - Hof (Saale)</t>
        </is>
      </c>
      <c r="E365" s="5" t="n">
        <v>45547</v>
      </c>
      <c r="F365" t="inlineStr">
        <is>
          <t>Sold</t>
        </is>
      </c>
      <c r="G365" s="6">
        <f>HYPERLINK("https://www.kleinanzeigen.de/s-anzeige/f2-cruise-team-windsurf-hft-sup-set-11-6-f2-checker-rigg-4-0-q/2835770148-230-7244", "Link")</f>
        <v/>
      </c>
      <c r="H365" s="6">
        <f>HYPERLINK("C:\Projects\Kleinanzeigen-Scraper\offer_images\2835770148", "Link")</f>
        <v/>
      </c>
      <c r="I365" t="inlineStr">
        <is>
          <t>No user name</t>
        </is>
      </c>
      <c r="J365" s="6">
        <f>HYPERLINK("https://www.kleinanzeigen.deNo user link", "Link")</f>
        <v/>
      </c>
      <c r="K365" s="7" t="n">
        <v>45548.54916666666</v>
      </c>
      <c r="L365" s="3" t="inlineStr">
        <is>
          <t>244.83</t>
        </is>
      </c>
      <c r="M365" t="inlineStr">
        <is>
          <t>München</t>
        </is>
      </c>
    </row>
    <row r="366">
      <c r="A366" t="inlineStr">
        <is>
          <t>F2 CRUISE TEAM WINDSURF HFT SUP SET 10.6' including SUP with windsurf option, F2 CHECKER sail 2.0 m², complete rig (mast, boom, extension, mast foot, and uphaul line), 3-piece paddle (165-215 cm), bag, pump, and repair kit.</t>
        </is>
      </c>
      <c r="B366" s="4" t="n">
        <v>799</v>
      </c>
      <c r="C366" t="inlineStr"/>
      <c r="D366" t="inlineStr">
        <is>
          <t>95028 Bayern - Hof (Saale)</t>
        </is>
      </c>
      <c r="E366" s="5" t="n">
        <v>45547</v>
      </c>
      <c r="F366" t="inlineStr">
        <is>
          <t>Sold</t>
        </is>
      </c>
      <c r="G366" s="6">
        <f>HYPERLINK("https://www.kleinanzeigen.de/s-anzeige/f2-cruise-team-windsurf-hft-sup-set-10-6-f2-checker-rigg-2-0-qm/2835805418-230-7244", "Link")</f>
        <v/>
      </c>
      <c r="H366" s="6">
        <f>HYPERLINK("C:\Projects\Kleinanzeigen-Scraper\offer_images\2835805418", "Link")</f>
        <v/>
      </c>
      <c r="I366" t="inlineStr">
        <is>
          <t>No user name</t>
        </is>
      </c>
      <c r="J366" s="6">
        <f>HYPERLINK("https://www.kleinanzeigen.deNo user link", "Link")</f>
        <v/>
      </c>
      <c r="K366" s="7" t="n">
        <v>45548.54914351852</v>
      </c>
      <c r="L366" s="3" t="inlineStr">
        <is>
          <t>244.83</t>
        </is>
      </c>
      <c r="M366" t="inlineStr">
        <is>
          <t>München</t>
        </is>
      </c>
    </row>
    <row r="367">
      <c r="A367" t="inlineStr">
        <is>
          <t>F2 Cruise Team Windsurf HFT SUP Set 11.6 including F2 Checker Rig 3.5 QM, complete with board, sail, mast, boom, extension, mast foot, pump, repair kit, and paddle.</t>
        </is>
      </c>
      <c r="B367" s="4" t="n">
        <v>799</v>
      </c>
      <c r="C367" t="inlineStr"/>
      <c r="D367" t="inlineStr">
        <is>
          <t>95028 Bayern - Hof (Saale)</t>
        </is>
      </c>
      <c r="E367" s="5" t="n">
        <v>45547</v>
      </c>
      <c r="F367" t="inlineStr">
        <is>
          <t>Sold</t>
        </is>
      </c>
      <c r="G367" s="6">
        <f>HYPERLINK("https://www.kleinanzeigen.de/s-anzeige/f2-cruise-team-windsurf-hft-sup-set-11-6-f2-checker-rigg-3-5-qm/2835773194-230-7244", "Link")</f>
        <v/>
      </c>
      <c r="H367" s="6">
        <f>HYPERLINK("C:\Projects\Kleinanzeigen-Scraper\offer_images\2835773194", "Link")</f>
        <v/>
      </c>
      <c r="I367" t="inlineStr">
        <is>
          <t>No user name</t>
        </is>
      </c>
      <c r="J367" s="6">
        <f>HYPERLINK("https://www.kleinanzeigen.deNo user link", "Link")</f>
        <v/>
      </c>
      <c r="K367" s="7" t="n">
        <v>45548.54914351852</v>
      </c>
      <c r="L367" s="3" t="inlineStr">
        <is>
          <t>244.83</t>
        </is>
      </c>
      <c r="M367" t="inlineStr">
        <is>
          <t>München</t>
        </is>
      </c>
    </row>
    <row r="368">
      <c r="A368" t="inlineStr">
        <is>
          <t>F2 CRUISE TEAM WINDSURF HFT SUP SET 10.6' including SUP with windsurf option, F2 CHECKER sail 3.5 m², complete rig (mast, boom, extension, mast foot, and uphaul), pump, repair kit, and 3-piece paddle (165-215 cm).</t>
        </is>
      </c>
      <c r="B368" s="4" t="n">
        <v>799</v>
      </c>
      <c r="C368" t="inlineStr"/>
      <c r="D368" t="inlineStr">
        <is>
          <t>95028 Bayern - Hof (Saale)</t>
        </is>
      </c>
      <c r="E368" s="5" t="n">
        <v>45547</v>
      </c>
      <c r="F368" t="inlineStr">
        <is>
          <t>Sold</t>
        </is>
      </c>
      <c r="G368" s="6">
        <f>HYPERLINK("https://www.kleinanzeigen.de/s-anzeige/f2-cruise-team-windsurf-hft-sup-set-10-6-f2-checker-rigg-3-5-qm/2835799718-230-7244", "Link")</f>
        <v/>
      </c>
      <c r="H368" s="6">
        <f>HYPERLINK("C:\Projects\Kleinanzeigen-Scraper\offer_images\2835799718", "Link")</f>
        <v/>
      </c>
      <c r="I368" t="inlineStr">
        <is>
          <t>No user name</t>
        </is>
      </c>
      <c r="J368" s="6">
        <f>HYPERLINK("https://www.kleinanzeigen.deNo user link", "Link")</f>
        <v/>
      </c>
      <c r="K368" s="7" t="n">
        <v>45548.54908564815</v>
      </c>
      <c r="L368" s="3" t="inlineStr">
        <is>
          <t>244.83</t>
        </is>
      </c>
      <c r="M368" t="inlineStr">
        <is>
          <t>München</t>
        </is>
      </c>
    </row>
    <row r="369">
      <c r="A369" t="inlineStr">
        <is>
          <t>F2 CRUISE TEAM WINDSURF HFT SUP SET 11.6 including board, F2 CHECKER rig with 2.5 m² sail, mast, boom, extension, mast foot, repair kit, pump, and paddle.</t>
        </is>
      </c>
      <c r="B369" s="4" t="n">
        <v>799</v>
      </c>
      <c r="C369" t="inlineStr"/>
      <c r="D369" t="inlineStr">
        <is>
          <t>95028 Bayern - Hof (Saale)</t>
        </is>
      </c>
      <c r="E369" s="5" t="n">
        <v>45547</v>
      </c>
      <c r="F369" t="inlineStr">
        <is>
          <t>Sold</t>
        </is>
      </c>
      <c r="G369" s="6">
        <f>HYPERLINK("https://www.kleinanzeigen.de/s-anzeige/f2-cruise-team-windsurf-hft-sup-set-11-6-f2-checker-rigg-2-5-qm/2835781628-230-7244", "Link")</f>
        <v/>
      </c>
      <c r="H369" s="6">
        <f>HYPERLINK("C:\Projects\Kleinanzeigen-Scraper\offer_images\2835781628", "Link")</f>
        <v/>
      </c>
      <c r="I369" t="inlineStr">
        <is>
          <t>No user name</t>
        </is>
      </c>
      <c r="J369" s="6">
        <f>HYPERLINK("https://www.kleinanzeigen.deNo user link", "Link")</f>
        <v/>
      </c>
      <c r="K369" s="7" t="n">
        <v>45548.54907407407</v>
      </c>
      <c r="L369" s="3" t="inlineStr">
        <is>
          <t>244.83</t>
        </is>
      </c>
      <c r="M369" t="inlineStr">
        <is>
          <t>München</t>
        </is>
      </c>
    </row>
    <row r="370">
      <c r="A370" t="inlineStr">
        <is>
          <t>Complete windsurfing equipment including board, sail, boom, and a small cart for transport. The board is 3.57 meters long, the boom is 4.5 meters, and the sail is 4.40 x 1.60 meters. Also includes wall mount for the board and mast.</t>
        </is>
      </c>
      <c r="B370" s="4" t="n">
        <v>80</v>
      </c>
      <c r="C370" t="inlineStr">
        <is>
          <t>VB</t>
        </is>
      </c>
      <c r="D370" t="inlineStr">
        <is>
          <t>86316 Bayern - Friedberg</t>
        </is>
      </c>
      <c r="E370" s="5" t="n">
        <v>45547</v>
      </c>
      <c r="F370" t="inlineStr">
        <is>
          <t>Sold</t>
        </is>
      </c>
      <c r="G370" s="6">
        <f>HYPERLINK("https://www.kleinanzeigen.de/s-anzeige/komplette-windsurf-ausruestung-board-segel-baum-windsurfen-/2861357185-230-7138", "Link")</f>
        <v/>
      </c>
      <c r="H370" s="6">
        <f>HYPERLINK("C:\Projects\Kleinanzeigen-Scraper\offer_images\2861357185", "Link")</f>
        <v/>
      </c>
      <c r="I370" t="inlineStr">
        <is>
          <t>Christian</t>
        </is>
      </c>
      <c r="J370" s="6">
        <f>HYPERLINK("https://www.kleinanzeigen.de/s-bestandsliste.html?userId=55697331", "Link")</f>
        <v/>
      </c>
      <c r="K370" s="7" t="n">
        <v>45548.54895833333</v>
      </c>
      <c r="L370" s="3" t="inlineStr">
        <is>
          <t>47.95</t>
        </is>
      </c>
      <c r="M370" t="inlineStr">
        <is>
          <t>München</t>
        </is>
      </c>
    </row>
    <row r="371">
      <c r="A371" t="inlineStr">
        <is>
          <t>F2 CRUISE TEAM WINDSURF HFT SUP SET 10.6' including F2 CHECKER RIGG 2.5 QM, complete rig with mast, boom, extension, mast foot, and leash, plus paddle (165-215 cm), bag, pump, and repair kit.</t>
        </is>
      </c>
      <c r="B371" s="4" t="n">
        <v>799</v>
      </c>
      <c r="C371" t="inlineStr"/>
      <c r="D371" t="inlineStr">
        <is>
          <t>95028 Bayern - Hof (Saale)</t>
        </is>
      </c>
      <c r="E371" s="5" t="n">
        <v>45547</v>
      </c>
      <c r="F371" t="inlineStr">
        <is>
          <t>Sold</t>
        </is>
      </c>
      <c r="G371" s="6">
        <f>HYPERLINK("https://www.kleinanzeigen.de/s-anzeige/f2-cruise-team-windsurf-hft-sup-set-10-6-f2-checker-rigg-2-5-qm/2835803183-230-7244", "Link")</f>
        <v/>
      </c>
      <c r="H371" s="6">
        <f>HYPERLINK("C:\Projects\Kleinanzeigen-Scraper\offer_images\2835803183", "Link")</f>
        <v/>
      </c>
      <c r="I371" t="inlineStr">
        <is>
          <t>No user name</t>
        </is>
      </c>
      <c r="J371" s="6">
        <f>HYPERLINK("https://www.kleinanzeigen.deNo user link", "Link")</f>
        <v/>
      </c>
      <c r="K371" s="7" t="n">
        <v>45548.54893518519</v>
      </c>
      <c r="L371" s="3" t="inlineStr">
        <is>
          <t>244.83</t>
        </is>
      </c>
      <c r="M371" t="inlineStr">
        <is>
          <t>München</t>
        </is>
      </c>
    </row>
    <row r="372">
      <c r="A372" t="inlineStr">
        <is>
          <t>F2 CRUISE TEAM WINDSURF HFT SUP SET 10.6' including SUP with windsurf option, F2 CHECKER sail 4.0 m², complete rig (mast, boom, extension, mast foot, and uphaul), paddle (165-215 cm), bag, pump, and repair kit.</t>
        </is>
      </c>
      <c r="B372" s="4" t="n">
        <v>799</v>
      </c>
      <c r="C372" t="inlineStr"/>
      <c r="D372" t="inlineStr">
        <is>
          <t>95028 Bayern - Hof (Saale)</t>
        </is>
      </c>
      <c r="E372" s="5" t="n">
        <v>45547</v>
      </c>
      <c r="F372" t="inlineStr">
        <is>
          <t>Sold</t>
        </is>
      </c>
      <c r="G372" s="6">
        <f>HYPERLINK("https://www.kleinanzeigen.de/s-anzeige/f2-cruise-team-windsurf-hft-sup-set-10-6-f2-checker-rigg-4-0-qm/2835797681-230-7244", "Link")</f>
        <v/>
      </c>
      <c r="H372" s="6">
        <f>HYPERLINK("C:\Projects\Kleinanzeigen-Scraper\offer_images\2835797681", "Link")</f>
        <v/>
      </c>
      <c r="I372" t="inlineStr">
        <is>
          <t>No user name</t>
        </is>
      </c>
      <c r="J372" s="6">
        <f>HYPERLINK("https://www.kleinanzeigen.deNo user link", "Link")</f>
        <v/>
      </c>
      <c r="K372" s="7" t="n">
        <v>45548.54888888889</v>
      </c>
      <c r="L372" s="3" t="inlineStr">
        <is>
          <t>244.83</t>
        </is>
      </c>
      <c r="M372" t="inlineStr">
        <is>
          <t>München</t>
        </is>
      </c>
    </row>
    <row r="373">
      <c r="A373" t="inlineStr">
        <is>
          <t>F2 CRUISE TEAM WINDSURF HFT inflatable SUP set including board, paddle (165-215 cm), pump, repair kit, and carrying bag.</t>
        </is>
      </c>
      <c r="B373" s="4" t="n">
        <v>469</v>
      </c>
      <c r="C373" t="inlineStr"/>
      <c r="D373" t="inlineStr">
        <is>
          <t>95028 Bayern - Hof (Saale)</t>
        </is>
      </c>
      <c r="E373" s="5" t="n">
        <v>45547</v>
      </c>
      <c r="F373" t="inlineStr">
        <is>
          <t>Sold</t>
        </is>
      </c>
      <c r="G373" s="6">
        <f>HYPERLINK("https://www.kleinanzeigen.de/s-anzeige/f2-cruise-team-windsurf-hft-inflatable-sup-set-11-6-komplett/2835763957-230-7244", "Link")</f>
        <v/>
      </c>
      <c r="H373" s="6">
        <f>HYPERLINK("C:\Projects\Kleinanzeigen-Scraper\offer_images\2835763957", "Link")</f>
        <v/>
      </c>
      <c r="I373" t="inlineStr">
        <is>
          <t>No user name</t>
        </is>
      </c>
      <c r="J373" s="6">
        <f>HYPERLINK("https://www.kleinanzeigen.deNo user link", "Link")</f>
        <v/>
      </c>
      <c r="K373" s="7" t="n">
        <v>45548.54886574074</v>
      </c>
      <c r="L373" s="3" t="inlineStr">
        <is>
          <t>244.83</t>
        </is>
      </c>
      <c r="M373" t="inlineStr">
        <is>
          <t>München</t>
        </is>
      </c>
    </row>
    <row r="374">
      <c r="A374" t="inlineStr">
        <is>
          <t>Includes Severne Blade sails in sizes 3.3, 3.7, 4.2, and 4.7, all functioning well with some repairs.</t>
        </is>
      </c>
      <c r="B374" s="4" t="n">
        <v>250</v>
      </c>
      <c r="C374" t="inlineStr">
        <is>
          <t>VB</t>
        </is>
      </c>
      <c r="D374" t="inlineStr">
        <is>
          <t>22927 Grosshansdorf</t>
        </is>
      </c>
      <c r="E374" s="5" t="n">
        <v>45547</v>
      </c>
      <c r="F374" t="inlineStr">
        <is>
          <t>Sold</t>
        </is>
      </c>
      <c r="G374" s="6">
        <f>HYPERLINK("https://www.dailydose.de/kleinanzeigen/detail.htm?ai=422447&amp;cf=kk&amp;pg=3&amp;ci=5", "Link")</f>
        <v/>
      </c>
      <c r="H374" s="6">
        <f>HYPERLINK("C:\Projects\Kleinanzeigen-Scraper\offer_images\422447", "Link")</f>
        <v/>
      </c>
      <c r="I374" t="inlineStr">
        <is>
          <t>AJES</t>
        </is>
      </c>
      <c r="J374" s="6">
        <f>HYPERLINK("https://www.dailydose.de/kleinanzeigen/user/3847", "Link")</f>
        <v/>
      </c>
      <c r="K374" s="7" t="n">
        <v>45547.55542824074</v>
      </c>
      <c r="L374" s="3" t="inlineStr">
        <is>
          <t>378.07</t>
        </is>
      </c>
      <c r="M374" t="inlineStr">
        <is>
          <t>Köln</t>
        </is>
      </c>
    </row>
    <row r="375">
      <c r="A375" t="inlineStr">
        <is>
          <t>F2 GLIDE Windsurf SUP 10.8' board including bag, pump, repair kit, and F2 CHECKER rig with 4.0 m² sail, mast, boom, extension, mast foot, and retrieval line.</t>
        </is>
      </c>
      <c r="B375" s="4" t="n">
        <v>599</v>
      </c>
      <c r="C375" t="inlineStr"/>
      <c r="D375" t="inlineStr">
        <is>
          <t>95028 Bayern - Hof (Saale)</t>
        </is>
      </c>
      <c r="E375" s="5" t="n">
        <v>45546</v>
      </c>
      <c r="F375" t="inlineStr">
        <is>
          <t>Sold</t>
        </is>
      </c>
      <c r="G375" s="6">
        <f>HYPERLINK("https://www.kleinanzeigen.de/s-anzeige/f2-glide-windsurf-sup-10-8-grey-board-checker-rigg-4-0-qm/2835048908-230-7244", "Link")</f>
        <v/>
      </c>
      <c r="H375" s="6">
        <f>HYPERLINK("C:\Projects\Kleinanzeigen-Scraper\offer_images\2835048908", "Link")</f>
        <v/>
      </c>
      <c r="I375" t="inlineStr">
        <is>
          <t>No user name</t>
        </is>
      </c>
      <c r="J375" s="6">
        <f>HYPERLINK("https://www.kleinanzeigen.deNo user link", "Link")</f>
        <v/>
      </c>
      <c r="K375" s="7" t="n">
        <v>45547.55212962963</v>
      </c>
      <c r="L375" s="3" t="inlineStr">
        <is>
          <t>244.83</t>
        </is>
      </c>
      <c r="M375" t="inlineStr">
        <is>
          <t>München</t>
        </is>
      </c>
    </row>
    <row r="376">
      <c r="A376" t="inlineStr">
        <is>
          <t>F2 GLIDE Windsurf SUP board (10.8', 329 cm x 81 cm x 15 cm) with F2 CHECKER rig (3.5 m²) including mast, boom, extension, mast foot, and repair kit, plus paddle (165-215 cm), bag, and pump.</t>
        </is>
      </c>
      <c r="B376" s="4" t="n">
        <v>599</v>
      </c>
      <c r="C376" t="inlineStr"/>
      <c r="D376" t="inlineStr">
        <is>
          <t>95028 Bayern - Hof (Saale)</t>
        </is>
      </c>
      <c r="E376" s="5" t="n">
        <v>45546</v>
      </c>
      <c r="F376" t="inlineStr">
        <is>
          <t>Sold</t>
        </is>
      </c>
      <c r="G376" s="6">
        <f>HYPERLINK("https://www.kleinanzeigen.de/s-anzeige/f2-glide-windsurf-sup-10-8-grey-board-checker-rigg-3-5-qm/2835050990-230-7244", "Link")</f>
        <v/>
      </c>
      <c r="H376" s="6">
        <f>HYPERLINK("C:\Projects\Kleinanzeigen-Scraper\offer_images\2835050990", "Link")</f>
        <v/>
      </c>
      <c r="I376" t="inlineStr">
        <is>
          <t>No user name</t>
        </is>
      </c>
      <c r="J376" s="6">
        <f>HYPERLINK("https://www.kleinanzeigen.deNo user link", "Link")</f>
        <v/>
      </c>
      <c r="K376" s="7" t="n">
        <v>45547.55208333334</v>
      </c>
      <c r="L376" s="3" t="inlineStr">
        <is>
          <t>244.83</t>
        </is>
      </c>
      <c r="M376" t="inlineStr">
        <is>
          <t>München</t>
        </is>
      </c>
    </row>
    <row r="377">
      <c r="A377" t="inlineStr">
        <is>
          <t>F2 GLIDE Windsurf SUP 11.7" including bag, pump, repair kit, and F2 CHECKER complete rig with 3.5 m² sail, mast, boom, extension, mast foot, and uphaul line.</t>
        </is>
      </c>
      <c r="B377" s="4" t="n">
        <v>599</v>
      </c>
      <c r="C377" t="inlineStr"/>
      <c r="D377" t="inlineStr">
        <is>
          <t>95028 Bayern - Hof (Saale)</t>
        </is>
      </c>
      <c r="E377" s="5" t="n">
        <v>45546</v>
      </c>
      <c r="F377" t="inlineStr">
        <is>
          <t>Sold</t>
        </is>
      </c>
      <c r="G377" s="6">
        <f>HYPERLINK("https://www.kleinanzeigen.de/s-anzeige/f2-glide-windsurf-sup-11-7-grey-checker-rigg-3-5-qm/2835018765-230-7244", "Link")</f>
        <v/>
      </c>
      <c r="H377" s="6">
        <f>HYPERLINK("C:\Projects\Kleinanzeigen-Scraper\offer_images\2835018765", "Link")</f>
        <v/>
      </c>
      <c r="I377" t="inlineStr">
        <is>
          <t>No user name</t>
        </is>
      </c>
      <c r="J377" s="6">
        <f>HYPERLINK("https://www.kleinanzeigen.deNo user link", "Link")</f>
        <v/>
      </c>
      <c r="K377" s="7" t="n">
        <v>45547.55207175926</v>
      </c>
      <c r="L377" s="3" t="inlineStr">
        <is>
          <t>244.83</t>
        </is>
      </c>
      <c r="M377" t="inlineStr">
        <is>
          <t>München</t>
        </is>
      </c>
    </row>
    <row r="378">
      <c r="A378" t="inlineStr">
        <is>
          <t>F2 GLIDE Windsurf SUP 10.2' board including bag, pump, repair kit, and F2 CHECKER complete rig with 4.0 m² sail, mast, boom, extension, mast foot, and retrieval line.</t>
        </is>
      </c>
      <c r="B378" s="4" t="n">
        <v>599</v>
      </c>
      <c r="C378" t="inlineStr"/>
      <c r="D378" t="inlineStr">
        <is>
          <t>95028 Bayern - Hof (Saale)</t>
        </is>
      </c>
      <c r="E378" s="5" t="n">
        <v>45546</v>
      </c>
      <c r="F378" t="inlineStr">
        <is>
          <t>Sold</t>
        </is>
      </c>
      <c r="G378" s="6">
        <f>HYPERLINK("https://www.kleinanzeigen.de/s-anzeige/f2-glide-windsurf-sup-10-2-grey-board-checker-rigg-4-0-qm/2835090768-230-7244", "Link")</f>
        <v/>
      </c>
      <c r="H378" s="6">
        <f>HYPERLINK("C:\Projects\Kleinanzeigen-Scraper\offer_images\2835090768", "Link")</f>
        <v/>
      </c>
      <c r="I378" t="inlineStr">
        <is>
          <t>No user name</t>
        </is>
      </c>
      <c r="J378" s="6">
        <f>HYPERLINK("https://www.kleinanzeigen.deNo user link", "Link")</f>
        <v/>
      </c>
      <c r="K378" s="7" t="n">
        <v>45547.55206018518</v>
      </c>
      <c r="L378" s="3" t="inlineStr">
        <is>
          <t>244.83</t>
        </is>
      </c>
      <c r="M378" t="inlineStr">
        <is>
          <t>München</t>
        </is>
      </c>
    </row>
    <row r="379">
      <c r="A379" t="inlineStr">
        <is>
          <t>F2 GLIDE Windsurf SUP board (10.8', 329 cm x 81 cm x 15 cm) including bag, pump, repair kit, and F2 CHECKER complete rig (2.5 m² sail with mast, boom, extension, mast foot, and uphaul line) plus a 3-piece paddle (165-215 cm).</t>
        </is>
      </c>
      <c r="B379" s="4" t="n">
        <v>599</v>
      </c>
      <c r="C379" t="inlineStr"/>
      <c r="D379" t="inlineStr">
        <is>
          <t>95028 Bayern - Hof (Saale)</t>
        </is>
      </c>
      <c r="E379" s="5" t="n">
        <v>45546</v>
      </c>
      <c r="F379" t="inlineStr">
        <is>
          <t>Sold</t>
        </is>
      </c>
      <c r="G379" s="6">
        <f>HYPERLINK("https://www.kleinanzeigen.de/s-anzeige/f2-glide-windsurf-sup-10-8-grey-board-checker-rigg-2-5-qm/2835054173-230-7244", "Link")</f>
        <v/>
      </c>
      <c r="H379" s="6">
        <f>HYPERLINK("C:\Projects\Kleinanzeigen-Scraper\offer_images\2835054173", "Link")</f>
        <v/>
      </c>
      <c r="I379" t="inlineStr">
        <is>
          <t>No user name</t>
        </is>
      </c>
      <c r="J379" s="6">
        <f>HYPERLINK("https://www.kleinanzeigen.deNo user link", "Link")</f>
        <v/>
      </c>
      <c r="K379" s="7" t="n">
        <v>45547.55202546297</v>
      </c>
      <c r="L379" s="3" t="inlineStr">
        <is>
          <t>244.83</t>
        </is>
      </c>
      <c r="M379" t="inlineStr">
        <is>
          <t>München</t>
        </is>
      </c>
    </row>
    <row r="380">
      <c r="A380" t="inlineStr">
        <is>
          <t>F2 GLIDE WINDSURF SUP 11.7" board including bag, pump, repair kit, and F2 CHECKER rig with 3.0 m² sail, mast, boom, extension, mast foot, and retrieval line.</t>
        </is>
      </c>
      <c r="B380" s="4" t="n">
        <v>599</v>
      </c>
      <c r="C380" t="inlineStr"/>
      <c r="D380" t="inlineStr">
        <is>
          <t>95028 Bayern - Hof (Saale)</t>
        </is>
      </c>
      <c r="E380" s="5" t="n">
        <v>45546</v>
      </c>
      <c r="F380" t="inlineStr">
        <is>
          <t>Sold</t>
        </is>
      </c>
      <c r="G380" s="6">
        <f>HYPERLINK("https://www.kleinanzeigen.de/s-anzeige/f2-glide-windsurf-sup-11-7-grey-board-checker-rigg-3-0-qm/2835021682-230-7244", "Link")</f>
        <v/>
      </c>
      <c r="H380" s="6">
        <f>HYPERLINK("C:\Projects\Kleinanzeigen-Scraper\offer_images\2835021682", "Link")</f>
        <v/>
      </c>
      <c r="I380" t="inlineStr">
        <is>
          <t>No user name</t>
        </is>
      </c>
      <c r="J380" s="6">
        <f>HYPERLINK("https://www.kleinanzeigen.deNo user link", "Link")</f>
        <v/>
      </c>
      <c r="K380" s="7" t="n">
        <v>45547.55200231481</v>
      </c>
      <c r="L380" s="3" t="inlineStr">
        <is>
          <t>244.83</t>
        </is>
      </c>
      <c r="M380" t="inlineStr">
        <is>
          <t>München</t>
        </is>
      </c>
    </row>
    <row r="381">
      <c r="A381" t="inlineStr">
        <is>
          <t>F2 GLIDE Windsurf SUP 11.7" board including bag, pump, repair kit, and F2 CHECKER complete rig with 2.5 m² sail, mast, boom, extension, mast foot, and retrieval line.</t>
        </is>
      </c>
      <c r="B381" s="4" t="n">
        <v>599</v>
      </c>
      <c r="C381" t="inlineStr"/>
      <c r="D381" t="inlineStr">
        <is>
          <t>95028 Bayern - Hof (Saale)</t>
        </is>
      </c>
      <c r="E381" s="5" t="n">
        <v>45546</v>
      </c>
      <c r="F381" t="inlineStr">
        <is>
          <t>Sold</t>
        </is>
      </c>
      <c r="G381" s="6">
        <f>HYPERLINK("https://www.kleinanzeigen.de/s-anzeige/f2-glide-windsurf-sup-11-7-grey-board-checker-rigg-2-5-qm/2835023312-230-7244", "Link")</f>
        <v/>
      </c>
      <c r="H381" s="6">
        <f>HYPERLINK("C:\Projects\Kleinanzeigen-Scraper\offer_images\2835023312", "Link")</f>
        <v/>
      </c>
      <c r="I381" t="inlineStr">
        <is>
          <t>No user name</t>
        </is>
      </c>
      <c r="J381" s="6">
        <f>HYPERLINK("https://www.kleinanzeigen.deNo user link", "Link")</f>
        <v/>
      </c>
      <c r="K381" s="7" t="n">
        <v>45547.55197916667</v>
      </c>
      <c r="L381" s="3" t="inlineStr">
        <is>
          <t>244.83</t>
        </is>
      </c>
      <c r="M381" t="inlineStr">
        <is>
          <t>München</t>
        </is>
      </c>
    </row>
    <row r="382">
      <c r="A382" t="inlineStr">
        <is>
          <t>F2 GLIDE Windsurf SUP 10.2' board including bag, pump, repair kit, and F2 CHECKER rig with 3.5 m² sail, mast, boom, extension, mast foot, and uphaul line.</t>
        </is>
      </c>
      <c r="B382" s="4" t="n">
        <v>599</v>
      </c>
      <c r="C382" t="inlineStr"/>
      <c r="D382" t="inlineStr">
        <is>
          <t>95028 Bayern - Hof (Saale)</t>
        </is>
      </c>
      <c r="E382" s="5" t="n">
        <v>45546</v>
      </c>
      <c r="F382" t="inlineStr">
        <is>
          <t>Sold</t>
        </is>
      </c>
      <c r="G382" s="6">
        <f>HYPERLINK("https://www.kleinanzeigen.de/s-anzeige/f2-glide-windsurf-sup-10-2-petrol-board-checker-rigg-3-5-qm/2835073243-230-7244", "Link")</f>
        <v/>
      </c>
      <c r="H382" s="6">
        <f>HYPERLINK("C:\Projects\Kleinanzeigen-Scraper\offer_images\2835073243", "Link")</f>
        <v/>
      </c>
      <c r="I382" t="inlineStr">
        <is>
          <t>No user name</t>
        </is>
      </c>
      <c r="J382" s="6">
        <f>HYPERLINK("https://www.kleinanzeigen.deNo user link", "Link")</f>
        <v/>
      </c>
      <c r="K382" s="7" t="n">
        <v>45547.5519212963</v>
      </c>
      <c r="L382" s="3" t="inlineStr">
        <is>
          <t>244.83</t>
        </is>
      </c>
      <c r="M382" t="inlineStr">
        <is>
          <t>München</t>
        </is>
      </c>
    </row>
    <row r="383">
      <c r="A383" t="inlineStr">
        <is>
          <t>F2 GLIDE Windsurf SUP 10.2' board including bag, pump, repair kit, and F2 CHECKER rig with 3.0 m² sail, mast, boom, extension, mast foot, and retrieval line.</t>
        </is>
      </c>
      <c r="B383" s="4" t="n">
        <v>599</v>
      </c>
      <c r="C383" t="inlineStr"/>
      <c r="D383" t="inlineStr">
        <is>
          <t>95028 Bayern - Hof (Saale)</t>
        </is>
      </c>
      <c r="E383" s="5" t="n">
        <v>45546</v>
      </c>
      <c r="F383" t="inlineStr">
        <is>
          <t>Sold</t>
        </is>
      </c>
      <c r="G383" s="6">
        <f>HYPERLINK("https://www.kleinanzeigen.de/s-anzeige/f2-glide-windsurf-sup-10-2-grey-board-checker-rigg-3-0-qm/2835098371-230-7244", "Link")</f>
        <v/>
      </c>
      <c r="H383" s="6">
        <f>HYPERLINK("C:\Projects\Kleinanzeigen-Scraper\offer_images\2835098371", "Link")</f>
        <v/>
      </c>
      <c r="I383" t="inlineStr">
        <is>
          <t>No user name</t>
        </is>
      </c>
      <c r="J383" s="6">
        <f>HYPERLINK("https://www.kleinanzeigen.deNo user link", "Link")</f>
        <v/>
      </c>
      <c r="K383" s="7" t="n">
        <v>45547.55186342593</v>
      </c>
      <c r="L383" s="3" t="inlineStr">
        <is>
          <t>244.83</t>
        </is>
      </c>
      <c r="M383" t="inlineStr">
        <is>
          <t>München</t>
        </is>
      </c>
    </row>
    <row r="384">
      <c r="A384" t="inlineStr">
        <is>
          <t>F2 GLIDE Windsurf SUP 10.2' board including a complete F2 Checker rig with 3.5 m² sail, mast, boom, extension, mast foot, and repair kit, along with a 3-piece paddle (165-215 cm).</t>
        </is>
      </c>
      <c r="B384" s="4" t="n">
        <v>599</v>
      </c>
      <c r="C384" t="inlineStr"/>
      <c r="D384" t="inlineStr">
        <is>
          <t>95028 Bayern - Hof (Saale)</t>
        </is>
      </c>
      <c r="E384" s="5" t="n">
        <v>45546</v>
      </c>
      <c r="F384" t="inlineStr">
        <is>
          <t>Sold</t>
        </is>
      </c>
      <c r="G384" s="6">
        <f>HYPERLINK("https://www.kleinanzeigen.de/s-anzeige/f2-glide-windsurf-sup-10-2-grey-board-checker-rigg-3-5-qm/2835092879-230-7244", "Link")</f>
        <v/>
      </c>
      <c r="H384" s="6">
        <f>HYPERLINK("C:\Projects\Kleinanzeigen-Scraper\offer_images\2835092879", "Link")</f>
        <v/>
      </c>
      <c r="I384" t="inlineStr">
        <is>
          <t>No user name</t>
        </is>
      </c>
      <c r="J384" s="6">
        <f>HYPERLINK("https://www.kleinanzeigen.deNo user link", "Link")</f>
        <v/>
      </c>
      <c r="K384" s="7" t="n">
        <v>45547.55158564815</v>
      </c>
      <c r="L384" s="3" t="inlineStr">
        <is>
          <t>244.83</t>
        </is>
      </c>
      <c r="M384" t="inlineStr">
        <is>
          <t>München</t>
        </is>
      </c>
    </row>
    <row r="385">
      <c r="A385" t="inlineStr">
        <is>
          <t>F2 GLIDE Windsurf SUP 10.2' board including a complete F2 CHECKER rig with 2.5 m² sail, mast, boom, extension, mast foot, and repair kit, along with a 3-piece paddle (165-215 cm).</t>
        </is>
      </c>
      <c r="B385" s="4" t="n">
        <v>599</v>
      </c>
      <c r="C385" t="inlineStr"/>
      <c r="D385" t="inlineStr">
        <is>
          <t>95028 Bayern - Hof (Saale)</t>
        </is>
      </c>
      <c r="E385" s="5" t="n">
        <v>45546</v>
      </c>
      <c r="F385" t="inlineStr">
        <is>
          <t>Sold</t>
        </is>
      </c>
      <c r="G385" s="6">
        <f>HYPERLINK("https://www.kleinanzeigen.de/s-anzeige/f2-glide-windsurf-sup-10-2-grey-board-checker-rigg-2-5-qm/2835099926-230-7244", "Link")</f>
        <v/>
      </c>
      <c r="H385" s="6">
        <f>HYPERLINK("C:\Projects\Kleinanzeigen-Scraper\offer_images\2835099926", "Link")</f>
        <v/>
      </c>
      <c r="I385" t="inlineStr">
        <is>
          <t>No user name</t>
        </is>
      </c>
      <c r="J385" s="6">
        <f>HYPERLINK("https://www.kleinanzeigen.deNo user link", "Link")</f>
        <v/>
      </c>
      <c r="K385" s="7" t="n">
        <v>45547.55150462963</v>
      </c>
      <c r="L385" s="3" t="inlineStr">
        <is>
          <t>244.83</t>
        </is>
      </c>
      <c r="M385" t="inlineStr">
        <is>
          <t>München</t>
        </is>
      </c>
    </row>
    <row r="386">
      <c r="A386" t="inlineStr">
        <is>
          <t>F2 GLIDE Windsurf SUP 10.8' board including a complete F2 Checker rig with a 3.0 m² sail, mast, boom, extension, mast foot, and a paddle (165-215 cm).</t>
        </is>
      </c>
      <c r="B386" s="4" t="n">
        <v>599</v>
      </c>
      <c r="C386" t="inlineStr"/>
      <c r="D386" t="inlineStr">
        <is>
          <t>95028 Bayern - Hof (Saale)</t>
        </is>
      </c>
      <c r="E386" s="5" t="n">
        <v>45546</v>
      </c>
      <c r="F386" t="inlineStr">
        <is>
          <t>Sold</t>
        </is>
      </c>
      <c r="G386" s="6">
        <f>HYPERLINK("https://www.kleinanzeigen.de/s-anzeige/f2-glide-windsurf-sup-10-8-grey-board-checker-rigg-3-0-qm/2835052457-230-7244", "Link")</f>
        <v/>
      </c>
      <c r="H386" s="6">
        <f>HYPERLINK("C:\Projects\Kleinanzeigen-Scraper\offer_images\2835052457", "Link")</f>
        <v/>
      </c>
      <c r="I386" t="inlineStr">
        <is>
          <t>No user name</t>
        </is>
      </c>
      <c r="J386" s="6">
        <f>HYPERLINK("https://www.kleinanzeigen.deNo user link", "Link")</f>
        <v/>
      </c>
      <c r="K386" s="7" t="n">
        <v>45547.55142361111</v>
      </c>
      <c r="L386" s="3" t="inlineStr">
        <is>
          <t>244.83</t>
        </is>
      </c>
      <c r="M386" t="inlineStr">
        <is>
          <t>München</t>
        </is>
      </c>
    </row>
    <row r="387">
      <c r="A387" t="inlineStr">
        <is>
          <t>Gun Sails Blow 4.6 (2012), Gun Sails Blow 5.2 (2012), Gun Sails Wave MC 4.5 (2010) - all with normal wear.</t>
        </is>
      </c>
      <c r="B387" s="4" t="n">
        <v>50</v>
      </c>
      <c r="C387" t="inlineStr">
        <is>
          <t>VB</t>
        </is>
      </c>
      <c r="D387" t="inlineStr">
        <is>
          <t>24106 Kiel</t>
        </is>
      </c>
      <c r="E387" s="5" t="n">
        <v>45545</v>
      </c>
      <c r="F387" t="inlineStr">
        <is>
          <t>Sold</t>
        </is>
      </c>
      <c r="G387" s="6">
        <f>HYPERLINK("https://www.dailydose.de/kleinanzeigen/detail.htm?ai=422365&amp;cf=kk&amp;pg=5&amp;ci=5", "Link")</f>
        <v/>
      </c>
      <c r="H387" s="6">
        <f>HYPERLINK("C:\Projects\Kleinanzeigen-Scraper\offer_images\422365", "Link")</f>
        <v/>
      </c>
      <c r="I387" t="inlineStr">
        <is>
          <t>Hauke_158</t>
        </is>
      </c>
      <c r="J387" s="6">
        <f>HYPERLINK("https://www.dailydose.de/kleinanzeigen/user/16128", "Link")</f>
        <v/>
      </c>
      <c r="K387" s="7" t="n">
        <v>45546.57668981481</v>
      </c>
      <c r="L387" s="3" t="inlineStr">
        <is>
          <t>436.03</t>
        </is>
      </c>
      <c r="M387" t="inlineStr">
        <is>
          <t>Köln</t>
        </is>
      </c>
    </row>
    <row r="388">
      <c r="A388" t="inlineStr">
        <is>
          <t>Includes F2 TEAM WINDSURF SUP 10.5" with bag, pump, repair kit, and F2 CHECKER rig with sail size 4.0 qm (complete rig including mast, boom, extension, mast foot, and uphaul line).</t>
        </is>
      </c>
      <c r="B388" s="4" t="n">
        <v>599</v>
      </c>
      <c r="C388" t="inlineStr"/>
      <c r="D388" t="inlineStr">
        <is>
          <t>95028 Bayern - Hof (Saale)</t>
        </is>
      </c>
      <c r="E388" s="5" t="n">
        <v>45543</v>
      </c>
      <c r="F388" t="inlineStr">
        <is>
          <t>Sold</t>
        </is>
      </c>
      <c r="G388" s="6">
        <f>HYPERLINK("https://www.kleinanzeigen.de/s-anzeige/f2-team-windsurf-sup-10-5-f2-checker-rigg-4-0-qm/2832610180-230-7244", "Link")</f>
        <v/>
      </c>
      <c r="H388" s="6">
        <f>HYPERLINK("C:\Projects\Kleinanzeigen-Scraper\offer_images\2832610180", "Link")</f>
        <v/>
      </c>
      <c r="I388" t="inlineStr">
        <is>
          <t>No user name</t>
        </is>
      </c>
      <c r="J388" s="6">
        <f>HYPERLINK("https://www.kleinanzeigen.deNo user link", "Link")</f>
        <v/>
      </c>
      <c r="K388" s="7" t="n">
        <v>45546.57589120371</v>
      </c>
      <c r="L388" s="3" t="inlineStr">
        <is>
          <t>244.83</t>
        </is>
      </c>
      <c r="M388" t="inlineStr">
        <is>
          <t>München</t>
        </is>
      </c>
    </row>
    <row r="389">
      <c r="A389" t="inlineStr">
        <is>
          <t>F2 GLIDE Windsurf SUP 11.7" board including bag, pump, repair kit, and F2 CHECKER complete rig with 2.0 m² sail, mast, boom, extension, mast foot, and retrieval line.</t>
        </is>
      </c>
      <c r="B389" s="4" t="n">
        <v>599</v>
      </c>
      <c r="C389" t="inlineStr"/>
      <c r="D389" t="inlineStr">
        <is>
          <t>95028 Bayern - Hof (Saale)</t>
        </is>
      </c>
      <c r="E389" s="5" t="n">
        <v>45546</v>
      </c>
      <c r="F389" t="inlineStr">
        <is>
          <t>Sold</t>
        </is>
      </c>
      <c r="G389" s="6">
        <f>HYPERLINK("https://www.kleinanzeigen.de/s-anzeige/f2-glide-windsurf-sup-11-7-grey-board-checker-rigg-2-0-qm/2835026571-230-7244", "Link")</f>
        <v/>
      </c>
      <c r="H389" s="6">
        <f>HYPERLINK("C:\Projects\Kleinanzeigen-Scraper\offer_images\2835026571", "Link")</f>
        <v/>
      </c>
      <c r="I389" t="inlineStr">
        <is>
          <t>No user name</t>
        </is>
      </c>
      <c r="J389" s="6">
        <f>HYPERLINK("https://www.kleinanzeigen.deNo user link", "Link")</f>
        <v/>
      </c>
      <c r="K389" s="7" t="n">
        <v>45546.57589120371</v>
      </c>
      <c r="L389" s="3" t="inlineStr">
        <is>
          <t>244.83</t>
        </is>
      </c>
      <c r="M389" t="inlineStr">
        <is>
          <t>München</t>
        </is>
      </c>
    </row>
    <row r="390">
      <c r="A390" t="inlineStr">
        <is>
          <t>F2 GLIDE Windsurf SUP 10.2' board including bag, pump, repair kit, and F2 CHECKER complete rig with 2.0 m² sail, mast, boom, extension, mast foot, and retrieval line.</t>
        </is>
      </c>
      <c r="B390" s="4" t="n">
        <v>599</v>
      </c>
      <c r="C390" t="inlineStr"/>
      <c r="D390" t="inlineStr">
        <is>
          <t>95028 Bayern - Hof (Saale)</t>
        </is>
      </c>
      <c r="E390" s="5" t="n">
        <v>45546</v>
      </c>
      <c r="F390" t="inlineStr">
        <is>
          <t>Sold</t>
        </is>
      </c>
      <c r="G390" s="6">
        <f>HYPERLINK("https://www.kleinanzeigen.de/s-anzeige/f2-glide-windsurf-sup-10-2-grey-board-checker-rigg-2-0-qm/2835101971-230-7244", "Link")</f>
        <v/>
      </c>
      <c r="H390" s="6">
        <f>HYPERLINK("C:\Projects\Kleinanzeigen-Scraper\offer_images\2835101971", "Link")</f>
        <v/>
      </c>
      <c r="I390" t="inlineStr">
        <is>
          <t>No user name</t>
        </is>
      </c>
      <c r="J390" s="6">
        <f>HYPERLINK("https://www.kleinanzeigen.deNo user link", "Link")</f>
        <v/>
      </c>
      <c r="K390" s="7" t="n">
        <v>45546.57582175926</v>
      </c>
      <c r="L390" s="3" t="inlineStr">
        <is>
          <t>244.83</t>
        </is>
      </c>
      <c r="M390" t="inlineStr">
        <is>
          <t>München</t>
        </is>
      </c>
    </row>
    <row r="391">
      <c r="A391" t="inlineStr">
        <is>
          <t>4 boards complete with all sails, masts, etc. suitable for up to 80kg</t>
        </is>
      </c>
      <c r="B391" s="4" t="n">
        <v>500</v>
      </c>
      <c r="C391" t="inlineStr">
        <is>
          <t>VB</t>
        </is>
      </c>
      <c r="D391" t="inlineStr">
        <is>
          <t>94121 Bayern - Salzweg</t>
        </is>
      </c>
      <c r="E391" s="5" t="n">
        <v>45544</v>
      </c>
      <c r="F391" t="inlineStr">
        <is>
          <t>Sold</t>
        </is>
      </c>
      <c r="G391" s="6">
        <f>HYPERLINK("https://www.kleinanzeigen.de/s-anzeige/windsurfen/2858954828-230-7444", "Link")</f>
        <v/>
      </c>
      <c r="H391" s="6">
        <f>HYPERLINK("C:\Projects\Kleinanzeigen-Scraper\offer_images\2858954828", "Link")</f>
        <v/>
      </c>
      <c r="I391" t="inlineStr">
        <is>
          <t>Privat S</t>
        </is>
      </c>
      <c r="J391" s="6">
        <f>HYPERLINK("https://www.kleinanzeigen.de/s-bestandsliste.html?userId=135249521", "Link")</f>
        <v/>
      </c>
      <c r="K391" s="7" t="n">
        <v>45546.57574074074</v>
      </c>
      <c r="L391" s="3" t="inlineStr">
        <is>
          <t>150.75</t>
        </is>
      </c>
      <c r="M391" t="inlineStr">
        <is>
          <t>München</t>
        </is>
      </c>
    </row>
    <row r="392">
      <c r="A392" t="inlineStr">
        <is>
          <t>Includes Mistral Schredder 2.98m board, North Sails Spectro 3D 7.0 sail, Gaaastra boom, Mistral Wave Slalom fin, and North Sails seat harness. Good used condition.</t>
        </is>
      </c>
      <c r="B392" s="4" t="n">
        <v>200</v>
      </c>
      <c r="C392" t="inlineStr">
        <is>
          <t>VB</t>
        </is>
      </c>
      <c r="D392" t="inlineStr">
        <is>
          <t>27243 Niedersachsen - Harpstedt</t>
        </is>
      </c>
      <c r="E392" s="5" t="n">
        <v>45542</v>
      </c>
      <c r="F392" t="inlineStr">
        <is>
          <t>Sold</t>
        </is>
      </c>
      <c r="G392" s="6">
        <f>HYPERLINK("https://www.kleinanzeigen.de/s-anzeige/windsurf-komplett-ausruestung-mistral-north-sails/2856827072-230-2476", "Link")</f>
        <v/>
      </c>
      <c r="H392" s="6">
        <f>HYPERLINK("C:\Projects\Kleinanzeigen-Scraper\offer_images\2856827072", "Link")</f>
        <v/>
      </c>
      <c r="I392" t="inlineStr">
        <is>
          <t>Christina</t>
        </is>
      </c>
      <c r="J392" s="6">
        <f>HYPERLINK("https://www.kleinanzeigen.de/s-bestandsliste.html?userId=25946628", "Link")</f>
        <v/>
      </c>
      <c r="K392" s="7" t="n">
        <v>45546.57559027777</v>
      </c>
      <c r="L392" s="3" t="inlineStr">
        <is>
          <t>246.06</t>
        </is>
      </c>
      <c r="M392" t="inlineStr">
        <is>
          <t>Köln</t>
        </is>
      </c>
    </row>
    <row r="393">
      <c r="A393" t="inlineStr">
        <is>
          <t>2 older Gun Sails IMPACT WAVE sails: 1. 4.5 m², 406 cm mast length, 160 cm boom; 2. 5.0 m², 426 cm mast length, 170 cm boom. Both in excellent condition.</t>
        </is>
      </c>
      <c r="B393" s="4" t="inlineStr">
        <is>
          <t>FP 55</t>
        </is>
      </c>
      <c r="C393" t="inlineStr"/>
      <c r="D393" t="inlineStr">
        <is>
          <t>23909 Ratzeburg</t>
        </is>
      </c>
      <c r="E393" s="5" t="n">
        <v>45545</v>
      </c>
      <c r="F393" t="inlineStr">
        <is>
          <t>Sold</t>
        </is>
      </c>
      <c r="G393" s="6">
        <f>HYPERLINK("https://www.dailydose.de/kleinanzeigen/detail.htm?ai=422339&amp;cf=kk&amp;pg=5&amp;ci=5", "Link")</f>
        <v/>
      </c>
      <c r="H393" s="6">
        <f>HYPERLINK("C:\Projects\Kleinanzeigen-Scraper\offer_images\422339", "Link")</f>
        <v/>
      </c>
      <c r="I393" t="inlineStr">
        <is>
          <t>Insider</t>
        </is>
      </c>
      <c r="J393" s="6">
        <f>HYPERLINK("https://www.dailydose.de/kleinanzeigen/user/20603", "Link")</f>
        <v/>
      </c>
      <c r="K393" s="7" t="n">
        <v>45545.86469907407</v>
      </c>
      <c r="L393" s="3" t="inlineStr">
        <is>
          <t>401.75</t>
        </is>
      </c>
      <c r="M393" t="inlineStr">
        <is>
          <t>Köln</t>
        </is>
      </c>
    </row>
    <row r="394">
      <c r="A394" t="inlineStr">
        <is>
          <t>Goya Banzaii 11 sails in sizes 3.7 and 4.2, both new and packaged.</t>
        </is>
      </c>
      <c r="B394" s="4" t="inlineStr"/>
      <c r="C394" t="inlineStr"/>
      <c r="D394" t="inlineStr">
        <is>
          <t>10115 überall</t>
        </is>
      </c>
      <c r="E394" s="5" t="n">
        <v>45544</v>
      </c>
      <c r="F394" t="inlineStr">
        <is>
          <t>Sold</t>
        </is>
      </c>
      <c r="G394" s="6">
        <f>HYPERLINK("https://www.dailydose.de/kleinanzeigen/detail.htm?ai=422314&amp;cf=kk&amp;pg=5&amp;ci=5", "Link")</f>
        <v/>
      </c>
      <c r="H394" s="6">
        <f>HYPERLINK("C:\Projects\Kleinanzeigen-Scraper\offer_images\422314", "Link")</f>
        <v/>
      </c>
      <c r="I394" t="inlineStr">
        <is>
          <t>windmuehle</t>
        </is>
      </c>
      <c r="J394" s="6">
        <f>HYPERLINK("https://www.dailydose.de/kleinanzeigen/user/26379", "Link")</f>
        <v/>
      </c>
      <c r="K394" s="7" t="n">
        <v>45545.8634837963</v>
      </c>
      <c r="L394" s="3" t="inlineStr">
        <is>
          <t>476.33</t>
        </is>
      </c>
      <c r="M394" t="inlineStr">
        <is>
          <t>Köln</t>
        </is>
      </c>
    </row>
    <row r="395">
      <c r="A395" t="inlineStr">
        <is>
          <t>Includes Neilpryde sails (Gybe 6.5 and Gybe 5.0), Neilpryde Carbon mast (460), Fiberspar Carbon mast (460), BIC Electric Rock board (2.65m x 0.58m, 102L), Neilpryde boom, mast protector, Gun carbon fin, Neilpryde Combat harness, and 2 mast bases.</t>
        </is>
      </c>
      <c r="B395" s="4" t="n">
        <v>379</v>
      </c>
      <c r="C395" t="inlineStr">
        <is>
          <t>VB</t>
        </is>
      </c>
      <c r="D395" t="inlineStr">
        <is>
          <t>84389 Bayern - Postmünster</t>
        </is>
      </c>
      <c r="E395" s="5" t="n">
        <v>45565</v>
      </c>
      <c r="F395" t="inlineStr"/>
      <c r="G395" s="6">
        <f>HYPERLINK("https://www.kleinanzeigen.de/s-anzeige/komplettes-windsurf-equipment-brett-segel-neilpryde-masten-trapez/2815481731-230-5921", "Link")</f>
        <v/>
      </c>
      <c r="H395" s="6">
        <f>HYPERLINK("C:\Projects\Kleinanzeigen-Scraper\offer_images\2815481731", "Link")</f>
        <v/>
      </c>
      <c r="I395" t="inlineStr">
        <is>
          <t>Alexander</t>
        </is>
      </c>
      <c r="J395" s="6">
        <f>HYPERLINK("https://www.kleinanzeigen.de/s-bestandsliste.html?userId=8134301", "Link")</f>
        <v/>
      </c>
      <c r="K395" s="7" t="n">
        <v>45545.86113425926</v>
      </c>
      <c r="L395" s="3" t="inlineStr">
        <is>
          <t>103.23</t>
        </is>
      </c>
      <c r="M395" t="inlineStr">
        <is>
          <t>München</t>
        </is>
      </c>
    </row>
    <row r="396">
      <c r="A396" t="inlineStr">
        <is>
          <t>Includes two sails: Goya Banzaii Pro 3.7 (neuwertig) and Goya Banzaii Pro 4.2 (with a small dent and mini cut above the mast protector).</t>
        </is>
      </c>
      <c r="B396" s="4" t="n">
        <v>370</v>
      </c>
      <c r="C396" t="inlineStr"/>
      <c r="D396" t="inlineStr">
        <is>
          <t>18059 Rostock - Südstadt</t>
        </is>
      </c>
      <c r="E396" s="5" t="n">
        <v>45544</v>
      </c>
      <c r="F396" t="inlineStr"/>
      <c r="G396" s="6">
        <f>HYPERLINK("https://www.kleinanzeigen.de/s-anzeige/windsurf-goya-banzaii-pro-3-7-4-2-bj-2023/2858842702-230-13049", "Link")</f>
        <v/>
      </c>
      <c r="H396" s="6">
        <f>HYPERLINK("C:\Projects\Kleinanzeigen-Scraper\offer_images\2858842702", "Link")</f>
        <v/>
      </c>
      <c r="I396" t="inlineStr">
        <is>
          <t>Hauke Nagel</t>
        </is>
      </c>
      <c r="J396" s="6">
        <f>HYPERLINK("https://www.kleinanzeigen.de/s-bestandsliste.html?userId=28050877", "Link")</f>
        <v/>
      </c>
      <c r="K396" s="7" t="n">
        <v>45545.86107638889</v>
      </c>
      <c r="L396" s="3" t="inlineStr">
        <is>
          <t>489.44</t>
        </is>
      </c>
      <c r="M396" t="inlineStr">
        <is>
          <t>Köln</t>
        </is>
      </c>
    </row>
    <row r="397">
      <c r="A397" t="inlineStr">
        <is>
          <t>Duotone SuperHero Set consisting of sails 3.7, 4.2, and 4.7, all in original bag, lightly used with no damages.</t>
        </is>
      </c>
      <c r="B397" s="4" t="n">
        <v>1150</v>
      </c>
      <c r="C397" t="inlineStr"/>
      <c r="D397" t="inlineStr">
        <is>
          <t>22607 Hamburg Altona</t>
        </is>
      </c>
      <c r="E397" s="5" t="n">
        <v>45543</v>
      </c>
      <c r="F397" t="inlineStr">
        <is>
          <t>Sold</t>
        </is>
      </c>
      <c r="G397" s="6">
        <f>HYPERLINK("https://www.dailydose.de/kleinanzeigen/detail.htm?ai=422220&amp;cf=kk&amp;pg=5&amp;ci=5", "Link")</f>
        <v/>
      </c>
      <c r="H397" s="6">
        <f>HYPERLINK("C:\Projects\Kleinanzeigen-Scraper\offer_images\422220", "Link")</f>
        <v/>
      </c>
      <c r="I397" t="inlineStr">
        <is>
          <t>Anton_46</t>
        </is>
      </c>
      <c r="J397" s="6">
        <f>HYPERLINK("https://www.dailydose.de/kleinanzeigen/user/3872", "Link")</f>
        <v/>
      </c>
      <c r="K397" s="7" t="n">
        <v>45544.75268518519</v>
      </c>
      <c r="L397" s="3" t="inlineStr">
        <is>
          <t>354.01</t>
        </is>
      </c>
      <c r="M397" t="inlineStr">
        <is>
          <t>Köln</t>
        </is>
      </c>
    </row>
    <row r="398">
      <c r="A398" t="inlineStr">
        <is>
          <t>Windsurf Segel S2 Maui Dragon 3.8 (used, good condition) and 4.6 (professionally repaired at the mast pocket, otherwise very good condition).</t>
        </is>
      </c>
      <c r="B398" s="4" t="inlineStr">
        <is>
          <t>370 / 420</t>
        </is>
      </c>
      <c r="C398" t="inlineStr"/>
      <c r="D398" t="inlineStr">
        <is>
          <t>Kiel, Bremen, Sylt</t>
        </is>
      </c>
      <c r="E398" s="5" t="n">
        <v>45544</v>
      </c>
      <c r="F398" t="inlineStr">
        <is>
          <t>Sold</t>
        </is>
      </c>
      <c r="G398" s="6">
        <f>HYPERLINK("https://www.dailydose.de/kleinanzeigen/detail.htm?ai=422289&amp;cf=kk&amp;pg=5&amp;ci=5", "Link")</f>
        <v/>
      </c>
      <c r="H398" s="6">
        <f>HYPERLINK("C:\Projects\Kleinanzeigen-Scraper\offer_images\422289", "Link")</f>
        <v/>
      </c>
      <c r="I398" t="inlineStr">
        <is>
          <t>sybille</t>
        </is>
      </c>
      <c r="J398" s="6">
        <f>HYPERLINK("https://www.dailydose.de/kleinanzeigen/user/22818", "Link")</f>
        <v/>
      </c>
      <c r="K398" s="7" t="n">
        <v>45544.75076388889</v>
      </c>
      <c r="L398" s="3" t="inlineStr">
        <is>
          <t>271.41</t>
        </is>
      </c>
      <c r="M398" t="inlineStr">
        <is>
          <t>Köln</t>
        </is>
      </c>
    </row>
    <row r="399">
      <c r="A399" t="inlineStr">
        <is>
          <t>S2 Maui Freestyle Segel, Ninja 4.4 (neu) und 5.2 (sehr guter Zustand, gebraucht)</t>
        </is>
      </c>
      <c r="B399" s="4" t="inlineStr">
        <is>
          <t>290  je Segel</t>
        </is>
      </c>
      <c r="C399" t="inlineStr"/>
      <c r="D399" t="inlineStr">
        <is>
          <t>Kiel, Bremen, Sylt</t>
        </is>
      </c>
      <c r="E399" s="5" t="n">
        <v>45544</v>
      </c>
      <c r="F399" t="inlineStr">
        <is>
          <t>Sold</t>
        </is>
      </c>
      <c r="G399" s="6">
        <f>HYPERLINK("https://www.dailydose.de/kleinanzeigen/detail.htm?ai=422291&amp;cf=kk&amp;pg=5&amp;ci=5", "Link")</f>
        <v/>
      </c>
      <c r="H399" s="6">
        <f>HYPERLINK("C:\Projects\Kleinanzeigen-Scraper\offer_images\422291", "Link")</f>
        <v/>
      </c>
      <c r="I399" t="inlineStr">
        <is>
          <t>sybille</t>
        </is>
      </c>
      <c r="J399" s="6">
        <f>HYPERLINK("https://www.dailydose.de/kleinanzeigen/user/22818", "Link")</f>
        <v/>
      </c>
      <c r="K399" s="7" t="n">
        <v>45544.75042824074</v>
      </c>
      <c r="L399" s="3" t="inlineStr">
        <is>
          <t>271.41</t>
        </is>
      </c>
      <c r="M399" t="inlineStr">
        <is>
          <t>Köln</t>
        </is>
      </c>
    </row>
    <row r="400">
      <c r="A400" t="inlineStr">
        <is>
          <t>Includes Gaastra Poison 4.5 sail (2015), Gaastra IQ 4.0 sail (2014), and Gaastra RDM 100% 400 mast. All items show light signs of use.</t>
        </is>
      </c>
      <c r="B400" s="4" t="inlineStr">
        <is>
          <t>sh. Beschreibung</t>
        </is>
      </c>
      <c r="C400" t="inlineStr"/>
      <c r="D400" t="inlineStr">
        <is>
          <t>Kreta Griechenland / Füssen 87629</t>
        </is>
      </c>
      <c r="E400" s="5" t="n">
        <v>45544</v>
      </c>
      <c r="F400" t="inlineStr">
        <is>
          <t>Sold</t>
        </is>
      </c>
      <c r="G400" s="6">
        <f>HYPERLINK("https://www.dailydose.de/kleinanzeigen/detail.htm?ai=422271&amp;cf=kk&amp;pg=2&amp;ci=5", "Link")</f>
        <v/>
      </c>
      <c r="H400" s="6">
        <f>HYPERLINK("C:\Projects\Kleinanzeigen-Scraper\offer_images\422271", "Link")</f>
        <v/>
      </c>
      <c r="I400" t="inlineStr">
        <is>
          <t>J_198</t>
        </is>
      </c>
      <c r="J400" s="6">
        <f>HYPERLINK("https://www.dailydose.de/kleinanzeigen/user/12670", "Link")</f>
        <v/>
      </c>
      <c r="K400" s="7" t="n">
        <v>45544.74917824074</v>
      </c>
      <c r="L400" s="3" t="inlineStr">
        <is>
          <t>92.19</t>
        </is>
      </c>
      <c r="M400" t="inlineStr">
        <is>
          <t>München</t>
        </is>
      </c>
    </row>
    <row r="401">
      <c r="A401" t="inlineStr">
        <is>
          <t>Windglider from Mistral, includes everything for immediate windsurfing, including transport bag.</t>
        </is>
      </c>
      <c r="B401" s="4" t="n">
        <v>89</v>
      </c>
      <c r="C401" t="inlineStr"/>
      <c r="D401" t="inlineStr">
        <is>
          <t>87471 Bayern - Durach</t>
        </is>
      </c>
      <c r="E401" s="5" t="n">
        <v>45543</v>
      </c>
      <c r="F401" t="inlineStr">
        <is>
          <t>Sold</t>
        </is>
      </c>
      <c r="G401" s="6">
        <f>HYPERLINK("https://www.kleinanzeigen.de/s-anzeige/windglider-mistral-windsurfen-surfboard-segel/2857367817-230-7626", "Link")</f>
        <v/>
      </c>
      <c r="H401" s="6">
        <f>HYPERLINK("C:\Projects\Kleinanzeigen-Scraper\offer_images\2857367817", "Link")</f>
        <v/>
      </c>
      <c r="I401" t="inlineStr">
        <is>
          <t>NG</t>
        </is>
      </c>
      <c r="J401" s="6">
        <f>HYPERLINK("https://www.kleinanzeigen.de/s-bestandsliste.html?userId=25889672", "Link")</f>
        <v/>
      </c>
      <c r="K401" s="7" t="n">
        <v>45544.74893518518</v>
      </c>
      <c r="L401" s="3" t="inlineStr">
        <is>
          <t>101.23</t>
        </is>
      </c>
      <c r="M401" t="inlineStr">
        <is>
          <t>München</t>
        </is>
      </c>
    </row>
    <row r="402">
      <c r="A402" t="inlineStr">
        <is>
          <t>Mistral Shredder Surfbrett, Mast, Gabelbaum (ausziehbar), Fußschlaufen, Mastfuß, Segel 5.1 Slalom, Segel 6.0</t>
        </is>
      </c>
      <c r="B402" s="4" t="n">
        <v>60</v>
      </c>
      <c r="C402" t="inlineStr"/>
      <c r="D402" t="inlineStr">
        <is>
          <t>67706 Rheinland-Pfalz - Krickenbach</t>
        </is>
      </c>
      <c r="E402" s="5" t="n">
        <v>45543</v>
      </c>
      <c r="F402" t="inlineStr">
        <is>
          <t>Sold</t>
        </is>
      </c>
      <c r="G402" s="6">
        <f>HYPERLINK("https://www.kleinanzeigen.de/s-anzeige/mistral-surfbrett-mit-zubehoer-windsurfen/2858033273-230-21354", "Link")</f>
        <v/>
      </c>
      <c r="H402" s="6">
        <f>HYPERLINK("C:\Projects\Kleinanzeigen-Scraper\offer_images\2858033273", "Link")</f>
        <v/>
      </c>
      <c r="I402" t="inlineStr">
        <is>
          <t>Sara Fey</t>
        </is>
      </c>
      <c r="J402" s="6">
        <f>HYPERLINK("https://www.kleinanzeigen.de/s-bestandsliste.html?userId=73336038", "Link")</f>
        <v/>
      </c>
      <c r="K402" s="7" t="n">
        <v>45544.74893518518</v>
      </c>
      <c r="L402" s="3" t="inlineStr">
        <is>
          <t>65.91</t>
        </is>
      </c>
      <c r="M402" t="inlineStr">
        <is>
          <t>Karlsruhe</t>
        </is>
      </c>
    </row>
    <row r="403">
      <c r="A403" t="inlineStr">
        <is>
          <t>Windsurf SUP with 6 sqm sail, fully operational and well-maintained, perfect for beginners or vacation.</t>
        </is>
      </c>
      <c r="B403" s="4" t="n">
        <v>749</v>
      </c>
      <c r="C403" t="inlineStr"/>
      <c r="D403" t="inlineStr">
        <is>
          <t>42489 Nordrhein-Westfalen - Wülfrath</t>
        </is>
      </c>
      <c r="E403" s="5" t="n">
        <v>45543</v>
      </c>
      <c r="F403" t="inlineStr">
        <is>
          <t>Sold</t>
        </is>
      </c>
      <c r="G403" s="6">
        <f>HYPERLINK("https://www.kleinanzeigen.de/s-anzeige/windsurf-sup-mit-6qm-segel/2858031159-230-1554", "Link")</f>
        <v/>
      </c>
      <c r="H403" s="6">
        <f>HYPERLINK("C:\Projects\Kleinanzeigen-Scraper\offer_images\2858031159", "Link")</f>
        <v/>
      </c>
      <c r="I403" t="inlineStr">
        <is>
          <t>Alex Dittmar</t>
        </is>
      </c>
      <c r="J403" s="6">
        <f>HYPERLINK("https://www.kleinanzeigen.de/s-bestandsliste.html?userId=4576169", "Link")</f>
        <v/>
      </c>
      <c r="K403" s="7" t="n">
        <v>45544.74892361111</v>
      </c>
      <c r="L403" s="3" t="inlineStr">
        <is>
          <t>39.28</t>
        </is>
      </c>
      <c r="M403" t="inlineStr">
        <is>
          <t>Köln</t>
        </is>
      </c>
    </row>
    <row r="404">
      <c r="A404" t="inlineStr">
        <is>
          <t>Mistral Board Synchro 92 (245 cm, 55 cm, 92L) with Boardbag, Fanatic Boom (145-190 cm), Fanatic Board Hot Rat (280 cm, 108L, 57.5 cm), Fanatic Sail Slalom Can (5.4), North Sails Zeta Sail (4.7), Mako Sail (3.8 Extreme), Mast 430 Wave with Mastfoot and Mast extension.</t>
        </is>
      </c>
      <c r="B404" s="4" t="inlineStr"/>
      <c r="C404" t="inlineStr">
        <is>
          <t>VB</t>
        </is>
      </c>
      <c r="D404" t="inlineStr">
        <is>
          <t>48249 Nordrhein-Westfalen - Dülmen</t>
        </is>
      </c>
      <c r="E404" s="5" t="n">
        <v>45543</v>
      </c>
      <c r="F404" t="inlineStr">
        <is>
          <t>Sold</t>
        </is>
      </c>
      <c r="G404" s="6">
        <f>HYPERLINK("https://www.kleinanzeigen.de/s-anzeige/windsurfen-surfausruestung-einzelteile/2857906709-230-1331", "Link")</f>
        <v/>
      </c>
      <c r="H404" s="6">
        <f>HYPERLINK("C:\Projects\Kleinanzeigen-Scraper\offer_images\2857906709", "Link")</f>
        <v/>
      </c>
      <c r="I404" t="inlineStr">
        <is>
          <t>Kathrin &amp; Andreas</t>
        </is>
      </c>
      <c r="J404" s="6">
        <f>HYPERLINK("https://www.kleinanzeigen.de/s-bestandsliste.html?userId=20232800", "Link")</f>
        <v/>
      </c>
      <c r="K404" s="7" t="n">
        <v>45544.74892361111</v>
      </c>
      <c r="L404" s="3" t="inlineStr">
        <is>
          <t>105.23</t>
        </is>
      </c>
      <c r="M404" t="inlineStr">
        <is>
          <t>Köln</t>
        </is>
      </c>
    </row>
    <row r="405">
      <c r="A405" t="inlineStr">
        <is>
          <t>Includes Board (130L, 74 cm wide, 2.65 m long), 3 Sails (4.4 m², 6.7 m², 8.5 m²), Mast, Foot, 2 Booms, and a Fin.</t>
        </is>
      </c>
      <c r="B405" s="4" t="n">
        <v>350</v>
      </c>
      <c r="C405" t="inlineStr">
        <is>
          <t>VB</t>
        </is>
      </c>
      <c r="D405" t="inlineStr">
        <is>
          <t>55116 Rheinland-Pfalz - Mainz</t>
        </is>
      </c>
      <c r="E405" s="5" t="n">
        <v>45544</v>
      </c>
      <c r="F405" t="inlineStr">
        <is>
          <t>Sold</t>
        </is>
      </c>
      <c r="G405" s="6">
        <f>HYPERLINK("https://www.kleinanzeigen.de/s-anzeige/windsurf-set-board-mast-segel-ahd-74-gunsails-gasstra/2831725809-230-5326", "Link")</f>
        <v/>
      </c>
      <c r="H405" s="6">
        <f>HYPERLINK("C:\Projects\Kleinanzeigen-Scraper\offer_images\2831725809", "Link")</f>
        <v/>
      </c>
      <c r="I405" t="inlineStr">
        <is>
          <t>Holy</t>
        </is>
      </c>
      <c r="J405" s="6">
        <f>HYPERLINK("https://www.kleinanzeigen.de/s-bestandsliste.html?userId=14246253", "Link")</f>
        <v/>
      </c>
      <c r="K405" s="7" t="n">
        <v>45544.74890046296</v>
      </c>
      <c r="L405" s="3" t="inlineStr">
        <is>
          <t>110.67</t>
        </is>
      </c>
      <c r="M405" t="inlineStr">
        <is>
          <t>Karlsruhe</t>
        </is>
      </c>
    </row>
    <row r="406">
      <c r="A406" t="inlineStr">
        <is>
          <t>Fanatic Skate 107 Team Edition board, 4 sails, 2 masts (Stilo RDM 400cm and North Viper SDM 430cm), Gun Sails Cross boom, 2 fins (Freestyle and Wave), mast extensions, base, trimming crank, and a wave trapeze in size M.</t>
        </is>
      </c>
      <c r="B406" s="4" t="n">
        <v>800</v>
      </c>
      <c r="C406" t="inlineStr"/>
      <c r="D406" t="inlineStr">
        <is>
          <t>87452 Bayern - Altusried</t>
        </is>
      </c>
      <c r="E406" s="5" t="n">
        <v>45543</v>
      </c>
      <c r="F406" t="inlineStr">
        <is>
          <t>Sold</t>
        </is>
      </c>
      <c r="G406" s="6">
        <f>HYPERLINK("https://www.kleinanzeigen.de/s-anzeige/windsurf-fanatic-skate-team-edition-107l-riggs/2857377970-230-7621", "Link")</f>
        <v/>
      </c>
      <c r="H406" s="6">
        <f>HYPERLINK("C:\Projects\Kleinanzeigen-Scraper\offer_images\2857377970", "Link")</f>
        <v/>
      </c>
      <c r="I406" t="inlineStr">
        <is>
          <t>Parzival</t>
        </is>
      </c>
      <c r="J406" s="6">
        <f>HYPERLINK("https://www.kleinanzeigen.de/s-bestandsliste.html?userId=40147316", "Link")</f>
        <v/>
      </c>
      <c r="K406" s="7" t="n">
        <v>45544.74881944444</v>
      </c>
      <c r="L406" s="3" t="inlineStr">
        <is>
          <t>109.83</t>
        </is>
      </c>
      <c r="M406" t="inlineStr">
        <is>
          <t>München</t>
        </is>
      </c>
    </row>
    <row r="407">
      <c r="A407" t="inlineStr">
        <is>
          <t>Three sails from North Sails (4.2 qm, 5.0 qm, 6.0 qm) with bags and masts, mast feet and mast extension available as needed.</t>
        </is>
      </c>
      <c r="B407" s="4" t="n">
        <v>190</v>
      </c>
      <c r="C407" t="inlineStr">
        <is>
          <t>VB</t>
        </is>
      </c>
      <c r="D407" t="inlineStr">
        <is>
          <t>82205 Bayern - Gilching</t>
        </is>
      </c>
      <c r="E407" s="5" t="n">
        <v>45543</v>
      </c>
      <c r="F407" t="inlineStr">
        <is>
          <t>Sold</t>
        </is>
      </c>
      <c r="G407" s="6">
        <f>HYPERLINK("https://www.kleinanzeigen.de/s-anzeige/windsurf-segel-set-von-north-sails/2857405819-230-15740", "Link")</f>
        <v/>
      </c>
      <c r="H407" s="6">
        <f>HYPERLINK("C:\Projects\Kleinanzeigen-Scraper\offer_images\2857405819", "Link")</f>
        <v/>
      </c>
      <c r="I407" t="inlineStr">
        <is>
          <t>Peter Grießhammer</t>
        </is>
      </c>
      <c r="J407" s="6">
        <f>HYPERLINK("https://www.kleinanzeigen.de/s-bestandsliste.html?userId=41812856", "Link")</f>
        <v/>
      </c>
      <c r="K407" s="7" t="n">
        <v>45544.74870370371</v>
      </c>
      <c r="L407" s="3" t="inlineStr">
        <is>
          <t>23.04</t>
        </is>
      </c>
      <c r="M407" t="inlineStr">
        <is>
          <t>München</t>
        </is>
      </c>
    </row>
    <row r="408">
      <c r="A408" t="inlineStr">
        <is>
          <t>Windsurf Komplett-Set including STX inflatable board, Gaastra Sail Pilot 6.2qm, Vario-Gabelbaum PRO M 1.62-2.22m, Carbon-Mast STX C40 4.30m, Mastfuß PROLIMIT, and electric pump for 12V.</t>
        </is>
      </c>
      <c r="B408" s="4" t="n">
        <v>799</v>
      </c>
      <c r="C408" t="inlineStr">
        <is>
          <t>VB</t>
        </is>
      </c>
      <c r="D408" t="inlineStr">
        <is>
          <t>58640 Nordrhein-Westfalen - Iserlohn</t>
        </is>
      </c>
      <c r="E408" s="5" t="n">
        <v>45544</v>
      </c>
      <c r="F408" t="inlineStr"/>
      <c r="G408" s="6">
        <f>HYPERLINK("https://www.kleinanzeigen.de/s-anzeige/top-windsurf-komplett-set-stx-inflatable-gaastra-sail-neu-ovp/2858673228-230-1736", "Link")</f>
        <v/>
      </c>
      <c r="H408" s="6">
        <f>HYPERLINK("C:\Projects\Kleinanzeigen-Scraper\offer_images\2858673228", "Link")</f>
        <v/>
      </c>
      <c r="I408" t="inlineStr">
        <is>
          <t>Andreas</t>
        </is>
      </c>
      <c r="J408" s="6">
        <f>HYPERLINK("https://www.kleinanzeigen.de/s-bestandsliste.html?userId=46440394", "Link")</f>
        <v/>
      </c>
      <c r="K408" s="7" t="n">
        <v>45544.74865740741</v>
      </c>
      <c r="L408" s="3" t="inlineStr">
        <is>
          <t>73.45</t>
        </is>
      </c>
      <c r="M408" t="inlineStr">
        <is>
          <t>Köln</t>
        </is>
      </c>
    </row>
    <row r="409">
      <c r="A409" t="inlineStr">
        <is>
          <t>Complete STX Minikid 2.0 Windsurf Set including Sail, Board, Neilpryde Cover, Bag, and additional accessories like Mastfoot, used 1-2 times, in like-new condition.</t>
        </is>
      </c>
      <c r="B409" s="4" t="inlineStr"/>
      <c r="C409" t="inlineStr">
        <is>
          <t>VB</t>
        </is>
      </c>
      <c r="D409" t="inlineStr">
        <is>
          <t>55126 Rheinland-Pfalz - Mainz</t>
        </is>
      </c>
      <c r="E409" s="5" t="n">
        <v>45537</v>
      </c>
      <c r="F409" t="inlineStr">
        <is>
          <t>Sold</t>
        </is>
      </c>
      <c r="G409" s="6">
        <f>HYPERLINK("https://www.kleinanzeigen.de/s-anzeige/stx-minikid-2-0-windsurf-set-kinderrig-segel-mast-surf-tasche/2852585595-230-5319", "Link")</f>
        <v/>
      </c>
      <c r="H409" s="6">
        <f>HYPERLINK("C:\Projects\Kleinanzeigen-Scraper\offer_images\2852585595", "Link")</f>
        <v/>
      </c>
      <c r="I409" t="inlineStr">
        <is>
          <t>A.A</t>
        </is>
      </c>
      <c r="J409" s="6">
        <f>HYPERLINK("https://www.kleinanzeigen.de/s-bestandsliste.html?userId=62013930", "Link")</f>
        <v/>
      </c>
      <c r="K409" s="7" t="n">
        <v>45544.74854166667</v>
      </c>
      <c r="L409" s="3" t="inlineStr">
        <is>
          <t>110.23</t>
        </is>
      </c>
      <c r="M409" t="inlineStr">
        <is>
          <t>Karlsruhe</t>
        </is>
      </c>
    </row>
    <row r="410">
      <c r="A410" t="inlineStr">
        <is>
          <t>Includes 2 boards, 5 sails, and masts</t>
        </is>
      </c>
      <c r="B410" s="4" t="n">
        <v>300</v>
      </c>
      <c r="C410" t="inlineStr"/>
      <c r="D410" t="inlineStr">
        <is>
          <t>23847 Schleswig-Holstein - Schiphorst</t>
        </is>
      </c>
      <c r="E410" s="5" t="n">
        <v>45543</v>
      </c>
      <c r="F410" t="inlineStr">
        <is>
          <t>Sold</t>
        </is>
      </c>
      <c r="G410" s="6">
        <f>HYPERLINK("https://www.kleinanzeigen.de/s-anzeige/windsurf-set/2857448452-230-18820", "Link")</f>
        <v/>
      </c>
      <c r="H410" s="6">
        <f>HYPERLINK("C:\Projects\Kleinanzeigen-Scraper\offer_images\2857448452", "Link")</f>
        <v/>
      </c>
      <c r="I410" t="inlineStr">
        <is>
          <t>Felix Gellert</t>
        </is>
      </c>
      <c r="J410" s="6">
        <f>HYPERLINK("https://www.kleinanzeigen.de/s-bestandsliste.html?userId=9465761", "Link")</f>
        <v/>
      </c>
      <c r="K410" s="7" t="n">
        <v>45544.74824074074</v>
      </c>
      <c r="L410" s="3" t="inlineStr">
        <is>
          <t>393.54</t>
        </is>
      </c>
      <c r="M410" t="inlineStr">
        <is>
          <t>Köln</t>
        </is>
      </c>
    </row>
    <row r="411">
      <c r="A411" t="inlineStr">
        <is>
          <t>2 used surfboards including various sails and additional equipment.</t>
        </is>
      </c>
      <c r="B411" s="4" t="n">
        <v>99</v>
      </c>
      <c r="C411" t="inlineStr">
        <is>
          <t>VB</t>
        </is>
      </c>
      <c r="D411" t="inlineStr">
        <is>
          <t>21465 Herzogtum Lauenburg - Wentorf</t>
        </is>
      </c>
      <c r="E411" s="5" t="n">
        <v>45544</v>
      </c>
      <c r="F411" t="inlineStr">
        <is>
          <t>Sold</t>
        </is>
      </c>
      <c r="G411" s="6">
        <f>HYPERLINK("https://www.kleinanzeigen.de/s-anzeige/2-surfbretter-von-sailboard-neopren-windsurfen-komplettset/2858346760-230-766", "Link")</f>
        <v/>
      </c>
      <c r="H411" s="6">
        <f>HYPERLINK("C:\Projects\Kleinanzeigen-Scraper\offer_images\2858346760", "Link")</f>
        <v/>
      </c>
      <c r="I411" t="inlineStr">
        <is>
          <t>Rainer</t>
        </is>
      </c>
      <c r="J411" s="6">
        <f>HYPERLINK("https://www.kleinanzeigen.de/s-bestandsliste.html?userId=51821962", "Link")</f>
        <v/>
      </c>
      <c r="K411" s="7" t="n">
        <v>45544.74815972222</v>
      </c>
      <c r="L411" s="3" t="inlineStr">
        <is>
          <t>366.85</t>
        </is>
      </c>
      <c r="M411" t="inlineStr">
        <is>
          <t>Köln</t>
        </is>
      </c>
    </row>
    <row r="412">
      <c r="A412" t="inlineStr">
        <is>
          <t>Fanatic Skate 107 Team Edition board, 4 sails, 2 fins (Freestyle and Wave), 2 masts (Stilo RDM 400cm and North Viper SDM 430cm), Gun Sails boom, mast extensions, base, trimming tool, and a wave trapeze in size M.</t>
        </is>
      </c>
      <c r="B412" s="4" t="n">
        <v>890</v>
      </c>
      <c r="C412" t="inlineStr">
        <is>
          <t>VB</t>
        </is>
      </c>
      <c r="D412" t="inlineStr">
        <is>
          <t>87452 Altusried</t>
        </is>
      </c>
      <c r="E412" s="5" t="n">
        <v>45543</v>
      </c>
      <c r="F412" t="inlineStr">
        <is>
          <t>Sold</t>
        </is>
      </c>
      <c r="G412" s="6">
        <f>HYPERLINK("https://www.dailydose.de/kleinanzeigen/detail.htm?ai=422219&amp;cf=kk&amp;pg=4&amp;ci=11", "Link")</f>
        <v/>
      </c>
      <c r="H412" s="6">
        <f>HYPERLINK("C:\Projects\Kleinanzeigen-Scraper\offer_images\422219", "Link")</f>
        <v/>
      </c>
      <c r="I412" t="inlineStr">
        <is>
          <t>parzival</t>
        </is>
      </c>
      <c r="J412" s="6">
        <f>HYPERLINK("https://www.dailydose.de/kleinanzeigen/user/18577", "Link")</f>
        <v/>
      </c>
      <c r="K412" s="7" t="n">
        <v>45543.55013888889</v>
      </c>
      <c r="L412" s="3" t="inlineStr">
        <is>
          <t>109.83</t>
        </is>
      </c>
      <c r="M412" t="inlineStr">
        <is>
          <t>München</t>
        </is>
      </c>
    </row>
    <row r="413">
      <c r="A413" t="inlineStr">
        <is>
          <t>Complete windsurfing equipment including Board (Mistral Explosion II, 288 cm, 120 liters), several sails, masts (Alu + Epoxy), boom, various fins, mast foot, rollers, and various accessories. All from the early 90s, well maintained but not used for 20 years.</t>
        </is>
      </c>
      <c r="B413" s="4" t="inlineStr">
        <is>
          <t>Zu verschenken</t>
        </is>
      </c>
      <c r="C413" t="inlineStr"/>
      <c r="D413" t="inlineStr">
        <is>
          <t>40227 Düsseldorf - Oberbilk</t>
        </is>
      </c>
      <c r="E413" s="5" t="n">
        <v>45543</v>
      </c>
      <c r="F413" t="inlineStr">
        <is>
          <t>Sold</t>
        </is>
      </c>
      <c r="G413" s="6">
        <f>HYPERLINK("https://www.kleinanzeigen.de/s-anzeige/windsurf-ausstattung-90er-jahre-zu-verschenken/2857049720-230-16749", "Link")</f>
        <v/>
      </c>
      <c r="H413" s="6">
        <f>HYPERLINK("C:\Projects\Kleinanzeigen-Scraper\offer_images\2857049720", "Link")</f>
        <v/>
      </c>
      <c r="I413" t="inlineStr">
        <is>
          <t>Jørn Rings</t>
        </is>
      </c>
      <c r="J413" s="6">
        <f>HYPERLINK("https://www.kleinanzeigen.de/s-bestandsliste.html?userId=18421173", "Link")</f>
        <v/>
      </c>
      <c r="K413" s="7" t="n">
        <v>45543.54942129629</v>
      </c>
      <c r="L413" s="3" t="inlineStr">
        <is>
          <t>32.65</t>
        </is>
      </c>
      <c r="M413" t="inlineStr">
        <is>
          <t>Köln</t>
        </is>
      </c>
    </row>
    <row r="414">
      <c r="A414" t="inlineStr">
        <is>
          <t>Windsurf equipment including two boards, four sails, two masts, three booms (one broken), bag, and more.</t>
        </is>
      </c>
      <c r="B414" s="4" t="n">
        <v>150</v>
      </c>
      <c r="C414" t="inlineStr"/>
      <c r="D414" t="inlineStr">
        <is>
          <t>20357 Altona - Hamburg Sternschanze</t>
        </is>
      </c>
      <c r="E414" s="5" t="n">
        <v>45541</v>
      </c>
      <c r="F414" t="inlineStr">
        <is>
          <t>Sold</t>
        </is>
      </c>
      <c r="G414" s="6">
        <f>HYPERLINK("https://www.kleinanzeigen.de/s-anzeige/surfen-surfausruestung-windsurfen/2855791407-230-9431", "Link")</f>
        <v/>
      </c>
      <c r="H414" s="6">
        <f>HYPERLINK("C:\Projects\Kleinanzeigen-Scraper\offer_images\2855791407", "Link")</f>
        <v/>
      </c>
      <c r="I414" t="inlineStr">
        <is>
          <t>Leon</t>
        </is>
      </c>
      <c r="J414" s="6">
        <f>HYPERLINK("https://www.kleinanzeigen.de/s-bestandsliste.html?userId=9946170", "Link")</f>
        <v/>
      </c>
      <c r="K414" s="7" t="n">
        <v>45543.54940972223</v>
      </c>
      <c r="L414" s="3" t="inlineStr">
        <is>
          <t>356.83</t>
        </is>
      </c>
      <c r="M414" t="inlineStr">
        <is>
          <t>Köln</t>
        </is>
      </c>
    </row>
    <row r="415">
      <c r="A415" t="inlineStr">
        <is>
          <t>Includes F2 TEAM Windsurf SUP 10.5" with windsurf option, bag, pump, repair kit, and F2 CHECKER rig with sail size 3.0 QM (complete rig including mast, boom, extension, mast foot, and uphaul line).</t>
        </is>
      </c>
      <c r="B415" s="4" t="n">
        <v>599</v>
      </c>
      <c r="C415" t="inlineStr"/>
      <c r="D415" t="inlineStr">
        <is>
          <t>95028 Bayern - Hof (Saale)</t>
        </is>
      </c>
      <c r="E415" s="5" t="n">
        <v>45543</v>
      </c>
      <c r="F415" t="inlineStr">
        <is>
          <t>Sold</t>
        </is>
      </c>
      <c r="G415" s="6">
        <f>HYPERLINK("https://www.kleinanzeigen.de/s-anzeige/f2-team-windsurf-sup-10-5-f2-checker-rigg-3-0-qm/2832613697-230-7244", "Link")</f>
        <v/>
      </c>
      <c r="H415" s="6">
        <f>HYPERLINK("C:\Projects\Kleinanzeigen-Scraper\offer_images\2832613697", "Link")</f>
        <v/>
      </c>
      <c r="I415" t="inlineStr">
        <is>
          <t>No user name</t>
        </is>
      </c>
      <c r="J415" s="6">
        <f>HYPERLINK("https://www.kleinanzeigen.deNo user link", "Link")</f>
        <v/>
      </c>
      <c r="K415" s="7" t="n">
        <v>45543.54939814815</v>
      </c>
      <c r="L415" s="3" t="inlineStr">
        <is>
          <t>244.83</t>
        </is>
      </c>
      <c r="M415" t="inlineStr">
        <is>
          <t>München</t>
        </is>
      </c>
    </row>
    <row r="416">
      <c r="A416" t="inlineStr">
        <is>
          <t>Complete windsurfing set including HiFly 454 board, 2 sails (approximately 8 m² and 4.5 m²), rig, and mast.</t>
        </is>
      </c>
      <c r="B416" s="4" t="n">
        <v>150</v>
      </c>
      <c r="C416" t="inlineStr">
        <is>
          <t>VB</t>
        </is>
      </c>
      <c r="D416" t="inlineStr">
        <is>
          <t>10585 Berlin - Charlottenburg</t>
        </is>
      </c>
      <c r="E416" s="5" t="n">
        <v>45541</v>
      </c>
      <c r="F416" t="inlineStr">
        <is>
          <t>Sold</t>
        </is>
      </c>
      <c r="G416" s="6">
        <f>HYPERLINK("https://www.kleinanzeigen.de/s-anzeige/windsurf-brett-komplett-mit-2-segel-rig-und-mast/2856100231-230-3347", "Link")</f>
        <v/>
      </c>
      <c r="H416" s="6">
        <f>HYPERLINK("C:\Projects\Kleinanzeigen-Scraper\offer_images\2856100231", "Link")</f>
        <v/>
      </c>
      <c r="I416" t="inlineStr">
        <is>
          <t>kj</t>
        </is>
      </c>
      <c r="J416" s="6">
        <f>HYPERLINK("https://www.kleinanzeigen.de/s-bestandsliste.html?userId=10790544", "Link")</f>
        <v/>
      </c>
      <c r="K416" s="7" t="n">
        <v>45543.54923611111</v>
      </c>
      <c r="L416" s="3" t="inlineStr">
        <is>
          <t>471.07</t>
        </is>
      </c>
      <c r="M416" t="inlineStr">
        <is>
          <t>Köln</t>
        </is>
      </c>
    </row>
    <row r="417">
      <c r="A417" t="inlineStr">
        <is>
          <t>Complete windsurfing equipment including F2 Sinker board, 3.10m² boom, a two-piece mast, two harnesses, a fully battened Gaastra sail (5.7m²), a fully battened Simmer Style Onahore sail (5.2m²), fins, and board bag. All items show signs of use but are functional.</t>
        </is>
      </c>
      <c r="B417" s="4" t="n">
        <v>200</v>
      </c>
      <c r="C417" t="inlineStr">
        <is>
          <t>VB</t>
        </is>
      </c>
      <c r="D417" t="inlineStr">
        <is>
          <t>25872 Schleswig-Holstein - Ostenfeld (Husum)</t>
        </is>
      </c>
      <c r="E417" s="5" t="n">
        <v>45543</v>
      </c>
      <c r="F417" t="inlineStr">
        <is>
          <t>Sold</t>
        </is>
      </c>
      <c r="G417" s="6">
        <f>HYPERLINK("https://www.kleinanzeigen.de/s-anzeige/windsurf-ausruestung-komplett-nur-heute-150-/2857243491-230-19231", "Link")</f>
        <v/>
      </c>
      <c r="H417" s="6">
        <f>HYPERLINK("C:\Projects\Kleinanzeigen-Scraper\offer_images\2857243491", "Link")</f>
        <v/>
      </c>
      <c r="I417" t="inlineStr">
        <is>
          <t>Andreas Hertzog</t>
        </is>
      </c>
      <c r="J417" s="6">
        <f>HYPERLINK("https://www.kleinanzeigen.de/s-bestandsliste.html?userId=13750010", "Link")</f>
        <v/>
      </c>
      <c r="K417" s="7" t="n">
        <v>45543.54921296296</v>
      </c>
      <c r="L417" s="3" t="inlineStr">
        <is>
          <t>421.32</t>
        </is>
      </c>
      <c r="M417" t="inlineStr">
        <is>
          <t>Köln</t>
        </is>
      </c>
    </row>
    <row r="418">
      <c r="A418" t="inlineStr">
        <is>
          <t>Complete rig including sail, 2-piece mast, mast foot, aluminum boom, and bag. Suitable for beginners or on SUP.</t>
        </is>
      </c>
      <c r="B418" s="4" t="n">
        <v>390</v>
      </c>
      <c r="C418" t="inlineStr">
        <is>
          <t>VB</t>
        </is>
      </c>
      <c r="D418" t="inlineStr">
        <is>
          <t>70794 Baden-Württemberg - Filderstadt</t>
        </is>
      </c>
      <c r="E418" s="5" t="n">
        <v>45541</v>
      </c>
      <c r="F418" t="inlineStr">
        <is>
          <t>Sold</t>
        </is>
      </c>
      <c r="G418" s="6">
        <f>HYPERLINK("https://www.kleinanzeigen.de/s-anzeige/surfrigg-stx-powerkid-5-0-qm-windsurfen-segel/2856114561-230-8892", "Link")</f>
        <v/>
      </c>
      <c r="H418" s="6">
        <f>HYPERLINK("C:\Projects\Kleinanzeigen-Scraper\offer_images\2856114561", "Link")</f>
        <v/>
      </c>
      <c r="I418" t="inlineStr">
        <is>
          <t>Hägele</t>
        </is>
      </c>
      <c r="J418" s="6">
        <f>HYPERLINK("https://www.kleinanzeigen.de/s-bestandsliste.html?userId=12584312", "Link")</f>
        <v/>
      </c>
      <c r="K418" s="7" t="n">
        <v>45543.54917824074</v>
      </c>
      <c r="L418" s="3" t="inlineStr">
        <is>
          <t>17.11</t>
        </is>
      </c>
      <c r="M418" t="inlineStr">
        <is>
          <t>Böblingen</t>
        </is>
      </c>
    </row>
    <row r="419">
      <c r="A419" t="inlineStr">
        <is>
          <t>Aqua Marina Champion 99 inflatable board, 3-piece fiberglass mast, 3 m sail, 2 fins, adjustable boom, includes transport bags and pump.</t>
        </is>
      </c>
      <c r="B419" s="4" t="n">
        <v>300</v>
      </c>
      <c r="C419" t="inlineStr"/>
      <c r="D419" t="inlineStr">
        <is>
          <t>92245 Bayern - Kümmersbruck</t>
        </is>
      </c>
      <c r="E419" s="5" t="n">
        <v>45543</v>
      </c>
      <c r="F419" t="inlineStr">
        <is>
          <t>Sold</t>
        </is>
      </c>
      <c r="G419" s="6">
        <f>HYPERLINK("https://www.kleinanzeigen.de/s-anzeige/sup-mit-windsurf-segel/2857136897-230-5792", "Link")</f>
        <v/>
      </c>
      <c r="H419" s="6">
        <f>HYPERLINK("C:\Projects\Kleinanzeigen-Scraper\offer_images\2857136897", "Link")</f>
        <v/>
      </c>
      <c r="I419" t="inlineStr">
        <is>
          <t>Gudrun Mitterer</t>
        </is>
      </c>
      <c r="J419" s="6">
        <f>HYPERLINK("https://www.kleinanzeigen.de/s-bestandsliste.html?userId=17770991", "Link")</f>
        <v/>
      </c>
      <c r="K419" s="7" t="n">
        <v>45543.54910879629</v>
      </c>
      <c r="L419" s="3" t="inlineStr">
        <is>
          <t>144.59</t>
        </is>
      </c>
      <c r="M419" t="inlineStr">
        <is>
          <t>München</t>
        </is>
      </c>
    </row>
    <row r="420">
      <c r="A420" t="inlineStr">
        <is>
          <t>Windsurfboard Fanatic 320 complete with sail, mast, mast foot, and boom. Ready to assemble and surf.</t>
        </is>
      </c>
      <c r="B420" s="4" t="n">
        <v>90</v>
      </c>
      <c r="C420" t="inlineStr">
        <is>
          <t>VB</t>
        </is>
      </c>
      <c r="D420" t="inlineStr">
        <is>
          <t>80935 Feldmoching-Hasenbergl - Feldmoching</t>
        </is>
      </c>
      <c r="E420" s="5" t="n">
        <v>45535</v>
      </c>
      <c r="F420" t="inlineStr">
        <is>
          <t>Sold</t>
        </is>
      </c>
      <c r="G420" s="6">
        <f>HYPERLINK("https://www.kleinanzeigen.de/s-anzeige/windsurf-ausruestung-mit-board-und-rigg-wegen-hobbyaufgabe-zu-verk/2851028515-230-6452", "Link")</f>
        <v/>
      </c>
      <c r="H420" s="6">
        <f>HYPERLINK("C:\Projects\Kleinanzeigen-Scraper\offer_images\2851028515", "Link")</f>
        <v/>
      </c>
      <c r="I420" t="inlineStr">
        <is>
          <t>Alfred Kracher</t>
        </is>
      </c>
      <c r="J420" s="6">
        <f>HYPERLINK("https://www.kleinanzeigen.de/s-bestandsliste.html?userId=118740610", "Link")</f>
        <v/>
      </c>
      <c r="K420" s="7" t="n">
        <v>45543.54909722223</v>
      </c>
      <c r="L420" s="3" t="inlineStr">
        <is>
          <t>7.24</t>
        </is>
      </c>
      <c r="M420" t="inlineStr">
        <is>
          <t>München</t>
        </is>
      </c>
    </row>
    <row r="421">
      <c r="A421" t="inlineStr">
        <is>
          <t>Includes a 6.4 m² sail and a 4.7 m Fanatic mast with necessary mast extension.</t>
        </is>
      </c>
      <c r="B421" s="4" t="n">
        <v>40</v>
      </c>
      <c r="C421" t="inlineStr">
        <is>
          <t>VB</t>
        </is>
      </c>
      <c r="D421" t="inlineStr">
        <is>
          <t>06114 Sachsen-Anhalt - Halle</t>
        </is>
      </c>
      <c r="E421" s="5" t="n">
        <v>45543</v>
      </c>
      <c r="F421" t="inlineStr">
        <is>
          <t>Sold</t>
        </is>
      </c>
      <c r="G421" s="6">
        <f>HYPERLINK("https://www.kleinanzeigen.de/s-anzeige/windsurfen-mast-von-fanatic-4-7m-und-segel-6-4m-/2857001155-230-2419", "Link")</f>
        <v/>
      </c>
      <c r="H421" s="6">
        <f>HYPERLINK("C:\Projects\Kleinanzeigen-Scraper\offer_images\2857001155", "Link")</f>
        <v/>
      </c>
      <c r="I421" t="inlineStr">
        <is>
          <t>s.g.</t>
        </is>
      </c>
      <c r="J421" s="6">
        <f>HYPERLINK("https://www.kleinanzeigen.de/s-bestandsliste.html?userId=124092932", "Link")</f>
        <v/>
      </c>
      <c r="K421" s="7" t="n">
        <v>45543.5490625</v>
      </c>
      <c r="L421" s="3" t="inlineStr">
        <is>
          <t>354.16</t>
        </is>
      </c>
      <c r="M421" t="inlineStr">
        <is>
          <t>Köln</t>
        </is>
      </c>
    </row>
    <row r="422">
      <c r="A422" t="inlineStr">
        <is>
          <t>F2 TEAM WINDSURF SUP 10,5" including bag, pump, repair kit, and F2 CHECKER rig with sail size 3.5 QM (complete rig including mast, boom, extension, mast foot, and retrieval line).</t>
        </is>
      </c>
      <c r="B422" s="4" t="n">
        <v>599</v>
      </c>
      <c r="C422" t="inlineStr"/>
      <c r="D422" t="inlineStr">
        <is>
          <t>95028 Bayern - Hof (Saale)</t>
        </is>
      </c>
      <c r="E422" s="5" t="n">
        <v>45543</v>
      </c>
      <c r="F422" t="inlineStr">
        <is>
          <t>Sold</t>
        </is>
      </c>
      <c r="G422" s="6">
        <f>HYPERLINK("https://www.kleinanzeigen.de/s-anzeige/f2-team-windsurf-sup-10-5-f2-checker-rigg-3-5-qm/2832604749-230-7244", "Link")</f>
        <v/>
      </c>
      <c r="H422" s="6">
        <f>HYPERLINK("C:\Projects\Kleinanzeigen-Scraper\offer_images\2832604749", "Link")</f>
        <v/>
      </c>
      <c r="I422" t="inlineStr">
        <is>
          <t>No user name</t>
        </is>
      </c>
      <c r="J422" s="6">
        <f>HYPERLINK("https://www.kleinanzeigen.deNo user link", "Link")</f>
        <v/>
      </c>
      <c r="K422" s="7" t="n">
        <v>45543.54899305556</v>
      </c>
      <c r="L422" s="3" t="inlineStr">
        <is>
          <t>244.83</t>
        </is>
      </c>
      <c r="M422" t="inlineStr">
        <is>
          <t>München</t>
        </is>
      </c>
    </row>
    <row r="423">
      <c r="A423" t="inlineStr">
        <is>
          <t>F2 TEAM WINDSURF INFLATABLE SUP SET including board, paddle (165-215 cm), pump, repair kit, and carrying bag.</t>
        </is>
      </c>
      <c r="B423" s="4" t="n">
        <v>249</v>
      </c>
      <c r="C423" t="inlineStr"/>
      <c r="D423" t="inlineStr">
        <is>
          <t>95028 Bayern - Hof (Saale)</t>
        </is>
      </c>
      <c r="E423" s="5" t="n">
        <v>45543</v>
      </c>
      <c r="F423" t="inlineStr">
        <is>
          <t>Sold</t>
        </is>
      </c>
      <c r="G423" s="6">
        <f>HYPERLINK("https://www.kleinanzeigen.de/s-anzeige/f2-team-windsurf-inflatable-sup-set-10-5-windsurfoption-komplett/2832570212-230-7244", "Link")</f>
        <v/>
      </c>
      <c r="H423" s="6">
        <f>HYPERLINK("C:\Projects\Kleinanzeigen-Scraper\offer_images\2832570212", "Link")</f>
        <v/>
      </c>
      <c r="I423" t="inlineStr">
        <is>
          <t>No user name</t>
        </is>
      </c>
      <c r="J423" s="6">
        <f>HYPERLINK("https://www.kleinanzeigen.deNo user link", "Link")</f>
        <v/>
      </c>
      <c r="K423" s="7" t="n">
        <v>45543.54888888889</v>
      </c>
      <c r="L423" s="3" t="inlineStr">
        <is>
          <t>244.83</t>
        </is>
      </c>
      <c r="M423" t="inlineStr">
        <is>
          <t>München</t>
        </is>
      </c>
    </row>
    <row r="424">
      <c r="A424" t="inlineStr">
        <is>
          <t>Complete windsurfing equipment for beginners, including board, mast (500 cm), and other accessories except for wetsuit.</t>
        </is>
      </c>
      <c r="B424" s="4" t="n">
        <v>350</v>
      </c>
      <c r="C424" t="inlineStr"/>
      <c r="D424" t="inlineStr">
        <is>
          <t>15537 Brandenburg - Gosen-Neu Zittau</t>
        </is>
      </c>
      <c r="E424" s="5" t="n">
        <v>45543</v>
      </c>
      <c r="F424" t="inlineStr">
        <is>
          <t>Sold</t>
        </is>
      </c>
      <c r="G424" s="6">
        <f>HYPERLINK("https://www.kleinanzeigen.de/s-anzeige/windsurf-komplettset/2857332770-230-7886", "Link")</f>
        <v/>
      </c>
      <c r="H424" s="6">
        <f>HYPERLINK("C:\Projects\Kleinanzeigen-Scraper\offer_images\2857332770", "Link")</f>
        <v/>
      </c>
      <c r="I424" t="inlineStr">
        <is>
          <t>Viktor</t>
        </is>
      </c>
      <c r="J424" s="6">
        <f>HYPERLINK("https://www.kleinanzeigen.de/s-bestandsliste.html?userId=131644707", "Link")</f>
        <v/>
      </c>
      <c r="K424" s="7" t="n">
        <v>45543.54876157407</v>
      </c>
      <c r="L424" s="3" t="inlineStr">
        <is>
          <t>503.97</t>
        </is>
      </c>
      <c r="M424" t="inlineStr">
        <is>
          <t>München</t>
        </is>
      </c>
    </row>
    <row r="425">
      <c r="A425" t="inlineStr">
        <is>
          <t>Complete windsurfing package including 1 board, 4 sails (5.7 qm, 6.5 qm, 4.8 qm, and a children's sail 2.8 qm with aluminum mast), 2 carbon masts, 1 XXL wetsuit, 1 children's/women's wetsuit (size unknown), 1 size 176 wetsuit, various small parts, lines, neoprene shorts, and tops.</t>
        </is>
      </c>
      <c r="B425" s="4" t="n">
        <v>220</v>
      </c>
      <c r="C425" t="inlineStr">
        <is>
          <t>VB</t>
        </is>
      </c>
      <c r="D425" t="inlineStr">
        <is>
          <t>88400 Baden-Württemberg - Biberach an der Riß</t>
        </is>
      </c>
      <c r="E425" s="5" t="n">
        <v>45542</v>
      </c>
      <c r="F425" t="inlineStr">
        <is>
          <t>Sold</t>
        </is>
      </c>
      <c r="G425" s="6">
        <f>HYPERLINK("https://www.kleinanzeigen.de/s-anzeige/windsurf-komplett-paket-zu-verkaufen-brett-4segel-und-neopren/2856164241-230-8706", "Link")</f>
        <v/>
      </c>
      <c r="H425" s="6">
        <f>HYPERLINK("C:\Projects\Kleinanzeigen-Scraper\offer_images\2856164241", "Link")</f>
        <v/>
      </c>
      <c r="I425" t="inlineStr">
        <is>
          <t>D.M.</t>
        </is>
      </c>
      <c r="J425" s="6">
        <f>HYPERLINK("https://www.kleinanzeigen.de/s-bestandsliste.html?userId=13635495", "Link")</f>
        <v/>
      </c>
      <c r="K425" s="7" t="n">
        <v>45543.54848379629</v>
      </c>
      <c r="L425" s="3" t="inlineStr">
        <is>
          <t>89.53</t>
        </is>
      </c>
      <c r="M425" t="inlineStr">
        <is>
          <t>Böblingen</t>
        </is>
      </c>
    </row>
    <row r="426">
      <c r="A426" t="inlineStr">
        <is>
          <t>Complete windsurf rig including Freeride board Tabou Rocket 135l, two sails (4.7 m² and 6.0 m²), mast with 20% carbon, boom (162-222 cm), 3 fins, and various small parts. Additional damaged sail (5.3 m²) available.</t>
        </is>
      </c>
      <c r="B426" s="4" t="n">
        <v>600</v>
      </c>
      <c r="C426" t="inlineStr">
        <is>
          <t>VB</t>
        </is>
      </c>
      <c r="D426" t="inlineStr">
        <is>
          <t>07747 Thüringen - Jena</t>
        </is>
      </c>
      <c r="E426" s="5" t="n">
        <v>45543</v>
      </c>
      <c r="F426" t="inlineStr">
        <is>
          <t>Sold</t>
        </is>
      </c>
      <c r="G426" s="6">
        <f>HYPERLINK("https://www.kleinanzeigen.de/s-anzeige/komplettes-windsurf-set-mit-tabou-rocket-135l/2857258300-230-3774", "Link")</f>
        <v/>
      </c>
      <c r="H426" s="6">
        <f>HYPERLINK("C:\Projects\Kleinanzeigen-Scraper\offer_images\2857258300", "Link")</f>
        <v/>
      </c>
      <c r="I426" t="inlineStr">
        <is>
          <t>Oliver Siebert</t>
        </is>
      </c>
      <c r="J426" s="6">
        <f>HYPERLINK("https://www.kleinanzeigen.de/s-bestandsliste.html?userId=131854500", "Link")</f>
        <v/>
      </c>
      <c r="K426" s="7" t="n">
        <v>45543.54846064815</v>
      </c>
      <c r="L426" s="3" t="inlineStr">
        <is>
          <t>305.89</t>
        </is>
      </c>
      <c r="M426" t="inlineStr">
        <is>
          <t>München</t>
        </is>
      </c>
    </row>
    <row r="427">
      <c r="A427" t="inlineStr">
        <is>
          <t>Complete rig including Sail, Mast, and Boom, new and unused.</t>
        </is>
      </c>
      <c r="B427" s="4" t="n">
        <v>270</v>
      </c>
      <c r="C427" t="inlineStr">
        <is>
          <t>VB</t>
        </is>
      </c>
      <c r="D427" t="inlineStr">
        <is>
          <t>24217 Schleswig-Holstein - Schönberg (Holstein)</t>
        </is>
      </c>
      <c r="E427" s="5" t="n">
        <v>45542</v>
      </c>
      <c r="F427" t="inlineStr">
        <is>
          <t>Sold</t>
        </is>
      </c>
      <c r="G427" s="6">
        <f>HYPERLINK("https://www.kleinanzeigen.de/s-anzeige/stx-powerhd-dacron-4-0-rig-windsurf-segel-mast-gabelbaum/2856167369-230-18587", "Link")</f>
        <v/>
      </c>
      <c r="H427" s="6">
        <f>HYPERLINK("C:\Projects\Kleinanzeigen-Scraper\offer_images\2856167369", "Link")</f>
        <v/>
      </c>
      <c r="I427" t="inlineStr">
        <is>
          <t>Miri</t>
        </is>
      </c>
      <c r="J427" s="6">
        <f>HYPERLINK("https://www.kleinanzeigen.de/s-bestandsliste.html?userId=5452937", "Link")</f>
        <v/>
      </c>
      <c r="K427" s="7" t="n">
        <v>45543.5484375</v>
      </c>
      <c r="L427" s="3" t="inlineStr">
        <is>
          <t>447.79</t>
        </is>
      </c>
      <c r="M427" t="inlineStr">
        <is>
          <t>Köln</t>
        </is>
      </c>
    </row>
    <row r="428">
      <c r="A428" t="inlineStr">
        <is>
          <t>Includes F2 TEAM WINDSURF SUP 10.5" board, F2 CHECKER rig (2.0 m² sail, mast, boom, extension, mast foot, and uphaul line), bag, pump, and repair kit.</t>
        </is>
      </c>
      <c r="B428" s="4" t="n">
        <v>599</v>
      </c>
      <c r="C428" t="inlineStr"/>
      <c r="D428" t="inlineStr">
        <is>
          <t>95028 Bayern - Hof (Saale)</t>
        </is>
      </c>
      <c r="E428" s="5" t="n">
        <v>45543</v>
      </c>
      <c r="F428" t="inlineStr">
        <is>
          <t>Sold</t>
        </is>
      </c>
      <c r="G428" s="6">
        <f>HYPERLINK("https://www.kleinanzeigen.de/s-anzeige/f2-team-windsurf-sup-10-5-f2-checker-rigg-2-0-qm/2832619897-230-7244", "Link")</f>
        <v/>
      </c>
      <c r="H428" s="6">
        <f>HYPERLINK("C:\Projects\Kleinanzeigen-Scraper\offer_images\2832619897", "Link")</f>
        <v/>
      </c>
      <c r="I428" t="inlineStr">
        <is>
          <t>No user name</t>
        </is>
      </c>
      <c r="J428" s="6">
        <f>HYPERLINK("https://www.kleinanzeigen.deNo user link", "Link")</f>
        <v/>
      </c>
      <c r="K428" s="7" t="n">
        <v>45543.54828703704</v>
      </c>
      <c r="L428" s="3" t="inlineStr">
        <is>
          <t>244.83</t>
        </is>
      </c>
      <c r="M428" t="inlineStr">
        <is>
          <t>München</t>
        </is>
      </c>
    </row>
    <row r="429">
      <c r="A429" t="inlineStr">
        <is>
          <t>F2 TEAM WINDSURF SUP 10,5" including bag, pump, repair kit, and F2 CHECKER rig with sail size 2.5 QM (complete rig including mast, boom, extension, mast foot, and uphaul line).</t>
        </is>
      </c>
      <c r="B429" s="4" t="n">
        <v>599</v>
      </c>
      <c r="C429" t="inlineStr"/>
      <c r="D429" t="inlineStr">
        <is>
          <t>95028 Bayern - Hof (Saale)</t>
        </is>
      </c>
      <c r="E429" s="5" t="n">
        <v>45543</v>
      </c>
      <c r="F429" t="inlineStr">
        <is>
          <t>Sold</t>
        </is>
      </c>
      <c r="G429" s="6">
        <f>HYPERLINK("https://www.kleinanzeigen.de/s-anzeige/f2-team-windsurf-sup-10-5-f2-checker-rigg-2-5-qm/2832616683-230-7244", "Link")</f>
        <v/>
      </c>
      <c r="H429" s="6">
        <f>HYPERLINK("C:\Projects\Kleinanzeigen-Scraper\offer_images\2832616683", "Link")</f>
        <v/>
      </c>
      <c r="I429" t="inlineStr">
        <is>
          <t>No user name</t>
        </is>
      </c>
      <c r="J429" s="6">
        <f>HYPERLINK("https://www.kleinanzeigen.deNo user link", "Link")</f>
        <v/>
      </c>
      <c r="K429" s="7" t="n">
        <v>45543.54822916666</v>
      </c>
      <c r="L429" s="3" t="inlineStr">
        <is>
          <t>244.83</t>
        </is>
      </c>
      <c r="M429" t="inlineStr">
        <is>
          <t>München</t>
        </is>
      </c>
    </row>
    <row r="430">
      <c r="A430" t="inlineStr">
        <is>
          <t>RRD Style Pro Y29 sails, sizes 4.4m and 5.2m, both in new condition.</t>
        </is>
      </c>
      <c r="B430" s="4" t="inlineStr">
        <is>
          <t>645/ 695</t>
        </is>
      </c>
      <c r="C430" t="inlineStr"/>
      <c r="D430" t="inlineStr">
        <is>
          <t>Kiel, Sylt</t>
        </is>
      </c>
      <c r="E430" s="5" t="n">
        <v>45542</v>
      </c>
      <c r="F430" t="inlineStr">
        <is>
          <t>Sold</t>
        </is>
      </c>
      <c r="G430" s="6">
        <f>HYPERLINK("https://www.dailydose.de/kleinanzeigen/detail.htm?ai=422147&amp;cf=kk&amp;pg=5&amp;ci=5", "Link")</f>
        <v/>
      </c>
      <c r="H430" s="6">
        <f>HYPERLINK("C:\Projects\Kleinanzeigen-Scraper\offer_images\422147", "Link")</f>
        <v/>
      </c>
      <c r="I430" t="inlineStr">
        <is>
          <t>Jens_141</t>
        </is>
      </c>
      <c r="J430" s="6">
        <f>HYPERLINK("https://www.dailydose.de/kleinanzeigen/user/10028", "Link")</f>
        <v/>
      </c>
      <c r="K430" s="7" t="n">
        <v>45542.78483796296</v>
      </c>
      <c r="L430" s="3" t="inlineStr">
        <is>
          <t>450.30</t>
        </is>
      </c>
      <c r="M430" t="inlineStr">
        <is>
          <t>Köln</t>
        </is>
      </c>
    </row>
    <row r="431">
      <c r="A431" t="inlineStr">
        <is>
          <t>Complete set of 6 Duotone Warp sails (5.0, 5.5, 6.2, 7.0, 7.7, 8.3) in excellent condition, some used only 1-2 times.</t>
        </is>
      </c>
      <c r="B431" s="4" t="n">
        <v>2000</v>
      </c>
      <c r="C431" t="inlineStr"/>
      <c r="D431" t="inlineStr">
        <is>
          <t>67454 Hassloch</t>
        </is>
      </c>
      <c r="E431" s="5" t="n">
        <v>45542</v>
      </c>
      <c r="F431" t="inlineStr">
        <is>
          <t>Sold</t>
        </is>
      </c>
      <c r="G431" s="6">
        <f>HYPERLINK("https://www.dailydose.de/kleinanzeigen/detail.htm?ai=422157&amp;cf=kk&amp;pg=5&amp;ci=5", "Link")</f>
        <v/>
      </c>
      <c r="H431" s="6">
        <f>HYPERLINK("C:\Projects\Kleinanzeigen-Scraper\offer_images\422157", "Link")</f>
        <v/>
      </c>
      <c r="I431" t="inlineStr">
        <is>
          <t>thorsten_134</t>
        </is>
      </c>
      <c r="J431" s="6">
        <f>HYPERLINK("https://www.dailydose.de/kleinanzeigen/user/23439", "Link")</f>
        <v/>
      </c>
      <c r="K431" s="7" t="n">
        <v>45542.78417824074</v>
      </c>
      <c r="L431" s="3" t="inlineStr">
        <is>
          <t>38.68</t>
        </is>
      </c>
      <c r="M431" t="inlineStr">
        <is>
          <t>Karlsruhe</t>
        </is>
      </c>
    </row>
    <row r="432">
      <c r="A432" t="inlineStr">
        <is>
          <t>Includes Naish Force sails of sizes 4.7 qm and 5.3 qm, with some taped cuts.</t>
        </is>
      </c>
      <c r="B432" s="4" t="n">
        <v>85</v>
      </c>
      <c r="C432" t="inlineStr"/>
      <c r="D432" t="inlineStr">
        <is>
          <t>50996 Köln</t>
        </is>
      </c>
      <c r="E432" s="5" t="n">
        <v>45541</v>
      </c>
      <c r="F432" t="inlineStr">
        <is>
          <t>Sold</t>
        </is>
      </c>
      <c r="G432" s="6">
        <f>HYPERLINK("https://www.dailydose.de/kleinanzeigen/detail.htm?ai=422137&amp;cf=kk&amp;pg=5&amp;ci=5", "Link")</f>
        <v/>
      </c>
      <c r="H432" s="6">
        <f>HYPERLINK("C:\Projects\Kleinanzeigen-Scraper\offer_images\422137", "Link")</f>
        <v/>
      </c>
      <c r="I432" t="inlineStr">
        <is>
          <t>roger</t>
        </is>
      </c>
      <c r="J432" s="6">
        <f>HYPERLINK("https://www.dailydose.de/kleinanzeigen/user/4494", "Link")</f>
        <v/>
      </c>
      <c r="K432" s="7" t="n">
        <v>45542.78288194445</v>
      </c>
      <c r="L432" s="3" t="inlineStr">
        <is>
          <t>6.80</t>
        </is>
      </c>
      <c r="M432" t="inlineStr">
        <is>
          <t>Köln</t>
        </is>
      </c>
    </row>
    <row r="433">
      <c r="A433" t="inlineStr">
        <is>
          <t>Complete windsurf set including board, sail, mast, trimmer, bags for mast and sail.</t>
        </is>
      </c>
      <c r="B433" s="4" t="n">
        <v>320</v>
      </c>
      <c r="C433" t="inlineStr">
        <is>
          <t>VB</t>
        </is>
      </c>
      <c r="D433" t="inlineStr">
        <is>
          <t>52078 Aachen - Aachen-Brand</t>
        </is>
      </c>
      <c r="E433" s="5" t="n">
        <v>45542</v>
      </c>
      <c r="F433" t="inlineStr">
        <is>
          <t>Sold</t>
        </is>
      </c>
      <c r="G433" s="6">
        <f>HYPERLINK("https://www.kleinanzeigen.de/s-anzeige/komplettes-windsurf-equipment-alles-mackelos-/2856468763-230-1926", "Link")</f>
        <v/>
      </c>
      <c r="H433" s="6">
        <f>HYPERLINK("C:\Projects\Kleinanzeigen-Scraper\offer_images\2856468763", "Link")</f>
        <v/>
      </c>
      <c r="I433" t="inlineStr">
        <is>
          <t>Dennis</t>
        </is>
      </c>
      <c r="J433" s="6">
        <f>HYPERLINK("https://www.kleinanzeigen.de/s-bestandsliste.html?userId=118996470", "Link")</f>
        <v/>
      </c>
      <c r="K433" s="7" t="n">
        <v>45542.78045138889</v>
      </c>
      <c r="L433" s="3" t="inlineStr">
        <is>
          <t>59.31</t>
        </is>
      </c>
      <c r="M433" t="inlineStr">
        <is>
          <t>Köln</t>
        </is>
      </c>
    </row>
    <row r="434">
      <c r="A434" t="inlineStr">
        <is>
          <t>Kinder-Rigg Windsurfing set including 2.8 qm sail, Mistral start line, mast with foot/adapter for standard mast base plate, and original sail bag.</t>
        </is>
      </c>
      <c r="B434" s="4" t="n">
        <v>40</v>
      </c>
      <c r="C434" t="inlineStr">
        <is>
          <t>VB</t>
        </is>
      </c>
      <c r="D434" t="inlineStr">
        <is>
          <t>79110 Baden-Württemberg - Freiburg im Breisgau</t>
        </is>
      </c>
      <c r="E434" s="5" t="n">
        <v>45542</v>
      </c>
      <c r="F434" t="inlineStr">
        <is>
          <t>Sold</t>
        </is>
      </c>
      <c r="G434" s="6">
        <f>HYPERLINK("https://www.kleinanzeigen.de/s-anzeige/kinder-rigg-windsurfen-2-8-qm-fanatic/2856705670-230-9359", "Link")</f>
        <v/>
      </c>
      <c r="H434" s="6">
        <f>HYPERLINK("C:\Projects\Kleinanzeigen-Scraper\offer_images\2856705670", "Link")</f>
        <v/>
      </c>
      <c r="I434" t="inlineStr">
        <is>
          <t>Jan S</t>
        </is>
      </c>
      <c r="J434" s="6">
        <f>HYPERLINK("https://www.kleinanzeigen.de/s-bestandsliste.html?userId=19921365", "Link")</f>
        <v/>
      </c>
      <c r="K434" s="7" t="n">
        <v>45542.78038194445</v>
      </c>
      <c r="L434" s="3" t="inlineStr">
        <is>
          <t>45.32</t>
        </is>
      </c>
      <c r="M434" t="inlineStr">
        <is>
          <t>Bonndorf</t>
        </is>
      </c>
    </row>
    <row r="435">
      <c r="A435" t="inlineStr">
        <is>
          <t>Complete surf set including 2 boards (Fanatic and BIC), 3 booms, 4 sails (ART Wave Pro 4.6, Northsails 5.1, ART Wave Pro 5.6, Fanatic Hot Cam 6.5), 2 masts (one two-piece, one single-piece), trapeze size M, and all fins and accessories as shown.</t>
        </is>
      </c>
      <c r="B435" s="4" t="n">
        <v>250</v>
      </c>
      <c r="C435" t="inlineStr"/>
      <c r="D435" t="inlineStr">
        <is>
          <t>48147 Münster (Westfalen) - Centrum</t>
        </is>
      </c>
      <c r="E435" s="5" t="n">
        <v>45542</v>
      </c>
      <c r="F435" t="inlineStr">
        <is>
          <t>Sold</t>
        </is>
      </c>
      <c r="G435" s="6">
        <f>HYPERLINK("https://www.kleinanzeigen.de/s-anzeige/komplettes-surfset-2-boards-3-gabelbaeume-4-segel-windsurf-/2856605116-230-931", "Link")</f>
        <v/>
      </c>
      <c r="H435" s="6">
        <f>HYPERLINK("C:\Projects\Kleinanzeigen-Scraper\offer_images\2856605116", "Link")</f>
        <v/>
      </c>
      <c r="I435" t="inlineStr">
        <is>
          <t>Dr. Thomas Vogel</t>
        </is>
      </c>
      <c r="J435" s="6">
        <f>HYPERLINK("https://www.kleinanzeigen.de/s-bestandsliste.html?userId=17256954", "Link")</f>
        <v/>
      </c>
      <c r="K435" s="7" t="n">
        <v>45542.78008101852</v>
      </c>
      <c r="L435" s="3" t="inlineStr">
        <is>
          <t>124.93</t>
        </is>
      </c>
      <c r="M435" t="inlineStr">
        <is>
          <t>Köln</t>
        </is>
      </c>
    </row>
    <row r="436">
      <c r="A436" t="inlineStr">
        <is>
          <t>Complete windsurf rig including Board (Rainbow 360, 65 cm width, estimated volume 180-190 liters), Sail (5 qm Gastro Power Lite), Mast, Boom, and Fin.</t>
        </is>
      </c>
      <c r="B436" s="4" t="n">
        <v>110</v>
      </c>
      <c r="C436" t="inlineStr"/>
      <c r="D436" t="inlineStr">
        <is>
          <t>75181 Baden-Württemberg - Pforzheim</t>
        </is>
      </c>
      <c r="E436" s="5" t="n">
        <v>45542</v>
      </c>
      <c r="F436" t="inlineStr">
        <is>
          <t>Sold</t>
        </is>
      </c>
      <c r="G436" s="6">
        <f>HYPERLINK("https://www.kleinanzeigen.de/s-anzeige/windsurf-rigg-rainbow-komplett/2856588961-230-9270", "Link")</f>
        <v/>
      </c>
      <c r="H436" s="6">
        <f>HYPERLINK("C:\Projects\Kleinanzeigen-Scraper\offer_images\2856588961", "Link")</f>
        <v/>
      </c>
      <c r="I436" t="inlineStr">
        <is>
          <t>Kurt</t>
        </is>
      </c>
      <c r="J436" s="6">
        <f>HYPERLINK("https://www.kleinanzeigen.de/s-bestandsliste.html?userId=70993413", "Link")</f>
        <v/>
      </c>
      <c r="K436" s="7" t="n">
        <v>45542.78006944444</v>
      </c>
      <c r="L436" s="3" t="inlineStr">
        <is>
          <t>26.52</t>
        </is>
      </c>
      <c r="M436" t="inlineStr">
        <is>
          <t>Böblingen</t>
        </is>
      </c>
    </row>
    <row r="437">
      <c r="A437" t="inlineStr">
        <is>
          <t>Set includes Board (Mistral Shredder), Extra Footstraps, Fin, Mastfoot, Mast, Boom, Sail (5.0) in Sail Bag, and a roll of sail rope.</t>
        </is>
      </c>
      <c r="B437" s="4" t="n">
        <v>550</v>
      </c>
      <c r="C437" t="inlineStr">
        <is>
          <t>VB</t>
        </is>
      </c>
      <c r="D437" t="inlineStr">
        <is>
          <t>23684 Scharbeutz - Pönitz</t>
        </is>
      </c>
      <c r="E437" s="5" t="n">
        <v>45542</v>
      </c>
      <c r="F437" t="inlineStr">
        <is>
          <t>Sold</t>
        </is>
      </c>
      <c r="G437" s="6">
        <f>HYPERLINK("https://www.kleinanzeigen.de/s-anzeige/windsurf-komplettset/2856506616-230-26202", "Link")</f>
        <v/>
      </c>
      <c r="H437" s="6">
        <f>HYPERLINK("C:\Projects\Kleinanzeigen-Scraper\offer_images\2856506616", "Link")</f>
        <v/>
      </c>
      <c r="I437" t="inlineStr">
        <is>
          <t>Anja</t>
        </is>
      </c>
      <c r="J437" s="6">
        <f>HYPERLINK("https://www.kleinanzeigen.de/s-bestandsliste.html?userId=43651588", "Link")</f>
        <v/>
      </c>
      <c r="K437" s="7" t="n">
        <v>45542.77953703704</v>
      </c>
      <c r="L437" s="3" t="inlineStr">
        <is>
          <t>427.15</t>
        </is>
      </c>
      <c r="M437" t="inlineStr">
        <is>
          <t>Köln</t>
        </is>
      </c>
    </row>
    <row r="438">
      <c r="A438" t="inlineStr">
        <is>
          <t>JP Australia Freestyle Board 100L from 2003/04 and Neilpryde Sail 5.1qm, both in very good condition with minimal usage.</t>
        </is>
      </c>
      <c r="B438" s="4" t="n">
        <v>750</v>
      </c>
      <c r="C438" t="inlineStr">
        <is>
          <t>VB</t>
        </is>
      </c>
      <c r="D438" t="inlineStr">
        <is>
          <t>80799 München - Maxvorstadt</t>
        </is>
      </c>
      <c r="E438" s="5" t="n">
        <v>45540</v>
      </c>
      <c r="F438" t="inlineStr">
        <is>
          <t>Sold</t>
        </is>
      </c>
      <c r="G438" s="6">
        <f>HYPERLINK("https://www.kleinanzeigen.de/s-anzeige/windsurf-brett-und-segel-komplett-mit-masten-etc/2855169519-230-16355", "Link")</f>
        <v/>
      </c>
      <c r="H438" s="6">
        <f>HYPERLINK("C:\Projects\Kleinanzeigen-Scraper\offer_images\2855169519", "Link")</f>
        <v/>
      </c>
      <c r="I438" t="inlineStr">
        <is>
          <t>Mathias Tasser</t>
        </is>
      </c>
      <c r="J438" s="6">
        <f>HYPERLINK("https://www.kleinanzeigen.de/s-bestandsliste.html?userId=69012160", "Link")</f>
        <v/>
      </c>
      <c r="K438" s="7" t="n">
        <v>45542.77945601852</v>
      </c>
      <c r="L438" s="3" t="inlineStr">
        <is>
          <t>1.66</t>
        </is>
      </c>
      <c r="M438" t="inlineStr">
        <is>
          <t>München</t>
        </is>
      </c>
    </row>
    <row r="439">
      <c r="A439" t="inlineStr">
        <is>
          <t>Includes Neilpryde Combat Pro 4.5 and Neilpryde Combat Pro HD 4.7 sails, optional PowerXT and iBase.</t>
        </is>
      </c>
      <c r="B439" s="4" t="n">
        <v>750</v>
      </c>
      <c r="C439" t="inlineStr"/>
      <c r="D439" t="inlineStr">
        <is>
          <t>94032 Kr. Passau - Passau</t>
        </is>
      </c>
      <c r="E439" s="5" t="n">
        <v>45540</v>
      </c>
      <c r="F439" t="inlineStr"/>
      <c r="G439" s="6">
        <f>HYPERLINK("https://www.kleinanzeigen.de/s-anzeige/paket-neilpryde-combat-pro-4-5-4-7-windsurf-segel/2854661840-230-7482", "Link")</f>
        <v/>
      </c>
      <c r="H439" s="6">
        <f>HYPERLINK("C:\Projects\Kleinanzeigen-Scraper\offer_images\2854661840", "Link")</f>
        <v/>
      </c>
      <c r="I439" t="inlineStr">
        <is>
          <t>Reinhard Kugler</t>
        </is>
      </c>
      <c r="J439" s="6">
        <f>HYPERLINK("https://www.kleinanzeigen.de/s-bestandsliste.html?userId=26751496", "Link")</f>
        <v/>
      </c>
      <c r="K439" s="7" t="n">
        <v>45542.7791087963</v>
      </c>
      <c r="L439" s="3" t="inlineStr">
        <is>
          <t>147.66</t>
        </is>
      </c>
      <c r="M439" t="inlineStr">
        <is>
          <t>München</t>
        </is>
      </c>
    </row>
    <row r="440">
      <c r="A440" t="inlineStr">
        <is>
          <t>Windsurf-Kinderrigg GunSails Dragon 3.2 qm including sail, aluminum boom, two-piece aluminum mast with integrated mast base, trapeze lines, start rope, trim aid, and bag.</t>
        </is>
      </c>
      <c r="B440" s="4" t="n">
        <v>60</v>
      </c>
      <c r="C440" t="inlineStr"/>
      <c r="D440" t="inlineStr">
        <is>
          <t>22145 Schleswig-Holstein - Stapelfeld</t>
        </is>
      </c>
      <c r="E440" s="5" t="n">
        <v>45539</v>
      </c>
      <c r="F440" t="inlineStr">
        <is>
          <t>Sold</t>
        </is>
      </c>
      <c r="G440" s="6">
        <f>HYPERLINK("https://www.kleinanzeigen.de/s-anzeige/kinderrigg-gunsails-dragon-3-2-qm-zum-windsurfen-wind-supen/2854523278-230-9456", "Link")</f>
        <v/>
      </c>
      <c r="H440" s="6">
        <f>HYPERLINK("C:\Projects\Kleinanzeigen-Scraper\offer_images\2854523278", "Link")</f>
        <v/>
      </c>
      <c r="I440" t="inlineStr">
        <is>
          <t>Christian D.</t>
        </is>
      </c>
      <c r="J440" s="6">
        <f>HYPERLINK("https://www.kleinanzeigen.de/s-bestandsliste.html?userId=23742197", "Link")</f>
        <v/>
      </c>
      <c r="K440" s="7" t="n">
        <v>45542.77891203704</v>
      </c>
      <c r="L440" s="3" t="inlineStr">
        <is>
          <t>371.39</t>
        </is>
      </c>
      <c r="M440" t="inlineStr">
        <is>
          <t>Köln</t>
        </is>
      </c>
    </row>
    <row r="441">
      <c r="A441" t="inlineStr">
        <is>
          <t>Three sails from North Sails (4.2 qm, 5.0 qm, 6.0 qm) with bags and masts. Mast feet and mast extension available as needed.</t>
        </is>
      </c>
      <c r="B441" s="4" t="n">
        <v>190</v>
      </c>
      <c r="C441" t="inlineStr">
        <is>
          <t>VB</t>
        </is>
      </c>
      <c r="D441" t="inlineStr">
        <is>
          <t>82205 Bayern - Gilching</t>
        </is>
      </c>
      <c r="E441" s="5" t="n">
        <v>45541</v>
      </c>
      <c r="F441" t="inlineStr">
        <is>
          <t>Sold</t>
        </is>
      </c>
      <c r="G441" s="6">
        <f>HYPERLINK("https://www.kleinanzeigen.de/s-anzeige/windsurf-segel-set-north-sails/2855542826-230-15740", "Link")</f>
        <v/>
      </c>
      <c r="H441" s="6">
        <f>HYPERLINK("C:\Projects\Kleinanzeigen-Scraper\offer_images\2855542826", "Link")</f>
        <v/>
      </c>
      <c r="I441" t="inlineStr">
        <is>
          <t>Peter Grießhammer</t>
        </is>
      </c>
      <c r="J441" s="6">
        <f>HYPERLINK("https://www.kleinanzeigen.de/s-bestandsliste.html?userId=41812856", "Link")</f>
        <v/>
      </c>
      <c r="K441" s="7" t="n">
        <v>45541.56725694444</v>
      </c>
      <c r="L441" s="3" t="inlineStr">
        <is>
          <t>23.04</t>
        </is>
      </c>
      <c r="M441" t="inlineStr">
        <is>
          <t>München</t>
        </is>
      </c>
    </row>
    <row r="442">
      <c r="A442" t="inlineStr">
        <is>
          <t>Complete rig including sail (6.6 m²), mast, and boom. Only lightly used.</t>
        </is>
      </c>
      <c r="B442" s="4" t="n">
        <v>199</v>
      </c>
      <c r="C442" t="inlineStr">
        <is>
          <t>VB</t>
        </is>
      </c>
      <c r="D442" t="inlineStr">
        <is>
          <t>59964 Nordrhein-Westfalen - Medebach</t>
        </is>
      </c>
      <c r="E442" s="5" t="n">
        <v>45540</v>
      </c>
      <c r="F442" t="inlineStr">
        <is>
          <t>Sold</t>
        </is>
      </c>
      <c r="G442" s="6">
        <f>HYPERLINK("https://www.kleinanzeigen.de/s-anzeige/windsurf-rigg-komplett/2855096782-230-1017", "Link")</f>
        <v/>
      </c>
      <c r="H442" s="6">
        <f>HYPERLINK("C:\Projects\Kleinanzeigen-Scraper\offer_images\2855096782", "Link")</f>
        <v/>
      </c>
      <c r="I442" t="inlineStr">
        <is>
          <t>Josef</t>
        </is>
      </c>
      <c r="J442" s="6">
        <f>HYPERLINK("https://www.kleinanzeigen.de/s-bestandsliste.html?userId=64524531", "Link")</f>
        <v/>
      </c>
      <c r="K442" s="7" t="n">
        <v>45541.56719907407</v>
      </c>
      <c r="L442" s="3" t="inlineStr">
        <is>
          <t>123.15</t>
        </is>
      </c>
      <c r="M442" t="inlineStr">
        <is>
          <t>Köln</t>
        </is>
      </c>
    </row>
    <row r="443">
      <c r="A443" t="inlineStr">
        <is>
          <t>Includes Sailloft Traction 7.5 qm sail, Sailloft 2-Cam 6.5 qm sail, Gun Sails Carbon mast 4.90 m, North Sails mast 4.60 m with carbon content.</t>
        </is>
      </c>
      <c r="B443" s="4" t="n">
        <v>150</v>
      </c>
      <c r="C443" t="inlineStr"/>
      <c r="D443" t="inlineStr">
        <is>
          <t>19071 Nordwestmecklenburg - Landkreis - Brüsewitz</t>
        </is>
      </c>
      <c r="E443" s="5" t="n">
        <v>45541</v>
      </c>
      <c r="F443" t="inlineStr">
        <is>
          <t>Sold</t>
        </is>
      </c>
      <c r="G443" s="6">
        <f>HYPERLINK("https://www.kleinanzeigen.de/s-anzeige/segel-masten-windsurfen/2855524330-230-271", "Link")</f>
        <v/>
      </c>
      <c r="H443" s="6">
        <f>HYPERLINK("C:\Projects\Kleinanzeigen-Scraper\offer_images\2855524330", "Link")</f>
        <v/>
      </c>
      <c r="I443" t="inlineStr">
        <is>
          <t>Ribbeck</t>
        </is>
      </c>
      <c r="J443" s="6">
        <f>HYPERLINK("https://www.kleinanzeigen.de/s-bestandsliste.html?userId=27579142", "Link")</f>
        <v/>
      </c>
      <c r="K443" s="7" t="n">
        <v>45541.56673611111</v>
      </c>
      <c r="L443" s="3" t="inlineStr">
        <is>
          <t>423.09</t>
        </is>
      </c>
      <c r="M443" t="inlineStr">
        <is>
          <t>Köln</t>
        </is>
      </c>
    </row>
    <row r="444">
      <c r="A444" t="inlineStr">
        <is>
          <t>STX 4.0 Power HD Windsurf Rig consisting of a 4.0 m² sail, STX aluminum boom (140-190 cm), start line, and a 3-part epoxy mast with base extension.</t>
        </is>
      </c>
      <c r="B444" s="4" t="n">
        <v>180</v>
      </c>
      <c r="C444" t="inlineStr">
        <is>
          <t>VB</t>
        </is>
      </c>
      <c r="D444" t="inlineStr">
        <is>
          <t>53340 Nordrhein-Westfalen - Meckenheim</t>
        </is>
      </c>
      <c r="E444" s="5" t="n">
        <v>45540</v>
      </c>
      <c r="F444" t="inlineStr">
        <is>
          <t>Sold</t>
        </is>
      </c>
      <c r="G444" s="6">
        <f>HYPERLINK("https://www.kleinanzeigen.de/s-anzeige/stx-4-0-power-hd-windsurf-rigg/2855034389-230-1684", "Link")</f>
        <v/>
      </c>
      <c r="H444" s="6">
        <f>HYPERLINK("C:\Projects\Kleinanzeigen-Scraper\offer_images\2855034389", "Link")</f>
        <v/>
      </c>
      <c r="I444" t="inlineStr">
        <is>
          <t>Marcel Wolff</t>
        </is>
      </c>
      <c r="J444" s="6">
        <f>HYPERLINK("https://www.kleinanzeigen.de/s-bestandsliste.html?userId=39950218", "Link")</f>
        <v/>
      </c>
      <c r="K444" s="7" t="n">
        <v>45541.56673611111</v>
      </c>
      <c r="L444" s="3" t="inlineStr">
        <is>
          <t>35.79</t>
        </is>
      </c>
      <c r="M444" t="inlineStr">
        <is>
          <t>Köln</t>
        </is>
      </c>
    </row>
    <row r="445">
      <c r="A445" t="inlineStr">
        <is>
          <t>Neil Pryde Combat PRO sails in sizes 3.3, 3.7, 4.2, 4.5, and 4.7, with good condition except for a small patch on the 4.7 mast pocket.</t>
        </is>
      </c>
      <c r="B445" s="4" t="inlineStr">
        <is>
          <t>320350 EUR</t>
        </is>
      </c>
      <c r="C445" t="inlineStr">
        <is>
          <t>VB</t>
        </is>
      </c>
      <c r="D445" t="inlineStr">
        <is>
          <t>78467 Konstanz</t>
        </is>
      </c>
      <c r="E445" s="5" t="n">
        <v>45540</v>
      </c>
      <c r="F445" t="inlineStr">
        <is>
          <t>Sold</t>
        </is>
      </c>
      <c r="G445" s="6">
        <f>HYPERLINK("https://www.dailydose.de/kleinanzeigen/detail.htm?ai=422070&amp;cf=kk&amp;pg=5&amp;ci=5", "Link")</f>
        <v/>
      </c>
      <c r="H445" s="6">
        <f>HYPERLINK("C:\Projects\Kleinanzeigen-Scraper\offer_images\422070", "Link")</f>
        <v/>
      </c>
      <c r="I445" t="inlineStr">
        <is>
          <t>Mark_31</t>
        </is>
      </c>
      <c r="J445" s="6">
        <f>HYPERLINK("https://www.dailydose.de/kleinanzeigen/user/13887", "Link")</f>
        <v/>
      </c>
      <c r="K445" s="7" t="n">
        <v>45540.56497685185</v>
      </c>
      <c r="L445" s="3" t="inlineStr">
        <is>
          <t>62.51</t>
        </is>
      </c>
      <c r="M445" t="inlineStr">
        <is>
          <t>Bonndorf</t>
        </is>
      </c>
    </row>
    <row r="446">
      <c r="A446" t="inlineStr">
        <is>
          <t>3 Windsurf sails (2x Sailworks 5.6m² and 5.0m², 1x North), a mast, and a boom.</t>
        </is>
      </c>
      <c r="B446" s="4" t="n">
        <v>149</v>
      </c>
      <c r="C446" t="inlineStr"/>
      <c r="D446" t="inlineStr">
        <is>
          <t>81247 München - Allach-Untermenzing</t>
        </is>
      </c>
      <c r="E446" s="5" t="n">
        <v>45540</v>
      </c>
      <c r="F446" t="inlineStr">
        <is>
          <t>Sold</t>
        </is>
      </c>
      <c r="G446" s="6">
        <f>HYPERLINK("https://www.kleinanzeigen.de/s-anzeige/3-windsurf-segel-sailworks-north-mast-gabelbaum/2854789280-230-16335", "Link")</f>
        <v/>
      </c>
      <c r="H446" s="6">
        <f>HYPERLINK("C:\Projects\Kleinanzeigen-Scraper\offer_images\2854789280", "Link")</f>
        <v/>
      </c>
      <c r="I446" t="inlineStr">
        <is>
          <t>Isabella</t>
        </is>
      </c>
      <c r="J446" s="6">
        <f>HYPERLINK("https://www.kleinanzeigen.de/s-bestandsliste.html?userId=22406081", "Link")</f>
        <v/>
      </c>
      <c r="K446" s="7" t="n">
        <v>45540.5643287037</v>
      </c>
      <c r="L446" s="3" t="inlineStr">
        <is>
          <t>8.71</t>
        </is>
      </c>
      <c r="M446" t="inlineStr">
        <is>
          <t>München</t>
        </is>
      </c>
    </row>
    <row r="447">
      <c r="A447" t="inlineStr">
        <is>
          <t>Old board and 2 masts for free</t>
        </is>
      </c>
      <c r="B447" s="4" t="inlineStr">
        <is>
          <t>Zu verschenken</t>
        </is>
      </c>
      <c r="C447" t="inlineStr"/>
      <c r="D447" t="inlineStr">
        <is>
          <t>65931 West - Zeilsheim</t>
        </is>
      </c>
      <c r="E447" s="5" t="n">
        <v>45540</v>
      </c>
      <c r="F447" t="inlineStr">
        <is>
          <t>Sold</t>
        </is>
      </c>
      <c r="G447" s="6">
        <f>HYPERLINK("https://www.kleinanzeigen.de/s-anzeige/windsurf-board-masten/2854796415-230-16333", "Link")</f>
        <v/>
      </c>
      <c r="H447" s="6">
        <f>HYPERLINK("C:\Projects\Kleinanzeigen-Scraper\offer_images\2854796415", "Link")</f>
        <v/>
      </c>
      <c r="I447" t="inlineStr">
        <is>
          <t>Tino</t>
        </is>
      </c>
      <c r="J447" s="6">
        <f>HYPERLINK("https://www.kleinanzeigen.de/s-bestandsliste.html?userId=17464486", "Link")</f>
        <v/>
      </c>
      <c r="K447" s="7" t="n">
        <v>45540.56415509259</v>
      </c>
      <c r="L447" s="3" t="inlineStr">
        <is>
          <t>121.13</t>
        </is>
      </c>
      <c r="M447" t="inlineStr">
        <is>
          <t>Karlsruhe</t>
        </is>
      </c>
    </row>
    <row r="448">
      <c r="A448" t="inlineStr">
        <is>
          <t>Windsurf boards with sail, mast, and other equipment, stored unused for several years.</t>
        </is>
      </c>
      <c r="B448" s="4" t="n">
        <v>50</v>
      </c>
      <c r="C448" t="inlineStr">
        <is>
          <t>VB</t>
        </is>
      </c>
      <c r="D448" t="inlineStr">
        <is>
          <t>10439 Pankow - Prenzlauer Berg</t>
        </is>
      </c>
      <c r="E448" s="5" t="n">
        <v>45539</v>
      </c>
      <c r="F448" t="inlineStr">
        <is>
          <t>Sold</t>
        </is>
      </c>
      <c r="G448" s="6">
        <f>HYPERLINK("https://www.kleinanzeigen.de/s-anzeige/windsurf-bretter-mit-segel-stange-etc/2854221433-230-3490", "Link")</f>
        <v/>
      </c>
      <c r="H448" s="6">
        <f>HYPERLINK("C:\Projects\Kleinanzeigen-Scraper\offer_images\2854221433", "Link")</f>
        <v/>
      </c>
      <c r="I448" t="inlineStr">
        <is>
          <t>Bernd.H</t>
        </is>
      </c>
      <c r="J448" s="6">
        <f>HYPERLINK("https://www.kleinanzeigen.de/s-bestandsliste.html?userId=143275112", "Link")</f>
        <v/>
      </c>
      <c r="K448" s="7" t="n">
        <v>45540.5640625</v>
      </c>
      <c r="L448" s="3" t="inlineStr">
        <is>
          <t>479.25</t>
        </is>
      </c>
      <c r="M448" t="inlineStr">
        <is>
          <t>Köln</t>
        </is>
      </c>
    </row>
    <row r="449">
      <c r="A449" t="inlineStr">
        <is>
          <t>2 used Simmer Wave sails (5.7 and 4.7) with sail bags, no cuts or repairs.</t>
        </is>
      </c>
      <c r="B449" s="4" t="n">
        <v>200</v>
      </c>
      <c r="C449" t="inlineStr">
        <is>
          <t>VB</t>
        </is>
      </c>
      <c r="D449" t="inlineStr">
        <is>
          <t>23966 Mecklenburg-Vorpommern - Wismar</t>
        </is>
      </c>
      <c r="E449" s="5" t="n">
        <v>45540</v>
      </c>
      <c r="F449" t="inlineStr">
        <is>
          <t>Sold</t>
        </is>
      </c>
      <c r="G449" s="6">
        <f>HYPERLINK("https://www.kleinanzeigen.de/s-anzeige/windsurfen-windsurfsegel-simmer-wave-segel-5-7-4-7/2854771199-230-229", "Link")</f>
        <v/>
      </c>
      <c r="H449" s="6">
        <f>HYPERLINK("C:\Projects\Kleinanzeigen-Scraper\offer_images\2854771199", "Link")</f>
        <v/>
      </c>
      <c r="I449" t="inlineStr">
        <is>
          <t>Dirk Hamann</t>
        </is>
      </c>
      <c r="J449" s="6">
        <f>HYPERLINK("https://www.kleinanzeigen.de/s-bestandsliste.html?userId=24419575", "Link")</f>
        <v/>
      </c>
      <c r="K449" s="7" t="n">
        <v>45540.56403935186</v>
      </c>
      <c r="L449" s="3" t="inlineStr">
        <is>
          <t>436.42</t>
        </is>
      </c>
      <c r="M449" t="inlineStr">
        <is>
          <t>Köln</t>
        </is>
      </c>
    </row>
    <row r="450">
      <c r="A450" t="inlineStr">
        <is>
          <t>Fanatic Skate 107 Team Edition board, 2 fins (Freestyle and Wave), 2 masts (Stilo 400cm and North Viper 430cm), boom, 4 sails, mast extensions, base, trimming crank, and a thick board bag. Includes a Wave trapeze in size M.</t>
        </is>
      </c>
      <c r="B450" s="4" t="n">
        <v>940</v>
      </c>
      <c r="C450" t="inlineStr">
        <is>
          <t>VB</t>
        </is>
      </c>
      <c r="D450" t="inlineStr">
        <is>
          <t>87452 Bayern - Altusried</t>
        </is>
      </c>
      <c r="E450" s="5" t="n">
        <v>45540</v>
      </c>
      <c r="F450" t="inlineStr">
        <is>
          <t>Sold</t>
        </is>
      </c>
      <c r="G450" s="6">
        <f>HYPERLINK("https://www.kleinanzeigen.de/s-anzeige/fanatic-skate-team-edition-107-riggs-windsurf/2854873353-230-7621", "Link")</f>
        <v/>
      </c>
      <c r="H450" s="6">
        <f>HYPERLINK("C:\Projects\Kleinanzeigen-Scraper\offer_images\2854873353", "Link")</f>
        <v/>
      </c>
      <c r="I450" t="inlineStr">
        <is>
          <t>Parzival</t>
        </is>
      </c>
      <c r="J450" s="6">
        <f>HYPERLINK("https://www.kleinanzeigen.de/s-bestandsliste.html?userId=40147316", "Link")</f>
        <v/>
      </c>
      <c r="K450" s="7" t="n">
        <v>45540.56385416666</v>
      </c>
      <c r="L450" s="3" t="inlineStr">
        <is>
          <t>109.83</t>
        </is>
      </c>
      <c r="M450" t="inlineStr">
        <is>
          <t>München</t>
        </is>
      </c>
    </row>
    <row r="451">
      <c r="A451" t="inlineStr">
        <is>
          <t>S2 Maui Alchemy Wave Windsurf Segel in sizes 4.2m², 4.7m², and 5.3m², all in very good used condition.</t>
        </is>
      </c>
      <c r="B451" s="4" t="n">
        <v>175</v>
      </c>
      <c r="C451" t="inlineStr">
        <is>
          <t>VB</t>
        </is>
      </c>
      <c r="D451" t="inlineStr">
        <is>
          <t>24159 Kiel - Pries-Friedrichsort</t>
        </is>
      </c>
      <c r="E451" s="5" t="n">
        <v>45540</v>
      </c>
      <c r="F451" t="inlineStr">
        <is>
          <t>Sold</t>
        </is>
      </c>
      <c r="G451" s="6">
        <f>HYPERLINK("https://www.kleinanzeigen.de/s-anzeige/s2-maui-alchemy-wave-windsurf-segel-palette/2854727209-230-695", "Link")</f>
        <v/>
      </c>
      <c r="H451" s="6">
        <f>HYPERLINK("C:\Projects\Kleinanzeigen-Scraper\offer_images\2854727209", "Link")</f>
        <v/>
      </c>
      <c r="I451" t="inlineStr">
        <is>
          <t>Lennard Stegmann</t>
        </is>
      </c>
      <c r="J451" s="6">
        <f>HYPERLINK("https://www.kleinanzeigen.de/s-bestandsliste.html?userId=37439214", "Link")</f>
        <v/>
      </c>
      <c r="K451" s="7" t="n">
        <v>45540.56378472222</v>
      </c>
      <c r="L451" s="3" t="inlineStr">
        <is>
          <t>440.84</t>
        </is>
      </c>
      <c r="M451" t="inlineStr">
        <is>
          <t>Köln</t>
        </is>
      </c>
    </row>
    <row r="452">
      <c r="A452" t="inlineStr">
        <is>
          <t>Includes Board (F2 Typ Peter Thommen 2.90m, 130L), Board (Mistral Malibu SCGI 3.30m, 170L), Sails (Yes 7.1m², Neil Pryde Slalom 5.5m², Neil Pryde 7.7m²), 1 Boom, 1 Carbon Mast, 3 Mast Extensions, and additional accessories.</t>
        </is>
      </c>
      <c r="B452" s="4" t="n">
        <v>200</v>
      </c>
      <c r="C452" t="inlineStr">
        <is>
          <t>VB</t>
        </is>
      </c>
      <c r="D452" t="inlineStr">
        <is>
          <t>79539 Baden-Württemberg - Lörrach</t>
        </is>
      </c>
      <c r="E452" s="5" t="n">
        <v>45530</v>
      </c>
      <c r="F452" t="inlineStr">
        <is>
          <t>Sold</t>
        </is>
      </c>
      <c r="G452" s="6">
        <f>HYPERLINK("https://www.kleinanzeigen.de/s-anzeige/windsurf-equipment/2846595439-230-8080", "Link")</f>
        <v/>
      </c>
      <c r="H452" s="6">
        <f>HYPERLINK("C:\Projects\Kleinanzeigen-Scraper\offer_images\2846595439", "Link")</f>
        <v/>
      </c>
      <c r="I452" t="inlineStr">
        <is>
          <t>Kerstin Sain</t>
        </is>
      </c>
      <c r="J452" s="6">
        <f>HYPERLINK("https://www.kleinanzeigen.de/s-bestandsliste.html?userId=46869751", "Link")</f>
        <v/>
      </c>
      <c r="K452" s="7" t="n">
        <v>45540.56371527778</v>
      </c>
      <c r="L452" s="3" t="inlineStr">
        <is>
          <t>54.91</t>
        </is>
      </c>
      <c r="M452" t="inlineStr">
        <is>
          <t>Bonndorf</t>
        </is>
      </c>
    </row>
    <row r="453">
      <c r="A453" t="inlineStr">
        <is>
          <t>Includes Severne SWAT 4.2 sail, Gaastra pure 5.2 sail, and Pro Taper boom (150-200 cm).</t>
        </is>
      </c>
      <c r="B453" s="4" t="inlineStr">
        <is>
          <t>150 Paketpreis</t>
        </is>
      </c>
      <c r="C453" t="inlineStr"/>
      <c r="D453" t="inlineStr">
        <is>
          <t>24159 Kiel</t>
        </is>
      </c>
      <c r="E453" s="5" t="n">
        <v>45539</v>
      </c>
      <c r="F453" t="inlineStr">
        <is>
          <t>Sold</t>
        </is>
      </c>
      <c r="G453" s="6">
        <f>HYPERLINK("https://www.dailydose.de/kleinanzeigen/detail.htm?ai=422018&amp;cf=kk&amp;pg=5&amp;ci=5", "Link")</f>
        <v/>
      </c>
      <c r="H453" s="6">
        <f>HYPERLINK("C:\Projects\Kleinanzeigen-Scraper\offer_images\422018", "Link")</f>
        <v/>
      </c>
      <c r="I453" t="inlineStr">
        <is>
          <t>TK_173</t>
        </is>
      </c>
      <c r="J453" s="6">
        <f>HYPERLINK("https://www.dailydose.de/kleinanzeigen/user/23166", "Link")</f>
        <v/>
      </c>
      <c r="K453" s="7" t="n">
        <v>45539.58731481482</v>
      </c>
      <c r="L453" s="3" t="inlineStr">
        <is>
          <t>440.84</t>
        </is>
      </c>
      <c r="M453" t="inlineStr">
        <is>
          <t>Köln</t>
        </is>
      </c>
    </row>
    <row r="454">
      <c r="A454" t="inlineStr">
        <is>
          <t>TIKI FUN XP 2.5 sail, boom, 2-piece aluminum mast, start line, mast foot, and carrying bag.</t>
        </is>
      </c>
      <c r="B454" s="4" t="n">
        <v>45</v>
      </c>
      <c r="C454" t="inlineStr">
        <is>
          <t>VB</t>
        </is>
      </c>
      <c r="D454" t="inlineStr">
        <is>
          <t>32423 Nordrhein-Westfalen - Minden</t>
        </is>
      </c>
      <c r="E454" s="5" t="n">
        <v>45538</v>
      </c>
      <c r="F454" t="inlineStr">
        <is>
          <t>Sold</t>
        </is>
      </c>
      <c r="G454" s="6">
        <f>HYPERLINK("https://www.kleinanzeigen.de/s-anzeige/tiki-fun-xp-2-5-windsurf-rigg-kinder-segel/2853533452-230-1764", "Link")</f>
        <v/>
      </c>
      <c r="H454" s="6">
        <f>HYPERLINK("C:\Projects\Kleinanzeigen-Scraper\offer_images\2853533452", "Link")</f>
        <v/>
      </c>
      <c r="I454" t="inlineStr">
        <is>
          <t>Dirk</t>
        </is>
      </c>
      <c r="J454" s="6">
        <f>HYPERLINK("https://www.kleinanzeigen.de/s-bestandsliste.html?userId=11516846", "Link")</f>
        <v/>
      </c>
      <c r="K454" s="7" t="n">
        <v>45539.58569444445</v>
      </c>
      <c r="L454" s="3" t="inlineStr">
        <is>
          <t>204.44</t>
        </is>
      </c>
      <c r="M454" t="inlineStr">
        <is>
          <t>Köln</t>
        </is>
      </c>
    </row>
    <row r="455">
      <c r="A455" t="inlineStr">
        <is>
          <t>Complete windsurfing equipment including multiple sails, boards, masts, and accessories in very good condition.</t>
        </is>
      </c>
      <c r="B455" s="4" t="n">
        <v>350</v>
      </c>
      <c r="C455" t="inlineStr"/>
      <c r="D455" t="inlineStr">
        <is>
          <t>65191 Hessen - Wiesbaden</t>
        </is>
      </c>
      <c r="E455" s="5" t="n">
        <v>45536</v>
      </c>
      <c r="F455" t="inlineStr">
        <is>
          <t>Sold</t>
        </is>
      </c>
      <c r="G455" s="6">
        <f>HYPERLINK("https://www.kleinanzeigen.de/s-anzeige/komplette-windsurf-ausstattung/2851275735-230-4908", "Link")</f>
        <v/>
      </c>
      <c r="H455" s="6">
        <f>HYPERLINK("C:\Projects\Kleinanzeigen-Scraper\offer_images\2851275735", "Link")</f>
        <v/>
      </c>
      <c r="I455" t="inlineStr">
        <is>
          <t>Stephan Birk</t>
        </is>
      </c>
      <c r="J455" s="6">
        <f>HYPERLINK("https://www.kleinanzeigen.de/s-bestandsliste.html?userId=70628906", "Link")</f>
        <v/>
      </c>
      <c r="K455" s="7" t="n">
        <v>45539.58568287037</v>
      </c>
      <c r="L455" s="3" t="inlineStr">
        <is>
          <t>120.74</t>
        </is>
      </c>
      <c r="M455" t="inlineStr">
        <is>
          <t>Karlsruhe</t>
        </is>
      </c>
    </row>
    <row r="456">
      <c r="A456" t="inlineStr">
        <is>
          <t>High-quality windsurfing equipment in excellent condition, includes board, mast, boom, and other accessories.</t>
        </is>
      </c>
      <c r="B456" s="4" t="inlineStr"/>
      <c r="C456" t="inlineStr">
        <is>
          <t>VB</t>
        </is>
      </c>
      <c r="D456" t="inlineStr">
        <is>
          <t>78315 Baden-Württemberg - Radolfzell am Bodensee</t>
        </is>
      </c>
      <c r="E456" s="5" t="n">
        <v>45538</v>
      </c>
      <c r="F456" t="inlineStr">
        <is>
          <t>Sold</t>
        </is>
      </c>
      <c r="G456" s="6">
        <f>HYPERLINK("https://www.kleinanzeigen.de/s-anzeige/windsurfen-komplett/2853331706-230-8190", "Link")</f>
        <v/>
      </c>
      <c r="H456" s="6">
        <f>HYPERLINK("C:\Projects\Kleinanzeigen-Scraper\offer_images\2853331706", "Link")</f>
        <v/>
      </c>
      <c r="I456" t="inlineStr">
        <is>
          <t>E. Wünsch</t>
        </is>
      </c>
      <c r="J456" s="6">
        <f>HYPERLINK("https://www.kleinanzeigen.de/s-bestandsliste.html?userId=19229334", "Link")</f>
        <v/>
      </c>
      <c r="K456" s="7" t="n">
        <v>45539.58545138889</v>
      </c>
      <c r="L456" s="3" t="inlineStr">
        <is>
          <t>48.46</t>
        </is>
      </c>
      <c r="M456" t="inlineStr">
        <is>
          <t>Bonndorf</t>
        </is>
      </c>
    </row>
    <row r="457">
      <c r="A457" t="inlineStr">
        <is>
          <t>Slalom Windsurf-Set including 99NoveNove World Cup Slalom Board (135L), Point 7 AC1 Sail (9.3), Neilpryde X9 Boom (200-260cm), Point 7 Mast (520cm, 100%), and various fins.</t>
        </is>
      </c>
      <c r="B457" s="4" t="n">
        <v>1.7</v>
      </c>
      <c r="C457" t="inlineStr">
        <is>
          <t>VB</t>
        </is>
      </c>
      <c r="D457" t="inlineStr">
        <is>
          <t>80639 Neuhausen-Nymphenburg - Neuhausen</t>
        </is>
      </c>
      <c r="E457" s="5" t="n">
        <v>45538</v>
      </c>
      <c r="F457" t="inlineStr">
        <is>
          <t>Sold</t>
        </is>
      </c>
      <c r="G457" s="6">
        <f>HYPERLINK("https://www.kleinanzeigen.de/s-anzeige/slalom-windsurf-set-99novenove-point-7-neilpryde-x9-winhell/2853695262-230-6420", "Link")</f>
        <v/>
      </c>
      <c r="H457" s="6">
        <f>HYPERLINK("C:\Projects\Kleinanzeigen-Scraper\offer_images\2853695262", "Link")</f>
        <v/>
      </c>
      <c r="I457" t="inlineStr">
        <is>
          <t>Torsten Schade</t>
        </is>
      </c>
      <c r="J457" s="6">
        <f>HYPERLINK("https://www.kleinanzeigen.de/s-bestandsliste.html?userId=9084595", "Link")</f>
        <v/>
      </c>
      <c r="K457" s="7" t="n">
        <v>45539.58541666667</v>
      </c>
      <c r="L457" s="3" t="inlineStr">
        <is>
          <t>4.83</t>
        </is>
      </c>
      <c r="M457" t="inlineStr">
        <is>
          <t>München</t>
        </is>
      </c>
    </row>
    <row r="458">
      <c r="A458" t="inlineStr">
        <is>
          <t>Includes Tiki Nl Kindersegel 2.5 qm, 2-part aluminum mast, adjustable boom with startshot, adapter for standard mast foot, in good condition.</t>
        </is>
      </c>
      <c r="B458" s="4" t="n">
        <v>120</v>
      </c>
      <c r="C458" t="inlineStr"/>
      <c r="D458" t="inlineStr">
        <is>
          <t>32756 Nordrhein-Westfalen - Detmold</t>
        </is>
      </c>
      <c r="E458" s="5" t="n">
        <v>45536</v>
      </c>
      <c r="F458" t="inlineStr">
        <is>
          <t>Sold</t>
        </is>
      </c>
      <c r="G458" s="6">
        <f>HYPERLINK("https://www.kleinanzeigen.de/s-anzeige/windsurf-kindersegel-fun-xp-2-5-surfen-kinderrigg/2851316146-230-1794", "Link")</f>
        <v/>
      </c>
      <c r="H458" s="6">
        <f>HYPERLINK("C:\Projects\Kleinanzeigen-Scraper\offer_images\2851316146", "Link")</f>
        <v/>
      </c>
      <c r="I458" t="inlineStr">
        <is>
          <t>Martin</t>
        </is>
      </c>
      <c r="J458" s="6">
        <f>HYPERLINK("https://www.kleinanzeigen.de/s-bestandsliste.html?userId=20300915", "Link")</f>
        <v/>
      </c>
      <c r="K458" s="7" t="n">
        <v>45539.58472222222</v>
      </c>
      <c r="L458" s="3" t="inlineStr">
        <is>
          <t>172.99</t>
        </is>
      </c>
      <c r="M458" t="inlineStr">
        <is>
          <t>Köln</t>
        </is>
      </c>
    </row>
    <row r="459">
      <c r="A459" t="inlineStr">
        <is>
          <t>OPEN OCEAN 2.5 sail, Gabelbaum (Boom) ~1.50m, 2-part aluminum mast ~1.60m, start line, mast foot, carrying bag</t>
        </is>
      </c>
      <c r="B459" s="4" t="n">
        <v>60</v>
      </c>
      <c r="C459" t="inlineStr">
        <is>
          <t>VB</t>
        </is>
      </c>
      <c r="D459" t="inlineStr">
        <is>
          <t>32423 Nordrhein-Westfalen - Minden</t>
        </is>
      </c>
      <c r="E459" s="5" t="n">
        <v>45538</v>
      </c>
      <c r="F459" t="inlineStr">
        <is>
          <t>Sold</t>
        </is>
      </c>
      <c r="G459" s="6">
        <f>HYPERLINK("https://www.kleinanzeigen.de/s-anzeige/open-ocean-2-5-windsurf-rigg-kinder-segel/2853526696-230-1764", "Link")</f>
        <v/>
      </c>
      <c r="H459" s="6">
        <f>HYPERLINK("C:\Projects\Kleinanzeigen-Scraper\offer_images\2853526696", "Link")</f>
        <v/>
      </c>
      <c r="I459" t="inlineStr">
        <is>
          <t>Dirk</t>
        </is>
      </c>
      <c r="J459" s="6">
        <f>HYPERLINK("https://www.kleinanzeigen.de/s-bestandsliste.html?userId=11516846", "Link")</f>
        <v/>
      </c>
      <c r="K459" s="7" t="n">
        <v>45539.58449074074</v>
      </c>
      <c r="L459" s="3" t="inlineStr">
        <is>
          <t>204.44</t>
        </is>
      </c>
      <c r="M459" t="inlineStr">
        <is>
          <t>Köln</t>
        </is>
      </c>
    </row>
    <row r="460">
      <c r="A460" t="inlineStr">
        <is>
          <t>Complete set for beginners including two sails for varying wind conditions, two carbon fiberglass fins, and all necessary equipment to get started.</t>
        </is>
      </c>
      <c r="B460" s="4" t="n">
        <v>10</v>
      </c>
      <c r="C460" t="inlineStr"/>
      <c r="D460" t="inlineStr">
        <is>
          <t>89129 Baden-Württemberg - Langenau</t>
        </is>
      </c>
      <c r="E460" s="5" t="n">
        <v>45538</v>
      </c>
      <c r="F460" t="inlineStr">
        <is>
          <t>Sold</t>
        </is>
      </c>
      <c r="G460" s="6">
        <f>HYPERLINK("https://www.kleinanzeigen.de/s-anzeige/windsurf-komplett-set-anfaenger/2853293464-230-18599", "Link")</f>
        <v/>
      </c>
      <c r="H460" s="6">
        <f>HYPERLINK("C:\Projects\Kleinanzeigen-Scraper\offer_images\2853293464", "Link")</f>
        <v/>
      </c>
      <c r="I460" t="inlineStr">
        <is>
          <t>Jona k</t>
        </is>
      </c>
      <c r="J460" s="6">
        <f>HYPERLINK("https://www.kleinanzeigen.de/s-bestandsliste.html?userId=143993115", "Link")</f>
        <v/>
      </c>
      <c r="K460" s="7" t="n">
        <v>45538.56719907407</v>
      </c>
      <c r="L460" s="3" t="inlineStr">
        <is>
          <t>85.38</t>
        </is>
      </c>
      <c r="M460" t="inlineStr">
        <is>
          <t>Böblingen</t>
        </is>
      </c>
    </row>
    <row r="461">
      <c r="A461" t="inlineStr">
        <is>
          <t>Set of windsurfing accessories including booms, masts, and other equipment.</t>
        </is>
      </c>
      <c r="B461" s="4" t="n">
        <v>100</v>
      </c>
      <c r="C461" t="inlineStr">
        <is>
          <t>VB</t>
        </is>
      </c>
      <c r="D461" t="inlineStr">
        <is>
          <t>33154 Nordrhein-Westfalen - Salzkotten</t>
        </is>
      </c>
      <c r="E461" s="5" t="n">
        <v>45533</v>
      </c>
      <c r="F461" t="inlineStr">
        <is>
          <t>Sold</t>
        </is>
      </c>
      <c r="G461" s="6">
        <f>HYPERLINK("https://www.kleinanzeigen.de/s-anzeige/windsurfen-gabelbaeume-masten-und-sonstiges-zubehoer/2849324584-230-1362", "Link")</f>
        <v/>
      </c>
      <c r="H461" s="6">
        <f>HYPERLINK("C:\Projects\Kleinanzeigen-Scraper\offer_images\2849324584", "Link")</f>
        <v/>
      </c>
      <c r="I461" t="inlineStr">
        <is>
          <t>V. Falkenr</t>
        </is>
      </c>
      <c r="J461" s="6">
        <f>HYPERLINK("https://www.kleinanzeigen.de/s-bestandsliste.html?userId=18770157", "Link")</f>
        <v/>
      </c>
      <c r="K461" s="7" t="n">
        <v>45538.5671875</v>
      </c>
      <c r="L461" s="3" t="inlineStr">
        <is>
          <t>140.54</t>
        </is>
      </c>
      <c r="M461" t="inlineStr">
        <is>
          <t>Köln</t>
        </is>
      </c>
    </row>
    <row r="462">
      <c r="A462" t="inlineStr">
        <is>
          <t>Complete Slalom Windsurfing Equipment including Fanatic Falcon 89 l Board (2014), Point7 AC1 6.2 Sail, Gaastra Carbon Boom (180-220), Point7 100% Carbon SDM 400 Mast, Point7 48 Alu SDM Extension, Chinhook Baseplate.</t>
        </is>
      </c>
      <c r="B462" s="4" t="n">
        <v>1.1</v>
      </c>
      <c r="C462" t="inlineStr"/>
      <c r="D462" t="inlineStr">
        <is>
          <t>24118 Kiel - Ravensberg-Brunswik-Düsternbrook</t>
        </is>
      </c>
      <c r="E462" s="5" t="n">
        <v>45537</v>
      </c>
      <c r="F462" t="inlineStr"/>
      <c r="G462" s="6">
        <f>HYPERLINK("https://www.kleinanzeigen.de/s-anzeige/slalom-windsurf-komplette-ausruestung-point7-fanatic-gaastra/2852881259-230-704", "Link")</f>
        <v/>
      </c>
      <c r="H462" s="6">
        <f>HYPERLINK("C:\Projects\Kleinanzeigen-Scraper\offer_images\2852881259", "Link")</f>
        <v/>
      </c>
      <c r="I462" t="inlineStr">
        <is>
          <t>Leon</t>
        </is>
      </c>
      <c r="J462" s="6">
        <f>HYPERLINK("https://www.kleinanzeigen.de/s-bestandsliste.html?userId=79237818", "Link")</f>
        <v/>
      </c>
      <c r="K462" s="7" t="n">
        <v>45538.56715277778</v>
      </c>
      <c r="L462" s="3" t="inlineStr">
        <is>
          <t>434.29</t>
        </is>
      </c>
      <c r="M462" t="inlineStr">
        <is>
          <t>Köln</t>
        </is>
      </c>
    </row>
    <row r="463">
      <c r="A463" t="inlineStr">
        <is>
          <t>Complete windsurfing set including board, sail, and mast. The sail size is between 5-6m, and the board features a retractable fin for stability, suitable for beginners.</t>
        </is>
      </c>
      <c r="B463" s="4" t="n">
        <v>40</v>
      </c>
      <c r="C463" t="inlineStr">
        <is>
          <t>VB</t>
        </is>
      </c>
      <c r="D463" t="inlineStr">
        <is>
          <t>90766 Bayern - Fürth</t>
        </is>
      </c>
      <c r="E463" s="5" t="n">
        <v>45538</v>
      </c>
      <c r="F463" t="inlineStr">
        <is>
          <t>Sold</t>
        </is>
      </c>
      <c r="G463" s="6">
        <f>HYPERLINK("https://www.kleinanzeigen.de/s-anzeige/komplettset-windsurfen-surfbrett-segel-mast/2853082509-230-6805", "Link")</f>
        <v/>
      </c>
      <c r="H463" s="6">
        <f>HYPERLINK("C:\Projects\Kleinanzeigen-Scraper\offer_images\2853082509", "Link")</f>
        <v/>
      </c>
      <c r="I463" t="inlineStr">
        <is>
          <t>Bernd</t>
        </is>
      </c>
      <c r="J463" s="6">
        <f>HYPERLINK("https://www.kleinanzeigen.de/s-bestandsliste.html?userId=131460631", "Link")</f>
        <v/>
      </c>
      <c r="K463" s="7" t="n">
        <v>45538.56700231481</v>
      </c>
      <c r="L463" s="3" t="inlineStr">
        <is>
          <t>156.36</t>
        </is>
      </c>
      <c r="M463" t="inlineStr">
        <is>
          <t>München</t>
        </is>
      </c>
    </row>
    <row r="464">
      <c r="A464" t="inlineStr">
        <is>
          <t>Complete windsurf rig including a 5.5 m² sail, mast, mast extension, and boom, all in top condition.</t>
        </is>
      </c>
      <c r="B464" s="4" t="n">
        <v>200</v>
      </c>
      <c r="C464" t="inlineStr"/>
      <c r="D464" t="inlineStr">
        <is>
          <t>15755 Brandenburg - Teupitz-Tornow</t>
        </is>
      </c>
      <c r="E464" s="5" t="n">
        <v>45538</v>
      </c>
      <c r="F464" t="inlineStr">
        <is>
          <t>Sold</t>
        </is>
      </c>
      <c r="G464" s="6">
        <f>HYPERLINK("https://www.kleinanzeigen.de/s-anzeige/komplettes-windsurf-rigg-segel-set-in-top-zustand/2853055195-223-7894", "Link")</f>
        <v/>
      </c>
      <c r="H464" s="6">
        <f>HYPERLINK("C:\Projects\Kleinanzeigen-Scraper\offer_images\2853055195", "Link")</f>
        <v/>
      </c>
      <c r="I464" t="inlineStr">
        <is>
          <t>Manuela Marschetzky</t>
        </is>
      </c>
      <c r="J464" s="6">
        <f>HYPERLINK("https://www.kleinanzeigen.de/s-bestandsliste.html?userId=22756699", "Link")</f>
        <v/>
      </c>
      <c r="K464" s="7" t="n">
        <v>45538.56684027778</v>
      </c>
      <c r="L464" s="3" t="inlineStr">
        <is>
          <t>467.77</t>
        </is>
      </c>
      <c r="M464" t="inlineStr">
        <is>
          <t>München</t>
        </is>
      </c>
    </row>
    <row r="465">
      <c r="A465" t="inlineStr">
        <is>
          <t>Complete windsurfing equipment including Board (Mistral Vision 150L), Sails (North Sails 7.5, 8.4; Neil Pryde 6.7), Masts (Viper 490, 75% Carbon; Epic 460, 35% Carbon), Boom (Chinook 185-247)</t>
        </is>
      </c>
      <c r="B465" s="4" t="n">
        <v>500</v>
      </c>
      <c r="C465" t="inlineStr">
        <is>
          <t>VB</t>
        </is>
      </c>
      <c r="D465" t="inlineStr">
        <is>
          <t>85640 Kr. München - Putzbrunn</t>
        </is>
      </c>
      <c r="E465" s="5" t="n">
        <v>45538</v>
      </c>
      <c r="F465" t="inlineStr">
        <is>
          <t>Sold</t>
        </is>
      </c>
      <c r="G465" s="6">
        <f>HYPERLINK("https://www.kleinanzeigen.de/s-anzeige/windsurfen-komplettausruestung/2853307978-230-6182", "Link")</f>
        <v/>
      </c>
      <c r="H465" s="6">
        <f>HYPERLINK("C:\Projects\Kleinanzeigen-Scraper\offer_images\2853307978", "Link")</f>
        <v/>
      </c>
      <c r="I465" t="inlineStr">
        <is>
          <t>Franc</t>
        </is>
      </c>
      <c r="J465" s="6">
        <f>HYPERLINK("https://www.kleinanzeigen.de/s-bestandsliste.html?userId=25317271", "Link")</f>
        <v/>
      </c>
      <c r="K465" s="7" t="n">
        <v>45538.56681712963</v>
      </c>
      <c r="L465" s="3" t="inlineStr">
        <is>
          <t>11.31</t>
        </is>
      </c>
      <c r="M465" t="inlineStr">
        <is>
          <t>München</t>
        </is>
      </c>
    </row>
    <row r="466">
      <c r="A466" t="inlineStr">
        <is>
          <t>Includes Board JP Magic Ride (119 liters), Gabel Chinhook rdg Carbon, Gabel Alu NeilPryde, Masts (Duotone Platinum rdm 430, GA C75 rdm 400, NeilPryde TPX 100 Flex Curve rdm 370), 3 fins (40, 32, and sea grass), and sails (GA 5.6 Pilot, GA 4.7 IQ, NeilPryde 4.2 Combat Pro 2023), Board Bag ion, and Trapez ion Jade and Promlimit.</t>
        </is>
      </c>
      <c r="B466" s="4" t="inlineStr"/>
      <c r="C466" t="inlineStr">
        <is>
          <t>VB</t>
        </is>
      </c>
      <c r="D466" t="inlineStr">
        <is>
          <t>81371 München - Sendling</t>
        </is>
      </c>
      <c r="E466" s="5" t="n">
        <v>45538</v>
      </c>
      <c r="F466" t="inlineStr">
        <is>
          <t>Sold</t>
        </is>
      </c>
      <c r="G466" s="6">
        <f>HYPERLINK("https://www.kleinanzeigen.de/s-anzeige/windsurf-set-top-material-topp-gepflegt/2853190558-230-6416", "Link")</f>
        <v/>
      </c>
      <c r="H466" s="6">
        <f>HYPERLINK("C:\Projects\Kleinanzeigen-Scraper\offer_images\2853190558", "Link")</f>
        <v/>
      </c>
      <c r="I466" t="inlineStr">
        <is>
          <t>Jule  van Hezik</t>
        </is>
      </c>
      <c r="J466" s="6">
        <f>HYPERLINK("https://www.kleinanzeigen.de/s-bestandsliste.html?userId=38984252", "Link")</f>
        <v/>
      </c>
      <c r="K466" s="7" t="n">
        <v>45538.5666550926</v>
      </c>
      <c r="L466" s="3" t="inlineStr">
        <is>
          <t>2.76</t>
        </is>
      </c>
      <c r="M466" t="inlineStr">
        <is>
          <t>München</t>
        </is>
      </c>
    </row>
    <row r="467">
      <c r="A467" t="inlineStr">
        <is>
          <t>Complete STX Minikid 2.0 Windsurf Set including Sail, Board, Neilpryde Board Cover, Bag, and optional accessories like Mastfoot.</t>
        </is>
      </c>
      <c r="B467" s="4" t="inlineStr"/>
      <c r="C467" t="inlineStr">
        <is>
          <t>VB</t>
        </is>
      </c>
      <c r="D467" t="inlineStr">
        <is>
          <t>55126 Rheinland-Pfalz - Mainz</t>
        </is>
      </c>
      <c r="E467" s="5" t="n">
        <v>45530</v>
      </c>
      <c r="F467" t="inlineStr">
        <is>
          <t>Sold</t>
        </is>
      </c>
      <c r="G467" s="6">
        <f>HYPERLINK("https://www.kleinanzeigen.de/s-anzeige/stx-minikid-2-0-windsurf-set-kinderrig-segel-mast-surf-tasche/2847017963-230-5319", "Link")</f>
        <v/>
      </c>
      <c r="H467" s="6">
        <f>HYPERLINK("C:\Projects\Kleinanzeigen-Scraper\offer_images\2847017963", "Link")</f>
        <v/>
      </c>
      <c r="I467" t="inlineStr">
        <is>
          <t>A.A</t>
        </is>
      </c>
      <c r="J467" s="6">
        <f>HYPERLINK("https://www.kleinanzeigen.de/s-bestandsliste.html?userId=62013930", "Link")</f>
        <v/>
      </c>
      <c r="K467" s="7" t="n">
        <v>45538.5666087963</v>
      </c>
      <c r="L467" s="3" t="inlineStr">
        <is>
          <t>110.23</t>
        </is>
      </c>
      <c r="M467" t="inlineStr">
        <is>
          <t>Karlsruhe</t>
        </is>
      </c>
    </row>
    <row r="468">
      <c r="A468" t="inlineStr">
        <is>
          <t>Includes F2 Axxis Special Edition board with 2 fins, NeilPride Streetracer V8 sail (6qm), ArrowWave sail (4.7qm), F2 mast and boom, and NeilPride trapeze.</t>
        </is>
      </c>
      <c r="B468" s="4" t="n">
        <v>430</v>
      </c>
      <c r="C468" t="inlineStr">
        <is>
          <t>VB</t>
        </is>
      </c>
      <c r="D468" t="inlineStr">
        <is>
          <t>85659 Bayern - Forstern</t>
        </is>
      </c>
      <c r="E468" s="5" t="n">
        <v>45537</v>
      </c>
      <c r="F468" t="inlineStr">
        <is>
          <t>Sold</t>
        </is>
      </c>
      <c r="G468" s="6">
        <f>HYPERLINK("https://www.kleinanzeigen.de/s-anzeige/windsurf-komplett-set/2852329766-230-6576", "Link")</f>
        <v/>
      </c>
      <c r="H468" s="6">
        <f>HYPERLINK("C:\Projects\Kleinanzeigen-Scraper\offer_images\2852329766", "Link")</f>
        <v/>
      </c>
      <c r="I468" t="inlineStr">
        <is>
          <t>Privat</t>
        </is>
      </c>
      <c r="J468" s="6">
        <f>HYPERLINK("https://www.kleinanzeigen.de/s-bestandsliste.html?userId=59586780", "Link")</f>
        <v/>
      </c>
      <c r="K468" s="7" t="n">
        <v>45537.57849537037</v>
      </c>
      <c r="L468" s="3" t="inlineStr">
        <is>
          <t>29.84</t>
        </is>
      </c>
      <c r="M468" t="inlineStr">
        <is>
          <t>München</t>
        </is>
      </c>
    </row>
    <row r="469">
      <c r="A469" t="inlineStr">
        <is>
          <t>Complete windsurfing equipment including board and sail.</t>
        </is>
      </c>
      <c r="B469" s="4" t="n">
        <v>650</v>
      </c>
      <c r="C469" t="inlineStr"/>
      <c r="D469" t="inlineStr">
        <is>
          <t>34399 Wesertal - Gieselwerder</t>
        </is>
      </c>
      <c r="E469" s="5" t="n">
        <v>45537</v>
      </c>
      <c r="F469" t="inlineStr">
        <is>
          <t>Sold</t>
        </is>
      </c>
      <c r="G469" s="6">
        <f>HYPERLINK("https://www.kleinanzeigen.de/s-anzeige/windsurfen-komplettausruestung-surfbrett-segel/2852389100-230-2785", "Link")</f>
        <v/>
      </c>
      <c r="H469" s="6">
        <f>HYPERLINK("C:\Projects\Kleinanzeigen-Scraper\offer_images\2852389100", "Link")</f>
        <v/>
      </c>
      <c r="I469" t="inlineStr">
        <is>
          <t>Felix Rehbein</t>
        </is>
      </c>
      <c r="J469" s="6">
        <f>HYPERLINK("https://www.kleinanzeigen.de/s-bestandsliste.html?userId=73499565", "Link")</f>
        <v/>
      </c>
      <c r="K469" s="7" t="n">
        <v>45537.57847222222</v>
      </c>
      <c r="L469" s="3" t="inlineStr">
        <is>
          <t>198.50</t>
        </is>
      </c>
      <c r="M469" t="inlineStr">
        <is>
          <t>Köln</t>
        </is>
      </c>
    </row>
    <row r="470">
      <c r="A470" t="inlineStr">
        <is>
          <t>Complete kids windsurfing rig including 2.5 qm sail, mast, boom, and mast foot with transport bag.</t>
        </is>
      </c>
      <c r="B470" s="4" t="n">
        <v>95</v>
      </c>
      <c r="C470" t="inlineStr"/>
      <c r="D470" t="inlineStr">
        <is>
          <t>88400 Baden-Württemberg - Biberach an der Riß</t>
        </is>
      </c>
      <c r="E470" s="5" t="n">
        <v>45537</v>
      </c>
      <c r="F470" t="inlineStr">
        <is>
          <t>Sold</t>
        </is>
      </c>
      <c r="G470" s="6">
        <f>HYPERLINK("https://www.kleinanzeigen.de/s-anzeige/windsurf-kindersegel-kinderrigg-2-5-qm-komplett-mast-gabelbaum/2852269190-230-8706", "Link")</f>
        <v/>
      </c>
      <c r="H470" s="6">
        <f>HYPERLINK("C:\Projects\Kleinanzeigen-Scraper\offer_images\2852269190", "Link")</f>
        <v/>
      </c>
      <c r="I470" t="inlineStr">
        <is>
          <t>Stefan Herbert</t>
        </is>
      </c>
      <c r="J470" s="6">
        <f>HYPERLINK("https://www.kleinanzeigen.de/s-bestandsliste.html?userId=6551911", "Link")</f>
        <v/>
      </c>
      <c r="K470" s="7" t="n">
        <v>45537.57810185185</v>
      </c>
      <c r="L470" s="3" t="inlineStr">
        <is>
          <t>89.53</t>
        </is>
      </c>
      <c r="M470" t="inlineStr">
        <is>
          <t>Böblingen</t>
        </is>
      </c>
    </row>
    <row r="471">
      <c r="A471" t="inlineStr">
        <is>
          <t>Includes F2 Comet Slalom 315 board (149 l, 315 cm), Gun Sails Evolution sail (6.4 m²), mast, mast foot, boom, and various accessories including harnesses, wetsuits, neoprene shoes, and gloves.</t>
        </is>
      </c>
      <c r="B471" s="4" t="n">
        <v>250</v>
      </c>
      <c r="C471" t="inlineStr"/>
      <c r="D471" t="inlineStr">
        <is>
          <t>83416 Bayern - Saaldorf-Surheim</t>
        </is>
      </c>
      <c r="E471" s="5" t="n">
        <v>45530</v>
      </c>
      <c r="F471" t="inlineStr">
        <is>
          <t>Sold</t>
        </is>
      </c>
      <c r="G471" s="6">
        <f>HYPERLINK("https://www.kleinanzeigen.de/s-anzeige/windsurfer-f2-comet-slalom-315-mit-umfangreichem-zubehoer/2846921314-230-6270", "Link")</f>
        <v/>
      </c>
      <c r="H471" s="6">
        <f>HYPERLINK("C:\Projects\Kleinanzeigen-Scraper\offer_images\2846921314", "Link")</f>
        <v/>
      </c>
      <c r="I471" t="inlineStr">
        <is>
          <t>Hermann NICOLAI</t>
        </is>
      </c>
      <c r="J471" s="6">
        <f>HYPERLINK("https://www.kleinanzeigen.de/s-bestandsliste.html?userId=48266235", "Link")</f>
        <v/>
      </c>
      <c r="K471" s="7" t="n">
        <v>45536.97798611111</v>
      </c>
      <c r="L471" s="3" t="inlineStr">
        <is>
          <t>105.51</t>
        </is>
      </c>
      <c r="M471" t="inlineStr">
        <is>
          <t>München</t>
        </is>
      </c>
    </row>
    <row r="472">
      <c r="A472" t="inlineStr">
        <is>
          <t>Includes Fanatic Lite Bat board with daggerboard, 2 fins, Fanatic Lite Wing sail 5.6 m² (strong signs of use), Fanatic Heavy Duty mast 470 cm with variable mast base, variable boom 170-230 cm with harness lines, and a transport cart.</t>
        </is>
      </c>
      <c r="B472" s="4" t="n">
        <v>50</v>
      </c>
      <c r="C472" t="inlineStr">
        <is>
          <t>VB</t>
        </is>
      </c>
      <c r="D472" t="inlineStr">
        <is>
          <t>40764 Nordrhein-Westfalen - Langenfeld</t>
        </is>
      </c>
      <c r="E472" s="5" t="n">
        <v>45536</v>
      </c>
      <c r="F472" t="inlineStr">
        <is>
          <t>Sold</t>
        </is>
      </c>
      <c r="G472" s="6">
        <f>HYPERLINK("https://www.kleinanzeigen.de/s-anzeige/windsurf-komplettset-mit-zubehoer/2852164841-230-1863", "Link")</f>
        <v/>
      </c>
      <c r="H472" s="6">
        <f>HYPERLINK("C:\Projects\Kleinanzeigen-Scraper\offer_images\2852164841", "Link")</f>
        <v/>
      </c>
      <c r="I472" t="inlineStr">
        <is>
          <t>Seniorensportler</t>
        </is>
      </c>
      <c r="J472" s="6">
        <f>HYPERLINK("https://www.kleinanzeigen.de/s-bestandsliste.html?userId=143948841", "Link")</f>
        <v/>
      </c>
      <c r="K472" s="7" t="n">
        <v>45536.96863425926</v>
      </c>
      <c r="L472" s="3" t="inlineStr">
        <is>
          <t>20.06</t>
        </is>
      </c>
      <c r="M472" t="inlineStr">
        <is>
          <t>Köln</t>
        </is>
      </c>
    </row>
    <row r="473">
      <c r="A473" t="inlineStr">
        <is>
          <t>Includes Fanatic Freeride sail (6.6), Pacific Lance mast, boom (180-230 cm), mast foot, mast extension, mast foot protector, and Cheeky sailbag. Equipment is in good condition.</t>
        </is>
      </c>
      <c r="B473" s="4" t="n">
        <v>100</v>
      </c>
      <c r="C473" t="inlineStr">
        <is>
          <t>VB</t>
        </is>
      </c>
      <c r="D473" t="inlineStr">
        <is>
          <t>22946 Schleswig-Holstein - Trittau</t>
        </is>
      </c>
      <c r="E473" s="5" t="n">
        <v>45536</v>
      </c>
      <c r="F473" t="inlineStr">
        <is>
          <t>Sold</t>
        </is>
      </c>
      <c r="G473" s="6">
        <f>HYPERLINK("https://www.kleinanzeigen.de/s-anzeige/windsurf-ausruestung-segel-mast-gabelbaum-und-zubehoer/2852167582-230-753", "Link")</f>
        <v/>
      </c>
      <c r="H473" s="6">
        <f>HYPERLINK("C:\Projects\Kleinanzeigen-Scraper\offer_images\2852167582", "Link")</f>
        <v/>
      </c>
      <c r="I473" t="inlineStr">
        <is>
          <t>Mark</t>
        </is>
      </c>
      <c r="J473" s="6">
        <f>HYPERLINK("https://www.kleinanzeigen.de/s-bestandsliste.html?userId=92448221", "Link")</f>
        <v/>
      </c>
      <c r="K473" s="7" t="n">
        <v>45536.96826388889</v>
      </c>
      <c r="L473" s="3" t="inlineStr">
        <is>
          <t>376.36</t>
        </is>
      </c>
      <c r="M473" t="inlineStr">
        <is>
          <t>Köln</t>
        </is>
      </c>
    </row>
    <row r="474">
      <c r="A474" t="inlineStr">
        <is>
          <t>Includes North 5.7 sqm sail and Lectra 3.6 sqm sail, both in good condition.</t>
        </is>
      </c>
      <c r="B474" s="4" t="n">
        <v>30</v>
      </c>
      <c r="C474" t="inlineStr">
        <is>
          <t>VB</t>
        </is>
      </c>
      <c r="D474" t="inlineStr">
        <is>
          <t>18055 Rostock - Stadtmitte</t>
        </is>
      </c>
      <c r="E474" s="5" t="n">
        <v>45528</v>
      </c>
      <c r="F474" t="inlineStr">
        <is>
          <t>Sold</t>
        </is>
      </c>
      <c r="G474" s="6">
        <f>HYPERLINK("https://www.kleinanzeigen.de/s-anzeige/segel-windsurfen/2845372962-230-157", "Link")</f>
        <v/>
      </c>
      <c r="H474" s="6">
        <f>HYPERLINK("C:\Projects\Kleinanzeigen-Scraper\offer_images\2845372962", "Link")</f>
        <v/>
      </c>
      <c r="I474" t="inlineStr">
        <is>
          <t>Claus</t>
        </is>
      </c>
      <c r="J474" s="6">
        <f>HYPERLINK("https://www.kleinanzeigen.de/s-bestandsliste.html?userId=6841017", "Link")</f>
        <v/>
      </c>
      <c r="K474" s="7" t="n">
        <v>45536.96805555555</v>
      </c>
      <c r="L474" s="3" t="inlineStr">
        <is>
          <t>496.50</t>
        </is>
      </c>
      <c r="M474" t="inlineStr">
        <is>
          <t>Köln</t>
        </is>
      </c>
    </row>
    <row r="475">
      <c r="A475" t="inlineStr">
        <is>
          <t>Gunsails Dragon Kinder Segelset including Monofilm Sail 3.6qm, adjustable Aluminum Mast, Boom 120-160 cm, Mastbase, and Sail Bag.</t>
        </is>
      </c>
      <c r="B475" s="4" t="n">
        <v>150</v>
      </c>
      <c r="C475" t="inlineStr">
        <is>
          <t>VB</t>
        </is>
      </c>
      <c r="D475" t="inlineStr">
        <is>
          <t>38108 Braunschweig</t>
        </is>
      </c>
      <c r="E475" s="5" t="n">
        <v>45534</v>
      </c>
      <c r="F475" t="inlineStr">
        <is>
          <t>Sold</t>
        </is>
      </c>
      <c r="G475" s="6">
        <f>HYPERLINK("https://www.dailydose.de/kleinanzeigen/detail.htm?ai=421777&amp;cf=kk&amp;pg=5&amp;ci=5", "Link")</f>
        <v/>
      </c>
      <c r="H475" s="6">
        <f>HYPERLINK("C:\Projects\Kleinanzeigen-Scraper\offer_images\421777", "Link")</f>
        <v/>
      </c>
      <c r="I475" t="inlineStr">
        <is>
          <t>Paul_G</t>
        </is>
      </c>
      <c r="J475" s="6">
        <f>HYPERLINK("https://www.dailydose.de/kleinanzeigen/user/26242", "Link")</f>
        <v/>
      </c>
      <c r="K475" s="7" t="n">
        <v>45536.91425925926</v>
      </c>
      <c r="L475" s="3" t="inlineStr">
        <is>
          <t>292.95</t>
        </is>
      </c>
      <c r="M475" t="inlineStr">
        <is>
          <t>Köln</t>
        </is>
      </c>
    </row>
    <row r="476">
      <c r="A476" t="inlineStr">
        <is>
          <t>Complete set including Gun Sails Dragon 3.2 sail, mast, and mast foot. Like new, used once at Lake Garda.</t>
        </is>
      </c>
      <c r="B476" s="4" t="n">
        <v>159</v>
      </c>
      <c r="C476" t="inlineStr"/>
      <c r="D476" t="inlineStr">
        <is>
          <t>51069 Köln</t>
        </is>
      </c>
      <c r="E476" s="5" t="n">
        <v>45534</v>
      </c>
      <c r="F476" t="inlineStr">
        <is>
          <t>Sold</t>
        </is>
      </c>
      <c r="G476" s="6">
        <f>HYPERLINK("https://www.dailydose.de/kleinanzeigen/detail.htm?ai=421809&amp;cf=kk&amp;pg=5&amp;ci=5", "Link")</f>
        <v/>
      </c>
      <c r="H476" s="6">
        <f>HYPERLINK("C:\Projects\Kleinanzeigen-Scraper\offer_images\421809", "Link")</f>
        <v/>
      </c>
      <c r="I476" t="inlineStr">
        <is>
          <t>riverracer</t>
        </is>
      </c>
      <c r="J476" s="6">
        <f>HYPERLINK("https://www.dailydose.de/kleinanzeigen/user/15726", "Link")</f>
        <v/>
      </c>
      <c r="K476" s="7" t="n">
        <v>45536.91386574074</v>
      </c>
      <c r="L476" s="3" t="inlineStr">
        <is>
          <t>9.37</t>
        </is>
      </c>
      <c r="M476" t="inlineStr">
        <is>
          <t>Köln</t>
        </is>
      </c>
    </row>
    <row r="477">
      <c r="A477" t="inlineStr">
        <is>
          <t>Complete wave equipment including Lorch Splash 76l board, Gunsails Transwave 5qm sail, North Volt 4.2 qm sail, Sailloft Quad 3.6 qm sail, North Wavemast 4m 100% Carbon, Z-Wave Mast 3.7 qm 55%, Goya Mono carbon boom 140-190 cm. All in good condition, except the 4.2 qm sail has a small cut.</t>
        </is>
      </c>
      <c r="B477" s="4" t="n">
        <v>699</v>
      </c>
      <c r="C477" t="inlineStr">
        <is>
          <t>VB</t>
        </is>
      </c>
      <c r="D477" t="inlineStr">
        <is>
          <t>59368 Werne</t>
        </is>
      </c>
      <c r="E477" s="5" t="n">
        <v>45522</v>
      </c>
      <c r="F477" t="inlineStr">
        <is>
          <t>Sold</t>
        </is>
      </c>
      <c r="G477" s="6">
        <f>HYPERLINK("https://www.dailydose.de/kleinanzeigen/detail.htm?ai=421136&amp;cf=kk&amp;pg=5&amp;ci=11", "Link")</f>
        <v/>
      </c>
      <c r="H477" s="6">
        <f>HYPERLINK("C:\Projects\Kleinanzeigen-Scraper\offer_images\421136", "Link")</f>
        <v/>
      </c>
      <c r="I477" t="inlineStr">
        <is>
          <t>richard_51</t>
        </is>
      </c>
      <c r="J477" s="6">
        <f>HYPERLINK("https://www.dailydose.de/kleinanzeigen/user/19969", "Link")</f>
        <v/>
      </c>
      <c r="K477" s="7" t="n">
        <v>45536.91373842592</v>
      </c>
      <c r="L477" s="3" t="inlineStr">
        <is>
          <t>92.66</t>
        </is>
      </c>
      <c r="M477" t="inlineStr">
        <is>
          <t>Köln</t>
        </is>
      </c>
    </row>
    <row r="478">
      <c r="A478" t="inlineStr">
        <is>
          <t>Gaastra Sails Pure Freestyle 2024 available in sizes 4.4, 4.8, and 5.2, all new and unused.</t>
        </is>
      </c>
      <c r="B478" s="4" t="n">
        <v>1650</v>
      </c>
      <c r="C478" t="inlineStr"/>
      <c r="D478" t="inlineStr">
        <is>
          <t>41061 Mönchengladbach</t>
        </is>
      </c>
      <c r="E478" s="5" t="n">
        <v>45536</v>
      </c>
      <c r="F478" t="inlineStr">
        <is>
          <t>Sold</t>
        </is>
      </c>
      <c r="G478" s="6">
        <f>HYPERLINK("https://www.dailydose.de/kleinanzeigen/detail.htm?ai=421890&amp;cf=kk&amp;pg=5&amp;ci=5", "Link")</f>
        <v/>
      </c>
      <c r="H478" s="6">
        <f>HYPERLINK("C:\Projects\Kleinanzeigen-Scraper\offer_images\421890", "Link")</f>
        <v/>
      </c>
      <c r="I478" t="inlineStr">
        <is>
          <t>Schmitz Dirk</t>
        </is>
      </c>
      <c r="J478" s="6">
        <f>HYPERLINK("https://www.dailydose.de/kleinanzeigen/user/20919", "Link")</f>
        <v/>
      </c>
      <c r="K478" s="7" t="n">
        <v>45536.91350694445</v>
      </c>
      <c r="L478" s="3" t="inlineStr">
        <is>
          <t>46.37</t>
        </is>
      </c>
      <c r="M478" t="inlineStr">
        <is>
          <t>Köln</t>
        </is>
      </c>
    </row>
    <row r="479">
      <c r="A479" t="inlineStr">
        <is>
          <t>Kinderrigg Tiki Pro 2.8, includes sail and rig components</t>
        </is>
      </c>
      <c r="B479" s="4" t="n">
        <v>150</v>
      </c>
      <c r="C479" t="inlineStr"/>
      <c r="D479" t="inlineStr">
        <is>
          <t>21423 Winsen</t>
        </is>
      </c>
      <c r="E479" s="5" t="n">
        <v>45536</v>
      </c>
      <c r="F479" t="inlineStr">
        <is>
          <t>Sold</t>
        </is>
      </c>
      <c r="G479" s="6">
        <f>HYPERLINK("https://www.dailydose.de/kleinanzeigen/detail.htm?ai=421892&amp;cf=kk&amp;pg=5&amp;ci=5", "Link")</f>
        <v/>
      </c>
      <c r="H479" s="6">
        <f>HYPERLINK("C:\Projects\Kleinanzeigen-Scraper\offer_images\421892", "Link")</f>
        <v/>
      </c>
      <c r="I479" t="inlineStr">
        <is>
          <t>Torsten_281</t>
        </is>
      </c>
      <c r="J479" s="6">
        <f>HYPERLINK("https://www.dailydose.de/kleinanzeigen/user/24189", "Link")</f>
        <v/>
      </c>
      <c r="K479" s="7" t="n">
        <v>45536.91302083333</v>
      </c>
      <c r="L479" s="3" t="inlineStr">
        <is>
          <t>349.14</t>
        </is>
      </c>
      <c r="M479" t="inlineStr">
        <is>
          <t>Köln</t>
        </is>
      </c>
    </row>
    <row r="480">
      <c r="A480" t="inlineStr">
        <is>
          <t>Gunsails Dragon Kinder Segelset including Monofilm sail (1.8qm), adjustable aluminum mast, boom (120-160 cm), mast base, and sail bag.</t>
        </is>
      </c>
      <c r="B480" s="4" t="n">
        <v>170</v>
      </c>
      <c r="C480" t="inlineStr">
        <is>
          <t>VB</t>
        </is>
      </c>
      <c r="D480" t="inlineStr">
        <is>
          <t>38108 Braunschweig</t>
        </is>
      </c>
      <c r="E480" s="5" t="n">
        <v>45534</v>
      </c>
      <c r="F480" t="inlineStr">
        <is>
          <t>Sold</t>
        </is>
      </c>
      <c r="G480" s="6">
        <f>HYPERLINK("https://www.dailydose.de/kleinanzeigen/detail.htm?ai=421778&amp;cf=kk&amp;pg=5&amp;ci=5", "Link")</f>
        <v/>
      </c>
      <c r="H480" s="6">
        <f>HYPERLINK("C:\Projects\Kleinanzeigen-Scraper\offer_images\421778", "Link")</f>
        <v/>
      </c>
      <c r="I480" t="inlineStr">
        <is>
          <t>Paul_G</t>
        </is>
      </c>
      <c r="J480" s="6">
        <f>HYPERLINK("https://www.dailydose.de/kleinanzeigen/user/26242", "Link")</f>
        <v/>
      </c>
      <c r="K480" s="7" t="n">
        <v>45536.91269675926</v>
      </c>
      <c r="L480" s="3" t="inlineStr">
        <is>
          <t>292.95</t>
        </is>
      </c>
      <c r="M480" t="inlineStr">
        <is>
          <t>Köln</t>
        </is>
      </c>
    </row>
    <row r="481">
      <c r="A481" t="inlineStr">
        <is>
          <t>Windsurf Set including 1 Board (F2, approx. 160 L), 3 Sails (5.3, 6.4, 7.4 m²), Mast, Boom, Fin, Centerboard, Mast extension, Mast foot, and Harness.</t>
        </is>
      </c>
      <c r="B481" s="4" t="inlineStr">
        <is>
          <t>175  FP</t>
        </is>
      </c>
      <c r="C481" t="inlineStr"/>
      <c r="D481" t="inlineStr">
        <is>
          <t>8071 sn Nunspeet</t>
        </is>
      </c>
      <c r="E481" s="5" t="n">
        <v>45490</v>
      </c>
      <c r="F481" t="inlineStr"/>
      <c r="G481" s="6">
        <f>HYPERLINK("https://www.dailydose.de/kleinanzeigen/detail.htm?ai=419535&amp;cf=kk&amp;pg=4&amp;ci=2", "Link")</f>
        <v/>
      </c>
      <c r="H481" s="6">
        <f>HYPERLINK("C:\Projects\Kleinanzeigen-Scraper\offer_images\419535", "Link")</f>
        <v/>
      </c>
      <c r="I481" t="inlineStr">
        <is>
          <t>surftkaum</t>
        </is>
      </c>
      <c r="J481" s="6">
        <f>HYPERLINK("https://www.dailydose.de/kleinanzeigen/user/20057", "Link")</f>
        <v/>
      </c>
      <c r="K481" s="7" t="n">
        <v>45536.91228009259</v>
      </c>
      <c r="L481" s="3" t="inlineStr">
        <is>
          <t>40.33</t>
        </is>
      </c>
      <c r="M481" t="inlineStr">
        <is>
          <t>Köln</t>
        </is>
      </c>
    </row>
    <row r="482">
      <c r="A482" t="inlineStr">
        <is>
          <t>Includes DUOTONE SUPER STAR SLS sails: 5.3 (3 times used), 4.2 (1 time used), and 3.7 (new, unused), all in like-new condition.</t>
        </is>
      </c>
      <c r="B482" s="4" t="inlineStr">
        <is>
          <t>ab 370</t>
        </is>
      </c>
      <c r="C482" t="inlineStr"/>
      <c r="D482" t="inlineStr">
        <is>
          <t>35096 Weimar</t>
        </is>
      </c>
      <c r="E482" s="5" t="n">
        <v>45536</v>
      </c>
      <c r="F482" t="inlineStr">
        <is>
          <t>Sold</t>
        </is>
      </c>
      <c r="G482" s="6">
        <f>HYPERLINK("https://www.dailydose.de/kleinanzeigen/detail.htm?ai=421903&amp;cf=kk&amp;pg=5&amp;ci=5", "Link")</f>
        <v/>
      </c>
      <c r="H482" s="6">
        <f>HYPERLINK("C:\Projects\Kleinanzeigen-Scraper\offer_images\421903", "Link")</f>
        <v/>
      </c>
      <c r="I482" t="inlineStr">
        <is>
          <t>Harald Dorndorf</t>
        </is>
      </c>
      <c r="J482" s="6">
        <f>HYPERLINK("https://www.dailydose.de/kleinanzeigen/user/11063", "Link")</f>
        <v/>
      </c>
      <c r="K482" s="7" t="n">
        <v>45536.91155092593</v>
      </c>
      <c r="L482" s="3" t="inlineStr">
        <is>
          <t>124.91</t>
        </is>
      </c>
      <c r="M482" t="inlineStr">
        <is>
          <t>Köln</t>
        </is>
      </c>
    </row>
    <row r="483">
      <c r="A483" t="inlineStr">
        <is>
          <t>Includes TIKI sail (2.0m²), aluminum mast, and boom with start line.</t>
        </is>
      </c>
      <c r="B483" s="4" t="n">
        <v>45</v>
      </c>
      <c r="C483" t="inlineStr">
        <is>
          <t>VB</t>
        </is>
      </c>
      <c r="D483" t="inlineStr">
        <is>
          <t>24109 Kiel</t>
        </is>
      </c>
      <c r="E483" s="5" t="n">
        <v>45535</v>
      </c>
      <c r="F483" t="inlineStr">
        <is>
          <t>Sold</t>
        </is>
      </c>
      <c r="G483" s="6">
        <f>HYPERLINK("https://www.dailydose.de/kleinanzeigen/detail.htm?ai=421850&amp;cf=kk&amp;pg=5&amp;ci=5", "Link")</f>
        <v/>
      </c>
      <c r="H483" s="6">
        <f>HYPERLINK("C:\Projects\Kleinanzeigen-Scraper\offer_images\421850", "Link")</f>
        <v/>
      </c>
      <c r="I483" t="inlineStr">
        <is>
          <t>Simon_84</t>
        </is>
      </c>
      <c r="J483" s="6">
        <f>HYPERLINK("https://www.dailydose.de/kleinanzeigen/user/21444", "Link")</f>
        <v/>
      </c>
      <c r="K483" s="7" t="n">
        <v>45536.91144675926</v>
      </c>
      <c r="L483" s="3" t="inlineStr">
        <is>
          <t>429.71</t>
        </is>
      </c>
      <c r="M483" t="inlineStr">
        <is>
          <t>Köln</t>
        </is>
      </c>
    </row>
    <row r="484">
      <c r="A484" t="inlineStr">
        <is>
          <t>Large set of used windsurfing sails, booms, and masts. Items can be sold individually.</t>
        </is>
      </c>
      <c r="B484" s="4" t="inlineStr">
        <is>
          <t>350 komplett</t>
        </is>
      </c>
      <c r="C484" t="inlineStr"/>
      <c r="D484" t="inlineStr">
        <is>
          <t>33154 Salzkotten</t>
        </is>
      </c>
      <c r="E484" s="5" t="n">
        <v>45533</v>
      </c>
      <c r="F484" t="inlineStr">
        <is>
          <t>Sold</t>
        </is>
      </c>
      <c r="G484" s="6">
        <f>HYPERLINK("https://www.dailydose.de/kleinanzeigen/detail.htm?ai=421729&amp;cf=kk&amp;pg=5&amp;ci=5", "Link")</f>
        <v/>
      </c>
      <c r="H484" s="6">
        <f>HYPERLINK("C:\Projects\Kleinanzeigen-Scraper\offer_images\421729", "Link")</f>
        <v/>
      </c>
      <c r="I484" t="inlineStr">
        <is>
          <t>Vkaasi</t>
        </is>
      </c>
      <c r="J484" s="6">
        <f>HYPERLINK("https://www.dailydose.de/kleinanzeigen/user/26334", "Link")</f>
        <v/>
      </c>
      <c r="K484" s="7" t="n">
        <v>45536.91142361111</v>
      </c>
      <c r="L484" s="3" t="inlineStr">
        <is>
          <t>140.54</t>
        </is>
      </c>
      <c r="M484" t="inlineStr">
        <is>
          <t>Köln</t>
        </is>
      </c>
    </row>
    <row r="485">
      <c r="A485" t="inlineStr">
        <is>
          <t>Includes Fanatic Viper 80 board, Duotone Sail EPX 6.4, North Sails sail 4.7m², Duotone Gabelbaum 140-190, Duotone 430 Mast 50% Carbon, Power XTR Mastverlängerung RDM, Variotampen, and a hip harness.</t>
        </is>
      </c>
      <c r="B485" s="4" t="n">
        <v>1200</v>
      </c>
      <c r="C485" t="inlineStr">
        <is>
          <t>VB</t>
        </is>
      </c>
      <c r="D485" t="inlineStr">
        <is>
          <t>09557 Flöha</t>
        </is>
      </c>
      <c r="E485" s="5" t="n">
        <v>45524</v>
      </c>
      <c r="F485" t="inlineStr">
        <is>
          <t>Sold</t>
        </is>
      </c>
      <c r="G485" s="6">
        <f>HYPERLINK("https://www.dailydose.de/kleinanzeigen/detail.htm?ai=421192&amp;cf=kk&amp;pg=5&amp;ci=11", "Link")</f>
        <v/>
      </c>
      <c r="H485" s="6">
        <f>HYPERLINK("C:\Projects\Kleinanzeigen-Scraper\offer_images\421192", "Link")</f>
        <v/>
      </c>
      <c r="I485" t="inlineStr">
        <is>
          <t>Hans</t>
        </is>
      </c>
      <c r="J485" s="6">
        <f>HYPERLINK("https://www.dailydose.de/kleinanzeigen/user/2952", "Link")</f>
        <v/>
      </c>
      <c r="K485" s="7" t="n">
        <v>45536.91126157407</v>
      </c>
      <c r="L485" s="3" t="inlineStr">
        <is>
          <t>321.31</t>
        </is>
      </c>
      <c r="M485" t="inlineStr">
        <is>
          <t>München</t>
        </is>
      </c>
    </row>
    <row r="486">
      <c r="A486" t="inlineStr">
        <is>
          <t>Duotone Idol sails available in sizes 4.0, 4.4, and 4.8, with typical signs of use and minor repairs.</t>
        </is>
      </c>
      <c r="B486" s="4" t="n">
        <v>450</v>
      </c>
      <c r="C486" t="inlineStr">
        <is>
          <t>VB</t>
        </is>
      </c>
      <c r="D486" t="inlineStr">
        <is>
          <t>82229 Seefeld, Bayern</t>
        </is>
      </c>
      <c r="E486" s="5" t="n">
        <v>45532</v>
      </c>
      <c r="F486" t="inlineStr">
        <is>
          <t>Sold</t>
        </is>
      </c>
      <c r="G486" s="6">
        <f>HYPERLINK("https://www.dailydose.de/kleinanzeigen/detail.htm?ai=421654&amp;cf=kk&amp;pg=5&amp;ci=5", "Link")</f>
        <v/>
      </c>
      <c r="H486" s="6">
        <f>HYPERLINK("C:\Projects\Kleinanzeigen-Scraper\offer_images\421654", "Link")</f>
        <v/>
      </c>
      <c r="I486" t="inlineStr">
        <is>
          <t>Felix_13</t>
        </is>
      </c>
      <c r="J486" s="6">
        <f>HYPERLINK("https://www.dailydose.de/kleinanzeigen/user/7912", "Link")</f>
        <v/>
      </c>
      <c r="K486" s="7" t="n">
        <v>45536.91107638889</v>
      </c>
      <c r="L486" s="3" t="inlineStr">
        <is>
          <t>27.49</t>
        </is>
      </c>
      <c r="M486" t="inlineStr">
        <is>
          <t>München</t>
        </is>
      </c>
    </row>
    <row r="487">
      <c r="A487" t="inlineStr">
        <is>
          <t>North Segel 5,0qm from the Natural series and a matching aluminum boom from Point 7 with a size range of 140-190 cm.</t>
        </is>
      </c>
      <c r="B487" s="4" t="n">
        <v>195</v>
      </c>
      <c r="C487" t="inlineStr"/>
      <c r="D487" t="inlineStr">
        <is>
          <t>24975 Hürup</t>
        </is>
      </c>
      <c r="E487" s="5" t="n">
        <v>45534</v>
      </c>
      <c r="F487" t="inlineStr">
        <is>
          <t>Sold</t>
        </is>
      </c>
      <c r="G487" s="6">
        <f>HYPERLINK("https://www.dailydose.de/kleinanzeigen/detail.htm?ai=421786&amp;cf=kk&amp;pg=3&amp;ci=5", "Link")</f>
        <v/>
      </c>
      <c r="H487" s="6">
        <f>HYPERLINK("C:\Projects\Kleinanzeigen-Scraper\offer_images\421786", "Link")</f>
        <v/>
      </c>
      <c r="I487" t="inlineStr">
        <is>
          <t>Cesare_266</t>
        </is>
      </c>
      <c r="J487" s="6">
        <f>HYPERLINK("https://www.dailydose.de/kleinanzeigen/user/22800", "Link")</f>
        <v/>
      </c>
      <c r="K487" s="7" t="n">
        <v>45536.91081018518</v>
      </c>
      <c r="L487" s="3" t="inlineStr">
        <is>
          <t>458.46</t>
        </is>
      </c>
      <c r="M487" t="inlineStr">
        <is>
          <t>Köln</t>
        </is>
      </c>
    </row>
    <row r="488">
      <c r="A488" t="inlineStr">
        <is>
          <t>Fanatic Skate 107 Team Edition board, 2 fins (Freestyle and Wave), 2 masts, boom, 4 sails, mast extensions, base, trimming tool, and a thick board bag, plus a Wave trapeze in size M.</t>
        </is>
      </c>
      <c r="B488" s="4" t="n">
        <v>850</v>
      </c>
      <c r="C488" t="inlineStr"/>
      <c r="D488" t="inlineStr">
        <is>
          <t>87452 Bayern - Altusried</t>
        </is>
      </c>
      <c r="E488" s="5" t="n">
        <v>45526</v>
      </c>
      <c r="F488" t="inlineStr">
        <is>
          <t>Sold</t>
        </is>
      </c>
      <c r="G488" s="6">
        <f>HYPERLINK("https://www.kleinanzeigen.de/s-anzeige/fanatic-skate-107-liter-riggs-komplett-set-windsurf/2843154327-230-7621", "Link")</f>
        <v/>
      </c>
      <c r="H488" s="6">
        <f>HYPERLINK("C:\Projects\Kleinanzeigen-Scraper\offer_images\2843154327", "Link")</f>
        <v/>
      </c>
      <c r="I488" t="inlineStr">
        <is>
          <t>Parzival</t>
        </is>
      </c>
      <c r="J488" s="6">
        <f>HYPERLINK("https://www.kleinanzeigen.de/s-bestandsliste.html?userId=40147316", "Link")</f>
        <v/>
      </c>
      <c r="K488" s="7" t="n">
        <v>45536.9105324074</v>
      </c>
      <c r="L488" s="3" t="inlineStr">
        <is>
          <t>109.83</t>
        </is>
      </c>
      <c r="M488" t="inlineStr">
        <is>
          <t>München</t>
        </is>
      </c>
    </row>
    <row r="489">
      <c r="A489" t="inlineStr">
        <is>
          <t>Includes a GUN Sails Loop SDM Mast (C50, 460cm), an aluminum boom (140-190) from Vandal, and a sail bag for transporting multiple sails.</t>
        </is>
      </c>
      <c r="B489" s="4" t="n">
        <v>50</v>
      </c>
      <c r="C489" t="inlineStr">
        <is>
          <t>VB</t>
        </is>
      </c>
      <c r="D489" t="inlineStr">
        <is>
          <t>40476 Düsseldorf - Derendorf</t>
        </is>
      </c>
      <c r="E489" s="5" t="n">
        <v>45533</v>
      </c>
      <c r="F489" t="inlineStr">
        <is>
          <t>Sold</t>
        </is>
      </c>
      <c r="G489" s="6">
        <f>HYPERLINK("https://www.kleinanzeigen.de/s-anzeige/windsurf-segel-gabel-baum-carbon-mast-tasche-gun-wave-no-duotone/2849254394-230-29943", "Link")</f>
        <v/>
      </c>
      <c r="H489" s="6">
        <f>HYPERLINK("C:\Projects\Kleinanzeigen-Scraper\offer_images\2849254394", "Link")</f>
        <v/>
      </c>
      <c r="I489" t="inlineStr">
        <is>
          <t>Christoph Michel</t>
        </is>
      </c>
      <c r="J489" s="6">
        <f>HYPERLINK("https://www.kleinanzeigen.de/s-bestandsliste.html?userId=11572880", "Link")</f>
        <v/>
      </c>
      <c r="K489" s="7" t="n">
        <v>45536.91052083333</v>
      </c>
      <c r="L489" s="3" t="inlineStr">
        <is>
          <t>36.50</t>
        </is>
      </c>
      <c r="M489" t="inlineStr">
        <is>
          <t>Köln</t>
        </is>
      </c>
    </row>
    <row r="490">
      <c r="A490" t="inlineStr">
        <is>
          <t>ART sail 6.8, Mast (497 cm), Boom (201 cm), Mast extension (180-225 cm)</t>
        </is>
      </c>
      <c r="B490" s="4" t="n">
        <v>65</v>
      </c>
      <c r="C490" t="inlineStr">
        <is>
          <t>VB</t>
        </is>
      </c>
      <c r="D490" t="inlineStr">
        <is>
          <t>45359 Essen - Essen-Borbeck</t>
        </is>
      </c>
      <c r="E490" s="5" t="n">
        <v>45529</v>
      </c>
      <c r="F490" t="inlineStr">
        <is>
          <t>Sold</t>
        </is>
      </c>
      <c r="G490" s="6">
        <f>HYPERLINK("https://www.kleinanzeigen.de/s-anzeige/art-segel-komplett-6-8-windsurfen/2846355846-241-2034", "Link")</f>
        <v/>
      </c>
      <c r="H490" s="6">
        <f>HYPERLINK("C:\Projects\Kleinanzeigen-Scraper\offer_images\2846355846", "Link")</f>
        <v/>
      </c>
      <c r="I490" t="inlineStr">
        <is>
          <t>Klaus Wientgens</t>
        </is>
      </c>
      <c r="J490" s="6">
        <f>HYPERLINK("https://www.kleinanzeigen.de/s-bestandsliste.html?userId=4524911", "Link")</f>
        <v/>
      </c>
      <c r="K490" s="7" t="n">
        <v>45536.91050925926</v>
      </c>
      <c r="L490" s="3" t="inlineStr">
        <is>
          <t>58.66</t>
        </is>
      </c>
      <c r="M490" t="inlineStr">
        <is>
          <t>Köln</t>
        </is>
      </c>
    </row>
    <row r="491">
      <c r="A491" t="inlineStr">
        <is>
          <t>Windsurf Komplettausrüstung including RRD Evolution Softdeckboard (240x75 cm, 155 liters volume) and 2 complete rigs (3.5 m² and 4 m²) with mast foot, mast, boom, sail, and uphaul line.</t>
        </is>
      </c>
      <c r="B491" s="4" t="n">
        <v>999</v>
      </c>
      <c r="C491" t="inlineStr">
        <is>
          <t>VB</t>
        </is>
      </c>
      <c r="D491" t="inlineStr">
        <is>
          <t>19061 Schwerin - Gartenstadt - Ostorf</t>
        </is>
      </c>
      <c r="E491" s="5" t="n">
        <v>45527</v>
      </c>
      <c r="F491" t="inlineStr">
        <is>
          <t>Sold</t>
        </is>
      </c>
      <c r="G491" s="6">
        <f>HYPERLINK("https://www.kleinanzeigen.de/s-anzeige/windsurf-komplettausruestung-rrd-surfboard-2x-kinderrigg/2844196979-230-16515", "Link")</f>
        <v/>
      </c>
      <c r="H491" s="6">
        <f>HYPERLINK("C:\Projects\Kleinanzeigen-Scraper\offer_images\2844196979", "Link")</f>
        <v/>
      </c>
      <c r="I491" t="inlineStr">
        <is>
          <t>Tom</t>
        </is>
      </c>
      <c r="J491" s="6">
        <f>HYPERLINK("https://www.kleinanzeigen.de/s-bestandsliste.html?userId=72951356", "Link")</f>
        <v/>
      </c>
      <c r="K491" s="7" t="n">
        <v>45536.91048611111</v>
      </c>
      <c r="L491" s="3" t="inlineStr">
        <is>
          <t>422.22</t>
        </is>
      </c>
      <c r="M491" t="inlineStr">
        <is>
          <t>Köln</t>
        </is>
      </c>
    </row>
    <row r="492">
      <c r="A492" t="inlineStr">
        <is>
          <t>North Sails Kid Light rig including 2 sails (2.5 sqm and 2.7 sqm), boom, mast, mast foot, and bag. Note: one sail is missing the lower sail batten.</t>
        </is>
      </c>
      <c r="B492" s="4" t="n">
        <v>90</v>
      </c>
      <c r="C492" t="inlineStr"/>
      <c r="D492" t="inlineStr">
        <is>
          <t>22761 Altona - Hamburg Bahrenfeld</t>
        </is>
      </c>
      <c r="E492" s="5" t="n">
        <v>45530</v>
      </c>
      <c r="F492" t="inlineStr">
        <is>
          <t>Sold</t>
        </is>
      </c>
      <c r="G492" s="6">
        <f>HYPERLINK("https://www.kleinanzeigen.de/s-anzeige/windsurfen-2-x-kindersegel-kinderrigg-north-sails-kid-light-2-5/2846728311-230-9503", "Link")</f>
        <v/>
      </c>
      <c r="H492" s="6">
        <f>HYPERLINK("C:\Projects\Kleinanzeigen-Scraper\offer_images\2846728311", "Link")</f>
        <v/>
      </c>
      <c r="I492" t="inlineStr">
        <is>
          <t>rente2050</t>
        </is>
      </c>
      <c r="J492" s="6">
        <f>HYPERLINK("https://www.kleinanzeigen.de/s-bestandsliste.html?userId=26850691", "Link")</f>
        <v/>
      </c>
      <c r="K492" s="7" t="n">
        <v>45536.91046296297</v>
      </c>
      <c r="L492" s="3" t="inlineStr">
        <is>
          <t>354.92</t>
        </is>
      </c>
      <c r="M492" t="inlineStr">
        <is>
          <t>Köln</t>
        </is>
      </c>
    </row>
    <row r="493">
      <c r="A493" t="inlineStr">
        <is>
          <t>Ascan Pro 4.0 Windsurf sail with 3-part skinny epoxy mast, adjustable boom, start line, mast foot for North pin, sail bag, and rigging bag. Suitable for persons up to 50kg.</t>
        </is>
      </c>
      <c r="B493" s="4" t="n">
        <v>180</v>
      </c>
      <c r="C493" t="inlineStr"/>
      <c r="D493" t="inlineStr">
        <is>
          <t>32756 Nordrhein-Westfalen - Detmold</t>
        </is>
      </c>
      <c r="E493" s="5" t="n">
        <v>45536</v>
      </c>
      <c r="F493" t="inlineStr">
        <is>
          <t>Sold</t>
        </is>
      </c>
      <c r="G493" s="6">
        <f>HYPERLINK("https://www.kleinanzeigen.de/s-anzeige/windsurf-kindersegel-ascan-pro-4-0-surfen-jugend-damen/2851363418-230-1794", "Link")</f>
        <v/>
      </c>
      <c r="H493" s="6">
        <f>HYPERLINK("C:\Projects\Kleinanzeigen-Scraper\offer_images\2851363418", "Link")</f>
        <v/>
      </c>
      <c r="I493" t="inlineStr">
        <is>
          <t>Martin</t>
        </is>
      </c>
      <c r="J493" s="6">
        <f>HYPERLINK("https://www.kleinanzeigen.de/s-bestandsliste.html?userId=20300915", "Link")</f>
        <v/>
      </c>
      <c r="K493" s="7" t="n">
        <v>45536.91042824074</v>
      </c>
      <c r="L493" s="3" t="inlineStr">
        <is>
          <t>172.99</t>
        </is>
      </c>
      <c r="M493" t="inlineStr">
        <is>
          <t>Köln</t>
        </is>
      </c>
    </row>
    <row r="494">
      <c r="A494" t="inlineStr">
        <is>
          <t>Kinder Rigg consisting of Mast, Boom, and Hifly Sail 3.2m², with sail bag.</t>
        </is>
      </c>
      <c r="B494" s="4" t="n">
        <v>60</v>
      </c>
      <c r="C494" t="inlineStr"/>
      <c r="D494" t="inlineStr">
        <is>
          <t>53175 Bonn - Bad Godesberg</t>
        </is>
      </c>
      <c r="E494" s="5" t="n">
        <v>45542</v>
      </c>
      <c r="F494" t="inlineStr">
        <is>
          <t>Sold</t>
        </is>
      </c>
      <c r="G494" s="6">
        <f>HYPERLINK("https://www.kleinanzeigen.de/s-anzeige/kinder-windsurf-rigg-von-hifly/2850661695-230-1040", "Link")</f>
        <v/>
      </c>
      <c r="H494" s="6">
        <f>HYPERLINK("C:\Projects\Kleinanzeigen-Scraper\offer_images\2850661695", "Link")</f>
        <v/>
      </c>
      <c r="I494" t="inlineStr">
        <is>
          <t>Hans - Peter Petschow</t>
        </is>
      </c>
      <c r="J494" s="6">
        <f>HYPERLINK("https://www.kleinanzeigen.de/s-bestandsliste.html?userId=41150323", "Link")</f>
        <v/>
      </c>
      <c r="K494" s="7" t="n">
        <v>45536.91042824074</v>
      </c>
      <c r="L494" s="3" t="inlineStr">
        <is>
          <t>30.05</t>
        </is>
      </c>
      <c r="M494" t="inlineStr">
        <is>
          <t>Köln</t>
        </is>
      </c>
    </row>
    <row r="495">
      <c r="A495" t="inlineStr">
        <is>
          <t>K2 HiTech3 Windsurf board with mast, 3 sails, boom, and harness. Retro windsurf set that hasn't been used for a few years.</t>
        </is>
      </c>
      <c r="B495" s="4" t="n">
        <v>220</v>
      </c>
      <c r="C495" t="inlineStr">
        <is>
          <t>VB</t>
        </is>
      </c>
      <c r="D495" t="inlineStr">
        <is>
          <t>86911 Bayern - Dießen</t>
        </is>
      </c>
      <c r="E495" s="5" t="n">
        <v>45536</v>
      </c>
      <c r="F495" t="inlineStr">
        <is>
          <t>Sold</t>
        </is>
      </c>
      <c r="G495" s="6">
        <f>HYPERLINK("https://www.kleinanzeigen.de/s-anzeige/windsurf-set/2851195060-230-5566", "Link")</f>
        <v/>
      </c>
      <c r="H495" s="6">
        <f>HYPERLINK("C:\Projects\Kleinanzeigen-Scraper\offer_images\2851195060", "Link")</f>
        <v/>
      </c>
      <c r="I495" t="inlineStr">
        <is>
          <t>Alexander Seibold</t>
        </is>
      </c>
      <c r="J495" s="6">
        <f>HYPERLINK("https://www.kleinanzeigen.de/s-bestandsliste.html?userId=24071720", "Link")</f>
        <v/>
      </c>
      <c r="K495" s="7" t="n">
        <v>45536.91041666667</v>
      </c>
      <c r="L495" s="3" t="inlineStr">
        <is>
          <t>41.04</t>
        </is>
      </c>
      <c r="M495" t="inlineStr">
        <is>
          <t>München</t>
        </is>
      </c>
    </row>
    <row r="496">
      <c r="A496" t="inlineStr">
        <is>
          <t>Complete Windsurf Set including F2 Vega FunFunction Board (134 liters, 300 cm), 4 sails (Gaastra 4.5 m², Funlight 5.0 m², Hitline 5.6 m², Levevre Camber 6.5 m²), 3 masts (2-piece 470 cm, 2x 1-piece 485 cm), mast extension, mast foot, and 2 fins.</t>
        </is>
      </c>
      <c r="B496" s="4" t="n">
        <v>300</v>
      </c>
      <c r="C496" t="inlineStr">
        <is>
          <t>VB</t>
        </is>
      </c>
      <c r="D496" t="inlineStr">
        <is>
          <t>79576 Baden-Württemberg - Weil am Rhein</t>
        </is>
      </c>
      <c r="E496" s="5" t="n">
        <v>45531</v>
      </c>
      <c r="F496" t="inlineStr">
        <is>
          <t>Sold</t>
        </is>
      </c>
      <c r="G496" s="6">
        <f>HYPERLINK("https://www.kleinanzeigen.de/s-anzeige/windsurf-set-f2-board-mit-3-masten-4-segel/2715119686-230-8325", "Link")</f>
        <v/>
      </c>
      <c r="H496" s="6">
        <f>HYPERLINK("C:\Projects\Kleinanzeigen-Scraper\offer_images\2715119686", "Link")</f>
        <v/>
      </c>
      <c r="I496" t="inlineStr">
        <is>
          <t>Thomas Hahn</t>
        </is>
      </c>
      <c r="J496" s="6">
        <f>HYPERLINK("https://www.kleinanzeigen.de/s-bestandsliste.html?userId=20002166", "Link")</f>
        <v/>
      </c>
      <c r="K496" s="7" t="n">
        <v>45536.9104050926</v>
      </c>
      <c r="L496" s="3" t="inlineStr">
        <is>
          <t>59.25</t>
        </is>
      </c>
      <c r="M496" t="inlineStr">
        <is>
          <t>Bonndorf</t>
        </is>
      </c>
    </row>
    <row r="497">
      <c r="A497" t="inlineStr">
        <is>
          <t>Includes Fanatic Fun Speed 320 board (165 liters), Fanatic mast (470 cm), Fanatic Power Cut sail (6.2 m²), Gun Sails X-Race sail (5.7 m²), ART Fun Slalom sail (4.0 m²), and various accessories.</t>
        </is>
      </c>
      <c r="B497" s="4" t="n">
        <v>150</v>
      </c>
      <c r="C497" t="inlineStr">
        <is>
          <t>VB</t>
        </is>
      </c>
      <c r="D497" t="inlineStr">
        <is>
          <t>34399 Wesertal - Gieselwerder</t>
        </is>
      </c>
      <c r="E497" s="5" t="n">
        <v>45536</v>
      </c>
      <c r="F497" t="inlineStr">
        <is>
          <t>Sold</t>
        </is>
      </c>
      <c r="G497" s="6">
        <f>HYPERLINK("https://www.kleinanzeigen.de/s-anzeige/windsurfen-surfbrett-mast-und-drei-segel/2851921585-230-2785", "Link")</f>
        <v/>
      </c>
      <c r="H497" s="6">
        <f>HYPERLINK("C:\Projects\Kleinanzeigen-Scraper\offer_images\2851921585", "Link")</f>
        <v/>
      </c>
      <c r="I497" t="inlineStr">
        <is>
          <t>Felix Rehbein</t>
        </is>
      </c>
      <c r="J497" s="6">
        <f>HYPERLINK("https://www.kleinanzeigen.de/s-bestandsliste.html?userId=73499565", "Link")</f>
        <v/>
      </c>
      <c r="K497" s="7" t="n">
        <v>45536.91038194444</v>
      </c>
      <c r="L497" s="3" t="inlineStr">
        <is>
          <t>198.50</t>
        </is>
      </c>
      <c r="M497" t="inlineStr">
        <is>
          <t>Köln</t>
        </is>
      </c>
    </row>
    <row r="498">
      <c r="A498" t="inlineStr">
        <is>
          <t>Complete SUP Windsurfing set including board, paddle, and pump, suitable for beginners.</t>
        </is>
      </c>
      <c r="B498" s="4" t="n">
        <v>600</v>
      </c>
      <c r="C498" t="inlineStr"/>
      <c r="D498" t="inlineStr">
        <is>
          <t>09355 Sachsen - Gersdorf</t>
        </is>
      </c>
      <c r="E498" s="5" t="n">
        <v>45561</v>
      </c>
      <c r="F498" t="inlineStr"/>
      <c r="G498" s="6">
        <f>HYPERLINK("https://www.kleinanzeigen.de/s-anzeige/sup-windsurfen-board-von-jobe-komplettset/2852090170-230-3952", "Link")</f>
        <v/>
      </c>
      <c r="H498" s="6">
        <f>HYPERLINK("C:\Projects\Kleinanzeigen-Scraper\offer_images\2852090170", "Link")</f>
        <v/>
      </c>
      <c r="I498" t="inlineStr">
        <is>
          <t>Nils</t>
        </is>
      </c>
      <c r="J498" s="6">
        <f>HYPERLINK("https://www.kleinanzeigen.de/s-bestandsliste.html?userId=64489433", "Link")</f>
        <v/>
      </c>
      <c r="K498" s="7" t="n">
        <v>45536.9103587963</v>
      </c>
      <c r="L498" s="3" t="inlineStr">
        <is>
          <t>302.93</t>
        </is>
      </c>
      <c r="M498" t="inlineStr">
        <is>
          <t>München</t>
        </is>
      </c>
    </row>
    <row r="499">
      <c r="A499" t="inlineStr">
        <is>
          <t>Windsurf rig consisting of Mast, Mast extension, Boom with harness lines, and Gaastra Sail Pilot 6.5m²</t>
        </is>
      </c>
      <c r="B499" s="4" t="n">
        <v>160</v>
      </c>
      <c r="C499" t="inlineStr"/>
      <c r="D499" t="inlineStr">
        <is>
          <t>53175 Bonn - Bad Godesberg</t>
        </is>
      </c>
      <c r="E499" s="5" t="n">
        <v>45533</v>
      </c>
      <c r="F499" t="inlineStr"/>
      <c r="G499" s="6">
        <f>HYPERLINK("https://www.kleinanzeigen.de/s-anzeige/windsurf-rigg/2849511014-230-1040", "Link")</f>
        <v/>
      </c>
      <c r="H499" s="6">
        <f>HYPERLINK("C:\Projects\Kleinanzeigen-Scraper\offer_images\2849511014", "Link")</f>
        <v/>
      </c>
      <c r="I499" t="inlineStr">
        <is>
          <t>Hans - Peter Petschow</t>
        </is>
      </c>
      <c r="J499" s="6">
        <f>HYPERLINK("https://www.kleinanzeigen.de/s-bestandsliste.html?userId=41150323", "Link")</f>
        <v/>
      </c>
      <c r="K499" s="7" t="n">
        <v>45536.9103125</v>
      </c>
      <c r="L499" s="3" t="inlineStr">
        <is>
          <t>30.05</t>
        </is>
      </c>
      <c r="M499" t="inlineStr">
        <is>
          <t>Köln</t>
        </is>
      </c>
    </row>
    <row r="500">
      <c r="A500" t="inlineStr">
        <is>
          <t>Includes a 6.4 m² sail and a 4.7 m Fanatic mast with necessary mast extension.</t>
        </is>
      </c>
      <c r="B500" s="4" t="n">
        <v>50</v>
      </c>
      <c r="C500" t="inlineStr"/>
      <c r="D500" t="inlineStr">
        <is>
          <t>06114 Sachsen-Anhalt - Halle</t>
        </is>
      </c>
      <c r="E500" s="5" t="n">
        <v>45536</v>
      </c>
      <c r="F500" t="inlineStr">
        <is>
          <t>Sold</t>
        </is>
      </c>
      <c r="G500" s="6">
        <f>HYPERLINK("https://www.kleinanzeigen.de/s-anzeige/windsurfen-mast-von-fanatic-4-7m-und-segel-6-4m-/2851877526-230-2419", "Link")</f>
        <v/>
      </c>
      <c r="H500" s="6">
        <f>HYPERLINK("C:\Projects\Kleinanzeigen-Scraper\offer_images\2851877526", "Link")</f>
        <v/>
      </c>
      <c r="I500" t="inlineStr">
        <is>
          <t>s.g.</t>
        </is>
      </c>
      <c r="J500" s="6">
        <f>HYPERLINK("https://www.kleinanzeigen.de/s-bestandsliste.html?userId=124092932", "Link")</f>
        <v/>
      </c>
      <c r="K500" s="7" t="n">
        <v>45536.9103125</v>
      </c>
      <c r="L500" s="3" t="inlineStr">
        <is>
          <t>354.16</t>
        </is>
      </c>
      <c r="M500" t="inlineStr">
        <is>
          <t>Köln</t>
        </is>
      </c>
    </row>
    <row r="501">
      <c r="A501" t="inlineStr">
        <is>
          <t>Includes three Windsurf sails (Sailworks 5.6m², Sailworks 5.0m², North Sails 5.0m²), a divisible mast, and an adjustable boom.</t>
        </is>
      </c>
      <c r="B501" s="4" t="n">
        <v>260</v>
      </c>
      <c r="C501" t="inlineStr"/>
      <c r="D501" t="inlineStr">
        <is>
          <t>81247 München - Allach-Untermenzing</t>
        </is>
      </c>
      <c r="E501" s="5" t="n">
        <v>45534</v>
      </c>
      <c r="F501" t="inlineStr">
        <is>
          <t>Sold</t>
        </is>
      </c>
      <c r="G501" s="6">
        <f>HYPERLINK("https://www.kleinanzeigen.de/s-anzeige/3-windsurf-segel-mast-teilbar-gabelbaum/2850076999-230-16335", "Link")</f>
        <v/>
      </c>
      <c r="H501" s="6">
        <f>HYPERLINK("C:\Projects\Kleinanzeigen-Scraper\offer_images\2850076999", "Link")</f>
        <v/>
      </c>
      <c r="I501" t="inlineStr">
        <is>
          <t>Isabella</t>
        </is>
      </c>
      <c r="J501" s="6">
        <f>HYPERLINK("https://www.kleinanzeigen.de/s-bestandsliste.html?userId=22406081", "Link")</f>
        <v/>
      </c>
      <c r="K501" s="7" t="n">
        <v>45536.91030092593</v>
      </c>
      <c r="L501" s="3" t="inlineStr">
        <is>
          <t>8.71</t>
        </is>
      </c>
      <c r="M501" t="inlineStr">
        <is>
          <t>München</t>
        </is>
      </c>
    </row>
    <row r="502">
      <c r="A502" t="inlineStr">
        <is>
          <t>Complete set including boards, sails, and wetsuits.</t>
        </is>
      </c>
      <c r="B502" s="4" t="n">
        <v>300</v>
      </c>
      <c r="C502" t="inlineStr"/>
      <c r="D502" t="inlineStr">
        <is>
          <t>37688 Nordrhein-Westfalen - Beverungen</t>
        </is>
      </c>
      <c r="E502" s="5" t="n">
        <v>45533</v>
      </c>
      <c r="F502" t="inlineStr">
        <is>
          <t>Sold</t>
        </is>
      </c>
      <c r="G502" s="6">
        <f>HYPERLINK("https://www.kleinanzeigen.de/s-anzeige/windsurfen-sachen-bretter-segel-neoprenanzuege/2849069834-230-1347", "Link")</f>
        <v/>
      </c>
      <c r="H502" s="6">
        <f>HYPERLINK("C:\Projects\Kleinanzeigen-Scraper\offer_images\2849069834", "Link")</f>
        <v/>
      </c>
      <c r="I502" t="inlineStr">
        <is>
          <t>Andreas Schübeler</t>
        </is>
      </c>
      <c r="J502" s="6">
        <f>HYPERLINK("https://www.kleinanzeigen.de/s-bestandsliste.html?userId=10742673", "Link")</f>
        <v/>
      </c>
      <c r="K502" s="7" t="n">
        <v>45536.91025462963</v>
      </c>
      <c r="L502" s="3" t="inlineStr">
        <is>
          <t>184.68</t>
        </is>
      </c>
      <c r="M502" t="inlineStr">
        <is>
          <t>Köln</t>
        </is>
      </c>
    </row>
    <row r="503">
      <c r="A503" t="inlineStr">
        <is>
          <t>Complete windsurfing equipment including a Bic AXO board (264CM, 80L), sails (4.2 sqm Wave from North, 5.0 sqm Wave from North, 5.7 sqm Allround Fanatic, 5.9 sqm Foliensegel from Pacific, 3.5 sqm Surfline Sylt), 2 North masts (Carbon Wave), 3 booms in various lengths, and various accessories.</t>
        </is>
      </c>
      <c r="B503" s="4" t="n">
        <v>300</v>
      </c>
      <c r="C503" t="inlineStr">
        <is>
          <t>VB</t>
        </is>
      </c>
      <c r="D503" t="inlineStr">
        <is>
          <t>23570 Lübeck - Travemünde</t>
        </is>
      </c>
      <c r="E503" s="5" t="n">
        <v>45530</v>
      </c>
      <c r="F503" t="inlineStr">
        <is>
          <t>Sold</t>
        </is>
      </c>
      <c r="G503" s="6">
        <f>HYPERLINK("https://www.kleinanzeigen.de/s-anzeige/windsurf-ausruestung-komplett-oder-in-einzelteilen/2847287027-230-24220", "Link")</f>
        <v/>
      </c>
      <c r="H503" s="6">
        <f>HYPERLINK("C:\Projects\Kleinanzeigen-Scraper\offer_images\2847287027", "Link")</f>
        <v/>
      </c>
      <c r="I503" t="inlineStr">
        <is>
          <t>Immeriswas</t>
        </is>
      </c>
      <c r="J503" s="6">
        <f>HYPERLINK("https://www.kleinanzeigen.de/s-bestandsliste.html?userId=24788769", "Link")</f>
        <v/>
      </c>
      <c r="K503" s="7" t="n">
        <v>45536.91017361111</v>
      </c>
      <c r="L503" s="3" t="inlineStr">
        <is>
          <t>427.31</t>
        </is>
      </c>
      <c r="M503" t="inlineStr">
        <is>
          <t>Köln</t>
        </is>
      </c>
    </row>
    <row r="504">
      <c r="A504" t="inlineStr">
        <is>
          <t>Complete windsurfing equipment including a board with foot straps, collapsible daggerboard, two-piece vario mast (North Sails), mast foot extension, adjustable boom, and three sails: 3.2m² (aquata), 4.3m² (De Jong), and 5.0m² (aquata).</t>
        </is>
      </c>
      <c r="B504" s="4" t="n">
        <v>57</v>
      </c>
      <c r="C504" t="inlineStr">
        <is>
          <t>VB</t>
        </is>
      </c>
      <c r="D504" t="inlineStr">
        <is>
          <t>46562 Nordrhein-Westfalen - Voerde (Niederrhein)</t>
        </is>
      </c>
      <c r="E504" s="5" t="n">
        <v>45531</v>
      </c>
      <c r="F504" t="inlineStr">
        <is>
          <t>Sold</t>
        </is>
      </c>
      <c r="G504" s="6">
        <f>HYPERLINK("https://www.kleinanzeigen.de/s-anzeige/verk-windsurf-komplett-auruestung/2847927186-230-1384", "Link")</f>
        <v/>
      </c>
      <c r="H504" s="6">
        <f>HYPERLINK("C:\Projects\Kleinanzeigen-Scraper\offer_images\2847927186", "Link")</f>
        <v/>
      </c>
      <c r="I504" t="inlineStr">
        <is>
          <t>Verkäufer</t>
        </is>
      </c>
      <c r="J504" s="6">
        <f>HYPERLINK("https://www.kleinanzeigen.de/s-bestandsliste.html?userId=13593872", "Link")</f>
        <v/>
      </c>
      <c r="K504" s="7" t="n">
        <v>45536.91016203703</v>
      </c>
      <c r="L504" s="3" t="inlineStr">
        <is>
          <t>76.49</t>
        </is>
      </c>
      <c r="M504" t="inlineStr">
        <is>
          <t>Köln</t>
        </is>
      </c>
    </row>
    <row r="505">
      <c r="A505" t="inlineStr">
        <is>
          <t>Windsurf set including Fanatic Ultra Gecko 265 board, Tushingham Rock 5.2 sail, Neilpryde X3 400 RDM mast, Duotone boom, fin, mast foot, and mast extension.</t>
        </is>
      </c>
      <c r="B505" s="4" t="n">
        <v>250</v>
      </c>
      <c r="C505" t="inlineStr">
        <is>
          <t>VB</t>
        </is>
      </c>
      <c r="D505" t="inlineStr">
        <is>
          <t>61476 Hessen - Kronberg im Taunus</t>
        </is>
      </c>
      <c r="E505" s="5" t="n">
        <v>45525</v>
      </c>
      <c r="F505" t="inlineStr">
        <is>
          <t>Sold</t>
        </is>
      </c>
      <c r="G505" s="6">
        <f>HYPERLINK("https://www.kleinanzeigen.de/s-anzeige/windsurf-set-fanatic-tushingham/2842942048-230-4531", "Link")</f>
        <v/>
      </c>
      <c r="H505" s="6">
        <f>HYPERLINK("C:\Projects\Kleinanzeigen-Scraper\offer_images\2842942048", "Link")</f>
        <v/>
      </c>
      <c r="I505" t="inlineStr">
        <is>
          <t>R.Schmitt-Schwander</t>
        </is>
      </c>
      <c r="J505" s="6">
        <f>HYPERLINK("https://www.kleinanzeigen.de/s-bestandsliste.html?userId=31640035", "Link")</f>
        <v/>
      </c>
      <c r="K505" s="7" t="n">
        <v>45536.91011574074</v>
      </c>
      <c r="L505" s="3" t="inlineStr">
        <is>
          <t>131.43</t>
        </is>
      </c>
      <c r="M505" t="inlineStr">
        <is>
          <t>Karlsruhe</t>
        </is>
      </c>
    </row>
    <row r="506">
      <c r="A506" t="inlineStr">
        <is>
          <t>Includes multiple booms: Aeron 160-210 cm, North 165-215 cm, Tiga 150-200 cm, and various sails and masts.</t>
        </is>
      </c>
      <c r="B506" s="4" t="n">
        <v>1</v>
      </c>
      <c r="C506" t="inlineStr">
        <is>
          <t>VB</t>
        </is>
      </c>
      <c r="D506" t="inlineStr">
        <is>
          <t>91792 Bayern - Ellingen</t>
        </is>
      </c>
      <c r="E506" s="5" t="n">
        <v>45531</v>
      </c>
      <c r="F506" t="inlineStr">
        <is>
          <t>Sold</t>
        </is>
      </c>
      <c r="G506" s="6">
        <f>HYPERLINK("https://www.kleinanzeigen.de/s-anzeige/windsurf-gabelbum-aeron-north-tiga-enemii/2847498939-230-5868", "Link")</f>
        <v/>
      </c>
      <c r="H506" s="6">
        <f>HYPERLINK("C:\Projects\Kleinanzeigen-Scraper\offer_images\2847498939", "Link")</f>
        <v/>
      </c>
      <c r="I506" t="inlineStr">
        <is>
          <t>Bernd Müller</t>
        </is>
      </c>
      <c r="J506" s="6">
        <f>HYPERLINK("https://www.kleinanzeigen.de/s-bestandsliste.html?userId=49791118", "Link")</f>
        <v/>
      </c>
      <c r="K506" s="7" t="n">
        <v>45536.91011574074</v>
      </c>
      <c r="L506" s="3" t="inlineStr">
        <is>
          <t>111.92</t>
        </is>
      </c>
      <c r="M506" t="inlineStr">
        <is>
          <t>München</t>
        </is>
      </c>
    </row>
    <row r="507">
      <c r="A507" t="inlineStr">
        <is>
          <t>Windsurf Kiddy Sail 3.2, Boom 1.65, Sleeve 3.5, Mast Alu. Suitable for beginners, without board.</t>
        </is>
      </c>
      <c r="B507" s="4" t="n">
        <v>35</v>
      </c>
      <c r="C507" t="inlineStr">
        <is>
          <t>VB</t>
        </is>
      </c>
      <c r="D507" t="inlineStr">
        <is>
          <t>73431 Baden-Württemberg - Aalen</t>
        </is>
      </c>
      <c r="E507" s="5" t="n">
        <v>45534</v>
      </c>
      <c r="F507" t="inlineStr">
        <is>
          <t>Sold</t>
        </is>
      </c>
      <c r="G507" s="6">
        <f>HYPERLINK("https://www.kleinanzeigen.de/s-anzeige/windsurf-kiddy-segel-3-2-boom-1-65-sleeve-3-5-mast-alu/2849688459-230-9076", "Link")</f>
        <v/>
      </c>
      <c r="H507" s="6">
        <f>HYPERLINK("C:\Projects\Kleinanzeigen-Scraper\offer_images\2849688459", "Link")</f>
        <v/>
      </c>
      <c r="I507" t="inlineStr">
        <is>
          <t>David Martini</t>
        </is>
      </c>
      <c r="J507" s="6">
        <f>HYPERLINK("https://www.kleinanzeigen.de/s-bestandsliste.html?userId=29318288", "Link")</f>
        <v/>
      </c>
      <c r="K507" s="7" t="n">
        <v>45536.91005787037</v>
      </c>
      <c r="L507" s="3" t="inlineStr">
        <is>
          <t>84.01</t>
        </is>
      </c>
      <c r="M507" t="inlineStr">
        <is>
          <t>Böblingen</t>
        </is>
      </c>
    </row>
    <row r="508">
      <c r="A508" t="inlineStr">
        <is>
          <t>4 sails with various sizes: Red 60, Yellow 50, Blue 40, and another 6.2 sqm. All have signs of use but are functional.</t>
        </is>
      </c>
      <c r="B508" s="4" t="n">
        <v>40</v>
      </c>
      <c r="C508" t="inlineStr"/>
      <c r="D508" t="inlineStr">
        <is>
          <t>09355 Sachsen - Gersdorf</t>
        </is>
      </c>
      <c r="E508" s="5" t="n">
        <v>45540</v>
      </c>
      <c r="F508" t="inlineStr">
        <is>
          <t>Sold</t>
        </is>
      </c>
      <c r="G508" s="6">
        <f>HYPERLINK("https://www.kleinanzeigen.de/s-anzeige/windsurfen-segel-4-stueck/2784175298-230-3952", "Link")</f>
        <v/>
      </c>
      <c r="H508" s="6">
        <f>HYPERLINK("C:\Projects\Kleinanzeigen-Scraper\offer_images\2784175298", "Link")</f>
        <v/>
      </c>
      <c r="I508" t="inlineStr">
        <is>
          <t>Nils</t>
        </is>
      </c>
      <c r="J508" s="6">
        <f>HYPERLINK("https://www.kleinanzeigen.de/s-bestandsliste.html?userId=64489433", "Link")</f>
        <v/>
      </c>
      <c r="K508" s="7" t="n">
        <v>45536.91003472222</v>
      </c>
      <c r="L508" s="3" t="inlineStr">
        <is>
          <t>302.93</t>
        </is>
      </c>
      <c r="M508" t="inlineStr">
        <is>
          <t>München</t>
        </is>
      </c>
    </row>
    <row r="509">
      <c r="A509" t="inlineStr">
        <is>
          <t>Complete windsurfing equipment including board, sails, masts, booms, transport bag for masts and booms, and accessories. Also includes a rarely used wetsuit with seat harness.</t>
        </is>
      </c>
      <c r="B509" s="4" t="n">
        <v>650</v>
      </c>
      <c r="C509" t="inlineStr">
        <is>
          <t>VB</t>
        </is>
      </c>
      <c r="D509" t="inlineStr">
        <is>
          <t>67063 Rheinland-Pfalz - Ludwigshafen</t>
        </is>
      </c>
      <c r="E509" s="5" t="n">
        <v>45536</v>
      </c>
      <c r="F509" t="inlineStr">
        <is>
          <t>Sold</t>
        </is>
      </c>
      <c r="G509" s="6">
        <f>HYPERLINK("https://www.kleinanzeigen.de/s-anzeige/windsurf-komplettausstattung-mit-board-segeln-masten-/2851786075-230-7985", "Link")</f>
        <v/>
      </c>
      <c r="H509" s="6">
        <f>HYPERLINK("C:\Projects\Kleinanzeigen-Scraper\offer_images\2851786075", "Link")</f>
        <v/>
      </c>
      <c r="I509" t="inlineStr">
        <is>
          <t>Reinhard</t>
        </is>
      </c>
      <c r="J509" s="6">
        <f>HYPERLINK("https://www.kleinanzeigen.de/s-bestandsliste.html?userId=21274212", "Link")</f>
        <v/>
      </c>
      <c r="K509" s="7" t="n">
        <v>45536.91002314815</v>
      </c>
      <c r="L509" s="3" t="inlineStr">
        <is>
          <t>55.12</t>
        </is>
      </c>
      <c r="M509" t="inlineStr">
        <is>
          <t>Karlsruhe</t>
        </is>
      </c>
    </row>
    <row r="510">
      <c r="A510" t="inlineStr">
        <is>
          <t>Two complete windsurfing setups including three sails (sizes: 6.4 m², 5.7 m², and 4.5 m²), two boards (sizes: 330x67 cm and 320x63 cm), two booms, two masts, and two mast feet.</t>
        </is>
      </c>
      <c r="B510" s="4" t="n">
        <v>250</v>
      </c>
      <c r="C510" t="inlineStr">
        <is>
          <t>VB</t>
        </is>
      </c>
      <c r="D510" t="inlineStr">
        <is>
          <t>89155 Baden-Württemberg - Erbach</t>
        </is>
      </c>
      <c r="E510" s="5" t="n">
        <v>45536</v>
      </c>
      <c r="F510" t="inlineStr">
        <is>
          <t>Sold</t>
        </is>
      </c>
      <c r="G510" s="6">
        <f>HYPERLINK("https://www.kleinanzeigen.de/s-anzeige/windsurf-set-windsurfboard/2851721477-230-8684", "Link")</f>
        <v/>
      </c>
      <c r="H510" s="6">
        <f>HYPERLINK("C:\Projects\Kleinanzeigen-Scraper\offer_images\2851721477", "Link")</f>
        <v/>
      </c>
      <c r="I510" t="inlineStr">
        <is>
          <t>Matthias Remlinger</t>
        </is>
      </c>
      <c r="J510" s="6">
        <f>HYPERLINK("https://www.kleinanzeigen.de/s-bestandsliste.html?userId=14053378", "Link")</f>
        <v/>
      </c>
      <c r="K510" s="7" t="n">
        <v>45536.91001157407</v>
      </c>
      <c r="L510" s="3" t="inlineStr">
        <is>
          <t>76.12</t>
        </is>
      </c>
      <c r="M510" t="inlineStr">
        <is>
          <t>Böblingen</t>
        </is>
      </c>
    </row>
    <row r="511">
      <c r="A511" t="inlineStr">
        <is>
          <t>1 Segel 4,6 qm Gun Sails Blow with matching Gabelbaum 140-200 cm, including new trapetz lines and new start line.</t>
        </is>
      </c>
      <c r="B511" s="4" t="n">
        <v>150</v>
      </c>
      <c r="C511" t="inlineStr"/>
      <c r="D511" t="inlineStr">
        <is>
          <t>86947 Bayern - Weil a. Lech</t>
        </is>
      </c>
      <c r="E511" s="5" t="n">
        <v>45536</v>
      </c>
      <c r="F511" t="inlineStr">
        <is>
          <t>Sold</t>
        </is>
      </c>
      <c r="G511" s="6">
        <f>HYPERLINK("https://www.kleinanzeigen.de/s-anzeige/windsurfen-verk-segel-4-6-qm-mit-gabelbaum-140-200-cm/2851621475-230-7079", "Link")</f>
        <v/>
      </c>
      <c r="H511" s="6">
        <f>HYPERLINK("C:\Projects\Kleinanzeigen-Scraper\offer_images\2851621475", "Link")</f>
        <v/>
      </c>
      <c r="I511" t="inlineStr">
        <is>
          <t>keinen</t>
        </is>
      </c>
      <c r="J511" s="6">
        <f>HYPERLINK("https://www.kleinanzeigen.de/s-bestandsliste.html?userId=21481818", "Link")</f>
        <v/>
      </c>
      <c r="K511" s="7" t="n">
        <v>45536.90998842593</v>
      </c>
      <c r="L511" s="3" t="inlineStr">
        <is>
          <t>48.17</t>
        </is>
      </c>
      <c r="M511" t="inlineStr">
        <is>
          <t>München</t>
        </is>
      </c>
    </row>
    <row r="512">
      <c r="A512" t="inlineStr">
        <is>
          <t>Includes 2 sails (4.7 and 5.7 from Neil Pryde), a mast (430 from Neil Pryde), and a boom (135-185).</t>
        </is>
      </c>
      <c r="B512" s="4" t="n">
        <v>99</v>
      </c>
      <c r="C512" t="inlineStr">
        <is>
          <t>VB</t>
        </is>
      </c>
      <c r="D512" t="inlineStr">
        <is>
          <t>04207 Leipzig - Kleinzschocher</t>
        </is>
      </c>
      <c r="E512" s="5" t="n">
        <v>45528</v>
      </c>
      <c r="F512" t="inlineStr">
        <is>
          <t>Sold</t>
        </is>
      </c>
      <c r="G512" s="6">
        <f>HYPERLINK("https://www.kleinanzeigen.de/s-anzeige/windsurf-set-2segel-gabelbaum-mast/2845141148-230-4249", "Link")</f>
        <v/>
      </c>
      <c r="H512" s="6">
        <f>HYPERLINK("C:\Projects\Kleinanzeigen-Scraper\offer_images\2845141148", "Link")</f>
        <v/>
      </c>
      <c r="I512" t="inlineStr">
        <is>
          <t>Kathi</t>
        </is>
      </c>
      <c r="J512" s="6">
        <f>HYPERLINK("https://www.kleinanzeigen.de/s-bestandsliste.html?userId=11144705", "Link")</f>
        <v/>
      </c>
      <c r="K512" s="7" t="n">
        <v>45536.90998842593</v>
      </c>
      <c r="L512" s="3" t="inlineStr">
        <is>
          <t>356.56</t>
        </is>
      </c>
      <c r="M512" t="inlineStr">
        <is>
          <t>München</t>
        </is>
      </c>
    </row>
    <row r="513">
      <c r="A513" t="inlineStr">
        <is>
          <t>Windsurf Ausrüstung bestehend aus Fanatic Board Viper 3,45m, Segel Windsurfing Chiemsee 6,3qm mit Zubehör, gebraucht</t>
        </is>
      </c>
      <c r="B513" s="4" t="n">
        <v>30</v>
      </c>
      <c r="C513" t="inlineStr"/>
      <c r="D513" t="inlineStr">
        <is>
          <t>90518 Bayern - Altdorf bei Nürnberg</t>
        </is>
      </c>
      <c r="E513" s="5" t="n">
        <v>45535</v>
      </c>
      <c r="F513" t="inlineStr">
        <is>
          <t>Sold</t>
        </is>
      </c>
      <c r="G513" s="6">
        <f>HYPERLINK("https://www.kleinanzeigen.de/s-anzeige/windsurf-ausruestung-komplett-set-fanatic-board-segel-zubehoer/2850413553-230-6092", "Link")</f>
        <v/>
      </c>
      <c r="H513" s="6">
        <f>HYPERLINK("C:\Projects\Kleinanzeigen-Scraper\offer_images\2850413553", "Link")</f>
        <v/>
      </c>
      <c r="I513" t="inlineStr">
        <is>
          <t>Roger</t>
        </is>
      </c>
      <c r="J513" s="6">
        <f>HYPERLINK("https://www.kleinanzeigen.de/s-bestandsliste.html?userId=3280923", "Link")</f>
        <v/>
      </c>
      <c r="K513" s="7" t="n">
        <v>45536.90998842593</v>
      </c>
      <c r="L513" s="3" t="inlineStr">
        <is>
          <t>139.72</t>
        </is>
      </c>
      <c r="M513" t="inlineStr">
        <is>
          <t>München</t>
        </is>
      </c>
    </row>
    <row r="514">
      <c r="A514" t="inlineStr">
        <is>
          <t>Windsurf complete set including sail, board, and other visible equipment.</t>
        </is>
      </c>
      <c r="B514" s="4" t="n">
        <v>200</v>
      </c>
      <c r="C514" t="inlineStr">
        <is>
          <t>VB</t>
        </is>
      </c>
      <c r="D514" t="inlineStr">
        <is>
          <t>04617 Thüringen - Treben</t>
        </is>
      </c>
      <c r="E514" s="5" t="n">
        <v>45532</v>
      </c>
      <c r="F514" t="inlineStr">
        <is>
          <t>Sold</t>
        </is>
      </c>
      <c r="G514" s="6">
        <f>HYPERLINK("https://www.kleinanzeigen.de/s-anzeige/windsurf-komplett-set/2805864719-230-3725", "Link")</f>
        <v/>
      </c>
      <c r="H514" s="6">
        <f>HYPERLINK("C:\Projects\Kleinanzeigen-Scraper\offer_images\2805864719", "Link")</f>
        <v/>
      </c>
      <c r="I514" t="inlineStr">
        <is>
          <t>R. Hummel</t>
        </is>
      </c>
      <c r="J514" s="6">
        <f>HYPERLINK("https://www.kleinanzeigen.de/s-bestandsliste.html?userId=22333289", "Link")</f>
        <v/>
      </c>
      <c r="K514" s="7" t="n">
        <v>45536.90996527778</v>
      </c>
      <c r="L514" s="3" t="inlineStr">
        <is>
          <t>325.36</t>
        </is>
      </c>
      <c r="M514" t="inlineStr">
        <is>
          <t>München</t>
        </is>
      </c>
    </row>
    <row r="515">
      <c r="A515" t="inlineStr">
        <is>
          <t>Complete windsurfing set including Gastra 5.6 sail and board. The board has been repaired, but everything else is in super condition.</t>
        </is>
      </c>
      <c r="B515" s="4" t="n">
        <v>300</v>
      </c>
      <c r="C515" t="inlineStr">
        <is>
          <t>VB</t>
        </is>
      </c>
      <c r="D515" t="inlineStr">
        <is>
          <t>22926 Schleswig-Holstein - Ahrensburg</t>
        </is>
      </c>
      <c r="E515" s="5" t="n">
        <v>45526</v>
      </c>
      <c r="F515" t="inlineStr">
        <is>
          <t>Sold</t>
        </is>
      </c>
      <c r="G515" s="6">
        <f>HYPERLINK("https://www.kleinanzeigen.de/s-anzeige/windsurf-set-gastra-5-6-segel/2843134994-230-922", "Link")</f>
        <v/>
      </c>
      <c r="H515" s="6">
        <f>HYPERLINK("C:\Projects\Kleinanzeigen-Scraper\offer_images\2843134994", "Link")</f>
        <v/>
      </c>
      <c r="I515" t="inlineStr">
        <is>
          <t>P. Pfeiffer</t>
        </is>
      </c>
      <c r="J515" s="6">
        <f>HYPERLINK("https://www.kleinanzeigen.de/s-bestandsliste.html?userId=27183116", "Link")</f>
        <v/>
      </c>
      <c r="K515" s="7" t="n">
        <v>45536.9099537037</v>
      </c>
      <c r="L515" s="3" t="inlineStr">
        <is>
          <t>377.16</t>
        </is>
      </c>
      <c r="M515" t="inlineStr">
        <is>
          <t>Köln</t>
        </is>
      </c>
    </row>
    <row r="516">
      <c r="A516" t="inlineStr">
        <is>
          <t>Windsurfing set including Board: Starboard GO 3XD 2017 (151L), Sail: North Sails S-Type SL 2017 (7.3 m²), Boom: North Sails Platinum Wave 2017 (100% Carbon, 140-190 cm), Mast: North Sails Platinum 100% SDM 2017 (460 cm), Mast Extension: North Sails Power XT 2.0 SDM (42 cm).</t>
        </is>
      </c>
      <c r="B516" s="4" t="n">
        <v>1.85</v>
      </c>
      <c r="C516" t="inlineStr">
        <is>
          <t>VB</t>
        </is>
      </c>
      <c r="D516" t="inlineStr">
        <is>
          <t>82319 Bayern - Starnberg</t>
        </is>
      </c>
      <c r="E516" s="5" t="n">
        <v>45527</v>
      </c>
      <c r="F516" t="inlineStr">
        <is>
          <t>Sold</t>
        </is>
      </c>
      <c r="G516" s="6">
        <f>HYPERLINK("https://www.kleinanzeigen.de/s-anzeige/windsurf-windsurfing-set-/2844349769-230-5525", "Link")</f>
        <v/>
      </c>
      <c r="H516" s="6">
        <f>HYPERLINK("C:\Projects\Kleinanzeigen-Scraper\offer_images\2844349769", "Link")</f>
        <v/>
      </c>
      <c r="I516" t="inlineStr">
        <is>
          <t>Maria</t>
        </is>
      </c>
      <c r="J516" s="6">
        <f>HYPERLINK("https://www.kleinanzeigen.de/s-bestandsliste.html?userId=20338354", "Link")</f>
        <v/>
      </c>
      <c r="K516" s="7" t="n">
        <v>45536.90989583333</v>
      </c>
      <c r="L516" s="3" t="inlineStr">
        <is>
          <t>23.17</t>
        </is>
      </c>
      <c r="M516" t="inlineStr">
        <is>
          <t>München</t>
        </is>
      </c>
    </row>
    <row r="517">
      <c r="A517" t="inlineStr">
        <is>
          <t>Complete windsurfing equipment including a Marlin-Silver board (3.2m), foot straps, retractable daggerboard, two-piece North Sails mast, mast foot extension, adjustable boom, and three sails (Aquata 4.3m², De Jong 5.0m², Aquata 6.6m²).</t>
        </is>
      </c>
      <c r="B517" s="4" t="n">
        <v>57</v>
      </c>
      <c r="C517" t="inlineStr">
        <is>
          <t>VB</t>
        </is>
      </c>
      <c r="D517" t="inlineStr">
        <is>
          <t>46562 Nordrhein-Westfalen - Voerde (Niederrhein)</t>
        </is>
      </c>
      <c r="E517" s="5" t="n">
        <v>45531</v>
      </c>
      <c r="F517" t="inlineStr">
        <is>
          <t>Sold</t>
        </is>
      </c>
      <c r="G517" s="6">
        <f>HYPERLINK("https://www.kleinanzeigen.de/s-anzeige/verk-windsurf-komplett-ausruestung/2847929191-187-1384", "Link")</f>
        <v/>
      </c>
      <c r="H517" s="6">
        <f>HYPERLINK("C:\Projects\Kleinanzeigen-Scraper\offer_images\2847929191", "Link")</f>
        <v/>
      </c>
      <c r="I517" t="inlineStr">
        <is>
          <t>Verkäufer</t>
        </is>
      </c>
      <c r="J517" s="6">
        <f>HYPERLINK("https://www.kleinanzeigen.de/s-bestandsliste.html?userId=13593872", "Link")</f>
        <v/>
      </c>
      <c r="K517" s="7" t="n">
        <v>45536.90984953703</v>
      </c>
      <c r="L517" s="3" t="inlineStr">
        <is>
          <t>76.49</t>
        </is>
      </c>
      <c r="M517" t="inlineStr">
        <is>
          <t>Köln</t>
        </is>
      </c>
    </row>
    <row r="518">
      <c r="A518" t="inlineStr">
        <is>
          <t>Complete rig including Tushingham Lightning 9.4qm Freeride sail, matching mast, boom, and mast extension.</t>
        </is>
      </c>
      <c r="B518" s="4" t="n">
        <v>240</v>
      </c>
      <c r="C518" t="inlineStr"/>
      <c r="D518" t="inlineStr">
        <is>
          <t>83236 Bayern - Übersee</t>
        </is>
      </c>
      <c r="E518" s="5" t="n">
        <v>45535</v>
      </c>
      <c r="F518" t="inlineStr">
        <is>
          <t>Sold</t>
        </is>
      </c>
      <c r="G518" s="6">
        <f>HYPERLINK("https://www.kleinanzeigen.de/s-anzeige/windsurf-rigg-komplett-fuer-leichtwind-mit-9-4qm-segel/2850989717-230-5735", "Link")</f>
        <v/>
      </c>
      <c r="H518" s="6">
        <f>HYPERLINK("C:\Projects\Kleinanzeigen-Scraper\offer_images\2850989717", "Link")</f>
        <v/>
      </c>
      <c r="I518" t="inlineStr">
        <is>
          <t>Rainer</t>
        </is>
      </c>
      <c r="J518" s="6">
        <f>HYPERLINK("https://www.kleinanzeigen.de/s-bestandsliste.html?userId=37038640", "Link")</f>
        <v/>
      </c>
      <c r="K518" s="7" t="n">
        <v>45536.90982638889</v>
      </c>
      <c r="L518" s="3" t="inlineStr">
        <is>
          <t>76.24</t>
        </is>
      </c>
      <c r="M518" t="inlineStr">
        <is>
          <t>München</t>
        </is>
      </c>
    </row>
    <row r="519">
      <c r="A519" t="inlineStr">
        <is>
          <t>Complete windsurfing equipment including sails, boards, fins, mast holders, and a complete child set.</t>
        </is>
      </c>
      <c r="B519" s="4" t="n">
        <v>1.799</v>
      </c>
      <c r="C519" t="inlineStr">
        <is>
          <t>VB</t>
        </is>
      </c>
      <c r="D519" t="inlineStr">
        <is>
          <t>52477 Nordrhein-Westfalen - Alsdorf</t>
        </is>
      </c>
      <c r="E519" s="5" t="n">
        <v>45530</v>
      </c>
      <c r="F519" t="inlineStr">
        <is>
          <t>Sold</t>
        </is>
      </c>
      <c r="G519" s="6">
        <f>HYPERLINK("https://www.kleinanzeigen.de/s-anzeige/windsurfen-segel-surfbrett-surfboard-komplette-ausruestung/2847273516-230-1714", "Link")</f>
        <v/>
      </c>
      <c r="H519" s="6">
        <f>HYPERLINK("C:\Projects\Kleinanzeigen-Scraper\offer_images\2847273516", "Link")</f>
        <v/>
      </c>
      <c r="I519" t="inlineStr">
        <is>
          <t>D. Schmitt</t>
        </is>
      </c>
      <c r="J519" s="6">
        <f>HYPERLINK("https://www.kleinanzeigen.de/s-bestandsliste.html?userId=69840132", "Link")</f>
        <v/>
      </c>
      <c r="K519" s="7" t="n">
        <v>45536.90979166667</v>
      </c>
      <c r="L519" s="3" t="inlineStr">
        <is>
          <t>55.19</t>
        </is>
      </c>
      <c r="M519" t="inlineStr">
        <is>
          <t>Köln</t>
        </is>
      </c>
    </row>
    <row r="520">
      <c r="A520" t="inlineStr">
        <is>
          <t>Komplettrigg mit Mast, Mastfuß, Gabel und Segeltasche. Segel ist ein Kindersegel Tiki 4.0, nur wenige Male benutzt.</t>
        </is>
      </c>
      <c r="B520" s="4" t="n">
        <v>235</v>
      </c>
      <c r="C520" t="inlineStr">
        <is>
          <t>VB</t>
        </is>
      </c>
      <c r="D520" t="inlineStr">
        <is>
          <t>24226 Schleswig-Holstein - Heikendorf</t>
        </is>
      </c>
      <c r="E520" s="5" t="n">
        <v>45536</v>
      </c>
      <c r="F520" t="inlineStr">
        <is>
          <t>Sold</t>
        </is>
      </c>
      <c r="G520" s="6">
        <f>HYPERLINK("https://www.kleinanzeigen.de/s-anzeige/windsurfen-segel-kindersegel-tiki-4-0/2851697254-230-672", "Link")</f>
        <v/>
      </c>
      <c r="H520" s="6">
        <f>HYPERLINK("C:\Projects\Kleinanzeigen-Scraper\offer_images\2851697254", "Link")</f>
        <v/>
      </c>
      <c r="I520" t="inlineStr">
        <is>
          <t>Anke</t>
        </is>
      </c>
      <c r="J520" s="6">
        <f>HYPERLINK("https://www.kleinanzeigen.de/s-bestandsliste.html?userId=50085468", "Link")</f>
        <v/>
      </c>
      <c r="K520" s="7" t="n">
        <v>45536.90979166667</v>
      </c>
      <c r="L520" s="3" t="inlineStr">
        <is>
          <t>441.08</t>
        </is>
      </c>
      <c r="M520" t="inlineStr">
        <is>
          <t>Köln</t>
        </is>
      </c>
    </row>
    <row r="521">
      <c r="A521" t="inlineStr">
        <is>
          <t>Includes various windsurfing equipment: Fanatic Viper Carbon board, Fanatic sails (6.8qm, 5.6qm), Fanatic carbon mast (470cm), Fanatic boom (190cm), Fanatic mast extension, Fanatic mast foot, Funboard Klepper (295), Klepper sails (6.9qm, 8.5qm), Klepper carbon mast (470cm), Klepper boom (220cm), Misteral Tarifa board, NPU sail (6.1qm), Fanatic carbon mast (470cm), Misteral mast foot, Funboard Fanatic Bee (274), Alu mast (470cm). All items in very good condition, used only in freshwater.</t>
        </is>
      </c>
      <c r="B521" s="4" t="n">
        <v>1</v>
      </c>
      <c r="C521" t="inlineStr">
        <is>
          <t>VB</t>
        </is>
      </c>
      <c r="D521" t="inlineStr">
        <is>
          <t>13503 Berlin - Heiligensee</t>
        </is>
      </c>
      <c r="E521" s="5" t="n">
        <v>45526</v>
      </c>
      <c r="F521" t="inlineStr">
        <is>
          <t>Sold</t>
        </is>
      </c>
      <c r="G521" s="6">
        <f>HYPERLINK("https://www.kleinanzeigen.de/s-anzeige/windsurf-ausruestung-komplett-oder-einzeln-vb-1-euro-/2835924534-230-26758", "Link")</f>
        <v/>
      </c>
      <c r="H521" s="6">
        <f>HYPERLINK("C:\Projects\Kleinanzeigen-Scraper\offer_images\2835924534", "Link")</f>
        <v/>
      </c>
      <c r="I521" t="inlineStr">
        <is>
          <t>harry300</t>
        </is>
      </c>
      <c r="J521" s="6">
        <f>HYPERLINK("https://www.kleinanzeigen.de/s-bestandsliste.html?userId=143370648", "Link")</f>
        <v/>
      </c>
      <c r="K521" s="7" t="n">
        <v>45536.90976851852</v>
      </c>
      <c r="L521" s="3" t="inlineStr">
        <is>
          <t>470.67</t>
        </is>
      </c>
      <c r="M521" t="inlineStr">
        <is>
          <t>Köln</t>
        </is>
      </c>
    </row>
    <row r="522">
      <c r="A522" t="inlineStr">
        <is>
          <t>Includes Tabou Speedster LTD board (148L), Neilpryde X9 Carbon boom, Neilpryde MXT RDM mast extension, Neilpryde Hornet sail (8.2 m²), Neilpryde Matrix mast, and a bag.</t>
        </is>
      </c>
      <c r="B522" s="4" t="n">
        <v>1.199</v>
      </c>
      <c r="C522" t="inlineStr">
        <is>
          <t>VB</t>
        </is>
      </c>
      <c r="D522" t="inlineStr">
        <is>
          <t>86508 Bayern - Rehling</t>
        </is>
      </c>
      <c r="E522" s="5" t="n">
        <v>45528</v>
      </c>
      <c r="F522" t="inlineStr">
        <is>
          <t>Sold</t>
        </is>
      </c>
      <c r="G522" s="6">
        <f>HYPERLINK("https://www.kleinanzeigen.de/s-anzeige/windsurf-ausruestung-in-top-zustand/2845044145-230-7046", "Link")</f>
        <v/>
      </c>
      <c r="H522" s="6">
        <f>HYPERLINK("C:\Projects\Kleinanzeigen-Scraper\offer_images\2845044145", "Link")</f>
        <v/>
      </c>
      <c r="I522" t="inlineStr">
        <is>
          <t>Peter Hörmann</t>
        </is>
      </c>
      <c r="J522" s="6">
        <f>HYPERLINK("https://www.kleinanzeigen.de/s-bestandsliste.html?userId=2284538", "Link")</f>
        <v/>
      </c>
      <c r="K522" s="7" t="n">
        <v>45536.90974537037</v>
      </c>
      <c r="L522" s="3" t="inlineStr">
        <is>
          <t>62.17</t>
        </is>
      </c>
      <c r="M522" t="inlineStr">
        <is>
          <t>München</t>
        </is>
      </c>
    </row>
    <row r="523">
      <c r="A523" t="inlineStr">
        <is>
          <t>Includes Sail 6.0, original Mast, Skinny, Boom, and Mast extension.</t>
        </is>
      </c>
      <c r="B523" s="4" t="n">
        <v>175</v>
      </c>
      <c r="C523" t="inlineStr">
        <is>
          <t>VB</t>
        </is>
      </c>
      <c r="D523" t="inlineStr">
        <is>
          <t>17034 Mecklenburg-Vorpommern - Neubrandenburg</t>
        </is>
      </c>
      <c r="E523" s="5" t="n">
        <v>45531</v>
      </c>
      <c r="F523" t="inlineStr">
        <is>
          <t>Sold</t>
        </is>
      </c>
      <c r="G523" s="6">
        <f>HYPERLINK("https://www.kleinanzeigen.de/s-anzeige/windsurfen-segel-6-0-kpl-/2847353704-230-254", "Link")</f>
        <v/>
      </c>
      <c r="H523" s="6">
        <f>HYPERLINK("C:\Projects\Kleinanzeigen-Scraper\offer_images\2847353704", "Link")</f>
        <v/>
      </c>
      <c r="I523" t="inlineStr">
        <is>
          <t>Willi</t>
        </is>
      </c>
      <c r="J523" s="6">
        <f>HYPERLINK("https://www.kleinanzeigen.de/s-bestandsliste.html?userId=27736637", "Link")</f>
        <v/>
      </c>
      <c r="K523" s="7" t="n">
        <v>45536.90972222222</v>
      </c>
      <c r="L523" s="3" t="inlineStr">
        <is>
          <t>520.75</t>
        </is>
      </c>
      <c r="M523" t="inlineStr">
        <is>
          <t>Köln</t>
        </is>
      </c>
    </row>
    <row r="524">
      <c r="A524" t="inlineStr">
        <is>
          <t>Custom-Made Freestyle Surfboard (105l, 265cm), Neilpryde RAF Supersonic 7,4qm Freeride Sail, Neilpryde Freeride Pro Mast (460cm), Neilpryde Freeride Boom (185cm), North Sails Volcano 5,8qm Freestyle Sail, North Sails Xcellerator Viper Wave Mast (430cm), North Sails Progression Comp Boom (150-200cm), Prolimit Mastfoot, and additional accessories.</t>
        </is>
      </c>
      <c r="B524" s="4" t="n">
        <v>449</v>
      </c>
      <c r="C524" t="inlineStr"/>
      <c r="D524" t="inlineStr">
        <is>
          <t>82229 Bayern - Seefeld</t>
        </is>
      </c>
      <c r="E524" s="5" t="n">
        <v>45535</v>
      </c>
      <c r="F524" t="inlineStr">
        <is>
          <t>Sold</t>
        </is>
      </c>
      <c r="G524" s="6">
        <f>HYPERLINK("https://www.kleinanzeigen.de/s-anzeige/windsurf-komplett-set-105l-custom-board-2-riggs-5-8-7-4qm/2850491543-230-5519", "Link")</f>
        <v/>
      </c>
      <c r="H524" s="6">
        <f>HYPERLINK("C:\Projects\Kleinanzeigen-Scraper\offer_images\2850491543", "Link")</f>
        <v/>
      </c>
      <c r="I524" t="inlineStr">
        <is>
          <t>Tobias</t>
        </is>
      </c>
      <c r="J524" s="6">
        <f>HYPERLINK("https://www.kleinanzeigen.de/s-bestandsliste.html?userId=26072985", "Link")</f>
        <v/>
      </c>
      <c r="K524" s="7" t="n">
        <v>45536.90972222222</v>
      </c>
      <c r="L524" s="3" t="inlineStr">
        <is>
          <t>27.49</t>
        </is>
      </c>
      <c r="M524" t="inlineStr">
        <is>
          <t>München</t>
        </is>
      </c>
    </row>
    <row r="525">
      <c r="A525" t="inlineStr">
        <is>
          <t>Complete windsurfing equipment including BIC Axo board (264cm, 80L), 5 sails (3.5, 4.2, 5.0, 5.7, 5.9 m²), 2 masts (North Carbon and Epoxy), 3 booms, mast feet, and various accessories.</t>
        </is>
      </c>
      <c r="B525" s="4" t="n">
        <v>350</v>
      </c>
      <c r="C525" t="inlineStr">
        <is>
          <t>VB</t>
        </is>
      </c>
      <c r="D525" t="inlineStr">
        <is>
          <t>23570 Lübeck - Travemünde</t>
        </is>
      </c>
      <c r="E525" s="5" t="n">
        <v>45536</v>
      </c>
      <c r="F525" t="inlineStr">
        <is>
          <t>Sold</t>
        </is>
      </c>
      <c r="G525" s="6">
        <f>HYPERLINK("https://www.kleinanzeigen.de/s-anzeige/windsurf-ausruestung-komplett-mit-mehreren-segeln-gabelbaeumen-und/2852037198-230-24220", "Link")</f>
        <v/>
      </c>
      <c r="H525" s="6">
        <f>HYPERLINK("C:\Projects\Kleinanzeigen-Scraper\offer_images\2852037198", "Link")</f>
        <v/>
      </c>
      <c r="I525" t="inlineStr">
        <is>
          <t>Immeriswas</t>
        </is>
      </c>
      <c r="J525" s="6">
        <f>HYPERLINK("https://www.kleinanzeigen.de/s-bestandsliste.html?userId=24788769", "Link")</f>
        <v/>
      </c>
      <c r="K525" s="7" t="n">
        <v>45536.90972222222</v>
      </c>
      <c r="L525" s="3" t="inlineStr">
        <is>
          <t>427.31</t>
        </is>
      </c>
      <c r="M525" t="inlineStr">
        <is>
          <t>Köln</t>
        </is>
      </c>
    </row>
    <row r="526">
      <c r="A526" t="inlineStr">
        <is>
          <t>Windsurf Komplett Set including 2 Boards (Tabou Rocket 95l and f2 Stoke 127l), 5.8 Nort Sails Natural sail, Mast, Boom, Mast extension, Mast foot, Start shoot, Boom protector, Seagrass fin, Slalom fin, and original Tabou Rocket fin.</t>
        </is>
      </c>
      <c r="B526" s="4" t="n">
        <v>999</v>
      </c>
      <c r="C526" t="inlineStr"/>
      <c r="D526" t="inlineStr">
        <is>
          <t>24783 Schleswig-Holstein - Osterrönfeld</t>
        </is>
      </c>
      <c r="E526" s="5" t="n">
        <v>45531</v>
      </c>
      <c r="F526" t="inlineStr">
        <is>
          <t>Sold</t>
        </is>
      </c>
      <c r="G526" s="6">
        <f>HYPERLINK("https://www.kleinanzeigen.de/s-anzeige/windsurf-komplett-set-angebot/2847838211-230-500", "Link")</f>
        <v/>
      </c>
      <c r="H526" s="6">
        <f>HYPERLINK("C:\Projects\Kleinanzeigen-Scraper\offer_images\2847838211", "Link")</f>
        <v/>
      </c>
      <c r="I526" t="inlineStr">
        <is>
          <t>Felix</t>
        </is>
      </c>
      <c r="J526" s="6">
        <f>HYPERLINK("https://www.kleinanzeigen.de/s-bestandsliste.html?userId=25445796", "Link")</f>
        <v/>
      </c>
      <c r="K526" s="7" t="n">
        <v>45536.90969907407</v>
      </c>
      <c r="L526" s="3" t="inlineStr">
        <is>
          <t>415.35</t>
        </is>
      </c>
      <c r="M526" t="inlineStr">
        <is>
          <t>Köln</t>
        </is>
      </c>
    </row>
    <row r="527">
      <c r="A527" t="inlineStr">
        <is>
          <t>Set includes a board, three board bags, and a gift of a boom and sail.</t>
        </is>
      </c>
      <c r="B527" s="4" t="n">
        <v>100</v>
      </c>
      <c r="C527" t="inlineStr"/>
      <c r="D527" t="inlineStr">
        <is>
          <t>06108 Sachsen-Anhalt - Halle</t>
        </is>
      </c>
      <c r="E527" s="5" t="n">
        <v>45527</v>
      </c>
      <c r="F527" t="inlineStr">
        <is>
          <t>Sold</t>
        </is>
      </c>
      <c r="G527" s="6">
        <f>HYPERLINK("https://www.kleinanzeigen.de/s-anzeige/windsurf-windsurfbrett/2844453376-230-2414", "Link")</f>
        <v/>
      </c>
      <c r="H527" s="6">
        <f>HYPERLINK("C:\Projects\Kleinanzeigen-Scraper\offer_images\2844453376", "Link")</f>
        <v/>
      </c>
      <c r="I527" t="inlineStr">
        <is>
          <t>Christian</t>
        </is>
      </c>
      <c r="J527" s="6">
        <f>HYPERLINK("https://www.kleinanzeigen.de/s-bestandsliste.html?userId=141078238", "Link")</f>
        <v/>
      </c>
      <c r="K527" s="7" t="n">
        <v>45536.90966435185</v>
      </c>
      <c r="L527" s="3" t="inlineStr">
        <is>
          <t>353.93</t>
        </is>
      </c>
      <c r="M527" t="inlineStr">
        <is>
          <t>Köln</t>
        </is>
      </c>
    </row>
    <row r="528">
      <c r="A528" t="inlineStr">
        <is>
          <t>Complete windsurfing equipment including Board (315 cm, 150 liters volume), daggerboard, fin, 2 sails, detachable mast, and boom.</t>
        </is>
      </c>
      <c r="B528" s="4" t="n">
        <v>99</v>
      </c>
      <c r="C528" t="inlineStr">
        <is>
          <t>VB</t>
        </is>
      </c>
      <c r="D528" t="inlineStr">
        <is>
          <t>78462 Baden-Württemberg - Konstanz</t>
        </is>
      </c>
      <c r="E528" s="5" t="n">
        <v>45533</v>
      </c>
      <c r="F528" t="inlineStr">
        <is>
          <t>Sold</t>
        </is>
      </c>
      <c r="G528" s="6">
        <f>HYPERLINK("https://www.kleinanzeigen.de/s-anzeige/f2-comet-windsurf-ausruestung-150-liter/2849572906-230-9390", "Link")</f>
        <v/>
      </c>
      <c r="H528" s="6">
        <f>HYPERLINK("C:\Projects\Kleinanzeigen-Scraper\offer_images\2849572906", "Link")</f>
        <v/>
      </c>
      <c r="I528" t="inlineStr">
        <is>
          <t>Martin</t>
        </is>
      </c>
      <c r="J528" s="6">
        <f>HYPERLINK("https://www.kleinanzeigen.de/s-bestandsliste.html?userId=26066458", "Link")</f>
        <v/>
      </c>
      <c r="K528" s="7" t="n">
        <v>45536.9096412037</v>
      </c>
      <c r="L528" s="3" t="inlineStr">
        <is>
          <t>64.75</t>
        </is>
      </c>
      <c r="M528" t="inlineStr">
        <is>
          <t>Bonndorf</t>
        </is>
      </c>
    </row>
    <row r="529">
      <c r="A529" t="inlineStr">
        <is>
          <t>5 Windsurf sails in various sizes: 5.1m² Easyride, 5.4m² Naish, 5.9m² North Disco, 6.2m² North Natural, 6.5m² Power Slalom. Each sail has different signs of use.</t>
        </is>
      </c>
      <c r="B529" s="4" t="n">
        <v>110</v>
      </c>
      <c r="C529" t="inlineStr">
        <is>
          <t>VB</t>
        </is>
      </c>
      <c r="D529" t="inlineStr">
        <is>
          <t>22047 Wandsbek - Hamburg Tonndorf</t>
        </is>
      </c>
      <c r="E529" s="5" t="n">
        <v>45536</v>
      </c>
      <c r="F529" t="inlineStr">
        <is>
          <t>Sold</t>
        </is>
      </c>
      <c r="G529" s="6">
        <f>HYPERLINK("https://www.kleinanzeigen.de/s-anzeige/4-windsurf-segel-in-div-groessen/2851527448-230-16924", "Link")</f>
        <v/>
      </c>
      <c r="H529" s="6">
        <f>HYPERLINK("C:\Projects\Kleinanzeigen-Scraper\offer_images\2851527448", "Link")</f>
        <v/>
      </c>
      <c r="I529" t="inlineStr">
        <is>
          <t>M.Zirm</t>
        </is>
      </c>
      <c r="J529" s="6">
        <f>HYPERLINK("https://www.kleinanzeigen.de/s-bestandsliste.html?userId=9611446", "Link")</f>
        <v/>
      </c>
      <c r="K529" s="7" t="n">
        <v>45536.90961805556</v>
      </c>
      <c r="L529" s="3" t="inlineStr">
        <is>
          <t>364.13</t>
        </is>
      </c>
      <c r="M529" t="inlineStr">
        <is>
          <t>Köln</t>
        </is>
      </c>
    </row>
    <row r="530">
      <c r="A530" t="inlineStr">
        <is>
          <t>Complete rig including a colorful 4.0 sail, a two-piece mast, a small boom, and a mast foot pin. Options available for North or Fanatic.</t>
        </is>
      </c>
      <c r="B530" s="4" t="n">
        <v>160</v>
      </c>
      <c r="C530" t="inlineStr"/>
      <c r="D530" t="inlineStr">
        <is>
          <t>12526 Berlin - Treptow</t>
        </is>
      </c>
      <c r="E530" s="5" t="n">
        <v>45528</v>
      </c>
      <c r="F530" t="inlineStr">
        <is>
          <t>Sold</t>
        </is>
      </c>
      <c r="G530" s="6">
        <f>HYPERLINK("https://www.kleinanzeigen.de/s-anzeige/windsurfen-segel-von-north-oder-fanatic-rigg-4-0-komplett/2844753337-230-3369", "Link")</f>
        <v/>
      </c>
      <c r="H530" s="6">
        <f>HYPERLINK("C:\Projects\Kleinanzeigen-Scraper\offer_images\2844753337", "Link")</f>
        <v/>
      </c>
      <c r="I530" t="inlineStr">
        <is>
          <t>MG</t>
        </is>
      </c>
      <c r="J530" s="6">
        <f>HYPERLINK("https://www.kleinanzeigen.de/s-bestandsliste.html?userId=3097769", "Link")</f>
        <v/>
      </c>
      <c r="K530" s="7" t="n">
        <v>45536.90951388889</v>
      </c>
      <c r="L530" s="3" t="inlineStr">
        <is>
          <t>484.42</t>
        </is>
      </c>
      <c r="M530" t="inlineStr">
        <is>
          <t>Köln</t>
        </is>
      </c>
    </row>
    <row r="531">
      <c r="A531" t="inlineStr">
        <is>
          <t>Complete windsurf foil set including Fanatic Stingray 140 board (140L volume, 228 cm long, 85 cm wide) and GA Foil Hybrid set with 85 cm mast length and 80 cm fuselage length.</t>
        </is>
      </c>
      <c r="B531" s="4" t="n">
        <v>490</v>
      </c>
      <c r="C531" t="inlineStr">
        <is>
          <t>VB</t>
        </is>
      </c>
      <c r="D531" t="inlineStr">
        <is>
          <t>24975 Schleswig-Holstein - Maasbüll</t>
        </is>
      </c>
      <c r="E531" s="5" t="n">
        <v>45533</v>
      </c>
      <c r="F531" t="inlineStr">
        <is>
          <t>Sold</t>
        </is>
      </c>
      <c r="G531" s="6">
        <f>HYPERLINK("https://www.kleinanzeigen.de/s-anzeige/fanatic-stingray-140-windfoil-windsurf-foil-board/2849073793-230-725", "Link")</f>
        <v/>
      </c>
      <c r="H531" s="6">
        <f>HYPERLINK("C:\Projects\Kleinanzeigen-Scraper\offer_images\2849073793", "Link")</f>
        <v/>
      </c>
      <c r="I531" t="inlineStr">
        <is>
          <t>Mo</t>
        </is>
      </c>
      <c r="J531" s="6">
        <f>HYPERLINK("https://www.kleinanzeigen.de/s-bestandsliste.html?userId=9081421", "Link")</f>
        <v/>
      </c>
      <c r="K531" s="7" t="n">
        <v>45536.90951388889</v>
      </c>
      <c r="L531" s="3" t="inlineStr">
        <is>
          <t>458.46</t>
        </is>
      </c>
      <c r="M531" t="inlineStr">
        <is>
          <t>Köln</t>
        </is>
      </c>
    </row>
    <row r="532">
      <c r="A532" t="inlineStr">
        <is>
          <t>Comprehensive windsurf set including 2 boards (approx. 3.8 m), 1 aluminum mast (approx. 5 m), 3 sails of different sizes, 4 fins, 3 booms, 2 neoprene pants, 2 neoprene jackets, and various accessories. All items are used but functional.</t>
        </is>
      </c>
      <c r="B532" s="4" t="n">
        <v>450</v>
      </c>
      <c r="C532" t="inlineStr">
        <is>
          <t>VB</t>
        </is>
      </c>
      <c r="D532" t="inlineStr">
        <is>
          <t>96199 Bayern - Zapfendorf</t>
        </is>
      </c>
      <c r="E532" s="5" t="n">
        <v>45527</v>
      </c>
      <c r="F532" t="inlineStr">
        <is>
          <t>Sold</t>
        </is>
      </c>
      <c r="G532" s="6">
        <f>HYPERLINK("https://www.kleinanzeigen.de/s-anzeige/windsurf-set-aus-nachlass-zu-verkaufen/2844184149-230-6931", "Link")</f>
        <v/>
      </c>
      <c r="H532" s="6">
        <f>HYPERLINK("C:\Projects\Kleinanzeigen-Scraper\offer_images\2844184149", "Link")</f>
        <v/>
      </c>
      <c r="I532" t="inlineStr">
        <is>
          <t>Roland</t>
        </is>
      </c>
      <c r="J532" s="6">
        <f>HYPERLINK("https://www.kleinanzeigen.de/s-bestandsliste.html?userId=26596249", "Link")</f>
        <v/>
      </c>
      <c r="K532" s="7" t="n">
        <v>45536.9094675926</v>
      </c>
      <c r="L532" s="3" t="inlineStr">
        <is>
          <t>205.76</t>
        </is>
      </c>
      <c r="M532" t="inlineStr">
        <is>
          <t>Böblingen</t>
        </is>
      </c>
    </row>
    <row r="533">
      <c r="A533" t="inlineStr">
        <is>
          <t>Complete windsurf equipment including Starboard Rio board (269x67 cm), 2 NeilPryde rigs (4.0 qm Combat and 5.4 qm Atlas), Neil Pryde masts (370 cm and 400 cm with 30% and 55% carbon), adjustable Neil Pryde booms (140-190 cm and 160-210 cm), Neil Pryde mast foot extension UXT 34, and original Drake fin.</t>
        </is>
      </c>
      <c r="B533" s="4" t="n">
        <v>485</v>
      </c>
      <c r="C533" t="inlineStr">
        <is>
          <t>VB</t>
        </is>
      </c>
      <c r="D533" t="inlineStr">
        <is>
          <t>69488 Hessen - Birkenau</t>
        </is>
      </c>
      <c r="E533" s="5" t="n">
        <v>45536</v>
      </c>
      <c r="F533" t="inlineStr">
        <is>
          <t>Sold</t>
        </is>
      </c>
      <c r="G533" s="6">
        <f>HYPERLINK("https://www.kleinanzeigen.de/s-anzeige/komplettes-windsurf-equipment-mit-surfbrett-starboard-rio/2851382908-230-8267", "Link")</f>
        <v/>
      </c>
      <c r="H533" s="6">
        <f>HYPERLINK("C:\Projects\Kleinanzeigen-Scraper\offer_images\2851382908", "Link")</f>
        <v/>
      </c>
      <c r="I533" t="inlineStr">
        <is>
          <t>Jürgen Mikeska</t>
        </is>
      </c>
      <c r="J533" s="6">
        <f>HYPERLINK("https://www.kleinanzeigen.de/s-bestandsliste.html?userId=42370388", "Link")</f>
        <v/>
      </c>
      <c r="K533" s="7" t="n">
        <v>45536.54780092592</v>
      </c>
      <c r="L533" s="3" t="inlineStr">
        <is>
          <t>65.92</t>
        </is>
      </c>
      <c r="M533" t="inlineStr">
        <is>
          <t>Karlsruhe</t>
        </is>
      </c>
    </row>
    <row r="534">
      <c r="A534" t="inlineStr">
        <is>
          <t>Complete beginner windsurfing set including Bic Techno 293 board, Goya Banzai sails (4.7 and 5.3), Simmer Iron sail (3.7), Aerotech Charge sail (5.8), 430 RDM mast (66%), 370 SDM mast, boom, 2x mast foot/extensions, trapeze, and spare lines.</t>
        </is>
      </c>
      <c r="B534" s="4" t="n">
        <v>150</v>
      </c>
      <c r="C534" t="inlineStr">
        <is>
          <t>VB</t>
        </is>
      </c>
      <c r="D534" t="inlineStr">
        <is>
          <t>70563 Stuttgart - Vaihingen</t>
        </is>
      </c>
      <c r="E534" s="5" t="n">
        <v>45534</v>
      </c>
      <c r="F534" t="inlineStr">
        <is>
          <t>Sold</t>
        </is>
      </c>
      <c r="G534" s="6">
        <f>HYPERLINK("https://www.kleinanzeigen.de/s-anzeige/windsurf-anfaenger-komplett-set/2850004931-230-9301", "Link")</f>
        <v/>
      </c>
      <c r="H534" s="6">
        <f>HYPERLINK("C:\Projects\Kleinanzeigen-Scraper\offer_images\2850004931", "Link")</f>
        <v/>
      </c>
      <c r="I534" t="inlineStr">
        <is>
          <t>Jan</t>
        </is>
      </c>
      <c r="J534" s="6">
        <f>HYPERLINK("https://www.kleinanzeigen.de/s-bestandsliste.html?userId=17864065", "Link")</f>
        <v/>
      </c>
      <c r="K534" s="7" t="n">
        <v>45535.5934375</v>
      </c>
      <c r="L534" s="3" t="inlineStr">
        <is>
          <t>10.79</t>
        </is>
      </c>
      <c r="M534" t="inlineStr">
        <is>
          <t>Böblingen</t>
        </is>
      </c>
    </row>
    <row r="535">
      <c r="A535" t="inlineStr">
        <is>
          <t>BIC Windsurf board (265 cm) with mast (356 cm) and all necessary equipment included.</t>
        </is>
      </c>
      <c r="B535" s="4" t="n">
        <v>350</v>
      </c>
      <c r="C535" t="inlineStr">
        <is>
          <t>VB</t>
        </is>
      </c>
      <c r="D535" t="inlineStr">
        <is>
          <t>72280 Baden-Württemberg - Dornstetten</t>
        </is>
      </c>
      <c r="E535" s="5" t="n">
        <v>45534</v>
      </c>
      <c r="F535" t="inlineStr">
        <is>
          <t>Sold</t>
        </is>
      </c>
      <c r="G535" s="6">
        <f>HYPERLINK("https://www.kleinanzeigen.de/s-anzeige/bic-windsurfen-surfbrett-kinder-komplett/2850057043-230-8981", "Link")</f>
        <v/>
      </c>
      <c r="H535" s="6">
        <f>HYPERLINK("C:\Projects\Kleinanzeigen-Scraper\offer_images\2850057043", "Link")</f>
        <v/>
      </c>
      <c r="I535" t="inlineStr">
        <is>
          <t>Reisbeck Martin</t>
        </is>
      </c>
      <c r="J535" s="6">
        <f>HYPERLINK("https://www.kleinanzeigen.de/s-bestandsliste.html?userId=29720088", "Link")</f>
        <v/>
      </c>
      <c r="K535" s="7" t="n">
        <v>45535.59265046296</v>
      </c>
      <c r="L535" s="3" t="inlineStr">
        <is>
          <t>41.37</t>
        </is>
      </c>
      <c r="M535" t="inlineStr">
        <is>
          <t>Böblingen</t>
        </is>
      </c>
    </row>
    <row r="536">
      <c r="A536" t="inlineStr">
        <is>
          <t>1) Board: Mistral Joker – 109L – Freestyle/Freemove, 2) Board: F2 Guerilla – 71L – Wave/Starkwind, 3) Sail: RRD – Style Pro – 5,7m² - Freestyle/Freemove, 4) Mast: Neilpryde – X3 – 430cm – 35% Carbon – Constant Curve, 5) Boom: North Sails – Red Series – 180-230cm, 6) Boom: Maui Magic – Vision Carbon – 162 – 222cm, 7) Boom: Neilpryde – X3 – 135-185cm, 8) Various accessories like mast feet, fins, etc.</t>
        </is>
      </c>
      <c r="B536" s="4" t="inlineStr"/>
      <c r="C536" t="inlineStr">
        <is>
          <t>VB</t>
        </is>
      </c>
      <c r="D536" t="inlineStr">
        <is>
          <t>78187 Geisingen</t>
        </is>
      </c>
      <c r="E536" s="5" t="n">
        <v>45528</v>
      </c>
      <c r="F536" t="inlineStr">
        <is>
          <t>Sold</t>
        </is>
      </c>
      <c r="G536" s="6">
        <f>HYPERLINK("https://www.dailydose.de/kleinanzeigen/detail.htm?ai=421343&amp;cf=kk&amp;pg=5&amp;ci=11", "Link")</f>
        <v/>
      </c>
      <c r="H536" s="6">
        <f>HYPERLINK("C:\Projects\Kleinanzeigen-Scraper\offer_images\421343", "Link")</f>
        <v/>
      </c>
      <c r="I536" t="inlineStr">
        <is>
          <t>surferto</t>
        </is>
      </c>
      <c r="J536" s="6">
        <f>HYPERLINK("https://www.dailydose.de/kleinanzeigen/user/23808", "Link")</f>
        <v/>
      </c>
      <c r="K536" s="7" t="n">
        <v>45531.37994212963</v>
      </c>
      <c r="L536" s="3" t="inlineStr">
        <is>
          <t>24.74</t>
        </is>
      </c>
      <c r="M536" t="inlineStr">
        <is>
          <t>Bonndorf</t>
        </is>
      </c>
    </row>
    <row r="537">
      <c r="A537" t="inlineStr">
        <is>
          <t>Complete rig including Gun Sails 3.7, Unifiber 2.4, and an additional North Sail 3.2, all in top condition.</t>
        </is>
      </c>
      <c r="B537" s="4" t="n">
        <v>350</v>
      </c>
      <c r="C537" t="inlineStr">
        <is>
          <t>VB</t>
        </is>
      </c>
      <c r="D537" t="inlineStr">
        <is>
          <t>66453 Saarland - Gersheim</t>
        </is>
      </c>
      <c r="E537" s="5" t="n">
        <v>45530</v>
      </c>
      <c r="F537" t="inlineStr">
        <is>
          <t>Sold</t>
        </is>
      </c>
      <c r="G537" s="6">
        <f>HYPERLINK("https://www.kleinanzeigen.de/s-anzeige/windsurfen-kinder-segel-anfaenger-segel-komplett-rigg/2846753757-230-287", "Link")</f>
        <v/>
      </c>
      <c r="H537" s="6">
        <f>HYPERLINK("C:\Projects\Kleinanzeigen-Scraper\offer_images\2846753757", "Link")</f>
        <v/>
      </c>
      <c r="I537" t="inlineStr">
        <is>
          <t>Wagner Frank</t>
        </is>
      </c>
      <c r="J537" s="6">
        <f>HYPERLINK("https://www.kleinanzeigen.de/s-bestandsliste.html?userId=16718754", "Link")</f>
        <v/>
      </c>
      <c r="K537" s="7" t="n">
        <v>45531.37858796296</v>
      </c>
      <c r="L537" s="3" t="inlineStr">
        <is>
          <t>86.68</t>
        </is>
      </c>
      <c r="M537" t="inlineStr">
        <is>
          <t>Karlsruhe</t>
        </is>
      </c>
    </row>
    <row r="538">
      <c r="A538" t="inlineStr">
        <is>
          <t>3.5 m² sail with mast, mast foot, boom, and start line in good condition, normal signs of use.</t>
        </is>
      </c>
      <c r="B538" s="4" t="n">
        <v>170</v>
      </c>
      <c r="C538" t="inlineStr"/>
      <c r="D538" t="inlineStr">
        <is>
          <t>76149 Baden-Württemberg - Karlsruhe</t>
        </is>
      </c>
      <c r="E538" s="5" t="n">
        <v>45527</v>
      </c>
      <c r="F538" t="inlineStr">
        <is>
          <t>Sold</t>
        </is>
      </c>
      <c r="G538" s="6">
        <f>HYPERLINK("https://www.kleinanzeigen.de/s-anzeige/3-5-kinder-segel-rig-sail-tiki-windsurfen/2844380805-230-9196", "Link")</f>
        <v/>
      </c>
      <c r="H538" s="6">
        <f>HYPERLINK("C:\Projects\Kleinanzeigen-Scraper\offer_images\2844380805", "Link")</f>
        <v/>
      </c>
      <c r="I538" t="inlineStr">
        <is>
          <t>THJ</t>
        </is>
      </c>
      <c r="J538" s="6">
        <f>HYPERLINK("https://www.kleinanzeigen.de/s-bestandsliste.html?userId=21189431", "Link")</f>
        <v/>
      </c>
      <c r="K538" s="7" t="n">
        <v>45531.37851851852</v>
      </c>
      <c r="L538" s="3" t="inlineStr">
        <is>
          <t>4.81</t>
        </is>
      </c>
      <c r="M538" t="inlineStr">
        <is>
          <t>Karlsruhe</t>
        </is>
      </c>
    </row>
    <row r="539">
      <c r="A539" t="inlineStr">
        <is>
          <t>Includes North Sails e_type 6.2 m² sail, RDM Carbon mast, Gaastra T6 Red Line boom (160-210 cm), and Techno RDM mast foot/extension.</t>
        </is>
      </c>
      <c r="B539" s="4" t="n">
        <v>350</v>
      </c>
      <c r="C539" t="inlineStr">
        <is>
          <t>VB</t>
        </is>
      </c>
      <c r="D539" t="inlineStr">
        <is>
          <t>73207 Baden-Württemberg - Plochingen</t>
        </is>
      </c>
      <c r="E539" s="5" t="n">
        <v>45529</v>
      </c>
      <c r="F539" t="inlineStr">
        <is>
          <t>Sold</t>
        </is>
      </c>
      <c r="G539" s="6">
        <f>HYPERLINK("https://www.kleinanzeigen.de/s-anzeige/komplett-segel-e-type-6-2-m2-north-sails-e-type-inkl-mast-boom-mastfuss-windsurf-windsurfen-segel-freeride-6-2-qm/2846281541-230-8389", "Link")</f>
        <v/>
      </c>
      <c r="H539" s="6">
        <f>HYPERLINK("C:\Projects\Kleinanzeigen-Scraper\offer_images\2846281541", "Link")</f>
        <v/>
      </c>
      <c r="I539" t="inlineStr">
        <is>
          <t>Daniel Geiger</t>
        </is>
      </c>
      <c r="J539" s="6">
        <f>HYPERLINK("https://www.kleinanzeigen.de/s-bestandsliste.html?userId=24841683", "Link")</f>
        <v/>
      </c>
      <c r="K539" s="7" t="n">
        <v>45531.3783912037</v>
      </c>
      <c r="L539" s="3" t="inlineStr">
        <is>
          <t>33.44</t>
        </is>
      </c>
      <c r="M539" t="inlineStr">
        <is>
          <t>Böblingen</t>
        </is>
      </c>
    </row>
    <row r="540">
      <c r="A540" t="inlineStr">
        <is>
          <t>Complete windsurfing equipment set including Fanatic board (approx. 2.5m), Dakine harness, 3 sails (sizes 3.5 to 5.5), mast, and boom. Suitable for beginners.</t>
        </is>
      </c>
      <c r="B540" s="4" t="n">
        <v>500</v>
      </c>
      <c r="C540" t="inlineStr">
        <is>
          <t>VB</t>
        </is>
      </c>
      <c r="D540" t="inlineStr">
        <is>
          <t>71131 Baden-Württemberg - Jettingen</t>
        </is>
      </c>
      <c r="E540" s="5" t="n">
        <v>45524</v>
      </c>
      <c r="F540" t="inlineStr">
        <is>
          <t>Sold</t>
        </is>
      </c>
      <c r="G540" s="6">
        <f>HYPERLINK("https://www.kleinanzeigen.de/s-anzeige/windsurf-komplettausruestung/2841857008-230-8229", "Link")</f>
        <v/>
      </c>
      <c r="H540" s="6">
        <f>HYPERLINK("C:\Projects\Kleinanzeigen-Scraper\offer_images\2841857008", "Link")</f>
        <v/>
      </c>
      <c r="I540" t="inlineStr">
        <is>
          <t>Jonas Leibinger</t>
        </is>
      </c>
      <c r="J540" s="6">
        <f>HYPERLINK("https://www.kleinanzeigen.de/s-bestandsliste.html?userId=50423467", "Link")</f>
        <v/>
      </c>
      <c r="K540" s="7" t="n">
        <v>45531.37836805556</v>
      </c>
      <c r="L540" s="3" t="inlineStr">
        <is>
          <t>18.83</t>
        </is>
      </c>
      <c r="M540" t="inlineStr">
        <is>
          <t>Böblingen</t>
        </is>
      </c>
    </row>
    <row r="541">
      <c r="A541" t="inlineStr">
        <is>
          <t>2 Surfbretter (Bic + Fanatic Bat), diverse Segel (Gaastra, Fanatic, Mistral), three Gabelbäume, multiple Masten (Carbon)</t>
        </is>
      </c>
      <c r="B541" s="4" t="inlineStr">
        <is>
          <t>Zu verschenken</t>
        </is>
      </c>
      <c r="C541" t="inlineStr"/>
      <c r="D541" t="inlineStr">
        <is>
          <t>79102 Baden-Württemberg - Freiburg im Breisgau</t>
        </is>
      </c>
      <c r="E541" s="5" t="n">
        <v>45522</v>
      </c>
      <c r="F541" t="inlineStr">
        <is>
          <t>Sold</t>
        </is>
      </c>
      <c r="G541" s="6">
        <f>HYPERLINK("https://www.kleinanzeigen.de/s-anzeige/windsurfen-brett-segel-masten-gabelbaeume/2839813743-230-9364", "Link")</f>
        <v/>
      </c>
      <c r="H541" s="6">
        <f>HYPERLINK("C:\Projects\Kleinanzeigen-Scraper\offer_images\2839813743", "Link")</f>
        <v/>
      </c>
      <c r="I541" t="inlineStr">
        <is>
          <t>Christine</t>
        </is>
      </c>
      <c r="J541" s="6">
        <f>HYPERLINK("https://www.kleinanzeigen.de/s-bestandsliste.html?userId=8779547", "Link")</f>
        <v/>
      </c>
      <c r="K541" s="7" t="n">
        <v>45522.63956018518</v>
      </c>
      <c r="L541" s="3" t="inlineStr">
        <is>
          <t>40.20</t>
        </is>
      </c>
      <c r="M541" t="inlineStr">
        <is>
          <t>Bonndorf</t>
        </is>
      </c>
    </row>
    <row r="542">
      <c r="A542" t="inlineStr">
        <is>
          <t>Complete rig including sail, 2-part mast, mast foot, aluminum boom, and bag. Suitable for beginners or on SUP.</t>
        </is>
      </c>
      <c r="B542" s="4" t="n">
        <v>390</v>
      </c>
      <c r="C542" t="inlineStr">
        <is>
          <t>VB</t>
        </is>
      </c>
      <c r="D542" t="inlineStr">
        <is>
          <t>70794 Baden-Württemberg - Filderstadt</t>
        </is>
      </c>
      <c r="E542" s="5" t="n">
        <v>45520</v>
      </c>
      <c r="F542" t="inlineStr">
        <is>
          <t>Sold</t>
        </is>
      </c>
      <c r="G542" s="6">
        <f>HYPERLINK("https://www.kleinanzeigen.de/s-anzeige/surfrigg-stx-powerkid-5-0qm-windsurfen-segel/2838514212-230-8892", "Link")</f>
        <v/>
      </c>
      <c r="H542" s="6">
        <f>HYPERLINK("C:\Projects\Kleinanzeigen-Scraper\offer_images\2838514212", "Link")</f>
        <v/>
      </c>
      <c r="I542" t="inlineStr">
        <is>
          <t>Hägele</t>
        </is>
      </c>
      <c r="J542" s="6">
        <f>HYPERLINK("https://www.kleinanzeigen.de/s-bestandsliste.html?userId=12584312", "Link")</f>
        <v/>
      </c>
      <c r="K542" s="7" t="n">
        <v>45522.63847222222</v>
      </c>
      <c r="L542" s="3" t="inlineStr">
        <is>
          <t>17.11</t>
        </is>
      </c>
      <c r="M542" t="inlineStr">
        <is>
          <t>Böblingen</t>
        </is>
      </c>
    </row>
    <row r="543">
      <c r="A543" t="inlineStr">
        <is>
          <t>Includes various sails (2 or 3 Wave/Freeride sails, one North sail ~6qm, one heavily used film sail ~8qm), 2 masts (1 fiberglass, 1 partial carbon), 2 booms, and bags for sails and equipment.</t>
        </is>
      </c>
      <c r="B543" s="4" t="n">
        <v>99</v>
      </c>
      <c r="C543" t="inlineStr">
        <is>
          <t>VB</t>
        </is>
      </c>
      <c r="D543" t="inlineStr">
        <is>
          <t>73614 Baden-Württemberg - Schorndorf</t>
        </is>
      </c>
      <c r="E543" s="5" t="n">
        <v>45517</v>
      </c>
      <c r="F543" t="inlineStr">
        <is>
          <t>Sold</t>
        </is>
      </c>
      <c r="G543" s="6">
        <f>HYPERLINK("https://www.kleinanzeigen.de/s-anzeige/windsurf-segel-rig-konglomerat/2836287442-230-8415", "Link")</f>
        <v/>
      </c>
      <c r="H543" s="6">
        <f>HYPERLINK("C:\Projects\Kleinanzeigen-Scraper\offer_images\2836287442", "Link")</f>
        <v/>
      </c>
      <c r="I543" t="inlineStr">
        <is>
          <t>Thorsten</t>
        </is>
      </c>
      <c r="J543" s="6">
        <f>HYPERLINK("https://www.kleinanzeigen.de/s-bestandsliste.html?userId=1977336", "Link")</f>
        <v/>
      </c>
      <c r="K543" s="7" t="n">
        <v>45518.57835648148</v>
      </c>
      <c r="L543" s="3" t="inlineStr">
        <is>
          <t>42.17</t>
        </is>
      </c>
      <c r="M543" t="inlineStr">
        <is>
          <t>Böblingen</t>
        </is>
      </c>
    </row>
    <row r="544">
      <c r="A544" t="inlineStr">
        <is>
          <t>Complete windsurfing equipment including board (3.92 x 0.65 m), sail (4.5 m²), mast (4.53 m), fin, and boom.</t>
        </is>
      </c>
      <c r="B544" s="4" t="n">
        <v>29</v>
      </c>
      <c r="C544" t="inlineStr">
        <is>
          <t>VB</t>
        </is>
      </c>
      <c r="D544" t="inlineStr">
        <is>
          <t>72631 Baden-Württemberg - Aichtal</t>
        </is>
      </c>
      <c r="E544" s="5" t="n">
        <v>45516</v>
      </c>
      <c r="F544" t="inlineStr">
        <is>
          <t>Sold</t>
        </is>
      </c>
      <c r="G544" s="6">
        <f>HYPERLINK("https://www.kleinanzeigen.de/s-anzeige/surfbrett-surfboard-windsurfbrett-windsurfen-sup/2835455857-230-8894", "Link")</f>
        <v/>
      </c>
      <c r="H544" s="6">
        <f>HYPERLINK("C:\Projects\Kleinanzeigen-Scraper\offer_images\2835455857", "Link")</f>
        <v/>
      </c>
      <c r="I544" t="inlineStr">
        <is>
          <t>Adam</t>
        </is>
      </c>
      <c r="J544" s="6">
        <f>HYPERLINK("https://www.kleinanzeigen.de/s-bestandsliste.html?userId=10612376", "Link")</f>
        <v/>
      </c>
      <c r="K544" s="7" t="n">
        <v>45517.57672453704</v>
      </c>
      <c r="L544" s="3" t="inlineStr">
        <is>
          <t>20.26</t>
        </is>
      </c>
      <c r="M544" t="inlineStr">
        <is>
          <t>Böblingen</t>
        </is>
      </c>
    </row>
    <row r="545">
      <c r="A545" t="inlineStr">
        <is>
          <t>Complete windsurfing equipment set including Mistral Supervision board, Tonic Reach sails (5.5m² and 6.5m²), and a compatible mast.</t>
        </is>
      </c>
      <c r="B545" s="4" t="n">
        <v>350</v>
      </c>
      <c r="C545" t="inlineStr">
        <is>
          <t>VB</t>
        </is>
      </c>
      <c r="D545" t="inlineStr">
        <is>
          <t>79379 Baden-Württemberg - Müllheim</t>
        </is>
      </c>
      <c r="E545" s="5" t="n">
        <v>45514</v>
      </c>
      <c r="F545" t="inlineStr">
        <is>
          <t>Sold</t>
        </is>
      </c>
      <c r="G545" s="6">
        <f>HYPERLINK("https://www.kleinanzeigen.de/s-anzeige/windsurf-equipment-komplett-set-windsurfboard-anfaengertauglich/2833232067-230-8031", "Link")</f>
        <v/>
      </c>
      <c r="H545" s="6">
        <f>HYPERLINK("C:\Projects\Kleinanzeigen-Scraper\offer_images\2833232067", "Link")</f>
        <v/>
      </c>
      <c r="I545" t="inlineStr">
        <is>
          <t>Michael Niemann</t>
        </is>
      </c>
      <c r="J545" s="6">
        <f>HYPERLINK("https://www.kleinanzeigen.de/s-bestandsliste.html?userId=31772067", "Link")</f>
        <v/>
      </c>
      <c r="K545" s="7" t="n">
        <v>45514.36237268519</v>
      </c>
      <c r="L545" s="3" t="inlineStr">
        <is>
          <t>52.29</t>
        </is>
      </c>
      <c r="M545" t="inlineStr">
        <is>
          <t>Bonndorf</t>
        </is>
      </c>
    </row>
    <row r="546">
      <c r="A546" t="inlineStr">
        <is>
          <t>Complete windsurfing equipment including RRD Firemove LTD 120 board, 5 sails (Gun Sails, North Sails, Neil Pryde), 3 carbon masts, 2 booms, 6 fins, 2 mast extensions, and 2 mast bases.</t>
        </is>
      </c>
      <c r="B546" s="4" t="n">
        <v>1.9</v>
      </c>
      <c r="C546" t="inlineStr"/>
      <c r="D546" t="inlineStr">
        <is>
          <t>74199 Baden-Württemberg - Untergruppenbach</t>
        </is>
      </c>
      <c r="E546" s="5" t="n">
        <v>45513</v>
      </c>
      <c r="F546" t="inlineStr"/>
      <c r="G546" s="6">
        <f>HYPERLINK("https://www.kleinanzeigen.de/s-anzeige/windsurf-komplett-rrd-firemove-120-ltd-all-in-surfbrett/2832862540-230-9244", "Link")</f>
        <v/>
      </c>
      <c r="H546" s="6">
        <f>HYPERLINK("C:\Projects\Kleinanzeigen-Scraper\offer_images\2832862540", "Link")</f>
        <v/>
      </c>
      <c r="I546" t="inlineStr">
        <is>
          <t>Kober</t>
        </is>
      </c>
      <c r="J546" s="6">
        <f>HYPERLINK("https://www.kleinanzeigen.de/s-bestandsliste.html?userId=3343581", "Link")</f>
        <v/>
      </c>
      <c r="K546" s="7" t="n">
        <v>45514.36233796296</v>
      </c>
      <c r="L546" s="3" t="inlineStr">
        <is>
          <t>52.92</t>
        </is>
      </c>
      <c r="M546" t="inlineStr">
        <is>
          <t>Böblingen</t>
        </is>
      </c>
    </row>
    <row r="547">
      <c r="A547" t="inlineStr">
        <is>
          <t>2 Gaastra Hybrid sails (5.6 and 6.7), 100% carbon mast, RDM, and boom.</t>
        </is>
      </c>
      <c r="B547" s="4" t="n">
        <v>490</v>
      </c>
      <c r="C547" t="inlineStr"/>
      <c r="D547" t="inlineStr">
        <is>
          <t>79098 Freiburg im Breisgau - Altstadt</t>
        </is>
      </c>
      <c r="E547" s="5" t="n">
        <v>45513</v>
      </c>
      <c r="F547" t="inlineStr">
        <is>
          <t>Sold</t>
        </is>
      </c>
      <c r="G547" s="6">
        <f>HYPERLINK("https://www.kleinanzeigen.de/s-anzeige/windsurf-segel-2x-gaastra-hybrid-rigg/2832242826-230-9355", "Link")</f>
        <v/>
      </c>
      <c r="H547" s="6">
        <f>HYPERLINK("C:\Projects\Kleinanzeigen-Scraper\offer_images\2832242826", "Link")</f>
        <v/>
      </c>
      <c r="I547" t="inlineStr">
        <is>
          <t>Jojo</t>
        </is>
      </c>
      <c r="J547" s="6">
        <f>HYPERLINK("https://www.kleinanzeigen.de/s-bestandsliste.html?userId=24081516", "Link")</f>
        <v/>
      </c>
      <c r="K547" s="7" t="n">
        <v>45514.36167824074</v>
      </c>
      <c r="L547" s="3" t="inlineStr">
        <is>
          <t>41.55</t>
        </is>
      </c>
      <c r="M547" t="inlineStr">
        <is>
          <t>Bonndorf</t>
        </is>
      </c>
    </row>
    <row r="548">
      <c r="A548" t="inlineStr">
        <is>
          <t>2 Boards, 4 Sails (4.5, 5.0, 5.9, 6.1 m²), 5 Masts, 4 Fins, 4 Booms, Mast extensions, and other small parts.</t>
        </is>
      </c>
      <c r="B548" s="4" t="n">
        <v>550</v>
      </c>
      <c r="C548" t="inlineStr">
        <is>
          <t>VB</t>
        </is>
      </c>
      <c r="D548" t="inlineStr">
        <is>
          <t>70329 Stuttgart - Obertürkheim</t>
        </is>
      </c>
      <c r="E548" s="5" t="n">
        <v>45511</v>
      </c>
      <c r="F548" t="inlineStr">
        <is>
          <t>Sold</t>
        </is>
      </c>
      <c r="G548" s="6">
        <f>HYPERLINK("https://www.kleinanzeigen.de/s-anzeige/windsurfen-umfangreiche-ausruestung-komplett-abzugeben/2831291546-230-9601", "Link")</f>
        <v/>
      </c>
      <c r="H548" s="6">
        <f>HYPERLINK("C:\Projects\Kleinanzeigen-Scraper\offer_images\2831291546", "Link")</f>
        <v/>
      </c>
      <c r="I548" t="inlineStr">
        <is>
          <t>Claudia</t>
        </is>
      </c>
      <c r="J548" s="6">
        <f>HYPERLINK("https://www.kleinanzeigen.de/s-bestandsliste.html?userId=14915713", "Link")</f>
        <v/>
      </c>
      <c r="K548" s="7" t="n">
        <v>45512.64671296296</v>
      </c>
      <c r="L548" s="3" t="inlineStr">
        <is>
          <t>22.01</t>
        </is>
      </c>
      <c r="M548" t="inlineStr">
        <is>
          <t>Böblingen</t>
        </is>
      </c>
    </row>
    <row r="549">
      <c r="A549" t="inlineStr">
        <is>
          <t>Custom made windsurf board (2.60m x 0.62m), North sail, 2 fins, rig, and mast. Light wear on nose and tail, with some sea tar spots.</t>
        </is>
      </c>
      <c r="B549" s="4" t="n">
        <v>80</v>
      </c>
      <c r="C549" t="inlineStr"/>
      <c r="D549" t="inlineStr">
        <is>
          <t>67105 Rheinland-Pfalz - Schifferstadt</t>
        </is>
      </c>
      <c r="E549" s="5" t="n">
        <v>45509</v>
      </c>
      <c r="F549" t="inlineStr">
        <is>
          <t>Sold</t>
        </is>
      </c>
      <c r="G549" s="6">
        <f>HYPERLINK("https://www.kleinanzeigen.de/s-anzeige/windsurf-board-custom-made-by-bernd-olli-hh-vintage-/2830009224-230-4956", "Link")</f>
        <v/>
      </c>
      <c r="H549" s="6">
        <f>HYPERLINK("C:\Projects\Kleinanzeigen-Scraper\offer_images\2830009224", "Link")</f>
        <v/>
      </c>
      <c r="I549" t="inlineStr">
        <is>
          <t>L. Ulrich</t>
        </is>
      </c>
      <c r="J549" s="6">
        <f>HYPERLINK("https://www.kleinanzeigen.de/s-bestandsliste.html?userId=28345577", "Link")</f>
        <v/>
      </c>
      <c r="K549" s="7" t="n">
        <v>45510.6290162037</v>
      </c>
      <c r="L549" s="3" t="inlineStr">
        <is>
          <t>41.22</t>
        </is>
      </c>
      <c r="M549" t="inlineStr">
        <is>
          <t>Karlsruhe</t>
        </is>
      </c>
    </row>
    <row r="550">
      <c r="A550" t="inlineStr">
        <is>
          <t>Old surfboard approximately 370 cm, includes sail, mast, and accessories.</t>
        </is>
      </c>
      <c r="B550" s="4" t="n">
        <v>55</v>
      </c>
      <c r="C550" t="inlineStr">
        <is>
          <t>VB</t>
        </is>
      </c>
      <c r="D550" t="inlineStr">
        <is>
          <t>64625 Hessen - Bensheim</t>
        </is>
      </c>
      <c r="E550" s="5" t="n">
        <v>45508</v>
      </c>
      <c r="F550" t="inlineStr">
        <is>
          <t>Sold</t>
        </is>
      </c>
      <c r="G550" s="6">
        <f>HYPERLINK("https://www.kleinanzeigen.de/s-anzeige/windsurf-surfboard-alt-fuer-anfaenger-mit-segel-mast-zubehoer/2829204312-211-4769", "Link")</f>
        <v/>
      </c>
      <c r="H550" s="6">
        <f>HYPERLINK("C:\Projects\Kleinanzeigen-Scraper\offer_images\2829204312", "Link")</f>
        <v/>
      </c>
      <c r="I550" t="inlineStr">
        <is>
          <t>T.B.</t>
        </is>
      </c>
      <c r="J550" s="6">
        <f>HYPERLINK("https://www.kleinanzeigen.de/s-bestandsliste.html?userId=40399633", "Link")</f>
        <v/>
      </c>
      <c r="K550" s="7" t="n">
        <v>45509.55424768518</v>
      </c>
      <c r="L550" s="3" t="inlineStr">
        <is>
          <t>77.54</t>
        </is>
      </c>
      <c r="M550" t="inlineStr">
        <is>
          <t>Karlsruhe</t>
        </is>
      </c>
    </row>
    <row r="551">
      <c r="A551" t="inlineStr">
        <is>
          <t>Fanatic Gecko 156 board with sail, mast, and boom. Suitable for beginners and heavier windsurfers.</t>
        </is>
      </c>
      <c r="B551" s="4" t="n">
        <v>850</v>
      </c>
      <c r="C551" t="inlineStr">
        <is>
          <t>VB</t>
        </is>
      </c>
      <c r="D551" t="inlineStr">
        <is>
          <t>71334 Baden-Württemberg - Waiblingen</t>
        </is>
      </c>
      <c r="E551" s="5" t="n">
        <v>45508</v>
      </c>
      <c r="F551" t="inlineStr">
        <is>
          <t>Sold</t>
        </is>
      </c>
      <c r="G551" s="6">
        <f>HYPERLINK("https://www.kleinanzeigen.de/s-anzeige/fanatic-gecko-156-mit-mast-gabelbaum-segel-windsurfen/2829296885-230-9043", "Link")</f>
        <v/>
      </c>
      <c r="H551" s="6">
        <f>HYPERLINK("C:\Projects\Kleinanzeigen-Scraper\offer_images\2829296885", "Link")</f>
        <v/>
      </c>
      <c r="I551" t="inlineStr">
        <is>
          <t>W.K.</t>
        </is>
      </c>
      <c r="J551" s="6">
        <f>HYPERLINK("https://www.kleinanzeigen.de/s-bestandsliste.html?userId=14165641", "Link")</f>
        <v/>
      </c>
      <c r="K551" s="7" t="n">
        <v>45509.55407407408</v>
      </c>
      <c r="L551" s="3" t="inlineStr">
        <is>
          <t>31.14</t>
        </is>
      </c>
      <c r="M551" t="inlineStr">
        <is>
          <t>Böblingen</t>
        </is>
      </c>
    </row>
    <row r="552">
      <c r="A552" t="inlineStr">
        <is>
          <t>Gundails 4.7 sail, matching SDM mast, and GA Sails boom.</t>
        </is>
      </c>
      <c r="B552" s="4" t="n">
        <v>120</v>
      </c>
      <c r="C552" t="inlineStr"/>
      <c r="D552" t="inlineStr">
        <is>
          <t>71088 Baden-Württemberg - Holzgerlingen</t>
        </is>
      </c>
      <c r="E552" s="5" t="n">
        <v>45508</v>
      </c>
      <c r="F552" t="inlineStr">
        <is>
          <t>Sold</t>
        </is>
      </c>
      <c r="G552" s="6">
        <f>HYPERLINK("https://www.kleinanzeigen.de/s-anzeige/windsurf-segel-4-7-plus-mast-mastverlaengerung-und-gabelbaum-ga/2828860011-230-8786", "Link")</f>
        <v/>
      </c>
      <c r="H552" s="6">
        <f>HYPERLINK("C:\Projects\Kleinanzeigen-Scraper\offer_images\2828860011", "Link")</f>
        <v/>
      </c>
      <c r="I552" t="inlineStr">
        <is>
          <t>Georg Bernskoetter</t>
        </is>
      </c>
      <c r="J552" s="6">
        <f>HYPERLINK("https://www.kleinanzeigen.de/s-bestandsliste.html?userId=12927232", "Link")</f>
        <v/>
      </c>
      <c r="K552" s="7" t="n">
        <v>45509.55405092592</v>
      </c>
      <c r="L552" s="3" t="inlineStr">
        <is>
          <t>4.76</t>
        </is>
      </c>
      <c r="M552" t="inlineStr">
        <is>
          <t>Böblingen</t>
        </is>
      </c>
    </row>
    <row r="553">
      <c r="A553" t="inlineStr">
        <is>
          <t>3 surfboards with all accessories and sails, including a surf cart, sold only together.</t>
        </is>
      </c>
      <c r="B553" s="4" t="n">
        <v>350</v>
      </c>
      <c r="C553" t="inlineStr"/>
      <c r="D553" t="inlineStr">
        <is>
          <t>75181 Baden-Württemberg - Pforzheim</t>
        </is>
      </c>
      <c r="E553" s="5" t="n">
        <v>45530</v>
      </c>
      <c r="F553" t="inlineStr">
        <is>
          <t>Sold</t>
        </is>
      </c>
      <c r="G553" s="6">
        <f>HYPERLINK("https://www.kleinanzeigen.de/s-anzeige/windsurf-komplett-ausruestungen/2828075750-230-9270", "Link")</f>
        <v/>
      </c>
      <c r="H553" s="6">
        <f>HYPERLINK("C:\Projects\Kleinanzeigen-Scraper\offer_images\2828075750", "Link")</f>
        <v/>
      </c>
      <c r="I553" t="inlineStr">
        <is>
          <t>Kuhn</t>
        </is>
      </c>
      <c r="J553" s="6">
        <f>HYPERLINK("https://www.kleinanzeigen.de/s-bestandsliste.html?userId=70993413", "Link")</f>
        <v/>
      </c>
      <c r="K553" s="7" t="n">
        <v>45508.5697337963</v>
      </c>
      <c r="L553" s="3" t="inlineStr">
        <is>
          <t>26.52</t>
        </is>
      </c>
      <c r="M553" t="inlineStr">
        <is>
          <t>Böblingen</t>
        </is>
      </c>
    </row>
    <row r="554">
      <c r="A554" t="inlineStr">
        <is>
          <t>Includes 2 Boards (ON Fatboy 125L, Starboard Flare 88L), 5 Sails (Gun Sails Wave Slalom 4.7qm, North Sails Volcano 5.4qm, North Sails e_type 6.6qm, Gun Sails 7.5qm), 2 Masts (Gun Sails Energy C35 460cm, Gun Sails Advantage Wave 430cm), 2 Booms (150-200cm, 190-240cm), and various accessories including mast extensions and mast feet.</t>
        </is>
      </c>
      <c r="B554" s="4" t="n">
        <v>450</v>
      </c>
      <c r="C554" t="inlineStr">
        <is>
          <t>VB</t>
        </is>
      </c>
      <c r="D554" t="inlineStr">
        <is>
          <t>79115 Baden-Württemberg - Freiburg im Breisgau</t>
        </is>
      </c>
      <c r="E554" s="5" t="n">
        <v>45521</v>
      </c>
      <c r="F554" t="inlineStr">
        <is>
          <t>Sold</t>
        </is>
      </c>
      <c r="G554" s="6">
        <f>HYPERLINK("https://www.kleinanzeigen.de/s-anzeige/windsurfen-2-board-4-segel-2-mast-2-gabelbaum-zubehoer/2828008880-230-9366", "Link")</f>
        <v/>
      </c>
      <c r="H554" s="6">
        <f>HYPERLINK("C:\Projects\Kleinanzeigen-Scraper\offer_images\2828008880", "Link")</f>
        <v/>
      </c>
      <c r="I554" t="inlineStr">
        <is>
          <t>Alexander Schmidt</t>
        </is>
      </c>
      <c r="J554" s="6">
        <f>HYPERLINK("https://www.kleinanzeigen.de/s-bestandsliste.html?userId=74225183", "Link")</f>
        <v/>
      </c>
      <c r="K554" s="7" t="n">
        <v>45507.67445601852</v>
      </c>
      <c r="L554" s="3" t="inlineStr">
        <is>
          <t>43.13</t>
        </is>
      </c>
      <c r="M554" t="inlineStr">
        <is>
          <t>Bonndorf</t>
        </is>
      </c>
    </row>
    <row r="555">
      <c r="A555" t="inlineStr">
        <is>
          <t>Loftsails Racingblade 5,0m² Slalomsegel, 100% Carbon Mast von Loftsails 4m SDM, optional Carbon Slalomgabel von Unifiber 175-225</t>
        </is>
      </c>
      <c r="B555" s="4" t="n">
        <v>110</v>
      </c>
      <c r="C555" t="inlineStr"/>
      <c r="D555" t="inlineStr">
        <is>
          <t>Stuttgart</t>
        </is>
      </c>
      <c r="E555" s="5" t="n">
        <v>45500</v>
      </c>
      <c r="F555" t="inlineStr">
        <is>
          <t>Sold</t>
        </is>
      </c>
      <c r="G555" s="6">
        <f>HYPERLINK("https://www.dailydose.de/kleinanzeigen/detail.htm?ai=420058&amp;cf=kk&amp;pg=3&amp;ci=5", "Link")</f>
        <v/>
      </c>
      <c r="H555" s="6">
        <f>HYPERLINK("C:\Projects\Kleinanzeigen-Scraper\offer_images\420058", "Link")</f>
        <v/>
      </c>
      <c r="I555" t="inlineStr">
        <is>
          <t>Roman_96</t>
        </is>
      </c>
      <c r="J555" s="6">
        <f>HYPERLINK("https://www.dailydose.de/kleinanzeigen/user/20905", "Link")</f>
        <v/>
      </c>
      <c r="K555" s="7" t="n">
        <v>45505.94771990741</v>
      </c>
      <c r="L555" s="3" t="inlineStr">
        <is>
          <t>18.71</t>
        </is>
      </c>
      <c r="M555" t="inlineStr">
        <is>
          <t>Böblingen</t>
        </is>
      </c>
    </row>
    <row r="556">
      <c r="A556" t="inlineStr">
        <is>
          <t>NS/Duotone S-Type sail 7.8qm with 460er Gold Mast</t>
        </is>
      </c>
      <c r="B556" s="4" t="n">
        <v>300</v>
      </c>
      <c r="C556" t="inlineStr"/>
      <c r="D556" t="inlineStr">
        <is>
          <t>Karlsruhe/Rosas</t>
        </is>
      </c>
      <c r="E556" s="5" t="n">
        <v>45505</v>
      </c>
      <c r="F556" t="inlineStr">
        <is>
          <t>Sold</t>
        </is>
      </c>
      <c r="G556" s="6">
        <f>HYPERLINK("https://www.dailydose.de/kleinanzeigen/detail.htm?ai=420276&amp;cf=kk&amp;pg=4&amp;ci=5", "Link")</f>
        <v/>
      </c>
      <c r="H556" s="6">
        <f>HYPERLINK("C:\Projects\Kleinanzeigen-Scraper\offer_images\420276", "Link")</f>
        <v/>
      </c>
      <c r="I556" t="inlineStr">
        <is>
          <t>tobi_92</t>
        </is>
      </c>
      <c r="J556" s="6">
        <f>HYPERLINK("https://www.dailydose.de/kleinanzeigen/user/23836", "Link")</f>
        <v/>
      </c>
      <c r="K556" s="7" t="n">
        <v>45505.94740740741</v>
      </c>
      <c r="L556" s="3" t="inlineStr">
        <is>
          <t>2.29</t>
        </is>
      </c>
      <c r="M556" t="inlineStr">
        <is>
          <t>Karlsruhe</t>
        </is>
      </c>
    </row>
    <row r="557">
      <c r="A557" t="inlineStr">
        <is>
          <t>3 sails: Noworx Sails 8.5m², Gaastra Race Slalom 7.5m², BIC Sport Fun Slalom 5.7m², all with signs of use and possible small repairs.</t>
        </is>
      </c>
      <c r="B557" s="4" t="n">
        <v>30</v>
      </c>
      <c r="C557" t="inlineStr"/>
      <c r="D557" t="inlineStr">
        <is>
          <t>76135 Baden-Württemberg - Karlsruhe</t>
        </is>
      </c>
      <c r="E557" s="5" t="n">
        <v>45504</v>
      </c>
      <c r="F557" t="inlineStr">
        <is>
          <t>Sold</t>
        </is>
      </c>
      <c r="G557" s="6">
        <f>HYPERLINK("https://www.kleinanzeigen.de/s-anzeige/windsurf-segel-2-stueck-8-5m-5-7m-/2825876710-230-9193", "Link")</f>
        <v/>
      </c>
      <c r="H557" s="6">
        <f>HYPERLINK("C:\Projects\Kleinanzeigen-Scraper\offer_images\2825876710", "Link")</f>
        <v/>
      </c>
      <c r="I557" t="inlineStr">
        <is>
          <t>sochtl</t>
        </is>
      </c>
      <c r="J557" s="6">
        <f>HYPERLINK("https://www.kleinanzeigen.de/s-bestandsliste.html?userId=136481874", "Link")</f>
        <v/>
      </c>
      <c r="K557" s="7" t="n">
        <v>45505.83631944445</v>
      </c>
      <c r="L557" s="3" t="inlineStr">
        <is>
          <t>1.79</t>
        </is>
      </c>
      <c r="M557" t="inlineStr">
        <is>
          <t>Karlsruhe</t>
        </is>
      </c>
    </row>
    <row r="558">
      <c r="A558" t="inlineStr">
        <is>
          <t>Gaastra GA Hybrid wingfoil set including FR 2000 front wing, aluminum mast (85 cm), fuselage (82 cm), back wings (303 and/or 330), and carrying bag.</t>
        </is>
      </c>
      <c r="B558" s="4" t="n">
        <v>589</v>
      </c>
      <c r="C558" t="inlineStr">
        <is>
          <t>VB</t>
        </is>
      </c>
      <c r="D558" t="inlineStr">
        <is>
          <t>64665 Hessen - Alsbach-Hähnlein</t>
        </is>
      </c>
      <c r="E558" s="5" t="n">
        <v>45500</v>
      </c>
      <c r="F558" t="inlineStr">
        <is>
          <t>Sold</t>
        </is>
      </c>
      <c r="G558" s="6">
        <f>HYPERLINK("https://www.kleinanzeigen.de/s-anzeige/ga-gaastra-hybrid-foil-wing-foil-windsurf-foil-fr-2000-top/2822196508-230-4511", "Link")</f>
        <v/>
      </c>
      <c r="H558" s="6">
        <f>HYPERLINK("C:\Projects\Kleinanzeigen-Scraper\offer_images\2822196508", "Link")</f>
        <v/>
      </c>
      <c r="I558" t="inlineStr">
        <is>
          <t>Matthias</t>
        </is>
      </c>
      <c r="J558" s="6">
        <f>HYPERLINK("https://www.kleinanzeigen.de/s-bestandsliste.html?userId=6736192", "Link")</f>
        <v/>
      </c>
      <c r="K558" s="7" t="n">
        <v>45503.39978009259</v>
      </c>
      <c r="L558" s="3" t="inlineStr">
        <is>
          <t>82.33</t>
        </is>
      </c>
      <c r="M558" t="inlineStr">
        <is>
          <t>Karlsruhe</t>
        </is>
      </c>
    </row>
    <row r="559">
      <c r="A559" t="inlineStr">
        <is>
          <t>Nagelneuer Holzgabelbaum und nagelneuer Holz Mastfuß, beide aus dem Jahr 1977, unbenutzt.</t>
        </is>
      </c>
      <c r="B559" s="4" t="n">
        <v>1500</v>
      </c>
      <c r="C559" t="inlineStr">
        <is>
          <t>VB</t>
        </is>
      </c>
      <c r="D559" t="inlineStr">
        <is>
          <t>76676 Graben-Neudorf</t>
        </is>
      </c>
      <c r="E559" s="5" t="n">
        <v>45330</v>
      </c>
      <c r="F559" t="inlineStr">
        <is>
          <t>Sold</t>
        </is>
      </c>
      <c r="G559" s="6">
        <f>HYPERLINK("https://www.dailydose.de/kleinanzeigen/detail.htm?ai=411035&amp;cf=kk&amp;pg=6&amp;ci=13", "Link")</f>
        <v/>
      </c>
      <c r="H559" s="6">
        <f>HYPERLINK("C:\Projects\Kleinanzeigen-Scraper\offer_images\411035", "Link")</f>
        <v/>
      </c>
      <c r="I559" t="inlineStr">
        <is>
          <t>Surfwalter</t>
        </is>
      </c>
      <c r="J559" s="6">
        <f>HYPERLINK("https://www.dailydose.de/kleinanzeigen/user/25810", "Link")</f>
        <v/>
      </c>
      <c r="K559" s="7" t="n">
        <v>45502.78722222222</v>
      </c>
      <c r="L559" s="3" t="inlineStr">
        <is>
          <t>16.37</t>
        </is>
      </c>
      <c r="M559" t="inlineStr">
        <is>
          <t>Karlsruhe</t>
        </is>
      </c>
    </row>
    <row r="560">
      <c r="A560" t="inlineStr">
        <is>
          <t>Fanatic X-Ray 150l board with complete rig including 6.4 North sail and RDM mast.</t>
        </is>
      </c>
      <c r="B560" s="4" t="n">
        <v>499</v>
      </c>
      <c r="C560" t="inlineStr"/>
      <c r="D560" t="inlineStr">
        <is>
          <t>78166 Donaueschingen</t>
        </is>
      </c>
      <c r="E560" s="5" t="n">
        <v>45501</v>
      </c>
      <c r="F560" t="inlineStr">
        <is>
          <t>Sold</t>
        </is>
      </c>
      <c r="G560" s="6">
        <f>HYPERLINK("https://www.dailydose.de/kleinanzeigen/detail.htm?ai=420120&amp;cf=kk&amp;pg=4&amp;ci=11", "Link")</f>
        <v/>
      </c>
      <c r="H560" s="6">
        <f>HYPERLINK("C:\Projects\Kleinanzeigen-Scraper\offer_images\420120", "Link")</f>
        <v/>
      </c>
      <c r="I560" t="inlineStr">
        <is>
          <t>Kurt_168</t>
        </is>
      </c>
      <c r="J560" s="6">
        <f>HYPERLINK("https://www.dailydose.de/kleinanzeigen/user/13902", "Link")</f>
        <v/>
      </c>
      <c r="K560" s="7" t="n">
        <v>45502.78524305556</v>
      </c>
      <c r="L560" s="3" t="inlineStr">
        <is>
          <t>19.93</t>
        </is>
      </c>
      <c r="M560" t="inlineStr">
        <is>
          <t>Bonndorf</t>
        </is>
      </c>
    </row>
    <row r="561">
      <c r="A561" t="inlineStr">
        <is>
          <t>Includes a Fanatic board (298 cm x 64.5 cm, 130 liters), a Naish sail (4.5 m²), and a mast (4.3 m required).</t>
        </is>
      </c>
      <c r="B561" s="4" t="n">
        <v>50</v>
      </c>
      <c r="C561" t="inlineStr"/>
      <c r="D561" t="inlineStr">
        <is>
          <t>76275 Baden-Württemberg - Ettlingen</t>
        </is>
      </c>
      <c r="E561" s="5" t="n">
        <v>45467</v>
      </c>
      <c r="F561" t="inlineStr">
        <is>
          <t>Sold</t>
        </is>
      </c>
      <c r="G561" s="6">
        <f>HYPERLINK("https://www.kleinanzeigen.de/s-anzeige/windsurf-brett/2796607482-230-8929", "Link")</f>
        <v/>
      </c>
      <c r="H561" s="6">
        <f>HYPERLINK("C:\Projects\Kleinanzeigen-Scraper\offer_images\2796607482", "Link")</f>
        <v/>
      </c>
      <c r="I561" t="inlineStr">
        <is>
          <t>Micha</t>
        </is>
      </c>
      <c r="J561" s="6">
        <f>HYPERLINK("https://www.kleinanzeigen.de/s-bestandsliste.html?userId=6057214", "Link")</f>
        <v/>
      </c>
      <c r="K561" s="7" t="n">
        <v>45502.7841550926</v>
      </c>
      <c r="L561" s="3" t="inlineStr">
        <is>
          <t>8.80</t>
        </is>
      </c>
      <c r="M561" t="inlineStr">
        <is>
          <t>Karlsruhe</t>
        </is>
      </c>
    </row>
    <row r="562">
      <c r="A562" t="inlineStr">
        <is>
          <t>Windsurf board and sail, details visible in the images.</t>
        </is>
      </c>
      <c r="B562" s="4" t="n">
        <v>200</v>
      </c>
      <c r="C562" t="inlineStr">
        <is>
          <t>VB</t>
        </is>
      </c>
      <c r="D562" t="inlineStr">
        <is>
          <t>72664 Baden-Württemberg - Kohlberg</t>
        </is>
      </c>
      <c r="E562" s="5" t="n">
        <v>45501</v>
      </c>
      <c r="F562" t="inlineStr">
        <is>
          <t>Sold</t>
        </is>
      </c>
      <c r="G562" s="6">
        <f>HYPERLINK("https://www.kleinanzeigen.de/s-anzeige/windsurf-brett-segel/2822881870-230-7990", "Link")</f>
        <v/>
      </c>
      <c r="H562" s="6">
        <f>HYPERLINK("C:\Projects\Kleinanzeigen-Scraper\offer_images\2822881870", "Link")</f>
        <v/>
      </c>
      <c r="I562" t="inlineStr">
        <is>
          <t>Mareike</t>
        </is>
      </c>
      <c r="J562" s="6">
        <f>HYPERLINK("https://www.kleinanzeigen.de/s-bestandsliste.html?userId=72461397", "Link")</f>
        <v/>
      </c>
      <c r="K562" s="7" t="n">
        <v>45502.78398148148</v>
      </c>
      <c r="L562" s="3" t="inlineStr">
        <is>
          <t>29.53</t>
        </is>
      </c>
      <c r="M562" t="inlineStr">
        <is>
          <t>Böblingen</t>
        </is>
      </c>
    </row>
    <row r="563">
      <c r="A563" t="inlineStr">
        <is>
          <t>Kinderrigg Ascan Pro 3.0m² including sail, mast, boom, and mast foot.</t>
        </is>
      </c>
      <c r="B563" s="4" t="n">
        <v>240</v>
      </c>
      <c r="C563" t="inlineStr">
        <is>
          <t>VB</t>
        </is>
      </c>
      <c r="D563" t="inlineStr">
        <is>
          <t>70469 Stuttgart - Feuerbach</t>
        </is>
      </c>
      <c r="E563" s="5" t="n">
        <v>45501</v>
      </c>
      <c r="F563" t="inlineStr">
        <is>
          <t>Sold</t>
        </is>
      </c>
      <c r="G563" s="6">
        <f>HYPERLINK("https://www.kleinanzeigen.de/s-anzeige/kinderrigg-ascan-pro-3-0m-neuwertig-windsurfen/2823280076-230-9305", "Link")</f>
        <v/>
      </c>
      <c r="H563" s="6">
        <f>HYPERLINK("C:\Projects\Kleinanzeigen-Scraper\offer_images\2823280076", "Link")</f>
        <v/>
      </c>
      <c r="I563" t="inlineStr">
        <is>
          <t>Dietrich K</t>
        </is>
      </c>
      <c r="J563" s="6">
        <f>HYPERLINK("https://www.kleinanzeigen.de/s-bestandsliste.html?userId=11826766", "Link")</f>
        <v/>
      </c>
      <c r="K563" s="7" t="n">
        <v>45502.78396990741</v>
      </c>
      <c r="L563" s="3" t="inlineStr">
        <is>
          <t>19.78</t>
        </is>
      </c>
      <c r="M563" t="inlineStr">
        <is>
          <t>Böblingen</t>
        </is>
      </c>
    </row>
    <row r="564">
      <c r="A564" t="inlineStr">
        <is>
          <t>Neil Pryde RAF SlalomLite 8,8 m² Leichtwind-Segel, Mastlänge 5,30 m, passender 2,60 m Gabelbaum</t>
        </is>
      </c>
      <c r="B564" s="4" t="n">
        <v>49</v>
      </c>
      <c r="C564" t="inlineStr">
        <is>
          <t>VB</t>
        </is>
      </c>
      <c r="D564" t="inlineStr">
        <is>
          <t>67067 Rheinland-Pfalz - Ludwigshafen</t>
        </is>
      </c>
      <c r="E564" s="5" t="n">
        <v>45501</v>
      </c>
      <c r="F564" t="inlineStr">
        <is>
          <t>Sold</t>
        </is>
      </c>
      <c r="G564" s="6">
        <f>HYPERLINK("https://www.kleinanzeigen.de/s-anzeige/8-8-m-windsurf-segel-np-und-pass-gabelbaum/2823792672-230-5384", "Link")</f>
        <v/>
      </c>
      <c r="H564" s="6">
        <f>HYPERLINK("C:\Projects\Kleinanzeigen-Scraper\offer_images\2823792672", "Link")</f>
        <v/>
      </c>
      <c r="I564" t="inlineStr">
        <is>
          <t>GPfeiffer</t>
        </is>
      </c>
      <c r="J564" s="6">
        <f>HYPERLINK("https://www.kleinanzeigen.de/s-bestandsliste.html?userId=38525979", "Link")</f>
        <v/>
      </c>
      <c r="K564" s="7" t="n">
        <v>45502.78380787037</v>
      </c>
      <c r="L564" s="3" t="inlineStr">
        <is>
          <t>50.44</t>
        </is>
      </c>
      <c r="M564" t="inlineStr">
        <is>
          <t>Karlsruhe</t>
        </is>
      </c>
    </row>
    <row r="565">
      <c r="A565" t="inlineStr">
        <is>
          <t>Brett mit komplettem Zubehör, voll funktionstüchtig, kann auch für SUP verwendet werden</t>
        </is>
      </c>
      <c r="B565" s="4" t="n">
        <v>35</v>
      </c>
      <c r="C565" t="inlineStr"/>
      <c r="D565" t="inlineStr">
        <is>
          <t>76275 Baden-Württemberg - Ettlingen</t>
        </is>
      </c>
      <c r="E565" s="5" t="n">
        <v>45502</v>
      </c>
      <c r="F565" t="inlineStr">
        <is>
          <t>Sold</t>
        </is>
      </c>
      <c r="G565" s="6">
        <f>HYPERLINK("https://www.kleinanzeigen.de/s-anzeige/windsurfen-brett-mit-komplettem-zubehoer/2824337073-230-8929", "Link")</f>
        <v/>
      </c>
      <c r="H565" s="6">
        <f>HYPERLINK("C:\Projects\Kleinanzeigen-Scraper\offer_images\2824337073", "Link")</f>
        <v/>
      </c>
      <c r="I565" t="inlineStr">
        <is>
          <t>Kurbel</t>
        </is>
      </c>
      <c r="J565" s="6">
        <f>HYPERLINK("https://www.kleinanzeigen.de/s-bestandsliste.html?userId=128087550", "Link")</f>
        <v/>
      </c>
      <c r="K565" s="7" t="n">
        <v>45502.7837037037</v>
      </c>
      <c r="L565" s="3" t="inlineStr">
        <is>
          <t>8.80</t>
        </is>
      </c>
      <c r="M565" t="inlineStr">
        <is>
          <t>Karlsruhe</t>
        </is>
      </c>
    </row>
    <row r="566">
      <c r="A566" t="inlineStr">
        <is>
          <t>5 Gabelbäume: NP 140-160 schwarz, ART 155-200 rot, 2 x Tecno 160-210 (blau und violett), alle verstell- und zerlegbar, komplett mit Tampen.</t>
        </is>
      </c>
      <c r="B566" s="4" t="n">
        <v>1</v>
      </c>
      <c r="C566" t="inlineStr">
        <is>
          <t>VB</t>
        </is>
      </c>
      <c r="D566" t="inlineStr">
        <is>
          <t>67067 Rheinland-Pfalz - Ludwigshafen</t>
        </is>
      </c>
      <c r="E566" s="5" t="n">
        <v>45501</v>
      </c>
      <c r="F566" t="inlineStr">
        <is>
          <t>Sold</t>
        </is>
      </c>
      <c r="G566" s="6">
        <f>HYPERLINK("https://www.kleinanzeigen.de/s-anzeige/4-x-gabelbaum-windsurf/2823776579-230-5384", "Link")</f>
        <v/>
      </c>
      <c r="H566" s="6">
        <f>HYPERLINK("C:\Projects\Kleinanzeigen-Scraper\offer_images\2823776579", "Link")</f>
        <v/>
      </c>
      <c r="I566" t="inlineStr">
        <is>
          <t>GPfeiffer</t>
        </is>
      </c>
      <c r="J566" s="6">
        <f>HYPERLINK("https://www.kleinanzeigen.de/s-bestandsliste.html?userId=38525979", "Link")</f>
        <v/>
      </c>
      <c r="K566" s="7" t="n">
        <v>45502.78333333333</v>
      </c>
      <c r="L566" s="3" t="inlineStr">
        <is>
          <t>50.44</t>
        </is>
      </c>
      <c r="M566" t="inlineStr">
        <is>
          <t>Karlsruhe</t>
        </is>
      </c>
    </row>
    <row r="567">
      <c r="A567" t="inlineStr">
        <is>
          <t>1) Board: Mistral Joker – 109L – Freestyle/Freemove, 2) Board: F2 Guerilla – 71L – Wave/Starkwind, 3) Sail: RRD – Style Pro – 5,7m² - Freestyle/Freemove, 4) Mast: Neilpryde – X3 – 430cm – 35% Carbon – Constant Curve, 5) Boom: North Sails – Red Series – 180-230cm, 6) Boom: Maui Magic – Vision Carbon – 162 – 222cm, 7) Boom: Neilpryde – X3 – 135-185cm, 8) Various accessories like mast bases, fins, etc.</t>
        </is>
      </c>
      <c r="B567" s="4" t="inlineStr"/>
      <c r="C567" t="inlineStr">
        <is>
          <t>VB</t>
        </is>
      </c>
      <c r="D567" t="inlineStr">
        <is>
          <t>78187 Geisingen</t>
        </is>
      </c>
      <c r="E567" s="5" t="n">
        <v>45487</v>
      </c>
      <c r="F567" t="inlineStr">
        <is>
          <t>Sold</t>
        </is>
      </c>
      <c r="G567" s="6">
        <f>HYPERLINK("https://www.dailydose.de/kleinanzeigen/detail.htm?ai=419406&amp;cf=kk&amp;pg=6&amp;ci=11", "Link")</f>
        <v/>
      </c>
      <c r="H567" s="6">
        <f>HYPERLINK("C:\Projects\Kleinanzeigen-Scraper\offer_images\419406", "Link")</f>
        <v/>
      </c>
      <c r="I567" t="inlineStr">
        <is>
          <t>surferto</t>
        </is>
      </c>
      <c r="J567" s="6">
        <f>HYPERLINK("https://www.dailydose.de/kleinanzeigen/user/23808", "Link")</f>
        <v/>
      </c>
      <c r="K567" s="7" t="n">
        <v>45501.41673611111</v>
      </c>
      <c r="L567" s="3" t="inlineStr">
        <is>
          <t>24.74</t>
        </is>
      </c>
      <c r="M567" t="inlineStr">
        <is>
          <t>Bonndorf</t>
        </is>
      </c>
    </row>
    <row r="568">
      <c r="A568" t="inlineStr">
        <is>
          <t>Windsurf board and sail, details of the board include dimensions: 305 cm length, 164 L volume, and brand Funboard. The sail is also included but specific details are not provided.</t>
        </is>
      </c>
      <c r="B568" s="4" t="n">
        <v>200</v>
      </c>
      <c r="C568" t="inlineStr">
        <is>
          <t>VB</t>
        </is>
      </c>
      <c r="D568" t="inlineStr">
        <is>
          <t>72664 Baden-Württemberg - Kohlberg</t>
        </is>
      </c>
      <c r="E568" s="5" t="n">
        <v>45442</v>
      </c>
      <c r="F568" t="inlineStr">
        <is>
          <t>Sold</t>
        </is>
      </c>
      <c r="G568" s="6">
        <f>HYPERLINK("https://www.kleinanzeigen.de/s-anzeige/windsurf-brett-segel/2775301277-230-7990", "Link")</f>
        <v/>
      </c>
      <c r="H568" s="6">
        <f>HYPERLINK("C:\Projects\Kleinanzeigen-Scraper\offer_images\2775301277", "Link")</f>
        <v/>
      </c>
      <c r="I568" t="inlineStr">
        <is>
          <t>Mareike</t>
        </is>
      </c>
      <c r="J568" s="6">
        <f>HYPERLINK("https://www.kleinanzeigen.de/s-bestandsliste.html?userId=72461397", "Link")</f>
        <v/>
      </c>
      <c r="K568" s="7" t="n">
        <v>45500.72447916667</v>
      </c>
      <c r="L568" s="3" t="inlineStr">
        <is>
          <t>29.53</t>
        </is>
      </c>
      <c r="M568" t="inlineStr">
        <is>
          <t>Böblingen</t>
        </is>
      </c>
    </row>
    <row r="569">
      <c r="A569" t="inlineStr">
        <is>
          <t>Includes Gun Segel Torro 6.3 qm, North Segel Infinity 5.5 qm, North Segel Vertigo 3.7 qm, Gun Gabelbaum Cross 150-200 cm (dicke und dünne Griffstärke), Mast Cross Wave SDM 430 cm, Mastverlängerungen SDM 30 cm, Hüfttrapez Pro Limit Wave Gr. M, Neoprenanzug Gr. 48/50, Shorty Gr. 48.</t>
        </is>
      </c>
      <c r="B569" s="4" t="n">
        <v>70</v>
      </c>
      <c r="C569" t="inlineStr"/>
      <c r="D569" t="inlineStr">
        <is>
          <t>78120 Baden-Württemberg - Furtwangen</t>
        </is>
      </c>
      <c r="E569" s="5" t="n">
        <v>45488</v>
      </c>
      <c r="F569" t="inlineStr">
        <is>
          <t>Sold</t>
        </is>
      </c>
      <c r="G569" s="6">
        <f>HYPERLINK("https://www.kleinanzeigen.de/s-anzeige/windsurfen-diverse-artikel/2812769665-230-9108", "Link")</f>
        <v/>
      </c>
      <c r="H569" s="6">
        <f>HYPERLINK("C:\Projects\Kleinanzeigen-Scraper\offer_images\2812769665", "Link")</f>
        <v/>
      </c>
      <c r="I569" t="inlineStr">
        <is>
          <t>Axel</t>
        </is>
      </c>
      <c r="J569" s="6">
        <f>HYPERLINK("https://www.kleinanzeigen.de/s-bestandsliste.html?userId=125743623", "Link")</f>
        <v/>
      </c>
      <c r="K569" s="7" t="n">
        <v>45500.72443287037</v>
      </c>
      <c r="L569" s="3" t="inlineStr">
        <is>
          <t>26.67</t>
        </is>
      </c>
      <c r="M569" t="inlineStr">
        <is>
          <t>Bonndorf</t>
        </is>
      </c>
    </row>
    <row r="570">
      <c r="A570" t="inlineStr">
        <is>
          <t>F2 SUP Windsurf Segel Komplett Set, Size: 4.5m², NEU, includes bag</t>
        </is>
      </c>
      <c r="B570" s="4" t="n">
        <v>269</v>
      </c>
      <c r="C570" t="inlineStr">
        <is>
          <t>VB</t>
        </is>
      </c>
      <c r="D570" t="inlineStr">
        <is>
          <t>79235 Baden-Württemberg - Vogtsburg</t>
        </is>
      </c>
      <c r="E570" s="5" t="n">
        <v>45158</v>
      </c>
      <c r="F570" t="inlineStr">
        <is>
          <t>Sold</t>
        </is>
      </c>
      <c r="G570" s="6">
        <f>HYPERLINK("https://www.kleinanzeigen.de/s-anzeige/f2-sup-windsurf-segel-rigg-komplett-set-2-0-5-5m-neu/2524910028-230-8902", "Link")</f>
        <v/>
      </c>
      <c r="H570" s="6">
        <f>HYPERLINK("C:\Projects\Kleinanzeigen-Scraper\offer_images\2524910028", "Link")</f>
        <v/>
      </c>
      <c r="I570" t="inlineStr">
        <is>
          <t>BACKSIDE180</t>
        </is>
      </c>
      <c r="J570" s="6">
        <f>HYPERLINK("https://www.kleinanzeigen.de/s-bestandsliste.html?userId=83228138", "Link")</f>
        <v/>
      </c>
      <c r="K570" s="7" t="n">
        <v>45500.7244212963</v>
      </c>
      <c r="L570" s="3" t="inlineStr">
        <is>
          <t>60.53</t>
        </is>
      </c>
      <c r="M570" t="inlineStr">
        <is>
          <t>Bonndorf</t>
        </is>
      </c>
    </row>
    <row r="571">
      <c r="A571" t="inlineStr">
        <is>
          <t>Komplettpaket includes Tabou Rocket board (125L), Gun Sails Rapid sails (5.7 and 6.7), Gun Sails Expert mast (460 cm, SDM), and Gun Sails Cross boom (180-240 cm).</t>
        </is>
      </c>
      <c r="B571" s="4" t="n">
        <v>699</v>
      </c>
      <c r="C571" t="inlineStr"/>
      <c r="D571" t="inlineStr">
        <is>
          <t>79102 Baden-Württemberg - Freiburg im Breisgau</t>
        </is>
      </c>
      <c r="E571" s="5" t="n">
        <v>45449</v>
      </c>
      <c r="F571" t="inlineStr"/>
      <c r="G571" s="6">
        <f>HYPERLINK("https://www.kleinanzeigen.de/s-anzeige/windsurf-komplettpaket-tabou-rocket-gun-sails-wie-duotone-naish/2781073229-230-9364", "Link")</f>
        <v/>
      </c>
      <c r="H571" s="6">
        <f>HYPERLINK("C:\Projects\Kleinanzeigen-Scraper\offer_images\2781073229", "Link")</f>
        <v/>
      </c>
      <c r="I571" t="inlineStr">
        <is>
          <t>Tobias</t>
        </is>
      </c>
      <c r="J571" s="6">
        <f>HYPERLINK("https://www.kleinanzeigen.de/s-bestandsliste.html?userId=11261079", "Link")</f>
        <v/>
      </c>
      <c r="K571" s="7" t="n">
        <v>45500.7244212963</v>
      </c>
      <c r="L571" s="3" t="inlineStr">
        <is>
          <t>40.20</t>
        </is>
      </c>
      <c r="M571" t="inlineStr">
        <is>
          <t>Bonndorf</t>
        </is>
      </c>
    </row>
    <row r="572">
      <c r="A572" t="inlineStr">
        <is>
          <t>Windsurf sail Ascan Pro 2.0, includes mast and boom, in used condition.</t>
        </is>
      </c>
      <c r="B572" s="4" t="n">
        <v>110</v>
      </c>
      <c r="C572" t="inlineStr"/>
      <c r="D572" t="inlineStr">
        <is>
          <t>76287 Baden-Württemberg - Rheinstetten</t>
        </is>
      </c>
      <c r="E572" s="5" t="n">
        <v>45450</v>
      </c>
      <c r="F572" t="inlineStr">
        <is>
          <t>Sold</t>
        </is>
      </c>
      <c r="G572" s="6">
        <f>HYPERLINK("https://www.kleinanzeigen.de/s-anzeige/windsurf-segel-ascan-pro-2-0-juniorrig/2782346529-230-8166", "Link")</f>
        <v/>
      </c>
      <c r="H572" s="6">
        <f>HYPERLINK("C:\Projects\Kleinanzeigen-Scraper\offer_images\2782346529", "Link")</f>
        <v/>
      </c>
      <c r="I572" t="inlineStr">
        <is>
          <t>S. Markert</t>
        </is>
      </c>
      <c r="J572" s="6">
        <f>HYPERLINK("https://www.kleinanzeigen.de/s-bestandsliste.html?userId=31712921", "Link")</f>
        <v/>
      </c>
      <c r="K572" s="7" t="n">
        <v>45500.72435185185</v>
      </c>
      <c r="L572" s="3" t="inlineStr">
        <is>
          <t>7.05</t>
        </is>
      </c>
      <c r="M572" t="inlineStr">
        <is>
          <t>Karlsruhe</t>
        </is>
      </c>
    </row>
    <row r="573">
      <c r="A573" t="inlineStr">
        <is>
          <t>Highend Windsurf SUP set including Board, Trolley-Rucksack, Titan II Pump, Repair Set, waterproof phone case, Fin, Sword &amp; Sail Rig Set. Board dimensions: 10'7'', Width: 33'', Thickness: 4.7'', Volume: 257L, Weight: 11.6 kg.</t>
        </is>
      </c>
      <c r="B573" s="4" t="n">
        <v>1.999</v>
      </c>
      <c r="C573" t="inlineStr"/>
      <c r="D573" t="inlineStr">
        <is>
          <t>79235 Baden-Württemberg - Vogtsburg</t>
        </is>
      </c>
      <c r="E573" s="5" t="n">
        <v>45052</v>
      </c>
      <c r="F573" t="inlineStr">
        <is>
          <t>Sold</t>
        </is>
      </c>
      <c r="G573" s="6">
        <f>HYPERLINK("https://www.kleinanzeigen.de/s-anzeige/red-ride-windsurf-10-7-paddle-board-segel-rig-sup-set-neu/2434742675-230-8902", "Link")</f>
        <v/>
      </c>
      <c r="H573" s="6">
        <f>HYPERLINK("C:\Projects\Kleinanzeigen-Scraper\offer_images\2434742675", "Link")</f>
        <v/>
      </c>
      <c r="I573" t="inlineStr">
        <is>
          <t>BACKSIDE180</t>
        </is>
      </c>
      <c r="J573" s="6">
        <f>HYPERLINK("https://www.kleinanzeigen.de/s-bestandsliste.html?userId=83228138", "Link")</f>
        <v/>
      </c>
      <c r="K573" s="7" t="n">
        <v>45500.72430555556</v>
      </c>
      <c r="L573" s="3" t="inlineStr">
        <is>
          <t>60.53</t>
        </is>
      </c>
      <c r="M573" t="inlineStr">
        <is>
          <t>Bonndorf</t>
        </is>
      </c>
    </row>
    <row r="574">
      <c r="A574" t="inlineStr">
        <is>
          <t>Complete windsurf set including sail, board, mast, boom, and accessories.</t>
        </is>
      </c>
      <c r="B574" s="4" t="n">
        <v>300</v>
      </c>
      <c r="C574" t="inlineStr">
        <is>
          <t>VB</t>
        </is>
      </c>
      <c r="D574" t="inlineStr">
        <is>
          <t>73095 Baden-Württemberg - Albershausen</t>
        </is>
      </c>
      <c r="E574" s="5" t="n">
        <v>45455</v>
      </c>
      <c r="F574" t="inlineStr">
        <is>
          <t>Sold</t>
        </is>
      </c>
      <c r="G574" s="6">
        <f>HYPERLINK("https://www.kleinanzeigen.de/s-anzeige/komplettes-windsurf-set-top-zustand-/2786337586-187-8869", "Link")</f>
        <v/>
      </c>
      <c r="H574" s="6">
        <f>HYPERLINK("C:\Projects\Kleinanzeigen-Scraper\offer_images\2786337586", "Link")</f>
        <v/>
      </c>
      <c r="I574" t="inlineStr">
        <is>
          <t>Klaus Irschik</t>
        </is>
      </c>
      <c r="J574" s="6">
        <f>HYPERLINK("https://www.kleinanzeigen.de/s-bestandsliste.html?userId=72791758", "Link")</f>
        <v/>
      </c>
      <c r="K574" s="7" t="n">
        <v>45500.72423611111</v>
      </c>
      <c r="L574" s="3" t="inlineStr">
        <is>
          <t>43.18</t>
        </is>
      </c>
      <c r="M574" t="inlineStr">
        <is>
          <t>Böblingen</t>
        </is>
      </c>
    </row>
    <row r="575">
      <c r="A575" t="inlineStr">
        <is>
          <t>Complete windsurfing set including a non-inflatable board, sail, mast, boom, and various accessories.</t>
        </is>
      </c>
      <c r="B575" s="4" t="n">
        <v>349</v>
      </c>
      <c r="C575" t="inlineStr">
        <is>
          <t>VB</t>
        </is>
      </c>
      <c r="D575" t="inlineStr">
        <is>
          <t>74219 Baden-Württemberg - Möckmühl</t>
        </is>
      </c>
      <c r="E575" s="5" t="n">
        <v>45109</v>
      </c>
      <c r="F575" t="inlineStr">
        <is>
          <t>Sold</t>
        </is>
      </c>
      <c r="G575" s="6">
        <f>HYPERLINK("https://www.kleinanzeigen.de/s-anzeige/windsurf-set-windsurfboard-segelsurfer/2483043674-230-8658", "Link")</f>
        <v/>
      </c>
      <c r="H575" s="6">
        <f>HYPERLINK("C:\Projects\Kleinanzeigen-Scraper\offer_images\2483043674", "Link")</f>
        <v/>
      </c>
      <c r="I575" t="inlineStr">
        <is>
          <t>Neufeld Igor</t>
        </is>
      </c>
      <c r="J575" s="6">
        <f>HYPERLINK("https://www.kleinanzeigen.de/s-bestandsliste.html?userId=17649745", "Link")</f>
        <v/>
      </c>
      <c r="K575" s="7" t="n">
        <v>45500.72420138889</v>
      </c>
      <c r="L575" s="3" t="inlineStr">
        <is>
          <t>76.87</t>
        </is>
      </c>
      <c r="M575" t="inlineStr">
        <is>
          <t>Böblingen</t>
        </is>
      </c>
    </row>
    <row r="576">
      <c r="A576" t="inlineStr">
        <is>
          <t>Mistral Windsurfboard with Mast, Boom, and Sail (7 m²).</t>
        </is>
      </c>
      <c r="B576" s="4" t="n">
        <v>35</v>
      </c>
      <c r="C576" t="inlineStr">
        <is>
          <t>VB</t>
        </is>
      </c>
      <c r="D576" t="inlineStr">
        <is>
          <t>89584 Baden-Württemberg - Ehingen (Donau)</t>
        </is>
      </c>
      <c r="E576" s="5" t="n">
        <v>45490</v>
      </c>
      <c r="F576" t="inlineStr">
        <is>
          <t>Sold</t>
        </is>
      </c>
      <c r="G576" s="6">
        <f>HYPERLINK("https://www.kleinanzeigen.de/s-anzeige/mistral-windsurf-surfbrett-set-old-school/2814669633-230-8804", "Link")</f>
        <v/>
      </c>
      <c r="H576" s="6">
        <f>HYPERLINK("C:\Projects\Kleinanzeigen-Scraper\offer_images\2814669633", "Link")</f>
        <v/>
      </c>
      <c r="I576" t="inlineStr">
        <is>
          <t>Jürgen Martin</t>
        </is>
      </c>
      <c r="J576" s="6">
        <f>HYPERLINK("https://www.kleinanzeigen.de/s-bestandsliste.html?userId=8786203", "Link")</f>
        <v/>
      </c>
      <c r="K576" s="7" t="n">
        <v>45500.72418981481</v>
      </c>
      <c r="L576" s="3" t="inlineStr">
        <is>
          <t>66.01</t>
        </is>
      </c>
      <c r="M576" t="inlineStr">
        <is>
          <t>Böblingen</t>
        </is>
      </c>
    </row>
    <row r="577">
      <c r="A577" t="inlineStr">
        <is>
          <t>3 Booms, 2 Sails, 2 Masts</t>
        </is>
      </c>
      <c r="B577" s="4" t="n">
        <v>49</v>
      </c>
      <c r="C577" t="inlineStr">
        <is>
          <t>VB</t>
        </is>
      </c>
      <c r="D577" t="inlineStr">
        <is>
          <t>76135 Baden-Württemberg - Karlsruhe</t>
        </is>
      </c>
      <c r="E577" s="5" t="n">
        <v>45427</v>
      </c>
      <c r="F577" t="inlineStr">
        <is>
          <t>Sold</t>
        </is>
      </c>
      <c r="G577" s="6">
        <f>HYPERLINK("https://www.kleinanzeigen.de/s-anzeige/windsurf-equipment/2762182517-230-9193", "Link")</f>
        <v/>
      </c>
      <c r="H577" s="6">
        <f>HYPERLINK("C:\Projects\Kleinanzeigen-Scraper\offer_images\2762182517", "Link")</f>
        <v/>
      </c>
      <c r="I577" t="inlineStr">
        <is>
          <t>Jeremy vey</t>
        </is>
      </c>
      <c r="J577" s="6">
        <f>HYPERLINK("https://www.kleinanzeigen.de/s-bestandsliste.html?userId=75468549", "Link")</f>
        <v/>
      </c>
      <c r="K577" s="7" t="n">
        <v>45500.72414351852</v>
      </c>
      <c r="L577" s="3" t="inlineStr">
        <is>
          <t>1.79</t>
        </is>
      </c>
      <c r="M577" t="inlineStr">
        <is>
          <t>Karlsruhe</t>
        </is>
      </c>
    </row>
    <row r="578">
      <c r="A578" t="inlineStr">
        <is>
          <t>2-in-1 Windsurf SUP set including F2 Team Windsurf 10.5 board, F2 Checker sail rig, paddle, bag, pump, fins, and repair kit.</t>
        </is>
      </c>
      <c r="B578" s="4" t="n">
        <v>699</v>
      </c>
      <c r="C578" t="inlineStr"/>
      <c r="D578" t="inlineStr">
        <is>
          <t>79235 Baden-Württemberg - Vogtsburg</t>
        </is>
      </c>
      <c r="E578" s="5" t="n">
        <v>45152</v>
      </c>
      <c r="F578" t="inlineStr">
        <is>
          <t>Sold</t>
        </is>
      </c>
      <c r="G578" s="6">
        <f>HYPERLINK("https://www.kleinanzeigen.de/s-anzeige/f2-team-ws-10-5-stand-up-paddle-board-sup-segel-windsurf-set-neu/2520238669-230-8902", "Link")</f>
        <v/>
      </c>
      <c r="H578" s="6">
        <f>HYPERLINK("C:\Projects\Kleinanzeigen-Scraper\offer_images\2520238669", "Link")</f>
        <v/>
      </c>
      <c r="I578" t="inlineStr">
        <is>
          <t>BACKSIDE180</t>
        </is>
      </c>
      <c r="J578" s="6">
        <f>HYPERLINK("https://www.kleinanzeigen.de/s-bestandsliste.html?userId=83228138", "Link")</f>
        <v/>
      </c>
      <c r="K578" s="7" t="n">
        <v>45500.72413194444</v>
      </c>
      <c r="L578" s="3" t="inlineStr">
        <is>
          <t>60.53</t>
        </is>
      </c>
      <c r="M578" t="inlineStr">
        <is>
          <t>Bonndorf</t>
        </is>
      </c>
    </row>
    <row r="579">
      <c r="A579" t="inlineStr">
        <is>
          <t>2-in-1 Windsurf SUP including 4.5m² sail set, paddle, bag, pump, fins (2 x Soft + 1 x US BOX), and repair kit.</t>
        </is>
      </c>
      <c r="B579" s="4" t="n">
        <v>799</v>
      </c>
      <c r="C579" t="inlineStr"/>
      <c r="D579" t="inlineStr">
        <is>
          <t>79235 Baden-Württemberg - Vogtsburg</t>
        </is>
      </c>
      <c r="E579" s="5" t="n">
        <v>45183</v>
      </c>
      <c r="F579" t="inlineStr">
        <is>
          <t>Sold</t>
        </is>
      </c>
      <c r="G579" s="6">
        <f>HYPERLINK("https://www.kleinanzeigen.de/s-anzeige/f2-glide-wing-10-8-stand-up-paddle-board-windsurf-sup-4-5-m-set/2545758607-230-8902", "Link")</f>
        <v/>
      </c>
      <c r="H579" s="6">
        <f>HYPERLINK("C:\Projects\Kleinanzeigen-Scraper\offer_images\2545758607", "Link")</f>
        <v/>
      </c>
      <c r="I579" t="inlineStr">
        <is>
          <t>BACKSIDE180</t>
        </is>
      </c>
      <c r="J579" s="6">
        <f>HYPERLINK("https://www.kleinanzeigen.de/s-bestandsliste.html?userId=83228138", "Link")</f>
        <v/>
      </c>
      <c r="K579" s="7" t="n">
        <v>45500.72413194444</v>
      </c>
      <c r="L579" s="3" t="inlineStr">
        <is>
          <t>60.53</t>
        </is>
      </c>
      <c r="M579" t="inlineStr">
        <is>
          <t>Bonndorf</t>
        </is>
      </c>
    </row>
    <row r="580">
      <c r="A580" t="inlineStr">
        <is>
          <t>1x Board Bleriot 330 Hi Fly, 1x Board Comet 330 F2 Slalom, 4x Gabelbaum, 4x Segel (Raf Wing 4.5 m², Arrow Dynamics F2 5.3 m, North Sails Quattro 6.0 m², The Gun Sails Race Slalom 7.5 m²), 3x Mast in verschiedenen Längen, Zubehör wie Finnen, Ersatzfußschlaufen, Transportbox für Masten.</t>
        </is>
      </c>
      <c r="B580" s="4" t="n">
        <v>220</v>
      </c>
      <c r="C580" t="inlineStr">
        <is>
          <t>VB</t>
        </is>
      </c>
      <c r="D580" t="inlineStr">
        <is>
          <t>67677 Rheinland-Pfalz - Enkenbach-Alsenborn</t>
        </is>
      </c>
      <c r="E580" s="5" t="n">
        <v>45453</v>
      </c>
      <c r="F580" t="inlineStr">
        <is>
          <t>Sold</t>
        </is>
      </c>
      <c r="G580" s="6">
        <f>HYPERLINK("https://www.kleinanzeigen.de/s-anzeige/windsurfausruestung-windsurf-set-mit-zwei-boards-und-vier-segeln/2785059071-230-16718", "Link")</f>
        <v/>
      </c>
      <c r="H580" s="6">
        <f>HYPERLINK("C:\Projects\Kleinanzeigen-Scraper\offer_images\2785059071", "Link")</f>
        <v/>
      </c>
      <c r="I580" t="inlineStr">
        <is>
          <t>Reiner Anlauf</t>
        </is>
      </c>
      <c r="J580" s="6">
        <f>HYPERLINK("https://www.kleinanzeigen.de/s-bestandsliste.html?userId=36099433", "Link")</f>
        <v/>
      </c>
      <c r="K580" s="7" t="n">
        <v>45500.72412037037</v>
      </c>
      <c r="L580" s="3" t="inlineStr">
        <is>
          <t>64.93</t>
        </is>
      </c>
      <c r="M580" t="inlineStr">
        <is>
          <t>Karlsruhe</t>
        </is>
      </c>
    </row>
    <row r="581">
      <c r="A581" t="inlineStr">
        <is>
          <t>2 sails (6.3 m² and 4.5 m²), 3 booms, and 1 aluminum mast.</t>
        </is>
      </c>
      <c r="B581" s="4" t="n">
        <v>100</v>
      </c>
      <c r="C581" t="inlineStr">
        <is>
          <t>VB</t>
        </is>
      </c>
      <c r="D581" t="inlineStr">
        <is>
          <t>64739 Hessen - Höchst im Odenwald</t>
        </is>
      </c>
      <c r="E581" s="5" t="n">
        <v>45450</v>
      </c>
      <c r="F581" t="inlineStr">
        <is>
          <t>Sold</t>
        </is>
      </c>
      <c r="G581" s="6">
        <f>HYPERLINK("https://www.kleinanzeigen.de/s-anzeige/windsurfen/2782222641-230-4470", "Link")</f>
        <v/>
      </c>
      <c r="H581" s="6">
        <f>HYPERLINK("C:\Projects\Kleinanzeigen-Scraper\offer_images\2782222641", "Link")</f>
        <v/>
      </c>
      <c r="I581" t="inlineStr">
        <is>
          <t>jboro</t>
        </is>
      </c>
      <c r="J581" s="6">
        <f>HYPERLINK("https://www.kleinanzeigen.de/s-bestandsliste.html?userId=139100434", "Link")</f>
        <v/>
      </c>
      <c r="K581" s="7" t="n">
        <v>45500.7241087963</v>
      </c>
      <c r="L581" s="3" t="inlineStr">
        <is>
          <t>96.83</t>
        </is>
      </c>
      <c r="M581" t="inlineStr">
        <is>
          <t>Karlsruhe</t>
        </is>
      </c>
    </row>
    <row r="582">
      <c r="A582" t="inlineStr">
        <is>
          <t>Used F2 windsurf board with retractable daggerboard, fin, foot straps, mast foot, boom, two-part mast, and sail (5.7 m²).</t>
        </is>
      </c>
      <c r="B582" s="4" t="n">
        <v>80</v>
      </c>
      <c r="C582" t="inlineStr">
        <is>
          <t>VB</t>
        </is>
      </c>
      <c r="D582" t="inlineStr">
        <is>
          <t>71287 Baden-Württemberg - Weissach</t>
        </is>
      </c>
      <c r="E582" s="5" t="n">
        <v>45445</v>
      </c>
      <c r="F582" t="inlineStr">
        <is>
          <t>Sold</t>
        </is>
      </c>
      <c r="G582" s="6">
        <f>HYPERLINK("https://www.kleinanzeigen.de/s-anzeige/windsurfer-f2-komplett-/2778259750-230-21520", "Link")</f>
        <v/>
      </c>
      <c r="H582" s="6">
        <f>HYPERLINK("C:\Projects\Kleinanzeigen-Scraper\offer_images\2778259750", "Link")</f>
        <v/>
      </c>
      <c r="I582" t="inlineStr">
        <is>
          <t>Gerhard Wendorf</t>
        </is>
      </c>
      <c r="J582" s="6">
        <f>HYPERLINK("https://www.kleinanzeigen.de/s-bestandsliste.html?userId=89946043", "Link")</f>
        <v/>
      </c>
      <c r="K582" s="7" t="n">
        <v>45500.72409722222</v>
      </c>
      <c r="L582" s="3" t="inlineStr">
        <is>
          <t>19.19</t>
        </is>
      </c>
      <c r="M582" t="inlineStr">
        <is>
          <t>Böblingen</t>
        </is>
      </c>
    </row>
    <row r="583">
      <c r="A583" t="inlineStr">
        <is>
          <t>Used Windsurf set including F2 Strato board, 6.4 sqm sail, mast, boom, assembly instructions, and an additional 5 sqm sail with noticeable wear.</t>
        </is>
      </c>
      <c r="B583" s="4" t="n">
        <v>120</v>
      </c>
      <c r="C583" t="inlineStr">
        <is>
          <t>VB</t>
        </is>
      </c>
      <c r="D583" t="inlineStr">
        <is>
          <t>74249 Baden-Württemberg - Jagsthausen</t>
        </is>
      </c>
      <c r="E583" s="5" t="n">
        <v>45484</v>
      </c>
      <c r="F583" t="inlineStr">
        <is>
          <t>Sold</t>
        </is>
      </c>
      <c r="G583" s="6">
        <f>HYPERLINK("https://www.kleinanzeigen.de/s-anzeige/windsurf-surfbrett-paddelbrett-f2-komplett/2809351909-230-10295", "Link")</f>
        <v/>
      </c>
      <c r="H583" s="6">
        <f>HYPERLINK("C:\Projects\Kleinanzeigen-Scraper\offer_images\2809351909", "Link")</f>
        <v/>
      </c>
      <c r="I583" t="inlineStr">
        <is>
          <t>Andreas Häfner</t>
        </is>
      </c>
      <c r="J583" s="6">
        <f>HYPERLINK("https://www.kleinanzeigen.de/s-bestandsliste.html?userId=17689754", "Link")</f>
        <v/>
      </c>
      <c r="K583" s="7" t="n">
        <v>45500.72408564815</v>
      </c>
      <c r="L583" s="3" t="inlineStr">
        <is>
          <t>78.89</t>
        </is>
      </c>
      <c r="M583" t="inlineStr">
        <is>
          <t>Böblingen</t>
        </is>
      </c>
    </row>
    <row r="584">
      <c r="A584" t="inlineStr">
        <is>
          <t>Surfboard of type Raceboard with 2 sails.</t>
        </is>
      </c>
      <c r="B584" s="4" t="n">
        <v>230</v>
      </c>
      <c r="C584" t="inlineStr"/>
      <c r="D584" t="inlineStr">
        <is>
          <t>72663 Baden-Württemberg - Großbettlingen</t>
        </is>
      </c>
      <c r="E584" s="5" t="n">
        <v>44711</v>
      </c>
      <c r="F584" t="inlineStr">
        <is>
          <t>Sold</t>
        </is>
      </c>
      <c r="G584" s="6">
        <f>HYPERLINK("https://www.kleinanzeigen.de/s-anzeige/windsurfen-racebord-ausruestung/2119269885-230-8214", "Link")</f>
        <v/>
      </c>
      <c r="H584" s="6">
        <f>HYPERLINK("C:\Projects\Kleinanzeigen-Scraper\offer_images\2119269885", "Link")</f>
        <v/>
      </c>
      <c r="I584" t="inlineStr">
        <is>
          <t>David</t>
        </is>
      </c>
      <c r="J584" s="6">
        <f>HYPERLINK("https://www.kleinanzeigen.de/s-bestandsliste.html?userId=35853331", "Link")</f>
        <v/>
      </c>
      <c r="K584" s="7" t="n">
        <v>45500.7240625</v>
      </c>
      <c r="L584" s="3" t="inlineStr">
        <is>
          <t>26.35</t>
        </is>
      </c>
      <c r="M584" t="inlineStr">
        <is>
          <t>Böblingen</t>
        </is>
      </c>
    </row>
    <row r="585">
      <c r="A585" t="inlineStr">
        <is>
          <t>Windsurf Foil Set including Naish Thrust Foil (70 cm Mast) and F2 Hornet Board (144L) with 2x US-Box conversion.</t>
        </is>
      </c>
      <c r="B585" s="4" t="n">
        <v>690</v>
      </c>
      <c r="C585" t="inlineStr">
        <is>
          <t>VB</t>
        </is>
      </c>
      <c r="D585" t="inlineStr">
        <is>
          <t>70806 Baden-Württemberg - Kornwestheim</t>
        </is>
      </c>
      <c r="E585" s="5" t="n">
        <v>45474</v>
      </c>
      <c r="F585" t="inlineStr">
        <is>
          <t>Sold</t>
        </is>
      </c>
      <c r="G585" s="6">
        <f>HYPERLINK("https://www.kleinanzeigen.de/s-anzeige/windsurf-foil-set-foil-naish-thrust-70cm-board-f2-hornet-144l/2802041950-230-8450", "Link")</f>
        <v/>
      </c>
      <c r="H585" s="6">
        <f>HYPERLINK("C:\Projects\Kleinanzeigen-Scraper\offer_images\2802041950", "Link")</f>
        <v/>
      </c>
      <c r="I585" t="inlineStr">
        <is>
          <t>Alexander</t>
        </is>
      </c>
      <c r="J585" s="6">
        <f>HYPERLINK("https://www.kleinanzeigen.de/s-bestandsliste.html?userId=37482006", "Link")</f>
        <v/>
      </c>
      <c r="K585" s="7" t="n">
        <v>45500.72405092593</v>
      </c>
      <c r="L585" s="3" t="inlineStr">
        <is>
          <t>25.46</t>
        </is>
      </c>
      <c r="M585" t="inlineStr">
        <is>
          <t>Böblingen</t>
        </is>
      </c>
    </row>
    <row r="586">
      <c r="A586" t="inlineStr">
        <is>
          <t>F2 Windsurf SUP Komplett-Set including sail and rig set, sizes and models available upon request.</t>
        </is>
      </c>
      <c r="B586" s="4" t="inlineStr"/>
      <c r="C586" t="inlineStr">
        <is>
          <t>VB</t>
        </is>
      </c>
      <c r="D586" t="inlineStr">
        <is>
          <t>79235 Baden-Württemberg - Vogtsburg</t>
        </is>
      </c>
      <c r="E586" s="5" t="n">
        <v>45068</v>
      </c>
      <c r="F586" t="inlineStr">
        <is>
          <t>Sold</t>
        </is>
      </c>
      <c r="G586" s="6">
        <f>HYPERLINK("https://www.kleinanzeigen.de/s-anzeige/f2-windsurf-sup-komplett-set-inkl-segel-rig-set-neu/2449238731-230-8902", "Link")</f>
        <v/>
      </c>
      <c r="H586" s="6">
        <f>HYPERLINK("C:\Projects\Kleinanzeigen-Scraper\offer_images\2449238731", "Link")</f>
        <v/>
      </c>
      <c r="I586" t="inlineStr">
        <is>
          <t>BACKSIDE180</t>
        </is>
      </c>
      <c r="J586" s="6">
        <f>HYPERLINK("https://www.kleinanzeigen.de/s-bestandsliste.html?userId=83228138", "Link")</f>
        <v/>
      </c>
      <c r="K586" s="7" t="n">
        <v>45500.72402777777</v>
      </c>
      <c r="L586" s="3" t="inlineStr">
        <is>
          <t>60.53</t>
        </is>
      </c>
      <c r="M586" t="inlineStr">
        <is>
          <t>Bonndorf</t>
        </is>
      </c>
    </row>
    <row r="587">
      <c r="A587" t="inlineStr">
        <is>
          <t>F2 SUP Windsurf Segel Komplett Set, suitable for all SUPs with mast base, sizes available from 1.5 to 5 m², new, complete in bag.</t>
        </is>
      </c>
      <c r="B587" s="4" t="inlineStr"/>
      <c r="C587" t="inlineStr">
        <is>
          <t>VB</t>
        </is>
      </c>
      <c r="D587" t="inlineStr">
        <is>
          <t>79235 Baden-Württemberg - Vogtsburg</t>
        </is>
      </c>
      <c r="E587" s="5" t="n">
        <v>44753</v>
      </c>
      <c r="F587" t="inlineStr">
        <is>
          <t>Sold</t>
        </is>
      </c>
      <c r="G587" s="6">
        <f>HYPERLINK("https://www.kleinanzeigen.de/s-anzeige/f2-sup-windsurf-segel-rigg-komplett-set-groessen-1-5-5m-neu/2154901209-230-8902", "Link")</f>
        <v/>
      </c>
      <c r="H587" s="6">
        <f>HYPERLINK("C:\Projects\Kleinanzeigen-Scraper\offer_images\2154901209", "Link")</f>
        <v/>
      </c>
      <c r="I587" t="inlineStr">
        <is>
          <t>BACKSIDE180</t>
        </is>
      </c>
      <c r="J587" s="6">
        <f>HYPERLINK("https://www.kleinanzeigen.de/s-bestandsliste.html?userId=83228138", "Link")</f>
        <v/>
      </c>
      <c r="K587" s="7" t="n">
        <v>45500.72401620371</v>
      </c>
      <c r="L587" s="3" t="inlineStr">
        <is>
          <t>60.53</t>
        </is>
      </c>
      <c r="M587" t="inlineStr">
        <is>
          <t>Bonndorf</t>
        </is>
      </c>
    </row>
    <row r="588">
      <c r="A588" t="inlineStr">
        <is>
          <t>Windsurf Sup Board Paddle with Sail, includes 13 parts, waterproof phone bag, and carrying bag.</t>
        </is>
      </c>
      <c r="B588" s="4" t="n">
        <v>290</v>
      </c>
      <c r="C588" t="inlineStr"/>
      <c r="D588" t="inlineStr">
        <is>
          <t>70437 Stuttgart - Zuffenhausen</t>
        </is>
      </c>
      <c r="E588" s="5" t="n">
        <v>45490</v>
      </c>
      <c r="F588" t="inlineStr">
        <is>
          <t>Sold</t>
        </is>
      </c>
      <c r="G588" s="6">
        <f>HYPERLINK("https://www.kleinanzeigen.de/s-anzeige/neu-windsurf-sup-board-paddle-mit-segel/2814723940-230-9593", "Link")</f>
        <v/>
      </c>
      <c r="H588" s="6">
        <f>HYPERLINK("C:\Projects\Kleinanzeigen-Scraper\offer_images\2814723940", "Link")</f>
        <v/>
      </c>
      <c r="I588" t="inlineStr">
        <is>
          <t>kol</t>
        </is>
      </c>
      <c r="J588" s="6">
        <f>HYPERLINK("https://www.kleinanzeigen.de/s-bestandsliste.html?userId=382166", "Link")</f>
        <v/>
      </c>
      <c r="K588" s="7" t="n">
        <v>45500.72401620371</v>
      </c>
      <c r="L588" s="3" t="inlineStr">
        <is>
          <t>24.41</t>
        </is>
      </c>
      <c r="M588" t="inlineStr">
        <is>
          <t>Böblingen</t>
        </is>
      </c>
    </row>
    <row r="589">
      <c r="A589" t="inlineStr">
        <is>
          <t>Includes Mistral CHS Slalom Carbon Mast (465 cm), North Sails Pro Series Boom (162-223 cm), North Sails Progressive Boom (165-215 cm), Prolimit Sail Tensioner, Open Ocean Fin Lock, Neil Pryde Trapeze Lines.</t>
        </is>
      </c>
      <c r="B589" s="4" t="inlineStr"/>
      <c r="C589" t="inlineStr">
        <is>
          <t>VB</t>
        </is>
      </c>
      <c r="D589" t="inlineStr">
        <is>
          <t>69151 Baden-Württemberg - Neckargemünd</t>
        </is>
      </c>
      <c r="E589" s="5" t="n">
        <v>45312</v>
      </c>
      <c r="F589" t="inlineStr">
        <is>
          <t>Sold</t>
        </is>
      </c>
      <c r="G589" s="6">
        <f>HYPERLINK("https://www.kleinanzeigen.de/s-anzeige/windsurf-baum-mast-equipment/2659250998-230-9185", "Link")</f>
        <v/>
      </c>
      <c r="H589" s="6">
        <f>HYPERLINK("C:\Projects\Kleinanzeigen-Scraper\offer_images\2659250998", "Link")</f>
        <v/>
      </c>
      <c r="I589" t="inlineStr">
        <is>
          <t>Stereo</t>
        </is>
      </c>
      <c r="J589" s="6">
        <f>HYPERLINK("https://www.kleinanzeigen.de/s-bestandsliste.html?userId=55159863", "Link")</f>
        <v/>
      </c>
      <c r="K589" s="7" t="n">
        <v>45500.72400462963</v>
      </c>
      <c r="L589" s="3" t="inlineStr">
        <is>
          <t>53.06</t>
        </is>
      </c>
      <c r="M589" t="inlineStr">
        <is>
          <t>Karlsruhe</t>
        </is>
      </c>
    </row>
    <row r="590">
      <c r="A590" t="inlineStr">
        <is>
          <t>1. F2 Speed Slalom 5.7m² with C. Curve Mast 4.65m and Boom 1.9m; 2. NoWorx 3.2m² Wave Slalom with C. Curve Mast 3.6m and Boom 1.35m; 3. ART 4.6m² with Flextop Mast and Boom 1.7m; 4. Matching Mast for ART 4.6m²; 5. North 5.5m² with visible signs of use; 6. Tectronic Wave 5.1m² with Flextop; 7. Tectronic Wave 3.8m² with Flextop; Various fins.</t>
        </is>
      </c>
      <c r="B590" s="4" t="n">
        <v>1.234</v>
      </c>
      <c r="C590" t="inlineStr"/>
      <c r="D590" t="inlineStr">
        <is>
          <t>68519 Hessen - Viernheim</t>
        </is>
      </c>
      <c r="E590" s="5" t="n">
        <v>45334</v>
      </c>
      <c r="F590" t="inlineStr">
        <is>
          <t>Sold</t>
        </is>
      </c>
      <c r="G590" s="6">
        <f>HYPERLINK("https://www.kleinanzeigen.de/s-anzeige/windsurf-sachen-insb-segel/2677589834-230-4763", "Link")</f>
        <v/>
      </c>
      <c r="H590" s="6">
        <f>HYPERLINK("C:\Projects\Kleinanzeigen-Scraper\offer_images\2677589834", "Link")</f>
        <v/>
      </c>
      <c r="I590" t="inlineStr">
        <is>
          <t>Borzellino</t>
        </is>
      </c>
      <c r="J590" s="6">
        <f>HYPERLINK("https://www.kleinanzeigen.de/s-bestandsliste.html?userId=32759949", "Link")</f>
        <v/>
      </c>
      <c r="K590" s="7" t="n">
        <v>45500.72399305556</v>
      </c>
      <c r="L590" s="3" t="inlineStr">
        <is>
          <t>62.64</t>
        </is>
      </c>
      <c r="M590" t="inlineStr">
        <is>
          <t>Karlsruhe</t>
        </is>
      </c>
    </row>
    <row r="591">
      <c r="A591" t="inlineStr">
        <is>
          <t>Gunsails Burner Set including Sail (4.2 m²), Mast (150-190 cm), Boom (164 cm), Mastfoot, Startline, Bag for the entire rig, and Hex key for fine-tuning the battens.</t>
        </is>
      </c>
      <c r="B591" s="4" t="n">
        <v>310</v>
      </c>
      <c r="C591" t="inlineStr"/>
      <c r="D591" t="inlineStr">
        <is>
          <t>24991 Schleswig-Holstein - Freienwill (bei Flensburg)</t>
        </is>
      </c>
      <c r="E591" s="5" t="n">
        <v>45500</v>
      </c>
      <c r="F591" t="inlineStr">
        <is>
          <t>Sold</t>
        </is>
      </c>
      <c r="G591" s="6">
        <f>HYPERLINK("https://www.kleinanzeigen.de/s-anzeige/gunsails-windsurf-segel-burner-set-young-gun-einsteiger-rigg/2822448348-230-26786", "Link")</f>
        <v/>
      </c>
      <c r="H591" s="6">
        <f>HYPERLINK("C:\Projects\Kleinanzeigen-Scraper\offer_images\2822448348", "Link")</f>
        <v/>
      </c>
      <c r="I591" t="inlineStr">
        <is>
          <t>Marc Karges</t>
        </is>
      </c>
      <c r="J591" s="6">
        <f>HYPERLINK("https://www.kleinanzeigen.de/s-bestandsliste.html?userId=10566479", "Link")</f>
        <v/>
      </c>
      <c r="K591" s="7" t="n">
        <v>45500.72399305556</v>
      </c>
      <c r="L591" s="3" t="inlineStr">
        <is>
          <t>453.14</t>
        </is>
      </c>
      <c r="M591" t="inlineStr">
        <is>
          <t>Köln</t>
        </is>
      </c>
    </row>
    <row r="592">
      <c r="A592" t="inlineStr">
        <is>
          <t>Kinderrigg including Sail (3.4 qm), Mast, Mastfoot, and Boom in good condition.</t>
        </is>
      </c>
      <c r="B592" s="4" t="n">
        <v>148</v>
      </c>
      <c r="C592" t="inlineStr">
        <is>
          <t>VB</t>
        </is>
      </c>
      <c r="D592" t="inlineStr">
        <is>
          <t>72393 Baden-Württemberg - Burladingen</t>
        </is>
      </c>
      <c r="E592" s="5" t="n">
        <v>45466</v>
      </c>
      <c r="F592" t="inlineStr">
        <is>
          <t>Sold</t>
        </is>
      </c>
      <c r="G592" s="6">
        <f>HYPERLINK("https://www.kleinanzeigen.de/s-anzeige/kinderrigg-windsurfen-tixi-pro-3-4-qm/2795793418-230-8646", "Link")</f>
        <v/>
      </c>
      <c r="H592" s="6">
        <f>HYPERLINK("C:\Projects\Kleinanzeigen-Scraper\offer_images\2795793418", "Link")</f>
        <v/>
      </c>
      <c r="I592" t="inlineStr">
        <is>
          <t>Michael Heunoske</t>
        </is>
      </c>
      <c r="J592" s="6">
        <f>HYPERLINK("https://www.kleinanzeigen.de/s-bestandsliste.html?userId=20476895", "Link")</f>
        <v/>
      </c>
      <c r="K592" s="7" t="n">
        <v>45500.72395833334</v>
      </c>
      <c r="L592" s="3" t="inlineStr">
        <is>
          <t>43.03</t>
        </is>
      </c>
      <c r="M592" t="inlineStr">
        <is>
          <t>Böblingen</t>
        </is>
      </c>
    </row>
    <row r="593">
      <c r="A593" t="inlineStr">
        <is>
          <t>2-in-1 Windsurf SUP, F2 Checker Sail Rig Set, Paddle, Bag, Pump, Fins (2 x Soft + 1 x US BOX), Repair Kit (without glue)</t>
        </is>
      </c>
      <c r="B593" s="4" t="n">
        <v>699</v>
      </c>
      <c r="C593" t="inlineStr"/>
      <c r="D593" t="inlineStr">
        <is>
          <t>79235 Baden-Württemberg - Vogtsburg</t>
        </is>
      </c>
      <c r="E593" s="5" t="n">
        <v>45492</v>
      </c>
      <c r="F593" t="inlineStr">
        <is>
          <t>Sold</t>
        </is>
      </c>
      <c r="G593" s="6">
        <f>HYPERLINK("https://www.kleinanzeigen.de/s-anzeige/f2-team-ws-11-5-stand-up-paddle-board-windsurf-sup-inkl-segel-neu/2815897227-230-8902", "Link")</f>
        <v/>
      </c>
      <c r="H593" s="6">
        <f>HYPERLINK("C:\Projects\Kleinanzeigen-Scraper\offer_images\2815897227", "Link")</f>
        <v/>
      </c>
      <c r="I593" t="inlineStr">
        <is>
          <t>BACKSIDE180</t>
        </is>
      </c>
      <c r="J593" s="6">
        <f>HYPERLINK("https://www.kleinanzeigen.de/s-bestandsliste.html?userId=83228138", "Link")</f>
        <v/>
      </c>
      <c r="K593" s="7" t="n">
        <v>45500.72394675926</v>
      </c>
      <c r="L593" s="3" t="inlineStr">
        <is>
          <t>60.53</t>
        </is>
      </c>
      <c r="M593" t="inlineStr">
        <is>
          <t>Bonndorf</t>
        </is>
      </c>
    </row>
    <row r="594">
      <c r="A594" t="inlineStr">
        <is>
          <t>Includes STX 280L inflatable board, STX HD2 Monofilm sail 6.5qm, 2 fins, 1 center fin, foot straps, pump, 2-piece epoxy mast, aluminum boom, extension with adapter, and carrying bag.</t>
        </is>
      </c>
      <c r="B594" s="4" t="n">
        <v>990</v>
      </c>
      <c r="C594" t="inlineStr">
        <is>
          <t>VB</t>
        </is>
      </c>
      <c r="D594" t="inlineStr">
        <is>
          <t>66132 Saarbrücken-Halberg - Bischmisheim</t>
        </is>
      </c>
      <c r="E594" s="5" t="n">
        <v>45502</v>
      </c>
      <c r="F594" t="inlineStr">
        <is>
          <t>Sold</t>
        </is>
      </c>
      <c r="G594" s="6">
        <f>HYPERLINK("https://www.kleinanzeigen.de/s-anzeige/stx-280l-windsurf-inflatable-board-inkl-segel-6-5-qm-wie-neu/2803315016-230-395", "Link")</f>
        <v/>
      </c>
      <c r="H594" s="6">
        <f>HYPERLINK("C:\Projects\Kleinanzeigen-Scraper\offer_images\2803315016", "Link")</f>
        <v/>
      </c>
      <c r="I594" t="inlineStr">
        <is>
          <t>Peter Meiser</t>
        </is>
      </c>
      <c r="J594" s="6">
        <f>HYPERLINK("https://www.kleinanzeigen.de/s-bestandsliste.html?userId=76267796", "Link")</f>
        <v/>
      </c>
      <c r="K594" s="7" t="n">
        <v>45500.72391203704</v>
      </c>
      <c r="L594" s="3" t="inlineStr">
        <is>
          <t>99.57</t>
        </is>
      </c>
      <c r="M594" t="inlineStr">
        <is>
          <t>Karlsruhe</t>
        </is>
      </c>
    </row>
    <row r="595">
      <c r="A595" t="inlineStr">
        <is>
          <t>Complete package including sail (A.R.T. 5.4 m²), board (F2 Sunset Race, 280cm x 59cm, 105L), fins, and two masts.</t>
        </is>
      </c>
      <c r="B595" s="4" t="n">
        <v>110</v>
      </c>
      <c r="C595" t="inlineStr">
        <is>
          <t>VB</t>
        </is>
      </c>
      <c r="D595" t="inlineStr">
        <is>
          <t>79106 Baden-Württemberg - Freiburg im Breisgau</t>
        </is>
      </c>
      <c r="E595" s="5" t="n">
        <v>45430</v>
      </c>
      <c r="F595" t="inlineStr">
        <is>
          <t>Sold</t>
        </is>
      </c>
      <c r="G595" s="6">
        <f>HYPERLINK("https://www.kleinanzeigen.de/s-anzeige/windsurf-komplett-set-f2-sunset-race/2764587629-230-9360", "Link")</f>
        <v/>
      </c>
      <c r="H595" s="6">
        <f>HYPERLINK("C:\Projects\Kleinanzeigen-Scraper\offer_images\2764587629", "Link")</f>
        <v/>
      </c>
      <c r="I595" t="inlineStr">
        <is>
          <t>Lasse</t>
        </is>
      </c>
      <c r="J595" s="6">
        <f>HYPERLINK("https://www.kleinanzeigen.de/s-bestandsliste.html?userId=88420502", "Link")</f>
        <v/>
      </c>
      <c r="K595" s="7" t="n">
        <v>45500.72388888889</v>
      </c>
      <c r="L595" s="3" t="inlineStr">
        <is>
          <t>42.73</t>
        </is>
      </c>
      <c r="M595" t="inlineStr">
        <is>
          <t>Bonndorf</t>
        </is>
      </c>
    </row>
    <row r="596">
      <c r="A596" t="inlineStr">
        <is>
          <t>Windsurf Konvolut including 3 boards, multiple masts, booms, and accessories.</t>
        </is>
      </c>
      <c r="B596" s="4" t="n">
        <v>500</v>
      </c>
      <c r="C596" t="inlineStr"/>
      <c r="D596" t="inlineStr">
        <is>
          <t>76456 Baden-Württemberg - Kuppenheim</t>
        </is>
      </c>
      <c r="E596" s="5" t="n">
        <v>45481</v>
      </c>
      <c r="F596" t="inlineStr">
        <is>
          <t>Sold</t>
        </is>
      </c>
      <c r="G596" s="6">
        <f>HYPERLINK("https://www.kleinanzeigen.de/s-anzeige/windsurf-konvolut/2807794942-230-8194", "Link")</f>
        <v/>
      </c>
      <c r="H596" s="6">
        <f>HYPERLINK("C:\Projects\Kleinanzeigen-Scraper\offer_images\2807794942", "Link")</f>
        <v/>
      </c>
      <c r="I596" t="inlineStr">
        <is>
          <t>Mathias Reidel</t>
        </is>
      </c>
      <c r="J596" s="6">
        <f>HYPERLINK("https://www.kleinanzeigen.de/s-bestandsliste.html?userId=6773032", "Link")</f>
        <v/>
      </c>
      <c r="K596" s="7" t="n">
        <v>45500.72387731481</v>
      </c>
      <c r="L596" s="3" t="inlineStr">
        <is>
          <t>22.34</t>
        </is>
      </c>
      <c r="M596" t="inlineStr">
        <is>
          <t>Karlsruhe</t>
        </is>
      </c>
    </row>
    <row r="597">
      <c r="A597" t="inlineStr">
        <is>
          <t>Mistral SLE board (80L, Carbon), Neil Pryde Z1 sail (6.3qm), Neil Pryde Carbon mast (460 cm), Neil Pryde boom (150-198 cm), Neil Pryde aluminum extension (0-28 cm).</t>
        </is>
      </c>
      <c r="B597" s="4" t="n">
        <v>100</v>
      </c>
      <c r="C597" t="inlineStr"/>
      <c r="D597" t="inlineStr">
        <is>
          <t>76307 Baden-Württemberg - Karlsbad</t>
        </is>
      </c>
      <c r="E597" s="5" t="n">
        <v>44764</v>
      </c>
      <c r="F597" t="inlineStr">
        <is>
          <t>Sold</t>
        </is>
      </c>
      <c r="G597" s="6">
        <f>HYPERLINK("https://www.kleinanzeigen.de/s-anzeige/windsurfen-mistral-sle-worldcupmaterial-1999-komplett/2163680208-230-8119", "Link")</f>
        <v/>
      </c>
      <c r="H597" s="6">
        <f>HYPERLINK("C:\Projects\Kleinanzeigen-Scraper\offer_images\2163680208", "Link")</f>
        <v/>
      </c>
      <c r="I597" t="inlineStr">
        <is>
          <t>Thomas Neye</t>
        </is>
      </c>
      <c r="J597" s="6">
        <f>HYPERLINK("https://www.kleinanzeigen.de/s-bestandsliste.html?userId=7595796", "Link")</f>
        <v/>
      </c>
      <c r="K597" s="7" t="n">
        <v>45500.72385416667</v>
      </c>
      <c r="L597" s="3" t="inlineStr">
        <is>
          <t>13.72</t>
        </is>
      </c>
      <c r="M597" t="inlineStr">
        <is>
          <t>Karlsruhe</t>
        </is>
      </c>
    </row>
    <row r="598">
      <c r="A598" t="inlineStr">
        <is>
          <t>Windsurf set including Fanatic Shark board, various masts, and a sail (5.4 m²).</t>
        </is>
      </c>
      <c r="B598" s="4" t="n">
        <v>220</v>
      </c>
      <c r="C598" t="inlineStr"/>
      <c r="D598" t="inlineStr">
        <is>
          <t>71665 Baden-Württemberg - Vaihingen an der Enz</t>
        </is>
      </c>
      <c r="E598" s="5" t="n">
        <v>45487</v>
      </c>
      <c r="F598" t="inlineStr">
        <is>
          <t>Sold</t>
        </is>
      </c>
      <c r="G598" s="6">
        <f>HYPERLINK("https://www.kleinanzeigen.de/s-anzeige/windsurf-set-fanatic-shark-board/2812247060-230-8397", "Link")</f>
        <v/>
      </c>
      <c r="H598" s="6">
        <f>HYPERLINK("C:\Projects\Kleinanzeigen-Scraper\offer_images\2812247060", "Link")</f>
        <v/>
      </c>
      <c r="I598" t="inlineStr">
        <is>
          <t>manuel wurster</t>
        </is>
      </c>
      <c r="J598" s="6">
        <f>HYPERLINK("https://www.kleinanzeigen.de/s-bestandsliste.html?userId=41716600", "Link")</f>
        <v/>
      </c>
      <c r="K598" s="7" t="n">
        <v>45500.72383101852</v>
      </c>
      <c r="L598" s="3" t="inlineStr">
        <is>
          <t>29.96</t>
        </is>
      </c>
      <c r="M598" t="inlineStr">
        <is>
          <t>Böblingen</t>
        </is>
      </c>
    </row>
    <row r="599">
      <c r="A599" t="inlineStr">
        <is>
          <t>F2 Cruise TEAM HFT Windsurf 11,6" 2in1 SUP, includes F2 5m² sail complete set, paddle, bag, pump, fins, and repair kit.</t>
        </is>
      </c>
      <c r="B599" s="4" t="n">
        <v>799</v>
      </c>
      <c r="C599" t="inlineStr">
        <is>
          <t>VB</t>
        </is>
      </c>
      <c r="D599" t="inlineStr">
        <is>
          <t>79235 Baden-Württemberg - Vogtsburg</t>
        </is>
      </c>
      <c r="E599" s="5" t="n">
        <v>44785</v>
      </c>
      <c r="F599" t="inlineStr">
        <is>
          <t>Sold</t>
        </is>
      </c>
      <c r="G599" s="6">
        <f>HYPERLINK("https://www.kleinanzeigen.de/s-anzeige/f2-cruise-team-ws-11-6-stand-up-paddle-board-windsurf-segel-sup/2181281600-230-8902", "Link")</f>
        <v/>
      </c>
      <c r="H599" s="6">
        <f>HYPERLINK("C:\Projects\Kleinanzeigen-Scraper\offer_images\2181281600", "Link")</f>
        <v/>
      </c>
      <c r="I599" t="inlineStr">
        <is>
          <t>BACKSIDE180</t>
        </is>
      </c>
      <c r="J599" s="6">
        <f>HYPERLINK("https://www.kleinanzeigen.de/s-bestandsliste.html?userId=83228138", "Link")</f>
        <v/>
      </c>
      <c r="K599" s="7" t="n">
        <v>45500.7237962963</v>
      </c>
      <c r="L599" s="3" t="inlineStr">
        <is>
          <t>60.53</t>
        </is>
      </c>
      <c r="M599" t="inlineStr">
        <is>
          <t>Bonndorf</t>
        </is>
      </c>
    </row>
    <row r="600">
      <c r="A600" t="inlineStr">
        <is>
          <t>2-in-1 Windsurf SUP set including F2 PEAK Windsurf 10.8 board, F2 Checker sail rig, paddle, bag, pump, fins, and repair kit.</t>
        </is>
      </c>
      <c r="B600" s="4" t="n">
        <v>799</v>
      </c>
      <c r="C600" t="inlineStr"/>
      <c r="D600" t="inlineStr">
        <is>
          <t>79235 Baden-Württemberg - Vogtsburg</t>
        </is>
      </c>
      <c r="E600" s="5" t="n">
        <v>44753</v>
      </c>
      <c r="F600" t="inlineStr">
        <is>
          <t>Sold</t>
        </is>
      </c>
      <c r="G600" s="6">
        <f>HYPERLINK("https://www.kleinanzeigen.de/s-anzeige/f2-peak-ws-10-8-stand-up-paddle-board-sup-segel-windsurf-set-neu/2154896064-230-8902", "Link")</f>
        <v/>
      </c>
      <c r="H600" s="6">
        <f>HYPERLINK("C:\Projects\Kleinanzeigen-Scraper\offer_images\2154896064", "Link")</f>
        <v/>
      </c>
      <c r="I600" t="inlineStr">
        <is>
          <t>BACKSIDE180</t>
        </is>
      </c>
      <c r="J600" s="6">
        <f>HYPERLINK("https://www.kleinanzeigen.de/s-bestandsliste.html?userId=83228138", "Link")</f>
        <v/>
      </c>
      <c r="K600" s="7" t="n">
        <v>45500.72377314815</v>
      </c>
      <c r="L600" s="3" t="inlineStr">
        <is>
          <t>60.53</t>
        </is>
      </c>
      <c r="M600" t="inlineStr">
        <is>
          <t>Bonndorf</t>
        </is>
      </c>
    </row>
    <row r="601">
      <c r="A601" t="inlineStr">
        <is>
          <t>Windsurf board Fanatic Bat, 322 cm length, with 3 sails in different sizes, 2 masts, 3 booms, and a folding centerboard.</t>
        </is>
      </c>
      <c r="B601" s="4" t="n">
        <v>99</v>
      </c>
      <c r="C601" t="inlineStr"/>
      <c r="D601" t="inlineStr">
        <is>
          <t>71336 Baden-Württemberg - Waiblingen</t>
        </is>
      </c>
      <c r="E601" s="5" t="n">
        <v>45411</v>
      </c>
      <c r="F601" t="inlineStr">
        <is>
          <t>Sold</t>
        </is>
      </c>
      <c r="G601" s="6">
        <f>HYPERLINK("https://www.kleinanzeigen.de/s-anzeige/windsurf-brett-fanatic-bat-funspeed-322-cm-mit-3-segel/2748186836-230-9042", "Link")</f>
        <v/>
      </c>
      <c r="H601" s="6">
        <f>HYPERLINK("C:\Projects\Kleinanzeigen-Scraper\offer_images\2748186836", "Link")</f>
        <v/>
      </c>
      <c r="I601" t="inlineStr">
        <is>
          <t>Dieter</t>
        </is>
      </c>
      <c r="J601" s="6">
        <f>HYPERLINK("https://www.kleinanzeigen.de/s-bestandsliste.html?userId=19337455", "Link")</f>
        <v/>
      </c>
      <c r="K601" s="7" t="n">
        <v>45500.72377314815</v>
      </c>
      <c r="L601" s="3" t="inlineStr">
        <is>
          <t>33.67</t>
        </is>
      </c>
      <c r="M601" t="inlineStr">
        <is>
          <t>Böblingen</t>
        </is>
      </c>
    </row>
    <row r="602">
      <c r="A602" t="inlineStr">
        <is>
          <t>Includes 6.5 qm Fanatic Free sail, 5.6 qm Pazifik sail, 15% carbon mast, storm hood, high shoes, half shoes (size 40-41), cap, mast foot extension, new mast foot, almost new life jacket (size 44), new shorty, used knee suit (size 44 for women), new straps, and a mast holder for transport.</t>
        </is>
      </c>
      <c r="B602" s="4" t="n">
        <v>50</v>
      </c>
      <c r="C602" t="inlineStr"/>
      <c r="D602" t="inlineStr">
        <is>
          <t>78073 Baden-Württemberg - Bad Dürrheim</t>
        </is>
      </c>
      <c r="E602" s="5" t="n">
        <v>45185</v>
      </c>
      <c r="F602" t="inlineStr">
        <is>
          <t>Sold</t>
        </is>
      </c>
      <c r="G602" s="6">
        <f>HYPERLINK("https://www.kleinanzeigen.de/s-anzeige/fuer-windsurfer-einiges-material/1766505207-230-9101", "Link")</f>
        <v/>
      </c>
      <c r="H602" s="6">
        <f>HYPERLINK("C:\Projects\Kleinanzeigen-Scraper\offer_images\1766505207", "Link")</f>
        <v/>
      </c>
      <c r="I602" t="inlineStr">
        <is>
          <t>Lutz Marquardt</t>
        </is>
      </c>
      <c r="J602" s="6">
        <f>HYPERLINK("https://www.kleinanzeigen.de/s-bestandsliste.html?userId=19188154", "Link")</f>
        <v/>
      </c>
      <c r="K602" s="7" t="n">
        <v>45500.72371527777</v>
      </c>
      <c r="L602" s="3" t="inlineStr">
        <is>
          <t>26.62</t>
        </is>
      </c>
      <c r="M602" t="inlineStr">
        <is>
          <t>Bonndorf</t>
        </is>
      </c>
    </row>
    <row r="603">
      <c r="A603" t="inlineStr">
        <is>
          <t>Complete windsurfing equipment including F2 Comet Slalom board (149 L, 315/64 cm, 10.4 kg), 2 masts &amp; rigs, 3 sails (5.2 m², 5.5 m², 6.4 m²) in respective bags, 2 trapezes, wind meter, and various parts.</t>
        </is>
      </c>
      <c r="B603" s="4" t="n">
        <v>240</v>
      </c>
      <c r="C603" t="inlineStr">
        <is>
          <t>VB</t>
        </is>
      </c>
      <c r="D603" t="inlineStr">
        <is>
          <t>72147 Baden-Württemberg - Nehren</t>
        </is>
      </c>
      <c r="E603" s="5" t="n">
        <v>45503</v>
      </c>
      <c r="F603" t="inlineStr">
        <is>
          <t>Sold</t>
        </is>
      </c>
      <c r="G603" s="6">
        <f>HYPERLINK("https://www.kleinanzeigen.de/s-anzeige/windsurf-ausruestung/2800505968-230-8004", "Link")</f>
        <v/>
      </c>
      <c r="H603" s="6">
        <f>HYPERLINK("C:\Projects\Kleinanzeigen-Scraper\offer_images\2800505968", "Link")</f>
        <v/>
      </c>
      <c r="I603" t="inlineStr">
        <is>
          <t>Wolfgang Schnurr</t>
        </is>
      </c>
      <c r="J603" s="6">
        <f>HYPERLINK("https://www.kleinanzeigen.de/s-bestandsliste.html?userId=22238192", "Link")</f>
        <v/>
      </c>
      <c r="K603" s="7" t="n">
        <v>45500.7237037037</v>
      </c>
      <c r="L603" s="3" t="inlineStr">
        <is>
          <t>28.11</t>
        </is>
      </c>
      <c r="M603" t="inlineStr">
        <is>
          <t>Böblingen</t>
        </is>
      </c>
    </row>
    <row r="604">
      <c r="A604" t="inlineStr">
        <is>
          <t>F2 sail, mast, boom, and various accessories</t>
        </is>
      </c>
      <c r="B604" s="4" t="n">
        <v>140</v>
      </c>
      <c r="C604" t="inlineStr">
        <is>
          <t>VB</t>
        </is>
      </c>
      <c r="D604" t="inlineStr">
        <is>
          <t>77933 Baden-Württemberg - Lahr (Schwarzwald)</t>
        </is>
      </c>
      <c r="E604" s="5" t="n">
        <v>45363</v>
      </c>
      <c r="F604" t="inlineStr">
        <is>
          <t>Sold</t>
        </is>
      </c>
      <c r="G604" s="6">
        <f>HYPERLINK("https://www.kleinanzeigen.de/s-anzeige/windsurfen-segel-gabelbaum-mast-und-verschiedene-zubehoer/2704054691-230-8047", "Link")</f>
        <v/>
      </c>
      <c r="H604" s="6">
        <f>HYPERLINK("C:\Projects\Kleinanzeigen-Scraper\offer_images\2704054691", "Link")</f>
        <v/>
      </c>
      <c r="I604" t="inlineStr">
        <is>
          <t>Bouvet Francis</t>
        </is>
      </c>
      <c r="J604" s="6">
        <f>HYPERLINK("https://www.kleinanzeigen.de/s-bestandsliste.html?userId=39445402", "Link")</f>
        <v/>
      </c>
      <c r="K604" s="7" t="n">
        <v>45500.7237037037</v>
      </c>
      <c r="L604" s="3" t="inlineStr">
        <is>
          <t>67.40</t>
        </is>
      </c>
      <c r="M604" t="inlineStr">
        <is>
          <t>Bonndorf</t>
        </is>
      </c>
    </row>
    <row r="605">
      <c r="A605" t="inlineStr">
        <is>
          <t>2-in-1 Windsurf SUP including 10.8 SUP board, 4.5m² sail, paddle, bag, pump, fins (2 x Soft + 1 x US BOX), and repair kit.</t>
        </is>
      </c>
      <c r="B605" s="4" t="n">
        <v>799</v>
      </c>
      <c r="C605" t="inlineStr"/>
      <c r="D605" t="inlineStr">
        <is>
          <t>79235 Baden-Württemberg - Vogtsburg</t>
        </is>
      </c>
      <c r="E605" s="5" t="n">
        <v>45183</v>
      </c>
      <c r="F605" t="inlineStr">
        <is>
          <t>Sold</t>
        </is>
      </c>
      <c r="G605" s="6">
        <f>HYPERLINK("https://www.kleinanzeigen.de/s-anzeige/f2-glide-wing-10-8-stand-up-paddle-board-windsurf-sup-4-5m-segel/2545750597-230-8902", "Link")</f>
        <v/>
      </c>
      <c r="H605" s="6">
        <f>HYPERLINK("C:\Projects\Kleinanzeigen-Scraper\offer_images\2545750597", "Link")</f>
        <v/>
      </c>
      <c r="I605" t="inlineStr">
        <is>
          <t>BACKSIDE180</t>
        </is>
      </c>
      <c r="J605" s="6">
        <f>HYPERLINK("https://www.kleinanzeigen.de/s-bestandsliste.html?userId=83228138", "Link")</f>
        <v/>
      </c>
      <c r="K605" s="7" t="n">
        <v>45500.72369212963</v>
      </c>
      <c r="L605" s="3" t="inlineStr">
        <is>
          <t>60.53</t>
        </is>
      </c>
      <c r="M605" t="inlineStr">
        <is>
          <t>Bonndorf</t>
        </is>
      </c>
    </row>
    <row r="606">
      <c r="A606" t="inlineStr">
        <is>
          <t>3.4 m² Gaastra Rad Wave sail, North Epoxi Lady or North heavy duty Wave mast, North heavy duty boom (140-205 cm), mast extension F2, mast foot, and accessories including a bag for the sail.</t>
        </is>
      </c>
      <c r="B606" s="4" t="n">
        <v>140</v>
      </c>
      <c r="C606" t="inlineStr">
        <is>
          <t>VB</t>
        </is>
      </c>
      <c r="D606" t="inlineStr">
        <is>
          <t>72762 Baden-Württemberg - Reutlingen</t>
        </is>
      </c>
      <c r="E606" s="5" t="n">
        <v>45485</v>
      </c>
      <c r="F606" t="inlineStr">
        <is>
          <t>Sold</t>
        </is>
      </c>
      <c r="G606" s="6">
        <f>HYPERLINK("https://www.kleinanzeigen.de/s-anzeige/windsurf-rigg-gaastra-rad-wave-3-4-m2/2810596327-230-9351", "Link")</f>
        <v/>
      </c>
      <c r="H606" s="6">
        <f>HYPERLINK("C:\Projects\Kleinanzeigen-Scraper\offer_images\2810596327", "Link")</f>
        <v/>
      </c>
      <c r="I606" t="inlineStr">
        <is>
          <t>Gerhard Kühne</t>
        </is>
      </c>
      <c r="J606" s="6">
        <f>HYPERLINK("https://www.kleinanzeigen.de/s-bestandsliste.html?userId=26064227", "Link")</f>
        <v/>
      </c>
      <c r="K606" s="7" t="n">
        <v>45500.72369212963</v>
      </c>
      <c r="L606" s="3" t="inlineStr">
        <is>
          <t>27.24</t>
        </is>
      </c>
      <c r="M606" t="inlineStr">
        <is>
          <t>Böblingen</t>
        </is>
      </c>
    </row>
    <row r="607">
      <c r="A607" t="inlineStr">
        <is>
          <t>Includes sails of different sizes, matching masts, booms, and additional equipment.</t>
        </is>
      </c>
      <c r="B607" s="4" t="n">
        <v>1.25</v>
      </c>
      <c r="C607" t="inlineStr">
        <is>
          <t>VB</t>
        </is>
      </c>
      <c r="D607" t="inlineStr">
        <is>
          <t>32257 Nordrhein-Westfalen - Bünde</t>
        </is>
      </c>
      <c r="E607" s="5" t="n">
        <v>45500</v>
      </c>
      <c r="F607" t="inlineStr">
        <is>
          <t>Sold</t>
        </is>
      </c>
      <c r="G607" s="6">
        <f>HYPERLINK("https://www.kleinanzeigen.de/s-anzeige/windsurf-segel-set/2822454718-230-1604", "Link")</f>
        <v/>
      </c>
      <c r="H607" s="6">
        <f>HYPERLINK("C:\Projects\Kleinanzeigen-Scraper\offer_images\2822454718", "Link")</f>
        <v/>
      </c>
      <c r="I607" t="inlineStr">
        <is>
          <t>Jury Lütgen</t>
        </is>
      </c>
      <c r="J607" s="6">
        <f>HYPERLINK("https://www.kleinanzeigen.de/s-bestandsliste.html?userId=39657529", "Link")</f>
        <v/>
      </c>
      <c r="K607" s="7" t="n">
        <v>45500.72366898148</v>
      </c>
      <c r="L607" s="3" t="inlineStr">
        <is>
          <t>179.52</t>
        </is>
      </c>
      <c r="M607" t="inlineStr">
        <is>
          <t>Köln</t>
        </is>
      </c>
    </row>
    <row r="608">
      <c r="A608" t="inlineStr">
        <is>
          <t>Ascan Pro Rigg including Sail 3.5, Boom, Aufziehleine, Mastadapter, Tasche</t>
        </is>
      </c>
      <c r="B608" s="4" t="n">
        <v>60</v>
      </c>
      <c r="C608" t="inlineStr">
        <is>
          <t>VB</t>
        </is>
      </c>
      <c r="D608" t="inlineStr">
        <is>
          <t>76359 Baden-Württemberg - Marxzell</t>
        </is>
      </c>
      <c r="E608" s="5" t="n">
        <v>45460</v>
      </c>
      <c r="F608" t="inlineStr">
        <is>
          <t>Sold</t>
        </is>
      </c>
      <c r="G608" s="6">
        <f>HYPERLINK("https://www.kleinanzeigen.de/s-anzeige/ascan-pro-rigg-windsurf-segel/2790323224-230-19916", "Link")</f>
        <v/>
      </c>
      <c r="H608" s="6">
        <f>HYPERLINK("C:\Projects\Kleinanzeigen-Scraper\offer_images\2790323224", "Link")</f>
        <v/>
      </c>
      <c r="I608" t="inlineStr">
        <is>
          <t>Rolf</t>
        </is>
      </c>
      <c r="J608" s="6">
        <f>HYPERLINK("https://www.kleinanzeigen.de/s-bestandsliste.html?userId=24413453", "Link")</f>
        <v/>
      </c>
      <c r="K608" s="7" t="n">
        <v>45500.7236574074</v>
      </c>
      <c r="L608" s="3" t="inlineStr">
        <is>
          <t>18.68</t>
        </is>
      </c>
      <c r="M608" t="inlineStr">
        <is>
          <t>Karlsruhe</t>
        </is>
      </c>
    </row>
    <row r="609">
      <c r="A609" t="inlineStr">
        <is>
          <t>3 Booms, 2 Sails, 2 Masts</t>
        </is>
      </c>
      <c r="B609" s="4" t="n">
        <v>99</v>
      </c>
      <c r="C609" t="inlineStr">
        <is>
          <t>VB</t>
        </is>
      </c>
      <c r="D609" t="inlineStr">
        <is>
          <t>76135 Baden-Württemberg - Karlsruhe</t>
        </is>
      </c>
      <c r="E609" s="5" t="n">
        <v>45427</v>
      </c>
      <c r="F609" t="inlineStr">
        <is>
          <t>Sold</t>
        </is>
      </c>
      <c r="G609" s="6">
        <f>HYPERLINK("https://www.kleinanzeigen.de/s-anzeige/windsurf-equipment/2762405602-230-9193", "Link")</f>
        <v/>
      </c>
      <c r="H609" s="6">
        <f>HYPERLINK("C:\Projects\Kleinanzeigen-Scraper\offer_images\2762405602", "Link")</f>
        <v/>
      </c>
      <c r="I609" t="inlineStr">
        <is>
          <t>Jeremy vey</t>
        </is>
      </c>
      <c r="J609" s="6">
        <f>HYPERLINK("https://www.kleinanzeigen.de/s-bestandsliste.html?userId=75468549", "Link")</f>
        <v/>
      </c>
      <c r="K609" s="7" t="n">
        <v>45500.7236574074</v>
      </c>
      <c r="L609" s="3" t="inlineStr">
        <is>
          <t>1.79</t>
        </is>
      </c>
      <c r="M609" t="inlineStr">
        <is>
          <t>Karlsruhe</t>
        </is>
      </c>
    </row>
    <row r="610">
      <c r="A610" t="inlineStr">
        <is>
          <t>Windsurf Kinderrigg with 3.5 m² sail, boom, mast foot, and 2-part mast.</t>
        </is>
      </c>
      <c r="B610" s="4" t="n">
        <v>30</v>
      </c>
      <c r="C610" t="inlineStr">
        <is>
          <t>VB</t>
        </is>
      </c>
      <c r="D610" t="inlineStr">
        <is>
          <t>71287 Baden-Württemberg - Weissach</t>
        </is>
      </c>
      <c r="E610" s="5" t="n">
        <v>45445</v>
      </c>
      <c r="F610" t="inlineStr">
        <is>
          <t>Sold</t>
        </is>
      </c>
      <c r="G610" s="6">
        <f>HYPERLINK("https://www.kleinanzeigen.de/s-anzeige/windsurf-kinderrigg/2778273152-230-21520", "Link")</f>
        <v/>
      </c>
      <c r="H610" s="6">
        <f>HYPERLINK("C:\Projects\Kleinanzeigen-Scraper\offer_images\2778273152", "Link")</f>
        <v/>
      </c>
      <c r="I610" t="inlineStr">
        <is>
          <t>Gerhard Wendorf</t>
        </is>
      </c>
      <c r="J610" s="6">
        <f>HYPERLINK("https://www.kleinanzeigen.de/s-bestandsliste.html?userId=89946043", "Link")</f>
        <v/>
      </c>
      <c r="K610" s="7" t="n">
        <v>45500.72363425926</v>
      </c>
      <c r="L610" s="3" t="inlineStr">
        <is>
          <t>19.19</t>
        </is>
      </c>
      <c r="M610" t="inlineStr">
        <is>
          <t>Böblingen</t>
        </is>
      </c>
    </row>
    <row r="611">
      <c r="A611" t="inlineStr">
        <is>
          <t>Includes 2 surfboards, mast, sail, and boom. Suitable for beginners.</t>
        </is>
      </c>
      <c r="B611" s="4" t="inlineStr"/>
      <c r="C611" t="inlineStr">
        <is>
          <t>VB</t>
        </is>
      </c>
      <c r="D611" t="inlineStr">
        <is>
          <t>75217 Baden-Württemberg - Birkenfeld</t>
        </is>
      </c>
      <c r="E611" s="5" t="n">
        <v>45412</v>
      </c>
      <c r="F611" t="inlineStr">
        <is>
          <t>Sold</t>
        </is>
      </c>
      <c r="G611" s="6">
        <f>HYPERLINK("https://www.kleinanzeigen.de/s-anzeige/windsurfen-ausruestung-set-surfbrett-mast-gabelbaum-segel/2749037930-230-9274", "Link")</f>
        <v/>
      </c>
      <c r="H611" s="6">
        <f>HYPERLINK("C:\Projects\Kleinanzeigen-Scraper\offer_images\2749037930", "Link")</f>
        <v/>
      </c>
      <c r="I611" t="inlineStr">
        <is>
          <t>Ebay user</t>
        </is>
      </c>
      <c r="J611" s="6">
        <f>HYPERLINK("https://www.kleinanzeigen.de/s-bestandsliste.html?userId=60796450", "Link")</f>
        <v/>
      </c>
      <c r="K611" s="7" t="n">
        <v>45500.72361111111</v>
      </c>
      <c r="L611" s="3" t="inlineStr">
        <is>
          <t>21.81</t>
        </is>
      </c>
      <c r="M611" t="inlineStr">
        <is>
          <t>Karlsruhe</t>
        </is>
      </c>
    </row>
    <row r="612">
      <c r="A612" t="inlineStr">
        <is>
          <t>2-in-1 Windsurf SUP including 4.5m² sail, paddle, bag, pump, fins, and repair kit.</t>
        </is>
      </c>
      <c r="B612" s="4" t="n">
        <v>799</v>
      </c>
      <c r="C612" t="inlineStr"/>
      <c r="D612" t="inlineStr">
        <is>
          <t>79235 Baden-Württemberg - Vogtsburg</t>
        </is>
      </c>
      <c r="E612" s="5" t="n">
        <v>45183</v>
      </c>
      <c r="F612" t="inlineStr">
        <is>
          <t>Sold</t>
        </is>
      </c>
      <c r="G612" s="6">
        <f>HYPERLINK("https://www.kleinanzeigen.de/s-anzeige/f2-glide-wing-11-7-stand-up-paddle-board-windsurf-sup-4-5m-segel/2545759788-230-8902", "Link")</f>
        <v/>
      </c>
      <c r="H612" s="6">
        <f>HYPERLINK("C:\Projects\Kleinanzeigen-Scraper\offer_images\2545759788", "Link")</f>
        <v/>
      </c>
      <c r="I612" t="inlineStr">
        <is>
          <t>BACKSIDE180</t>
        </is>
      </c>
      <c r="J612" s="6">
        <f>HYPERLINK("https://www.kleinanzeigen.de/s-bestandsliste.html?userId=83228138", "Link")</f>
        <v/>
      </c>
      <c r="K612" s="7" t="n">
        <v>45500.72359953704</v>
      </c>
      <c r="L612" s="3" t="inlineStr">
        <is>
          <t>60.53</t>
        </is>
      </c>
      <c r="M612" t="inlineStr">
        <is>
          <t>Bonndorf</t>
        </is>
      </c>
    </row>
    <row r="613">
      <c r="A613" t="inlineStr">
        <is>
          <t>4 surfboards, 4 sails, 2 masts (1 slightly damaged), booms, fins, and other accessories.</t>
        </is>
      </c>
      <c r="B613" s="4" t="n">
        <v>125</v>
      </c>
      <c r="C613" t="inlineStr"/>
      <c r="D613" t="inlineStr">
        <is>
          <t>70794 Baden-Württemberg - Filderstadt</t>
        </is>
      </c>
      <c r="E613" s="5" t="n">
        <v>45528</v>
      </c>
      <c r="F613" t="inlineStr">
        <is>
          <t>Sold</t>
        </is>
      </c>
      <c r="G613" s="6">
        <f>HYPERLINK("https://www.kleinanzeigen.de/s-anzeige/-5x-surfboard-surfbrett-komplettset-windsurfen-segel-mast-finne-/2821032481-230-8892", "Link")</f>
        <v/>
      </c>
      <c r="H613" s="6">
        <f>HYPERLINK("C:\Projects\Kleinanzeigen-Scraper\offer_images\2821032481", "Link")</f>
        <v/>
      </c>
      <c r="I613" t="inlineStr">
        <is>
          <t>Till Sepke</t>
        </is>
      </c>
      <c r="J613" s="6">
        <f>HYPERLINK("https://www.kleinanzeigen.de/s-bestandsliste.html?userId=10781844", "Link")</f>
        <v/>
      </c>
      <c r="K613" s="7" t="n">
        <v>45500.72358796297</v>
      </c>
      <c r="L613" s="3" t="inlineStr">
        <is>
          <t>17.11</t>
        </is>
      </c>
      <c r="M613" t="inlineStr">
        <is>
          <t>Böblingen</t>
        </is>
      </c>
    </row>
    <row r="614">
      <c r="A614" t="inlineStr">
        <is>
          <t>Surfset von Stx inklusive Segel 3,6 qm, Gabel, Mast, Mastfuss, Transporttasche</t>
        </is>
      </c>
      <c r="B614" s="4" t="n">
        <v>100</v>
      </c>
      <c r="C614" t="inlineStr"/>
      <c r="D614" t="inlineStr">
        <is>
          <t>66271 Saarland - Kleinblittersdorf</t>
        </is>
      </c>
      <c r="E614" s="5" t="n">
        <v>45389</v>
      </c>
      <c r="F614" t="inlineStr">
        <is>
          <t>Sold</t>
        </is>
      </c>
      <c r="G614" s="6">
        <f>HYPERLINK("https://www.kleinanzeigen.de/s-anzeige/windsurf-segel-stx-power-3-6-qm-gabel-mast-windsurfsegel-kinder/2728791551-230-399", "Link")</f>
        <v/>
      </c>
      <c r="H614" s="6">
        <f>HYPERLINK("C:\Projects\Kleinanzeigen-Scraper\offer_images\2728791551", "Link")</f>
        <v/>
      </c>
      <c r="I614" t="inlineStr">
        <is>
          <t>S.Pitz</t>
        </is>
      </c>
      <c r="J614" s="6">
        <f>HYPERLINK("https://www.kleinanzeigen.de/s-bestandsliste.html?userId=8639796", "Link")</f>
        <v/>
      </c>
      <c r="K614" s="7" t="n">
        <v>45500.72356481481</v>
      </c>
      <c r="L614" s="3" t="inlineStr">
        <is>
          <t>97.88</t>
        </is>
      </c>
      <c r="M614" t="inlineStr">
        <is>
          <t>Karlsruhe</t>
        </is>
      </c>
    </row>
    <row r="615">
      <c r="A615" t="inlineStr">
        <is>
          <t>Includes Sail (3.5 m²), Mast (3.00 m), Boom (1.25-1.75 m), Lines, and Transport Bag.</t>
        </is>
      </c>
      <c r="B615" s="4" t="n">
        <v>115</v>
      </c>
      <c r="C615" t="inlineStr">
        <is>
          <t>VB</t>
        </is>
      </c>
      <c r="D615" t="inlineStr">
        <is>
          <t>74385 Baden-Württemberg - Pleidelsheim</t>
        </is>
      </c>
      <c r="E615" s="5" t="n">
        <v>45470</v>
      </c>
      <c r="F615" t="inlineStr">
        <is>
          <t>Sold</t>
        </is>
      </c>
      <c r="G615" s="6">
        <f>HYPERLINK("https://www.kleinanzeigen.de/s-anzeige/kinderrigg-windsurfen-abholung-in-schorndorf-/2798485033-230-8899", "Link")</f>
        <v/>
      </c>
      <c r="H615" s="6">
        <f>HYPERLINK("C:\Projects\Kleinanzeigen-Scraper\offer_images\2798485033", "Link")</f>
        <v/>
      </c>
      <c r="I615" t="inlineStr">
        <is>
          <t>Timon</t>
        </is>
      </c>
      <c r="J615" s="6">
        <f>HYPERLINK("https://www.kleinanzeigen.de/s-bestandsliste.html?userId=135490518", "Link")</f>
        <v/>
      </c>
      <c r="K615" s="7" t="n">
        <v>45500.72354166667</v>
      </c>
      <c r="L615" s="3" t="inlineStr">
        <is>
          <t>36.07</t>
        </is>
      </c>
      <c r="M615" t="inlineStr">
        <is>
          <t>Böblingen</t>
        </is>
      </c>
    </row>
    <row r="616">
      <c r="A616" t="inlineStr">
        <is>
          <t>2 Windsurf sails: UP Sails Eskimo 560 (5.6 m²) and F2 Arrow Grand Slam (5.3 m²), both with bags.</t>
        </is>
      </c>
      <c r="B616" s="4" t="n">
        <v>30</v>
      </c>
      <c r="C616" t="inlineStr"/>
      <c r="D616" t="inlineStr">
        <is>
          <t>66386 Saarland - St. Ingbert</t>
        </is>
      </c>
      <c r="E616" s="5" t="n">
        <v>45452</v>
      </c>
      <c r="F616" t="inlineStr">
        <is>
          <t>Sold</t>
        </is>
      </c>
      <c r="G616" s="6">
        <f>HYPERLINK("https://www.kleinanzeigen.de/s-anzeige/2-windsurf-segel-surfsegel-up-sails-eskimo-560-f2-arrow-5-2/2783395805-230-303", "Link")</f>
        <v/>
      </c>
      <c r="H616" s="6">
        <f>HYPERLINK("C:\Projects\Kleinanzeigen-Scraper\offer_images\2783395805", "Link")</f>
        <v/>
      </c>
      <c r="I616" t="inlineStr">
        <is>
          <t>R. Kuhn</t>
        </is>
      </c>
      <c r="J616" s="6">
        <f>HYPERLINK("https://www.kleinanzeigen.de/s-bestandsliste.html?userId=7020186", "Link")</f>
        <v/>
      </c>
      <c r="K616" s="7" t="n">
        <v>45500.72353009259</v>
      </c>
      <c r="L616" s="3" t="inlineStr">
        <is>
          <t>96.65</t>
        </is>
      </c>
      <c r="M616" t="inlineStr">
        <is>
          <t>Karlsruhe</t>
        </is>
      </c>
    </row>
    <row r="617">
      <c r="A617" t="inlineStr">
        <is>
          <t>1x Mastverlängerung Gunsails RDM, 1x Mast Gunsails Advantage 430 RDM</t>
        </is>
      </c>
      <c r="B617" s="4" t="inlineStr"/>
      <c r="C617" t="inlineStr">
        <is>
          <t>VB</t>
        </is>
      </c>
      <c r="D617" t="inlineStr">
        <is>
          <t>68775 Baden-Württemberg - Ketsch</t>
        </is>
      </c>
      <c r="E617" s="5" t="n">
        <v>45491</v>
      </c>
      <c r="F617" t="inlineStr">
        <is>
          <t>Sold</t>
        </is>
      </c>
      <c r="G617" s="6">
        <f>HYPERLINK("https://www.kleinanzeigen.de/s-anzeige/gunsails-mast-und-verlaengerung-windsurfen/2815028073-230-8124", "Link")</f>
        <v/>
      </c>
      <c r="H617" s="6">
        <f>HYPERLINK("C:\Projects\Kleinanzeigen-Scraper\offer_images\2815028073", "Link")</f>
        <v/>
      </c>
      <c r="I617" t="inlineStr">
        <is>
          <t>dfv</t>
        </is>
      </c>
      <c r="J617" s="6">
        <f>HYPERLINK("https://www.kleinanzeigen.de/s-bestandsliste.html?userId=12707207", "Link")</f>
        <v/>
      </c>
      <c r="K617" s="7" t="n">
        <v>45500.72353009259</v>
      </c>
      <c r="L617" s="3" t="inlineStr">
        <is>
          <t>41.70</t>
        </is>
      </c>
      <c r="M617" t="inlineStr">
        <is>
          <t>Karlsruhe</t>
        </is>
      </c>
    </row>
    <row r="618">
      <c r="A618" t="inlineStr">
        <is>
          <t>2-in-1 Windsurf SUP including 4.5m² sail, paddle, bag, pump, fins, and repair kit.</t>
        </is>
      </c>
      <c r="B618" s="4" t="n">
        <v>799</v>
      </c>
      <c r="C618" t="inlineStr"/>
      <c r="D618" t="inlineStr">
        <is>
          <t>79235 Baden-Württemberg - Vogtsburg</t>
        </is>
      </c>
      <c r="E618" s="5" t="n">
        <v>45183</v>
      </c>
      <c r="F618" t="inlineStr">
        <is>
          <t>Sold</t>
        </is>
      </c>
      <c r="G618" s="6">
        <f>HYPERLINK("https://www.kleinanzeigen.de/s-anzeige/f2-glide-wing-11-7-stand-up-paddle-board-windsurf-sup-4-5m-segel/2545757155-230-8902", "Link")</f>
        <v/>
      </c>
      <c r="H618" s="6">
        <f>HYPERLINK("C:\Projects\Kleinanzeigen-Scraper\offer_images\2545757155", "Link")</f>
        <v/>
      </c>
      <c r="I618" t="inlineStr">
        <is>
          <t>BACKSIDE180</t>
        </is>
      </c>
      <c r="J618" s="6">
        <f>HYPERLINK("https://www.kleinanzeigen.de/s-bestandsliste.html?userId=83228138", "Link")</f>
        <v/>
      </c>
      <c r="K618" s="7" t="n">
        <v>45500.72351851852</v>
      </c>
      <c r="L618" s="3" t="inlineStr">
        <is>
          <t>60.53</t>
        </is>
      </c>
      <c r="M618" t="inlineStr">
        <is>
          <t>Bonndorf</t>
        </is>
      </c>
    </row>
    <row r="619">
      <c r="A619" t="inlineStr">
        <is>
          <t>Complete windsurfing set including board, sail (5.9 m²), mast, mast extension, boom, mast foot, and fin. All items are ready to use except for a broken pull rope that needs replacement.</t>
        </is>
      </c>
      <c r="B619" s="4" t="n">
        <v>330</v>
      </c>
      <c r="C619" t="inlineStr"/>
      <c r="D619" t="inlineStr">
        <is>
          <t>97877 Baden-Württemberg - Wertheim</t>
        </is>
      </c>
      <c r="E619" s="5" t="n">
        <v>45462</v>
      </c>
      <c r="F619" t="inlineStr">
        <is>
          <t>Sold</t>
        </is>
      </c>
      <c r="G619" s="6">
        <f>HYPERLINK("https://www.kleinanzeigen.de/s-anzeige/windsurf-kom-/2791869796-230-8561", "Link")</f>
        <v/>
      </c>
      <c r="H619" s="6">
        <f>HYPERLINK("C:\Projects\Kleinanzeigen-Scraper\offer_images\2791869796", "Link")</f>
        <v/>
      </c>
      <c r="I619" t="inlineStr">
        <is>
          <t>Valentin</t>
        </is>
      </c>
      <c r="J619" s="6">
        <f>HYPERLINK("https://www.kleinanzeigen.de/s-bestandsliste.html?userId=78407344", "Link")</f>
        <v/>
      </c>
      <c r="K619" s="7" t="n">
        <v>45500.7234837963</v>
      </c>
      <c r="L619" s="3" t="inlineStr">
        <is>
          <t>112.50</t>
        </is>
      </c>
      <c r="M619" t="inlineStr">
        <is>
          <t>Karlsruhe</t>
        </is>
      </c>
    </row>
    <row r="620">
      <c r="A620" t="inlineStr">
        <is>
          <t>Includes Alpha 325 board, mast, rig, 2 sails (sizes 5.0 and 7.0), and accessories.</t>
        </is>
      </c>
      <c r="B620" s="4" t="n">
        <v>70</v>
      </c>
      <c r="C620" t="inlineStr">
        <is>
          <t>VB</t>
        </is>
      </c>
      <c r="D620" t="inlineStr">
        <is>
          <t>73547 Baden-Württemberg - Lorch</t>
        </is>
      </c>
      <c r="E620" s="5" t="n">
        <v>45512</v>
      </c>
      <c r="F620" t="inlineStr">
        <is>
          <t>Sold</t>
        </is>
      </c>
      <c r="G620" s="6">
        <f>HYPERLINK("https://www.kleinanzeigen.de/s-anzeige/windsurf-set-komplett/2816209183-230-9013", "Link")</f>
        <v/>
      </c>
      <c r="H620" s="6">
        <f>HYPERLINK("C:\Projects\Kleinanzeigen-Scraper\offer_images\2816209183", "Link")</f>
        <v/>
      </c>
      <c r="I620" t="inlineStr">
        <is>
          <t>Klapper</t>
        </is>
      </c>
      <c r="J620" s="6">
        <f>HYPERLINK("https://www.kleinanzeigen.de/s-bestandsliste.html?userId=90762846", "Link")</f>
        <v/>
      </c>
      <c r="K620" s="7" t="n">
        <v>45500.7234375</v>
      </c>
      <c r="L620" s="3" t="inlineStr">
        <is>
          <t>52.87</t>
        </is>
      </c>
      <c r="M620" t="inlineStr">
        <is>
          <t>Böblingen</t>
        </is>
      </c>
    </row>
    <row r="621">
      <c r="A621" t="inlineStr">
        <is>
          <t>Complete windsurfing equipment including F2 Spunik 280 board (90L), North Sails: Infinity 6.4, Convertigo 5.7, Zeta 5.0 sails, 2 booms (long and short), mast foot with extension, 2 masts, fins, and additional accessories.</t>
        </is>
      </c>
      <c r="B621" s="4" t="n">
        <v>200</v>
      </c>
      <c r="C621" t="inlineStr"/>
      <c r="D621" t="inlineStr">
        <is>
          <t>77933 Baden-Württemberg - Lahr (Schwarzwald)</t>
        </is>
      </c>
      <c r="E621" s="5" t="n">
        <v>45497</v>
      </c>
      <c r="F621" t="inlineStr">
        <is>
          <t>Sold</t>
        </is>
      </c>
      <c r="G621" s="6">
        <f>HYPERLINK("https://www.kleinanzeigen.de/s-anzeige/windsurf-set-komplett-wegen-hobbyaufgabe/2820278503-230-8047", "Link")</f>
        <v/>
      </c>
      <c r="H621" s="6">
        <f>HYPERLINK("C:\Projects\Kleinanzeigen-Scraper\offer_images\2820278503", "Link")</f>
        <v/>
      </c>
      <c r="I621" t="inlineStr">
        <is>
          <t>Duschka, Wolfgang</t>
        </is>
      </c>
      <c r="J621" s="6">
        <f>HYPERLINK("https://www.kleinanzeigen.de/s-bestandsliste.html?userId=46415366", "Link")</f>
        <v/>
      </c>
      <c r="K621" s="7" t="n">
        <v>45500.7234375</v>
      </c>
      <c r="L621" s="3" t="inlineStr">
        <is>
          <t>67.40</t>
        </is>
      </c>
      <c r="M621" t="inlineStr">
        <is>
          <t>Bonndorf</t>
        </is>
      </c>
    </row>
    <row r="622">
      <c r="A622" t="inlineStr">
        <is>
          <t>2-in-1 Windsurf SUP set including F2 5m² sail rig, paddle, bag, pump, fins, and repair kit.</t>
        </is>
      </c>
      <c r="B622" s="4" t="n">
        <v>699</v>
      </c>
      <c r="C622" t="inlineStr">
        <is>
          <t>VB</t>
        </is>
      </c>
      <c r="D622" t="inlineStr">
        <is>
          <t>79235 Baden-Württemberg - Vogtsburg</t>
        </is>
      </c>
      <c r="E622" s="5" t="n">
        <v>44785</v>
      </c>
      <c r="F622" t="inlineStr">
        <is>
          <t>Sold</t>
        </is>
      </c>
      <c r="G622" s="6">
        <f>HYPERLINK("https://www.kleinanzeigen.de/s-anzeige/f2-team-ws-11-5-stand-up-paddle-board-windsurf-segel-sup-set-neu/2181276856-230-8902", "Link")</f>
        <v/>
      </c>
      <c r="H622" s="6">
        <f>HYPERLINK("C:\Projects\Kleinanzeigen-Scraper\offer_images\2181276856", "Link")</f>
        <v/>
      </c>
      <c r="I622" t="inlineStr">
        <is>
          <t>BACKSIDE180</t>
        </is>
      </c>
      <c r="J622" s="6">
        <f>HYPERLINK("https://www.kleinanzeigen.de/s-bestandsliste.html?userId=83228138", "Link")</f>
        <v/>
      </c>
      <c r="K622" s="7" t="n">
        <v>45500.72337962963</v>
      </c>
      <c r="L622" s="3" t="inlineStr">
        <is>
          <t>60.53</t>
        </is>
      </c>
      <c r="M622" t="inlineStr">
        <is>
          <t>Bonndorf</t>
        </is>
      </c>
    </row>
    <row r="623">
      <c r="A623" t="inlineStr">
        <is>
          <t>Windsurf board (295 cm) F2 Bullit Race with foot straps, aluminum mast, mast foot, boom, fin, mast foot protector, and board cover. Also usable as a swimming board or for stand-up paddling.</t>
        </is>
      </c>
      <c r="B623" s="4" t="n">
        <v>30</v>
      </c>
      <c r="C623" t="inlineStr"/>
      <c r="D623" t="inlineStr">
        <is>
          <t>70794 Baden-Württemberg - Filderstadt</t>
        </is>
      </c>
      <c r="E623" s="5" t="n">
        <v>45488</v>
      </c>
      <c r="F623" t="inlineStr">
        <is>
          <t>Sold</t>
        </is>
      </c>
      <c r="G623" s="6">
        <f>HYPERLINK("https://www.kleinanzeigen.de/s-anzeige/-windsurfbrett-295-cm-windsurf-board-f2-bullit-race-zubehoer-/2812659430-230-8892", "Link")</f>
        <v/>
      </c>
      <c r="H623" s="6">
        <f>HYPERLINK("C:\Projects\Kleinanzeigen-Scraper\offer_images\2812659430", "Link")</f>
        <v/>
      </c>
      <c r="I623" t="inlineStr">
        <is>
          <t>Till Sepke</t>
        </is>
      </c>
      <c r="J623" s="6">
        <f>HYPERLINK("https://www.kleinanzeigen.de/s-bestandsliste.html?userId=10781844", "Link")</f>
        <v/>
      </c>
      <c r="K623" s="7" t="n">
        <v>45500.72337962963</v>
      </c>
      <c r="L623" s="3" t="inlineStr">
        <is>
          <t>17.11</t>
        </is>
      </c>
      <c r="M623" t="inlineStr">
        <is>
          <t>Böblingen</t>
        </is>
      </c>
    </row>
    <row r="624">
      <c r="A624" t="inlineStr">
        <is>
          <t>Complete windsurfing equipment including 4 boards, 13 sails, and various accessories.</t>
        </is>
      </c>
      <c r="B624" s="4" t="n">
        <v>900</v>
      </c>
      <c r="C624" t="inlineStr"/>
      <c r="D624" t="inlineStr">
        <is>
          <t>89584 Baden-Württemberg - Ehingen (Donau)</t>
        </is>
      </c>
      <c r="E624" s="5" t="n">
        <v>45471</v>
      </c>
      <c r="F624" t="inlineStr">
        <is>
          <t>Sold</t>
        </is>
      </c>
      <c r="G624" s="6">
        <f>HYPERLINK("https://www.kleinanzeigen.de/s-anzeige/windsurf-ausruestung-komplett-4-bretter-13-segel-und-zubehoer/2799224455-230-8804", "Link")</f>
        <v/>
      </c>
      <c r="H624" s="6">
        <f>HYPERLINK("C:\Projects\Kleinanzeigen-Scraper\offer_images\2799224455", "Link")</f>
        <v/>
      </c>
      <c r="I624" t="inlineStr">
        <is>
          <t>Ludwig Fleiner</t>
        </is>
      </c>
      <c r="J624" s="6">
        <f>HYPERLINK("https://www.kleinanzeigen.de/s-bestandsliste.html?userId=80703987", "Link")</f>
        <v/>
      </c>
      <c r="K624" s="7" t="n">
        <v>45500.72336805556</v>
      </c>
      <c r="L624" s="3" t="inlineStr">
        <is>
          <t>66.01</t>
        </is>
      </c>
      <c r="M624" t="inlineStr">
        <is>
          <t>Böblingen</t>
        </is>
      </c>
    </row>
    <row r="625">
      <c r="A625" t="inlineStr">
        <is>
          <t>2-in-1 Windsurf SUP, F2-Rigg-Segel-Set, Paddel, Tasche, Pumpe, Finne (2 x Soft + 1 x US BOX) &amp; Repair-Kit</t>
        </is>
      </c>
      <c r="B625" s="4" t="n">
        <v>799</v>
      </c>
      <c r="C625" t="inlineStr"/>
      <c r="D625" t="inlineStr">
        <is>
          <t>79235 Baden-Württemberg - Vogtsburg</t>
        </is>
      </c>
      <c r="E625" s="5" t="n">
        <v>45136</v>
      </c>
      <c r="F625" t="inlineStr">
        <is>
          <t>Sold</t>
        </is>
      </c>
      <c r="G625" s="6">
        <f>HYPERLINK("https://www.kleinanzeigen.de/s-anzeige/f2-peak-ws-10-8-stand-up-paddle-board-sup-windsurf-set-inkl-segel/2506441361-230-8902", "Link")</f>
        <v/>
      </c>
      <c r="H625" s="6">
        <f>HYPERLINK("C:\Projects\Kleinanzeigen-Scraper\offer_images\2506441361", "Link")</f>
        <v/>
      </c>
      <c r="I625" t="inlineStr">
        <is>
          <t>BACKSIDE180</t>
        </is>
      </c>
      <c r="J625" s="6">
        <f>HYPERLINK("https://www.kleinanzeigen.de/s-bestandsliste.html?userId=83228138", "Link")</f>
        <v/>
      </c>
      <c r="K625" s="7" t="n">
        <v>45500.72335648148</v>
      </c>
      <c r="L625" s="3" t="inlineStr">
        <is>
          <t>60.53</t>
        </is>
      </c>
      <c r="M625" t="inlineStr">
        <is>
          <t>Bonndorf</t>
        </is>
      </c>
    </row>
    <row r="626">
      <c r="A626" t="inlineStr">
        <is>
          <t>Complete package including Fanatic Hot Bat board (160 L, 325 cm), four sails of various sizes, two booms, one mast with extension, a harness, two fins, and a sail bag.</t>
        </is>
      </c>
      <c r="B626" s="4" t="n">
        <v>100</v>
      </c>
      <c r="C626" t="inlineStr"/>
      <c r="D626" t="inlineStr">
        <is>
          <t>66994 Rheinland-Pfalz - Dahn</t>
        </is>
      </c>
      <c r="E626" s="5" t="n">
        <v>45476</v>
      </c>
      <c r="F626" t="inlineStr">
        <is>
          <t>Sold</t>
        </is>
      </c>
      <c r="G626" s="6">
        <f>HYPERLINK("https://www.kleinanzeigen.de/s-anzeige/windsurf-komplett-set-fanatic-hot-bat-retro-4-segel-/2803724052-230-5171", "Link")</f>
        <v/>
      </c>
      <c r="H626" s="6">
        <f>HYPERLINK("C:\Projects\Kleinanzeigen-Scraper\offer_images\2803724052", "Link")</f>
        <v/>
      </c>
      <c r="I626" t="inlineStr">
        <is>
          <t>M. Schehl</t>
        </is>
      </c>
      <c r="J626" s="6">
        <f>HYPERLINK("https://www.kleinanzeigen.de/s-bestandsliste.html?userId=25833851", "Link")</f>
        <v/>
      </c>
      <c r="K626" s="7" t="n">
        <v>45500.72333333334</v>
      </c>
      <c r="L626" s="3" t="inlineStr">
        <is>
          <t>49.45</t>
        </is>
      </c>
      <c r="M626" t="inlineStr">
        <is>
          <t>Karlsruhe</t>
        </is>
      </c>
    </row>
    <row r="627">
      <c r="A627" t="inlineStr">
        <is>
          <t>Includes various windsurfing accessories such as mast foot, mast extension, trapeze, and multiple boards and sails.</t>
        </is>
      </c>
      <c r="B627" s="4" t="inlineStr"/>
      <c r="C627" t="inlineStr">
        <is>
          <t>VB</t>
        </is>
      </c>
      <c r="D627" t="inlineStr">
        <is>
          <t>79110 Baden-Württemberg - Freiburg im Breisgau</t>
        </is>
      </c>
      <c r="E627" s="5" t="n">
        <v>44390</v>
      </c>
      <c r="F627" t="inlineStr">
        <is>
          <t>Sold</t>
        </is>
      </c>
      <c r="G627" s="6">
        <f>HYPERLINK("https://www.kleinanzeigen.de/s-anzeige/mastbecher-mastverlaengerung-mastfuss-trapez-windsurf-surf-segel/1819839850-230-9359", "Link")</f>
        <v/>
      </c>
      <c r="H627" s="6">
        <f>HYPERLINK("C:\Projects\Kleinanzeigen-Scraper\offer_images\1819839850", "Link")</f>
        <v/>
      </c>
      <c r="I627" t="inlineStr">
        <is>
          <t>Pavel</t>
        </is>
      </c>
      <c r="J627" s="6">
        <f>HYPERLINK("https://www.kleinanzeigen.de/s-bestandsliste.html?userId=12274023", "Link")</f>
        <v/>
      </c>
      <c r="K627" s="7" t="n">
        <v>45500.72332175926</v>
      </c>
      <c r="L627" s="3" t="inlineStr">
        <is>
          <t>45.32</t>
        </is>
      </c>
      <c r="M627" t="inlineStr">
        <is>
          <t>Bonndorf</t>
        </is>
      </c>
    </row>
    <row r="628">
      <c r="A628" t="inlineStr">
        <is>
          <t>Used children's rig including a 4.5 m² sail, mast, and boom with normal signs of use.</t>
        </is>
      </c>
      <c r="B628" s="4" t="n">
        <v>277</v>
      </c>
      <c r="C628" t="inlineStr">
        <is>
          <t>VB</t>
        </is>
      </c>
      <c r="D628" t="inlineStr">
        <is>
          <t>71679 Baden-Württemberg - Asperg</t>
        </is>
      </c>
      <c r="E628" s="5" t="n">
        <v>45495</v>
      </c>
      <c r="F628" t="inlineStr">
        <is>
          <t>Sold</t>
        </is>
      </c>
      <c r="G628" s="6">
        <f>HYPERLINK("https://www.kleinanzeigen.de/s-anzeige/windsurf-segel-kinder-rigg-4-5-komplett-mit-mast-und-gabelbaum/2818776372-230-8897", "Link")</f>
        <v/>
      </c>
      <c r="H628" s="6">
        <f>HYPERLINK("C:\Projects\Kleinanzeigen-Scraper\offer_images\2818776372", "Link")</f>
        <v/>
      </c>
      <c r="I628" t="inlineStr">
        <is>
          <t>Thomas P</t>
        </is>
      </c>
      <c r="J628" s="6">
        <f>HYPERLINK("https://www.kleinanzeigen.de/s-bestandsliste.html?userId=65852564", "Link")</f>
        <v/>
      </c>
      <c r="K628" s="7" t="n">
        <v>45500.46230324074</v>
      </c>
      <c r="L628" s="3" t="inlineStr">
        <is>
          <t>28.27</t>
        </is>
      </c>
      <c r="M628" t="inlineStr">
        <is>
          <t>Böblingen</t>
        </is>
      </c>
    </row>
  </sheetData>
  <autoFilter ref="A1:M628"/>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J186"/>
  <sheetViews>
    <sheetView workbookViewId="0">
      <selection activeCell="A1" sqref="A1"/>
    </sheetView>
  </sheetViews>
  <sheetFormatPr baseColWidth="8" defaultRowHeight="15"/>
  <cols>
    <col width="13" customWidth="1" min="1" max="1"/>
    <col width="30" customWidth="1" min="2" max="2"/>
    <col width="20" customWidth="1" min="3" max="3"/>
    <col width="18" customWidth="1" min="4" max="4"/>
    <col width="22" customWidth="1" min="5" max="5"/>
    <col width="17" customWidth="1" min="6" max="6"/>
    <col width="27" customWidth="1" min="7" max="7"/>
    <col width="20" customWidth="1" min="8" max="8"/>
    <col width="11" customWidth="1" min="9" max="9"/>
    <col width="56" customWidth="1" min="10" max="10"/>
    <col width="23" customWidth="1" min="11" max="11"/>
    <col width="13" customWidth="1" min="12" max="12"/>
    <col width="129" customWidth="1" min="13" max="13"/>
    <col width="61" customWidth="1" min="14" max="14"/>
    <col width="31" customWidth="1" min="15" max="15"/>
    <col width="70" customWidth="1" min="16" max="16"/>
    <col width="23" customWidth="1" min="17" max="17"/>
    <col width="26" customWidth="1" min="18" max="18"/>
    <col width="22" customWidth="1" min="19" max="19"/>
    <col width="55" customWidth="1" min="20" max="20"/>
    <col width="15" customWidth="1" min="21" max="21"/>
    <col width="17" customWidth="1" min="22" max="22"/>
    <col width="19" customWidth="1" min="23" max="23"/>
    <col width="20" customWidth="1" min="24" max="24"/>
    <col width="11" customWidth="1" min="25" max="25"/>
    <col width="56" customWidth="1" min="26" max="26"/>
    <col width="23" customWidth="1" min="27" max="27"/>
    <col width="13" customWidth="1" min="28" max="28"/>
    <col width="129" customWidth="1" min="29" max="29"/>
    <col width="61" customWidth="1" min="30" max="30"/>
    <col width="31" customWidth="1" min="31" max="31"/>
    <col width="70" customWidth="1" min="32" max="32"/>
    <col width="23" customWidth="1" min="33" max="33"/>
    <col width="26" customWidth="1" min="34" max="34"/>
    <col width="22" customWidth="1" min="35" max="35"/>
    <col width="54" customWidth="1" min="36" max="36"/>
    <col width="22" customWidth="1" min="37" max="37"/>
    <col width="13" customWidth="1" min="38" max="38"/>
    <col width="20" customWidth="1" min="39" max="39"/>
    <col width="11" customWidth="1" min="40" max="40"/>
    <col width="56" customWidth="1" min="41" max="41"/>
    <col width="23" customWidth="1" min="42" max="42"/>
    <col width="13" customWidth="1" min="43" max="43"/>
    <col width="129" customWidth="1" min="44" max="44"/>
    <col width="61" customWidth="1" min="45" max="45"/>
    <col width="31" customWidth="1" min="46" max="46"/>
    <col width="70" customWidth="1" min="47" max="47"/>
    <col width="23" customWidth="1" min="48" max="48"/>
    <col width="26" customWidth="1" min="49" max="49"/>
    <col width="22" customWidth="1" min="50" max="50"/>
    <col width="20" customWidth="1" min="51" max="51"/>
    <col width="6" customWidth="1" min="52" max="52"/>
    <col width="56" customWidth="1" min="53" max="53"/>
    <col width="10" customWidth="1" min="54" max="54"/>
    <col width="8" customWidth="1" min="55" max="55"/>
    <col width="10" customWidth="1" min="56" max="56"/>
    <col width="10" customWidth="1" min="57" max="57"/>
    <col width="31" customWidth="1" min="58" max="58"/>
    <col width="20" customWidth="1" min="59" max="59"/>
    <col width="23" customWidth="1" min="60" max="60"/>
    <col width="21" customWidth="1" min="61" max="61"/>
    <col width="17" customWidth="1" min="62" max="62"/>
  </cols>
  <sheetData>
    <row r="1">
      <c r="A1" s="1" t="inlineStr">
        <is>
          <t>Sail Size</t>
        </is>
      </c>
      <c r="B1" s="1" t="inlineStr">
        <is>
          <t>Sail Brand</t>
        </is>
      </c>
      <c r="C1" s="1" t="inlineStr">
        <is>
          <t>Sail Mast Length</t>
        </is>
      </c>
      <c r="D1" s="1" t="inlineStr">
        <is>
          <t>Sail Boom Size</t>
        </is>
      </c>
      <c r="E1" s="1" t="inlineStr">
        <is>
          <t>Sail Sail Type</t>
        </is>
      </c>
      <c r="F1" s="1" t="inlineStr">
        <is>
          <t>Sail Year</t>
        </is>
      </c>
      <c r="G1" s="1" t="inlineStr">
        <is>
          <t>Sail State</t>
        </is>
      </c>
      <c r="H1" s="1" t="inlineStr">
        <is>
          <t>Sail Price</t>
        </is>
      </c>
      <c r="I1" s="1" t="inlineStr">
        <is>
          <t>Sail VB</t>
        </is>
      </c>
      <c r="J1" s="1" t="inlineStr">
        <is>
          <t>Sail Location</t>
        </is>
      </c>
      <c r="K1" s="1" t="inlineStr">
        <is>
          <t>Sail Date</t>
        </is>
      </c>
      <c r="L1" s="1" t="inlineStr">
        <is>
          <t>Sail Sold</t>
        </is>
      </c>
      <c r="M1" s="1" t="inlineStr">
        <is>
          <t>Sail Link</t>
        </is>
      </c>
      <c r="N1" s="1" t="inlineStr">
        <is>
          <t>Sail Images</t>
        </is>
      </c>
      <c r="O1" s="1" t="inlineStr">
        <is>
          <t>Sail User name</t>
        </is>
      </c>
      <c r="P1" s="1" t="inlineStr">
        <is>
          <t>Sail All other offers</t>
        </is>
      </c>
      <c r="Q1" s="1" t="inlineStr">
        <is>
          <t>Sail Scraped on</t>
        </is>
      </c>
      <c r="R1" s="1" t="inlineStr">
        <is>
          <t>Sail Min Distance (km)</t>
        </is>
      </c>
      <c r="S1" s="1" t="inlineStr">
        <is>
          <t>Sail Closest place</t>
        </is>
      </c>
      <c r="T1" s="1" t="inlineStr">
        <is>
          <t>Mast Brand</t>
        </is>
      </c>
      <c r="U1" s="1" t="inlineStr">
        <is>
          <t>Mast Length</t>
        </is>
      </c>
      <c r="V1" s="1" t="inlineStr">
        <is>
          <t>Mast Carbon</t>
        </is>
      </c>
      <c r="W1" s="1" t="inlineStr">
        <is>
          <t>Mast Rdm Or Sdm</t>
        </is>
      </c>
      <c r="X1" s="1" t="inlineStr">
        <is>
          <t>Mast Price</t>
        </is>
      </c>
      <c r="Y1" s="1" t="inlineStr">
        <is>
          <t>Mast VB</t>
        </is>
      </c>
      <c r="Z1" s="1" t="inlineStr">
        <is>
          <t>Mast Location</t>
        </is>
      </c>
      <c r="AA1" s="1" t="inlineStr">
        <is>
          <t>Mast Date</t>
        </is>
      </c>
      <c r="AB1" s="1" t="inlineStr">
        <is>
          <t>Mast Sold</t>
        </is>
      </c>
      <c r="AC1" s="1" t="inlineStr">
        <is>
          <t>Mast Link</t>
        </is>
      </c>
      <c r="AD1" s="1" t="inlineStr">
        <is>
          <t>Mast Images</t>
        </is>
      </c>
      <c r="AE1" s="1" t="inlineStr">
        <is>
          <t>Mast User name</t>
        </is>
      </c>
      <c r="AF1" s="1" t="inlineStr">
        <is>
          <t>Mast All other offers</t>
        </is>
      </c>
      <c r="AG1" s="1" t="inlineStr">
        <is>
          <t>Mast Scraped on</t>
        </is>
      </c>
      <c r="AH1" s="1" t="inlineStr">
        <is>
          <t>Mast Min Distance (km)</t>
        </is>
      </c>
      <c r="AI1" s="1" t="inlineStr">
        <is>
          <t>Mast Closest place</t>
        </is>
      </c>
      <c r="AJ1" s="1" t="inlineStr">
        <is>
          <t>Boom Brand</t>
        </is>
      </c>
      <c r="AK1" s="1" t="inlineStr">
        <is>
          <t>Boom Size</t>
        </is>
      </c>
      <c r="AL1" s="1" t="inlineStr">
        <is>
          <t>Boom Year</t>
        </is>
      </c>
      <c r="AM1" s="1" t="inlineStr">
        <is>
          <t>Boom Price</t>
        </is>
      </c>
      <c r="AN1" s="1" t="inlineStr">
        <is>
          <t>Boom VB</t>
        </is>
      </c>
      <c r="AO1" s="1" t="inlineStr">
        <is>
          <t>Boom Location</t>
        </is>
      </c>
      <c r="AP1" s="1" t="inlineStr">
        <is>
          <t>Boom Date</t>
        </is>
      </c>
      <c r="AQ1" s="1" t="inlineStr">
        <is>
          <t>Boom Sold</t>
        </is>
      </c>
      <c r="AR1" s="1" t="inlineStr">
        <is>
          <t>Boom Link</t>
        </is>
      </c>
      <c r="AS1" s="1" t="inlineStr">
        <is>
          <t>Boom Images</t>
        </is>
      </c>
      <c r="AT1" s="1" t="inlineStr">
        <is>
          <t>Boom User name</t>
        </is>
      </c>
      <c r="AU1" s="1" t="inlineStr">
        <is>
          <t>Boom All other offers</t>
        </is>
      </c>
      <c r="AV1" s="1" t="inlineStr">
        <is>
          <t>Boom Scraped on</t>
        </is>
      </c>
      <c r="AW1" s="1" t="inlineStr">
        <is>
          <t>Boom Min Distance (km)</t>
        </is>
      </c>
      <c r="AX1" s="1" t="inlineStr">
        <is>
          <t>Boom Closest place</t>
        </is>
      </c>
      <c r="AY1" s="1" t="inlineStr">
        <is>
          <t>Price</t>
        </is>
      </c>
      <c r="AZ1" s="1" t="inlineStr">
        <is>
          <t>VB</t>
        </is>
      </c>
      <c r="BA1" s="1" t="inlineStr">
        <is>
          <t>Location</t>
        </is>
      </c>
      <c r="BB1" s="1" t="inlineStr">
        <is>
          <t>Date</t>
        </is>
      </c>
      <c r="BC1" s="1" t="inlineStr">
        <is>
          <t>Sold</t>
        </is>
      </c>
      <c r="BD1" s="1" t="inlineStr">
        <is>
          <t>Link</t>
        </is>
      </c>
      <c r="BE1" s="1" t="inlineStr">
        <is>
          <t>Images</t>
        </is>
      </c>
      <c r="BF1" s="1" t="inlineStr">
        <is>
          <t>User name</t>
        </is>
      </c>
      <c r="BG1" s="1" t="inlineStr">
        <is>
          <t>All other offers</t>
        </is>
      </c>
      <c r="BH1" s="1" t="inlineStr">
        <is>
          <t>Scraped on</t>
        </is>
      </c>
      <c r="BI1" s="1" t="inlineStr">
        <is>
          <t>Min Distance (km)</t>
        </is>
      </c>
      <c r="BJ1" s="1" t="inlineStr">
        <is>
          <t>Closest place</t>
        </is>
      </c>
    </row>
    <row r="2">
      <c r="A2" s="2" t="n">
        <v>6.4</v>
      </c>
      <c r="B2" t="inlineStr">
        <is>
          <t>Quicky Slalom Pro</t>
        </is>
      </c>
      <c r="C2" s="3" t="inlineStr"/>
      <c r="D2" s="3" t="inlineStr"/>
      <c r="E2" t="inlineStr">
        <is>
          <t>Slalom</t>
        </is>
      </c>
      <c r="F2" t="inlineStr"/>
      <c r="G2" t="inlineStr">
        <is>
          <t>used</t>
        </is>
      </c>
      <c r="H2" s="4" t="n">
        <v>40</v>
      </c>
      <c r="I2" t="inlineStr">
        <is>
          <t>VB</t>
        </is>
      </c>
      <c r="J2" t="inlineStr">
        <is>
          <t>06114 Sachsen-Anhalt - Halle</t>
        </is>
      </c>
      <c r="K2" s="5" t="n">
        <v>45568</v>
      </c>
      <c r="L2" t="inlineStr"/>
      <c r="M2" s="6">
        <f>HYPERLINK("https://www.kleinanzeigen.de/s-anzeige/windsurfen-mast-von-fanatic-4-7m-und-segel-6-4m-/2881213550-230-2419", "Link")</f>
        <v/>
      </c>
      <c r="N2" s="6">
        <f>HYPERLINK("C:\Projects\Kleinanzeigen-Scraper\offer_images\2881213550", "Link")</f>
        <v/>
      </c>
      <c r="O2" t="inlineStr">
        <is>
          <t>s.g.</t>
        </is>
      </c>
      <c r="P2" s="6">
        <f>HYPERLINK("https://www.kleinanzeigen.de/s-bestandsliste.html?userId=124092932", "Link")</f>
        <v/>
      </c>
      <c r="Q2" s="7" t="n">
        <v>45568.74917824074</v>
      </c>
      <c r="R2" s="3" t="inlineStr">
        <is>
          <t>354.16</t>
        </is>
      </c>
      <c r="S2" t="inlineStr">
        <is>
          <t>Köln</t>
        </is>
      </c>
      <c r="T2" t="inlineStr">
        <is>
          <t>Fanatic</t>
        </is>
      </c>
      <c r="U2" s="3" t="n">
        <v>470</v>
      </c>
      <c r="V2" s="8" t="inlineStr"/>
      <c r="W2" t="inlineStr"/>
      <c r="X2" s="4" t="n">
        <v>40</v>
      </c>
      <c r="Y2" t="inlineStr">
        <is>
          <t>VB</t>
        </is>
      </c>
      <c r="Z2" t="inlineStr">
        <is>
          <t>06114 Sachsen-Anhalt - Halle</t>
        </is>
      </c>
      <c r="AA2" s="5" t="n">
        <v>45568</v>
      </c>
      <c r="AB2" t="inlineStr"/>
      <c r="AC2" s="6">
        <f>HYPERLINK("https://www.kleinanzeigen.de/s-anzeige/windsurfen-mast-von-fanatic-4-7m-und-segel-6-4m-/2881213550-230-2419", "Link")</f>
        <v/>
      </c>
      <c r="AD2" s="6">
        <f>HYPERLINK("C:\Projects\Kleinanzeigen-Scraper\offer_images\2881213550", "Link")</f>
        <v/>
      </c>
      <c r="AE2" t="inlineStr">
        <is>
          <t>s.g.</t>
        </is>
      </c>
      <c r="AF2" s="6">
        <f>HYPERLINK("https://www.kleinanzeigen.de/s-bestandsliste.html?userId=124092932", "Link")</f>
        <v/>
      </c>
      <c r="AG2" s="7" t="n">
        <v>45568.74917824074</v>
      </c>
      <c r="AH2" s="3" t="inlineStr">
        <is>
          <t>354.16</t>
        </is>
      </c>
      <c r="AI2" t="inlineStr">
        <is>
          <t>Köln</t>
        </is>
      </c>
      <c r="AJ2" t="inlineStr"/>
      <c r="AK2" t="inlineStr"/>
      <c r="AL2" t="inlineStr"/>
      <c r="AM2" s="4" t="n">
        <v>40</v>
      </c>
      <c r="AN2" t="inlineStr">
        <is>
          <t>VB</t>
        </is>
      </c>
      <c r="AO2" t="inlineStr">
        <is>
          <t>06114 Sachsen-Anhalt - Halle</t>
        </is>
      </c>
      <c r="AP2" s="5" t="n">
        <v>45568</v>
      </c>
      <c r="AQ2" t="inlineStr"/>
      <c r="AR2" s="6">
        <f>HYPERLINK("https://www.kleinanzeigen.de/s-anzeige/windsurfen-mast-von-fanatic-4-7m-und-segel-6-4m-/2881213550-230-2419", "Link")</f>
        <v/>
      </c>
      <c r="AS2" s="6">
        <f>HYPERLINK("C:\Projects\Kleinanzeigen-Scraper\offer_images\2881213550", "Link")</f>
        <v/>
      </c>
      <c r="AT2" t="inlineStr">
        <is>
          <t>s.g.</t>
        </is>
      </c>
      <c r="AU2" s="6">
        <f>HYPERLINK("https://www.kleinanzeigen.de/s-bestandsliste.html?userId=124092932", "Link")</f>
        <v/>
      </c>
      <c r="AV2" s="7" t="n">
        <v>45568.74917824074</v>
      </c>
      <c r="AW2" s="3" t="inlineStr">
        <is>
          <t>354.16</t>
        </is>
      </c>
      <c r="AX2" t="inlineStr">
        <is>
          <t>Köln</t>
        </is>
      </c>
      <c r="AY2" s="4" t="n">
        <v>40</v>
      </c>
      <c r="AZ2" t="inlineStr">
        <is>
          <t>VB</t>
        </is>
      </c>
      <c r="BA2" t="inlineStr">
        <is>
          <t>06114 Sachsen-Anhalt - Halle</t>
        </is>
      </c>
      <c r="BB2" s="5" t="n">
        <v>45568</v>
      </c>
      <c r="BC2" t="inlineStr"/>
      <c r="BD2" s="6">
        <f>HYPERLINK("https://www.kleinanzeigen.de/s-anzeige/windsurfen-mast-von-fanatic-4-7m-und-segel-6-4m-/2881213550-230-2419", "Link")</f>
        <v/>
      </c>
      <c r="BE2" s="6">
        <f>HYPERLINK("C:\Projects\Kleinanzeigen-Scraper\offer_images\2881213550", "Link")</f>
        <v/>
      </c>
      <c r="BF2" t="inlineStr">
        <is>
          <t>s.g.</t>
        </is>
      </c>
      <c r="BG2" s="6">
        <f>HYPERLINK("https://www.kleinanzeigen.de/s-bestandsliste.html?userId=124092932", "Link")</f>
        <v/>
      </c>
      <c r="BH2" s="7" t="n">
        <v>45568.74917824074</v>
      </c>
      <c r="BI2" s="3" t="inlineStr">
        <is>
          <t>354.16</t>
        </is>
      </c>
      <c r="BJ2" t="inlineStr">
        <is>
          <t>Köln</t>
        </is>
      </c>
    </row>
    <row r="3">
      <c r="A3" s="2" t="n">
        <v>7.6</v>
      </c>
      <c r="B3" t="inlineStr">
        <is>
          <t>Point 7 F1 Hybrid</t>
        </is>
      </c>
      <c r="C3" s="3" t="inlineStr"/>
      <c r="D3" s="3" t="inlineStr"/>
      <c r="E3" t="inlineStr"/>
      <c r="F3" t="inlineStr"/>
      <c r="G3" t="inlineStr"/>
      <c r="H3" s="4" t="n">
        <v>700</v>
      </c>
      <c r="I3" t="inlineStr"/>
      <c r="J3" t="inlineStr">
        <is>
          <t>88400 Baden-Württemberg - Biberach an der Riß</t>
        </is>
      </c>
      <c r="K3" s="5" t="n">
        <v>45568</v>
      </c>
      <c r="L3" t="inlineStr"/>
      <c r="M3" s="6">
        <f>HYPERLINK("https://www.kleinanzeigen.de/s-anzeige/point-7-f1-hybrid-7-6-mast-460/2880912050-230-8706", "Link")</f>
        <v/>
      </c>
      <c r="N3" s="6">
        <f>HYPERLINK("C:\Projects\Kleinanzeigen-Scraper\offer_images\2880912050", "Link")</f>
        <v/>
      </c>
      <c r="O3" t="inlineStr">
        <is>
          <t>Schneider</t>
        </is>
      </c>
      <c r="P3" s="6">
        <f>HYPERLINK("https://www.kleinanzeigen.de/s-bestandsliste.html?userId=3638597", "Link")</f>
        <v/>
      </c>
      <c r="Q3" s="7" t="n">
        <v>45568.74719907407</v>
      </c>
      <c r="R3" s="3" t="inlineStr">
        <is>
          <t>89.53</t>
        </is>
      </c>
      <c r="S3" t="inlineStr">
        <is>
          <t>Böblingen</t>
        </is>
      </c>
      <c r="T3" t="inlineStr">
        <is>
          <t>Point 7</t>
        </is>
      </c>
      <c r="U3" s="3" t="n">
        <v>460</v>
      </c>
      <c r="V3" s="8" t="inlineStr"/>
      <c r="W3" t="inlineStr"/>
      <c r="X3" s="4" t="n">
        <v>700</v>
      </c>
      <c r="Y3" t="inlineStr"/>
      <c r="Z3" t="inlineStr">
        <is>
          <t>88400 Baden-Württemberg - Biberach an der Riß</t>
        </is>
      </c>
      <c r="AA3" s="5" t="n">
        <v>45568</v>
      </c>
      <c r="AB3" t="inlineStr"/>
      <c r="AC3" s="6">
        <f>HYPERLINK("https://www.kleinanzeigen.de/s-anzeige/point-7-f1-hybrid-7-6-mast-460/2880912050-230-8706", "Link")</f>
        <v/>
      </c>
      <c r="AD3" s="6">
        <f>HYPERLINK("C:\Projects\Kleinanzeigen-Scraper\offer_images\2880912050", "Link")</f>
        <v/>
      </c>
      <c r="AE3" t="inlineStr">
        <is>
          <t>Schneider</t>
        </is>
      </c>
      <c r="AF3" s="6">
        <f>HYPERLINK("https://www.kleinanzeigen.de/s-bestandsliste.html?userId=3638597", "Link")</f>
        <v/>
      </c>
      <c r="AG3" s="7" t="n">
        <v>45568.74719907407</v>
      </c>
      <c r="AH3" s="3" t="inlineStr">
        <is>
          <t>89.53</t>
        </is>
      </c>
      <c r="AI3" t="inlineStr">
        <is>
          <t>Böblingen</t>
        </is>
      </c>
      <c r="AJ3" t="inlineStr"/>
      <c r="AK3" t="inlineStr"/>
      <c r="AL3" t="inlineStr"/>
      <c r="AM3" s="4" t="n">
        <v>700</v>
      </c>
      <c r="AN3" t="inlineStr"/>
      <c r="AO3" t="inlineStr">
        <is>
          <t>88400 Baden-Württemberg - Biberach an der Riß</t>
        </is>
      </c>
      <c r="AP3" s="5" t="n">
        <v>45568</v>
      </c>
      <c r="AQ3" t="inlineStr"/>
      <c r="AR3" s="6">
        <f>HYPERLINK("https://www.kleinanzeigen.de/s-anzeige/point-7-f1-hybrid-7-6-mast-460/2880912050-230-8706", "Link")</f>
        <v/>
      </c>
      <c r="AS3" s="6">
        <f>HYPERLINK("C:\Projects\Kleinanzeigen-Scraper\offer_images\2880912050", "Link")</f>
        <v/>
      </c>
      <c r="AT3" t="inlineStr">
        <is>
          <t>Schneider</t>
        </is>
      </c>
      <c r="AU3" s="6">
        <f>HYPERLINK("https://www.kleinanzeigen.de/s-bestandsliste.html?userId=3638597", "Link")</f>
        <v/>
      </c>
      <c r="AV3" s="7" t="n">
        <v>45568.74719907407</v>
      </c>
      <c r="AW3" s="3" t="inlineStr">
        <is>
          <t>89.53</t>
        </is>
      </c>
      <c r="AX3" t="inlineStr">
        <is>
          <t>Böblingen</t>
        </is>
      </c>
      <c r="AY3" s="4" t="n">
        <v>700</v>
      </c>
      <c r="AZ3" t="inlineStr"/>
      <c r="BA3" t="inlineStr">
        <is>
          <t>88400 Baden-Württemberg - Biberach an der Riß</t>
        </is>
      </c>
      <c r="BB3" s="5" t="n">
        <v>45568</v>
      </c>
      <c r="BC3" t="inlineStr"/>
      <c r="BD3" s="6">
        <f>HYPERLINK("https://www.kleinanzeigen.de/s-anzeige/point-7-f1-hybrid-7-6-mast-460/2880912050-230-8706", "Link")</f>
        <v/>
      </c>
      <c r="BE3" s="6">
        <f>HYPERLINK("C:\Projects\Kleinanzeigen-Scraper\offer_images\2880912050", "Link")</f>
        <v/>
      </c>
      <c r="BF3" t="inlineStr">
        <is>
          <t>Schneider</t>
        </is>
      </c>
      <c r="BG3" s="6">
        <f>HYPERLINK("https://www.kleinanzeigen.de/s-bestandsliste.html?userId=3638597", "Link")</f>
        <v/>
      </c>
      <c r="BH3" s="7" t="n">
        <v>45568.74719907407</v>
      </c>
      <c r="BI3" s="3" t="inlineStr">
        <is>
          <t>89.53</t>
        </is>
      </c>
      <c r="BJ3" t="inlineStr">
        <is>
          <t>Böblingen</t>
        </is>
      </c>
    </row>
    <row r="4">
      <c r="A4" s="2" t="n">
        <v>4.7</v>
      </c>
      <c r="B4" t="inlineStr">
        <is>
          <t>Sailloft Curve</t>
        </is>
      </c>
      <c r="C4" s="3" t="n">
        <v>4.05</v>
      </c>
      <c r="D4" s="3" t="inlineStr"/>
      <c r="E4" t="inlineStr"/>
      <c r="F4" t="inlineStr"/>
      <c r="G4" t="inlineStr">
        <is>
          <t>used</t>
        </is>
      </c>
      <c r="H4" s="4" t="n">
        <v>389</v>
      </c>
      <c r="I4" t="inlineStr">
        <is>
          <t>VB</t>
        </is>
      </c>
      <c r="J4" t="inlineStr">
        <is>
          <t>19069 Seehof</t>
        </is>
      </c>
      <c r="K4" s="5" t="n">
        <v>45566</v>
      </c>
      <c r="L4" t="inlineStr"/>
      <c r="M4" s="6">
        <f>HYPERLINK("https://www.dailydose.de/kleinanzeigen/detail.htm?ai=423505&amp;cf=kk&amp;pg=1&amp;ci=5", "Link")</f>
        <v/>
      </c>
      <c r="N4" s="6">
        <f>HYPERLINK("C:\Projects\Kleinanzeigen-Scraper\offer_images\423505", "Link")</f>
        <v/>
      </c>
      <c r="O4" t="inlineStr">
        <is>
          <t>dirk_22</t>
        </is>
      </c>
      <c r="P4" s="6">
        <f>HYPERLINK("https://www.dailydose.de/kleinanzeigen/user/6383", "Link")</f>
        <v/>
      </c>
      <c r="Q4" s="7" t="n">
        <v>45567.75484953704</v>
      </c>
      <c r="R4" s="3" t="inlineStr">
        <is>
          <t>433.23</t>
        </is>
      </c>
      <c r="S4" t="inlineStr">
        <is>
          <t>Köln</t>
        </is>
      </c>
      <c r="T4" t="inlineStr">
        <is>
          <t>Unifiber C 60</t>
        </is>
      </c>
      <c r="U4" s="3" t="n">
        <v>370</v>
      </c>
      <c r="V4" s="8" t="inlineStr"/>
      <c r="W4" t="inlineStr">
        <is>
          <t>RDM</t>
        </is>
      </c>
      <c r="X4" s="4" t="n">
        <v>389</v>
      </c>
      <c r="Y4" t="inlineStr">
        <is>
          <t>VB</t>
        </is>
      </c>
      <c r="Z4" t="inlineStr">
        <is>
          <t>19069 Seehof</t>
        </is>
      </c>
      <c r="AA4" s="5" t="n">
        <v>45566</v>
      </c>
      <c r="AB4" t="inlineStr"/>
      <c r="AC4" s="6">
        <f>HYPERLINK("https://www.dailydose.de/kleinanzeigen/detail.htm?ai=423505&amp;cf=kk&amp;pg=1&amp;ci=5", "Link")</f>
        <v/>
      </c>
      <c r="AD4" s="6">
        <f>HYPERLINK("C:\Projects\Kleinanzeigen-Scraper\offer_images\423505", "Link")</f>
        <v/>
      </c>
      <c r="AE4" t="inlineStr">
        <is>
          <t>dirk_22</t>
        </is>
      </c>
      <c r="AF4" s="6">
        <f>HYPERLINK("https://www.dailydose.de/kleinanzeigen/user/6383", "Link")</f>
        <v/>
      </c>
      <c r="AG4" s="7" t="n">
        <v>45567.75484953704</v>
      </c>
      <c r="AH4" s="3" t="inlineStr">
        <is>
          <t>433.23</t>
        </is>
      </c>
      <c r="AI4" t="inlineStr">
        <is>
          <t>Köln</t>
        </is>
      </c>
      <c r="AJ4" t="inlineStr"/>
      <c r="AK4" t="inlineStr"/>
      <c r="AL4" t="inlineStr"/>
      <c r="AM4" s="4" t="n">
        <v>389</v>
      </c>
      <c r="AN4" t="inlineStr">
        <is>
          <t>VB</t>
        </is>
      </c>
      <c r="AO4" t="inlineStr">
        <is>
          <t>19069 Seehof</t>
        </is>
      </c>
      <c r="AP4" s="5" t="n">
        <v>45566</v>
      </c>
      <c r="AQ4" t="inlineStr"/>
      <c r="AR4" s="6">
        <f>HYPERLINK("https://www.dailydose.de/kleinanzeigen/detail.htm?ai=423505&amp;cf=kk&amp;pg=1&amp;ci=5", "Link")</f>
        <v/>
      </c>
      <c r="AS4" s="6">
        <f>HYPERLINK("C:\Projects\Kleinanzeigen-Scraper\offer_images\423505", "Link")</f>
        <v/>
      </c>
      <c r="AT4" t="inlineStr">
        <is>
          <t>dirk_22</t>
        </is>
      </c>
      <c r="AU4" s="6">
        <f>HYPERLINK("https://www.dailydose.de/kleinanzeigen/user/6383", "Link")</f>
        <v/>
      </c>
      <c r="AV4" s="7" t="n">
        <v>45567.75484953704</v>
      </c>
      <c r="AW4" s="3" t="inlineStr">
        <is>
          <t>433.23</t>
        </is>
      </c>
      <c r="AX4" t="inlineStr">
        <is>
          <t>Köln</t>
        </is>
      </c>
      <c r="AY4" s="4" t="n">
        <v>389</v>
      </c>
      <c r="AZ4" t="inlineStr">
        <is>
          <t>VB</t>
        </is>
      </c>
      <c r="BA4" t="inlineStr">
        <is>
          <t>19069 Seehof</t>
        </is>
      </c>
      <c r="BB4" s="5" t="n">
        <v>45566</v>
      </c>
      <c r="BC4" t="inlineStr"/>
      <c r="BD4" s="6">
        <f>HYPERLINK("https://www.dailydose.de/kleinanzeigen/detail.htm?ai=423505&amp;cf=kk&amp;pg=1&amp;ci=5", "Link")</f>
        <v/>
      </c>
      <c r="BE4" s="6">
        <f>HYPERLINK("C:\Projects\Kleinanzeigen-Scraper\offer_images\423505", "Link")</f>
        <v/>
      </c>
      <c r="BF4" t="inlineStr">
        <is>
          <t>dirk_22</t>
        </is>
      </c>
      <c r="BG4" s="6">
        <f>HYPERLINK("https://www.dailydose.de/kleinanzeigen/user/6383", "Link")</f>
        <v/>
      </c>
      <c r="BH4" s="7" t="n">
        <v>45567.75484953704</v>
      </c>
      <c r="BI4" s="3" t="inlineStr">
        <is>
          <t>433.23</t>
        </is>
      </c>
      <c r="BJ4" t="inlineStr">
        <is>
          <t>Köln</t>
        </is>
      </c>
    </row>
    <row r="5">
      <c r="A5" s="2" t="n">
        <v>6.4</v>
      </c>
      <c r="B5" t="inlineStr">
        <is>
          <t>Gaastra Hybrid</t>
        </is>
      </c>
      <c r="C5" s="3" t="inlineStr"/>
      <c r="D5" s="3" t="inlineStr"/>
      <c r="E5" t="inlineStr"/>
      <c r="F5" t="inlineStr">
        <is>
          <t>2022</t>
        </is>
      </c>
      <c r="G5" t="inlineStr">
        <is>
          <t>used</t>
        </is>
      </c>
      <c r="H5" s="4" t="n">
        <v>740</v>
      </c>
      <c r="I5" t="inlineStr">
        <is>
          <t>VB</t>
        </is>
      </c>
      <c r="J5" t="inlineStr">
        <is>
          <t>31199 Niedersachsen - Diekholzen</t>
        </is>
      </c>
      <c r="K5" s="5" t="n">
        <v>45567</v>
      </c>
      <c r="L5" t="inlineStr">
        <is>
          <t>Sold</t>
        </is>
      </c>
      <c r="M5" s="6">
        <f>HYPERLINK("https://www.kleinanzeigen.de/s-anzeige/gaastra-komplett-rigg-hybrid-6-4/2880371277-230-3143", "Link")</f>
        <v/>
      </c>
      <c r="N5" s="6">
        <f>HYPERLINK("C:\Projects\Kleinanzeigen-Scraper\offer_images\2880371277", "Link")</f>
        <v/>
      </c>
      <c r="O5" t="inlineStr">
        <is>
          <t>Reiner</t>
        </is>
      </c>
      <c r="P5" s="6">
        <f>HYPERLINK("https://www.kleinanzeigen.de/s-bestandsliste.html?userId=7022741", "Link")</f>
        <v/>
      </c>
      <c r="Q5" s="7" t="n">
        <v>45567.75137731482</v>
      </c>
      <c r="R5" s="3" t="inlineStr">
        <is>
          <t>244.61</t>
        </is>
      </c>
      <c r="S5" t="inlineStr">
        <is>
          <t>Köln</t>
        </is>
      </c>
      <c r="T5" t="inlineStr"/>
      <c r="U5" s="3" t="inlineStr"/>
      <c r="V5" s="8" t="inlineStr"/>
      <c r="W5" t="inlineStr"/>
      <c r="X5" s="4" t="n">
        <v>740</v>
      </c>
      <c r="Y5" t="inlineStr">
        <is>
          <t>VB</t>
        </is>
      </c>
      <c r="Z5" t="inlineStr">
        <is>
          <t>31199 Niedersachsen - Diekholzen</t>
        </is>
      </c>
      <c r="AA5" s="5" t="n">
        <v>45567</v>
      </c>
      <c r="AB5" t="inlineStr">
        <is>
          <t>Sold</t>
        </is>
      </c>
      <c r="AC5" s="6">
        <f>HYPERLINK("https://www.kleinanzeigen.de/s-anzeige/gaastra-komplett-rigg-hybrid-6-4/2880371277-230-3143", "Link")</f>
        <v/>
      </c>
      <c r="AD5" s="6">
        <f>HYPERLINK("C:\Projects\Kleinanzeigen-Scraper\offer_images\2880371277", "Link")</f>
        <v/>
      </c>
      <c r="AE5" t="inlineStr">
        <is>
          <t>Reiner</t>
        </is>
      </c>
      <c r="AF5" s="6">
        <f>HYPERLINK("https://www.kleinanzeigen.de/s-bestandsliste.html?userId=7022741", "Link")</f>
        <v/>
      </c>
      <c r="AG5" s="7" t="n">
        <v>45567.75137731482</v>
      </c>
      <c r="AH5" s="3" t="inlineStr">
        <is>
          <t>244.61</t>
        </is>
      </c>
      <c r="AI5" t="inlineStr">
        <is>
          <t>Köln</t>
        </is>
      </c>
      <c r="AJ5" t="inlineStr"/>
      <c r="AK5" t="inlineStr"/>
      <c r="AL5" t="inlineStr"/>
      <c r="AM5" s="4" t="n">
        <v>740</v>
      </c>
      <c r="AN5" t="inlineStr">
        <is>
          <t>VB</t>
        </is>
      </c>
      <c r="AO5" t="inlineStr">
        <is>
          <t>31199 Niedersachsen - Diekholzen</t>
        </is>
      </c>
      <c r="AP5" s="5" t="n">
        <v>45567</v>
      </c>
      <c r="AQ5" t="inlineStr">
        <is>
          <t>Sold</t>
        </is>
      </c>
      <c r="AR5" s="6">
        <f>HYPERLINK("https://www.kleinanzeigen.de/s-anzeige/gaastra-komplett-rigg-hybrid-6-4/2880371277-230-3143", "Link")</f>
        <v/>
      </c>
      <c r="AS5" s="6">
        <f>HYPERLINK("C:\Projects\Kleinanzeigen-Scraper\offer_images\2880371277", "Link")</f>
        <v/>
      </c>
      <c r="AT5" t="inlineStr">
        <is>
          <t>Reiner</t>
        </is>
      </c>
      <c r="AU5" s="6">
        <f>HYPERLINK("https://www.kleinanzeigen.de/s-bestandsliste.html?userId=7022741", "Link")</f>
        <v/>
      </c>
      <c r="AV5" s="7" t="n">
        <v>45567.75137731482</v>
      </c>
      <c r="AW5" s="3" t="inlineStr">
        <is>
          <t>244.61</t>
        </is>
      </c>
      <c r="AX5" t="inlineStr">
        <is>
          <t>Köln</t>
        </is>
      </c>
      <c r="AY5" s="4" t="n">
        <v>740</v>
      </c>
      <c r="AZ5" t="inlineStr">
        <is>
          <t>VB</t>
        </is>
      </c>
      <c r="BA5" t="inlineStr">
        <is>
          <t>31199 Niedersachsen - Diekholzen</t>
        </is>
      </c>
      <c r="BB5" s="5" t="n">
        <v>45567</v>
      </c>
      <c r="BC5" t="inlineStr">
        <is>
          <t>Sold</t>
        </is>
      </c>
      <c r="BD5" s="6">
        <f>HYPERLINK("https://www.kleinanzeigen.de/s-anzeige/gaastra-komplett-rigg-hybrid-6-4/2880371277-230-3143", "Link")</f>
        <v/>
      </c>
      <c r="BE5" s="6">
        <f>HYPERLINK("C:\Projects\Kleinanzeigen-Scraper\offer_images\2880371277", "Link")</f>
        <v/>
      </c>
      <c r="BF5" t="inlineStr">
        <is>
          <t>Reiner</t>
        </is>
      </c>
      <c r="BG5" s="6">
        <f>HYPERLINK("https://www.kleinanzeigen.de/s-bestandsliste.html?userId=7022741", "Link")</f>
        <v/>
      </c>
      <c r="BH5" s="7" t="n">
        <v>45567.75137731482</v>
      </c>
      <c r="BI5" s="3" t="inlineStr">
        <is>
          <t>244.61</t>
        </is>
      </c>
      <c r="BJ5" t="inlineStr">
        <is>
          <t>Köln</t>
        </is>
      </c>
    </row>
    <row r="6">
      <c r="A6" s="2" t="n">
        <v>4.7</v>
      </c>
      <c r="B6" t="inlineStr">
        <is>
          <t>Sailloft Curve</t>
        </is>
      </c>
      <c r="C6" s="3" t="n">
        <v>370</v>
      </c>
      <c r="D6" s="3" t="inlineStr"/>
      <c r="E6" t="inlineStr"/>
      <c r="F6" t="inlineStr"/>
      <c r="G6" t="inlineStr">
        <is>
          <t>used</t>
        </is>
      </c>
      <c r="H6" s="4" t="n">
        <v>389</v>
      </c>
      <c r="I6" t="inlineStr">
        <is>
          <t>VB</t>
        </is>
      </c>
      <c r="J6" t="inlineStr">
        <is>
          <t>19069 Nordwestmecklenburg - Landkreis - Seehof</t>
        </is>
      </c>
      <c r="K6" s="5" t="n">
        <v>45566</v>
      </c>
      <c r="L6" t="inlineStr"/>
      <c r="M6" s="6">
        <f>HYPERLINK("https://www.kleinanzeigen.de/s-anzeige/sailloft-curve-4-7m-mast-unifiber-rdm-c-60-370cm/2879490251-230-25809", "Link")</f>
        <v/>
      </c>
      <c r="N6" s="6">
        <f>HYPERLINK("C:\Projects\Kleinanzeigen-Scraper\offer_images\2879490251", "Link")</f>
        <v/>
      </c>
      <c r="O6" t="inlineStr">
        <is>
          <t>DH36</t>
        </is>
      </c>
      <c r="P6" s="6">
        <f>HYPERLINK("https://www.kleinanzeigen.de/s-bestandsliste.html?userId=142595713", "Link")</f>
        <v/>
      </c>
      <c r="Q6" s="7" t="n">
        <v>45566.73813657407</v>
      </c>
      <c r="R6" s="3" t="inlineStr">
        <is>
          <t>433.23</t>
        </is>
      </c>
      <c r="S6" t="inlineStr">
        <is>
          <t>Köln</t>
        </is>
      </c>
      <c r="T6" t="inlineStr">
        <is>
          <t>Unifiber C 60</t>
        </is>
      </c>
      <c r="U6" s="3" t="n">
        <v>370</v>
      </c>
      <c r="V6" s="8" t="inlineStr"/>
      <c r="W6" t="inlineStr">
        <is>
          <t>RDM</t>
        </is>
      </c>
      <c r="X6" s="4" t="n">
        <v>389</v>
      </c>
      <c r="Y6" t="inlineStr">
        <is>
          <t>VB</t>
        </is>
      </c>
      <c r="Z6" t="inlineStr">
        <is>
          <t>19069 Nordwestmecklenburg - Landkreis - Seehof</t>
        </is>
      </c>
      <c r="AA6" s="5" t="n">
        <v>45566</v>
      </c>
      <c r="AB6" t="inlineStr"/>
      <c r="AC6" s="6">
        <f>HYPERLINK("https://www.kleinanzeigen.de/s-anzeige/sailloft-curve-4-7m-mast-unifiber-rdm-c-60-370cm/2879490251-230-25809", "Link")</f>
        <v/>
      </c>
      <c r="AD6" s="6">
        <f>HYPERLINK("C:\Projects\Kleinanzeigen-Scraper\offer_images\2879490251", "Link")</f>
        <v/>
      </c>
      <c r="AE6" t="inlineStr">
        <is>
          <t>DH36</t>
        </is>
      </c>
      <c r="AF6" s="6">
        <f>HYPERLINK("https://www.kleinanzeigen.de/s-bestandsliste.html?userId=142595713", "Link")</f>
        <v/>
      </c>
      <c r="AG6" s="7" t="n">
        <v>45566.73813657407</v>
      </c>
      <c r="AH6" s="3" t="inlineStr">
        <is>
          <t>433.23</t>
        </is>
      </c>
      <c r="AI6" t="inlineStr">
        <is>
          <t>Köln</t>
        </is>
      </c>
      <c r="AJ6" t="inlineStr"/>
      <c r="AK6" t="inlineStr"/>
      <c r="AL6" t="inlineStr"/>
      <c r="AM6" s="4" t="n">
        <v>389</v>
      </c>
      <c r="AN6" t="inlineStr">
        <is>
          <t>VB</t>
        </is>
      </c>
      <c r="AO6" t="inlineStr">
        <is>
          <t>19069 Nordwestmecklenburg - Landkreis - Seehof</t>
        </is>
      </c>
      <c r="AP6" s="5" t="n">
        <v>45566</v>
      </c>
      <c r="AQ6" t="inlineStr"/>
      <c r="AR6" s="6">
        <f>HYPERLINK("https://www.kleinanzeigen.de/s-anzeige/sailloft-curve-4-7m-mast-unifiber-rdm-c-60-370cm/2879490251-230-25809", "Link")</f>
        <v/>
      </c>
      <c r="AS6" s="6">
        <f>HYPERLINK("C:\Projects\Kleinanzeigen-Scraper\offer_images\2879490251", "Link")</f>
        <v/>
      </c>
      <c r="AT6" t="inlineStr">
        <is>
          <t>DH36</t>
        </is>
      </c>
      <c r="AU6" s="6">
        <f>HYPERLINK("https://www.kleinanzeigen.de/s-bestandsliste.html?userId=142595713", "Link")</f>
        <v/>
      </c>
      <c r="AV6" s="7" t="n">
        <v>45566.73813657407</v>
      </c>
      <c r="AW6" s="3" t="inlineStr">
        <is>
          <t>433.23</t>
        </is>
      </c>
      <c r="AX6" t="inlineStr">
        <is>
          <t>Köln</t>
        </is>
      </c>
      <c r="AY6" s="4" t="n">
        <v>389</v>
      </c>
      <c r="AZ6" t="inlineStr">
        <is>
          <t>VB</t>
        </is>
      </c>
      <c r="BA6" t="inlineStr">
        <is>
          <t>19069 Nordwestmecklenburg - Landkreis - Seehof</t>
        </is>
      </c>
      <c r="BB6" s="5" t="n">
        <v>45566</v>
      </c>
      <c r="BC6" t="inlineStr"/>
      <c r="BD6" s="6">
        <f>HYPERLINK("https://www.kleinanzeigen.de/s-anzeige/sailloft-curve-4-7m-mast-unifiber-rdm-c-60-370cm/2879490251-230-25809", "Link")</f>
        <v/>
      </c>
      <c r="BE6" s="6">
        <f>HYPERLINK("C:\Projects\Kleinanzeigen-Scraper\offer_images\2879490251", "Link")</f>
        <v/>
      </c>
      <c r="BF6" t="inlineStr">
        <is>
          <t>DH36</t>
        </is>
      </c>
      <c r="BG6" s="6">
        <f>HYPERLINK("https://www.kleinanzeigen.de/s-bestandsliste.html?userId=142595713", "Link")</f>
        <v/>
      </c>
      <c r="BH6" s="7" t="n">
        <v>45566.73813657407</v>
      </c>
      <c r="BI6" s="3" t="inlineStr">
        <is>
          <t>433.23</t>
        </is>
      </c>
      <c r="BJ6" t="inlineStr">
        <is>
          <t>Köln</t>
        </is>
      </c>
    </row>
    <row r="7">
      <c r="A7" s="2" t="n">
        <v>8.6</v>
      </c>
      <c r="B7" t="inlineStr">
        <is>
          <t>Severne Overdrive M1</t>
        </is>
      </c>
      <c r="C7" s="3" t="n">
        <v>490</v>
      </c>
      <c r="D7" s="3" t="n">
        <v>216</v>
      </c>
      <c r="E7" t="inlineStr"/>
      <c r="F7" t="inlineStr"/>
      <c r="G7" t="inlineStr">
        <is>
          <t>used, with minor damage</t>
        </is>
      </c>
      <c r="H7" s="4" t="n">
        <v>600</v>
      </c>
      <c r="I7" t="inlineStr">
        <is>
          <t>VB</t>
        </is>
      </c>
      <c r="J7" t="inlineStr">
        <is>
          <t>99734 Nordhausen</t>
        </is>
      </c>
      <c r="K7" s="5" t="n">
        <v>45565</v>
      </c>
      <c r="L7" t="inlineStr"/>
      <c r="M7" s="6">
        <f>HYPERLINK("https://www.dailydose.de/kleinanzeigen/detail.htm?ai=423429&amp;cf=kk&amp;pg=2&amp;ci=5", "Link")</f>
        <v/>
      </c>
      <c r="N7" s="6">
        <f>HYPERLINK("C:\Projects\Kleinanzeigen-Scraper\offer_images\423429", "Link")</f>
        <v/>
      </c>
      <c r="O7" t="inlineStr">
        <is>
          <t>Surfer69</t>
        </is>
      </c>
      <c r="P7" s="6">
        <f>HYPERLINK("https://www.dailydose.de/kleinanzeigen/user/22449", "Link")</f>
        <v/>
      </c>
      <c r="Q7" s="7" t="n">
        <v>45565.74887731481</v>
      </c>
      <c r="R7" s="3" t="inlineStr">
        <is>
          <t>277.51</t>
        </is>
      </c>
      <c r="S7" t="inlineStr">
        <is>
          <t>Köln</t>
        </is>
      </c>
      <c r="T7" t="inlineStr">
        <is>
          <t>Severne 490 SDM BlueLine</t>
        </is>
      </c>
      <c r="U7" s="3" t="n">
        <v>490</v>
      </c>
      <c r="V7" s="8" t="inlineStr"/>
      <c r="W7" t="inlineStr">
        <is>
          <t>SDM</t>
        </is>
      </c>
      <c r="X7" s="4" t="n">
        <v>600</v>
      </c>
      <c r="Y7" t="inlineStr">
        <is>
          <t>VB</t>
        </is>
      </c>
      <c r="Z7" t="inlineStr">
        <is>
          <t>99734 Nordhausen</t>
        </is>
      </c>
      <c r="AA7" s="5" t="n">
        <v>45565</v>
      </c>
      <c r="AB7" t="inlineStr"/>
      <c r="AC7" s="6">
        <f>HYPERLINK("https://www.dailydose.de/kleinanzeigen/detail.htm?ai=423429&amp;cf=kk&amp;pg=2&amp;ci=5", "Link")</f>
        <v/>
      </c>
      <c r="AD7" s="6">
        <f>HYPERLINK("C:\Projects\Kleinanzeigen-Scraper\offer_images\423429", "Link")</f>
        <v/>
      </c>
      <c r="AE7" t="inlineStr">
        <is>
          <t>Surfer69</t>
        </is>
      </c>
      <c r="AF7" s="6">
        <f>HYPERLINK("https://www.dailydose.de/kleinanzeigen/user/22449", "Link")</f>
        <v/>
      </c>
      <c r="AG7" s="7" t="n">
        <v>45565.74887731481</v>
      </c>
      <c r="AH7" s="3" t="inlineStr">
        <is>
          <t>277.51</t>
        </is>
      </c>
      <c r="AI7" t="inlineStr">
        <is>
          <t>Köln</t>
        </is>
      </c>
      <c r="AJ7" t="inlineStr">
        <is>
          <t>NeilPryde X6</t>
        </is>
      </c>
      <c r="AK7" t="inlineStr">
        <is>
          <t>200-250</t>
        </is>
      </c>
      <c r="AL7" t="inlineStr"/>
      <c r="AM7" s="4" t="n">
        <v>600</v>
      </c>
      <c r="AN7" t="inlineStr">
        <is>
          <t>VB</t>
        </is>
      </c>
      <c r="AO7" t="inlineStr">
        <is>
          <t>99734 Nordhausen</t>
        </is>
      </c>
      <c r="AP7" s="5" t="n">
        <v>45565</v>
      </c>
      <c r="AQ7" t="inlineStr"/>
      <c r="AR7" s="6">
        <f>HYPERLINK("https://www.dailydose.de/kleinanzeigen/detail.htm?ai=423429&amp;cf=kk&amp;pg=2&amp;ci=5", "Link")</f>
        <v/>
      </c>
      <c r="AS7" s="6">
        <f>HYPERLINK("C:\Projects\Kleinanzeigen-Scraper\offer_images\423429", "Link")</f>
        <v/>
      </c>
      <c r="AT7" t="inlineStr">
        <is>
          <t>Surfer69</t>
        </is>
      </c>
      <c r="AU7" s="6">
        <f>HYPERLINK("https://www.dailydose.de/kleinanzeigen/user/22449", "Link")</f>
        <v/>
      </c>
      <c r="AV7" s="7" t="n">
        <v>45565.74887731481</v>
      </c>
      <c r="AW7" s="3" t="inlineStr">
        <is>
          <t>277.51</t>
        </is>
      </c>
      <c r="AX7" t="inlineStr">
        <is>
          <t>Köln</t>
        </is>
      </c>
      <c r="AY7" s="4" t="n">
        <v>600</v>
      </c>
      <c r="AZ7" t="inlineStr">
        <is>
          <t>VB</t>
        </is>
      </c>
      <c r="BA7" t="inlineStr">
        <is>
          <t>99734 Nordhausen</t>
        </is>
      </c>
      <c r="BB7" s="5" t="n">
        <v>45565</v>
      </c>
      <c r="BC7" t="inlineStr"/>
      <c r="BD7" s="6">
        <f>HYPERLINK("https://www.dailydose.de/kleinanzeigen/detail.htm?ai=423429&amp;cf=kk&amp;pg=2&amp;ci=5", "Link")</f>
        <v/>
      </c>
      <c r="BE7" s="6">
        <f>HYPERLINK("C:\Projects\Kleinanzeigen-Scraper\offer_images\423429", "Link")</f>
        <v/>
      </c>
      <c r="BF7" t="inlineStr">
        <is>
          <t>Surfer69</t>
        </is>
      </c>
      <c r="BG7" s="6">
        <f>HYPERLINK("https://www.dailydose.de/kleinanzeigen/user/22449", "Link")</f>
        <v/>
      </c>
      <c r="BH7" s="7" t="n">
        <v>45565.74887731481</v>
      </c>
      <c r="BI7" s="3" t="inlineStr">
        <is>
          <t>277.51</t>
        </is>
      </c>
      <c r="BJ7" t="inlineStr">
        <is>
          <t>Köln</t>
        </is>
      </c>
    </row>
    <row r="8">
      <c r="A8" s="2" t="n">
        <v>4.5</v>
      </c>
      <c r="B8" t="inlineStr">
        <is>
          <t>EZZY</t>
        </is>
      </c>
      <c r="C8" s="3" t="n">
        <v>395</v>
      </c>
      <c r="D8" s="3" t="n">
        <v>161</v>
      </c>
      <c r="E8" t="inlineStr">
        <is>
          <t>Wave</t>
        </is>
      </c>
      <c r="F8" t="inlineStr"/>
      <c r="G8" t="inlineStr">
        <is>
          <t>used</t>
        </is>
      </c>
      <c r="H8" s="4" t="n">
        <v>119</v>
      </c>
      <c r="I8" t="inlineStr"/>
      <c r="J8" t="inlineStr">
        <is>
          <t>Versand 45772</t>
        </is>
      </c>
      <c r="K8" s="5" t="n">
        <v>45565</v>
      </c>
      <c r="L8" t="inlineStr">
        <is>
          <t>Sold</t>
        </is>
      </c>
      <c r="M8" s="6">
        <f>HYPERLINK("https://www.dailydose.de/kleinanzeigen/detail.htm?ai=423423&amp;cf=kk&amp;pg=1&amp;ci=5", "Link")</f>
        <v/>
      </c>
      <c r="N8" s="6">
        <f>HYPERLINK("C:\Projects\Kleinanzeigen-Scraper\offer_images\423423", "Link")</f>
        <v/>
      </c>
      <c r="O8" t="inlineStr">
        <is>
          <t>j_20</t>
        </is>
      </c>
      <c r="P8" s="6">
        <f>HYPERLINK("https://www.dailydose.de/kleinanzeigen/user/9702", "Link")</f>
        <v/>
      </c>
      <c r="Q8" s="7" t="n">
        <v>45565.74865740741</v>
      </c>
      <c r="R8" s="3" t="inlineStr">
        <is>
          <t>84.29</t>
        </is>
      </c>
      <c r="S8" t="inlineStr">
        <is>
          <t>Köln</t>
        </is>
      </c>
      <c r="T8" t="inlineStr">
        <is>
          <t>EZZY</t>
        </is>
      </c>
      <c r="U8" s="3" t="n">
        <v>370</v>
      </c>
      <c r="V8" s="8" t="inlineStr">
        <is>
          <t>75%</t>
        </is>
      </c>
      <c r="W8" t="inlineStr"/>
      <c r="X8" s="4" t="n">
        <v>119</v>
      </c>
      <c r="Y8" t="inlineStr"/>
      <c r="Z8" t="inlineStr">
        <is>
          <t>Versand 45772</t>
        </is>
      </c>
      <c r="AA8" s="5" t="n">
        <v>45565</v>
      </c>
      <c r="AB8" t="inlineStr">
        <is>
          <t>Sold</t>
        </is>
      </c>
      <c r="AC8" s="6">
        <f>HYPERLINK("https://www.dailydose.de/kleinanzeigen/detail.htm?ai=423423&amp;cf=kk&amp;pg=1&amp;ci=5", "Link")</f>
        <v/>
      </c>
      <c r="AD8" s="6">
        <f>HYPERLINK("C:\Projects\Kleinanzeigen-Scraper\offer_images\423423", "Link")</f>
        <v/>
      </c>
      <c r="AE8" t="inlineStr">
        <is>
          <t>j_20</t>
        </is>
      </c>
      <c r="AF8" s="6">
        <f>HYPERLINK("https://www.dailydose.de/kleinanzeigen/user/9702", "Link")</f>
        <v/>
      </c>
      <c r="AG8" s="7" t="n">
        <v>45565.74865740741</v>
      </c>
      <c r="AH8" s="3" t="inlineStr">
        <is>
          <t>84.29</t>
        </is>
      </c>
      <c r="AI8" t="inlineStr">
        <is>
          <t>Köln</t>
        </is>
      </c>
      <c r="AJ8" t="inlineStr"/>
      <c r="AK8" t="inlineStr"/>
      <c r="AL8" t="inlineStr"/>
      <c r="AM8" s="4" t="n">
        <v>119</v>
      </c>
      <c r="AN8" t="inlineStr"/>
      <c r="AO8" t="inlineStr">
        <is>
          <t>Versand 45772</t>
        </is>
      </c>
      <c r="AP8" s="5" t="n">
        <v>45565</v>
      </c>
      <c r="AQ8" t="inlineStr">
        <is>
          <t>Sold</t>
        </is>
      </c>
      <c r="AR8" s="6">
        <f>HYPERLINK("https://www.dailydose.de/kleinanzeigen/detail.htm?ai=423423&amp;cf=kk&amp;pg=1&amp;ci=5", "Link")</f>
        <v/>
      </c>
      <c r="AS8" s="6">
        <f>HYPERLINK("C:\Projects\Kleinanzeigen-Scraper\offer_images\423423", "Link")</f>
        <v/>
      </c>
      <c r="AT8" t="inlineStr">
        <is>
          <t>j_20</t>
        </is>
      </c>
      <c r="AU8" s="6">
        <f>HYPERLINK("https://www.dailydose.de/kleinanzeigen/user/9702", "Link")</f>
        <v/>
      </c>
      <c r="AV8" s="7" t="n">
        <v>45565.74865740741</v>
      </c>
      <c r="AW8" s="3" t="inlineStr">
        <is>
          <t>84.29</t>
        </is>
      </c>
      <c r="AX8" t="inlineStr">
        <is>
          <t>Köln</t>
        </is>
      </c>
      <c r="AY8" s="4" t="n">
        <v>119</v>
      </c>
      <c r="AZ8" t="inlineStr"/>
      <c r="BA8" t="inlineStr">
        <is>
          <t>Versand 45772</t>
        </is>
      </c>
      <c r="BB8" s="5" t="n">
        <v>45565</v>
      </c>
      <c r="BC8" t="inlineStr">
        <is>
          <t>Sold</t>
        </is>
      </c>
      <c r="BD8" s="6">
        <f>HYPERLINK("https://www.dailydose.de/kleinanzeigen/detail.htm?ai=423423&amp;cf=kk&amp;pg=1&amp;ci=5", "Link")</f>
        <v/>
      </c>
      <c r="BE8" s="6">
        <f>HYPERLINK("C:\Projects\Kleinanzeigen-Scraper\offer_images\423423", "Link")</f>
        <v/>
      </c>
      <c r="BF8" t="inlineStr">
        <is>
          <t>j_20</t>
        </is>
      </c>
      <c r="BG8" s="6">
        <f>HYPERLINK("https://www.dailydose.de/kleinanzeigen/user/9702", "Link")</f>
        <v/>
      </c>
      <c r="BH8" s="7" t="n">
        <v>45565.74865740741</v>
      </c>
      <c r="BI8" s="3" t="inlineStr">
        <is>
          <t>84.29</t>
        </is>
      </c>
      <c r="BJ8" t="inlineStr">
        <is>
          <t>Köln</t>
        </is>
      </c>
    </row>
    <row r="9">
      <c r="A9" s="2" t="n">
        <v>5</v>
      </c>
      <c r="B9" t="inlineStr"/>
      <c r="C9" s="3" t="n">
        <v>400</v>
      </c>
      <c r="D9" s="3" t="n">
        <v>178</v>
      </c>
      <c r="E9" t="inlineStr">
        <is>
          <t>Freemove/Freeride</t>
        </is>
      </c>
      <c r="F9" t="inlineStr"/>
      <c r="G9" t="inlineStr">
        <is>
          <t>used</t>
        </is>
      </c>
      <c r="H9" s="4" t="n">
        <v>230</v>
      </c>
      <c r="I9" t="inlineStr">
        <is>
          <t>VB</t>
        </is>
      </c>
      <c r="J9" t="inlineStr">
        <is>
          <t>34582 Hessen - Borken</t>
        </is>
      </c>
      <c r="K9" s="5" t="n">
        <v>45565</v>
      </c>
      <c r="L9" t="inlineStr"/>
      <c r="M9" s="6">
        <f>HYPERLINK("https://www.kleinanzeigen.de/s-anzeige/windsurf-rigg-komplet-5-0-vario-segel-gabel-mast-/2878451217-230-4395", "Link")</f>
        <v/>
      </c>
      <c r="N9" s="6">
        <f>HYPERLINK("C:\Projects\Kleinanzeigen-Scraper\offer_images\2878451217", "Link")</f>
        <v/>
      </c>
      <c r="O9" t="inlineStr">
        <is>
          <t>Jos</t>
        </is>
      </c>
      <c r="P9" s="6">
        <f>HYPERLINK("https://www.kleinanzeigen.de/s-bestandsliste.html?userId=10294265", "Link")</f>
        <v/>
      </c>
      <c r="Q9" s="7" t="n">
        <v>45565.74302083333</v>
      </c>
      <c r="R9" s="3" t="inlineStr">
        <is>
          <t>163.36</t>
        </is>
      </c>
      <c r="S9" t="inlineStr">
        <is>
          <t>Köln</t>
        </is>
      </c>
      <c r="T9" t="inlineStr"/>
      <c r="U9" s="3" t="n">
        <v>400</v>
      </c>
      <c r="V9" s="8" t="inlineStr"/>
      <c r="W9" t="inlineStr"/>
      <c r="X9" s="4" t="n">
        <v>230</v>
      </c>
      <c r="Y9" t="inlineStr">
        <is>
          <t>VB</t>
        </is>
      </c>
      <c r="Z9" t="inlineStr">
        <is>
          <t>34582 Hessen - Borken</t>
        </is>
      </c>
      <c r="AA9" s="5" t="n">
        <v>45565</v>
      </c>
      <c r="AB9" t="inlineStr"/>
      <c r="AC9" s="6">
        <f>HYPERLINK("https://www.kleinanzeigen.de/s-anzeige/windsurf-rigg-komplet-5-0-vario-segel-gabel-mast-/2878451217-230-4395", "Link")</f>
        <v/>
      </c>
      <c r="AD9" s="6">
        <f>HYPERLINK("C:\Projects\Kleinanzeigen-Scraper\offer_images\2878451217", "Link")</f>
        <v/>
      </c>
      <c r="AE9" t="inlineStr">
        <is>
          <t>Jos</t>
        </is>
      </c>
      <c r="AF9" s="6">
        <f>HYPERLINK("https://www.kleinanzeigen.de/s-bestandsliste.html?userId=10294265", "Link")</f>
        <v/>
      </c>
      <c r="AG9" s="7" t="n">
        <v>45565.74302083333</v>
      </c>
      <c r="AH9" s="3" t="inlineStr">
        <is>
          <t>163.36</t>
        </is>
      </c>
      <c r="AI9" t="inlineStr">
        <is>
          <t>Köln</t>
        </is>
      </c>
      <c r="AJ9" t="inlineStr"/>
      <c r="AK9" t="inlineStr">
        <is>
          <t>178</t>
        </is>
      </c>
      <c r="AL9" t="inlineStr"/>
      <c r="AM9" s="4" t="n">
        <v>230</v>
      </c>
      <c r="AN9" t="inlineStr">
        <is>
          <t>VB</t>
        </is>
      </c>
      <c r="AO9" t="inlineStr">
        <is>
          <t>34582 Hessen - Borken</t>
        </is>
      </c>
      <c r="AP9" s="5" t="n">
        <v>45565</v>
      </c>
      <c r="AQ9" t="inlineStr"/>
      <c r="AR9" s="6">
        <f>HYPERLINK("https://www.kleinanzeigen.de/s-anzeige/windsurf-rigg-komplet-5-0-vario-segel-gabel-mast-/2878451217-230-4395", "Link")</f>
        <v/>
      </c>
      <c r="AS9" s="6">
        <f>HYPERLINK("C:\Projects\Kleinanzeigen-Scraper\offer_images\2878451217", "Link")</f>
        <v/>
      </c>
      <c r="AT9" t="inlineStr">
        <is>
          <t>Jos</t>
        </is>
      </c>
      <c r="AU9" s="6">
        <f>HYPERLINK("https://www.kleinanzeigen.de/s-bestandsliste.html?userId=10294265", "Link")</f>
        <v/>
      </c>
      <c r="AV9" s="7" t="n">
        <v>45565.74302083333</v>
      </c>
      <c r="AW9" s="3" t="inlineStr">
        <is>
          <t>163.36</t>
        </is>
      </c>
      <c r="AX9" t="inlineStr">
        <is>
          <t>Köln</t>
        </is>
      </c>
      <c r="AY9" s="4" t="n">
        <v>230</v>
      </c>
      <c r="AZ9" t="inlineStr">
        <is>
          <t>VB</t>
        </is>
      </c>
      <c r="BA9" t="inlineStr">
        <is>
          <t>34582 Hessen - Borken</t>
        </is>
      </c>
      <c r="BB9" s="5" t="n">
        <v>45565</v>
      </c>
      <c r="BC9" t="inlineStr"/>
      <c r="BD9" s="6">
        <f>HYPERLINK("https://www.kleinanzeigen.de/s-anzeige/windsurf-rigg-komplet-5-0-vario-segel-gabel-mast-/2878451217-230-4395", "Link")</f>
        <v/>
      </c>
      <c r="BE9" s="6">
        <f>HYPERLINK("C:\Projects\Kleinanzeigen-Scraper\offer_images\2878451217", "Link")</f>
        <v/>
      </c>
      <c r="BF9" t="inlineStr">
        <is>
          <t>Jos</t>
        </is>
      </c>
      <c r="BG9" s="6">
        <f>HYPERLINK("https://www.kleinanzeigen.de/s-bestandsliste.html?userId=10294265", "Link")</f>
        <v/>
      </c>
      <c r="BH9" s="7" t="n">
        <v>45565.74302083333</v>
      </c>
      <c r="BI9" s="3" t="inlineStr">
        <is>
          <t>163.36</t>
        </is>
      </c>
      <c r="BJ9" t="inlineStr">
        <is>
          <t>Köln</t>
        </is>
      </c>
    </row>
    <row r="10">
      <c r="A10" s="2" t="n">
        <v>4.5</v>
      </c>
      <c r="B10" t="inlineStr">
        <is>
          <t>Point7</t>
        </is>
      </c>
      <c r="C10" s="3" t="inlineStr"/>
      <c r="D10" s="3" t="inlineStr"/>
      <c r="E10" t="inlineStr">
        <is>
          <t>Freeride/Free Move</t>
        </is>
      </c>
      <c r="F10" t="inlineStr">
        <is>
          <t>2</t>
        </is>
      </c>
      <c r="G10" t="inlineStr">
        <is>
          <t>used</t>
        </is>
      </c>
      <c r="H10" s="4" t="n">
        <v>255</v>
      </c>
      <c r="I10" t="inlineStr">
        <is>
          <t>VB</t>
        </is>
      </c>
      <c r="J10" t="inlineStr">
        <is>
          <t>34582 Hessen - Borken</t>
        </is>
      </c>
      <c r="K10" s="5" t="n">
        <v>45565</v>
      </c>
      <c r="L10" t="inlineStr"/>
      <c r="M10" s="6">
        <f>HYPERLINK("https://www.kleinanzeigen.de/s-anzeige/windsurf-point7-skool-rigg-rdm4-5er-anfaenger-segel-mast-gabel/2878464884-230-4395", "Link")</f>
        <v/>
      </c>
      <c r="N10" s="6">
        <f>HYPERLINK("C:\Projects\Kleinanzeigen-Scraper\offer_images\2878464884", "Link")</f>
        <v/>
      </c>
      <c r="O10" t="inlineStr">
        <is>
          <t>Jos</t>
        </is>
      </c>
      <c r="P10" s="6">
        <f>HYPERLINK("https://www.kleinanzeigen.de/s-bestandsliste.html?userId=10294265", "Link")</f>
        <v/>
      </c>
      <c r="Q10" s="7" t="n">
        <v>45565.74275462963</v>
      </c>
      <c r="R10" s="3" t="inlineStr">
        <is>
          <t>163.36</t>
        </is>
      </c>
      <c r="S10" t="inlineStr">
        <is>
          <t>Köln</t>
        </is>
      </c>
      <c r="T10" t="inlineStr"/>
      <c r="U10" s="3" t="inlineStr"/>
      <c r="V10" s="8" t="inlineStr"/>
      <c r="W10" t="inlineStr">
        <is>
          <t>RDM</t>
        </is>
      </c>
      <c r="X10" s="4" t="n">
        <v>255</v>
      </c>
      <c r="Y10" t="inlineStr">
        <is>
          <t>VB</t>
        </is>
      </c>
      <c r="Z10" t="inlineStr">
        <is>
          <t>34582 Hessen - Borken</t>
        </is>
      </c>
      <c r="AA10" s="5" t="n">
        <v>45565</v>
      </c>
      <c r="AB10" t="inlineStr"/>
      <c r="AC10" s="6">
        <f>HYPERLINK("https://www.kleinanzeigen.de/s-anzeige/windsurf-point7-skool-rigg-rdm4-5er-anfaenger-segel-mast-gabel/2878464884-230-4395", "Link")</f>
        <v/>
      </c>
      <c r="AD10" s="6">
        <f>HYPERLINK("C:\Projects\Kleinanzeigen-Scraper\offer_images\2878464884", "Link")</f>
        <v/>
      </c>
      <c r="AE10" t="inlineStr">
        <is>
          <t>Jos</t>
        </is>
      </c>
      <c r="AF10" s="6">
        <f>HYPERLINK("https://www.kleinanzeigen.de/s-bestandsliste.html?userId=10294265", "Link")</f>
        <v/>
      </c>
      <c r="AG10" s="7" t="n">
        <v>45565.74275462963</v>
      </c>
      <c r="AH10" s="3" t="inlineStr">
        <is>
          <t>163.36</t>
        </is>
      </c>
      <c r="AI10" t="inlineStr">
        <is>
          <t>Köln</t>
        </is>
      </c>
      <c r="AJ10" t="inlineStr"/>
      <c r="AK10" t="inlineStr"/>
      <c r="AL10" t="inlineStr"/>
      <c r="AM10" s="4" t="n">
        <v>255</v>
      </c>
      <c r="AN10" t="inlineStr">
        <is>
          <t>VB</t>
        </is>
      </c>
      <c r="AO10" t="inlineStr">
        <is>
          <t>34582 Hessen - Borken</t>
        </is>
      </c>
      <c r="AP10" s="5" t="n">
        <v>45565</v>
      </c>
      <c r="AQ10" t="inlineStr"/>
      <c r="AR10" s="6">
        <f>HYPERLINK("https://www.kleinanzeigen.de/s-anzeige/windsurf-point7-skool-rigg-rdm4-5er-anfaenger-segel-mast-gabel/2878464884-230-4395", "Link")</f>
        <v/>
      </c>
      <c r="AS10" s="6">
        <f>HYPERLINK("C:\Projects\Kleinanzeigen-Scraper\offer_images\2878464884", "Link")</f>
        <v/>
      </c>
      <c r="AT10" t="inlineStr">
        <is>
          <t>Jos</t>
        </is>
      </c>
      <c r="AU10" s="6">
        <f>HYPERLINK("https://www.kleinanzeigen.de/s-bestandsliste.html?userId=10294265", "Link")</f>
        <v/>
      </c>
      <c r="AV10" s="7" t="n">
        <v>45565.74275462963</v>
      </c>
      <c r="AW10" s="3" t="inlineStr">
        <is>
          <t>163.36</t>
        </is>
      </c>
      <c r="AX10" t="inlineStr">
        <is>
          <t>Köln</t>
        </is>
      </c>
      <c r="AY10" s="4" t="n">
        <v>255</v>
      </c>
      <c r="AZ10" t="inlineStr">
        <is>
          <t>VB</t>
        </is>
      </c>
      <c r="BA10" t="inlineStr">
        <is>
          <t>34582 Hessen - Borken</t>
        </is>
      </c>
      <c r="BB10" s="5" t="n">
        <v>45565</v>
      </c>
      <c r="BC10" t="inlineStr"/>
      <c r="BD10" s="6">
        <f>HYPERLINK("https://www.kleinanzeigen.de/s-anzeige/windsurf-point7-skool-rigg-rdm4-5er-anfaenger-segel-mast-gabel/2878464884-230-4395", "Link")</f>
        <v/>
      </c>
      <c r="BE10" s="6">
        <f>HYPERLINK("C:\Projects\Kleinanzeigen-Scraper\offer_images\2878464884", "Link")</f>
        <v/>
      </c>
      <c r="BF10" t="inlineStr">
        <is>
          <t>Jos</t>
        </is>
      </c>
      <c r="BG10" s="6">
        <f>HYPERLINK("https://www.kleinanzeigen.de/s-bestandsliste.html?userId=10294265", "Link")</f>
        <v/>
      </c>
      <c r="BH10" s="7" t="n">
        <v>45565.74275462963</v>
      </c>
      <c r="BI10" s="3" t="inlineStr">
        <is>
          <t>163.36</t>
        </is>
      </c>
      <c r="BJ10" t="inlineStr">
        <is>
          <t>Köln</t>
        </is>
      </c>
    </row>
    <row r="11">
      <c r="A11" s="2" t="n">
        <v>8.6</v>
      </c>
      <c r="B11" t="inlineStr">
        <is>
          <t>Severne Overdrive M1</t>
        </is>
      </c>
      <c r="C11" s="3" t="inlineStr"/>
      <c r="D11" s="3" t="inlineStr"/>
      <c r="E11" t="inlineStr"/>
      <c r="F11" t="inlineStr"/>
      <c r="G11" t="inlineStr">
        <is>
          <t>used, with minor damage</t>
        </is>
      </c>
      <c r="H11" s="4" t="n">
        <v>600</v>
      </c>
      <c r="I11" t="inlineStr">
        <is>
          <t>VB</t>
        </is>
      </c>
      <c r="J11" t="inlineStr">
        <is>
          <t>99734 Thüringen - Nordhausen</t>
        </is>
      </c>
      <c r="K11" s="5" t="n">
        <v>45565</v>
      </c>
      <c r="L11" t="inlineStr"/>
      <c r="M11" s="6">
        <f>HYPERLINK("https://www.kleinanzeigen.de/s-anzeige/severne-overdrive-m1-8-6-komplett-rigg/2878645735-230-3582", "Link")</f>
        <v/>
      </c>
      <c r="N11" s="6">
        <f>HYPERLINK("C:\Projects\Kleinanzeigen-Scraper\offer_images\2878645735", "Link")</f>
        <v/>
      </c>
      <c r="O11" t="inlineStr">
        <is>
          <t>Frank</t>
        </is>
      </c>
      <c r="P11" s="6">
        <f>HYPERLINK("https://www.kleinanzeigen.de/s-bestandsliste.html?userId=17066692", "Link")</f>
        <v/>
      </c>
      <c r="Q11" s="7" t="n">
        <v>45565.74184027778</v>
      </c>
      <c r="R11" s="3" t="inlineStr">
        <is>
          <t>277.51</t>
        </is>
      </c>
      <c r="S11" t="inlineStr">
        <is>
          <t>Köln</t>
        </is>
      </c>
      <c r="T11" t="inlineStr">
        <is>
          <t>Severne 490 SDM BlueLine</t>
        </is>
      </c>
      <c r="U11" s="3" t="n">
        <v>490</v>
      </c>
      <c r="V11" s="8" t="inlineStr"/>
      <c r="W11" t="inlineStr">
        <is>
          <t>SDM</t>
        </is>
      </c>
      <c r="X11" s="4" t="n">
        <v>600</v>
      </c>
      <c r="Y11" t="inlineStr">
        <is>
          <t>VB</t>
        </is>
      </c>
      <c r="Z11" t="inlineStr">
        <is>
          <t>99734 Thüringen - Nordhausen</t>
        </is>
      </c>
      <c r="AA11" s="5" t="n">
        <v>45565</v>
      </c>
      <c r="AB11" t="inlineStr"/>
      <c r="AC11" s="6">
        <f>HYPERLINK("https://www.kleinanzeigen.de/s-anzeige/severne-overdrive-m1-8-6-komplett-rigg/2878645735-230-3582", "Link")</f>
        <v/>
      </c>
      <c r="AD11" s="6">
        <f>HYPERLINK("C:\Projects\Kleinanzeigen-Scraper\offer_images\2878645735", "Link")</f>
        <v/>
      </c>
      <c r="AE11" t="inlineStr">
        <is>
          <t>Frank</t>
        </is>
      </c>
      <c r="AF11" s="6">
        <f>HYPERLINK("https://www.kleinanzeigen.de/s-bestandsliste.html?userId=17066692", "Link")</f>
        <v/>
      </c>
      <c r="AG11" s="7" t="n">
        <v>45565.74184027778</v>
      </c>
      <c r="AH11" s="3" t="inlineStr">
        <is>
          <t>277.51</t>
        </is>
      </c>
      <c r="AI11" t="inlineStr">
        <is>
          <t>Köln</t>
        </is>
      </c>
      <c r="AJ11" t="inlineStr">
        <is>
          <t>NeilPryde X6</t>
        </is>
      </c>
      <c r="AK11" t="inlineStr">
        <is>
          <t>200-250</t>
        </is>
      </c>
      <c r="AL11" t="inlineStr"/>
      <c r="AM11" s="4" t="n">
        <v>600</v>
      </c>
      <c r="AN11" t="inlineStr">
        <is>
          <t>VB</t>
        </is>
      </c>
      <c r="AO11" t="inlineStr">
        <is>
          <t>99734 Thüringen - Nordhausen</t>
        </is>
      </c>
      <c r="AP11" s="5" t="n">
        <v>45565</v>
      </c>
      <c r="AQ11" t="inlineStr"/>
      <c r="AR11" s="6">
        <f>HYPERLINK("https://www.kleinanzeigen.de/s-anzeige/severne-overdrive-m1-8-6-komplett-rigg/2878645735-230-3582", "Link")</f>
        <v/>
      </c>
      <c r="AS11" s="6">
        <f>HYPERLINK("C:\Projects\Kleinanzeigen-Scraper\offer_images\2878645735", "Link")</f>
        <v/>
      </c>
      <c r="AT11" t="inlineStr">
        <is>
          <t>Frank</t>
        </is>
      </c>
      <c r="AU11" s="6">
        <f>HYPERLINK("https://www.kleinanzeigen.de/s-bestandsliste.html?userId=17066692", "Link")</f>
        <v/>
      </c>
      <c r="AV11" s="7" t="n">
        <v>45565.74184027778</v>
      </c>
      <c r="AW11" s="3" t="inlineStr">
        <is>
          <t>277.51</t>
        </is>
      </c>
      <c r="AX11" t="inlineStr">
        <is>
          <t>Köln</t>
        </is>
      </c>
      <c r="AY11" s="4" t="n">
        <v>600</v>
      </c>
      <c r="AZ11" t="inlineStr">
        <is>
          <t>VB</t>
        </is>
      </c>
      <c r="BA11" t="inlineStr">
        <is>
          <t>99734 Thüringen - Nordhausen</t>
        </is>
      </c>
      <c r="BB11" s="5" t="n">
        <v>45565</v>
      </c>
      <c r="BC11" t="inlineStr"/>
      <c r="BD11" s="6">
        <f>HYPERLINK("https://www.kleinanzeigen.de/s-anzeige/severne-overdrive-m1-8-6-komplett-rigg/2878645735-230-3582", "Link")</f>
        <v/>
      </c>
      <c r="BE11" s="6">
        <f>HYPERLINK("C:\Projects\Kleinanzeigen-Scraper\offer_images\2878645735", "Link")</f>
        <v/>
      </c>
      <c r="BF11" t="inlineStr">
        <is>
          <t>Frank</t>
        </is>
      </c>
      <c r="BG11" s="6">
        <f>HYPERLINK("https://www.kleinanzeigen.de/s-bestandsliste.html?userId=17066692", "Link")</f>
        <v/>
      </c>
      <c r="BH11" s="7" t="n">
        <v>45565.74184027778</v>
      </c>
      <c r="BI11" s="3" t="inlineStr">
        <is>
          <t>277.51</t>
        </is>
      </c>
      <c r="BJ11" t="inlineStr">
        <is>
          <t>Köln</t>
        </is>
      </c>
    </row>
    <row r="12">
      <c r="A12" s="2" t="n">
        <v>7.2</v>
      </c>
      <c r="B12" t="inlineStr">
        <is>
          <t>Point 7 ACK</t>
        </is>
      </c>
      <c r="C12" s="3" t="inlineStr"/>
      <c r="D12" s="3" t="inlineStr"/>
      <c r="E12" t="inlineStr"/>
      <c r="F12" t="inlineStr"/>
      <c r="G12" t="inlineStr">
        <is>
          <t>used</t>
        </is>
      </c>
      <c r="H12" s="4" t="n">
        <v>400</v>
      </c>
      <c r="I12" t="inlineStr">
        <is>
          <t>VB</t>
        </is>
      </c>
      <c r="J12" t="inlineStr">
        <is>
          <t>90425 Nürnberg (Mittelfr) - Nordstadt</t>
        </is>
      </c>
      <c r="K12" s="5" t="n">
        <v>45565</v>
      </c>
      <c r="L12" t="inlineStr"/>
      <c r="M12" s="6">
        <f>HYPERLINK("https://www.kleinanzeigen.de/s-anzeige/point-7-ack-7-2-mit-passendem-p7-k100-sdm-mast-430/2878479304-230-6830", "Link")</f>
        <v/>
      </c>
      <c r="N12" s="6">
        <f>HYPERLINK("C:\Projects\Kleinanzeigen-Scraper\offer_images\2878479304", "Link")</f>
        <v/>
      </c>
      <c r="O12" t="inlineStr">
        <is>
          <t>Charly</t>
        </is>
      </c>
      <c r="P12" s="6">
        <f>HYPERLINK("https://www.kleinanzeigen.de/s-bestandsliste.html?userId=65898906", "Link")</f>
        <v/>
      </c>
      <c r="Q12" s="7" t="n">
        <v>45565.74141203704</v>
      </c>
      <c r="R12" s="3" t="inlineStr">
        <is>
          <t>153.59</t>
        </is>
      </c>
      <c r="S12" t="inlineStr">
        <is>
          <t>München</t>
        </is>
      </c>
      <c r="T12" t="inlineStr">
        <is>
          <t>Point 7 K100</t>
        </is>
      </c>
      <c r="U12" s="3" t="n">
        <v>430</v>
      </c>
      <c r="V12" s="8" t="inlineStr">
        <is>
          <t>100%</t>
        </is>
      </c>
      <c r="W12" t="inlineStr">
        <is>
          <t>SDM</t>
        </is>
      </c>
      <c r="X12" s="4" t="n">
        <v>400</v>
      </c>
      <c r="Y12" t="inlineStr">
        <is>
          <t>VB</t>
        </is>
      </c>
      <c r="Z12" t="inlineStr">
        <is>
          <t>90425 Nürnberg (Mittelfr) - Nordstadt</t>
        </is>
      </c>
      <c r="AA12" s="5" t="n">
        <v>45565</v>
      </c>
      <c r="AB12" t="inlineStr"/>
      <c r="AC12" s="6">
        <f>HYPERLINK("https://www.kleinanzeigen.de/s-anzeige/point-7-ack-7-2-mit-passendem-p7-k100-sdm-mast-430/2878479304-230-6830", "Link")</f>
        <v/>
      </c>
      <c r="AD12" s="6">
        <f>HYPERLINK("C:\Projects\Kleinanzeigen-Scraper\offer_images\2878479304", "Link")</f>
        <v/>
      </c>
      <c r="AE12" t="inlineStr">
        <is>
          <t>Charly</t>
        </is>
      </c>
      <c r="AF12" s="6">
        <f>HYPERLINK("https://www.kleinanzeigen.de/s-bestandsliste.html?userId=65898906", "Link")</f>
        <v/>
      </c>
      <c r="AG12" s="7" t="n">
        <v>45565.74141203704</v>
      </c>
      <c r="AH12" s="3" t="inlineStr">
        <is>
          <t>153.59</t>
        </is>
      </c>
      <c r="AI12" t="inlineStr">
        <is>
          <t>München</t>
        </is>
      </c>
      <c r="AJ12" t="inlineStr"/>
      <c r="AK12" t="inlineStr"/>
      <c r="AL12" t="inlineStr"/>
      <c r="AM12" s="4" t="n">
        <v>400</v>
      </c>
      <c r="AN12" t="inlineStr">
        <is>
          <t>VB</t>
        </is>
      </c>
      <c r="AO12" t="inlineStr">
        <is>
          <t>90425 Nürnberg (Mittelfr) - Nordstadt</t>
        </is>
      </c>
      <c r="AP12" s="5" t="n">
        <v>45565</v>
      </c>
      <c r="AQ12" t="inlineStr"/>
      <c r="AR12" s="6">
        <f>HYPERLINK("https://www.kleinanzeigen.de/s-anzeige/point-7-ack-7-2-mit-passendem-p7-k100-sdm-mast-430/2878479304-230-6830", "Link")</f>
        <v/>
      </c>
      <c r="AS12" s="6">
        <f>HYPERLINK("C:\Projects\Kleinanzeigen-Scraper\offer_images\2878479304", "Link")</f>
        <v/>
      </c>
      <c r="AT12" t="inlineStr">
        <is>
          <t>Charly</t>
        </is>
      </c>
      <c r="AU12" s="6">
        <f>HYPERLINK("https://www.kleinanzeigen.de/s-bestandsliste.html?userId=65898906", "Link")</f>
        <v/>
      </c>
      <c r="AV12" s="7" t="n">
        <v>45565.74141203704</v>
      </c>
      <c r="AW12" s="3" t="inlineStr">
        <is>
          <t>153.59</t>
        </is>
      </c>
      <c r="AX12" t="inlineStr">
        <is>
          <t>München</t>
        </is>
      </c>
      <c r="AY12" s="4" t="n">
        <v>400</v>
      </c>
      <c r="AZ12" t="inlineStr">
        <is>
          <t>VB</t>
        </is>
      </c>
      <c r="BA12" t="inlineStr">
        <is>
          <t>90425 Nürnberg (Mittelfr) - Nordstadt</t>
        </is>
      </c>
      <c r="BB12" s="5" t="n">
        <v>45565</v>
      </c>
      <c r="BC12" t="inlineStr"/>
      <c r="BD12" s="6">
        <f>HYPERLINK("https://www.kleinanzeigen.de/s-anzeige/point-7-ack-7-2-mit-passendem-p7-k100-sdm-mast-430/2878479304-230-6830", "Link")</f>
        <v/>
      </c>
      <c r="BE12" s="6">
        <f>HYPERLINK("C:\Projects\Kleinanzeigen-Scraper\offer_images\2878479304", "Link")</f>
        <v/>
      </c>
      <c r="BF12" t="inlineStr">
        <is>
          <t>Charly</t>
        </is>
      </c>
      <c r="BG12" s="6">
        <f>HYPERLINK("https://www.kleinanzeigen.de/s-bestandsliste.html?userId=65898906", "Link")</f>
        <v/>
      </c>
      <c r="BH12" s="7" t="n">
        <v>45565.74141203704</v>
      </c>
      <c r="BI12" s="3" t="inlineStr">
        <is>
          <t>153.59</t>
        </is>
      </c>
      <c r="BJ12" t="inlineStr">
        <is>
          <t>München</t>
        </is>
      </c>
    </row>
    <row r="13">
      <c r="A13" s="2" t="n">
        <v>7.5</v>
      </c>
      <c r="B13" t="inlineStr">
        <is>
          <t>GunSails Booster</t>
        </is>
      </c>
      <c r="C13" s="3" t="n">
        <v>489</v>
      </c>
      <c r="D13" s="3" t="n">
        <v>217</v>
      </c>
      <c r="E13" t="inlineStr"/>
      <c r="F13" t="inlineStr"/>
      <c r="G13" t="inlineStr">
        <is>
          <t>used</t>
        </is>
      </c>
      <c r="H13" s="4" t="n">
        <v>210</v>
      </c>
      <c r="I13" t="inlineStr">
        <is>
          <t>VB</t>
        </is>
      </c>
      <c r="J13" t="inlineStr">
        <is>
          <t>13589 Berlin - Spandau</t>
        </is>
      </c>
      <c r="K13" s="5" t="n">
        <v>45564</v>
      </c>
      <c r="L13" t="inlineStr"/>
      <c r="M13" s="6">
        <f>HYPERLINK("https://www.kleinanzeigen.de/s-anzeige/gun-sails-booster-7-5-windsurf-segel-komplett-rigg/2877991102-230-3437", "Link")</f>
        <v/>
      </c>
      <c r="N13" s="6">
        <f>HYPERLINK("C:\Projects\Kleinanzeigen-Scraper\offer_images\2877991102", "Link")</f>
        <v/>
      </c>
      <c r="O13" t="inlineStr">
        <is>
          <t>MS</t>
        </is>
      </c>
      <c r="P13" s="6">
        <f>HYPERLINK("https://www.kleinanzeigen.de/s-bestandsliste.html?userId=5103590", "Link")</f>
        <v/>
      </c>
      <c r="Q13" s="7" t="n">
        <v>45565.74120370371</v>
      </c>
      <c r="R13" s="3" t="inlineStr">
        <is>
          <t>463.63</t>
        </is>
      </c>
      <c r="S13" t="inlineStr">
        <is>
          <t>Köln</t>
        </is>
      </c>
      <c r="T13" t="inlineStr">
        <is>
          <t>GunSails</t>
        </is>
      </c>
      <c r="U13" s="3" t="n">
        <v>490</v>
      </c>
      <c r="V13" s="8" t="inlineStr">
        <is>
          <t>55%</t>
        </is>
      </c>
      <c r="W13" t="inlineStr"/>
      <c r="X13" s="4" t="n">
        <v>210</v>
      </c>
      <c r="Y13" t="inlineStr">
        <is>
          <t>VB</t>
        </is>
      </c>
      <c r="Z13" t="inlineStr">
        <is>
          <t>13589 Berlin - Spandau</t>
        </is>
      </c>
      <c r="AA13" s="5" t="n">
        <v>45564</v>
      </c>
      <c r="AB13" t="inlineStr"/>
      <c r="AC13" s="6">
        <f>HYPERLINK("https://www.kleinanzeigen.de/s-anzeige/gun-sails-booster-7-5-windsurf-segel-komplett-rigg/2877991102-230-3437", "Link")</f>
        <v/>
      </c>
      <c r="AD13" s="6">
        <f>HYPERLINK("C:\Projects\Kleinanzeigen-Scraper\offer_images\2877991102", "Link")</f>
        <v/>
      </c>
      <c r="AE13" t="inlineStr">
        <is>
          <t>MS</t>
        </is>
      </c>
      <c r="AF13" s="6">
        <f>HYPERLINK("https://www.kleinanzeigen.de/s-bestandsliste.html?userId=5103590", "Link")</f>
        <v/>
      </c>
      <c r="AG13" s="7" t="n">
        <v>45565.74120370371</v>
      </c>
      <c r="AH13" s="3" t="inlineStr">
        <is>
          <t>463.63</t>
        </is>
      </c>
      <c r="AI13" t="inlineStr">
        <is>
          <t>Köln</t>
        </is>
      </c>
      <c r="AJ13" t="inlineStr">
        <is>
          <t>NorthSails</t>
        </is>
      </c>
      <c r="AK13" t="inlineStr"/>
      <c r="AL13" t="inlineStr"/>
      <c r="AM13" s="4" t="n">
        <v>210</v>
      </c>
      <c r="AN13" t="inlineStr">
        <is>
          <t>VB</t>
        </is>
      </c>
      <c r="AO13" t="inlineStr">
        <is>
          <t>13589 Berlin - Spandau</t>
        </is>
      </c>
      <c r="AP13" s="5" t="n">
        <v>45564</v>
      </c>
      <c r="AQ13" t="inlineStr"/>
      <c r="AR13" s="6">
        <f>HYPERLINK("https://www.kleinanzeigen.de/s-anzeige/gun-sails-booster-7-5-windsurf-segel-komplett-rigg/2877991102-230-3437", "Link")</f>
        <v/>
      </c>
      <c r="AS13" s="6">
        <f>HYPERLINK("C:\Projects\Kleinanzeigen-Scraper\offer_images\2877991102", "Link")</f>
        <v/>
      </c>
      <c r="AT13" t="inlineStr">
        <is>
          <t>MS</t>
        </is>
      </c>
      <c r="AU13" s="6">
        <f>HYPERLINK("https://www.kleinanzeigen.de/s-bestandsliste.html?userId=5103590", "Link")</f>
        <v/>
      </c>
      <c r="AV13" s="7" t="n">
        <v>45565.74120370371</v>
      </c>
      <c r="AW13" s="3" t="inlineStr">
        <is>
          <t>463.63</t>
        </is>
      </c>
      <c r="AX13" t="inlineStr">
        <is>
          <t>Köln</t>
        </is>
      </c>
      <c r="AY13" s="4" t="n">
        <v>210</v>
      </c>
      <c r="AZ13" t="inlineStr">
        <is>
          <t>VB</t>
        </is>
      </c>
      <c r="BA13" t="inlineStr">
        <is>
          <t>13589 Berlin - Spandau</t>
        </is>
      </c>
      <c r="BB13" s="5" t="n">
        <v>45564</v>
      </c>
      <c r="BC13" t="inlineStr"/>
      <c r="BD13" s="6">
        <f>HYPERLINK("https://www.kleinanzeigen.de/s-anzeige/gun-sails-booster-7-5-windsurf-segel-komplett-rigg/2877991102-230-3437", "Link")</f>
        <v/>
      </c>
      <c r="BE13" s="6">
        <f>HYPERLINK("C:\Projects\Kleinanzeigen-Scraper\offer_images\2877991102", "Link")</f>
        <v/>
      </c>
      <c r="BF13" t="inlineStr">
        <is>
          <t>MS</t>
        </is>
      </c>
      <c r="BG13" s="6">
        <f>HYPERLINK("https://www.kleinanzeigen.de/s-bestandsliste.html?userId=5103590", "Link")</f>
        <v/>
      </c>
      <c r="BH13" s="7" t="n">
        <v>45565.74120370371</v>
      </c>
      <c r="BI13" s="3" t="inlineStr">
        <is>
          <t>463.63</t>
        </is>
      </c>
      <c r="BJ13" t="inlineStr">
        <is>
          <t>Köln</t>
        </is>
      </c>
    </row>
    <row r="14">
      <c r="A14" s="2" t="n">
        <v>6.5</v>
      </c>
      <c r="B14" t="inlineStr">
        <is>
          <t>Fanatic</t>
        </is>
      </c>
      <c r="C14" s="3" t="n">
        <v>468</v>
      </c>
      <c r="D14" s="3" t="n">
        <v>195</v>
      </c>
      <c r="E14" t="inlineStr"/>
      <c r="F14" t="inlineStr"/>
      <c r="G14" t="inlineStr">
        <is>
          <t>used</t>
        </is>
      </c>
      <c r="H14" s="4" t="n">
        <v>300</v>
      </c>
      <c r="I14" t="inlineStr">
        <is>
          <t>VB</t>
        </is>
      </c>
      <c r="J14" t="inlineStr">
        <is>
          <t>29410 Salzwedel</t>
        </is>
      </c>
      <c r="K14" s="5" t="n">
        <v>45564</v>
      </c>
      <c r="L14" t="inlineStr"/>
      <c r="M14" s="6">
        <f>HYPERLINK("https://www.dailydose.de/kleinanzeigen/detail.htm?ai=423363&amp;cf=kk&amp;pg=3&amp;ci=5", "Link")</f>
        <v/>
      </c>
      <c r="N14" s="6">
        <f>HYPERLINK("C:\Projects\Kleinanzeigen-Scraper\offer_images\423363", "Link")</f>
        <v/>
      </c>
      <c r="O14" t="inlineStr">
        <is>
          <t>Robert_120</t>
        </is>
      </c>
      <c r="P14" s="6">
        <f>HYPERLINK("https://www.dailydose.de/kleinanzeigen/user/20152", "Link")</f>
        <v/>
      </c>
      <c r="Q14" s="7" t="n">
        <v>45564.87342592593</v>
      </c>
      <c r="R14" s="3" t="inlineStr">
        <is>
          <t>359.91</t>
        </is>
      </c>
      <c r="S14" t="inlineStr">
        <is>
          <t>Köln</t>
        </is>
      </c>
      <c r="T14" t="inlineStr">
        <is>
          <t>Fanatic</t>
        </is>
      </c>
      <c r="U14" s="3" t="n">
        <v>460</v>
      </c>
      <c r="V14" s="8" t="inlineStr"/>
      <c r="W14" t="inlineStr">
        <is>
          <t>SDM</t>
        </is>
      </c>
      <c r="X14" s="4" t="n">
        <v>300</v>
      </c>
      <c r="Y14" t="inlineStr">
        <is>
          <t>VB</t>
        </is>
      </c>
      <c r="Z14" t="inlineStr">
        <is>
          <t>29410 Salzwedel</t>
        </is>
      </c>
      <c r="AA14" s="5" t="n">
        <v>45564</v>
      </c>
      <c r="AB14" t="inlineStr"/>
      <c r="AC14" s="6">
        <f>HYPERLINK("https://www.dailydose.de/kleinanzeigen/detail.htm?ai=423363&amp;cf=kk&amp;pg=3&amp;ci=5", "Link")</f>
        <v/>
      </c>
      <c r="AD14" s="6">
        <f>HYPERLINK("C:\Projects\Kleinanzeigen-Scraper\offer_images\423363", "Link")</f>
        <v/>
      </c>
      <c r="AE14" t="inlineStr">
        <is>
          <t>Robert_120</t>
        </is>
      </c>
      <c r="AF14" s="6">
        <f>HYPERLINK("https://www.dailydose.de/kleinanzeigen/user/20152", "Link")</f>
        <v/>
      </c>
      <c r="AG14" s="7" t="n">
        <v>45564.87342592593</v>
      </c>
      <c r="AH14" s="3" t="inlineStr">
        <is>
          <t>359.91</t>
        </is>
      </c>
      <c r="AI14" t="inlineStr">
        <is>
          <t>Köln</t>
        </is>
      </c>
      <c r="AJ14" t="inlineStr"/>
      <c r="AK14" t="inlineStr"/>
      <c r="AL14" t="inlineStr"/>
      <c r="AM14" s="4" t="n">
        <v>300</v>
      </c>
      <c r="AN14" t="inlineStr">
        <is>
          <t>VB</t>
        </is>
      </c>
      <c r="AO14" t="inlineStr">
        <is>
          <t>29410 Salzwedel</t>
        </is>
      </c>
      <c r="AP14" s="5" t="n">
        <v>45564</v>
      </c>
      <c r="AQ14" t="inlineStr"/>
      <c r="AR14" s="6">
        <f>HYPERLINK("https://www.dailydose.de/kleinanzeigen/detail.htm?ai=423363&amp;cf=kk&amp;pg=3&amp;ci=5", "Link")</f>
        <v/>
      </c>
      <c r="AS14" s="6">
        <f>HYPERLINK("C:\Projects\Kleinanzeigen-Scraper\offer_images\423363", "Link")</f>
        <v/>
      </c>
      <c r="AT14" t="inlineStr">
        <is>
          <t>Robert_120</t>
        </is>
      </c>
      <c r="AU14" s="6">
        <f>HYPERLINK("https://www.dailydose.de/kleinanzeigen/user/20152", "Link")</f>
        <v/>
      </c>
      <c r="AV14" s="7" t="n">
        <v>45564.87342592593</v>
      </c>
      <c r="AW14" s="3" t="inlineStr">
        <is>
          <t>359.91</t>
        </is>
      </c>
      <c r="AX14" t="inlineStr">
        <is>
          <t>Köln</t>
        </is>
      </c>
      <c r="AY14" s="4" t="n">
        <v>300</v>
      </c>
      <c r="AZ14" t="inlineStr">
        <is>
          <t>VB</t>
        </is>
      </c>
      <c r="BA14" t="inlineStr">
        <is>
          <t>29410 Salzwedel</t>
        </is>
      </c>
      <c r="BB14" s="5" t="n">
        <v>45564</v>
      </c>
      <c r="BC14" t="inlineStr"/>
      <c r="BD14" s="6">
        <f>HYPERLINK("https://www.dailydose.de/kleinanzeigen/detail.htm?ai=423363&amp;cf=kk&amp;pg=3&amp;ci=5", "Link")</f>
        <v/>
      </c>
      <c r="BE14" s="6">
        <f>HYPERLINK("C:\Projects\Kleinanzeigen-Scraper\offer_images\423363", "Link")</f>
        <v/>
      </c>
      <c r="BF14" t="inlineStr">
        <is>
          <t>Robert_120</t>
        </is>
      </c>
      <c r="BG14" s="6">
        <f>HYPERLINK("https://www.dailydose.de/kleinanzeigen/user/20152", "Link")</f>
        <v/>
      </c>
      <c r="BH14" s="7" t="n">
        <v>45564.87342592593</v>
      </c>
      <c r="BI14" s="3" t="inlineStr">
        <is>
          <t>359.91</t>
        </is>
      </c>
      <c r="BJ14" t="inlineStr">
        <is>
          <t>Köln</t>
        </is>
      </c>
    </row>
    <row r="15">
      <c r="A15" s="2" t="n">
        <v>4.9</v>
      </c>
      <c r="B15" t="inlineStr">
        <is>
          <t>S2 Maui Dragon</t>
        </is>
      </c>
      <c r="C15" s="3" t="inlineStr"/>
      <c r="D15" s="3" t="inlineStr"/>
      <c r="E15" t="inlineStr"/>
      <c r="F15" t="inlineStr">
        <is>
          <t>2024</t>
        </is>
      </c>
      <c r="G15" t="inlineStr">
        <is>
          <t>very good</t>
        </is>
      </c>
      <c r="H15" s="4" t="n">
        <v>550</v>
      </c>
      <c r="I15" t="inlineStr"/>
      <c r="J15" t="inlineStr">
        <is>
          <t>22453 Hamburg</t>
        </is>
      </c>
      <c r="K15" s="5" t="n">
        <v>45564</v>
      </c>
      <c r="L15" t="inlineStr"/>
      <c r="M15" s="6">
        <f>HYPERLINK("https://www.dailydose.de/kleinanzeigen/detail.htm?ai=423326&amp;cf=kk&amp;pg=3&amp;ci=5", "Link")</f>
        <v/>
      </c>
      <c r="N15" s="6">
        <f>HYPERLINK("C:\Projects\Kleinanzeigen-Scraper\offer_images\423326", "Link")</f>
        <v/>
      </c>
      <c r="O15" t="inlineStr">
        <is>
          <t>DiHart</t>
        </is>
      </c>
      <c r="P15" s="6">
        <f>HYPERLINK("https://www.dailydose.de/kleinanzeigen/user/7066", "Link")</f>
        <v/>
      </c>
      <c r="Q15" s="7" t="n">
        <v>45564.87322916667</v>
      </c>
      <c r="R15" s="3" t="inlineStr">
        <is>
          <t>361.03</t>
        </is>
      </c>
      <c r="S15" t="inlineStr">
        <is>
          <t>Köln</t>
        </is>
      </c>
      <c r="T15" t="inlineStr">
        <is>
          <t>NorthShore</t>
        </is>
      </c>
      <c r="U15" s="3" t="inlineStr"/>
      <c r="V15" s="8" t="inlineStr"/>
      <c r="W15" t="inlineStr"/>
      <c r="X15" s="4" t="n">
        <v>550</v>
      </c>
      <c r="Y15" t="inlineStr"/>
      <c r="Z15" t="inlineStr">
        <is>
          <t>22453 Hamburg</t>
        </is>
      </c>
      <c r="AA15" s="5" t="n">
        <v>45564</v>
      </c>
      <c r="AB15" t="inlineStr"/>
      <c r="AC15" s="6">
        <f>HYPERLINK("https://www.dailydose.de/kleinanzeigen/detail.htm?ai=423326&amp;cf=kk&amp;pg=3&amp;ci=5", "Link")</f>
        <v/>
      </c>
      <c r="AD15" s="6">
        <f>HYPERLINK("C:\Projects\Kleinanzeigen-Scraper\offer_images\423326", "Link")</f>
        <v/>
      </c>
      <c r="AE15" t="inlineStr">
        <is>
          <t>DiHart</t>
        </is>
      </c>
      <c r="AF15" s="6">
        <f>HYPERLINK("https://www.dailydose.de/kleinanzeigen/user/7066", "Link")</f>
        <v/>
      </c>
      <c r="AG15" s="7" t="n">
        <v>45564.87322916667</v>
      </c>
      <c r="AH15" s="3" t="inlineStr">
        <is>
          <t>361.03</t>
        </is>
      </c>
      <c r="AI15" t="inlineStr">
        <is>
          <t>Köln</t>
        </is>
      </c>
      <c r="AJ15" t="inlineStr"/>
      <c r="AK15" t="inlineStr"/>
      <c r="AL15" t="inlineStr"/>
      <c r="AM15" s="4" t="n">
        <v>550</v>
      </c>
      <c r="AN15" t="inlineStr"/>
      <c r="AO15" t="inlineStr">
        <is>
          <t>22453 Hamburg</t>
        </is>
      </c>
      <c r="AP15" s="5" t="n">
        <v>45564</v>
      </c>
      <c r="AQ15" t="inlineStr"/>
      <c r="AR15" s="6">
        <f>HYPERLINK("https://www.dailydose.de/kleinanzeigen/detail.htm?ai=423326&amp;cf=kk&amp;pg=3&amp;ci=5", "Link")</f>
        <v/>
      </c>
      <c r="AS15" s="6">
        <f>HYPERLINK("C:\Projects\Kleinanzeigen-Scraper\offer_images\423326", "Link")</f>
        <v/>
      </c>
      <c r="AT15" t="inlineStr">
        <is>
          <t>DiHart</t>
        </is>
      </c>
      <c r="AU15" s="6">
        <f>HYPERLINK("https://www.dailydose.de/kleinanzeigen/user/7066", "Link")</f>
        <v/>
      </c>
      <c r="AV15" s="7" t="n">
        <v>45564.87322916667</v>
      </c>
      <c r="AW15" s="3" t="inlineStr">
        <is>
          <t>361.03</t>
        </is>
      </c>
      <c r="AX15" t="inlineStr">
        <is>
          <t>Köln</t>
        </is>
      </c>
      <c r="AY15" s="4" t="n">
        <v>550</v>
      </c>
      <c r="AZ15" t="inlineStr"/>
      <c r="BA15" t="inlineStr">
        <is>
          <t>22453 Hamburg</t>
        </is>
      </c>
      <c r="BB15" s="5" t="n">
        <v>45564</v>
      </c>
      <c r="BC15" t="inlineStr"/>
      <c r="BD15" s="6">
        <f>HYPERLINK("https://www.dailydose.de/kleinanzeigen/detail.htm?ai=423326&amp;cf=kk&amp;pg=3&amp;ci=5", "Link")</f>
        <v/>
      </c>
      <c r="BE15" s="6">
        <f>HYPERLINK("C:\Projects\Kleinanzeigen-Scraper\offer_images\423326", "Link")</f>
        <v/>
      </c>
      <c r="BF15" t="inlineStr">
        <is>
          <t>DiHart</t>
        </is>
      </c>
      <c r="BG15" s="6">
        <f>HYPERLINK("https://www.dailydose.de/kleinanzeigen/user/7066", "Link")</f>
        <v/>
      </c>
      <c r="BH15" s="7" t="n">
        <v>45564.87322916667</v>
      </c>
      <c r="BI15" s="3" t="inlineStr">
        <is>
          <t>361.03</t>
        </is>
      </c>
      <c r="BJ15" t="inlineStr">
        <is>
          <t>Köln</t>
        </is>
      </c>
    </row>
    <row r="16">
      <c r="A16" s="2" t="n">
        <v>7</v>
      </c>
      <c r="B16" t="inlineStr">
        <is>
          <t>Neil Pryde Solar</t>
        </is>
      </c>
      <c r="C16" s="3" t="inlineStr"/>
      <c r="D16" s="3" t="inlineStr"/>
      <c r="E16" t="inlineStr"/>
      <c r="F16" t="inlineStr"/>
      <c r="G16" t="inlineStr">
        <is>
          <t>used</t>
        </is>
      </c>
      <c r="H16" s="4" t="n">
        <v>500</v>
      </c>
      <c r="I16" t="inlineStr">
        <is>
          <t>VB</t>
        </is>
      </c>
      <c r="J16" t="inlineStr">
        <is>
          <t>82362 Bayern - Weilheim</t>
        </is>
      </c>
      <c r="K16" s="5" t="n">
        <v>45512</v>
      </c>
      <c r="L16" t="inlineStr">
        <is>
          <t>Sold</t>
        </is>
      </c>
      <c r="M16" s="6">
        <f>HYPERLINK("https://www.kleinanzeigen.de/s-anzeige/neilpryde-komplettrigg-segel-solar-7-0-gabel-mast-powerxt/2832297651-230-5562", "Link")</f>
        <v/>
      </c>
      <c r="N16" s="6">
        <f>HYPERLINK("C:\Projects\Kleinanzeigen-Scraper\offer_images\2832297651", "Link")</f>
        <v/>
      </c>
      <c r="O16" t="inlineStr">
        <is>
          <t>Privat</t>
        </is>
      </c>
      <c r="P16" s="6">
        <f>HYPERLINK("https://www.kleinanzeigen.de/s-bestandsliste.html?userId=35397014", "Link")</f>
        <v/>
      </c>
      <c r="Q16" s="7" t="n">
        <v>45564.87175925926</v>
      </c>
      <c r="R16" s="3" t="inlineStr">
        <is>
          <t>44.78</t>
        </is>
      </c>
      <c r="S16" t="inlineStr">
        <is>
          <t>München</t>
        </is>
      </c>
      <c r="T16" t="inlineStr">
        <is>
          <t>Neil Pryde X6</t>
        </is>
      </c>
      <c r="U16" s="3" t="inlineStr"/>
      <c r="V16" s="8" t="inlineStr"/>
      <c r="W16" t="inlineStr"/>
      <c r="X16" s="4" t="n">
        <v>500</v>
      </c>
      <c r="Y16" t="inlineStr">
        <is>
          <t>VB</t>
        </is>
      </c>
      <c r="Z16" t="inlineStr">
        <is>
          <t>82362 Bayern - Weilheim</t>
        </is>
      </c>
      <c r="AA16" s="5" t="n">
        <v>45512</v>
      </c>
      <c r="AB16" t="inlineStr">
        <is>
          <t>Sold</t>
        </is>
      </c>
      <c r="AC16" s="6">
        <f>HYPERLINK("https://www.kleinanzeigen.de/s-anzeige/neilpryde-komplettrigg-segel-solar-7-0-gabel-mast-powerxt/2832297651-230-5562", "Link")</f>
        <v/>
      </c>
      <c r="AD16" s="6">
        <f>HYPERLINK("C:\Projects\Kleinanzeigen-Scraper\offer_images\2832297651", "Link")</f>
        <v/>
      </c>
      <c r="AE16" t="inlineStr">
        <is>
          <t>Privat</t>
        </is>
      </c>
      <c r="AF16" s="6">
        <f>HYPERLINK("https://www.kleinanzeigen.de/s-bestandsliste.html?userId=35397014", "Link")</f>
        <v/>
      </c>
      <c r="AG16" s="7" t="n">
        <v>45564.87175925926</v>
      </c>
      <c r="AH16" s="3" t="inlineStr">
        <is>
          <t>44.78</t>
        </is>
      </c>
      <c r="AI16" t="inlineStr">
        <is>
          <t>München</t>
        </is>
      </c>
      <c r="AJ16" t="inlineStr">
        <is>
          <t>Neil Pryde X6</t>
        </is>
      </c>
      <c r="AK16" t="inlineStr"/>
      <c r="AL16" t="inlineStr"/>
      <c r="AM16" s="4" t="n">
        <v>500</v>
      </c>
      <c r="AN16" t="inlineStr">
        <is>
          <t>VB</t>
        </is>
      </c>
      <c r="AO16" t="inlineStr">
        <is>
          <t>82362 Bayern - Weilheim</t>
        </is>
      </c>
      <c r="AP16" s="5" t="n">
        <v>45512</v>
      </c>
      <c r="AQ16" t="inlineStr">
        <is>
          <t>Sold</t>
        </is>
      </c>
      <c r="AR16" s="6">
        <f>HYPERLINK("https://www.kleinanzeigen.de/s-anzeige/neilpryde-komplettrigg-segel-solar-7-0-gabel-mast-powerxt/2832297651-230-5562", "Link")</f>
        <v/>
      </c>
      <c r="AS16" s="6">
        <f>HYPERLINK("C:\Projects\Kleinanzeigen-Scraper\offer_images\2832297651", "Link")</f>
        <v/>
      </c>
      <c r="AT16" t="inlineStr">
        <is>
          <t>Privat</t>
        </is>
      </c>
      <c r="AU16" s="6">
        <f>HYPERLINK("https://www.kleinanzeigen.de/s-bestandsliste.html?userId=35397014", "Link")</f>
        <v/>
      </c>
      <c r="AV16" s="7" t="n">
        <v>45564.87175925926</v>
      </c>
      <c r="AW16" s="3" t="inlineStr">
        <is>
          <t>44.78</t>
        </is>
      </c>
      <c r="AX16" t="inlineStr">
        <is>
          <t>München</t>
        </is>
      </c>
      <c r="AY16" s="4" t="n">
        <v>500</v>
      </c>
      <c r="AZ16" t="inlineStr">
        <is>
          <t>VB</t>
        </is>
      </c>
      <c r="BA16" t="inlineStr">
        <is>
          <t>82362 Bayern - Weilheim</t>
        </is>
      </c>
      <c r="BB16" s="5" t="n">
        <v>45512</v>
      </c>
      <c r="BC16" t="inlineStr">
        <is>
          <t>Sold</t>
        </is>
      </c>
      <c r="BD16" s="6">
        <f>HYPERLINK("https://www.kleinanzeigen.de/s-anzeige/neilpryde-komplettrigg-segel-solar-7-0-gabel-mast-powerxt/2832297651-230-5562", "Link")</f>
        <v/>
      </c>
      <c r="BE16" s="6">
        <f>HYPERLINK("C:\Projects\Kleinanzeigen-Scraper\offer_images\2832297651", "Link")</f>
        <v/>
      </c>
      <c r="BF16" t="inlineStr">
        <is>
          <t>Privat</t>
        </is>
      </c>
      <c r="BG16" s="6">
        <f>HYPERLINK("https://www.kleinanzeigen.de/s-bestandsliste.html?userId=35397014", "Link")</f>
        <v/>
      </c>
      <c r="BH16" s="7" t="n">
        <v>45564.87175925926</v>
      </c>
      <c r="BI16" s="3" t="inlineStr">
        <is>
          <t>44.78</t>
        </is>
      </c>
      <c r="BJ16" t="inlineStr">
        <is>
          <t>München</t>
        </is>
      </c>
    </row>
    <row r="17">
      <c r="A17" s="2" t="n">
        <v>5.4</v>
      </c>
      <c r="B17" t="inlineStr">
        <is>
          <t>Neil Pryde Excess</t>
        </is>
      </c>
      <c r="C17" s="3" t="inlineStr"/>
      <c r="D17" s="3" t="inlineStr"/>
      <c r="E17" t="inlineStr"/>
      <c r="F17" t="inlineStr"/>
      <c r="G17" t="inlineStr">
        <is>
          <t>used</t>
        </is>
      </c>
      <c r="H17" s="4" t="n">
        <v>500</v>
      </c>
      <c r="I17" t="inlineStr">
        <is>
          <t>VB</t>
        </is>
      </c>
      <c r="J17" t="inlineStr">
        <is>
          <t>82362 Bayern - Weilheim</t>
        </is>
      </c>
      <c r="K17" s="5" t="n">
        <v>45512</v>
      </c>
      <c r="L17" t="inlineStr">
        <is>
          <t>Sold</t>
        </is>
      </c>
      <c r="M17" s="6">
        <f>HYPERLINK("https://www.kleinanzeigen.de/s-anzeige/neilpryde-komplettrigg-segel-excess-5-4-gabel-mast-powerxt/2832301709-230-5562", "Link")</f>
        <v/>
      </c>
      <c r="N17" s="6">
        <f>HYPERLINK("C:\Projects\Kleinanzeigen-Scraper\offer_images\2832301709", "Link")</f>
        <v/>
      </c>
      <c r="O17" t="inlineStr">
        <is>
          <t>Privat</t>
        </is>
      </c>
      <c r="P17" s="6">
        <f>HYPERLINK("https://www.kleinanzeigen.de/s-bestandsliste.html?userId=35397014", "Link")</f>
        <v/>
      </c>
      <c r="Q17" s="7" t="n">
        <v>45564.86864583333</v>
      </c>
      <c r="R17" s="3" t="inlineStr">
        <is>
          <t>44.78</t>
        </is>
      </c>
      <c r="S17" t="inlineStr">
        <is>
          <t>München</t>
        </is>
      </c>
      <c r="T17" t="inlineStr">
        <is>
          <t>Neil Pryde</t>
        </is>
      </c>
      <c r="U17" s="3" t="inlineStr"/>
      <c r="V17" s="8" t="inlineStr"/>
      <c r="W17" t="inlineStr"/>
      <c r="X17" s="4" t="n">
        <v>500</v>
      </c>
      <c r="Y17" t="inlineStr">
        <is>
          <t>VB</t>
        </is>
      </c>
      <c r="Z17" t="inlineStr">
        <is>
          <t>82362 Bayern - Weilheim</t>
        </is>
      </c>
      <c r="AA17" s="5" t="n">
        <v>45512</v>
      </c>
      <c r="AB17" t="inlineStr">
        <is>
          <t>Sold</t>
        </is>
      </c>
      <c r="AC17" s="6">
        <f>HYPERLINK("https://www.kleinanzeigen.de/s-anzeige/neilpryde-komplettrigg-segel-excess-5-4-gabel-mast-powerxt/2832301709-230-5562", "Link")</f>
        <v/>
      </c>
      <c r="AD17" s="6">
        <f>HYPERLINK("C:\Projects\Kleinanzeigen-Scraper\offer_images\2832301709", "Link")</f>
        <v/>
      </c>
      <c r="AE17" t="inlineStr">
        <is>
          <t>Privat</t>
        </is>
      </c>
      <c r="AF17" s="6">
        <f>HYPERLINK("https://www.kleinanzeigen.de/s-bestandsliste.html?userId=35397014", "Link")</f>
        <v/>
      </c>
      <c r="AG17" s="7" t="n">
        <v>45564.86864583333</v>
      </c>
      <c r="AH17" s="3" t="inlineStr">
        <is>
          <t>44.78</t>
        </is>
      </c>
      <c r="AI17" t="inlineStr">
        <is>
          <t>München</t>
        </is>
      </c>
      <c r="AJ17" t="inlineStr">
        <is>
          <t>Neil Pryde</t>
        </is>
      </c>
      <c r="AK17" t="inlineStr"/>
      <c r="AL17" t="inlineStr"/>
      <c r="AM17" s="4" t="n">
        <v>500</v>
      </c>
      <c r="AN17" t="inlineStr">
        <is>
          <t>VB</t>
        </is>
      </c>
      <c r="AO17" t="inlineStr">
        <is>
          <t>82362 Bayern - Weilheim</t>
        </is>
      </c>
      <c r="AP17" s="5" t="n">
        <v>45512</v>
      </c>
      <c r="AQ17" t="inlineStr">
        <is>
          <t>Sold</t>
        </is>
      </c>
      <c r="AR17" s="6">
        <f>HYPERLINK("https://www.kleinanzeigen.de/s-anzeige/neilpryde-komplettrigg-segel-excess-5-4-gabel-mast-powerxt/2832301709-230-5562", "Link")</f>
        <v/>
      </c>
      <c r="AS17" s="6">
        <f>HYPERLINK("C:\Projects\Kleinanzeigen-Scraper\offer_images\2832301709", "Link")</f>
        <v/>
      </c>
      <c r="AT17" t="inlineStr">
        <is>
          <t>Privat</t>
        </is>
      </c>
      <c r="AU17" s="6">
        <f>HYPERLINK("https://www.kleinanzeigen.de/s-bestandsliste.html?userId=35397014", "Link")</f>
        <v/>
      </c>
      <c r="AV17" s="7" t="n">
        <v>45564.86864583333</v>
      </c>
      <c r="AW17" s="3" t="inlineStr">
        <is>
          <t>44.78</t>
        </is>
      </c>
      <c r="AX17" t="inlineStr">
        <is>
          <t>München</t>
        </is>
      </c>
      <c r="AY17" s="4" t="n">
        <v>500</v>
      </c>
      <c r="AZ17" t="inlineStr">
        <is>
          <t>VB</t>
        </is>
      </c>
      <c r="BA17" t="inlineStr">
        <is>
          <t>82362 Bayern - Weilheim</t>
        </is>
      </c>
      <c r="BB17" s="5" t="n">
        <v>45512</v>
      </c>
      <c r="BC17" t="inlineStr">
        <is>
          <t>Sold</t>
        </is>
      </c>
      <c r="BD17" s="6">
        <f>HYPERLINK("https://www.kleinanzeigen.de/s-anzeige/neilpryde-komplettrigg-segel-excess-5-4-gabel-mast-powerxt/2832301709-230-5562", "Link")</f>
        <v/>
      </c>
      <c r="BE17" s="6">
        <f>HYPERLINK("C:\Projects\Kleinanzeigen-Scraper\offer_images\2832301709", "Link")</f>
        <v/>
      </c>
      <c r="BF17" t="inlineStr">
        <is>
          <t>Privat</t>
        </is>
      </c>
      <c r="BG17" s="6">
        <f>HYPERLINK("https://www.kleinanzeigen.de/s-bestandsliste.html?userId=35397014", "Link")</f>
        <v/>
      </c>
      <c r="BH17" s="7" t="n">
        <v>45564.86864583333</v>
      </c>
      <c r="BI17" s="3" t="inlineStr">
        <is>
          <t>44.78</t>
        </is>
      </c>
      <c r="BJ17" t="inlineStr">
        <is>
          <t>München</t>
        </is>
      </c>
    </row>
    <row r="18">
      <c r="A18" s="2" t="n">
        <v>6.1</v>
      </c>
      <c r="B18" t="inlineStr">
        <is>
          <t>Neil Pryde Expression</t>
        </is>
      </c>
      <c r="C18" s="3" t="inlineStr"/>
      <c r="D18" s="3" t="inlineStr"/>
      <c r="E18" t="inlineStr"/>
      <c r="F18" t="inlineStr"/>
      <c r="G18" t="inlineStr">
        <is>
          <t>used</t>
        </is>
      </c>
      <c r="H18" s="4" t="n">
        <v>279</v>
      </c>
      <c r="I18" t="inlineStr"/>
      <c r="J18" t="inlineStr">
        <is>
          <t>45772 Nordrhein-Westfalen - Marl</t>
        </is>
      </c>
      <c r="K18" s="5" t="n">
        <v>45564</v>
      </c>
      <c r="L18" t="inlineStr"/>
      <c r="M18" s="6">
        <f>HYPERLINK("https://www.kleinanzeigen.de/s-anzeige/6-1-neil-pryde-expression-komplettrigg-windsurfen-segel/2877913804-230-1772", "Link")</f>
        <v/>
      </c>
      <c r="N18" s="6">
        <f>HYPERLINK("C:\Projects\Kleinanzeigen-Scraper\offer_images\2877913804", "Link")</f>
        <v/>
      </c>
      <c r="O18" t="inlineStr">
        <is>
          <t>RRD</t>
        </is>
      </c>
      <c r="P18" s="6">
        <f>HYPERLINK("https://www.kleinanzeigen.de/s-bestandsliste.html?userId=13661901", "Link")</f>
        <v/>
      </c>
      <c r="Q18" s="7" t="n">
        <v>45564.86760416667</v>
      </c>
      <c r="R18" s="3" t="inlineStr">
        <is>
          <t>84.29</t>
        </is>
      </c>
      <c r="S18" t="inlineStr">
        <is>
          <t>Köln</t>
        </is>
      </c>
      <c r="T18" t="inlineStr">
        <is>
          <t>North Red Mast</t>
        </is>
      </c>
      <c r="U18" s="3" t="n">
        <v>460</v>
      </c>
      <c r="V18" s="8" t="inlineStr"/>
      <c r="W18" t="inlineStr"/>
      <c r="X18" s="4" t="n">
        <v>279</v>
      </c>
      <c r="Y18" t="inlineStr"/>
      <c r="Z18" t="inlineStr">
        <is>
          <t>45772 Nordrhein-Westfalen - Marl</t>
        </is>
      </c>
      <c r="AA18" s="5" t="n">
        <v>45564</v>
      </c>
      <c r="AB18" t="inlineStr"/>
      <c r="AC18" s="6">
        <f>HYPERLINK("https://www.kleinanzeigen.de/s-anzeige/6-1-neil-pryde-expression-komplettrigg-windsurfen-segel/2877913804-230-1772", "Link")</f>
        <v/>
      </c>
      <c r="AD18" s="6">
        <f>HYPERLINK("C:\Projects\Kleinanzeigen-Scraper\offer_images\2877913804", "Link")</f>
        <v/>
      </c>
      <c r="AE18" t="inlineStr">
        <is>
          <t>RRD</t>
        </is>
      </c>
      <c r="AF18" s="6">
        <f>HYPERLINK("https://www.kleinanzeigen.de/s-bestandsliste.html?userId=13661901", "Link")</f>
        <v/>
      </c>
      <c r="AG18" s="7" t="n">
        <v>45564.86760416667</v>
      </c>
      <c r="AH18" s="3" t="inlineStr">
        <is>
          <t>84.29</t>
        </is>
      </c>
      <c r="AI18" t="inlineStr">
        <is>
          <t>Köln</t>
        </is>
      </c>
      <c r="AJ18" t="inlineStr">
        <is>
          <t>Aerongabelbaum MTC26</t>
        </is>
      </c>
      <c r="AK18" t="inlineStr"/>
      <c r="AL18" t="inlineStr"/>
      <c r="AM18" s="4" t="n">
        <v>279</v>
      </c>
      <c r="AN18" t="inlineStr"/>
      <c r="AO18" t="inlineStr">
        <is>
          <t>45772 Nordrhein-Westfalen - Marl</t>
        </is>
      </c>
      <c r="AP18" s="5" t="n">
        <v>45564</v>
      </c>
      <c r="AQ18" t="inlineStr"/>
      <c r="AR18" s="6">
        <f>HYPERLINK("https://www.kleinanzeigen.de/s-anzeige/6-1-neil-pryde-expression-komplettrigg-windsurfen-segel/2877913804-230-1772", "Link")</f>
        <v/>
      </c>
      <c r="AS18" s="6">
        <f>HYPERLINK("C:\Projects\Kleinanzeigen-Scraper\offer_images\2877913804", "Link")</f>
        <v/>
      </c>
      <c r="AT18" t="inlineStr">
        <is>
          <t>RRD</t>
        </is>
      </c>
      <c r="AU18" s="6">
        <f>HYPERLINK("https://www.kleinanzeigen.de/s-bestandsliste.html?userId=13661901", "Link")</f>
        <v/>
      </c>
      <c r="AV18" s="7" t="n">
        <v>45564.86760416667</v>
      </c>
      <c r="AW18" s="3" t="inlineStr">
        <is>
          <t>84.29</t>
        </is>
      </c>
      <c r="AX18" t="inlineStr">
        <is>
          <t>Köln</t>
        </is>
      </c>
      <c r="AY18" s="4" t="n">
        <v>279</v>
      </c>
      <c r="AZ18" t="inlineStr"/>
      <c r="BA18" t="inlineStr">
        <is>
          <t>45772 Nordrhein-Westfalen - Marl</t>
        </is>
      </c>
      <c r="BB18" s="5" t="n">
        <v>45564</v>
      </c>
      <c r="BC18" t="inlineStr"/>
      <c r="BD18" s="6">
        <f>HYPERLINK("https://www.kleinanzeigen.de/s-anzeige/6-1-neil-pryde-expression-komplettrigg-windsurfen-segel/2877913804-230-1772", "Link")</f>
        <v/>
      </c>
      <c r="BE18" s="6">
        <f>HYPERLINK("C:\Projects\Kleinanzeigen-Scraper\offer_images\2877913804", "Link")</f>
        <v/>
      </c>
      <c r="BF18" t="inlineStr">
        <is>
          <t>RRD</t>
        </is>
      </c>
      <c r="BG18" s="6">
        <f>HYPERLINK("https://www.kleinanzeigen.de/s-bestandsliste.html?userId=13661901", "Link")</f>
        <v/>
      </c>
      <c r="BH18" s="7" t="n">
        <v>45564.86760416667</v>
      </c>
      <c r="BI18" s="3" t="inlineStr">
        <is>
          <t>84.29</t>
        </is>
      </c>
      <c r="BJ18" t="inlineStr">
        <is>
          <t>Köln</t>
        </is>
      </c>
    </row>
    <row r="19">
      <c r="A19" s="2" t="n">
        <v>4.7</v>
      </c>
      <c r="B19" t="inlineStr">
        <is>
          <t>NorthSails Instinct</t>
        </is>
      </c>
      <c r="C19" s="3" t="n">
        <v>400</v>
      </c>
      <c r="D19" s="3" t="inlineStr">
        <is>
          <t>167-170</t>
        </is>
      </c>
      <c r="E19" t="inlineStr">
        <is>
          <t>Wave</t>
        </is>
      </c>
      <c r="F19" t="inlineStr">
        <is>
          <t>2004</t>
        </is>
      </c>
      <c r="G19" t="inlineStr">
        <is>
          <t>used</t>
        </is>
      </c>
      <c r="H19" s="4" t="n">
        <v>45</v>
      </c>
      <c r="I19" t="inlineStr">
        <is>
          <t>VB</t>
        </is>
      </c>
      <c r="J19" t="inlineStr">
        <is>
          <t>86672 Bayern - Thierhaupten</t>
        </is>
      </c>
      <c r="K19" s="5" t="n">
        <v>45563</v>
      </c>
      <c r="L19" t="inlineStr"/>
      <c r="M19" s="6">
        <f>HYPERLINK("https://www.kleinanzeigen.de/s-anzeige/northsails-instinct-4-7qm-north-mast-400cm-sdm-75-np-extension/2876591886-230-7043", "Link")</f>
        <v/>
      </c>
      <c r="N19" s="6">
        <f>HYPERLINK("C:\Projects\Kleinanzeigen-Scraper\offer_images\2876591886", "Link")</f>
        <v/>
      </c>
      <c r="O19" t="inlineStr">
        <is>
          <t>Heiko</t>
        </is>
      </c>
      <c r="P19" s="6">
        <f>HYPERLINK("https://www.kleinanzeigen.de/s-bestandsliste.html?userId=62827766", "Link")</f>
        <v/>
      </c>
      <c r="Q19" s="7" t="n">
        <v>45564.86601851852</v>
      </c>
      <c r="R19" s="3" t="inlineStr">
        <is>
          <t>67.41</t>
        </is>
      </c>
      <c r="S19" t="inlineStr">
        <is>
          <t>München</t>
        </is>
      </c>
      <c r="T19" t="inlineStr">
        <is>
          <t>North Viper Wave</t>
        </is>
      </c>
      <c r="U19" s="3" t="n">
        <v>400</v>
      </c>
      <c r="V19" s="8" t="inlineStr">
        <is>
          <t>75%</t>
        </is>
      </c>
      <c r="W19" t="inlineStr">
        <is>
          <t>SDM</t>
        </is>
      </c>
      <c r="X19" s="4" t="n">
        <v>45</v>
      </c>
      <c r="Y19" t="inlineStr">
        <is>
          <t>VB</t>
        </is>
      </c>
      <c r="Z19" t="inlineStr">
        <is>
          <t>86672 Bayern - Thierhaupten</t>
        </is>
      </c>
      <c r="AA19" s="5" t="n">
        <v>45563</v>
      </c>
      <c r="AB19" t="inlineStr"/>
      <c r="AC19" s="6">
        <f>HYPERLINK("https://www.kleinanzeigen.de/s-anzeige/northsails-instinct-4-7qm-north-mast-400cm-sdm-75-np-extension/2876591886-230-7043", "Link")</f>
        <v/>
      </c>
      <c r="AD19" s="6">
        <f>HYPERLINK("C:\Projects\Kleinanzeigen-Scraper\offer_images\2876591886", "Link")</f>
        <v/>
      </c>
      <c r="AE19" t="inlineStr">
        <is>
          <t>Heiko</t>
        </is>
      </c>
      <c r="AF19" s="6">
        <f>HYPERLINK("https://www.kleinanzeigen.de/s-bestandsliste.html?userId=62827766", "Link")</f>
        <v/>
      </c>
      <c r="AG19" s="7" t="n">
        <v>45564.86601851852</v>
      </c>
      <c r="AH19" s="3" t="inlineStr">
        <is>
          <t>67.41</t>
        </is>
      </c>
      <c r="AI19" t="inlineStr">
        <is>
          <t>München</t>
        </is>
      </c>
      <c r="AJ19" t="inlineStr"/>
      <c r="AK19" t="inlineStr"/>
      <c r="AL19" t="inlineStr"/>
      <c r="AM19" s="4" t="n">
        <v>45</v>
      </c>
      <c r="AN19" t="inlineStr">
        <is>
          <t>VB</t>
        </is>
      </c>
      <c r="AO19" t="inlineStr">
        <is>
          <t>86672 Bayern - Thierhaupten</t>
        </is>
      </c>
      <c r="AP19" s="5" t="n">
        <v>45563</v>
      </c>
      <c r="AQ19" t="inlineStr"/>
      <c r="AR19" s="6">
        <f>HYPERLINK("https://www.kleinanzeigen.de/s-anzeige/northsails-instinct-4-7qm-north-mast-400cm-sdm-75-np-extension/2876591886-230-7043", "Link")</f>
        <v/>
      </c>
      <c r="AS19" s="6">
        <f>HYPERLINK("C:\Projects\Kleinanzeigen-Scraper\offer_images\2876591886", "Link")</f>
        <v/>
      </c>
      <c r="AT19" t="inlineStr">
        <is>
          <t>Heiko</t>
        </is>
      </c>
      <c r="AU19" s="6">
        <f>HYPERLINK("https://www.kleinanzeigen.de/s-bestandsliste.html?userId=62827766", "Link")</f>
        <v/>
      </c>
      <c r="AV19" s="7" t="n">
        <v>45564.86601851852</v>
      </c>
      <c r="AW19" s="3" t="inlineStr">
        <is>
          <t>67.41</t>
        </is>
      </c>
      <c r="AX19" t="inlineStr">
        <is>
          <t>München</t>
        </is>
      </c>
      <c r="AY19" s="4" t="n">
        <v>45</v>
      </c>
      <c r="AZ19" t="inlineStr">
        <is>
          <t>VB</t>
        </is>
      </c>
      <c r="BA19" t="inlineStr">
        <is>
          <t>86672 Bayern - Thierhaupten</t>
        </is>
      </c>
      <c r="BB19" s="5" t="n">
        <v>45563</v>
      </c>
      <c r="BC19" t="inlineStr"/>
      <c r="BD19" s="6">
        <f>HYPERLINK("https://www.kleinanzeigen.de/s-anzeige/northsails-instinct-4-7qm-north-mast-400cm-sdm-75-np-extension/2876591886-230-7043", "Link")</f>
        <v/>
      </c>
      <c r="BE19" s="6">
        <f>HYPERLINK("C:\Projects\Kleinanzeigen-Scraper\offer_images\2876591886", "Link")</f>
        <v/>
      </c>
      <c r="BF19" t="inlineStr">
        <is>
          <t>Heiko</t>
        </is>
      </c>
      <c r="BG19" s="6">
        <f>HYPERLINK("https://www.kleinanzeigen.de/s-bestandsliste.html?userId=62827766", "Link")</f>
        <v/>
      </c>
      <c r="BH19" s="7" t="n">
        <v>45564.86601851852</v>
      </c>
      <c r="BI19" s="3" t="inlineStr">
        <is>
          <t>67.41</t>
        </is>
      </c>
      <c r="BJ19" t="inlineStr">
        <is>
          <t>München</t>
        </is>
      </c>
    </row>
    <row r="20">
      <c r="A20" s="2" t="n">
        <v>5</v>
      </c>
      <c r="B20" t="inlineStr">
        <is>
          <t>Aqua Marina Blade</t>
        </is>
      </c>
      <c r="C20" s="3" t="n">
        <v>410</v>
      </c>
      <c r="D20" s="3" t="inlineStr">
        <is>
          <t>170-220</t>
        </is>
      </c>
      <c r="E20" t="inlineStr"/>
      <c r="F20" t="inlineStr">
        <is>
          <t>2023</t>
        </is>
      </c>
      <c r="G20" t="inlineStr">
        <is>
          <t>used</t>
        </is>
      </c>
      <c r="H20" s="4" t="n">
        <v>300</v>
      </c>
      <c r="I20" t="inlineStr"/>
      <c r="J20" t="inlineStr">
        <is>
          <t>92318 Bayern - Neumarkt i.d.OPf.</t>
        </is>
      </c>
      <c r="K20" s="5" t="n">
        <v>45563</v>
      </c>
      <c r="L20" t="inlineStr"/>
      <c r="M20" s="6">
        <f>HYPERLINK("https://www.kleinanzeigen.de/s-anzeige/aqua-marina-segel-5-m2-komplett-rigg-windsurf-sail-sup-rig/2875892705-230-6588", "Link")</f>
        <v/>
      </c>
      <c r="N20" s="6">
        <f>HYPERLINK("C:\Projects\Kleinanzeigen-Scraper\offer_images\2875892705", "Link")</f>
        <v/>
      </c>
      <c r="O20" t="inlineStr">
        <is>
          <t>Alex</t>
        </is>
      </c>
      <c r="P20" s="6">
        <f>HYPERLINK("https://www.kleinanzeigen.de/s-bestandsliste.html?userId=129605331", "Link")</f>
        <v/>
      </c>
      <c r="Q20" s="7" t="n">
        <v>45564.86447916667</v>
      </c>
      <c r="R20" s="3" t="inlineStr">
        <is>
          <t>126.78</t>
        </is>
      </c>
      <c r="S20" t="inlineStr">
        <is>
          <t>München</t>
        </is>
      </c>
      <c r="T20" t="inlineStr">
        <is>
          <t>Aqua Marina</t>
        </is>
      </c>
      <c r="U20" s="3" t="n">
        <v>400</v>
      </c>
      <c r="V20" s="8" t="inlineStr"/>
      <c r="W20" t="inlineStr"/>
      <c r="X20" s="4" t="n">
        <v>300</v>
      </c>
      <c r="Y20" t="inlineStr"/>
      <c r="Z20" t="inlineStr">
        <is>
          <t>92318 Bayern - Neumarkt i.d.OPf.</t>
        </is>
      </c>
      <c r="AA20" s="5" t="n">
        <v>45563</v>
      </c>
      <c r="AB20" t="inlineStr"/>
      <c r="AC20" s="6">
        <f>HYPERLINK("https://www.kleinanzeigen.de/s-anzeige/aqua-marina-segel-5-m2-komplett-rigg-windsurf-sail-sup-rig/2875892705-230-6588", "Link")</f>
        <v/>
      </c>
      <c r="AD20" s="6">
        <f>HYPERLINK("C:\Projects\Kleinanzeigen-Scraper\offer_images\2875892705", "Link")</f>
        <v/>
      </c>
      <c r="AE20" t="inlineStr">
        <is>
          <t>Alex</t>
        </is>
      </c>
      <c r="AF20" s="6">
        <f>HYPERLINK("https://www.kleinanzeigen.de/s-bestandsliste.html?userId=129605331", "Link")</f>
        <v/>
      </c>
      <c r="AG20" s="7" t="n">
        <v>45564.86447916667</v>
      </c>
      <c r="AH20" s="3" t="inlineStr">
        <is>
          <t>126.78</t>
        </is>
      </c>
      <c r="AI20" t="inlineStr">
        <is>
          <t>München</t>
        </is>
      </c>
      <c r="AJ20" t="inlineStr">
        <is>
          <t>Aqua Marina</t>
        </is>
      </c>
      <c r="AK20" t="inlineStr">
        <is>
          <t>170-220</t>
        </is>
      </c>
      <c r="AL20" t="inlineStr"/>
      <c r="AM20" s="4" t="n">
        <v>300</v>
      </c>
      <c r="AN20" t="inlineStr"/>
      <c r="AO20" t="inlineStr">
        <is>
          <t>92318 Bayern - Neumarkt i.d.OPf.</t>
        </is>
      </c>
      <c r="AP20" s="5" t="n">
        <v>45563</v>
      </c>
      <c r="AQ20" t="inlineStr"/>
      <c r="AR20" s="6">
        <f>HYPERLINK("https://www.kleinanzeigen.de/s-anzeige/aqua-marina-segel-5-m2-komplett-rigg-windsurf-sail-sup-rig/2875892705-230-6588", "Link")</f>
        <v/>
      </c>
      <c r="AS20" s="6">
        <f>HYPERLINK("C:\Projects\Kleinanzeigen-Scraper\offer_images\2875892705", "Link")</f>
        <v/>
      </c>
      <c r="AT20" t="inlineStr">
        <is>
          <t>Alex</t>
        </is>
      </c>
      <c r="AU20" s="6">
        <f>HYPERLINK("https://www.kleinanzeigen.de/s-bestandsliste.html?userId=129605331", "Link")</f>
        <v/>
      </c>
      <c r="AV20" s="7" t="n">
        <v>45564.86447916667</v>
      </c>
      <c r="AW20" s="3" t="inlineStr">
        <is>
          <t>126.78</t>
        </is>
      </c>
      <c r="AX20" t="inlineStr">
        <is>
          <t>München</t>
        </is>
      </c>
      <c r="AY20" s="4" t="n">
        <v>300</v>
      </c>
      <c r="AZ20" t="inlineStr"/>
      <c r="BA20" t="inlineStr">
        <is>
          <t>92318 Bayern - Neumarkt i.d.OPf.</t>
        </is>
      </c>
      <c r="BB20" s="5" t="n">
        <v>45563</v>
      </c>
      <c r="BC20" t="inlineStr"/>
      <c r="BD20" s="6">
        <f>HYPERLINK("https://www.kleinanzeigen.de/s-anzeige/aqua-marina-segel-5-m2-komplett-rigg-windsurf-sail-sup-rig/2875892705-230-6588", "Link")</f>
        <v/>
      </c>
      <c r="BE20" s="6">
        <f>HYPERLINK("C:\Projects\Kleinanzeigen-Scraper\offer_images\2875892705", "Link")</f>
        <v/>
      </c>
      <c r="BF20" t="inlineStr">
        <is>
          <t>Alex</t>
        </is>
      </c>
      <c r="BG20" s="6">
        <f>HYPERLINK("https://www.kleinanzeigen.de/s-bestandsliste.html?userId=129605331", "Link")</f>
        <v/>
      </c>
      <c r="BH20" s="7" t="n">
        <v>45564.86447916667</v>
      </c>
      <c r="BI20" s="3" t="inlineStr">
        <is>
          <t>126.78</t>
        </is>
      </c>
      <c r="BJ20" t="inlineStr">
        <is>
          <t>München</t>
        </is>
      </c>
    </row>
    <row r="21">
      <c r="A21" s="2" t="n">
        <v>8.5</v>
      </c>
      <c r="B21" t="inlineStr">
        <is>
          <t>Gaastra Matrix</t>
        </is>
      </c>
      <c r="C21" s="3" t="n">
        <v>490</v>
      </c>
      <c r="D21" s="3" t="inlineStr"/>
      <c r="E21" t="inlineStr"/>
      <c r="F21" t="inlineStr">
        <is>
          <t>2011</t>
        </is>
      </c>
      <c r="G21" t="inlineStr">
        <is>
          <t>new</t>
        </is>
      </c>
      <c r="H21" s="4" t="n">
        <v>110</v>
      </c>
      <c r="I21" t="inlineStr">
        <is>
          <t>VB</t>
        </is>
      </c>
      <c r="J21" t="inlineStr">
        <is>
          <t>47589 Nordrhein-Westfalen - Uedem</t>
        </is>
      </c>
      <c r="K21" s="5" t="n">
        <v>45564</v>
      </c>
      <c r="L21" t="inlineStr"/>
      <c r="M21" s="6">
        <f>HYPERLINK("https://www.kleinanzeigen.de/s-anzeige/gaastra-sail-matrix-8-5-qm-surfsegel/2877664695-230-1148", "Link")</f>
        <v/>
      </c>
      <c r="N21" s="6">
        <f>HYPERLINK("C:\Projects\Kleinanzeigen-Scraper\offer_images\2877664695", "Link")</f>
        <v/>
      </c>
      <c r="O21" t="inlineStr">
        <is>
          <t>Ben</t>
        </is>
      </c>
      <c r="P21" s="6">
        <f>HYPERLINK("https://www.kleinanzeigen.de/s-bestandsliste.html?userId=54559626", "Link")</f>
        <v/>
      </c>
      <c r="Q21" s="7" t="n">
        <v>45564.86430555556</v>
      </c>
      <c r="R21" s="3" t="inlineStr">
        <is>
          <t>94.07</t>
        </is>
      </c>
      <c r="S21" t="inlineStr">
        <is>
          <t>Köln</t>
        </is>
      </c>
      <c r="T21" t="inlineStr">
        <is>
          <t>Powerex NRZ</t>
        </is>
      </c>
      <c r="U21" s="3" t="n">
        <v>490</v>
      </c>
      <c r="V21" s="8" t="inlineStr"/>
      <c r="W21" t="inlineStr"/>
      <c r="X21" s="4" t="n">
        <v>110</v>
      </c>
      <c r="Y21" t="inlineStr">
        <is>
          <t>VB</t>
        </is>
      </c>
      <c r="Z21" t="inlineStr">
        <is>
          <t>47589 Nordrhein-Westfalen - Uedem</t>
        </is>
      </c>
      <c r="AA21" s="5" t="n">
        <v>45564</v>
      </c>
      <c r="AB21" t="inlineStr"/>
      <c r="AC21" s="6">
        <f>HYPERLINK("https://www.kleinanzeigen.de/s-anzeige/gaastra-sail-matrix-8-5-qm-surfsegel/2877664695-230-1148", "Link")</f>
        <v/>
      </c>
      <c r="AD21" s="6">
        <f>HYPERLINK("C:\Projects\Kleinanzeigen-Scraper\offer_images\2877664695", "Link")</f>
        <v/>
      </c>
      <c r="AE21" t="inlineStr">
        <is>
          <t>Ben</t>
        </is>
      </c>
      <c r="AF21" s="6">
        <f>HYPERLINK("https://www.kleinanzeigen.de/s-bestandsliste.html?userId=54559626", "Link")</f>
        <v/>
      </c>
      <c r="AG21" s="7" t="n">
        <v>45564.86430555556</v>
      </c>
      <c r="AH21" s="3" t="inlineStr">
        <is>
          <t>94.07</t>
        </is>
      </c>
      <c r="AI21" t="inlineStr">
        <is>
          <t>Köln</t>
        </is>
      </c>
      <c r="AJ21" t="inlineStr"/>
      <c r="AK21" t="inlineStr"/>
      <c r="AL21" t="inlineStr"/>
      <c r="AM21" s="4" t="n">
        <v>110</v>
      </c>
      <c r="AN21" t="inlineStr">
        <is>
          <t>VB</t>
        </is>
      </c>
      <c r="AO21" t="inlineStr">
        <is>
          <t>47589 Nordrhein-Westfalen - Uedem</t>
        </is>
      </c>
      <c r="AP21" s="5" t="n">
        <v>45564</v>
      </c>
      <c r="AQ21" t="inlineStr"/>
      <c r="AR21" s="6">
        <f>HYPERLINK("https://www.kleinanzeigen.de/s-anzeige/gaastra-sail-matrix-8-5-qm-surfsegel/2877664695-230-1148", "Link")</f>
        <v/>
      </c>
      <c r="AS21" s="6">
        <f>HYPERLINK("C:\Projects\Kleinanzeigen-Scraper\offer_images\2877664695", "Link")</f>
        <v/>
      </c>
      <c r="AT21" t="inlineStr">
        <is>
          <t>Ben</t>
        </is>
      </c>
      <c r="AU21" s="6">
        <f>HYPERLINK("https://www.kleinanzeigen.de/s-bestandsliste.html?userId=54559626", "Link")</f>
        <v/>
      </c>
      <c r="AV21" s="7" t="n">
        <v>45564.86430555556</v>
      </c>
      <c r="AW21" s="3" t="inlineStr">
        <is>
          <t>94.07</t>
        </is>
      </c>
      <c r="AX21" t="inlineStr">
        <is>
          <t>Köln</t>
        </is>
      </c>
      <c r="AY21" s="4" t="n">
        <v>110</v>
      </c>
      <c r="AZ21" t="inlineStr">
        <is>
          <t>VB</t>
        </is>
      </c>
      <c r="BA21" t="inlineStr">
        <is>
          <t>47589 Nordrhein-Westfalen - Uedem</t>
        </is>
      </c>
      <c r="BB21" s="5" t="n">
        <v>45564</v>
      </c>
      <c r="BC21" t="inlineStr"/>
      <c r="BD21" s="6">
        <f>HYPERLINK("https://www.kleinanzeigen.de/s-anzeige/gaastra-sail-matrix-8-5-qm-surfsegel/2877664695-230-1148", "Link")</f>
        <v/>
      </c>
      <c r="BE21" s="6">
        <f>HYPERLINK("C:\Projects\Kleinanzeigen-Scraper\offer_images\2877664695", "Link")</f>
        <v/>
      </c>
      <c r="BF21" t="inlineStr">
        <is>
          <t>Ben</t>
        </is>
      </c>
      <c r="BG21" s="6">
        <f>HYPERLINK("https://www.kleinanzeigen.de/s-bestandsliste.html?userId=54559626", "Link")</f>
        <v/>
      </c>
      <c r="BH21" s="7" t="n">
        <v>45564.86430555556</v>
      </c>
      <c r="BI21" s="3" t="inlineStr">
        <is>
          <t>94.07</t>
        </is>
      </c>
      <c r="BJ21" t="inlineStr">
        <is>
          <t>Köln</t>
        </is>
      </c>
    </row>
    <row r="22">
      <c r="A22" s="2" t="n">
        <v>6.4</v>
      </c>
      <c r="B22" t="inlineStr">
        <is>
          <t>Neil Pryde Excess</t>
        </is>
      </c>
      <c r="C22" s="3" t="inlineStr"/>
      <c r="D22" s="3" t="inlineStr"/>
      <c r="E22" t="inlineStr"/>
      <c r="F22" t="inlineStr"/>
      <c r="G22" t="inlineStr">
        <is>
          <t>used</t>
        </is>
      </c>
      <c r="H22" s="4" t="n">
        <v>500</v>
      </c>
      <c r="I22" t="inlineStr">
        <is>
          <t>VB</t>
        </is>
      </c>
      <c r="J22" t="inlineStr">
        <is>
          <t>82362 Bayern - Weilheim</t>
        </is>
      </c>
      <c r="K22" s="5" t="n">
        <v>45512</v>
      </c>
      <c r="L22" t="inlineStr">
        <is>
          <t>Sold</t>
        </is>
      </c>
      <c r="M22" s="6">
        <f>HYPERLINK("https://www.kleinanzeigen.de/s-anzeige/neilpryde-komplettrigg-segel-excess-6-4-gabel-mast-powerxt/2832299887-230-5562", "Link")</f>
        <v/>
      </c>
      <c r="N22" s="6">
        <f>HYPERLINK("C:\Projects\Kleinanzeigen-Scraper\offer_images\2832299887", "Link")</f>
        <v/>
      </c>
      <c r="O22" t="inlineStr">
        <is>
          <t>Privat</t>
        </is>
      </c>
      <c r="P22" s="6">
        <f>HYPERLINK("https://www.kleinanzeigen.de/s-bestandsliste.html?userId=35397014", "Link")</f>
        <v/>
      </c>
      <c r="Q22" s="7" t="n">
        <v>45564.86424768518</v>
      </c>
      <c r="R22" s="3" t="inlineStr">
        <is>
          <t>44.78</t>
        </is>
      </c>
      <c r="S22" t="inlineStr">
        <is>
          <t>München</t>
        </is>
      </c>
      <c r="T22" t="inlineStr">
        <is>
          <t>Neil Pryde</t>
        </is>
      </c>
      <c r="U22" s="3" t="inlineStr"/>
      <c r="V22" s="8" t="inlineStr"/>
      <c r="W22" t="inlineStr"/>
      <c r="X22" s="4" t="n">
        <v>500</v>
      </c>
      <c r="Y22" t="inlineStr">
        <is>
          <t>VB</t>
        </is>
      </c>
      <c r="Z22" t="inlineStr">
        <is>
          <t>82362 Bayern - Weilheim</t>
        </is>
      </c>
      <c r="AA22" s="5" t="n">
        <v>45512</v>
      </c>
      <c r="AB22" t="inlineStr">
        <is>
          <t>Sold</t>
        </is>
      </c>
      <c r="AC22" s="6">
        <f>HYPERLINK("https://www.kleinanzeigen.de/s-anzeige/neilpryde-komplettrigg-segel-excess-6-4-gabel-mast-powerxt/2832299887-230-5562", "Link")</f>
        <v/>
      </c>
      <c r="AD22" s="6">
        <f>HYPERLINK("C:\Projects\Kleinanzeigen-Scraper\offer_images\2832299887", "Link")</f>
        <v/>
      </c>
      <c r="AE22" t="inlineStr">
        <is>
          <t>Privat</t>
        </is>
      </c>
      <c r="AF22" s="6">
        <f>HYPERLINK("https://www.kleinanzeigen.de/s-bestandsliste.html?userId=35397014", "Link")</f>
        <v/>
      </c>
      <c r="AG22" s="7" t="n">
        <v>45564.86424768518</v>
      </c>
      <c r="AH22" s="3" t="inlineStr">
        <is>
          <t>44.78</t>
        </is>
      </c>
      <c r="AI22" t="inlineStr">
        <is>
          <t>München</t>
        </is>
      </c>
      <c r="AJ22" t="inlineStr">
        <is>
          <t>Neil Pryde</t>
        </is>
      </c>
      <c r="AK22" t="inlineStr"/>
      <c r="AL22" t="inlineStr"/>
      <c r="AM22" s="4" t="n">
        <v>500</v>
      </c>
      <c r="AN22" t="inlineStr">
        <is>
          <t>VB</t>
        </is>
      </c>
      <c r="AO22" t="inlineStr">
        <is>
          <t>82362 Bayern - Weilheim</t>
        </is>
      </c>
      <c r="AP22" s="5" t="n">
        <v>45512</v>
      </c>
      <c r="AQ22" t="inlineStr">
        <is>
          <t>Sold</t>
        </is>
      </c>
      <c r="AR22" s="6">
        <f>HYPERLINK("https://www.kleinanzeigen.de/s-anzeige/neilpryde-komplettrigg-segel-excess-6-4-gabel-mast-powerxt/2832299887-230-5562", "Link")</f>
        <v/>
      </c>
      <c r="AS22" s="6">
        <f>HYPERLINK("C:\Projects\Kleinanzeigen-Scraper\offer_images\2832299887", "Link")</f>
        <v/>
      </c>
      <c r="AT22" t="inlineStr">
        <is>
          <t>Privat</t>
        </is>
      </c>
      <c r="AU22" s="6">
        <f>HYPERLINK("https://www.kleinanzeigen.de/s-bestandsliste.html?userId=35397014", "Link")</f>
        <v/>
      </c>
      <c r="AV22" s="7" t="n">
        <v>45564.86424768518</v>
      </c>
      <c r="AW22" s="3" t="inlineStr">
        <is>
          <t>44.78</t>
        </is>
      </c>
      <c r="AX22" t="inlineStr">
        <is>
          <t>München</t>
        </is>
      </c>
      <c r="AY22" s="4" t="n">
        <v>500</v>
      </c>
      <c r="AZ22" t="inlineStr">
        <is>
          <t>VB</t>
        </is>
      </c>
      <c r="BA22" t="inlineStr">
        <is>
          <t>82362 Bayern - Weilheim</t>
        </is>
      </c>
      <c r="BB22" s="5" t="n">
        <v>45512</v>
      </c>
      <c r="BC22" t="inlineStr">
        <is>
          <t>Sold</t>
        </is>
      </c>
      <c r="BD22" s="6">
        <f>HYPERLINK("https://www.kleinanzeigen.de/s-anzeige/neilpryde-komplettrigg-segel-excess-6-4-gabel-mast-powerxt/2832299887-230-5562", "Link")</f>
        <v/>
      </c>
      <c r="BE22" s="6">
        <f>HYPERLINK("C:\Projects\Kleinanzeigen-Scraper\offer_images\2832299887", "Link")</f>
        <v/>
      </c>
      <c r="BF22" t="inlineStr">
        <is>
          <t>Privat</t>
        </is>
      </c>
      <c r="BG22" s="6">
        <f>HYPERLINK("https://www.kleinanzeigen.de/s-bestandsliste.html?userId=35397014", "Link")</f>
        <v/>
      </c>
      <c r="BH22" s="7" t="n">
        <v>45564.86424768518</v>
      </c>
      <c r="BI22" s="3" t="inlineStr">
        <is>
          <t>44.78</t>
        </is>
      </c>
      <c r="BJ22" t="inlineStr">
        <is>
          <t>München</t>
        </is>
      </c>
    </row>
    <row r="23">
      <c r="A23" s="2" t="n">
        <v>5.5</v>
      </c>
      <c r="B23" t="inlineStr">
        <is>
          <t>NP Fusion</t>
        </is>
      </c>
      <c r="C23" s="3" t="n">
        <v>430</v>
      </c>
      <c r="D23" s="3" t="n">
        <v>179</v>
      </c>
      <c r="E23" t="inlineStr"/>
      <c r="F23" t="inlineStr"/>
      <c r="G23" t="inlineStr">
        <is>
          <t>used</t>
        </is>
      </c>
      <c r="H23" s="4" t="n">
        <v>349</v>
      </c>
      <c r="I23" t="inlineStr"/>
      <c r="J23" t="inlineStr">
        <is>
          <t>45772 Nordrhein-Westfalen - Marl</t>
        </is>
      </c>
      <c r="K23" s="5" t="n">
        <v>45563</v>
      </c>
      <c r="L23" t="inlineStr">
        <is>
          <t>Sold</t>
        </is>
      </c>
      <c r="M23" s="6">
        <f>HYPERLINK("https://www.kleinanzeigen.de/s-anzeige/np-fusion-5-5-6-1-komplettrigg-windsurfen-segel-neil-pryde/2876247945-230-1772", "Link")</f>
        <v/>
      </c>
      <c r="N23" s="6">
        <f>HYPERLINK("C:\Projects\Kleinanzeigen-Scraper\offer_images\2876247945", "Link")</f>
        <v/>
      </c>
      <c r="O23" t="inlineStr">
        <is>
          <t>RRD</t>
        </is>
      </c>
      <c r="P23" s="6">
        <f>HYPERLINK("https://www.kleinanzeigen.de/s-bestandsliste.html?userId=13661901", "Link")</f>
        <v/>
      </c>
      <c r="Q23" s="7" t="n">
        <v>45563.72832175926</v>
      </c>
      <c r="R23" s="3" t="inlineStr">
        <is>
          <t>84.29</t>
        </is>
      </c>
      <c r="S23" t="inlineStr">
        <is>
          <t>Köln</t>
        </is>
      </c>
      <c r="T23" t="inlineStr"/>
      <c r="U23" s="3" t="n">
        <v>400</v>
      </c>
      <c r="V23" s="8" t="inlineStr">
        <is>
          <t>100%</t>
        </is>
      </c>
      <c r="W23" t="inlineStr">
        <is>
          <t>RDM</t>
        </is>
      </c>
      <c r="X23" s="4" t="n">
        <v>349</v>
      </c>
      <c r="Y23" t="inlineStr"/>
      <c r="Z23" t="inlineStr">
        <is>
          <t>45772 Nordrhein-Westfalen - Marl</t>
        </is>
      </c>
      <c r="AA23" s="5" t="n">
        <v>45563</v>
      </c>
      <c r="AB23" t="inlineStr">
        <is>
          <t>Sold</t>
        </is>
      </c>
      <c r="AC23" s="6">
        <f>HYPERLINK("https://www.kleinanzeigen.de/s-anzeige/np-fusion-5-5-6-1-komplettrigg-windsurfen-segel-neil-pryde/2876247945-230-1772", "Link")</f>
        <v/>
      </c>
      <c r="AD23" s="6">
        <f>HYPERLINK("C:\Projects\Kleinanzeigen-Scraper\offer_images\2876247945", "Link")</f>
        <v/>
      </c>
      <c r="AE23" t="inlineStr">
        <is>
          <t>RRD</t>
        </is>
      </c>
      <c r="AF23" s="6">
        <f>HYPERLINK("https://www.kleinanzeigen.de/s-bestandsliste.html?userId=13661901", "Link")</f>
        <v/>
      </c>
      <c r="AG23" s="7" t="n">
        <v>45563.72832175926</v>
      </c>
      <c r="AH23" s="3" t="inlineStr">
        <is>
          <t>84.29</t>
        </is>
      </c>
      <c r="AI23" t="inlineStr">
        <is>
          <t>Köln</t>
        </is>
      </c>
      <c r="AJ23" t="inlineStr"/>
      <c r="AK23" t="inlineStr"/>
      <c r="AL23" t="inlineStr"/>
      <c r="AM23" s="4" t="n">
        <v>349</v>
      </c>
      <c r="AN23" t="inlineStr"/>
      <c r="AO23" t="inlineStr">
        <is>
          <t>45772 Nordrhein-Westfalen - Marl</t>
        </is>
      </c>
      <c r="AP23" s="5" t="n">
        <v>45563</v>
      </c>
      <c r="AQ23" t="inlineStr">
        <is>
          <t>Sold</t>
        </is>
      </c>
      <c r="AR23" s="6">
        <f>HYPERLINK("https://www.kleinanzeigen.de/s-anzeige/np-fusion-5-5-6-1-komplettrigg-windsurfen-segel-neil-pryde/2876247945-230-1772", "Link")</f>
        <v/>
      </c>
      <c r="AS23" s="6">
        <f>HYPERLINK("C:\Projects\Kleinanzeigen-Scraper\offer_images\2876247945", "Link")</f>
        <v/>
      </c>
      <c r="AT23" t="inlineStr">
        <is>
          <t>RRD</t>
        </is>
      </c>
      <c r="AU23" s="6">
        <f>HYPERLINK("https://www.kleinanzeigen.de/s-bestandsliste.html?userId=13661901", "Link")</f>
        <v/>
      </c>
      <c r="AV23" s="7" t="n">
        <v>45563.72832175926</v>
      </c>
      <c r="AW23" s="3" t="inlineStr">
        <is>
          <t>84.29</t>
        </is>
      </c>
      <c r="AX23" t="inlineStr">
        <is>
          <t>Köln</t>
        </is>
      </c>
      <c r="AY23" s="4" t="n">
        <v>349</v>
      </c>
      <c r="AZ23" t="inlineStr"/>
      <c r="BA23" t="inlineStr">
        <is>
          <t>45772 Nordrhein-Westfalen - Marl</t>
        </is>
      </c>
      <c r="BB23" s="5" t="n">
        <v>45563</v>
      </c>
      <c r="BC23" t="inlineStr">
        <is>
          <t>Sold</t>
        </is>
      </c>
      <c r="BD23" s="6">
        <f>HYPERLINK("https://www.kleinanzeigen.de/s-anzeige/np-fusion-5-5-6-1-komplettrigg-windsurfen-segel-neil-pryde/2876247945-230-1772", "Link")</f>
        <v/>
      </c>
      <c r="BE23" s="6">
        <f>HYPERLINK("C:\Projects\Kleinanzeigen-Scraper\offer_images\2876247945", "Link")</f>
        <v/>
      </c>
      <c r="BF23" t="inlineStr">
        <is>
          <t>RRD</t>
        </is>
      </c>
      <c r="BG23" s="6">
        <f>HYPERLINK("https://www.kleinanzeigen.de/s-bestandsliste.html?userId=13661901", "Link")</f>
        <v/>
      </c>
      <c r="BH23" s="7" t="n">
        <v>45563.72832175926</v>
      </c>
      <c r="BI23" s="3" t="inlineStr">
        <is>
          <t>84.29</t>
        </is>
      </c>
      <c r="BJ23" t="inlineStr">
        <is>
          <t>Köln</t>
        </is>
      </c>
    </row>
    <row r="24">
      <c r="A24" s="2" t="n">
        <v>5.8</v>
      </c>
      <c r="B24" t="inlineStr">
        <is>
          <t>North Sails Curve</t>
        </is>
      </c>
      <c r="C24" s="3" t="n">
        <v>430</v>
      </c>
      <c r="D24" s="3" t="n">
        <v>190</v>
      </c>
      <c r="E24" t="inlineStr"/>
      <c r="F24" t="inlineStr"/>
      <c r="G24" t="inlineStr">
        <is>
          <t>used</t>
        </is>
      </c>
      <c r="H24" s="4" t="n">
        <v>360</v>
      </c>
      <c r="I24" t="inlineStr"/>
      <c r="J24" t="inlineStr">
        <is>
          <t>19417 Mecklenburg-Vorpommern - Warin</t>
        </is>
      </c>
      <c r="K24" s="5" t="n">
        <v>45562</v>
      </c>
      <c r="L24" t="inlineStr"/>
      <c r="M24" s="6">
        <f>HYPERLINK("https://www.kleinanzeigen.de/s-anzeige/windsurfen-komplett-rigg-north-sails-power-xt-mast-boom-mastfuss/2875660206-230-22310", "Link")</f>
        <v/>
      </c>
      <c r="N24" s="6">
        <f>HYPERLINK("C:\Projects\Kleinanzeigen-Scraper\offer_images\2875660206", "Link")</f>
        <v/>
      </c>
      <c r="O24" t="inlineStr">
        <is>
          <t>Mike</t>
        </is>
      </c>
      <c r="P24" s="6">
        <f>HYPERLINK("https://www.kleinanzeigen.de/s-bestandsliste.html?userId=14627495", "Link")</f>
        <v/>
      </c>
      <c r="Q24" s="7" t="n">
        <v>45563.72825231482</v>
      </c>
      <c r="R24" s="3" t="inlineStr">
        <is>
          <t>449.43</t>
        </is>
      </c>
      <c r="S24" t="inlineStr">
        <is>
          <t>Köln</t>
        </is>
      </c>
      <c r="T24" t="inlineStr">
        <is>
          <t>North Sails Power XT</t>
        </is>
      </c>
      <c r="U24" s="3" t="n">
        <v>430</v>
      </c>
      <c r="V24" s="8" t="inlineStr"/>
      <c r="W24" t="inlineStr">
        <is>
          <t>SDM</t>
        </is>
      </c>
      <c r="X24" s="4" t="n">
        <v>360</v>
      </c>
      <c r="Y24" t="inlineStr"/>
      <c r="Z24" t="inlineStr">
        <is>
          <t>19417 Mecklenburg-Vorpommern - Warin</t>
        </is>
      </c>
      <c r="AA24" s="5" t="n">
        <v>45562</v>
      </c>
      <c r="AB24" t="inlineStr"/>
      <c r="AC24" s="6">
        <f>HYPERLINK("https://www.kleinanzeigen.de/s-anzeige/windsurfen-komplett-rigg-north-sails-power-xt-mast-boom-mastfuss/2875660206-230-22310", "Link")</f>
        <v/>
      </c>
      <c r="AD24" s="6">
        <f>HYPERLINK("C:\Projects\Kleinanzeigen-Scraper\offer_images\2875660206", "Link")</f>
        <v/>
      </c>
      <c r="AE24" t="inlineStr">
        <is>
          <t>Mike</t>
        </is>
      </c>
      <c r="AF24" s="6">
        <f>HYPERLINK("https://www.kleinanzeigen.de/s-bestandsliste.html?userId=14627495", "Link")</f>
        <v/>
      </c>
      <c r="AG24" s="7" t="n">
        <v>45563.72825231482</v>
      </c>
      <c r="AH24" s="3" t="inlineStr">
        <is>
          <t>449.43</t>
        </is>
      </c>
      <c r="AI24" t="inlineStr">
        <is>
          <t>Köln</t>
        </is>
      </c>
      <c r="AJ24" t="inlineStr"/>
      <c r="AK24" t="inlineStr"/>
      <c r="AL24" t="inlineStr"/>
      <c r="AM24" s="4" t="n">
        <v>360</v>
      </c>
      <c r="AN24" t="inlineStr"/>
      <c r="AO24" t="inlineStr">
        <is>
          <t>19417 Mecklenburg-Vorpommern - Warin</t>
        </is>
      </c>
      <c r="AP24" s="5" t="n">
        <v>45562</v>
      </c>
      <c r="AQ24" t="inlineStr"/>
      <c r="AR24" s="6">
        <f>HYPERLINK("https://www.kleinanzeigen.de/s-anzeige/windsurfen-komplett-rigg-north-sails-power-xt-mast-boom-mastfuss/2875660206-230-22310", "Link")</f>
        <v/>
      </c>
      <c r="AS24" s="6">
        <f>HYPERLINK("C:\Projects\Kleinanzeigen-Scraper\offer_images\2875660206", "Link")</f>
        <v/>
      </c>
      <c r="AT24" t="inlineStr">
        <is>
          <t>Mike</t>
        </is>
      </c>
      <c r="AU24" s="6">
        <f>HYPERLINK("https://www.kleinanzeigen.de/s-bestandsliste.html?userId=14627495", "Link")</f>
        <v/>
      </c>
      <c r="AV24" s="7" t="n">
        <v>45563.72825231482</v>
      </c>
      <c r="AW24" s="3" t="inlineStr">
        <is>
          <t>449.43</t>
        </is>
      </c>
      <c r="AX24" t="inlineStr">
        <is>
          <t>Köln</t>
        </is>
      </c>
      <c r="AY24" s="4" t="n">
        <v>360</v>
      </c>
      <c r="AZ24" t="inlineStr"/>
      <c r="BA24" t="inlineStr">
        <is>
          <t>19417 Mecklenburg-Vorpommern - Warin</t>
        </is>
      </c>
      <c r="BB24" s="5" t="n">
        <v>45562</v>
      </c>
      <c r="BC24" t="inlineStr"/>
      <c r="BD24" s="6">
        <f>HYPERLINK("https://www.kleinanzeigen.de/s-anzeige/windsurfen-komplett-rigg-north-sails-power-xt-mast-boom-mastfuss/2875660206-230-22310", "Link")</f>
        <v/>
      </c>
      <c r="BE24" s="6">
        <f>HYPERLINK("C:\Projects\Kleinanzeigen-Scraper\offer_images\2875660206", "Link")</f>
        <v/>
      </c>
      <c r="BF24" t="inlineStr">
        <is>
          <t>Mike</t>
        </is>
      </c>
      <c r="BG24" s="6">
        <f>HYPERLINK("https://www.kleinanzeigen.de/s-bestandsliste.html?userId=14627495", "Link")</f>
        <v/>
      </c>
      <c r="BH24" s="7" t="n">
        <v>45563.72825231482</v>
      </c>
      <c r="BI24" s="3" t="inlineStr">
        <is>
          <t>449.43</t>
        </is>
      </c>
      <c r="BJ24" t="inlineStr">
        <is>
          <t>Köln</t>
        </is>
      </c>
    </row>
    <row r="25">
      <c r="A25" s="2" t="n">
        <v>7.6</v>
      </c>
      <c r="B25" t="inlineStr">
        <is>
          <t>Point 7 F1 Hybrid</t>
        </is>
      </c>
      <c r="C25" s="3" t="inlineStr"/>
      <c r="D25" s="3" t="inlineStr"/>
      <c r="E25" t="inlineStr"/>
      <c r="F25" t="inlineStr"/>
      <c r="G25" t="inlineStr"/>
      <c r="H25" s="4" t="n">
        <v>700</v>
      </c>
      <c r="I25" t="inlineStr"/>
      <c r="J25" t="inlineStr">
        <is>
          <t>88400 Baden-Württemberg - Biberach an der Riß</t>
        </is>
      </c>
      <c r="K25" s="5" t="n">
        <v>45562</v>
      </c>
      <c r="L25" t="inlineStr">
        <is>
          <t>Sold</t>
        </is>
      </c>
      <c r="M25" s="6">
        <f>HYPERLINK("https://www.kleinanzeigen.de/s-anzeige/point-7-f1-hybrid-7-6-mast-460/2875014710-230-8706", "Link")</f>
        <v/>
      </c>
      <c r="N25" s="6">
        <f>HYPERLINK("C:\Projects\Kleinanzeigen-Scraper\offer_images\2875014710", "Link")</f>
        <v/>
      </c>
      <c r="O25" t="inlineStr">
        <is>
          <t>Schneider</t>
        </is>
      </c>
      <c r="P25" s="6">
        <f>HYPERLINK("https://www.kleinanzeigen.de/s-bestandsliste.html?userId=3638597", "Link")</f>
        <v/>
      </c>
      <c r="Q25" s="7" t="n">
        <v>45562.74627314815</v>
      </c>
      <c r="R25" s="3" t="inlineStr">
        <is>
          <t>89.53</t>
        </is>
      </c>
      <c r="S25" t="inlineStr">
        <is>
          <t>Böblingen</t>
        </is>
      </c>
      <c r="T25" t="inlineStr">
        <is>
          <t>Point 7</t>
        </is>
      </c>
      <c r="U25" s="3" t="n">
        <v>460</v>
      </c>
      <c r="V25" s="8" t="inlineStr"/>
      <c r="W25" t="inlineStr"/>
      <c r="X25" s="4" t="n">
        <v>700</v>
      </c>
      <c r="Y25" t="inlineStr"/>
      <c r="Z25" t="inlineStr">
        <is>
          <t>88400 Baden-Württemberg - Biberach an der Riß</t>
        </is>
      </c>
      <c r="AA25" s="5" t="n">
        <v>45562</v>
      </c>
      <c r="AB25" t="inlineStr">
        <is>
          <t>Sold</t>
        </is>
      </c>
      <c r="AC25" s="6">
        <f>HYPERLINK("https://www.kleinanzeigen.de/s-anzeige/point-7-f1-hybrid-7-6-mast-460/2875014710-230-8706", "Link")</f>
        <v/>
      </c>
      <c r="AD25" s="6">
        <f>HYPERLINK("C:\Projects\Kleinanzeigen-Scraper\offer_images\2875014710", "Link")</f>
        <v/>
      </c>
      <c r="AE25" t="inlineStr">
        <is>
          <t>Schneider</t>
        </is>
      </c>
      <c r="AF25" s="6">
        <f>HYPERLINK("https://www.kleinanzeigen.de/s-bestandsliste.html?userId=3638597", "Link")</f>
        <v/>
      </c>
      <c r="AG25" s="7" t="n">
        <v>45562.74627314815</v>
      </c>
      <c r="AH25" s="3" t="inlineStr">
        <is>
          <t>89.53</t>
        </is>
      </c>
      <c r="AI25" t="inlineStr">
        <is>
          <t>Böblingen</t>
        </is>
      </c>
      <c r="AJ25" t="inlineStr"/>
      <c r="AK25" t="inlineStr"/>
      <c r="AL25" t="inlineStr"/>
      <c r="AM25" s="4" t="n">
        <v>700</v>
      </c>
      <c r="AN25" t="inlineStr"/>
      <c r="AO25" t="inlineStr">
        <is>
          <t>88400 Baden-Württemberg - Biberach an der Riß</t>
        </is>
      </c>
      <c r="AP25" s="5" t="n">
        <v>45562</v>
      </c>
      <c r="AQ25" t="inlineStr">
        <is>
          <t>Sold</t>
        </is>
      </c>
      <c r="AR25" s="6">
        <f>HYPERLINK("https://www.kleinanzeigen.de/s-anzeige/point-7-f1-hybrid-7-6-mast-460/2875014710-230-8706", "Link")</f>
        <v/>
      </c>
      <c r="AS25" s="6">
        <f>HYPERLINK("C:\Projects\Kleinanzeigen-Scraper\offer_images\2875014710", "Link")</f>
        <v/>
      </c>
      <c r="AT25" t="inlineStr">
        <is>
          <t>Schneider</t>
        </is>
      </c>
      <c r="AU25" s="6">
        <f>HYPERLINK("https://www.kleinanzeigen.de/s-bestandsliste.html?userId=3638597", "Link")</f>
        <v/>
      </c>
      <c r="AV25" s="7" t="n">
        <v>45562.74627314815</v>
      </c>
      <c r="AW25" s="3" t="inlineStr">
        <is>
          <t>89.53</t>
        </is>
      </c>
      <c r="AX25" t="inlineStr">
        <is>
          <t>Böblingen</t>
        </is>
      </c>
      <c r="AY25" s="4" t="n">
        <v>700</v>
      </c>
      <c r="AZ25" t="inlineStr"/>
      <c r="BA25" t="inlineStr">
        <is>
          <t>88400 Baden-Württemberg - Biberach an der Riß</t>
        </is>
      </c>
      <c r="BB25" s="5" t="n">
        <v>45562</v>
      </c>
      <c r="BC25" t="inlineStr">
        <is>
          <t>Sold</t>
        </is>
      </c>
      <c r="BD25" s="6">
        <f>HYPERLINK("https://www.kleinanzeigen.de/s-anzeige/point-7-f1-hybrid-7-6-mast-460/2875014710-230-8706", "Link")</f>
        <v/>
      </c>
      <c r="BE25" s="6">
        <f>HYPERLINK("C:\Projects\Kleinanzeigen-Scraper\offer_images\2875014710", "Link")</f>
        <v/>
      </c>
      <c r="BF25" t="inlineStr">
        <is>
          <t>Schneider</t>
        </is>
      </c>
      <c r="BG25" s="6">
        <f>HYPERLINK("https://www.kleinanzeigen.de/s-bestandsliste.html?userId=3638597", "Link")</f>
        <v/>
      </c>
      <c r="BH25" s="7" t="n">
        <v>45562.74627314815</v>
      </c>
      <c r="BI25" s="3" t="inlineStr">
        <is>
          <t>89.53</t>
        </is>
      </c>
      <c r="BJ25" t="inlineStr">
        <is>
          <t>Böblingen</t>
        </is>
      </c>
    </row>
    <row r="26">
      <c r="A26" s="2" t="inlineStr"/>
      <c r="B26" t="inlineStr"/>
      <c r="C26" s="3" t="inlineStr"/>
      <c r="D26" s="3" t="inlineStr"/>
      <c r="E26" t="inlineStr"/>
      <c r="F26" t="inlineStr"/>
      <c r="G26" t="inlineStr"/>
      <c r="H26" s="4" t="n">
        <v>40</v>
      </c>
      <c r="I26" t="inlineStr"/>
      <c r="J26" t="inlineStr">
        <is>
          <t>23701 Kreis Ostholstein - Eutin</t>
        </is>
      </c>
      <c r="K26" s="5" t="n">
        <v>45561</v>
      </c>
      <c r="L26" t="inlineStr"/>
      <c r="M26" s="6">
        <f>HYPERLINK("https://www.kleinanzeigen.de/s-anzeige/windsurfen-mast-booms/2874786323-230-10552", "Link")</f>
        <v/>
      </c>
      <c r="N26" s="6">
        <f>HYPERLINK("C:\Projects\Kleinanzeigen-Scraper\offer_images\2874786323", "Link")</f>
        <v/>
      </c>
      <c r="O26" t="inlineStr">
        <is>
          <t>Sven Künzel</t>
        </is>
      </c>
      <c r="P26" s="6">
        <f>HYPERLINK("https://www.kleinanzeigen.de/s-bestandsliste.html?userId=11687588", "Link")</f>
        <v/>
      </c>
      <c r="Q26" s="7" t="n">
        <v>45562.74439814815</v>
      </c>
      <c r="R26" s="3" t="inlineStr">
        <is>
          <t>431.90</t>
        </is>
      </c>
      <c r="S26" t="inlineStr">
        <is>
          <t>Köln</t>
        </is>
      </c>
      <c r="T26" t="inlineStr">
        <is>
          <t>Gunsails Dragon</t>
        </is>
      </c>
      <c r="U26" s="3" t="inlineStr">
        <is>
          <t>300-320</t>
        </is>
      </c>
      <c r="V26" s="8" t="inlineStr"/>
      <c r="W26" t="inlineStr"/>
      <c r="X26" s="4" t="n">
        <v>40</v>
      </c>
      <c r="Y26" t="inlineStr"/>
      <c r="Z26" t="inlineStr">
        <is>
          <t>23701 Kreis Ostholstein - Eutin</t>
        </is>
      </c>
      <c r="AA26" s="5" t="n">
        <v>45561</v>
      </c>
      <c r="AB26" t="inlineStr"/>
      <c r="AC26" s="6">
        <f>HYPERLINK("https://www.kleinanzeigen.de/s-anzeige/windsurfen-mast-booms/2874786323-230-10552", "Link")</f>
        <v/>
      </c>
      <c r="AD26" s="6">
        <f>HYPERLINK("C:\Projects\Kleinanzeigen-Scraper\offer_images\2874786323", "Link")</f>
        <v/>
      </c>
      <c r="AE26" t="inlineStr">
        <is>
          <t>Sven Künzel</t>
        </is>
      </c>
      <c r="AF26" s="6">
        <f>HYPERLINK("https://www.kleinanzeigen.de/s-bestandsliste.html?userId=11687588", "Link")</f>
        <v/>
      </c>
      <c r="AG26" s="7" t="n">
        <v>45562.74439814815</v>
      </c>
      <c r="AH26" s="3" t="inlineStr">
        <is>
          <t>431.90</t>
        </is>
      </c>
      <c r="AI26" t="inlineStr">
        <is>
          <t>Köln</t>
        </is>
      </c>
      <c r="AJ26" t="inlineStr">
        <is>
          <t>Gunsails Dragon</t>
        </is>
      </c>
      <c r="AK26" t="inlineStr">
        <is>
          <t>120-160</t>
        </is>
      </c>
      <c r="AL26" t="inlineStr"/>
      <c r="AM26" s="4" t="n">
        <v>40</v>
      </c>
      <c r="AN26" t="inlineStr"/>
      <c r="AO26" t="inlineStr">
        <is>
          <t>23701 Kreis Ostholstein - Eutin</t>
        </is>
      </c>
      <c r="AP26" s="5" t="n">
        <v>45561</v>
      </c>
      <c r="AQ26" t="inlineStr"/>
      <c r="AR26" s="6">
        <f>HYPERLINK("https://www.kleinanzeigen.de/s-anzeige/windsurfen-mast-booms/2874786323-230-10552", "Link")</f>
        <v/>
      </c>
      <c r="AS26" s="6">
        <f>HYPERLINK("C:\Projects\Kleinanzeigen-Scraper\offer_images\2874786323", "Link")</f>
        <v/>
      </c>
      <c r="AT26" t="inlineStr">
        <is>
          <t>Sven Künzel</t>
        </is>
      </c>
      <c r="AU26" s="6">
        <f>HYPERLINK("https://www.kleinanzeigen.de/s-bestandsliste.html?userId=11687588", "Link")</f>
        <v/>
      </c>
      <c r="AV26" s="7" t="n">
        <v>45562.74439814815</v>
      </c>
      <c r="AW26" s="3" t="inlineStr">
        <is>
          <t>431.90</t>
        </is>
      </c>
      <c r="AX26" t="inlineStr">
        <is>
          <t>Köln</t>
        </is>
      </c>
      <c r="AY26" s="4" t="n">
        <v>40</v>
      </c>
      <c r="AZ26" t="inlineStr"/>
      <c r="BA26" t="inlineStr">
        <is>
          <t>23701 Kreis Ostholstein - Eutin</t>
        </is>
      </c>
      <c r="BB26" s="5" t="n">
        <v>45561</v>
      </c>
      <c r="BC26" t="inlineStr"/>
      <c r="BD26" s="6">
        <f>HYPERLINK("https://www.kleinanzeigen.de/s-anzeige/windsurfen-mast-booms/2874786323-230-10552", "Link")</f>
        <v/>
      </c>
      <c r="BE26" s="6">
        <f>HYPERLINK("C:\Projects\Kleinanzeigen-Scraper\offer_images\2874786323", "Link")</f>
        <v/>
      </c>
      <c r="BF26" t="inlineStr">
        <is>
          <t>Sven Künzel</t>
        </is>
      </c>
      <c r="BG26" s="6">
        <f>HYPERLINK("https://www.kleinanzeigen.de/s-bestandsliste.html?userId=11687588", "Link")</f>
        <v/>
      </c>
      <c r="BH26" s="7" t="n">
        <v>45562.74439814815</v>
      </c>
      <c r="BI26" s="3" t="inlineStr">
        <is>
          <t>431.90</t>
        </is>
      </c>
      <c r="BJ26" t="inlineStr">
        <is>
          <t>Köln</t>
        </is>
      </c>
    </row>
    <row r="27">
      <c r="A27" s="2" t="n">
        <v>5.3</v>
      </c>
      <c r="B27" t="inlineStr">
        <is>
          <t>North Vertigo</t>
        </is>
      </c>
      <c r="C27" s="3" t="inlineStr"/>
      <c r="D27" s="3" t="inlineStr"/>
      <c r="E27" t="inlineStr"/>
      <c r="F27" t="inlineStr"/>
      <c r="G27" t="inlineStr">
        <is>
          <t>repaired</t>
        </is>
      </c>
      <c r="H27" s="4" t="n">
        <v>40</v>
      </c>
      <c r="I27" t="inlineStr">
        <is>
          <t>VB</t>
        </is>
      </c>
      <c r="J27" t="inlineStr">
        <is>
          <t>67373 Speyer - Dudenhofen</t>
        </is>
      </c>
      <c r="K27" s="5" t="n">
        <v>45560</v>
      </c>
      <c r="L27" t="inlineStr"/>
      <c r="M27" s="6">
        <f>HYPERLINK("https://www.kleinanzeigen.de/s-anzeige/windsurfsegel-north-vertigo-5-3-m-mit-passendem-mast/2873348764-230-5368", "Link")</f>
        <v/>
      </c>
      <c r="N27" s="6">
        <f>HYPERLINK("C:\Projects\Kleinanzeigen-Scraper\offer_images\2873348764", "Link")</f>
        <v/>
      </c>
      <c r="O27" t="inlineStr">
        <is>
          <t>Uli</t>
        </is>
      </c>
      <c r="P27" s="6">
        <f>HYPERLINK("https://www.kleinanzeigen.de/s-bestandsliste.html?userId=92238343", "Link")</f>
        <v/>
      </c>
      <c r="Q27" s="7" t="n">
        <v>45562.74096064815</v>
      </c>
      <c r="R27" s="3" t="inlineStr">
        <is>
          <t>34.41</t>
        </is>
      </c>
      <c r="S27" t="inlineStr">
        <is>
          <t>Karlsruhe</t>
        </is>
      </c>
      <c r="T27" t="inlineStr">
        <is>
          <t>North</t>
        </is>
      </c>
      <c r="U27" s="3" t="n">
        <v>420</v>
      </c>
      <c r="V27" s="8" t="inlineStr">
        <is>
          <t>98%</t>
        </is>
      </c>
      <c r="W27" t="inlineStr"/>
      <c r="X27" s="4" t="n">
        <v>40</v>
      </c>
      <c r="Y27" t="inlineStr">
        <is>
          <t>VB</t>
        </is>
      </c>
      <c r="Z27" t="inlineStr">
        <is>
          <t>67373 Speyer - Dudenhofen</t>
        </is>
      </c>
      <c r="AA27" s="5" t="n">
        <v>45560</v>
      </c>
      <c r="AB27" t="inlineStr"/>
      <c r="AC27" s="6">
        <f>HYPERLINK("https://www.kleinanzeigen.de/s-anzeige/windsurfsegel-north-vertigo-5-3-m-mit-passendem-mast/2873348764-230-5368", "Link")</f>
        <v/>
      </c>
      <c r="AD27" s="6">
        <f>HYPERLINK("C:\Projects\Kleinanzeigen-Scraper\offer_images\2873348764", "Link")</f>
        <v/>
      </c>
      <c r="AE27" t="inlineStr">
        <is>
          <t>Uli</t>
        </is>
      </c>
      <c r="AF27" s="6">
        <f>HYPERLINK("https://www.kleinanzeigen.de/s-bestandsliste.html?userId=92238343", "Link")</f>
        <v/>
      </c>
      <c r="AG27" s="7" t="n">
        <v>45562.74096064815</v>
      </c>
      <c r="AH27" s="3" t="inlineStr">
        <is>
          <t>34.41</t>
        </is>
      </c>
      <c r="AI27" t="inlineStr">
        <is>
          <t>Karlsruhe</t>
        </is>
      </c>
      <c r="AJ27" t="inlineStr"/>
      <c r="AK27" t="inlineStr"/>
      <c r="AL27" t="inlineStr"/>
      <c r="AM27" s="4" t="n">
        <v>40</v>
      </c>
      <c r="AN27" t="inlineStr">
        <is>
          <t>VB</t>
        </is>
      </c>
      <c r="AO27" t="inlineStr">
        <is>
          <t>67373 Speyer - Dudenhofen</t>
        </is>
      </c>
      <c r="AP27" s="5" t="n">
        <v>45560</v>
      </c>
      <c r="AQ27" t="inlineStr"/>
      <c r="AR27" s="6">
        <f>HYPERLINK("https://www.kleinanzeigen.de/s-anzeige/windsurfsegel-north-vertigo-5-3-m-mit-passendem-mast/2873348764-230-5368", "Link")</f>
        <v/>
      </c>
      <c r="AS27" s="6">
        <f>HYPERLINK("C:\Projects\Kleinanzeigen-Scraper\offer_images\2873348764", "Link")</f>
        <v/>
      </c>
      <c r="AT27" t="inlineStr">
        <is>
          <t>Uli</t>
        </is>
      </c>
      <c r="AU27" s="6">
        <f>HYPERLINK("https://www.kleinanzeigen.de/s-bestandsliste.html?userId=92238343", "Link")</f>
        <v/>
      </c>
      <c r="AV27" s="7" t="n">
        <v>45562.74096064815</v>
      </c>
      <c r="AW27" s="3" t="inlineStr">
        <is>
          <t>34.41</t>
        </is>
      </c>
      <c r="AX27" t="inlineStr">
        <is>
          <t>Karlsruhe</t>
        </is>
      </c>
      <c r="AY27" s="4" t="n">
        <v>40</v>
      </c>
      <c r="AZ27" t="inlineStr">
        <is>
          <t>VB</t>
        </is>
      </c>
      <c r="BA27" t="inlineStr">
        <is>
          <t>67373 Speyer - Dudenhofen</t>
        </is>
      </c>
      <c r="BB27" s="5" t="n">
        <v>45560</v>
      </c>
      <c r="BC27" t="inlineStr"/>
      <c r="BD27" s="6">
        <f>HYPERLINK("https://www.kleinanzeigen.de/s-anzeige/windsurfsegel-north-vertigo-5-3-m-mit-passendem-mast/2873348764-230-5368", "Link")</f>
        <v/>
      </c>
      <c r="BE27" s="6">
        <f>HYPERLINK("C:\Projects\Kleinanzeigen-Scraper\offer_images\2873348764", "Link")</f>
        <v/>
      </c>
      <c r="BF27" t="inlineStr">
        <is>
          <t>Uli</t>
        </is>
      </c>
      <c r="BG27" s="6">
        <f>HYPERLINK("https://www.kleinanzeigen.de/s-bestandsliste.html?userId=92238343", "Link")</f>
        <v/>
      </c>
      <c r="BH27" s="7" t="n">
        <v>45562.74096064815</v>
      </c>
      <c r="BI27" s="3" t="inlineStr">
        <is>
          <t>34.41</t>
        </is>
      </c>
      <c r="BJ27" t="inlineStr">
        <is>
          <t>Karlsruhe</t>
        </is>
      </c>
    </row>
    <row r="28">
      <c r="A28" s="2" t="n">
        <v>5.3</v>
      </c>
      <c r="B28" t="inlineStr">
        <is>
          <t>Simmer Icon</t>
        </is>
      </c>
      <c r="C28" s="3" t="inlineStr"/>
      <c r="D28" s="3" t="inlineStr"/>
      <c r="E28" t="inlineStr"/>
      <c r="F28" t="inlineStr"/>
      <c r="G28" t="inlineStr">
        <is>
          <t>used</t>
        </is>
      </c>
      <c r="H28" s="4" t="n">
        <v>350</v>
      </c>
      <c r="I28" t="inlineStr">
        <is>
          <t>VB</t>
        </is>
      </c>
      <c r="J28" t="inlineStr">
        <is>
          <t>30890 Barsinghausen</t>
        </is>
      </c>
      <c r="K28" s="5" t="n">
        <v>45560</v>
      </c>
      <c r="L28" t="inlineStr"/>
      <c r="M28" s="6">
        <f>HYPERLINK("https://www.dailydose.de/kleinanzeigen/detail.htm?ai=423182&amp;cf=kk&amp;pg=4&amp;ci=5", "Link")</f>
        <v/>
      </c>
      <c r="N28" s="6">
        <f>HYPERLINK("C:\Projects\Kleinanzeigen-Scraper\offer_images\423182", "Link")</f>
        <v/>
      </c>
      <c r="O28" t="inlineStr">
        <is>
          <t>tikusurfer_6</t>
        </is>
      </c>
      <c r="P28" s="6">
        <f>HYPERLINK("https://www.dailydose.de/kleinanzeigen/user/7349", "Link")</f>
        <v/>
      </c>
      <c r="Q28" s="7" t="n">
        <v>45561.68083333333</v>
      </c>
      <c r="R28" s="3" t="inlineStr">
        <is>
          <t>234.09</t>
        </is>
      </c>
      <c r="S28" t="inlineStr">
        <is>
          <t>Köln</t>
        </is>
      </c>
      <c r="T28" t="inlineStr">
        <is>
          <t>Enemii</t>
        </is>
      </c>
      <c r="U28" s="3" t="n">
        <v>400</v>
      </c>
      <c r="V28" s="8" t="inlineStr">
        <is>
          <t>100%</t>
        </is>
      </c>
      <c r="W28" t="inlineStr"/>
      <c r="X28" s="4" t="n">
        <v>350</v>
      </c>
      <c r="Y28" t="inlineStr">
        <is>
          <t>VB</t>
        </is>
      </c>
      <c r="Z28" t="inlineStr">
        <is>
          <t>30890 Barsinghausen</t>
        </is>
      </c>
      <c r="AA28" s="5" t="n">
        <v>45560</v>
      </c>
      <c r="AB28" t="inlineStr"/>
      <c r="AC28" s="6">
        <f>HYPERLINK("https://www.dailydose.de/kleinanzeigen/detail.htm?ai=423182&amp;cf=kk&amp;pg=4&amp;ci=5", "Link")</f>
        <v/>
      </c>
      <c r="AD28" s="6">
        <f>HYPERLINK("C:\Projects\Kleinanzeigen-Scraper\offer_images\423182", "Link")</f>
        <v/>
      </c>
      <c r="AE28" t="inlineStr">
        <is>
          <t>tikusurfer_6</t>
        </is>
      </c>
      <c r="AF28" s="6">
        <f>HYPERLINK("https://www.dailydose.de/kleinanzeigen/user/7349", "Link")</f>
        <v/>
      </c>
      <c r="AG28" s="7" t="n">
        <v>45561.68083333333</v>
      </c>
      <c r="AH28" s="3" t="inlineStr">
        <is>
          <t>234.09</t>
        </is>
      </c>
      <c r="AI28" t="inlineStr">
        <is>
          <t>Köln</t>
        </is>
      </c>
      <c r="AJ28" t="inlineStr"/>
      <c r="AK28" t="inlineStr"/>
      <c r="AL28" t="inlineStr"/>
      <c r="AM28" s="4" t="n">
        <v>350</v>
      </c>
      <c r="AN28" t="inlineStr">
        <is>
          <t>VB</t>
        </is>
      </c>
      <c r="AO28" t="inlineStr">
        <is>
          <t>30890 Barsinghausen</t>
        </is>
      </c>
      <c r="AP28" s="5" t="n">
        <v>45560</v>
      </c>
      <c r="AQ28" t="inlineStr"/>
      <c r="AR28" s="6">
        <f>HYPERLINK("https://www.dailydose.de/kleinanzeigen/detail.htm?ai=423182&amp;cf=kk&amp;pg=4&amp;ci=5", "Link")</f>
        <v/>
      </c>
      <c r="AS28" s="6">
        <f>HYPERLINK("C:\Projects\Kleinanzeigen-Scraper\offer_images\423182", "Link")</f>
        <v/>
      </c>
      <c r="AT28" t="inlineStr">
        <is>
          <t>tikusurfer_6</t>
        </is>
      </c>
      <c r="AU28" s="6">
        <f>HYPERLINK("https://www.dailydose.de/kleinanzeigen/user/7349", "Link")</f>
        <v/>
      </c>
      <c r="AV28" s="7" t="n">
        <v>45561.68083333333</v>
      </c>
      <c r="AW28" s="3" t="inlineStr">
        <is>
          <t>234.09</t>
        </is>
      </c>
      <c r="AX28" t="inlineStr">
        <is>
          <t>Köln</t>
        </is>
      </c>
      <c r="AY28" s="4" t="n">
        <v>350</v>
      </c>
      <c r="AZ28" t="inlineStr">
        <is>
          <t>VB</t>
        </is>
      </c>
      <c r="BA28" t="inlineStr">
        <is>
          <t>30890 Barsinghausen</t>
        </is>
      </c>
      <c r="BB28" s="5" t="n">
        <v>45560</v>
      </c>
      <c r="BC28" t="inlineStr"/>
      <c r="BD28" s="6">
        <f>HYPERLINK("https://www.dailydose.de/kleinanzeigen/detail.htm?ai=423182&amp;cf=kk&amp;pg=4&amp;ci=5", "Link")</f>
        <v/>
      </c>
      <c r="BE28" s="6">
        <f>HYPERLINK("C:\Projects\Kleinanzeigen-Scraper\offer_images\423182", "Link")</f>
        <v/>
      </c>
      <c r="BF28" t="inlineStr">
        <is>
          <t>tikusurfer_6</t>
        </is>
      </c>
      <c r="BG28" s="6">
        <f>HYPERLINK("https://www.dailydose.de/kleinanzeigen/user/7349", "Link")</f>
        <v/>
      </c>
      <c r="BH28" s="7" t="n">
        <v>45561.68083333333</v>
      </c>
      <c r="BI28" s="3" t="inlineStr">
        <is>
          <t>234.09</t>
        </is>
      </c>
      <c r="BJ28" t="inlineStr">
        <is>
          <t>Köln</t>
        </is>
      </c>
    </row>
    <row r="29">
      <c r="A29" s="2" t="n">
        <v>12</v>
      </c>
      <c r="B29" t="inlineStr">
        <is>
          <t>Point 7 AC1</t>
        </is>
      </c>
      <c r="C29" s="3" t="inlineStr"/>
      <c r="D29" s="3" t="inlineStr"/>
      <c r="E29" t="inlineStr"/>
      <c r="F29" t="inlineStr"/>
      <c r="G29" t="inlineStr">
        <is>
          <t>used</t>
        </is>
      </c>
      <c r="H29" s="4" t="n">
        <v>150</v>
      </c>
      <c r="I29" t="inlineStr">
        <is>
          <t>VB</t>
        </is>
      </c>
      <c r="J29" t="inlineStr">
        <is>
          <t>01156 Dresden - Cossebaude</t>
        </is>
      </c>
      <c r="K29" s="5" t="n">
        <v>45560</v>
      </c>
      <c r="L29" t="inlineStr">
        <is>
          <t>Sold</t>
        </is>
      </c>
      <c r="M29" s="6">
        <f>HYPERLINK("https://www.kleinanzeigen.de/s-anzeige/point-7-ac1-12-qm-mit-mast-c100-fiberspar/2873758459-230-3847", "Link")</f>
        <v/>
      </c>
      <c r="N29" s="6">
        <f>HYPERLINK("C:\Projects\Kleinanzeigen-Scraper\offer_images\2873758459", "Link")</f>
        <v/>
      </c>
      <c r="O29" t="inlineStr">
        <is>
          <t>Frank</t>
        </is>
      </c>
      <c r="P29" s="6">
        <f>HYPERLINK("https://www.kleinanzeigen.de/s-bestandsliste.html?userId=37153892", "Link")</f>
        <v/>
      </c>
      <c r="Q29" s="7" t="n">
        <v>45561.67420138889</v>
      </c>
      <c r="R29" s="3" t="inlineStr">
        <is>
          <t>359.78</t>
        </is>
      </c>
      <c r="S29" t="inlineStr">
        <is>
          <t>München</t>
        </is>
      </c>
      <c r="T29" t="inlineStr">
        <is>
          <t>FIBERSPAR Reflex 6000 C100</t>
        </is>
      </c>
      <c r="U29" s="3" t="n">
        <v>560</v>
      </c>
      <c r="V29" s="8" t="n">
        <v>100</v>
      </c>
      <c r="W29" t="inlineStr">
        <is>
          <t>SDM</t>
        </is>
      </c>
      <c r="X29" s="4" t="n">
        <v>150</v>
      </c>
      <c r="Y29" t="inlineStr">
        <is>
          <t>VB</t>
        </is>
      </c>
      <c r="Z29" t="inlineStr">
        <is>
          <t>01156 Dresden - Cossebaude</t>
        </is>
      </c>
      <c r="AA29" s="5" t="n">
        <v>45560</v>
      </c>
      <c r="AB29" t="inlineStr">
        <is>
          <t>Sold</t>
        </is>
      </c>
      <c r="AC29" s="6">
        <f>HYPERLINK("https://www.kleinanzeigen.de/s-anzeige/point-7-ac1-12-qm-mit-mast-c100-fiberspar/2873758459-230-3847", "Link")</f>
        <v/>
      </c>
      <c r="AD29" s="6">
        <f>HYPERLINK("C:\Projects\Kleinanzeigen-Scraper\offer_images\2873758459", "Link")</f>
        <v/>
      </c>
      <c r="AE29" t="inlineStr">
        <is>
          <t>Frank</t>
        </is>
      </c>
      <c r="AF29" s="6">
        <f>HYPERLINK("https://www.kleinanzeigen.de/s-bestandsliste.html?userId=37153892", "Link")</f>
        <v/>
      </c>
      <c r="AG29" s="7" t="n">
        <v>45561.67420138889</v>
      </c>
      <c r="AH29" s="3" t="inlineStr">
        <is>
          <t>359.78</t>
        </is>
      </c>
      <c r="AI29" t="inlineStr">
        <is>
          <t>München</t>
        </is>
      </c>
      <c r="AJ29" t="inlineStr"/>
      <c r="AK29" t="inlineStr"/>
      <c r="AL29" t="inlineStr"/>
      <c r="AM29" s="4" t="n">
        <v>150</v>
      </c>
      <c r="AN29" t="inlineStr">
        <is>
          <t>VB</t>
        </is>
      </c>
      <c r="AO29" t="inlineStr">
        <is>
          <t>01156 Dresden - Cossebaude</t>
        </is>
      </c>
      <c r="AP29" s="5" t="n">
        <v>45560</v>
      </c>
      <c r="AQ29" t="inlineStr">
        <is>
          <t>Sold</t>
        </is>
      </c>
      <c r="AR29" s="6">
        <f>HYPERLINK("https://www.kleinanzeigen.de/s-anzeige/point-7-ac1-12-qm-mit-mast-c100-fiberspar/2873758459-230-3847", "Link")</f>
        <v/>
      </c>
      <c r="AS29" s="6">
        <f>HYPERLINK("C:\Projects\Kleinanzeigen-Scraper\offer_images\2873758459", "Link")</f>
        <v/>
      </c>
      <c r="AT29" t="inlineStr">
        <is>
          <t>Frank</t>
        </is>
      </c>
      <c r="AU29" s="6">
        <f>HYPERLINK("https://www.kleinanzeigen.de/s-bestandsliste.html?userId=37153892", "Link")</f>
        <v/>
      </c>
      <c r="AV29" s="7" t="n">
        <v>45561.67420138889</v>
      </c>
      <c r="AW29" s="3" t="inlineStr">
        <is>
          <t>359.78</t>
        </is>
      </c>
      <c r="AX29" t="inlineStr">
        <is>
          <t>München</t>
        </is>
      </c>
      <c r="AY29" s="4" t="n">
        <v>150</v>
      </c>
      <c r="AZ29" t="inlineStr">
        <is>
          <t>VB</t>
        </is>
      </c>
      <c r="BA29" t="inlineStr">
        <is>
          <t>01156 Dresden - Cossebaude</t>
        </is>
      </c>
      <c r="BB29" s="5" t="n">
        <v>45560</v>
      </c>
      <c r="BC29" t="inlineStr">
        <is>
          <t>Sold</t>
        </is>
      </c>
      <c r="BD29" s="6">
        <f>HYPERLINK("https://www.kleinanzeigen.de/s-anzeige/point-7-ac1-12-qm-mit-mast-c100-fiberspar/2873758459-230-3847", "Link")</f>
        <v/>
      </c>
      <c r="BE29" s="6">
        <f>HYPERLINK("C:\Projects\Kleinanzeigen-Scraper\offer_images\2873758459", "Link")</f>
        <v/>
      </c>
      <c r="BF29" t="inlineStr">
        <is>
          <t>Frank</t>
        </is>
      </c>
      <c r="BG29" s="6">
        <f>HYPERLINK("https://www.kleinanzeigen.de/s-bestandsliste.html?userId=37153892", "Link")</f>
        <v/>
      </c>
      <c r="BH29" s="7" t="n">
        <v>45561.67420138889</v>
      </c>
      <c r="BI29" s="3" t="inlineStr">
        <is>
          <t>359.78</t>
        </is>
      </c>
      <c r="BJ29" t="inlineStr">
        <is>
          <t>München</t>
        </is>
      </c>
    </row>
    <row r="30">
      <c r="A30" s="2" t="n">
        <v>6</v>
      </c>
      <c r="B30" t="inlineStr">
        <is>
          <t>F2 RIDE</t>
        </is>
      </c>
      <c r="C30" s="3" t="n">
        <v>430</v>
      </c>
      <c r="D30" s="3" t="n">
        <v>185</v>
      </c>
      <c r="E30" t="inlineStr">
        <is>
          <t>Freeride</t>
        </is>
      </c>
      <c r="F30" t="inlineStr"/>
      <c r="G30" t="inlineStr">
        <is>
          <t>new</t>
        </is>
      </c>
      <c r="H30" s="4" t="n">
        <v>529</v>
      </c>
      <c r="I30" t="inlineStr">
        <is>
          <t>VB</t>
        </is>
      </c>
      <c r="J30" t="inlineStr">
        <is>
          <t>95028 Bayern - Hof (Saale)</t>
        </is>
      </c>
      <c r="K30" s="5" t="n">
        <v>45560</v>
      </c>
      <c r="L30" t="inlineStr"/>
      <c r="M30" s="6">
        <f>HYPERLINK("https://www.kleinanzeigen.de/s-anzeige/windsurf-segel-komplett-rigg-f2-ride-6-0-qm/2873379482-230-7244", "Link")</f>
        <v/>
      </c>
      <c r="N30" s="6">
        <f>HYPERLINK("C:\Projects\Kleinanzeigen-Scraper\offer_images\2873379482", "Link")</f>
        <v/>
      </c>
      <c r="O30" t="inlineStr">
        <is>
          <t>No user name</t>
        </is>
      </c>
      <c r="P30" s="6">
        <f>HYPERLINK("https://www.kleinanzeigen.deNo user link", "Link")</f>
        <v/>
      </c>
      <c r="Q30" s="7" t="n">
        <v>45561.67233796296</v>
      </c>
      <c r="R30" s="3" t="inlineStr">
        <is>
          <t>244.83</t>
        </is>
      </c>
      <c r="S30" t="inlineStr">
        <is>
          <t>München</t>
        </is>
      </c>
      <c r="T30" t="inlineStr">
        <is>
          <t>F2</t>
        </is>
      </c>
      <c r="U30" s="3" t="n">
        <v>430</v>
      </c>
      <c r="V30" s="8" t="inlineStr"/>
      <c r="W30" t="inlineStr">
        <is>
          <t>RDM</t>
        </is>
      </c>
      <c r="X30" s="4" t="n">
        <v>529</v>
      </c>
      <c r="Y30" t="inlineStr">
        <is>
          <t>VB</t>
        </is>
      </c>
      <c r="Z30" t="inlineStr">
        <is>
          <t>95028 Bayern - Hof (Saale)</t>
        </is>
      </c>
      <c r="AA30" s="5" t="n">
        <v>45560</v>
      </c>
      <c r="AB30" t="inlineStr"/>
      <c r="AC30" s="6">
        <f>HYPERLINK("https://www.kleinanzeigen.de/s-anzeige/windsurf-segel-komplett-rigg-f2-ride-6-0-qm/2873379482-230-7244", "Link")</f>
        <v/>
      </c>
      <c r="AD30" s="6">
        <f>HYPERLINK("C:\Projects\Kleinanzeigen-Scraper\offer_images\2873379482", "Link")</f>
        <v/>
      </c>
      <c r="AE30" t="inlineStr">
        <is>
          <t>No user name</t>
        </is>
      </c>
      <c r="AF30" s="6">
        <f>HYPERLINK("https://www.kleinanzeigen.deNo user link", "Link")</f>
        <v/>
      </c>
      <c r="AG30" s="7" t="n">
        <v>45561.67233796296</v>
      </c>
      <c r="AH30" s="3" t="inlineStr">
        <is>
          <t>244.83</t>
        </is>
      </c>
      <c r="AI30" t="inlineStr">
        <is>
          <t>München</t>
        </is>
      </c>
      <c r="AJ30" t="inlineStr">
        <is>
          <t>F2</t>
        </is>
      </c>
      <c r="AK30" t="inlineStr">
        <is>
          <t>185</t>
        </is>
      </c>
      <c r="AL30" t="inlineStr"/>
      <c r="AM30" s="4" t="n">
        <v>529</v>
      </c>
      <c r="AN30" t="inlineStr">
        <is>
          <t>VB</t>
        </is>
      </c>
      <c r="AO30" t="inlineStr">
        <is>
          <t>95028 Bayern - Hof (Saale)</t>
        </is>
      </c>
      <c r="AP30" s="5" t="n">
        <v>45560</v>
      </c>
      <c r="AQ30" t="inlineStr"/>
      <c r="AR30" s="6">
        <f>HYPERLINK("https://www.kleinanzeigen.de/s-anzeige/windsurf-segel-komplett-rigg-f2-ride-6-0-qm/2873379482-230-7244", "Link")</f>
        <v/>
      </c>
      <c r="AS30" s="6">
        <f>HYPERLINK("C:\Projects\Kleinanzeigen-Scraper\offer_images\2873379482", "Link")</f>
        <v/>
      </c>
      <c r="AT30" t="inlineStr">
        <is>
          <t>No user name</t>
        </is>
      </c>
      <c r="AU30" s="6">
        <f>HYPERLINK("https://www.kleinanzeigen.deNo user link", "Link")</f>
        <v/>
      </c>
      <c r="AV30" s="7" t="n">
        <v>45561.67233796296</v>
      </c>
      <c r="AW30" s="3" t="inlineStr">
        <is>
          <t>244.83</t>
        </is>
      </c>
      <c r="AX30" t="inlineStr">
        <is>
          <t>München</t>
        </is>
      </c>
      <c r="AY30" s="4" t="n">
        <v>529</v>
      </c>
      <c r="AZ30" t="inlineStr">
        <is>
          <t>VB</t>
        </is>
      </c>
      <c r="BA30" t="inlineStr">
        <is>
          <t>95028 Bayern - Hof (Saale)</t>
        </is>
      </c>
      <c r="BB30" s="5" t="n">
        <v>45560</v>
      </c>
      <c r="BC30" t="inlineStr"/>
      <c r="BD30" s="6">
        <f>HYPERLINK("https://www.kleinanzeigen.de/s-anzeige/windsurf-segel-komplett-rigg-f2-ride-6-0-qm/2873379482-230-7244", "Link")</f>
        <v/>
      </c>
      <c r="BE30" s="6">
        <f>HYPERLINK("C:\Projects\Kleinanzeigen-Scraper\offer_images\2873379482", "Link")</f>
        <v/>
      </c>
      <c r="BF30" t="inlineStr">
        <is>
          <t>No user name</t>
        </is>
      </c>
      <c r="BG30" s="6">
        <f>HYPERLINK("https://www.kleinanzeigen.deNo user link", "Link")</f>
        <v/>
      </c>
      <c r="BH30" s="7" t="n">
        <v>45561.67233796296</v>
      </c>
      <c r="BI30" s="3" t="inlineStr">
        <is>
          <t>244.83</t>
        </is>
      </c>
      <c r="BJ30" t="inlineStr">
        <is>
          <t>München</t>
        </is>
      </c>
    </row>
    <row r="31">
      <c r="A31" s="2" t="n">
        <v>5.3</v>
      </c>
      <c r="B31" t="inlineStr">
        <is>
          <t>North Sails Rave</t>
        </is>
      </c>
      <c r="C31" s="3" t="n">
        <v>460</v>
      </c>
      <c r="D31" s="3" t="inlineStr"/>
      <c r="E31" t="inlineStr"/>
      <c r="F31" t="inlineStr"/>
      <c r="G31" t="inlineStr"/>
      <c r="H31" s="4" t="n">
        <v>180</v>
      </c>
      <c r="I31" t="inlineStr">
        <is>
          <t>VB</t>
        </is>
      </c>
      <c r="J31" t="inlineStr">
        <is>
          <t>24119 Kiel - Kronshagen</t>
        </is>
      </c>
      <c r="K31" s="5" t="n">
        <v>45560</v>
      </c>
      <c r="L31" t="inlineStr"/>
      <c r="M31" s="6">
        <f>HYPERLINK("https://www.kleinanzeigen.de/s-anzeige/windsurf-segel-mit-mast/2874025373-230-705", "Link")</f>
        <v/>
      </c>
      <c r="N31" s="6">
        <f>HYPERLINK("C:\Projects\Kleinanzeigen-Scraper\offer_images\2874025373", "Link")</f>
        <v/>
      </c>
      <c r="O31" t="inlineStr">
        <is>
          <t>Hannah</t>
        </is>
      </c>
      <c r="P31" s="6">
        <f>HYPERLINK("https://www.kleinanzeigen.de/s-bestandsliste.html?userId=76150702", "Link")</f>
        <v/>
      </c>
      <c r="Q31" s="7" t="n">
        <v>45561.67121527778</v>
      </c>
      <c r="R31" s="3" t="inlineStr">
        <is>
          <t>432.46</t>
        </is>
      </c>
      <c r="S31" t="inlineStr">
        <is>
          <t>Köln</t>
        </is>
      </c>
      <c r="T31" t="inlineStr"/>
      <c r="U31" s="3" t="n">
        <v>460</v>
      </c>
      <c r="V31" s="8" t="inlineStr"/>
      <c r="W31" t="inlineStr"/>
      <c r="X31" s="4" t="n">
        <v>180</v>
      </c>
      <c r="Y31" t="inlineStr">
        <is>
          <t>VB</t>
        </is>
      </c>
      <c r="Z31" t="inlineStr">
        <is>
          <t>24119 Kiel - Kronshagen</t>
        </is>
      </c>
      <c r="AA31" s="5" t="n">
        <v>45560</v>
      </c>
      <c r="AB31" t="inlineStr"/>
      <c r="AC31" s="6">
        <f>HYPERLINK("https://www.kleinanzeigen.de/s-anzeige/windsurf-segel-mit-mast/2874025373-230-705", "Link")</f>
        <v/>
      </c>
      <c r="AD31" s="6">
        <f>HYPERLINK("C:\Projects\Kleinanzeigen-Scraper\offer_images\2874025373", "Link")</f>
        <v/>
      </c>
      <c r="AE31" t="inlineStr">
        <is>
          <t>Hannah</t>
        </is>
      </c>
      <c r="AF31" s="6">
        <f>HYPERLINK("https://www.kleinanzeigen.de/s-bestandsliste.html?userId=76150702", "Link")</f>
        <v/>
      </c>
      <c r="AG31" s="7" t="n">
        <v>45561.67121527778</v>
      </c>
      <c r="AH31" s="3" t="inlineStr">
        <is>
          <t>432.46</t>
        </is>
      </c>
      <c r="AI31" t="inlineStr">
        <is>
          <t>Köln</t>
        </is>
      </c>
      <c r="AJ31" t="inlineStr"/>
      <c r="AK31" t="inlineStr"/>
      <c r="AL31" t="inlineStr"/>
      <c r="AM31" s="4" t="n">
        <v>180</v>
      </c>
      <c r="AN31" t="inlineStr">
        <is>
          <t>VB</t>
        </is>
      </c>
      <c r="AO31" t="inlineStr">
        <is>
          <t>24119 Kiel - Kronshagen</t>
        </is>
      </c>
      <c r="AP31" s="5" t="n">
        <v>45560</v>
      </c>
      <c r="AQ31" t="inlineStr"/>
      <c r="AR31" s="6">
        <f>HYPERLINK("https://www.kleinanzeigen.de/s-anzeige/windsurf-segel-mit-mast/2874025373-230-705", "Link")</f>
        <v/>
      </c>
      <c r="AS31" s="6">
        <f>HYPERLINK("C:\Projects\Kleinanzeigen-Scraper\offer_images\2874025373", "Link")</f>
        <v/>
      </c>
      <c r="AT31" t="inlineStr">
        <is>
          <t>Hannah</t>
        </is>
      </c>
      <c r="AU31" s="6">
        <f>HYPERLINK("https://www.kleinanzeigen.de/s-bestandsliste.html?userId=76150702", "Link")</f>
        <v/>
      </c>
      <c r="AV31" s="7" t="n">
        <v>45561.67121527778</v>
      </c>
      <c r="AW31" s="3" t="inlineStr">
        <is>
          <t>432.46</t>
        </is>
      </c>
      <c r="AX31" t="inlineStr">
        <is>
          <t>Köln</t>
        </is>
      </c>
      <c r="AY31" s="4" t="n">
        <v>180</v>
      </c>
      <c r="AZ31" t="inlineStr">
        <is>
          <t>VB</t>
        </is>
      </c>
      <c r="BA31" t="inlineStr">
        <is>
          <t>24119 Kiel - Kronshagen</t>
        </is>
      </c>
      <c r="BB31" s="5" t="n">
        <v>45560</v>
      </c>
      <c r="BC31" t="inlineStr"/>
      <c r="BD31" s="6">
        <f>HYPERLINK("https://www.kleinanzeigen.de/s-anzeige/windsurf-segel-mit-mast/2874025373-230-705", "Link")</f>
        <v/>
      </c>
      <c r="BE31" s="6">
        <f>HYPERLINK("C:\Projects\Kleinanzeigen-Scraper\offer_images\2874025373", "Link")</f>
        <v/>
      </c>
      <c r="BF31" t="inlineStr">
        <is>
          <t>Hannah</t>
        </is>
      </c>
      <c r="BG31" s="6">
        <f>HYPERLINK("https://www.kleinanzeigen.de/s-bestandsliste.html?userId=76150702", "Link")</f>
        <v/>
      </c>
      <c r="BH31" s="7" t="n">
        <v>45561.67121527778</v>
      </c>
      <c r="BI31" s="3" t="inlineStr">
        <is>
          <t>432.46</t>
        </is>
      </c>
      <c r="BJ31" t="inlineStr">
        <is>
          <t>Köln</t>
        </is>
      </c>
    </row>
    <row r="32">
      <c r="A32" s="2" t="n">
        <v>8.9</v>
      </c>
      <c r="B32" t="inlineStr">
        <is>
          <t>Naish Stealth</t>
        </is>
      </c>
      <c r="C32" s="3" t="n">
        <v>4.85</v>
      </c>
      <c r="D32" s="3" t="n">
        <v>255</v>
      </c>
      <c r="E32" t="inlineStr">
        <is>
          <t>Formula</t>
        </is>
      </c>
      <c r="F32" t="inlineStr"/>
      <c r="G32" t="inlineStr">
        <is>
          <t>repaired</t>
        </is>
      </c>
      <c r="H32" s="4" t="n">
        <v>200</v>
      </c>
      <c r="I32" t="inlineStr">
        <is>
          <t>VB</t>
        </is>
      </c>
      <c r="J32" t="inlineStr">
        <is>
          <t>48291 Nordrhein-Westfalen - Telgte</t>
        </is>
      </c>
      <c r="K32" s="5" t="n">
        <v>45493</v>
      </c>
      <c r="L32" t="inlineStr">
        <is>
          <t>Sold</t>
        </is>
      </c>
      <c r="M32" s="6">
        <f>HYPERLINK("https://www.kleinanzeigen.de/s-anzeige/windsurf-segel-8-9m-naish-komplettrigg-ohne-mastfuss/2816572420-230-1305", "Link")</f>
        <v/>
      </c>
      <c r="N32" s="6">
        <f>HYPERLINK("C:\Projects\Kleinanzeigen-Scraper\offer_images\2816572420", "Link")</f>
        <v/>
      </c>
      <c r="O32" t="inlineStr">
        <is>
          <t>Wolfgang Bahr.</t>
        </is>
      </c>
      <c r="P32" s="6">
        <f>HYPERLINK("https://www.kleinanzeigen.de/s-bestandsliste.html?userId=2855007", "Link")</f>
        <v/>
      </c>
      <c r="Q32" s="7" t="n">
        <v>45561.67112268518</v>
      </c>
      <c r="R32" s="3" t="inlineStr">
        <is>
          <t>129.80</t>
        </is>
      </c>
      <c r="S32" t="inlineStr">
        <is>
          <t>Köln</t>
        </is>
      </c>
      <c r="T32" t="inlineStr"/>
      <c r="U32" s="3" t="n">
        <v>485</v>
      </c>
      <c r="V32" s="8" t="inlineStr">
        <is>
          <t>30%</t>
        </is>
      </c>
      <c r="W32" t="inlineStr"/>
      <c r="X32" s="4" t="n">
        <v>200</v>
      </c>
      <c r="Y32" t="inlineStr">
        <is>
          <t>VB</t>
        </is>
      </c>
      <c r="Z32" t="inlineStr">
        <is>
          <t>48291 Nordrhein-Westfalen - Telgte</t>
        </is>
      </c>
      <c r="AA32" s="5" t="n">
        <v>45493</v>
      </c>
      <c r="AB32" t="inlineStr">
        <is>
          <t>Sold</t>
        </is>
      </c>
      <c r="AC32" s="6">
        <f>HYPERLINK("https://www.kleinanzeigen.de/s-anzeige/windsurf-segel-8-9m-naish-komplettrigg-ohne-mastfuss/2816572420-230-1305", "Link")</f>
        <v/>
      </c>
      <c r="AD32" s="6">
        <f>HYPERLINK("C:\Projects\Kleinanzeigen-Scraper\offer_images\2816572420", "Link")</f>
        <v/>
      </c>
      <c r="AE32" t="inlineStr">
        <is>
          <t>Wolfgang Bahr.</t>
        </is>
      </c>
      <c r="AF32" s="6">
        <f>HYPERLINK("https://www.kleinanzeigen.de/s-bestandsliste.html?userId=2855007", "Link")</f>
        <v/>
      </c>
      <c r="AG32" s="7" t="n">
        <v>45561.67112268518</v>
      </c>
      <c r="AH32" s="3" t="inlineStr">
        <is>
          <t>129.80</t>
        </is>
      </c>
      <c r="AI32" t="inlineStr">
        <is>
          <t>Köln</t>
        </is>
      </c>
      <c r="AJ32" t="inlineStr">
        <is>
          <t>Arrows</t>
        </is>
      </c>
      <c r="AK32" t="inlineStr">
        <is>
          <t>210-265</t>
        </is>
      </c>
      <c r="AL32" t="inlineStr"/>
      <c r="AM32" s="4" t="n">
        <v>200</v>
      </c>
      <c r="AN32" t="inlineStr">
        <is>
          <t>VB</t>
        </is>
      </c>
      <c r="AO32" t="inlineStr">
        <is>
          <t>48291 Nordrhein-Westfalen - Telgte</t>
        </is>
      </c>
      <c r="AP32" s="5" t="n">
        <v>45493</v>
      </c>
      <c r="AQ32" t="inlineStr">
        <is>
          <t>Sold</t>
        </is>
      </c>
      <c r="AR32" s="6">
        <f>HYPERLINK("https://www.kleinanzeigen.de/s-anzeige/windsurf-segel-8-9m-naish-komplettrigg-ohne-mastfuss/2816572420-230-1305", "Link")</f>
        <v/>
      </c>
      <c r="AS32" s="6">
        <f>HYPERLINK("C:\Projects\Kleinanzeigen-Scraper\offer_images\2816572420", "Link")</f>
        <v/>
      </c>
      <c r="AT32" t="inlineStr">
        <is>
          <t>Wolfgang Bahr.</t>
        </is>
      </c>
      <c r="AU32" s="6">
        <f>HYPERLINK("https://www.kleinanzeigen.de/s-bestandsliste.html?userId=2855007", "Link")</f>
        <v/>
      </c>
      <c r="AV32" s="7" t="n">
        <v>45561.67112268518</v>
      </c>
      <c r="AW32" s="3" t="inlineStr">
        <is>
          <t>129.80</t>
        </is>
      </c>
      <c r="AX32" t="inlineStr">
        <is>
          <t>Köln</t>
        </is>
      </c>
      <c r="AY32" s="4" t="n">
        <v>200</v>
      </c>
      <c r="AZ32" t="inlineStr">
        <is>
          <t>VB</t>
        </is>
      </c>
      <c r="BA32" t="inlineStr">
        <is>
          <t>48291 Nordrhein-Westfalen - Telgte</t>
        </is>
      </c>
      <c r="BB32" s="5" t="n">
        <v>45493</v>
      </c>
      <c r="BC32" t="inlineStr">
        <is>
          <t>Sold</t>
        </is>
      </c>
      <c r="BD32" s="6">
        <f>HYPERLINK("https://www.kleinanzeigen.de/s-anzeige/windsurf-segel-8-9m-naish-komplettrigg-ohne-mastfuss/2816572420-230-1305", "Link")</f>
        <v/>
      </c>
      <c r="BE32" s="6">
        <f>HYPERLINK("C:\Projects\Kleinanzeigen-Scraper\offer_images\2816572420", "Link")</f>
        <v/>
      </c>
      <c r="BF32" t="inlineStr">
        <is>
          <t>Wolfgang Bahr.</t>
        </is>
      </c>
      <c r="BG32" s="6">
        <f>HYPERLINK("https://www.kleinanzeigen.de/s-bestandsliste.html?userId=2855007", "Link")</f>
        <v/>
      </c>
      <c r="BH32" s="7" t="n">
        <v>45561.67112268518</v>
      </c>
      <c r="BI32" s="3" t="inlineStr">
        <is>
          <t>129.80</t>
        </is>
      </c>
      <c r="BJ32" t="inlineStr">
        <is>
          <t>Köln</t>
        </is>
      </c>
    </row>
    <row r="33">
      <c r="A33" s="2" t="n">
        <v>8.5</v>
      </c>
      <c r="B33" t="inlineStr">
        <is>
          <t>Ezzy Lion</t>
        </is>
      </c>
      <c r="C33" s="3" t="n">
        <v>490</v>
      </c>
      <c r="D33" s="3" t="inlineStr">
        <is>
          <t>200-250</t>
        </is>
      </c>
      <c r="E33" t="inlineStr"/>
      <c r="F33" t="inlineStr">
        <is>
          <t>2019</t>
        </is>
      </c>
      <c r="G33" t="inlineStr">
        <is>
          <t>used</t>
        </is>
      </c>
      <c r="H33" s="4" t="n">
        <v>1099</v>
      </c>
      <c r="I33" t="inlineStr"/>
      <c r="J33" t="inlineStr">
        <is>
          <t>34121 Kassel</t>
        </is>
      </c>
      <c r="K33" s="5" t="n">
        <v>45559</v>
      </c>
      <c r="L33" t="inlineStr"/>
      <c r="M33" s="6">
        <f>HYPERLINK("https://www.dailydose.de/kleinanzeigen/detail.htm?ai=423126&amp;cf=kk&amp;pg=5&amp;ci=5", "Link")</f>
        <v/>
      </c>
      <c r="N33" s="6">
        <f>HYPERLINK("C:\Projects\Kleinanzeigen-Scraper\offer_images\423126", "Link")</f>
        <v/>
      </c>
      <c r="O33" t="inlineStr">
        <is>
          <t>Ingo Schwede</t>
        </is>
      </c>
      <c r="P33" s="6">
        <f>HYPERLINK("https://www.dailydose.de/kleinanzeigen/user/11243", "Link")</f>
        <v/>
      </c>
      <c r="Q33" s="7" t="n">
        <v>45559.88342592592</v>
      </c>
      <c r="R33" s="3" t="inlineStr">
        <is>
          <t>180.90</t>
        </is>
      </c>
      <c r="S33" t="inlineStr">
        <is>
          <t>Köln</t>
        </is>
      </c>
      <c r="T33" t="inlineStr">
        <is>
          <t>GUN Select</t>
        </is>
      </c>
      <c r="U33" s="3" t="n">
        <v>490</v>
      </c>
      <c r="V33" s="8" t="inlineStr">
        <is>
          <t>100%</t>
        </is>
      </c>
      <c r="W33" t="inlineStr"/>
      <c r="X33" s="4" t="n">
        <v>1099</v>
      </c>
      <c r="Y33" t="inlineStr"/>
      <c r="Z33" t="inlineStr">
        <is>
          <t>34121 Kassel</t>
        </is>
      </c>
      <c r="AA33" s="5" t="n">
        <v>45559</v>
      </c>
      <c r="AB33" t="inlineStr"/>
      <c r="AC33" s="6">
        <f>HYPERLINK("https://www.dailydose.de/kleinanzeigen/detail.htm?ai=423126&amp;cf=kk&amp;pg=5&amp;ci=5", "Link")</f>
        <v/>
      </c>
      <c r="AD33" s="6">
        <f>HYPERLINK("C:\Projects\Kleinanzeigen-Scraper\offer_images\423126", "Link")</f>
        <v/>
      </c>
      <c r="AE33" t="inlineStr">
        <is>
          <t>Ingo Schwede</t>
        </is>
      </c>
      <c r="AF33" s="6">
        <f>HYPERLINK("https://www.dailydose.de/kleinanzeigen/user/11243", "Link")</f>
        <v/>
      </c>
      <c r="AG33" s="7" t="n">
        <v>45559.88342592592</v>
      </c>
      <c r="AH33" s="3" t="inlineStr">
        <is>
          <t>180.90</t>
        </is>
      </c>
      <c r="AI33" t="inlineStr">
        <is>
          <t>Köln</t>
        </is>
      </c>
      <c r="AJ33" t="inlineStr">
        <is>
          <t>GUN Boom Select</t>
        </is>
      </c>
      <c r="AK33" t="inlineStr">
        <is>
          <t>200-250</t>
        </is>
      </c>
      <c r="AL33" t="inlineStr">
        <is>
          <t>2021</t>
        </is>
      </c>
      <c r="AM33" s="4" t="n">
        <v>1099</v>
      </c>
      <c r="AN33" t="inlineStr"/>
      <c r="AO33" t="inlineStr">
        <is>
          <t>34121 Kassel</t>
        </is>
      </c>
      <c r="AP33" s="5" t="n">
        <v>45559</v>
      </c>
      <c r="AQ33" t="inlineStr"/>
      <c r="AR33" s="6">
        <f>HYPERLINK("https://www.dailydose.de/kleinanzeigen/detail.htm?ai=423126&amp;cf=kk&amp;pg=5&amp;ci=5", "Link")</f>
        <v/>
      </c>
      <c r="AS33" s="6">
        <f>HYPERLINK("C:\Projects\Kleinanzeigen-Scraper\offer_images\423126", "Link")</f>
        <v/>
      </c>
      <c r="AT33" t="inlineStr">
        <is>
          <t>Ingo Schwede</t>
        </is>
      </c>
      <c r="AU33" s="6">
        <f>HYPERLINK("https://www.dailydose.de/kleinanzeigen/user/11243", "Link")</f>
        <v/>
      </c>
      <c r="AV33" s="7" t="n">
        <v>45559.88342592592</v>
      </c>
      <c r="AW33" s="3" t="inlineStr">
        <is>
          <t>180.90</t>
        </is>
      </c>
      <c r="AX33" t="inlineStr">
        <is>
          <t>Köln</t>
        </is>
      </c>
      <c r="AY33" s="4" t="n">
        <v>1099</v>
      </c>
      <c r="AZ33" t="inlineStr"/>
      <c r="BA33" t="inlineStr">
        <is>
          <t>34121 Kassel</t>
        </is>
      </c>
      <c r="BB33" s="5" t="n">
        <v>45559</v>
      </c>
      <c r="BC33" t="inlineStr"/>
      <c r="BD33" s="6">
        <f>HYPERLINK("https://www.dailydose.de/kleinanzeigen/detail.htm?ai=423126&amp;cf=kk&amp;pg=5&amp;ci=5", "Link")</f>
        <v/>
      </c>
      <c r="BE33" s="6">
        <f>HYPERLINK("C:\Projects\Kleinanzeigen-Scraper\offer_images\423126", "Link")</f>
        <v/>
      </c>
      <c r="BF33" t="inlineStr">
        <is>
          <t>Ingo Schwede</t>
        </is>
      </c>
      <c r="BG33" s="6">
        <f>HYPERLINK("https://www.dailydose.de/kleinanzeigen/user/11243", "Link")</f>
        <v/>
      </c>
      <c r="BH33" s="7" t="n">
        <v>45559.88342592592</v>
      </c>
      <c r="BI33" s="3" t="inlineStr">
        <is>
          <t>180.90</t>
        </is>
      </c>
      <c r="BJ33" t="inlineStr">
        <is>
          <t>Köln</t>
        </is>
      </c>
    </row>
    <row r="34">
      <c r="A34" s="2" t="n">
        <v>5.4</v>
      </c>
      <c r="B34" t="inlineStr">
        <is>
          <t>Gaastra Poseidon</t>
        </is>
      </c>
      <c r="C34" s="3" t="n">
        <v>400</v>
      </c>
      <c r="D34" s="3" t="n">
        <v>170</v>
      </c>
      <c r="E34" t="inlineStr"/>
      <c r="F34" t="inlineStr">
        <is>
          <t>2016</t>
        </is>
      </c>
      <c r="G34" t="inlineStr">
        <is>
          <t>used</t>
        </is>
      </c>
      <c r="H34" s="4" t="n">
        <v>195</v>
      </c>
      <c r="I34" t="inlineStr">
        <is>
          <t>VB</t>
        </is>
      </c>
      <c r="J34" t="inlineStr">
        <is>
          <t>82347 Bayern - Bernried</t>
        </is>
      </c>
      <c r="K34" s="5" t="n">
        <v>45557</v>
      </c>
      <c r="L34" t="inlineStr"/>
      <c r="M34" s="6">
        <f>HYPERLINK("https://www.kleinanzeigen.de/s-anzeige/windsurfsegel-gaastra-poseidon-5-4-inkl-mast-2016/2835364915-230-5544", "Link")</f>
        <v/>
      </c>
      <c r="N34" s="6">
        <f>HYPERLINK("C:\Projects\Kleinanzeigen-Scraper\offer_images\2835364915", "Link")</f>
        <v/>
      </c>
      <c r="O34" t="inlineStr">
        <is>
          <t>Dirk Rosenberg</t>
        </is>
      </c>
      <c r="P34" s="6">
        <f>HYPERLINK("https://www.kleinanzeigen.de/s-bestandsliste.html?userId=57048109", "Link")</f>
        <v/>
      </c>
      <c r="Q34" s="7" t="n">
        <v>45559.87729166666</v>
      </c>
      <c r="R34" s="3" t="inlineStr">
        <is>
          <t>38.08</t>
        </is>
      </c>
      <c r="S34" t="inlineStr">
        <is>
          <t>München</t>
        </is>
      </c>
      <c r="T34" t="inlineStr"/>
      <c r="U34" s="3" t="n">
        <v>400</v>
      </c>
      <c r="V34" s="8" t="inlineStr"/>
      <c r="W34" t="inlineStr">
        <is>
          <t>RDM</t>
        </is>
      </c>
      <c r="X34" s="4" t="n">
        <v>195</v>
      </c>
      <c r="Y34" t="inlineStr">
        <is>
          <t>VB</t>
        </is>
      </c>
      <c r="Z34" t="inlineStr">
        <is>
          <t>82347 Bayern - Bernried</t>
        </is>
      </c>
      <c r="AA34" s="5" t="n">
        <v>45557</v>
      </c>
      <c r="AB34" t="inlineStr"/>
      <c r="AC34" s="6">
        <f>HYPERLINK("https://www.kleinanzeigen.de/s-anzeige/windsurfsegel-gaastra-poseidon-5-4-inkl-mast-2016/2835364915-230-5544", "Link")</f>
        <v/>
      </c>
      <c r="AD34" s="6">
        <f>HYPERLINK("C:\Projects\Kleinanzeigen-Scraper\offer_images\2835364915", "Link")</f>
        <v/>
      </c>
      <c r="AE34" t="inlineStr">
        <is>
          <t>Dirk Rosenberg</t>
        </is>
      </c>
      <c r="AF34" s="6">
        <f>HYPERLINK("https://www.kleinanzeigen.de/s-bestandsliste.html?userId=57048109", "Link")</f>
        <v/>
      </c>
      <c r="AG34" s="7" t="n">
        <v>45559.87729166666</v>
      </c>
      <c r="AH34" s="3" t="inlineStr">
        <is>
          <t>38.08</t>
        </is>
      </c>
      <c r="AI34" t="inlineStr">
        <is>
          <t>München</t>
        </is>
      </c>
      <c r="AJ34" t="inlineStr"/>
      <c r="AK34" t="inlineStr">
        <is>
          <t>170</t>
        </is>
      </c>
      <c r="AL34" t="inlineStr"/>
      <c r="AM34" s="4" t="n">
        <v>195</v>
      </c>
      <c r="AN34" t="inlineStr">
        <is>
          <t>VB</t>
        </is>
      </c>
      <c r="AO34" t="inlineStr">
        <is>
          <t>82347 Bayern - Bernried</t>
        </is>
      </c>
      <c r="AP34" s="5" t="n">
        <v>45557</v>
      </c>
      <c r="AQ34" t="inlineStr"/>
      <c r="AR34" s="6">
        <f>HYPERLINK("https://www.kleinanzeigen.de/s-anzeige/windsurfsegel-gaastra-poseidon-5-4-inkl-mast-2016/2835364915-230-5544", "Link")</f>
        <v/>
      </c>
      <c r="AS34" s="6">
        <f>HYPERLINK("C:\Projects\Kleinanzeigen-Scraper\offer_images\2835364915", "Link")</f>
        <v/>
      </c>
      <c r="AT34" t="inlineStr">
        <is>
          <t>Dirk Rosenberg</t>
        </is>
      </c>
      <c r="AU34" s="6">
        <f>HYPERLINK("https://www.kleinanzeigen.de/s-bestandsliste.html?userId=57048109", "Link")</f>
        <v/>
      </c>
      <c r="AV34" s="7" t="n">
        <v>45559.87729166666</v>
      </c>
      <c r="AW34" s="3" t="inlineStr">
        <is>
          <t>38.08</t>
        </is>
      </c>
      <c r="AX34" t="inlineStr">
        <is>
          <t>München</t>
        </is>
      </c>
      <c r="AY34" s="4" t="n">
        <v>195</v>
      </c>
      <c r="AZ34" t="inlineStr">
        <is>
          <t>VB</t>
        </is>
      </c>
      <c r="BA34" t="inlineStr">
        <is>
          <t>82347 Bayern - Bernried</t>
        </is>
      </c>
      <c r="BB34" s="5" t="n">
        <v>45557</v>
      </c>
      <c r="BC34" t="inlineStr"/>
      <c r="BD34" s="6">
        <f>HYPERLINK("https://www.kleinanzeigen.de/s-anzeige/windsurfsegel-gaastra-poseidon-5-4-inkl-mast-2016/2835364915-230-5544", "Link")</f>
        <v/>
      </c>
      <c r="BE34" s="6">
        <f>HYPERLINK("C:\Projects\Kleinanzeigen-Scraper\offer_images\2835364915", "Link")</f>
        <v/>
      </c>
      <c r="BF34" t="inlineStr">
        <is>
          <t>Dirk Rosenberg</t>
        </is>
      </c>
      <c r="BG34" s="6">
        <f>HYPERLINK("https://www.kleinanzeigen.de/s-bestandsliste.html?userId=57048109", "Link")</f>
        <v/>
      </c>
      <c r="BH34" s="7" t="n">
        <v>45559.87729166666</v>
      </c>
      <c r="BI34" s="3" t="inlineStr">
        <is>
          <t>38.08</t>
        </is>
      </c>
      <c r="BJ34" t="inlineStr">
        <is>
          <t>München</t>
        </is>
      </c>
    </row>
    <row r="35">
      <c r="A35" s="2" t="n">
        <v>6.7</v>
      </c>
      <c r="B35" t="inlineStr">
        <is>
          <t>NeilPryde Diablo</t>
        </is>
      </c>
      <c r="C35" s="3" t="inlineStr"/>
      <c r="D35" s="3" t="inlineStr"/>
      <c r="E35" t="inlineStr">
        <is>
          <t>Freerace</t>
        </is>
      </c>
      <c r="F35" t="inlineStr">
        <is>
          <t>2000</t>
        </is>
      </c>
      <c r="G35" t="inlineStr">
        <is>
          <t>repaired</t>
        </is>
      </c>
      <c r="H35" s="4" t="n">
        <v>120</v>
      </c>
      <c r="I35" t="inlineStr"/>
      <c r="J35" t="inlineStr">
        <is>
          <t>12526 Berlin - Treptow</t>
        </is>
      </c>
      <c r="K35" s="5" t="n">
        <v>45559</v>
      </c>
      <c r="L35" t="inlineStr"/>
      <c r="M35" s="6">
        <f>HYPERLINK("https://www.kleinanzeigen.de/s-anzeige/surfsegel-neilpryde-6-7-mit-carbonmast-np-460-/2872964658-230-3369", "Link")</f>
        <v/>
      </c>
      <c r="N35" s="6">
        <f>HYPERLINK("C:\Projects\Kleinanzeigen-Scraper\offer_images\2872964658", "Link")</f>
        <v/>
      </c>
      <c r="O35" t="inlineStr">
        <is>
          <t>MG</t>
        </is>
      </c>
      <c r="P35" s="6">
        <f>HYPERLINK("https://www.kleinanzeigen.de/s-bestandsliste.html?userId=3097769", "Link")</f>
        <v/>
      </c>
      <c r="Q35" s="7" t="n">
        <v>45559.87673611111</v>
      </c>
      <c r="R35" s="3" t="inlineStr">
        <is>
          <t>484.42</t>
        </is>
      </c>
      <c r="S35" t="inlineStr">
        <is>
          <t>Köln</t>
        </is>
      </c>
      <c r="T35" t="inlineStr">
        <is>
          <t>NeilPryde Matrix 2000</t>
        </is>
      </c>
      <c r="U35" s="3" t="n">
        <v>460</v>
      </c>
      <c r="V35" s="8" t="inlineStr">
        <is>
          <t>100%</t>
        </is>
      </c>
      <c r="W35" t="inlineStr">
        <is>
          <t>SDM</t>
        </is>
      </c>
      <c r="X35" s="4" t="n">
        <v>120</v>
      </c>
      <c r="Y35" t="inlineStr"/>
      <c r="Z35" t="inlineStr">
        <is>
          <t>12526 Berlin - Treptow</t>
        </is>
      </c>
      <c r="AA35" s="5" t="n">
        <v>45559</v>
      </c>
      <c r="AB35" t="inlineStr"/>
      <c r="AC35" s="6">
        <f>HYPERLINK("https://www.kleinanzeigen.de/s-anzeige/surfsegel-neilpryde-6-7-mit-carbonmast-np-460-/2872964658-230-3369", "Link")</f>
        <v/>
      </c>
      <c r="AD35" s="6">
        <f>HYPERLINK("C:\Projects\Kleinanzeigen-Scraper\offer_images\2872964658", "Link")</f>
        <v/>
      </c>
      <c r="AE35" t="inlineStr">
        <is>
          <t>MG</t>
        </is>
      </c>
      <c r="AF35" s="6">
        <f>HYPERLINK("https://www.kleinanzeigen.de/s-bestandsliste.html?userId=3097769", "Link")</f>
        <v/>
      </c>
      <c r="AG35" s="7" t="n">
        <v>45559.87673611111</v>
      </c>
      <c r="AH35" s="3" t="inlineStr">
        <is>
          <t>484.42</t>
        </is>
      </c>
      <c r="AI35" t="inlineStr">
        <is>
          <t>Köln</t>
        </is>
      </c>
      <c r="AJ35" t="inlineStr"/>
      <c r="AK35" t="inlineStr"/>
      <c r="AL35" t="inlineStr"/>
      <c r="AM35" s="4" t="n">
        <v>120</v>
      </c>
      <c r="AN35" t="inlineStr"/>
      <c r="AO35" t="inlineStr">
        <is>
          <t>12526 Berlin - Treptow</t>
        </is>
      </c>
      <c r="AP35" s="5" t="n">
        <v>45559</v>
      </c>
      <c r="AQ35" t="inlineStr"/>
      <c r="AR35" s="6">
        <f>HYPERLINK("https://www.kleinanzeigen.de/s-anzeige/surfsegel-neilpryde-6-7-mit-carbonmast-np-460-/2872964658-230-3369", "Link")</f>
        <v/>
      </c>
      <c r="AS35" s="6">
        <f>HYPERLINK("C:\Projects\Kleinanzeigen-Scraper\offer_images\2872964658", "Link")</f>
        <v/>
      </c>
      <c r="AT35" t="inlineStr">
        <is>
          <t>MG</t>
        </is>
      </c>
      <c r="AU35" s="6">
        <f>HYPERLINK("https://www.kleinanzeigen.de/s-bestandsliste.html?userId=3097769", "Link")</f>
        <v/>
      </c>
      <c r="AV35" s="7" t="n">
        <v>45559.87673611111</v>
      </c>
      <c r="AW35" s="3" t="inlineStr">
        <is>
          <t>484.42</t>
        </is>
      </c>
      <c r="AX35" t="inlineStr">
        <is>
          <t>Köln</t>
        </is>
      </c>
      <c r="AY35" s="4" t="n">
        <v>120</v>
      </c>
      <c r="AZ35" t="inlineStr"/>
      <c r="BA35" t="inlineStr">
        <is>
          <t>12526 Berlin - Treptow</t>
        </is>
      </c>
      <c r="BB35" s="5" t="n">
        <v>45559</v>
      </c>
      <c r="BC35" t="inlineStr"/>
      <c r="BD35" s="6">
        <f>HYPERLINK("https://www.kleinanzeigen.de/s-anzeige/surfsegel-neilpryde-6-7-mit-carbonmast-np-460-/2872964658-230-3369", "Link")</f>
        <v/>
      </c>
      <c r="BE35" s="6">
        <f>HYPERLINK("C:\Projects\Kleinanzeigen-Scraper\offer_images\2872964658", "Link")</f>
        <v/>
      </c>
      <c r="BF35" t="inlineStr">
        <is>
          <t>MG</t>
        </is>
      </c>
      <c r="BG35" s="6">
        <f>HYPERLINK("https://www.kleinanzeigen.de/s-bestandsliste.html?userId=3097769", "Link")</f>
        <v/>
      </c>
      <c r="BH35" s="7" t="n">
        <v>45559.87673611111</v>
      </c>
      <c r="BI35" s="3" t="inlineStr">
        <is>
          <t>484.42</t>
        </is>
      </c>
      <c r="BJ35" t="inlineStr">
        <is>
          <t>Köln</t>
        </is>
      </c>
    </row>
    <row r="36">
      <c r="A36" s="2" t="n">
        <v>6</v>
      </c>
      <c r="B36" t="inlineStr">
        <is>
          <t>Gaastra CHARGER</t>
        </is>
      </c>
      <c r="C36" s="3" t="inlineStr"/>
      <c r="D36" s="3" t="inlineStr"/>
      <c r="E36" t="inlineStr">
        <is>
          <t>Freeride</t>
        </is>
      </c>
      <c r="F36" t="inlineStr"/>
      <c r="G36" t="inlineStr">
        <is>
          <t>used</t>
        </is>
      </c>
      <c r="H36" s="4" t="n">
        <v>150</v>
      </c>
      <c r="I36" t="inlineStr">
        <is>
          <t>VB</t>
        </is>
      </c>
      <c r="J36" t="inlineStr">
        <is>
          <t>23909 Herzogtum Lauenburg - Ratzeburg</t>
        </is>
      </c>
      <c r="K36" s="5" t="n">
        <v>45536</v>
      </c>
      <c r="L36" t="inlineStr">
        <is>
          <t>Sold</t>
        </is>
      </c>
      <c r="M36" s="6">
        <f>HYPERLINK("https://www.kleinanzeigen.de/s-anzeige/gaastra-charger-6-0-kplt-rigg-mit-mast-gabelbaum/2851435535-230-811", "Link")</f>
        <v/>
      </c>
      <c r="N36" s="6">
        <f>HYPERLINK("C:\Projects\Kleinanzeigen-Scraper\offer_images\2851435535", "Link")</f>
        <v/>
      </c>
      <c r="O36" t="inlineStr">
        <is>
          <t>Silvia S.</t>
        </is>
      </c>
      <c r="P36" s="6">
        <f>HYPERLINK("https://www.kleinanzeigen.de/s-bestandsliste.html?userId=86555296", "Link")</f>
        <v/>
      </c>
      <c r="Q36" s="7" t="n">
        <v>45558.74416666666</v>
      </c>
      <c r="R36" s="3" t="inlineStr">
        <is>
          <t>401.75</t>
        </is>
      </c>
      <c r="S36" t="inlineStr">
        <is>
          <t>Köln</t>
        </is>
      </c>
      <c r="T36" t="inlineStr">
        <is>
          <t>North XC 40</t>
        </is>
      </c>
      <c r="U36" s="3" t="inlineStr"/>
      <c r="V36" s="8" t="inlineStr">
        <is>
          <t>40%</t>
        </is>
      </c>
      <c r="W36" t="inlineStr"/>
      <c r="X36" s="4" t="n">
        <v>150</v>
      </c>
      <c r="Y36" t="inlineStr">
        <is>
          <t>VB</t>
        </is>
      </c>
      <c r="Z36" t="inlineStr">
        <is>
          <t>23909 Herzogtum Lauenburg - Ratzeburg</t>
        </is>
      </c>
      <c r="AA36" s="5" t="n">
        <v>45536</v>
      </c>
      <c r="AB36" t="inlineStr">
        <is>
          <t>Sold</t>
        </is>
      </c>
      <c r="AC36" s="6">
        <f>HYPERLINK("https://www.kleinanzeigen.de/s-anzeige/gaastra-charger-6-0-kplt-rigg-mit-mast-gabelbaum/2851435535-230-811", "Link")</f>
        <v/>
      </c>
      <c r="AD36" s="6">
        <f>HYPERLINK("C:\Projects\Kleinanzeigen-Scraper\offer_images\2851435535", "Link")</f>
        <v/>
      </c>
      <c r="AE36" t="inlineStr">
        <is>
          <t>Silvia S.</t>
        </is>
      </c>
      <c r="AF36" s="6">
        <f>HYPERLINK("https://www.kleinanzeigen.de/s-bestandsliste.html?userId=86555296", "Link")</f>
        <v/>
      </c>
      <c r="AG36" s="7" t="n">
        <v>45558.74416666666</v>
      </c>
      <c r="AH36" s="3" t="inlineStr">
        <is>
          <t>401.75</t>
        </is>
      </c>
      <c r="AI36" t="inlineStr">
        <is>
          <t>Köln</t>
        </is>
      </c>
      <c r="AJ36" t="inlineStr">
        <is>
          <t>Pro Limit</t>
        </is>
      </c>
      <c r="AK36" t="inlineStr">
        <is>
          <t>137-198</t>
        </is>
      </c>
      <c r="AL36" t="inlineStr"/>
      <c r="AM36" s="4" t="n">
        <v>150</v>
      </c>
      <c r="AN36" t="inlineStr">
        <is>
          <t>VB</t>
        </is>
      </c>
      <c r="AO36" t="inlineStr">
        <is>
          <t>23909 Herzogtum Lauenburg - Ratzeburg</t>
        </is>
      </c>
      <c r="AP36" s="5" t="n">
        <v>45536</v>
      </c>
      <c r="AQ36" t="inlineStr">
        <is>
          <t>Sold</t>
        </is>
      </c>
      <c r="AR36" s="6">
        <f>HYPERLINK("https://www.kleinanzeigen.de/s-anzeige/gaastra-charger-6-0-kplt-rigg-mit-mast-gabelbaum/2851435535-230-811", "Link")</f>
        <v/>
      </c>
      <c r="AS36" s="6">
        <f>HYPERLINK("C:\Projects\Kleinanzeigen-Scraper\offer_images\2851435535", "Link")</f>
        <v/>
      </c>
      <c r="AT36" t="inlineStr">
        <is>
          <t>Silvia S.</t>
        </is>
      </c>
      <c r="AU36" s="6">
        <f>HYPERLINK("https://www.kleinanzeigen.de/s-bestandsliste.html?userId=86555296", "Link")</f>
        <v/>
      </c>
      <c r="AV36" s="7" t="n">
        <v>45558.74416666666</v>
      </c>
      <c r="AW36" s="3" t="inlineStr">
        <is>
          <t>401.75</t>
        </is>
      </c>
      <c r="AX36" t="inlineStr">
        <is>
          <t>Köln</t>
        </is>
      </c>
      <c r="AY36" s="4" t="n">
        <v>150</v>
      </c>
      <c r="AZ36" t="inlineStr">
        <is>
          <t>VB</t>
        </is>
      </c>
      <c r="BA36" t="inlineStr">
        <is>
          <t>23909 Herzogtum Lauenburg - Ratzeburg</t>
        </is>
      </c>
      <c r="BB36" s="5" t="n">
        <v>45536</v>
      </c>
      <c r="BC36" t="inlineStr">
        <is>
          <t>Sold</t>
        </is>
      </c>
      <c r="BD36" s="6">
        <f>HYPERLINK("https://www.kleinanzeigen.de/s-anzeige/gaastra-charger-6-0-kplt-rigg-mit-mast-gabelbaum/2851435535-230-811", "Link")</f>
        <v/>
      </c>
      <c r="BE36" s="6">
        <f>HYPERLINK("C:\Projects\Kleinanzeigen-Scraper\offer_images\2851435535", "Link")</f>
        <v/>
      </c>
      <c r="BF36" t="inlineStr">
        <is>
          <t>Silvia S.</t>
        </is>
      </c>
      <c r="BG36" s="6">
        <f>HYPERLINK("https://www.kleinanzeigen.de/s-bestandsliste.html?userId=86555296", "Link")</f>
        <v/>
      </c>
      <c r="BH36" s="7" t="n">
        <v>45558.74416666666</v>
      </c>
      <c r="BI36" s="3" t="inlineStr">
        <is>
          <t>401.75</t>
        </is>
      </c>
      <c r="BJ36" t="inlineStr">
        <is>
          <t>Köln</t>
        </is>
      </c>
    </row>
    <row r="37">
      <c r="A37" s="2" t="n">
        <v>8</v>
      </c>
      <c r="B37" t="inlineStr">
        <is>
          <t>Gaastra Matrix</t>
        </is>
      </c>
      <c r="C37" s="3" t="n">
        <v>484</v>
      </c>
      <c r="D37" s="3" t="n">
        <v>215</v>
      </c>
      <c r="E37" t="inlineStr"/>
      <c r="F37" t="inlineStr">
        <is>
          <t>2016</t>
        </is>
      </c>
      <c r="G37" t="inlineStr">
        <is>
          <t>used</t>
        </is>
      </c>
      <c r="H37" s="4" t="n">
        <v>235</v>
      </c>
      <c r="I37" t="inlineStr"/>
      <c r="J37" t="inlineStr">
        <is>
          <t>88048 Baden-Württemberg - Friedrichshafen</t>
        </is>
      </c>
      <c r="K37" s="5" t="n">
        <v>45446</v>
      </c>
      <c r="L37" t="inlineStr"/>
      <c r="M37" s="6">
        <f>HYPERLINK("https://www.kleinanzeigen.de/s-anzeige/windsurf-segel-gaastra-matrix-8-0-opt-mit-ga-sdm460-c75-mast/2742966486-230-9212", "Link")</f>
        <v/>
      </c>
      <c r="N37" s="6">
        <f>HYPERLINK("C:\Projects\Kleinanzeigen-Scraper\offer_images\2742966486", "Link")</f>
        <v/>
      </c>
      <c r="O37" t="inlineStr">
        <is>
          <t>C. Dönges</t>
        </is>
      </c>
      <c r="P37" s="6">
        <f>HYPERLINK("https://www.kleinanzeigen.de/s-bestandsliste.html?userId=22879095", "Link")</f>
        <v/>
      </c>
      <c r="Q37" s="7" t="n">
        <v>45558.74251157408</v>
      </c>
      <c r="R37" s="3" t="inlineStr">
        <is>
          <t>87.69</t>
        </is>
      </c>
      <c r="S37" t="inlineStr">
        <is>
          <t>Bonndorf</t>
        </is>
      </c>
      <c r="T37" t="inlineStr">
        <is>
          <t>Gaastra SDM460 C75</t>
        </is>
      </c>
      <c r="U37" s="3" t="n">
        <v>460</v>
      </c>
      <c r="V37" s="8" t="n">
        <v>75</v>
      </c>
      <c r="W37" t="inlineStr">
        <is>
          <t>SDM</t>
        </is>
      </c>
      <c r="X37" s="4" t="n">
        <v>235</v>
      </c>
      <c r="Y37" t="inlineStr"/>
      <c r="Z37" t="inlineStr">
        <is>
          <t>88048 Baden-Württemberg - Friedrichshafen</t>
        </is>
      </c>
      <c r="AA37" s="5" t="n">
        <v>45446</v>
      </c>
      <c r="AB37" t="inlineStr"/>
      <c r="AC37" s="6">
        <f>HYPERLINK("https://www.kleinanzeigen.de/s-anzeige/windsurf-segel-gaastra-matrix-8-0-opt-mit-ga-sdm460-c75-mast/2742966486-230-9212", "Link")</f>
        <v/>
      </c>
      <c r="AD37" s="6">
        <f>HYPERLINK("C:\Projects\Kleinanzeigen-Scraper\offer_images\2742966486", "Link")</f>
        <v/>
      </c>
      <c r="AE37" t="inlineStr">
        <is>
          <t>C. Dönges</t>
        </is>
      </c>
      <c r="AF37" s="6">
        <f>HYPERLINK("https://www.kleinanzeigen.de/s-bestandsliste.html?userId=22879095", "Link")</f>
        <v/>
      </c>
      <c r="AG37" s="7" t="n">
        <v>45558.74251157408</v>
      </c>
      <c r="AH37" s="3" t="inlineStr">
        <is>
          <t>87.69</t>
        </is>
      </c>
      <c r="AI37" t="inlineStr">
        <is>
          <t>Bonndorf</t>
        </is>
      </c>
      <c r="AJ37" t="inlineStr"/>
      <c r="AK37" t="inlineStr"/>
      <c r="AL37" t="inlineStr"/>
      <c r="AM37" s="4" t="n">
        <v>235</v>
      </c>
      <c r="AN37" t="inlineStr"/>
      <c r="AO37" t="inlineStr">
        <is>
          <t>88048 Baden-Württemberg - Friedrichshafen</t>
        </is>
      </c>
      <c r="AP37" s="5" t="n">
        <v>45446</v>
      </c>
      <c r="AQ37" t="inlineStr"/>
      <c r="AR37" s="6">
        <f>HYPERLINK("https://www.kleinanzeigen.de/s-anzeige/windsurf-segel-gaastra-matrix-8-0-opt-mit-ga-sdm460-c75-mast/2742966486-230-9212", "Link")</f>
        <v/>
      </c>
      <c r="AS37" s="6">
        <f>HYPERLINK("C:\Projects\Kleinanzeigen-Scraper\offer_images\2742966486", "Link")</f>
        <v/>
      </c>
      <c r="AT37" t="inlineStr">
        <is>
          <t>C. Dönges</t>
        </is>
      </c>
      <c r="AU37" s="6">
        <f>HYPERLINK("https://www.kleinanzeigen.de/s-bestandsliste.html?userId=22879095", "Link")</f>
        <v/>
      </c>
      <c r="AV37" s="7" t="n">
        <v>45558.74251157408</v>
      </c>
      <c r="AW37" s="3" t="inlineStr">
        <is>
          <t>87.69</t>
        </is>
      </c>
      <c r="AX37" t="inlineStr">
        <is>
          <t>Bonndorf</t>
        </is>
      </c>
      <c r="AY37" s="4" t="n">
        <v>235</v>
      </c>
      <c r="AZ37" t="inlineStr"/>
      <c r="BA37" t="inlineStr">
        <is>
          <t>88048 Baden-Württemberg - Friedrichshafen</t>
        </is>
      </c>
      <c r="BB37" s="5" t="n">
        <v>45446</v>
      </c>
      <c r="BC37" t="inlineStr"/>
      <c r="BD37" s="6">
        <f>HYPERLINK("https://www.kleinanzeigen.de/s-anzeige/windsurf-segel-gaastra-matrix-8-0-opt-mit-ga-sdm460-c75-mast/2742966486-230-9212", "Link")</f>
        <v/>
      </c>
      <c r="BE37" s="6">
        <f>HYPERLINK("C:\Projects\Kleinanzeigen-Scraper\offer_images\2742966486", "Link")</f>
        <v/>
      </c>
      <c r="BF37" t="inlineStr">
        <is>
          <t>C. Dönges</t>
        </is>
      </c>
      <c r="BG37" s="6">
        <f>HYPERLINK("https://www.kleinanzeigen.de/s-bestandsliste.html?userId=22879095", "Link")</f>
        <v/>
      </c>
      <c r="BH37" s="7" t="n">
        <v>45558.74251157408</v>
      </c>
      <c r="BI37" s="3" t="inlineStr">
        <is>
          <t>87.69</t>
        </is>
      </c>
      <c r="BJ37" t="inlineStr">
        <is>
          <t>Bonndorf</t>
        </is>
      </c>
    </row>
    <row r="38">
      <c r="A38" s="2" t="n">
        <v>11.5</v>
      </c>
      <c r="B38" t="inlineStr">
        <is>
          <t>Gaastra Neutron</t>
        </is>
      </c>
      <c r="C38" s="3" t="n">
        <v>550</v>
      </c>
      <c r="D38" s="3" t="inlineStr"/>
      <c r="E38" t="inlineStr"/>
      <c r="F38" t="inlineStr"/>
      <c r="G38" t="inlineStr">
        <is>
          <t>new</t>
        </is>
      </c>
      <c r="H38" s="4" t="n">
        <v>699</v>
      </c>
      <c r="I38" t="inlineStr"/>
      <c r="J38" t="inlineStr">
        <is>
          <t>73630 Baden-Württemberg - Remshalden</t>
        </is>
      </c>
      <c r="K38" s="5" t="n">
        <v>45465</v>
      </c>
      <c r="L38" t="inlineStr"/>
      <c r="M38" s="6">
        <f>HYPERLINK("https://www.kleinanzeigen.de/s-anzeige/gaastra-neutron-11-5-inkl-2-carbonmasten-neuwertig/2794314157-230-8385", "Link")</f>
        <v/>
      </c>
      <c r="N38" s="6">
        <f>HYPERLINK("C:\Projects\Kleinanzeigen-Scraper\offer_images\2794314157", "Link")</f>
        <v/>
      </c>
      <c r="O38" t="inlineStr">
        <is>
          <t>Bühner</t>
        </is>
      </c>
      <c r="P38" s="6">
        <f>HYPERLINK("https://www.kleinanzeigen.de/s-bestandsliste.html?userId=26506460", "Link")</f>
        <v/>
      </c>
      <c r="Q38" s="7" t="n">
        <v>45558.74206018518</v>
      </c>
      <c r="R38" s="3" t="inlineStr">
        <is>
          <t>36.62</t>
        </is>
      </c>
      <c r="S38" t="inlineStr">
        <is>
          <t>Böblingen</t>
        </is>
      </c>
      <c r="T38" t="inlineStr">
        <is>
          <t>Gaastra C70</t>
        </is>
      </c>
      <c r="U38" s="3" t="n">
        <v>550</v>
      </c>
      <c r="V38" s="8" t="inlineStr">
        <is>
          <t>100%</t>
        </is>
      </c>
      <c r="W38" t="inlineStr"/>
      <c r="X38" s="4" t="n">
        <v>699</v>
      </c>
      <c r="Y38" t="inlineStr"/>
      <c r="Z38" t="inlineStr">
        <is>
          <t>73630 Baden-Württemberg - Remshalden</t>
        </is>
      </c>
      <c r="AA38" s="5" t="n">
        <v>45465</v>
      </c>
      <c r="AB38" t="inlineStr"/>
      <c r="AC38" s="6">
        <f>HYPERLINK("https://www.kleinanzeigen.de/s-anzeige/gaastra-neutron-11-5-inkl-2-carbonmasten-neuwertig/2794314157-230-8385", "Link")</f>
        <v/>
      </c>
      <c r="AD38" s="6">
        <f>HYPERLINK("C:\Projects\Kleinanzeigen-Scraper\offer_images\2794314157", "Link")</f>
        <v/>
      </c>
      <c r="AE38" t="inlineStr">
        <is>
          <t>Bühner</t>
        </is>
      </c>
      <c r="AF38" s="6">
        <f>HYPERLINK("https://www.kleinanzeigen.de/s-bestandsliste.html?userId=26506460", "Link")</f>
        <v/>
      </c>
      <c r="AG38" s="7" t="n">
        <v>45558.74206018518</v>
      </c>
      <c r="AH38" s="3" t="inlineStr">
        <is>
          <t>36.62</t>
        </is>
      </c>
      <c r="AI38" t="inlineStr">
        <is>
          <t>Böblingen</t>
        </is>
      </c>
      <c r="AJ38" t="inlineStr"/>
      <c r="AK38" t="inlineStr"/>
      <c r="AL38" t="inlineStr"/>
      <c r="AM38" s="4" t="n">
        <v>699</v>
      </c>
      <c r="AN38" t="inlineStr"/>
      <c r="AO38" t="inlineStr">
        <is>
          <t>73630 Baden-Württemberg - Remshalden</t>
        </is>
      </c>
      <c r="AP38" s="5" t="n">
        <v>45465</v>
      </c>
      <c r="AQ38" t="inlineStr"/>
      <c r="AR38" s="6">
        <f>HYPERLINK("https://www.kleinanzeigen.de/s-anzeige/gaastra-neutron-11-5-inkl-2-carbonmasten-neuwertig/2794314157-230-8385", "Link")</f>
        <v/>
      </c>
      <c r="AS38" s="6">
        <f>HYPERLINK("C:\Projects\Kleinanzeigen-Scraper\offer_images\2794314157", "Link")</f>
        <v/>
      </c>
      <c r="AT38" t="inlineStr">
        <is>
          <t>Bühner</t>
        </is>
      </c>
      <c r="AU38" s="6">
        <f>HYPERLINK("https://www.kleinanzeigen.de/s-bestandsliste.html?userId=26506460", "Link")</f>
        <v/>
      </c>
      <c r="AV38" s="7" t="n">
        <v>45558.74206018518</v>
      </c>
      <c r="AW38" s="3" t="inlineStr">
        <is>
          <t>36.62</t>
        </is>
      </c>
      <c r="AX38" t="inlineStr">
        <is>
          <t>Böblingen</t>
        </is>
      </c>
      <c r="AY38" s="4" t="n">
        <v>699</v>
      </c>
      <c r="AZ38" t="inlineStr"/>
      <c r="BA38" t="inlineStr">
        <is>
          <t>73630 Baden-Württemberg - Remshalden</t>
        </is>
      </c>
      <c r="BB38" s="5" t="n">
        <v>45465</v>
      </c>
      <c r="BC38" t="inlineStr"/>
      <c r="BD38" s="6">
        <f>HYPERLINK("https://www.kleinanzeigen.de/s-anzeige/gaastra-neutron-11-5-inkl-2-carbonmasten-neuwertig/2794314157-230-8385", "Link")</f>
        <v/>
      </c>
      <c r="BE38" s="6">
        <f>HYPERLINK("C:\Projects\Kleinanzeigen-Scraper\offer_images\2794314157", "Link")</f>
        <v/>
      </c>
      <c r="BF38" t="inlineStr">
        <is>
          <t>Bühner</t>
        </is>
      </c>
      <c r="BG38" s="6">
        <f>HYPERLINK("https://www.kleinanzeigen.de/s-bestandsliste.html?userId=26506460", "Link")</f>
        <v/>
      </c>
      <c r="BH38" s="7" t="n">
        <v>45558.74206018518</v>
      </c>
      <c r="BI38" s="3" t="inlineStr">
        <is>
          <t>36.62</t>
        </is>
      </c>
      <c r="BJ38" t="inlineStr">
        <is>
          <t>Böblingen</t>
        </is>
      </c>
    </row>
    <row r="39">
      <c r="A39" s="2" t="n">
        <v>5</v>
      </c>
      <c r="B39" t="inlineStr">
        <is>
          <t>Gaastra Heatwave</t>
        </is>
      </c>
      <c r="C39" s="3" t="inlineStr"/>
      <c r="D39" s="3" t="inlineStr"/>
      <c r="E39" t="inlineStr"/>
      <c r="F39" t="inlineStr"/>
      <c r="G39" t="inlineStr">
        <is>
          <t>used</t>
        </is>
      </c>
      <c r="H39" s="4" t="n">
        <v>100</v>
      </c>
      <c r="I39" t="inlineStr"/>
      <c r="J39" t="inlineStr">
        <is>
          <t>30982 Niedersachsen - Pattensen</t>
        </is>
      </c>
      <c r="K39" s="5" t="n">
        <v>45535</v>
      </c>
      <c r="L39" t="inlineStr"/>
      <c r="M39" s="6">
        <f>HYPERLINK("https://www.kleinanzeigen.de/s-anzeige/surfsegel-5-qm-gaastra-heatwave/2850370748-230-2898", "Link")</f>
        <v/>
      </c>
      <c r="N39" s="6">
        <f>HYPERLINK("C:\Projects\Kleinanzeigen-Scraper\offer_images\2850370748", "Link")</f>
        <v/>
      </c>
      <c r="O39" t="inlineStr">
        <is>
          <t>Schilling</t>
        </is>
      </c>
      <c r="P39" s="6">
        <f>HYPERLINK("https://www.kleinanzeigen.de/s-bestandsliste.html?userId=14067415", "Link")</f>
        <v/>
      </c>
      <c r="Q39" s="7" t="n">
        <v>45558.74195601852</v>
      </c>
      <c r="R39" s="3" t="inlineStr">
        <is>
          <t>241.72</t>
        </is>
      </c>
      <c r="S39" t="inlineStr">
        <is>
          <t>Köln</t>
        </is>
      </c>
      <c r="T39" t="inlineStr"/>
      <c r="U39" s="3" t="n">
        <v>430</v>
      </c>
      <c r="V39" s="8" t="inlineStr"/>
      <c r="W39" t="inlineStr"/>
      <c r="X39" s="4" t="n">
        <v>100</v>
      </c>
      <c r="Y39" t="inlineStr"/>
      <c r="Z39" t="inlineStr">
        <is>
          <t>30982 Niedersachsen - Pattensen</t>
        </is>
      </c>
      <c r="AA39" s="5" t="n">
        <v>45535</v>
      </c>
      <c r="AB39" t="inlineStr"/>
      <c r="AC39" s="6">
        <f>HYPERLINK("https://www.kleinanzeigen.de/s-anzeige/surfsegel-5-qm-gaastra-heatwave/2850370748-230-2898", "Link")</f>
        <v/>
      </c>
      <c r="AD39" s="6">
        <f>HYPERLINK("C:\Projects\Kleinanzeigen-Scraper\offer_images\2850370748", "Link")</f>
        <v/>
      </c>
      <c r="AE39" t="inlineStr">
        <is>
          <t>Schilling</t>
        </is>
      </c>
      <c r="AF39" s="6">
        <f>HYPERLINK("https://www.kleinanzeigen.de/s-bestandsliste.html?userId=14067415", "Link")</f>
        <v/>
      </c>
      <c r="AG39" s="7" t="n">
        <v>45558.74195601852</v>
      </c>
      <c r="AH39" s="3" t="inlineStr">
        <is>
          <t>241.72</t>
        </is>
      </c>
      <c r="AI39" t="inlineStr">
        <is>
          <t>Köln</t>
        </is>
      </c>
      <c r="AJ39" t="inlineStr"/>
      <c r="AK39" t="inlineStr"/>
      <c r="AL39" t="inlineStr"/>
      <c r="AM39" s="4" t="n">
        <v>100</v>
      </c>
      <c r="AN39" t="inlineStr"/>
      <c r="AO39" t="inlineStr">
        <is>
          <t>30982 Niedersachsen - Pattensen</t>
        </is>
      </c>
      <c r="AP39" s="5" t="n">
        <v>45535</v>
      </c>
      <c r="AQ39" t="inlineStr"/>
      <c r="AR39" s="6">
        <f>HYPERLINK("https://www.kleinanzeigen.de/s-anzeige/surfsegel-5-qm-gaastra-heatwave/2850370748-230-2898", "Link")</f>
        <v/>
      </c>
      <c r="AS39" s="6">
        <f>HYPERLINK("C:\Projects\Kleinanzeigen-Scraper\offer_images\2850370748", "Link")</f>
        <v/>
      </c>
      <c r="AT39" t="inlineStr">
        <is>
          <t>Schilling</t>
        </is>
      </c>
      <c r="AU39" s="6">
        <f>HYPERLINK("https://www.kleinanzeigen.de/s-bestandsliste.html?userId=14067415", "Link")</f>
        <v/>
      </c>
      <c r="AV39" s="7" t="n">
        <v>45558.74195601852</v>
      </c>
      <c r="AW39" s="3" t="inlineStr">
        <is>
          <t>241.72</t>
        </is>
      </c>
      <c r="AX39" t="inlineStr">
        <is>
          <t>Köln</t>
        </is>
      </c>
      <c r="AY39" s="4" t="n">
        <v>100</v>
      </c>
      <c r="AZ39" t="inlineStr"/>
      <c r="BA39" t="inlineStr">
        <is>
          <t>30982 Niedersachsen - Pattensen</t>
        </is>
      </c>
      <c r="BB39" s="5" t="n">
        <v>45535</v>
      </c>
      <c r="BC39" t="inlineStr"/>
      <c r="BD39" s="6">
        <f>HYPERLINK("https://www.kleinanzeigen.de/s-anzeige/surfsegel-5-qm-gaastra-heatwave/2850370748-230-2898", "Link")</f>
        <v/>
      </c>
      <c r="BE39" s="6">
        <f>HYPERLINK("C:\Projects\Kleinanzeigen-Scraper\offer_images\2850370748", "Link")</f>
        <v/>
      </c>
      <c r="BF39" t="inlineStr">
        <is>
          <t>Schilling</t>
        </is>
      </c>
      <c r="BG39" s="6">
        <f>HYPERLINK("https://www.kleinanzeigen.de/s-bestandsliste.html?userId=14067415", "Link")</f>
        <v/>
      </c>
      <c r="BH39" s="7" t="n">
        <v>45558.74195601852</v>
      </c>
      <c r="BI39" s="3" t="inlineStr">
        <is>
          <t>241.72</t>
        </is>
      </c>
      <c r="BJ39" t="inlineStr">
        <is>
          <t>Köln</t>
        </is>
      </c>
    </row>
    <row r="40">
      <c r="A40" s="2" t="n">
        <v>5.2</v>
      </c>
      <c r="B40" t="inlineStr">
        <is>
          <t>Gaastra Remedy</t>
        </is>
      </c>
      <c r="C40" s="3" t="n">
        <v>400</v>
      </c>
      <c r="D40" s="3" t="inlineStr"/>
      <c r="E40" t="inlineStr"/>
      <c r="F40" t="inlineStr">
        <is>
          <t>2010</t>
        </is>
      </c>
      <c r="G40" t="inlineStr">
        <is>
          <t>used</t>
        </is>
      </c>
      <c r="H40" s="4" t="n">
        <v>350</v>
      </c>
      <c r="I40" t="inlineStr"/>
      <c r="J40" t="inlineStr">
        <is>
          <t>82178 Bayern - Puchheim</t>
        </is>
      </c>
      <c r="K40" s="5" t="n">
        <v>45548</v>
      </c>
      <c r="L40" t="inlineStr"/>
      <c r="M40" s="6">
        <f>HYPERLINK("https://www.kleinanzeigen.de/s-anzeige/gaastra-remedy-5-2-qm-2010-mit-passenden-gaastra-rdm-mast/2862322714-230-5599", "Link")</f>
        <v/>
      </c>
      <c r="N40" s="6">
        <f>HYPERLINK("C:\Projects\Kleinanzeigen-Scraper\offer_images\2862322714", "Link")</f>
        <v/>
      </c>
      <c r="O40" t="inlineStr">
        <is>
          <t>Michael Nanini</t>
        </is>
      </c>
      <c r="P40" s="6">
        <f>HYPERLINK("https://www.kleinanzeigen.de/s-bestandsliste.html?userId=11859414", "Link")</f>
        <v/>
      </c>
      <c r="Q40" s="7" t="n">
        <v>45558.74181712963</v>
      </c>
      <c r="R40" s="3" t="inlineStr">
        <is>
          <t>17.38</t>
        </is>
      </c>
      <c r="S40" t="inlineStr">
        <is>
          <t>München</t>
        </is>
      </c>
      <c r="T40" t="inlineStr">
        <is>
          <t>Gaastra</t>
        </is>
      </c>
      <c r="U40" s="3" t="n">
        <v>400</v>
      </c>
      <c r="V40" s="8" t="inlineStr">
        <is>
          <t>75%</t>
        </is>
      </c>
      <c r="W40" t="inlineStr">
        <is>
          <t>RDM</t>
        </is>
      </c>
      <c r="X40" s="4" t="n">
        <v>350</v>
      </c>
      <c r="Y40" t="inlineStr"/>
      <c r="Z40" t="inlineStr">
        <is>
          <t>82178 Bayern - Puchheim</t>
        </is>
      </c>
      <c r="AA40" s="5" t="n">
        <v>45548</v>
      </c>
      <c r="AB40" t="inlineStr"/>
      <c r="AC40" s="6">
        <f>HYPERLINK("https://www.kleinanzeigen.de/s-anzeige/gaastra-remedy-5-2-qm-2010-mit-passenden-gaastra-rdm-mast/2862322714-230-5599", "Link")</f>
        <v/>
      </c>
      <c r="AD40" s="6">
        <f>HYPERLINK("C:\Projects\Kleinanzeigen-Scraper\offer_images\2862322714", "Link")</f>
        <v/>
      </c>
      <c r="AE40" t="inlineStr">
        <is>
          <t>Michael Nanini</t>
        </is>
      </c>
      <c r="AF40" s="6">
        <f>HYPERLINK("https://www.kleinanzeigen.de/s-bestandsliste.html?userId=11859414", "Link")</f>
        <v/>
      </c>
      <c r="AG40" s="7" t="n">
        <v>45558.74181712963</v>
      </c>
      <c r="AH40" s="3" t="inlineStr">
        <is>
          <t>17.38</t>
        </is>
      </c>
      <c r="AI40" t="inlineStr">
        <is>
          <t>München</t>
        </is>
      </c>
      <c r="AJ40" t="inlineStr"/>
      <c r="AK40" t="inlineStr"/>
      <c r="AL40" t="inlineStr"/>
      <c r="AM40" s="4" t="n">
        <v>350</v>
      </c>
      <c r="AN40" t="inlineStr"/>
      <c r="AO40" t="inlineStr">
        <is>
          <t>82178 Bayern - Puchheim</t>
        </is>
      </c>
      <c r="AP40" s="5" t="n">
        <v>45548</v>
      </c>
      <c r="AQ40" t="inlineStr"/>
      <c r="AR40" s="6">
        <f>HYPERLINK("https://www.kleinanzeigen.de/s-anzeige/gaastra-remedy-5-2-qm-2010-mit-passenden-gaastra-rdm-mast/2862322714-230-5599", "Link")</f>
        <v/>
      </c>
      <c r="AS40" s="6">
        <f>HYPERLINK("C:\Projects\Kleinanzeigen-Scraper\offer_images\2862322714", "Link")</f>
        <v/>
      </c>
      <c r="AT40" t="inlineStr">
        <is>
          <t>Michael Nanini</t>
        </is>
      </c>
      <c r="AU40" s="6">
        <f>HYPERLINK("https://www.kleinanzeigen.de/s-bestandsliste.html?userId=11859414", "Link")</f>
        <v/>
      </c>
      <c r="AV40" s="7" t="n">
        <v>45558.74181712963</v>
      </c>
      <c r="AW40" s="3" t="inlineStr">
        <is>
          <t>17.38</t>
        </is>
      </c>
      <c r="AX40" t="inlineStr">
        <is>
          <t>München</t>
        </is>
      </c>
      <c r="AY40" s="4" t="n">
        <v>350</v>
      </c>
      <c r="AZ40" t="inlineStr"/>
      <c r="BA40" t="inlineStr">
        <is>
          <t>82178 Bayern - Puchheim</t>
        </is>
      </c>
      <c r="BB40" s="5" t="n">
        <v>45548</v>
      </c>
      <c r="BC40" t="inlineStr"/>
      <c r="BD40" s="6">
        <f>HYPERLINK("https://www.kleinanzeigen.de/s-anzeige/gaastra-remedy-5-2-qm-2010-mit-passenden-gaastra-rdm-mast/2862322714-230-5599", "Link")</f>
        <v/>
      </c>
      <c r="BE40" s="6">
        <f>HYPERLINK("C:\Projects\Kleinanzeigen-Scraper\offer_images\2862322714", "Link")</f>
        <v/>
      </c>
      <c r="BF40" t="inlineStr">
        <is>
          <t>Michael Nanini</t>
        </is>
      </c>
      <c r="BG40" s="6">
        <f>HYPERLINK("https://www.kleinanzeigen.de/s-bestandsliste.html?userId=11859414", "Link")</f>
        <v/>
      </c>
      <c r="BH40" s="7" t="n">
        <v>45558.74181712963</v>
      </c>
      <c r="BI40" s="3" t="inlineStr">
        <is>
          <t>17.38</t>
        </is>
      </c>
      <c r="BJ40" t="inlineStr">
        <is>
          <t>München</t>
        </is>
      </c>
    </row>
    <row r="41">
      <c r="A41" s="2" t="n">
        <v>6.5</v>
      </c>
      <c r="B41" t="inlineStr">
        <is>
          <t>Gaastra Flow Zero</t>
        </is>
      </c>
      <c r="C41" s="3" t="inlineStr"/>
      <c r="D41" s="3" t="inlineStr"/>
      <c r="E41" t="inlineStr"/>
      <c r="F41" t="inlineStr"/>
      <c r="G41" t="inlineStr">
        <is>
          <t>used</t>
        </is>
      </c>
      <c r="H41" s="4" t="n">
        <v>89</v>
      </c>
      <c r="I41" t="inlineStr">
        <is>
          <t>VB</t>
        </is>
      </c>
      <c r="J41" t="inlineStr">
        <is>
          <t>79713 Baden-Württemberg - Bad Säckingen</t>
        </is>
      </c>
      <c r="K41" s="5" t="n">
        <v>45528</v>
      </c>
      <c r="L41" t="inlineStr"/>
      <c r="M41" s="6">
        <f>HYPERLINK("https://www.kleinanzeigen.de/s-anzeige/rigg-surfen-segel-gabelbaum-mast-6-5-gaastra-carbon/2845339965-230-8613", "Link")</f>
        <v/>
      </c>
      <c r="N41" s="6">
        <f>HYPERLINK("C:\Projects\Kleinanzeigen-Scraper\offer_images\2845339965", "Link")</f>
        <v/>
      </c>
      <c r="O41" t="inlineStr">
        <is>
          <t>Stefan</t>
        </is>
      </c>
      <c r="P41" s="6">
        <f>HYPERLINK("https://www.kleinanzeigen.de/s-bestandsliste.html?userId=25726390", "Link")</f>
        <v/>
      </c>
      <c r="Q41" s="7" t="n">
        <v>45558.74127314815</v>
      </c>
      <c r="R41" s="3" t="inlineStr">
        <is>
          <t>37.78</t>
        </is>
      </c>
      <c r="S41" t="inlineStr">
        <is>
          <t>Bonndorf</t>
        </is>
      </c>
      <c r="T41" t="inlineStr"/>
      <c r="U41" s="3" t="n">
        <v>465</v>
      </c>
      <c r="V41" s="8" t="inlineStr">
        <is>
          <t>100%</t>
        </is>
      </c>
      <c r="W41" t="inlineStr"/>
      <c r="X41" s="4" t="n">
        <v>89</v>
      </c>
      <c r="Y41" t="inlineStr">
        <is>
          <t>VB</t>
        </is>
      </c>
      <c r="Z41" t="inlineStr">
        <is>
          <t>79713 Baden-Württemberg - Bad Säckingen</t>
        </is>
      </c>
      <c r="AA41" s="5" t="n">
        <v>45528</v>
      </c>
      <c r="AB41" t="inlineStr"/>
      <c r="AC41" s="6">
        <f>HYPERLINK("https://www.kleinanzeigen.de/s-anzeige/rigg-surfen-segel-gabelbaum-mast-6-5-gaastra-carbon/2845339965-230-8613", "Link")</f>
        <v/>
      </c>
      <c r="AD41" s="6">
        <f>HYPERLINK("C:\Projects\Kleinanzeigen-Scraper\offer_images\2845339965", "Link")</f>
        <v/>
      </c>
      <c r="AE41" t="inlineStr">
        <is>
          <t>Stefan</t>
        </is>
      </c>
      <c r="AF41" s="6">
        <f>HYPERLINK("https://www.kleinanzeigen.de/s-bestandsliste.html?userId=25726390", "Link")</f>
        <v/>
      </c>
      <c r="AG41" s="7" t="n">
        <v>45558.74127314815</v>
      </c>
      <c r="AH41" s="3" t="inlineStr">
        <is>
          <t>37.78</t>
        </is>
      </c>
      <c r="AI41" t="inlineStr">
        <is>
          <t>Bonndorf</t>
        </is>
      </c>
      <c r="AJ41" t="inlineStr"/>
      <c r="AK41" t="inlineStr">
        <is>
          <t>140-</t>
        </is>
      </c>
      <c r="AL41" t="inlineStr"/>
      <c r="AM41" s="4" t="n">
        <v>89</v>
      </c>
      <c r="AN41" t="inlineStr">
        <is>
          <t>VB</t>
        </is>
      </c>
      <c r="AO41" t="inlineStr">
        <is>
          <t>79713 Baden-Württemberg - Bad Säckingen</t>
        </is>
      </c>
      <c r="AP41" s="5" t="n">
        <v>45528</v>
      </c>
      <c r="AQ41" t="inlineStr"/>
      <c r="AR41" s="6">
        <f>HYPERLINK("https://www.kleinanzeigen.de/s-anzeige/rigg-surfen-segel-gabelbaum-mast-6-5-gaastra-carbon/2845339965-230-8613", "Link")</f>
        <v/>
      </c>
      <c r="AS41" s="6">
        <f>HYPERLINK("C:\Projects\Kleinanzeigen-Scraper\offer_images\2845339965", "Link")</f>
        <v/>
      </c>
      <c r="AT41" t="inlineStr">
        <is>
          <t>Stefan</t>
        </is>
      </c>
      <c r="AU41" s="6">
        <f>HYPERLINK("https://www.kleinanzeigen.de/s-bestandsliste.html?userId=25726390", "Link")</f>
        <v/>
      </c>
      <c r="AV41" s="7" t="n">
        <v>45558.74127314815</v>
      </c>
      <c r="AW41" s="3" t="inlineStr">
        <is>
          <t>37.78</t>
        </is>
      </c>
      <c r="AX41" t="inlineStr">
        <is>
          <t>Bonndorf</t>
        </is>
      </c>
      <c r="AY41" s="4" t="n">
        <v>89</v>
      </c>
      <c r="AZ41" t="inlineStr">
        <is>
          <t>VB</t>
        </is>
      </c>
      <c r="BA41" t="inlineStr">
        <is>
          <t>79713 Baden-Württemberg - Bad Säckingen</t>
        </is>
      </c>
      <c r="BB41" s="5" t="n">
        <v>45528</v>
      </c>
      <c r="BC41" t="inlineStr"/>
      <c r="BD41" s="6">
        <f>HYPERLINK("https://www.kleinanzeigen.de/s-anzeige/rigg-surfen-segel-gabelbaum-mast-6-5-gaastra-carbon/2845339965-230-8613", "Link")</f>
        <v/>
      </c>
      <c r="BE41" s="6">
        <f>HYPERLINK("C:\Projects\Kleinanzeigen-Scraper\offer_images\2845339965", "Link")</f>
        <v/>
      </c>
      <c r="BF41" t="inlineStr">
        <is>
          <t>Stefan</t>
        </is>
      </c>
      <c r="BG41" s="6">
        <f>HYPERLINK("https://www.kleinanzeigen.de/s-bestandsliste.html?userId=25726390", "Link")</f>
        <v/>
      </c>
      <c r="BH41" s="7" t="n">
        <v>45558.74127314815</v>
      </c>
      <c r="BI41" s="3" t="inlineStr">
        <is>
          <t>37.78</t>
        </is>
      </c>
      <c r="BJ41" t="inlineStr">
        <is>
          <t>Bonndorf</t>
        </is>
      </c>
    </row>
    <row r="42">
      <c r="A42" s="2" t="n">
        <v>7.1</v>
      </c>
      <c r="B42" t="inlineStr">
        <is>
          <t>Gaastra Vapor</t>
        </is>
      </c>
      <c r="C42" s="3" t="inlineStr"/>
      <c r="D42" s="3" t="inlineStr"/>
      <c r="E42" t="inlineStr"/>
      <c r="F42" t="inlineStr">
        <is>
          <t>2016</t>
        </is>
      </c>
      <c r="G42" t="inlineStr">
        <is>
          <t>used</t>
        </is>
      </c>
      <c r="H42" s="4" t="n">
        <v>350</v>
      </c>
      <c r="I42" t="inlineStr">
        <is>
          <t>VB</t>
        </is>
      </c>
      <c r="J42" t="inlineStr">
        <is>
          <t>74206 Baden-Württemberg - Bad Wimpfen</t>
        </is>
      </c>
      <c r="K42" s="5" t="n">
        <v>45374</v>
      </c>
      <c r="L42" t="inlineStr"/>
      <c r="M42" s="6">
        <f>HYPERLINK("https://www.kleinanzeigen.de/s-anzeige/gaastra-vapor-7-1-430-mast-75-/2714207677-230-8659", "Link")</f>
        <v/>
      </c>
      <c r="N42" s="6">
        <f>HYPERLINK("C:\Projects\Kleinanzeigen-Scraper\offer_images\2714207677", "Link")</f>
        <v/>
      </c>
      <c r="O42" t="inlineStr">
        <is>
          <t>Gehrmann, Michael</t>
        </is>
      </c>
      <c r="P42" s="6">
        <f>HYPERLINK("https://www.kleinanzeigen.de/s-bestandsliste.html?userId=23829964", "Link")</f>
        <v/>
      </c>
      <c r="Q42" s="7" t="n">
        <v>45558.74106481481</v>
      </c>
      <c r="R42" s="3" t="inlineStr">
        <is>
          <t>60.17</t>
        </is>
      </c>
      <c r="S42" t="inlineStr">
        <is>
          <t>Karlsruhe</t>
        </is>
      </c>
      <c r="T42" t="inlineStr"/>
      <c r="U42" s="3" t="n">
        <v>430</v>
      </c>
      <c r="V42" s="8" t="inlineStr">
        <is>
          <t>75%</t>
        </is>
      </c>
      <c r="W42" t="inlineStr"/>
      <c r="X42" s="4" t="n">
        <v>350</v>
      </c>
      <c r="Y42" t="inlineStr">
        <is>
          <t>VB</t>
        </is>
      </c>
      <c r="Z42" t="inlineStr">
        <is>
          <t>74206 Baden-Württemberg - Bad Wimpfen</t>
        </is>
      </c>
      <c r="AA42" s="5" t="n">
        <v>45374</v>
      </c>
      <c r="AB42" t="inlineStr"/>
      <c r="AC42" s="6">
        <f>HYPERLINK("https://www.kleinanzeigen.de/s-anzeige/gaastra-vapor-7-1-430-mast-75-/2714207677-230-8659", "Link")</f>
        <v/>
      </c>
      <c r="AD42" s="6">
        <f>HYPERLINK("C:\Projects\Kleinanzeigen-Scraper\offer_images\2714207677", "Link")</f>
        <v/>
      </c>
      <c r="AE42" t="inlineStr">
        <is>
          <t>Gehrmann, Michael</t>
        </is>
      </c>
      <c r="AF42" s="6">
        <f>HYPERLINK("https://www.kleinanzeigen.de/s-bestandsliste.html?userId=23829964", "Link")</f>
        <v/>
      </c>
      <c r="AG42" s="7" t="n">
        <v>45558.74106481481</v>
      </c>
      <c r="AH42" s="3" t="inlineStr">
        <is>
          <t>60.17</t>
        </is>
      </c>
      <c r="AI42" t="inlineStr">
        <is>
          <t>Karlsruhe</t>
        </is>
      </c>
      <c r="AJ42" t="inlineStr"/>
      <c r="AK42" t="inlineStr"/>
      <c r="AL42" t="inlineStr"/>
      <c r="AM42" s="4" t="n">
        <v>350</v>
      </c>
      <c r="AN42" t="inlineStr">
        <is>
          <t>VB</t>
        </is>
      </c>
      <c r="AO42" t="inlineStr">
        <is>
          <t>74206 Baden-Württemberg - Bad Wimpfen</t>
        </is>
      </c>
      <c r="AP42" s="5" t="n">
        <v>45374</v>
      </c>
      <c r="AQ42" t="inlineStr"/>
      <c r="AR42" s="6">
        <f>HYPERLINK("https://www.kleinanzeigen.de/s-anzeige/gaastra-vapor-7-1-430-mast-75-/2714207677-230-8659", "Link")</f>
        <v/>
      </c>
      <c r="AS42" s="6">
        <f>HYPERLINK("C:\Projects\Kleinanzeigen-Scraper\offer_images\2714207677", "Link")</f>
        <v/>
      </c>
      <c r="AT42" t="inlineStr">
        <is>
          <t>Gehrmann, Michael</t>
        </is>
      </c>
      <c r="AU42" s="6">
        <f>HYPERLINK("https://www.kleinanzeigen.de/s-bestandsliste.html?userId=23829964", "Link")</f>
        <v/>
      </c>
      <c r="AV42" s="7" t="n">
        <v>45558.74106481481</v>
      </c>
      <c r="AW42" s="3" t="inlineStr">
        <is>
          <t>60.17</t>
        </is>
      </c>
      <c r="AX42" t="inlineStr">
        <is>
          <t>Karlsruhe</t>
        </is>
      </c>
      <c r="AY42" s="4" t="n">
        <v>350</v>
      </c>
      <c r="AZ42" t="inlineStr">
        <is>
          <t>VB</t>
        </is>
      </c>
      <c r="BA42" t="inlineStr">
        <is>
          <t>74206 Baden-Württemberg - Bad Wimpfen</t>
        </is>
      </c>
      <c r="BB42" s="5" t="n">
        <v>45374</v>
      </c>
      <c r="BC42" t="inlineStr"/>
      <c r="BD42" s="6">
        <f>HYPERLINK("https://www.kleinanzeigen.de/s-anzeige/gaastra-vapor-7-1-430-mast-75-/2714207677-230-8659", "Link")</f>
        <v/>
      </c>
      <c r="BE42" s="6">
        <f>HYPERLINK("C:\Projects\Kleinanzeigen-Scraper\offer_images\2714207677", "Link")</f>
        <v/>
      </c>
      <c r="BF42" t="inlineStr">
        <is>
          <t>Gehrmann, Michael</t>
        </is>
      </c>
      <c r="BG42" s="6">
        <f>HYPERLINK("https://www.kleinanzeigen.de/s-bestandsliste.html?userId=23829964", "Link")</f>
        <v/>
      </c>
      <c r="BH42" s="7" t="n">
        <v>45558.74106481481</v>
      </c>
      <c r="BI42" s="3" t="inlineStr">
        <is>
          <t>60.17</t>
        </is>
      </c>
      <c r="BJ42" t="inlineStr">
        <is>
          <t>Karlsruhe</t>
        </is>
      </c>
    </row>
    <row r="43">
      <c r="A43" s="2" t="n">
        <v>6.5</v>
      </c>
      <c r="B43" t="inlineStr">
        <is>
          <t>Gaastra Flow Zero</t>
        </is>
      </c>
      <c r="C43" s="3" t="n">
        <v>430</v>
      </c>
      <c r="D43" s="3" t="inlineStr"/>
      <c r="E43" t="inlineStr"/>
      <c r="F43" t="inlineStr"/>
      <c r="G43" t="inlineStr">
        <is>
          <t>used</t>
        </is>
      </c>
      <c r="H43" s="4" t="n">
        <v>65</v>
      </c>
      <c r="I43" t="inlineStr">
        <is>
          <t>VB</t>
        </is>
      </c>
      <c r="J43" t="inlineStr">
        <is>
          <t>45699 Nordrhein-Westfalen - Herten</t>
        </is>
      </c>
      <c r="K43" s="5" t="n">
        <v>45360</v>
      </c>
      <c r="L43" t="inlineStr"/>
      <c r="M43" s="6">
        <f>HYPERLINK("https://www.kleinanzeigen.de/s-anzeige/gaastra-surf-segel-6-5-inkl-gabelbaum-und-mast/2700967199-230-1832", "Link")</f>
        <v/>
      </c>
      <c r="N43" s="6">
        <f>HYPERLINK("C:\Projects\Kleinanzeigen-Scraper\offer_images\2700967199", "Link")</f>
        <v/>
      </c>
      <c r="O43" t="inlineStr">
        <is>
          <t>Böhmer</t>
        </is>
      </c>
      <c r="P43" s="6">
        <f>HYPERLINK("https://www.kleinanzeigen.de/s-bestandsliste.html?userId=124191419", "Link")</f>
        <v/>
      </c>
      <c r="Q43" s="7" t="n">
        <v>45558.7409375</v>
      </c>
      <c r="R43" s="3" t="inlineStr">
        <is>
          <t>73.42</t>
        </is>
      </c>
      <c r="S43" t="inlineStr">
        <is>
          <t>Köln</t>
        </is>
      </c>
      <c r="T43" t="inlineStr"/>
      <c r="U43" s="3" t="n">
        <v>430</v>
      </c>
      <c r="V43" s="8" t="inlineStr"/>
      <c r="W43" t="inlineStr"/>
      <c r="X43" s="4" t="n">
        <v>65</v>
      </c>
      <c r="Y43" t="inlineStr">
        <is>
          <t>VB</t>
        </is>
      </c>
      <c r="Z43" t="inlineStr">
        <is>
          <t>45699 Nordrhein-Westfalen - Herten</t>
        </is>
      </c>
      <c r="AA43" s="5" t="n">
        <v>45360</v>
      </c>
      <c r="AB43" t="inlineStr"/>
      <c r="AC43" s="6">
        <f>HYPERLINK("https://www.kleinanzeigen.de/s-anzeige/gaastra-surf-segel-6-5-inkl-gabelbaum-und-mast/2700967199-230-1832", "Link")</f>
        <v/>
      </c>
      <c r="AD43" s="6">
        <f>HYPERLINK("C:\Projects\Kleinanzeigen-Scraper\offer_images\2700967199", "Link")</f>
        <v/>
      </c>
      <c r="AE43" t="inlineStr">
        <is>
          <t>Böhmer</t>
        </is>
      </c>
      <c r="AF43" s="6">
        <f>HYPERLINK("https://www.kleinanzeigen.de/s-bestandsliste.html?userId=124191419", "Link")</f>
        <v/>
      </c>
      <c r="AG43" s="7" t="n">
        <v>45558.7409375</v>
      </c>
      <c r="AH43" s="3" t="inlineStr">
        <is>
          <t>73.42</t>
        </is>
      </c>
      <c r="AI43" t="inlineStr">
        <is>
          <t>Köln</t>
        </is>
      </c>
      <c r="AJ43" t="inlineStr"/>
      <c r="AK43" t="inlineStr"/>
      <c r="AL43" t="inlineStr"/>
      <c r="AM43" s="4" t="n">
        <v>65</v>
      </c>
      <c r="AN43" t="inlineStr">
        <is>
          <t>VB</t>
        </is>
      </c>
      <c r="AO43" t="inlineStr">
        <is>
          <t>45699 Nordrhein-Westfalen - Herten</t>
        </is>
      </c>
      <c r="AP43" s="5" t="n">
        <v>45360</v>
      </c>
      <c r="AQ43" t="inlineStr"/>
      <c r="AR43" s="6">
        <f>HYPERLINK("https://www.kleinanzeigen.de/s-anzeige/gaastra-surf-segel-6-5-inkl-gabelbaum-und-mast/2700967199-230-1832", "Link")</f>
        <v/>
      </c>
      <c r="AS43" s="6">
        <f>HYPERLINK("C:\Projects\Kleinanzeigen-Scraper\offer_images\2700967199", "Link")</f>
        <v/>
      </c>
      <c r="AT43" t="inlineStr">
        <is>
          <t>Böhmer</t>
        </is>
      </c>
      <c r="AU43" s="6">
        <f>HYPERLINK("https://www.kleinanzeigen.de/s-bestandsliste.html?userId=124191419", "Link")</f>
        <v/>
      </c>
      <c r="AV43" s="7" t="n">
        <v>45558.7409375</v>
      </c>
      <c r="AW43" s="3" t="inlineStr">
        <is>
          <t>73.42</t>
        </is>
      </c>
      <c r="AX43" t="inlineStr">
        <is>
          <t>Köln</t>
        </is>
      </c>
      <c r="AY43" s="4" t="n">
        <v>65</v>
      </c>
      <c r="AZ43" t="inlineStr">
        <is>
          <t>VB</t>
        </is>
      </c>
      <c r="BA43" t="inlineStr">
        <is>
          <t>45699 Nordrhein-Westfalen - Herten</t>
        </is>
      </c>
      <c r="BB43" s="5" t="n">
        <v>45360</v>
      </c>
      <c r="BC43" t="inlineStr"/>
      <c r="BD43" s="6">
        <f>HYPERLINK("https://www.kleinanzeigen.de/s-anzeige/gaastra-surf-segel-6-5-inkl-gabelbaum-und-mast/2700967199-230-1832", "Link")</f>
        <v/>
      </c>
      <c r="BE43" s="6">
        <f>HYPERLINK("C:\Projects\Kleinanzeigen-Scraper\offer_images\2700967199", "Link")</f>
        <v/>
      </c>
      <c r="BF43" t="inlineStr">
        <is>
          <t>Böhmer</t>
        </is>
      </c>
      <c r="BG43" s="6">
        <f>HYPERLINK("https://www.kleinanzeigen.de/s-bestandsliste.html?userId=124191419", "Link")</f>
        <v/>
      </c>
      <c r="BH43" s="7" t="n">
        <v>45558.7409375</v>
      </c>
      <c r="BI43" s="3" t="inlineStr">
        <is>
          <t>73.42</t>
        </is>
      </c>
      <c r="BJ43" t="inlineStr">
        <is>
          <t>Köln</t>
        </is>
      </c>
    </row>
    <row r="44">
      <c r="A44" s="2" t="n">
        <v>8.5</v>
      </c>
      <c r="B44" t="inlineStr">
        <is>
          <t>Gaastra Flow</t>
        </is>
      </c>
      <c r="C44" s="3" t="inlineStr"/>
      <c r="D44" s="3" t="inlineStr"/>
      <c r="E44" t="inlineStr">
        <is>
          <t>Slalom</t>
        </is>
      </c>
      <c r="F44" t="inlineStr"/>
      <c r="G44" t="inlineStr">
        <is>
          <t>used</t>
        </is>
      </c>
      <c r="H44" s="4" t="n">
        <v>350</v>
      </c>
      <c r="I44" t="inlineStr">
        <is>
          <t>VB</t>
        </is>
      </c>
      <c r="J44" t="inlineStr">
        <is>
          <t>07749 Thüringen - Jena</t>
        </is>
      </c>
      <c r="K44" s="5" t="n">
        <v>45522</v>
      </c>
      <c r="L44" t="inlineStr"/>
      <c r="M44" s="6">
        <f>HYPERLINK("https://www.kleinanzeigen.de/s-anzeige/rigg-komplettes-segel-gaastra-8-5-m-3x-flow/2840113704-230-3773", "Link")</f>
        <v/>
      </c>
      <c r="N44" s="6">
        <f>HYPERLINK("C:\Projects\Kleinanzeigen-Scraper\offer_images\2840113704", "Link")</f>
        <v/>
      </c>
      <c r="O44" t="inlineStr">
        <is>
          <t>Marco</t>
        </is>
      </c>
      <c r="P44" s="6">
        <f>HYPERLINK("https://www.kleinanzeigen.de/s-bestandsliste.html?userId=19439362", "Link")</f>
        <v/>
      </c>
      <c r="Q44" s="7" t="n">
        <v>45558.7382175926</v>
      </c>
      <c r="R44" s="3" t="inlineStr">
        <is>
          <t>311.14</t>
        </is>
      </c>
      <c r="S44" t="inlineStr">
        <is>
          <t>München</t>
        </is>
      </c>
      <c r="T44" t="inlineStr"/>
      <c r="U44" s="3" t="inlineStr"/>
      <c r="V44" s="8" t="inlineStr"/>
      <c r="W44" t="inlineStr"/>
      <c r="X44" s="4" t="n">
        <v>350</v>
      </c>
      <c r="Y44" t="inlineStr">
        <is>
          <t>VB</t>
        </is>
      </c>
      <c r="Z44" t="inlineStr">
        <is>
          <t>07749 Thüringen - Jena</t>
        </is>
      </c>
      <c r="AA44" s="5" t="n">
        <v>45522</v>
      </c>
      <c r="AB44" t="inlineStr"/>
      <c r="AC44" s="6">
        <f>HYPERLINK("https://www.kleinanzeigen.de/s-anzeige/rigg-komplettes-segel-gaastra-8-5-m-3x-flow/2840113704-230-3773", "Link")</f>
        <v/>
      </c>
      <c r="AD44" s="6">
        <f>HYPERLINK("C:\Projects\Kleinanzeigen-Scraper\offer_images\2840113704", "Link")</f>
        <v/>
      </c>
      <c r="AE44" t="inlineStr">
        <is>
          <t>Marco</t>
        </is>
      </c>
      <c r="AF44" s="6">
        <f>HYPERLINK("https://www.kleinanzeigen.de/s-bestandsliste.html?userId=19439362", "Link")</f>
        <v/>
      </c>
      <c r="AG44" s="7" t="n">
        <v>45558.7382175926</v>
      </c>
      <c r="AH44" s="3" t="inlineStr">
        <is>
          <t>311.14</t>
        </is>
      </c>
      <c r="AI44" t="inlineStr">
        <is>
          <t>München</t>
        </is>
      </c>
      <c r="AJ44" t="inlineStr">
        <is>
          <t>Tekkno Sport Race</t>
        </is>
      </c>
      <c r="AK44" t="inlineStr">
        <is>
          <t>202-262</t>
        </is>
      </c>
      <c r="AL44" t="inlineStr"/>
      <c r="AM44" s="4" t="n">
        <v>350</v>
      </c>
      <c r="AN44" t="inlineStr">
        <is>
          <t>VB</t>
        </is>
      </c>
      <c r="AO44" t="inlineStr">
        <is>
          <t>07749 Thüringen - Jena</t>
        </is>
      </c>
      <c r="AP44" s="5" t="n">
        <v>45522</v>
      </c>
      <c r="AQ44" t="inlineStr"/>
      <c r="AR44" s="6">
        <f>HYPERLINK("https://www.kleinanzeigen.de/s-anzeige/rigg-komplettes-segel-gaastra-8-5-m-3x-flow/2840113704-230-3773", "Link")</f>
        <v/>
      </c>
      <c r="AS44" s="6">
        <f>HYPERLINK("C:\Projects\Kleinanzeigen-Scraper\offer_images\2840113704", "Link")</f>
        <v/>
      </c>
      <c r="AT44" t="inlineStr">
        <is>
          <t>Marco</t>
        </is>
      </c>
      <c r="AU44" s="6">
        <f>HYPERLINK("https://www.kleinanzeigen.de/s-bestandsliste.html?userId=19439362", "Link")</f>
        <v/>
      </c>
      <c r="AV44" s="7" t="n">
        <v>45558.7382175926</v>
      </c>
      <c r="AW44" s="3" t="inlineStr">
        <is>
          <t>311.14</t>
        </is>
      </c>
      <c r="AX44" t="inlineStr">
        <is>
          <t>München</t>
        </is>
      </c>
      <c r="AY44" s="4" t="n">
        <v>350</v>
      </c>
      <c r="AZ44" t="inlineStr">
        <is>
          <t>VB</t>
        </is>
      </c>
      <c r="BA44" t="inlineStr">
        <is>
          <t>07749 Thüringen - Jena</t>
        </is>
      </c>
      <c r="BB44" s="5" t="n">
        <v>45522</v>
      </c>
      <c r="BC44" t="inlineStr"/>
      <c r="BD44" s="6">
        <f>HYPERLINK("https://www.kleinanzeigen.de/s-anzeige/rigg-komplettes-segel-gaastra-8-5-m-3x-flow/2840113704-230-3773", "Link")</f>
        <v/>
      </c>
      <c r="BE44" s="6">
        <f>HYPERLINK("C:\Projects\Kleinanzeigen-Scraper\offer_images\2840113704", "Link")</f>
        <v/>
      </c>
      <c r="BF44" t="inlineStr">
        <is>
          <t>Marco</t>
        </is>
      </c>
      <c r="BG44" s="6">
        <f>HYPERLINK("https://www.kleinanzeigen.de/s-bestandsliste.html?userId=19439362", "Link")</f>
        <v/>
      </c>
      <c r="BH44" s="7" t="n">
        <v>45558.7382175926</v>
      </c>
      <c r="BI44" s="3" t="inlineStr">
        <is>
          <t>311.14</t>
        </is>
      </c>
      <c r="BJ44" t="inlineStr">
        <is>
          <t>München</t>
        </is>
      </c>
    </row>
    <row r="45">
      <c r="A45" s="2" t="n">
        <v>7.5</v>
      </c>
      <c r="B45" t="inlineStr">
        <is>
          <t>Gaastra Matrix</t>
        </is>
      </c>
      <c r="C45" s="3" t="inlineStr"/>
      <c r="D45" s="3" t="inlineStr"/>
      <c r="E45" t="inlineStr">
        <is>
          <t>Freeride</t>
        </is>
      </c>
      <c r="F45" t="inlineStr"/>
      <c r="G45" t="inlineStr">
        <is>
          <t>good</t>
        </is>
      </c>
      <c r="H45" s="4" t="n">
        <v>300</v>
      </c>
      <c r="I45" t="inlineStr">
        <is>
          <t>VB</t>
        </is>
      </c>
      <c r="J45" t="inlineStr">
        <is>
          <t>23909 Herzogtum Lauenburg - Ratzeburg</t>
        </is>
      </c>
      <c r="K45" s="5" t="n">
        <v>45550</v>
      </c>
      <c r="L45" t="inlineStr">
        <is>
          <t>Sold</t>
        </is>
      </c>
      <c r="M45" s="6">
        <f>HYPERLINK("https://www.kleinanzeigen.de/s-anzeige/gaastra-matrix-7-5-kplt-mit-mast-gabelbaum/2863766912-230-811", "Link")</f>
        <v/>
      </c>
      <c r="N45" s="6">
        <f>HYPERLINK("C:\Projects\Kleinanzeigen-Scraper\offer_images\2863766912", "Link")</f>
        <v/>
      </c>
      <c r="O45" t="inlineStr">
        <is>
          <t>Silvia S.</t>
        </is>
      </c>
      <c r="P45" s="6">
        <f>HYPERLINK("https://www.kleinanzeigen.de/s-bestandsliste.html?userId=86555296", "Link")</f>
        <v/>
      </c>
      <c r="Q45" s="7" t="n">
        <v>45558.7381712963</v>
      </c>
      <c r="R45" s="3" t="inlineStr">
        <is>
          <t>401.75</t>
        </is>
      </c>
      <c r="S45" t="inlineStr">
        <is>
          <t>Köln</t>
        </is>
      </c>
      <c r="T45" t="inlineStr">
        <is>
          <t>Gaastra SDM C55</t>
        </is>
      </c>
      <c r="U45" s="3" t="n">
        <v>460</v>
      </c>
      <c r="V45" s="8" t="inlineStr">
        <is>
          <t>25%</t>
        </is>
      </c>
      <c r="W45" t="inlineStr">
        <is>
          <t>SDM</t>
        </is>
      </c>
      <c r="X45" s="4" t="n">
        <v>300</v>
      </c>
      <c r="Y45" t="inlineStr">
        <is>
          <t>VB</t>
        </is>
      </c>
      <c r="Z45" t="inlineStr">
        <is>
          <t>23909 Herzogtum Lauenburg - Ratzeburg</t>
        </is>
      </c>
      <c r="AA45" s="5" t="n">
        <v>45550</v>
      </c>
      <c r="AB45" t="inlineStr">
        <is>
          <t>Sold</t>
        </is>
      </c>
      <c r="AC45" s="6">
        <f>HYPERLINK("https://www.kleinanzeigen.de/s-anzeige/gaastra-matrix-7-5-kplt-mit-mast-gabelbaum/2863766912-230-811", "Link")</f>
        <v/>
      </c>
      <c r="AD45" s="6">
        <f>HYPERLINK("C:\Projects\Kleinanzeigen-Scraper\offer_images\2863766912", "Link")</f>
        <v/>
      </c>
      <c r="AE45" t="inlineStr">
        <is>
          <t>Silvia S.</t>
        </is>
      </c>
      <c r="AF45" s="6">
        <f>HYPERLINK("https://www.kleinanzeigen.de/s-bestandsliste.html?userId=86555296", "Link")</f>
        <v/>
      </c>
      <c r="AG45" s="7" t="n">
        <v>45558.7381712963</v>
      </c>
      <c r="AH45" s="3" t="inlineStr">
        <is>
          <t>401.75</t>
        </is>
      </c>
      <c r="AI45" t="inlineStr">
        <is>
          <t>Köln</t>
        </is>
      </c>
      <c r="AJ45" t="inlineStr"/>
      <c r="AK45" t="inlineStr">
        <is>
          <t>185-235</t>
        </is>
      </c>
      <c r="AL45" t="inlineStr"/>
      <c r="AM45" s="4" t="n">
        <v>300</v>
      </c>
      <c r="AN45" t="inlineStr">
        <is>
          <t>VB</t>
        </is>
      </c>
      <c r="AO45" t="inlineStr">
        <is>
          <t>23909 Herzogtum Lauenburg - Ratzeburg</t>
        </is>
      </c>
      <c r="AP45" s="5" t="n">
        <v>45550</v>
      </c>
      <c r="AQ45" t="inlineStr">
        <is>
          <t>Sold</t>
        </is>
      </c>
      <c r="AR45" s="6">
        <f>HYPERLINK("https://www.kleinanzeigen.de/s-anzeige/gaastra-matrix-7-5-kplt-mit-mast-gabelbaum/2863766912-230-811", "Link")</f>
        <v/>
      </c>
      <c r="AS45" s="6">
        <f>HYPERLINK("C:\Projects\Kleinanzeigen-Scraper\offer_images\2863766912", "Link")</f>
        <v/>
      </c>
      <c r="AT45" t="inlineStr">
        <is>
          <t>Silvia S.</t>
        </is>
      </c>
      <c r="AU45" s="6">
        <f>HYPERLINK("https://www.kleinanzeigen.de/s-bestandsliste.html?userId=86555296", "Link")</f>
        <v/>
      </c>
      <c r="AV45" s="7" t="n">
        <v>45558.7381712963</v>
      </c>
      <c r="AW45" s="3" t="inlineStr">
        <is>
          <t>401.75</t>
        </is>
      </c>
      <c r="AX45" t="inlineStr">
        <is>
          <t>Köln</t>
        </is>
      </c>
      <c r="AY45" s="4" t="n">
        <v>300</v>
      </c>
      <c r="AZ45" t="inlineStr">
        <is>
          <t>VB</t>
        </is>
      </c>
      <c r="BA45" t="inlineStr">
        <is>
          <t>23909 Herzogtum Lauenburg - Ratzeburg</t>
        </is>
      </c>
      <c r="BB45" s="5" t="n">
        <v>45550</v>
      </c>
      <c r="BC45" t="inlineStr">
        <is>
          <t>Sold</t>
        </is>
      </c>
      <c r="BD45" s="6">
        <f>HYPERLINK("https://www.kleinanzeigen.de/s-anzeige/gaastra-matrix-7-5-kplt-mit-mast-gabelbaum/2863766912-230-811", "Link")</f>
        <v/>
      </c>
      <c r="BE45" s="6">
        <f>HYPERLINK("C:\Projects\Kleinanzeigen-Scraper\offer_images\2863766912", "Link")</f>
        <v/>
      </c>
      <c r="BF45" t="inlineStr">
        <is>
          <t>Silvia S.</t>
        </is>
      </c>
      <c r="BG45" s="6">
        <f>HYPERLINK("https://www.kleinanzeigen.de/s-bestandsliste.html?userId=86555296", "Link")</f>
        <v/>
      </c>
      <c r="BH45" s="7" t="n">
        <v>45558.7381712963</v>
      </c>
      <c r="BI45" s="3" t="inlineStr">
        <is>
          <t>401.75</t>
        </is>
      </c>
      <c r="BJ45" t="inlineStr">
        <is>
          <t>Köln</t>
        </is>
      </c>
    </row>
    <row r="46">
      <c r="A46" s="2" t="n">
        <v>5.5</v>
      </c>
      <c r="B46" t="inlineStr">
        <is>
          <t>Gaastra Freetime</t>
        </is>
      </c>
      <c r="C46" s="3" t="inlineStr"/>
      <c r="D46" s="3" t="inlineStr"/>
      <c r="E46" t="inlineStr">
        <is>
          <t>Freeride</t>
        </is>
      </c>
      <c r="F46" t="inlineStr"/>
      <c r="G46" t="inlineStr">
        <is>
          <t>used</t>
        </is>
      </c>
      <c r="H46" s="4" t="n">
        <v>280</v>
      </c>
      <c r="I46" t="inlineStr"/>
      <c r="J46" t="inlineStr">
        <is>
          <t>86465 Bayern - Heretsried</t>
        </is>
      </c>
      <c r="K46" s="5" t="n">
        <v>45519</v>
      </c>
      <c r="L46" t="inlineStr"/>
      <c r="M46" s="6">
        <f>HYPERLINK("https://www.kleinanzeigen.de/s-anzeige/gaastra-freetime-5-5-m2-komplettrigg-mast-gabelbaum-windsurfsegel/2795005308-230-20756", "Link")</f>
        <v/>
      </c>
      <c r="N46" s="6">
        <f>HYPERLINK("C:\Projects\Kleinanzeigen-Scraper\offer_images\2795005308", "Link")</f>
        <v/>
      </c>
      <c r="O46" t="inlineStr">
        <is>
          <t>M. Ender</t>
        </is>
      </c>
      <c r="P46" s="6">
        <f>HYPERLINK("https://www.kleinanzeigen.de/s-bestandsliste.html?userId=9414331", "Link")</f>
        <v/>
      </c>
      <c r="Q46" s="7" t="n">
        <v>45558.73813657407</v>
      </c>
      <c r="R46" s="3" t="inlineStr">
        <is>
          <t>76.35</t>
        </is>
      </c>
      <c r="S46" t="inlineStr">
        <is>
          <t>München</t>
        </is>
      </c>
      <c r="T46" t="inlineStr">
        <is>
          <t>Gaastra</t>
        </is>
      </c>
      <c r="U46" s="3" t="n">
        <v>430</v>
      </c>
      <c r="V46" s="8" t="inlineStr">
        <is>
          <t>30%</t>
        </is>
      </c>
      <c r="W46" t="inlineStr"/>
      <c r="X46" s="4" t="n">
        <v>280</v>
      </c>
      <c r="Y46" t="inlineStr"/>
      <c r="Z46" t="inlineStr">
        <is>
          <t>86465 Bayern - Heretsried</t>
        </is>
      </c>
      <c r="AA46" s="5" t="n">
        <v>45519</v>
      </c>
      <c r="AB46" t="inlineStr"/>
      <c r="AC46" s="6">
        <f>HYPERLINK("https://www.kleinanzeigen.de/s-anzeige/gaastra-freetime-5-5-m2-komplettrigg-mast-gabelbaum-windsurfsegel/2795005308-230-20756", "Link")</f>
        <v/>
      </c>
      <c r="AD46" s="6">
        <f>HYPERLINK("C:\Projects\Kleinanzeigen-Scraper\offer_images\2795005308", "Link")</f>
        <v/>
      </c>
      <c r="AE46" t="inlineStr">
        <is>
          <t>M. Ender</t>
        </is>
      </c>
      <c r="AF46" s="6">
        <f>HYPERLINK("https://www.kleinanzeigen.de/s-bestandsliste.html?userId=9414331", "Link")</f>
        <v/>
      </c>
      <c r="AG46" s="7" t="n">
        <v>45558.73813657407</v>
      </c>
      <c r="AH46" s="3" t="inlineStr">
        <is>
          <t>76.35</t>
        </is>
      </c>
      <c r="AI46" t="inlineStr">
        <is>
          <t>München</t>
        </is>
      </c>
      <c r="AJ46" t="inlineStr">
        <is>
          <t>Gaastra</t>
        </is>
      </c>
      <c r="AK46" t="inlineStr"/>
      <c r="AL46" t="inlineStr"/>
      <c r="AM46" s="4" t="n">
        <v>280</v>
      </c>
      <c r="AN46" t="inlineStr"/>
      <c r="AO46" t="inlineStr">
        <is>
          <t>86465 Bayern - Heretsried</t>
        </is>
      </c>
      <c r="AP46" s="5" t="n">
        <v>45519</v>
      </c>
      <c r="AQ46" t="inlineStr"/>
      <c r="AR46" s="6">
        <f>HYPERLINK("https://www.kleinanzeigen.de/s-anzeige/gaastra-freetime-5-5-m2-komplettrigg-mast-gabelbaum-windsurfsegel/2795005308-230-20756", "Link")</f>
        <v/>
      </c>
      <c r="AS46" s="6">
        <f>HYPERLINK("C:\Projects\Kleinanzeigen-Scraper\offer_images\2795005308", "Link")</f>
        <v/>
      </c>
      <c r="AT46" t="inlineStr">
        <is>
          <t>M. Ender</t>
        </is>
      </c>
      <c r="AU46" s="6">
        <f>HYPERLINK("https://www.kleinanzeigen.de/s-bestandsliste.html?userId=9414331", "Link")</f>
        <v/>
      </c>
      <c r="AV46" s="7" t="n">
        <v>45558.73813657407</v>
      </c>
      <c r="AW46" s="3" t="inlineStr">
        <is>
          <t>76.35</t>
        </is>
      </c>
      <c r="AX46" t="inlineStr">
        <is>
          <t>München</t>
        </is>
      </c>
      <c r="AY46" s="4" t="n">
        <v>280</v>
      </c>
      <c r="AZ46" t="inlineStr"/>
      <c r="BA46" t="inlineStr">
        <is>
          <t>86465 Bayern - Heretsried</t>
        </is>
      </c>
      <c r="BB46" s="5" t="n">
        <v>45519</v>
      </c>
      <c r="BC46" t="inlineStr"/>
      <c r="BD46" s="6">
        <f>HYPERLINK("https://www.kleinanzeigen.de/s-anzeige/gaastra-freetime-5-5-m2-komplettrigg-mast-gabelbaum-windsurfsegel/2795005308-230-20756", "Link")</f>
        <v/>
      </c>
      <c r="BE46" s="6">
        <f>HYPERLINK("C:\Projects\Kleinanzeigen-Scraper\offer_images\2795005308", "Link")</f>
        <v/>
      </c>
      <c r="BF46" t="inlineStr">
        <is>
          <t>M. Ender</t>
        </is>
      </c>
      <c r="BG46" s="6">
        <f>HYPERLINK("https://www.kleinanzeigen.de/s-bestandsliste.html?userId=9414331", "Link")</f>
        <v/>
      </c>
      <c r="BH46" s="7" t="n">
        <v>45558.73813657407</v>
      </c>
      <c r="BI46" s="3" t="inlineStr">
        <is>
          <t>76.35</t>
        </is>
      </c>
      <c r="BJ46" t="inlineStr">
        <is>
          <t>München</t>
        </is>
      </c>
    </row>
    <row r="47">
      <c r="A47" s="2" t="n">
        <v>9</v>
      </c>
      <c r="B47" t="inlineStr">
        <is>
          <t>Gaastra GTX</t>
        </is>
      </c>
      <c r="C47" s="3" t="n">
        <v>5.2</v>
      </c>
      <c r="D47" s="3" t="inlineStr"/>
      <c r="E47" t="inlineStr"/>
      <c r="F47" t="inlineStr"/>
      <c r="G47" t="inlineStr">
        <is>
          <t>used</t>
        </is>
      </c>
      <c r="H47" s="4" t="n">
        <v>190</v>
      </c>
      <c r="I47" t="inlineStr">
        <is>
          <t>VB</t>
        </is>
      </c>
      <c r="J47" t="inlineStr">
        <is>
          <t>24539 Schleswig-Holstein - Neumünster</t>
        </is>
      </c>
      <c r="K47" s="5" t="n">
        <v>45521</v>
      </c>
      <c r="L47" t="inlineStr"/>
      <c r="M47" s="6">
        <f>HYPERLINK("https://www.kleinanzeigen.de/s-anzeige/gaastra-gtx-segel-komplett-rigg/2838927641-230-648", "Link")</f>
        <v/>
      </c>
      <c r="N47" s="6">
        <f>HYPERLINK("C:\Projects\Kleinanzeigen-Scraper\offer_images\2838927641", "Link")</f>
        <v/>
      </c>
      <c r="O47" t="inlineStr">
        <is>
          <t>Frank</t>
        </is>
      </c>
      <c r="P47" s="6">
        <f>HYPERLINK("https://www.kleinanzeigen.de/s-bestandsliste.html?userId=21856366", "Link")</f>
        <v/>
      </c>
      <c r="Q47" s="7" t="n">
        <v>45558.73793981481</v>
      </c>
      <c r="R47" s="3" t="inlineStr">
        <is>
          <t>402.09</t>
        </is>
      </c>
      <c r="S47" t="inlineStr">
        <is>
          <t>Köln</t>
        </is>
      </c>
      <c r="T47" t="inlineStr">
        <is>
          <t>Gaastra</t>
        </is>
      </c>
      <c r="U47" s="3" t="n">
        <v>520</v>
      </c>
      <c r="V47" s="8" t="inlineStr">
        <is>
          <t>100%</t>
        </is>
      </c>
      <c r="W47" t="inlineStr"/>
      <c r="X47" s="4" t="n">
        <v>190</v>
      </c>
      <c r="Y47" t="inlineStr">
        <is>
          <t>VB</t>
        </is>
      </c>
      <c r="Z47" t="inlineStr">
        <is>
          <t>24539 Schleswig-Holstein - Neumünster</t>
        </is>
      </c>
      <c r="AA47" s="5" t="n">
        <v>45521</v>
      </c>
      <c r="AB47" t="inlineStr"/>
      <c r="AC47" s="6">
        <f>HYPERLINK("https://www.kleinanzeigen.de/s-anzeige/gaastra-gtx-segel-komplett-rigg/2838927641-230-648", "Link")</f>
        <v/>
      </c>
      <c r="AD47" s="6">
        <f>HYPERLINK("C:\Projects\Kleinanzeigen-Scraper\offer_images\2838927641", "Link")</f>
        <v/>
      </c>
      <c r="AE47" t="inlineStr">
        <is>
          <t>Frank</t>
        </is>
      </c>
      <c r="AF47" s="6">
        <f>HYPERLINK("https://www.kleinanzeigen.de/s-bestandsliste.html?userId=21856366", "Link")</f>
        <v/>
      </c>
      <c r="AG47" s="7" t="n">
        <v>45558.73793981481</v>
      </c>
      <c r="AH47" s="3" t="inlineStr">
        <is>
          <t>402.09</t>
        </is>
      </c>
      <c r="AI47" t="inlineStr">
        <is>
          <t>Köln</t>
        </is>
      </c>
      <c r="AJ47" t="inlineStr"/>
      <c r="AK47" t="inlineStr"/>
      <c r="AL47" t="inlineStr"/>
      <c r="AM47" s="4" t="n">
        <v>190</v>
      </c>
      <c r="AN47" t="inlineStr">
        <is>
          <t>VB</t>
        </is>
      </c>
      <c r="AO47" t="inlineStr">
        <is>
          <t>24539 Schleswig-Holstein - Neumünster</t>
        </is>
      </c>
      <c r="AP47" s="5" t="n">
        <v>45521</v>
      </c>
      <c r="AQ47" t="inlineStr"/>
      <c r="AR47" s="6">
        <f>HYPERLINK("https://www.kleinanzeigen.de/s-anzeige/gaastra-gtx-segel-komplett-rigg/2838927641-230-648", "Link")</f>
        <v/>
      </c>
      <c r="AS47" s="6">
        <f>HYPERLINK("C:\Projects\Kleinanzeigen-Scraper\offer_images\2838927641", "Link")</f>
        <v/>
      </c>
      <c r="AT47" t="inlineStr">
        <is>
          <t>Frank</t>
        </is>
      </c>
      <c r="AU47" s="6">
        <f>HYPERLINK("https://www.kleinanzeigen.de/s-bestandsliste.html?userId=21856366", "Link")</f>
        <v/>
      </c>
      <c r="AV47" s="7" t="n">
        <v>45558.73793981481</v>
      </c>
      <c r="AW47" s="3" t="inlineStr">
        <is>
          <t>402.09</t>
        </is>
      </c>
      <c r="AX47" t="inlineStr">
        <is>
          <t>Köln</t>
        </is>
      </c>
      <c r="AY47" s="4" t="n">
        <v>190</v>
      </c>
      <c r="AZ47" t="inlineStr">
        <is>
          <t>VB</t>
        </is>
      </c>
      <c r="BA47" t="inlineStr">
        <is>
          <t>24539 Schleswig-Holstein - Neumünster</t>
        </is>
      </c>
      <c r="BB47" s="5" t="n">
        <v>45521</v>
      </c>
      <c r="BC47" t="inlineStr"/>
      <c r="BD47" s="6">
        <f>HYPERLINK("https://www.kleinanzeigen.de/s-anzeige/gaastra-gtx-segel-komplett-rigg/2838927641-230-648", "Link")</f>
        <v/>
      </c>
      <c r="BE47" s="6">
        <f>HYPERLINK("C:\Projects\Kleinanzeigen-Scraper\offer_images\2838927641", "Link")</f>
        <v/>
      </c>
      <c r="BF47" t="inlineStr">
        <is>
          <t>Frank</t>
        </is>
      </c>
      <c r="BG47" s="6">
        <f>HYPERLINK("https://www.kleinanzeigen.de/s-bestandsliste.html?userId=21856366", "Link")</f>
        <v/>
      </c>
      <c r="BH47" s="7" t="n">
        <v>45558.73793981481</v>
      </c>
      <c r="BI47" s="3" t="inlineStr">
        <is>
          <t>402.09</t>
        </is>
      </c>
      <c r="BJ47" t="inlineStr">
        <is>
          <t>Köln</t>
        </is>
      </c>
    </row>
    <row r="48">
      <c r="A48" s="2" t="n">
        <v>9</v>
      </c>
      <c r="B48" t="inlineStr">
        <is>
          <t>Gaastra Swift</t>
        </is>
      </c>
      <c r="C48" s="3" t="n">
        <v>520</v>
      </c>
      <c r="D48" s="3" t="inlineStr"/>
      <c r="E48" t="inlineStr"/>
      <c r="F48" t="inlineStr"/>
      <c r="G48" t="inlineStr">
        <is>
          <t>repaired</t>
        </is>
      </c>
      <c r="H48" s="4" t="n">
        <v>350</v>
      </c>
      <c r="I48" t="inlineStr">
        <is>
          <t>VB</t>
        </is>
      </c>
      <c r="J48" t="inlineStr">
        <is>
          <t>92360 Bayern - Mühlhausen i.d. Oberpfalz</t>
        </is>
      </c>
      <c r="K48" s="5" t="n">
        <v>45493</v>
      </c>
      <c r="L48" t="inlineStr"/>
      <c r="M48" s="6">
        <f>HYPERLINK("https://www.kleinanzeigen.de/s-anzeige/surfrigg-gaastra-swift-9m-/2817015291-230-6596", "Link")</f>
        <v/>
      </c>
      <c r="N48" s="6">
        <f>HYPERLINK("C:\Projects\Kleinanzeigen-Scraper\offer_images\2817015291", "Link")</f>
        <v/>
      </c>
      <c r="O48" t="inlineStr">
        <is>
          <t>Xaver Hubmer</t>
        </is>
      </c>
      <c r="P48" s="6">
        <f>HYPERLINK("https://www.kleinanzeigen.de/s-bestandsliste.html?userId=45163896", "Link")</f>
        <v/>
      </c>
      <c r="Q48" s="7" t="n">
        <v>45558.7375</v>
      </c>
      <c r="R48" s="3" t="inlineStr">
        <is>
          <t>116.08</t>
        </is>
      </c>
      <c r="S48" t="inlineStr">
        <is>
          <t>München</t>
        </is>
      </c>
      <c r="T48" t="inlineStr"/>
      <c r="U48" s="3" t="n">
        <v>520</v>
      </c>
      <c r="V48" s="8" t="inlineStr"/>
      <c r="W48" t="inlineStr"/>
      <c r="X48" s="4" t="n">
        <v>350</v>
      </c>
      <c r="Y48" t="inlineStr">
        <is>
          <t>VB</t>
        </is>
      </c>
      <c r="Z48" t="inlineStr">
        <is>
          <t>92360 Bayern - Mühlhausen i.d. Oberpfalz</t>
        </is>
      </c>
      <c r="AA48" s="5" t="n">
        <v>45493</v>
      </c>
      <c r="AB48" t="inlineStr"/>
      <c r="AC48" s="6">
        <f>HYPERLINK("https://www.kleinanzeigen.de/s-anzeige/surfrigg-gaastra-swift-9m-/2817015291-230-6596", "Link")</f>
        <v/>
      </c>
      <c r="AD48" s="6">
        <f>HYPERLINK("C:\Projects\Kleinanzeigen-Scraper\offer_images\2817015291", "Link")</f>
        <v/>
      </c>
      <c r="AE48" t="inlineStr">
        <is>
          <t>Xaver Hubmer</t>
        </is>
      </c>
      <c r="AF48" s="6">
        <f>HYPERLINK("https://www.kleinanzeigen.de/s-bestandsliste.html?userId=45163896", "Link")</f>
        <v/>
      </c>
      <c r="AG48" s="7" t="n">
        <v>45558.7375</v>
      </c>
      <c r="AH48" s="3" t="inlineStr">
        <is>
          <t>116.08</t>
        </is>
      </c>
      <c r="AI48" t="inlineStr">
        <is>
          <t>München</t>
        </is>
      </c>
      <c r="AJ48" t="inlineStr"/>
      <c r="AK48" t="inlineStr"/>
      <c r="AL48" t="inlineStr"/>
      <c r="AM48" s="4" t="n">
        <v>350</v>
      </c>
      <c r="AN48" t="inlineStr">
        <is>
          <t>VB</t>
        </is>
      </c>
      <c r="AO48" t="inlineStr">
        <is>
          <t>92360 Bayern - Mühlhausen i.d. Oberpfalz</t>
        </is>
      </c>
      <c r="AP48" s="5" t="n">
        <v>45493</v>
      </c>
      <c r="AQ48" t="inlineStr"/>
      <c r="AR48" s="6">
        <f>HYPERLINK("https://www.kleinanzeigen.de/s-anzeige/surfrigg-gaastra-swift-9m-/2817015291-230-6596", "Link")</f>
        <v/>
      </c>
      <c r="AS48" s="6">
        <f>HYPERLINK("C:\Projects\Kleinanzeigen-Scraper\offer_images\2817015291", "Link")</f>
        <v/>
      </c>
      <c r="AT48" t="inlineStr">
        <is>
          <t>Xaver Hubmer</t>
        </is>
      </c>
      <c r="AU48" s="6">
        <f>HYPERLINK("https://www.kleinanzeigen.de/s-bestandsliste.html?userId=45163896", "Link")</f>
        <v/>
      </c>
      <c r="AV48" s="7" t="n">
        <v>45558.7375</v>
      </c>
      <c r="AW48" s="3" t="inlineStr">
        <is>
          <t>116.08</t>
        </is>
      </c>
      <c r="AX48" t="inlineStr">
        <is>
          <t>München</t>
        </is>
      </c>
      <c r="AY48" s="4" t="n">
        <v>350</v>
      </c>
      <c r="AZ48" t="inlineStr">
        <is>
          <t>VB</t>
        </is>
      </c>
      <c r="BA48" t="inlineStr">
        <is>
          <t>92360 Bayern - Mühlhausen i.d. Oberpfalz</t>
        </is>
      </c>
      <c r="BB48" s="5" t="n">
        <v>45493</v>
      </c>
      <c r="BC48" t="inlineStr"/>
      <c r="BD48" s="6">
        <f>HYPERLINK("https://www.kleinanzeigen.de/s-anzeige/surfrigg-gaastra-swift-9m-/2817015291-230-6596", "Link")</f>
        <v/>
      </c>
      <c r="BE48" s="6">
        <f>HYPERLINK("C:\Projects\Kleinanzeigen-Scraper\offer_images\2817015291", "Link")</f>
        <v/>
      </c>
      <c r="BF48" t="inlineStr">
        <is>
          <t>Xaver Hubmer</t>
        </is>
      </c>
      <c r="BG48" s="6">
        <f>HYPERLINK("https://www.kleinanzeigen.de/s-bestandsliste.html?userId=45163896", "Link")</f>
        <v/>
      </c>
      <c r="BH48" s="7" t="n">
        <v>45558.7375</v>
      </c>
      <c r="BI48" s="3" t="inlineStr">
        <is>
          <t>116.08</t>
        </is>
      </c>
      <c r="BJ48" t="inlineStr">
        <is>
          <t>München</t>
        </is>
      </c>
    </row>
    <row r="49">
      <c r="A49" s="2" t="n">
        <v>8.6</v>
      </c>
      <c r="B49" t="inlineStr">
        <is>
          <t>Severne Overdrive M1</t>
        </is>
      </c>
      <c r="C49" s="3" t="n">
        <v>490</v>
      </c>
      <c r="D49" s="3" t="n">
        <v>216</v>
      </c>
      <c r="E49" t="inlineStr"/>
      <c r="F49" t="inlineStr"/>
      <c r="G49" t="inlineStr">
        <is>
          <t>used, with minor damage</t>
        </is>
      </c>
      <c r="H49" s="4" t="n">
        <v>600</v>
      </c>
      <c r="I49" t="inlineStr">
        <is>
          <t>VB</t>
        </is>
      </c>
      <c r="J49" t="inlineStr">
        <is>
          <t>99734 Nordhausen</t>
        </is>
      </c>
      <c r="K49" s="5" t="n">
        <v>45557</v>
      </c>
      <c r="L49" t="inlineStr">
        <is>
          <t>Sold</t>
        </is>
      </c>
      <c r="M49" s="6">
        <f>HYPERLINK("https://www.dailydose.de/kleinanzeigen/detail.htm?ai=423031&amp;cf=kk&amp;pg=3&amp;ci=5", "Link")</f>
        <v/>
      </c>
      <c r="N49" s="6">
        <f>HYPERLINK("C:\Projects\Kleinanzeigen-Scraper\offer_images\423031", "Link")</f>
        <v/>
      </c>
      <c r="O49" t="inlineStr">
        <is>
          <t>Surfer69</t>
        </is>
      </c>
      <c r="P49" s="6">
        <f>HYPERLINK("https://www.dailydose.de/kleinanzeigen/user/22449", "Link")</f>
        <v/>
      </c>
      <c r="Q49" s="7" t="n">
        <v>45558.57466435185</v>
      </c>
      <c r="R49" s="3" t="inlineStr">
        <is>
          <t>277.51</t>
        </is>
      </c>
      <c r="S49" t="inlineStr">
        <is>
          <t>Köln</t>
        </is>
      </c>
      <c r="T49" t="inlineStr">
        <is>
          <t>Severne 490 SDM BlueLine</t>
        </is>
      </c>
      <c r="U49" s="3" t="n">
        <v>490</v>
      </c>
      <c r="V49" s="8" t="inlineStr"/>
      <c r="W49" t="inlineStr">
        <is>
          <t>SDM</t>
        </is>
      </c>
      <c r="X49" s="4" t="n">
        <v>600</v>
      </c>
      <c r="Y49" t="inlineStr">
        <is>
          <t>VB</t>
        </is>
      </c>
      <c r="Z49" t="inlineStr">
        <is>
          <t>99734 Nordhausen</t>
        </is>
      </c>
      <c r="AA49" s="5" t="n">
        <v>45557</v>
      </c>
      <c r="AB49" t="inlineStr">
        <is>
          <t>Sold</t>
        </is>
      </c>
      <c r="AC49" s="6">
        <f>HYPERLINK("https://www.dailydose.de/kleinanzeigen/detail.htm?ai=423031&amp;cf=kk&amp;pg=3&amp;ci=5", "Link")</f>
        <v/>
      </c>
      <c r="AD49" s="6">
        <f>HYPERLINK("C:\Projects\Kleinanzeigen-Scraper\offer_images\423031", "Link")</f>
        <v/>
      </c>
      <c r="AE49" t="inlineStr">
        <is>
          <t>Surfer69</t>
        </is>
      </c>
      <c r="AF49" s="6">
        <f>HYPERLINK("https://www.dailydose.de/kleinanzeigen/user/22449", "Link")</f>
        <v/>
      </c>
      <c r="AG49" s="7" t="n">
        <v>45558.57466435185</v>
      </c>
      <c r="AH49" s="3" t="inlineStr">
        <is>
          <t>277.51</t>
        </is>
      </c>
      <c r="AI49" t="inlineStr">
        <is>
          <t>Köln</t>
        </is>
      </c>
      <c r="AJ49" t="inlineStr">
        <is>
          <t>NeilPryde X6</t>
        </is>
      </c>
      <c r="AK49" t="inlineStr">
        <is>
          <t>200-250</t>
        </is>
      </c>
      <c r="AL49" t="inlineStr"/>
      <c r="AM49" s="4" t="n">
        <v>600</v>
      </c>
      <c r="AN49" t="inlineStr">
        <is>
          <t>VB</t>
        </is>
      </c>
      <c r="AO49" t="inlineStr">
        <is>
          <t>99734 Nordhausen</t>
        </is>
      </c>
      <c r="AP49" s="5" t="n">
        <v>45557</v>
      </c>
      <c r="AQ49" t="inlineStr">
        <is>
          <t>Sold</t>
        </is>
      </c>
      <c r="AR49" s="6">
        <f>HYPERLINK("https://www.dailydose.de/kleinanzeigen/detail.htm?ai=423031&amp;cf=kk&amp;pg=3&amp;ci=5", "Link")</f>
        <v/>
      </c>
      <c r="AS49" s="6">
        <f>HYPERLINK("C:\Projects\Kleinanzeigen-Scraper\offer_images\423031", "Link")</f>
        <v/>
      </c>
      <c r="AT49" t="inlineStr">
        <is>
          <t>Surfer69</t>
        </is>
      </c>
      <c r="AU49" s="6">
        <f>HYPERLINK("https://www.dailydose.de/kleinanzeigen/user/22449", "Link")</f>
        <v/>
      </c>
      <c r="AV49" s="7" t="n">
        <v>45558.57466435185</v>
      </c>
      <c r="AW49" s="3" t="inlineStr">
        <is>
          <t>277.51</t>
        </is>
      </c>
      <c r="AX49" t="inlineStr">
        <is>
          <t>Köln</t>
        </is>
      </c>
      <c r="AY49" s="4" t="n">
        <v>600</v>
      </c>
      <c r="AZ49" t="inlineStr">
        <is>
          <t>VB</t>
        </is>
      </c>
      <c r="BA49" t="inlineStr">
        <is>
          <t>99734 Nordhausen</t>
        </is>
      </c>
      <c r="BB49" s="5" t="n">
        <v>45557</v>
      </c>
      <c r="BC49" t="inlineStr">
        <is>
          <t>Sold</t>
        </is>
      </c>
      <c r="BD49" s="6">
        <f>HYPERLINK("https://www.dailydose.de/kleinanzeigen/detail.htm?ai=423031&amp;cf=kk&amp;pg=3&amp;ci=5", "Link")</f>
        <v/>
      </c>
      <c r="BE49" s="6">
        <f>HYPERLINK("C:\Projects\Kleinanzeigen-Scraper\offer_images\423031", "Link")</f>
        <v/>
      </c>
      <c r="BF49" t="inlineStr">
        <is>
          <t>Surfer69</t>
        </is>
      </c>
      <c r="BG49" s="6">
        <f>HYPERLINK("https://www.dailydose.de/kleinanzeigen/user/22449", "Link")</f>
        <v/>
      </c>
      <c r="BH49" s="7" t="n">
        <v>45558.57466435185</v>
      </c>
      <c r="BI49" s="3" t="inlineStr">
        <is>
          <t>277.51</t>
        </is>
      </c>
      <c r="BJ49" t="inlineStr">
        <is>
          <t>Köln</t>
        </is>
      </c>
    </row>
    <row r="50">
      <c r="A50" s="2" t="n">
        <v>5</v>
      </c>
      <c r="B50" t="inlineStr">
        <is>
          <t>Ascan</t>
        </is>
      </c>
      <c r="C50" s="3" t="n">
        <v>415</v>
      </c>
      <c r="D50" s="3" t="n">
        <v>220</v>
      </c>
      <c r="E50" t="inlineStr"/>
      <c r="F50" t="inlineStr"/>
      <c r="G50" t="inlineStr">
        <is>
          <t>used</t>
        </is>
      </c>
      <c r="H50" s="4" t="n">
        <v>250</v>
      </c>
      <c r="I50" t="inlineStr"/>
      <c r="J50" t="inlineStr">
        <is>
          <t>86169 Bayern - Augsburg</t>
        </is>
      </c>
      <c r="K50" s="5" t="n">
        <v>45558</v>
      </c>
      <c r="L50" t="inlineStr"/>
      <c r="M50" s="6">
        <f>HYPERLINK("https://www.kleinanzeigen.de/s-anzeige/tolles-windsurf-und-sup-rigg-ascan-5-0-m2/2871440466-230-7524", "Link")</f>
        <v/>
      </c>
      <c r="N50" s="6">
        <f>HYPERLINK("C:\Projects\Kleinanzeigen-Scraper\offer_images\2871440466", "Link")</f>
        <v/>
      </c>
      <c r="O50" t="inlineStr">
        <is>
          <t>Andi</t>
        </is>
      </c>
      <c r="P50" s="6">
        <f>HYPERLINK("https://www.kleinanzeigen.de/s-bestandsliste.html?userId=4910389", "Link")</f>
        <v/>
      </c>
      <c r="Q50" s="7" t="n">
        <v>45558.57002314815</v>
      </c>
      <c r="R50" s="3" t="inlineStr">
        <is>
          <t>58.53</t>
        </is>
      </c>
      <c r="S50" t="inlineStr">
        <is>
          <t>München</t>
        </is>
      </c>
      <c r="T50" t="inlineStr"/>
      <c r="U50" s="3" t="n">
        <v>415</v>
      </c>
      <c r="V50" s="8" t="inlineStr"/>
      <c r="W50" t="inlineStr"/>
      <c r="X50" s="4" t="n">
        <v>250</v>
      </c>
      <c r="Y50" t="inlineStr"/>
      <c r="Z50" t="inlineStr">
        <is>
          <t>86169 Bayern - Augsburg</t>
        </is>
      </c>
      <c r="AA50" s="5" t="n">
        <v>45558</v>
      </c>
      <c r="AB50" t="inlineStr"/>
      <c r="AC50" s="6">
        <f>HYPERLINK("https://www.kleinanzeigen.de/s-anzeige/tolles-windsurf-und-sup-rigg-ascan-5-0-m2/2871440466-230-7524", "Link")</f>
        <v/>
      </c>
      <c r="AD50" s="6">
        <f>HYPERLINK("C:\Projects\Kleinanzeigen-Scraper\offer_images\2871440466", "Link")</f>
        <v/>
      </c>
      <c r="AE50" t="inlineStr">
        <is>
          <t>Andi</t>
        </is>
      </c>
      <c r="AF50" s="6">
        <f>HYPERLINK("https://www.kleinanzeigen.de/s-bestandsliste.html?userId=4910389", "Link")</f>
        <v/>
      </c>
      <c r="AG50" s="7" t="n">
        <v>45558.57002314815</v>
      </c>
      <c r="AH50" s="3" t="inlineStr">
        <is>
          <t>58.53</t>
        </is>
      </c>
      <c r="AI50" t="inlineStr">
        <is>
          <t>München</t>
        </is>
      </c>
      <c r="AJ50" t="inlineStr"/>
      <c r="AK50" t="inlineStr">
        <is>
          <t>200</t>
        </is>
      </c>
      <c r="AL50" t="inlineStr"/>
      <c r="AM50" s="4" t="n">
        <v>250</v>
      </c>
      <c r="AN50" t="inlineStr"/>
      <c r="AO50" t="inlineStr">
        <is>
          <t>86169 Bayern - Augsburg</t>
        </is>
      </c>
      <c r="AP50" s="5" t="n">
        <v>45558</v>
      </c>
      <c r="AQ50" t="inlineStr"/>
      <c r="AR50" s="6">
        <f>HYPERLINK("https://www.kleinanzeigen.de/s-anzeige/tolles-windsurf-und-sup-rigg-ascan-5-0-m2/2871440466-230-7524", "Link")</f>
        <v/>
      </c>
      <c r="AS50" s="6">
        <f>HYPERLINK("C:\Projects\Kleinanzeigen-Scraper\offer_images\2871440466", "Link")</f>
        <v/>
      </c>
      <c r="AT50" t="inlineStr">
        <is>
          <t>Andi</t>
        </is>
      </c>
      <c r="AU50" s="6">
        <f>HYPERLINK("https://www.kleinanzeigen.de/s-bestandsliste.html?userId=4910389", "Link")</f>
        <v/>
      </c>
      <c r="AV50" s="7" t="n">
        <v>45558.57002314815</v>
      </c>
      <c r="AW50" s="3" t="inlineStr">
        <is>
          <t>58.53</t>
        </is>
      </c>
      <c r="AX50" t="inlineStr">
        <is>
          <t>München</t>
        </is>
      </c>
      <c r="AY50" s="4" t="n">
        <v>250</v>
      </c>
      <c r="AZ50" t="inlineStr"/>
      <c r="BA50" t="inlineStr">
        <is>
          <t>86169 Bayern - Augsburg</t>
        </is>
      </c>
      <c r="BB50" s="5" t="n">
        <v>45558</v>
      </c>
      <c r="BC50" t="inlineStr"/>
      <c r="BD50" s="6">
        <f>HYPERLINK("https://www.kleinanzeigen.de/s-anzeige/tolles-windsurf-und-sup-rigg-ascan-5-0-m2/2871440466-230-7524", "Link")</f>
        <v/>
      </c>
      <c r="BE50" s="6">
        <f>HYPERLINK("C:\Projects\Kleinanzeigen-Scraper\offer_images\2871440466", "Link")</f>
        <v/>
      </c>
      <c r="BF50" t="inlineStr">
        <is>
          <t>Andi</t>
        </is>
      </c>
      <c r="BG50" s="6">
        <f>HYPERLINK("https://www.kleinanzeigen.de/s-bestandsliste.html?userId=4910389", "Link")</f>
        <v/>
      </c>
      <c r="BH50" s="7" t="n">
        <v>45558.57002314815</v>
      </c>
      <c r="BI50" s="3" t="inlineStr">
        <is>
          <t>58.53</t>
        </is>
      </c>
      <c r="BJ50" t="inlineStr">
        <is>
          <t>München</t>
        </is>
      </c>
    </row>
    <row r="51">
      <c r="A51" s="2" t="n">
        <v>8.6</v>
      </c>
      <c r="B51" t="inlineStr">
        <is>
          <t>Severne Overdrive M1</t>
        </is>
      </c>
      <c r="C51" s="3" t="n">
        <v>490</v>
      </c>
      <c r="D51" s="3" t="n">
        <v>216</v>
      </c>
      <c r="E51" t="inlineStr"/>
      <c r="F51" t="inlineStr"/>
      <c r="G51" t="inlineStr">
        <is>
          <t>used, repaired</t>
        </is>
      </c>
      <c r="H51" s="4" t="n">
        <v>600</v>
      </c>
      <c r="I51" t="inlineStr"/>
      <c r="J51" t="inlineStr">
        <is>
          <t>99734 Thüringen - Nordhausen</t>
        </is>
      </c>
      <c r="K51" s="5" t="n">
        <v>45557</v>
      </c>
      <c r="L51" t="inlineStr">
        <is>
          <t>Sold</t>
        </is>
      </c>
      <c r="M51" s="6">
        <f>HYPERLINK("https://www.kleinanzeigen.de/s-anzeige/severne-overdrive-m1-8-6-komplett-rigg/2871174934-230-3582", "Link")</f>
        <v/>
      </c>
      <c r="N51" s="6">
        <f>HYPERLINK("C:\Projects\Kleinanzeigen-Scraper\offer_images\2871174934", "Link")</f>
        <v/>
      </c>
      <c r="O51" t="inlineStr">
        <is>
          <t>Frank</t>
        </is>
      </c>
      <c r="P51" s="6">
        <f>HYPERLINK("https://www.kleinanzeigen.de/s-bestandsliste.html?userId=17066692", "Link")</f>
        <v/>
      </c>
      <c r="Q51" s="7" t="n">
        <v>45558.56883101852</v>
      </c>
      <c r="R51" s="3" t="inlineStr">
        <is>
          <t>277.51</t>
        </is>
      </c>
      <c r="S51" t="inlineStr">
        <is>
          <t>Köln</t>
        </is>
      </c>
      <c r="T51" t="inlineStr">
        <is>
          <t>Severne 490 SDM BlueLine</t>
        </is>
      </c>
      <c r="U51" s="3" t="n">
        <v>490</v>
      </c>
      <c r="V51" s="8" t="inlineStr"/>
      <c r="W51" t="inlineStr">
        <is>
          <t>SDM</t>
        </is>
      </c>
      <c r="X51" s="4" t="n">
        <v>600</v>
      </c>
      <c r="Y51" t="inlineStr"/>
      <c r="Z51" t="inlineStr">
        <is>
          <t>99734 Thüringen - Nordhausen</t>
        </is>
      </c>
      <c r="AA51" s="5" t="n">
        <v>45557</v>
      </c>
      <c r="AB51" t="inlineStr">
        <is>
          <t>Sold</t>
        </is>
      </c>
      <c r="AC51" s="6">
        <f>HYPERLINK("https://www.kleinanzeigen.de/s-anzeige/severne-overdrive-m1-8-6-komplett-rigg/2871174934-230-3582", "Link")</f>
        <v/>
      </c>
      <c r="AD51" s="6">
        <f>HYPERLINK("C:\Projects\Kleinanzeigen-Scraper\offer_images\2871174934", "Link")</f>
        <v/>
      </c>
      <c r="AE51" t="inlineStr">
        <is>
          <t>Frank</t>
        </is>
      </c>
      <c r="AF51" s="6">
        <f>HYPERLINK("https://www.kleinanzeigen.de/s-bestandsliste.html?userId=17066692", "Link")</f>
        <v/>
      </c>
      <c r="AG51" s="7" t="n">
        <v>45558.56883101852</v>
      </c>
      <c r="AH51" s="3" t="inlineStr">
        <is>
          <t>277.51</t>
        </is>
      </c>
      <c r="AI51" t="inlineStr">
        <is>
          <t>Köln</t>
        </is>
      </c>
      <c r="AJ51" t="inlineStr">
        <is>
          <t>NeilPryde X6</t>
        </is>
      </c>
      <c r="AK51" t="inlineStr">
        <is>
          <t>200-250</t>
        </is>
      </c>
      <c r="AL51" t="inlineStr"/>
      <c r="AM51" s="4" t="n">
        <v>600</v>
      </c>
      <c r="AN51" t="inlineStr"/>
      <c r="AO51" t="inlineStr">
        <is>
          <t>99734 Thüringen - Nordhausen</t>
        </is>
      </c>
      <c r="AP51" s="5" t="n">
        <v>45557</v>
      </c>
      <c r="AQ51" t="inlineStr">
        <is>
          <t>Sold</t>
        </is>
      </c>
      <c r="AR51" s="6">
        <f>HYPERLINK("https://www.kleinanzeigen.de/s-anzeige/severne-overdrive-m1-8-6-komplett-rigg/2871174934-230-3582", "Link")</f>
        <v/>
      </c>
      <c r="AS51" s="6">
        <f>HYPERLINK("C:\Projects\Kleinanzeigen-Scraper\offer_images\2871174934", "Link")</f>
        <v/>
      </c>
      <c r="AT51" t="inlineStr">
        <is>
          <t>Frank</t>
        </is>
      </c>
      <c r="AU51" s="6">
        <f>HYPERLINK("https://www.kleinanzeigen.de/s-bestandsliste.html?userId=17066692", "Link")</f>
        <v/>
      </c>
      <c r="AV51" s="7" t="n">
        <v>45558.56883101852</v>
      </c>
      <c r="AW51" s="3" t="inlineStr">
        <is>
          <t>277.51</t>
        </is>
      </c>
      <c r="AX51" t="inlineStr">
        <is>
          <t>Köln</t>
        </is>
      </c>
      <c r="AY51" s="4" t="n">
        <v>600</v>
      </c>
      <c r="AZ51" t="inlineStr"/>
      <c r="BA51" t="inlineStr">
        <is>
          <t>99734 Thüringen - Nordhausen</t>
        </is>
      </c>
      <c r="BB51" s="5" t="n">
        <v>45557</v>
      </c>
      <c r="BC51" t="inlineStr">
        <is>
          <t>Sold</t>
        </is>
      </c>
      <c r="BD51" s="6">
        <f>HYPERLINK("https://www.kleinanzeigen.de/s-anzeige/severne-overdrive-m1-8-6-komplett-rigg/2871174934-230-3582", "Link")</f>
        <v/>
      </c>
      <c r="BE51" s="6">
        <f>HYPERLINK("C:\Projects\Kleinanzeigen-Scraper\offer_images\2871174934", "Link")</f>
        <v/>
      </c>
      <c r="BF51" t="inlineStr">
        <is>
          <t>Frank</t>
        </is>
      </c>
      <c r="BG51" s="6">
        <f>HYPERLINK("https://www.kleinanzeigen.de/s-bestandsliste.html?userId=17066692", "Link")</f>
        <v/>
      </c>
      <c r="BH51" s="7" t="n">
        <v>45558.56883101852</v>
      </c>
      <c r="BI51" s="3" t="inlineStr">
        <is>
          <t>277.51</t>
        </is>
      </c>
      <c r="BJ51" t="inlineStr">
        <is>
          <t>Köln</t>
        </is>
      </c>
    </row>
    <row r="52">
      <c r="A52" s="2" t="n">
        <v>3</v>
      </c>
      <c r="B52" t="inlineStr">
        <is>
          <t>F2</t>
        </is>
      </c>
      <c r="C52" s="3" t="n">
        <v>300</v>
      </c>
      <c r="D52" s="3" t="n">
        <v>135</v>
      </c>
      <c r="E52" t="inlineStr"/>
      <c r="F52" t="inlineStr"/>
      <c r="G52" t="inlineStr">
        <is>
          <t>new</t>
        </is>
      </c>
      <c r="H52" s="4" t="n">
        <v>350</v>
      </c>
      <c r="I52" t="inlineStr">
        <is>
          <t>VB</t>
        </is>
      </c>
      <c r="J52" t="inlineStr">
        <is>
          <t>18556 Mecklenburg-Vorpommern - Dranske</t>
        </is>
      </c>
      <c r="K52" s="5" t="n">
        <v>45552</v>
      </c>
      <c r="L52" t="inlineStr">
        <is>
          <t>Sold</t>
        </is>
      </c>
      <c r="M52" s="6">
        <f>HYPERLINK("https://www.kleinanzeigen.de/s-anzeige/f2-rigg-3-0-surfsegel-und-mast-zum-windsurfen/2866548100-90-26538", "Link")</f>
        <v/>
      </c>
      <c r="N52" s="6">
        <f>HYPERLINK("C:\Projects\Kleinanzeigen-Scraper\offer_images\2866548100", "Link")</f>
        <v/>
      </c>
      <c r="O52" t="inlineStr">
        <is>
          <t>VonDerInsel</t>
        </is>
      </c>
      <c r="P52" s="6">
        <f>HYPERLINK("https://www.kleinanzeigen.de/s-bestandsliste.html?userId=18735014", "Link")</f>
        <v/>
      </c>
      <c r="Q52" s="7" t="n">
        <v>45558.5671412037</v>
      </c>
      <c r="R52" s="3" t="inlineStr">
        <is>
          <t>594.93</t>
        </is>
      </c>
      <c r="S52" t="inlineStr">
        <is>
          <t>Köln</t>
        </is>
      </c>
      <c r="T52" t="inlineStr">
        <is>
          <t>F2</t>
        </is>
      </c>
      <c r="U52" s="3" t="n">
        <v>300</v>
      </c>
      <c r="V52" s="8" t="inlineStr"/>
      <c r="W52" t="inlineStr"/>
      <c r="X52" s="4" t="n">
        <v>350</v>
      </c>
      <c r="Y52" t="inlineStr">
        <is>
          <t>VB</t>
        </is>
      </c>
      <c r="Z52" t="inlineStr">
        <is>
          <t>18556 Mecklenburg-Vorpommern - Dranske</t>
        </is>
      </c>
      <c r="AA52" s="5" t="n">
        <v>45552</v>
      </c>
      <c r="AB52" t="inlineStr">
        <is>
          <t>Sold</t>
        </is>
      </c>
      <c r="AC52" s="6">
        <f>HYPERLINK("https://www.kleinanzeigen.de/s-anzeige/f2-rigg-3-0-surfsegel-und-mast-zum-windsurfen/2866548100-90-26538", "Link")</f>
        <v/>
      </c>
      <c r="AD52" s="6">
        <f>HYPERLINK("C:\Projects\Kleinanzeigen-Scraper\offer_images\2866548100", "Link")</f>
        <v/>
      </c>
      <c r="AE52" t="inlineStr">
        <is>
          <t>VonDerInsel</t>
        </is>
      </c>
      <c r="AF52" s="6">
        <f>HYPERLINK("https://www.kleinanzeigen.de/s-bestandsliste.html?userId=18735014", "Link")</f>
        <v/>
      </c>
      <c r="AG52" s="7" t="n">
        <v>45558.5671412037</v>
      </c>
      <c r="AH52" s="3" t="inlineStr">
        <is>
          <t>594.93</t>
        </is>
      </c>
      <c r="AI52" t="inlineStr">
        <is>
          <t>Köln</t>
        </is>
      </c>
      <c r="AJ52" t="inlineStr"/>
      <c r="AK52" t="inlineStr">
        <is>
          <t>135</t>
        </is>
      </c>
      <c r="AL52" t="inlineStr"/>
      <c r="AM52" s="4" t="n">
        <v>350</v>
      </c>
      <c r="AN52" t="inlineStr">
        <is>
          <t>VB</t>
        </is>
      </c>
      <c r="AO52" t="inlineStr">
        <is>
          <t>18556 Mecklenburg-Vorpommern - Dranske</t>
        </is>
      </c>
      <c r="AP52" s="5" t="n">
        <v>45552</v>
      </c>
      <c r="AQ52" t="inlineStr">
        <is>
          <t>Sold</t>
        </is>
      </c>
      <c r="AR52" s="6">
        <f>HYPERLINK("https://www.kleinanzeigen.de/s-anzeige/f2-rigg-3-0-surfsegel-und-mast-zum-windsurfen/2866548100-90-26538", "Link")</f>
        <v/>
      </c>
      <c r="AS52" s="6">
        <f>HYPERLINK("C:\Projects\Kleinanzeigen-Scraper\offer_images\2866548100", "Link")</f>
        <v/>
      </c>
      <c r="AT52" t="inlineStr">
        <is>
          <t>VonDerInsel</t>
        </is>
      </c>
      <c r="AU52" s="6">
        <f>HYPERLINK("https://www.kleinanzeigen.de/s-bestandsliste.html?userId=18735014", "Link")</f>
        <v/>
      </c>
      <c r="AV52" s="7" t="n">
        <v>45558.5671412037</v>
      </c>
      <c r="AW52" s="3" t="inlineStr">
        <is>
          <t>594.93</t>
        </is>
      </c>
      <c r="AX52" t="inlineStr">
        <is>
          <t>Köln</t>
        </is>
      </c>
      <c r="AY52" s="4" t="n">
        <v>350</v>
      </c>
      <c r="AZ52" t="inlineStr">
        <is>
          <t>VB</t>
        </is>
      </c>
      <c r="BA52" t="inlineStr">
        <is>
          <t>18556 Mecklenburg-Vorpommern - Dranske</t>
        </is>
      </c>
      <c r="BB52" s="5" t="n">
        <v>45552</v>
      </c>
      <c r="BC52" t="inlineStr">
        <is>
          <t>Sold</t>
        </is>
      </c>
      <c r="BD52" s="6">
        <f>HYPERLINK("https://www.kleinanzeigen.de/s-anzeige/f2-rigg-3-0-surfsegel-und-mast-zum-windsurfen/2866548100-90-26538", "Link")</f>
        <v/>
      </c>
      <c r="BE52" s="6">
        <f>HYPERLINK("C:\Projects\Kleinanzeigen-Scraper\offer_images\2866548100", "Link")</f>
        <v/>
      </c>
      <c r="BF52" t="inlineStr">
        <is>
          <t>VonDerInsel</t>
        </is>
      </c>
      <c r="BG52" s="6">
        <f>HYPERLINK("https://www.kleinanzeigen.de/s-bestandsliste.html?userId=18735014", "Link")</f>
        <v/>
      </c>
      <c r="BH52" s="7" t="n">
        <v>45558.5671412037</v>
      </c>
      <c r="BI52" s="3" t="inlineStr">
        <is>
          <t>594.93</t>
        </is>
      </c>
      <c r="BJ52" t="inlineStr">
        <is>
          <t>Köln</t>
        </is>
      </c>
    </row>
    <row r="53">
      <c r="A53" s="2" t="n">
        <v>5.6</v>
      </c>
      <c r="B53" t="inlineStr">
        <is>
          <t>Severne S1</t>
        </is>
      </c>
      <c r="C53" s="3" t="n">
        <v>400</v>
      </c>
      <c r="D53" s="3" t="n">
        <v>167</v>
      </c>
      <c r="E53" t="inlineStr"/>
      <c r="F53" t="inlineStr">
        <is>
          <t>2023</t>
        </is>
      </c>
      <c r="G53" t="inlineStr">
        <is>
          <t>used</t>
        </is>
      </c>
      <c r="H53" s="4" t="n">
        <v>990</v>
      </c>
      <c r="I53" t="inlineStr">
        <is>
          <t>VB</t>
        </is>
      </c>
      <c r="J53" t="inlineStr">
        <is>
          <t>85521 Kr. München - Riemerling</t>
        </is>
      </c>
      <c r="K53" s="5" t="n">
        <v>45557</v>
      </c>
      <c r="L53" t="inlineStr"/>
      <c r="M53" s="6">
        <f>HYPERLINK("https://www.kleinanzeigen.de/s-anzeige/windsurfsegel-severne-s1-mit-red-400-neu-/2871224571-230-5515", "Link")</f>
        <v/>
      </c>
      <c r="N53" s="6">
        <f>HYPERLINK("C:\Projects\Kleinanzeigen-Scraper\offer_images\2871224571", "Link")</f>
        <v/>
      </c>
      <c r="O53" t="inlineStr">
        <is>
          <t>Franks Profil</t>
        </is>
      </c>
      <c r="P53" s="6">
        <f>HYPERLINK("https://www.kleinanzeigen.de/s-bestandsliste.html?userId=31815103", "Link")</f>
        <v/>
      </c>
      <c r="Q53" s="7" t="n">
        <v>45558.56701388889</v>
      </c>
      <c r="R53" s="3" t="inlineStr">
        <is>
          <t>11.05</t>
        </is>
      </c>
      <c r="S53" t="inlineStr">
        <is>
          <t>München</t>
        </is>
      </c>
      <c r="T53" t="inlineStr">
        <is>
          <t>Severne RED</t>
        </is>
      </c>
      <c r="U53" s="3" t="n">
        <v>400</v>
      </c>
      <c r="V53" s="8" t="inlineStr"/>
      <c r="W53" t="inlineStr">
        <is>
          <t>RDM</t>
        </is>
      </c>
      <c r="X53" s="4" t="n">
        <v>990</v>
      </c>
      <c r="Y53" t="inlineStr">
        <is>
          <t>VB</t>
        </is>
      </c>
      <c r="Z53" t="inlineStr">
        <is>
          <t>85521 Kr. München - Riemerling</t>
        </is>
      </c>
      <c r="AA53" s="5" t="n">
        <v>45557</v>
      </c>
      <c r="AB53" t="inlineStr"/>
      <c r="AC53" s="6">
        <f>HYPERLINK("https://www.kleinanzeigen.de/s-anzeige/windsurfsegel-severne-s1-mit-red-400-neu-/2871224571-230-5515", "Link")</f>
        <v/>
      </c>
      <c r="AD53" s="6">
        <f>HYPERLINK("C:\Projects\Kleinanzeigen-Scraper\offer_images\2871224571", "Link")</f>
        <v/>
      </c>
      <c r="AE53" t="inlineStr">
        <is>
          <t>Franks Profil</t>
        </is>
      </c>
      <c r="AF53" s="6">
        <f>HYPERLINK("https://www.kleinanzeigen.de/s-bestandsliste.html?userId=31815103", "Link")</f>
        <v/>
      </c>
      <c r="AG53" s="7" t="n">
        <v>45558.56701388889</v>
      </c>
      <c r="AH53" s="3" t="inlineStr">
        <is>
          <t>11.05</t>
        </is>
      </c>
      <c r="AI53" t="inlineStr">
        <is>
          <t>München</t>
        </is>
      </c>
      <c r="AJ53" t="inlineStr">
        <is>
          <t>Severne</t>
        </is>
      </c>
      <c r="AK53" t="inlineStr"/>
      <c r="AL53" t="inlineStr">
        <is>
          <t>2023</t>
        </is>
      </c>
      <c r="AM53" s="4" t="n">
        <v>990</v>
      </c>
      <c r="AN53" t="inlineStr">
        <is>
          <t>VB</t>
        </is>
      </c>
      <c r="AO53" t="inlineStr">
        <is>
          <t>85521 Kr. München - Riemerling</t>
        </is>
      </c>
      <c r="AP53" s="5" t="n">
        <v>45557</v>
      </c>
      <c r="AQ53" t="inlineStr"/>
      <c r="AR53" s="6">
        <f>HYPERLINK("https://www.kleinanzeigen.de/s-anzeige/windsurfsegel-severne-s1-mit-red-400-neu-/2871224571-230-5515", "Link")</f>
        <v/>
      </c>
      <c r="AS53" s="6">
        <f>HYPERLINK("C:\Projects\Kleinanzeigen-Scraper\offer_images\2871224571", "Link")</f>
        <v/>
      </c>
      <c r="AT53" t="inlineStr">
        <is>
          <t>Franks Profil</t>
        </is>
      </c>
      <c r="AU53" s="6">
        <f>HYPERLINK("https://www.kleinanzeigen.de/s-bestandsliste.html?userId=31815103", "Link")</f>
        <v/>
      </c>
      <c r="AV53" s="7" t="n">
        <v>45558.56701388889</v>
      </c>
      <c r="AW53" s="3" t="inlineStr">
        <is>
          <t>11.05</t>
        </is>
      </c>
      <c r="AX53" t="inlineStr">
        <is>
          <t>München</t>
        </is>
      </c>
      <c r="AY53" s="4" t="n">
        <v>990</v>
      </c>
      <c r="AZ53" t="inlineStr">
        <is>
          <t>VB</t>
        </is>
      </c>
      <c r="BA53" t="inlineStr">
        <is>
          <t>85521 Kr. München - Riemerling</t>
        </is>
      </c>
      <c r="BB53" s="5" t="n">
        <v>45557</v>
      </c>
      <c r="BC53" t="inlineStr"/>
      <c r="BD53" s="6">
        <f>HYPERLINK("https://www.kleinanzeigen.de/s-anzeige/windsurfsegel-severne-s1-mit-red-400-neu-/2871224571-230-5515", "Link")</f>
        <v/>
      </c>
      <c r="BE53" s="6">
        <f>HYPERLINK("C:\Projects\Kleinanzeigen-Scraper\offer_images\2871224571", "Link")</f>
        <v/>
      </c>
      <c r="BF53" t="inlineStr">
        <is>
          <t>Franks Profil</t>
        </is>
      </c>
      <c r="BG53" s="6">
        <f>HYPERLINK("https://www.kleinanzeigen.de/s-bestandsliste.html?userId=31815103", "Link")</f>
        <v/>
      </c>
      <c r="BH53" s="7" t="n">
        <v>45558.56701388889</v>
      </c>
      <c r="BI53" s="3" t="inlineStr">
        <is>
          <t>11.05</t>
        </is>
      </c>
      <c r="BJ53" t="inlineStr">
        <is>
          <t>München</t>
        </is>
      </c>
    </row>
    <row r="54">
      <c r="A54" s="2" t="n">
        <v>4.9</v>
      </c>
      <c r="B54" t="inlineStr">
        <is>
          <t>STX Rigg Envolve</t>
        </is>
      </c>
      <c r="C54" s="3" t="inlineStr"/>
      <c r="D54" s="3" t="n">
        <v>190</v>
      </c>
      <c r="E54" t="inlineStr"/>
      <c r="F54" t="inlineStr"/>
      <c r="G54" t="inlineStr">
        <is>
          <t>used</t>
        </is>
      </c>
      <c r="H54" s="4" t="n">
        <v>550</v>
      </c>
      <c r="I54" t="inlineStr"/>
      <c r="J54" t="inlineStr">
        <is>
          <t>18556 Mecklenburg-Vorpommern - Dranske</t>
        </is>
      </c>
      <c r="K54" s="5" t="n">
        <v>45552</v>
      </c>
      <c r="L54" t="inlineStr">
        <is>
          <t>Sold</t>
        </is>
      </c>
      <c r="M54" s="6">
        <f>HYPERLINK("https://www.kleinanzeigen.de/s-anzeige/stx-rigg-envolve-4-9-blau-surfsegel-und-5-tlg-mast-windsurfen/2866530746-230-26538", "Link")</f>
        <v/>
      </c>
      <c r="N54" s="6">
        <f>HYPERLINK("C:\Projects\Kleinanzeigen-Scraper\offer_images\2866530746", "Link")</f>
        <v/>
      </c>
      <c r="O54" t="inlineStr">
        <is>
          <t>VonDerInsel</t>
        </is>
      </c>
      <c r="P54" s="6">
        <f>HYPERLINK("https://www.kleinanzeigen.de/s-bestandsliste.html?userId=18735014", "Link")</f>
        <v/>
      </c>
      <c r="Q54" s="7" t="n">
        <v>45558.56539351852</v>
      </c>
      <c r="R54" s="3" t="inlineStr">
        <is>
          <t>594.93</t>
        </is>
      </c>
      <c r="S54" t="inlineStr">
        <is>
          <t>Köln</t>
        </is>
      </c>
      <c r="T54" t="inlineStr">
        <is>
          <t>STX Rigg Envolve</t>
        </is>
      </c>
      <c r="U54" s="3" t="inlineStr"/>
      <c r="V54" s="8" t="inlineStr"/>
      <c r="W54" t="inlineStr"/>
      <c r="X54" s="4" t="n">
        <v>550</v>
      </c>
      <c r="Y54" t="inlineStr"/>
      <c r="Z54" t="inlineStr">
        <is>
          <t>18556 Mecklenburg-Vorpommern - Dranske</t>
        </is>
      </c>
      <c r="AA54" s="5" t="n">
        <v>45552</v>
      </c>
      <c r="AB54" t="inlineStr">
        <is>
          <t>Sold</t>
        </is>
      </c>
      <c r="AC54" s="6">
        <f>HYPERLINK("https://www.kleinanzeigen.de/s-anzeige/stx-rigg-envolve-4-9-blau-surfsegel-und-5-tlg-mast-windsurfen/2866530746-230-26538", "Link")</f>
        <v/>
      </c>
      <c r="AD54" s="6">
        <f>HYPERLINK("C:\Projects\Kleinanzeigen-Scraper\offer_images\2866530746", "Link")</f>
        <v/>
      </c>
      <c r="AE54" t="inlineStr">
        <is>
          <t>VonDerInsel</t>
        </is>
      </c>
      <c r="AF54" s="6">
        <f>HYPERLINK("https://www.kleinanzeigen.de/s-bestandsliste.html?userId=18735014", "Link")</f>
        <v/>
      </c>
      <c r="AG54" s="7" t="n">
        <v>45558.56539351852</v>
      </c>
      <c r="AH54" s="3" t="inlineStr">
        <is>
          <t>594.93</t>
        </is>
      </c>
      <c r="AI54" t="inlineStr">
        <is>
          <t>Köln</t>
        </is>
      </c>
      <c r="AJ54" t="inlineStr"/>
      <c r="AK54" t="inlineStr">
        <is>
          <t>190</t>
        </is>
      </c>
      <c r="AL54" t="inlineStr"/>
      <c r="AM54" s="4" t="n">
        <v>550</v>
      </c>
      <c r="AN54" t="inlineStr"/>
      <c r="AO54" t="inlineStr">
        <is>
          <t>18556 Mecklenburg-Vorpommern - Dranske</t>
        </is>
      </c>
      <c r="AP54" s="5" t="n">
        <v>45552</v>
      </c>
      <c r="AQ54" t="inlineStr">
        <is>
          <t>Sold</t>
        </is>
      </c>
      <c r="AR54" s="6">
        <f>HYPERLINK("https://www.kleinanzeigen.de/s-anzeige/stx-rigg-envolve-4-9-blau-surfsegel-und-5-tlg-mast-windsurfen/2866530746-230-26538", "Link")</f>
        <v/>
      </c>
      <c r="AS54" s="6">
        <f>HYPERLINK("C:\Projects\Kleinanzeigen-Scraper\offer_images\2866530746", "Link")</f>
        <v/>
      </c>
      <c r="AT54" t="inlineStr">
        <is>
          <t>VonDerInsel</t>
        </is>
      </c>
      <c r="AU54" s="6">
        <f>HYPERLINK("https://www.kleinanzeigen.de/s-bestandsliste.html?userId=18735014", "Link")</f>
        <v/>
      </c>
      <c r="AV54" s="7" t="n">
        <v>45558.56539351852</v>
      </c>
      <c r="AW54" s="3" t="inlineStr">
        <is>
          <t>594.93</t>
        </is>
      </c>
      <c r="AX54" t="inlineStr">
        <is>
          <t>Köln</t>
        </is>
      </c>
      <c r="AY54" s="4" t="n">
        <v>550</v>
      </c>
      <c r="AZ54" t="inlineStr"/>
      <c r="BA54" t="inlineStr">
        <is>
          <t>18556 Mecklenburg-Vorpommern - Dranske</t>
        </is>
      </c>
      <c r="BB54" s="5" t="n">
        <v>45552</v>
      </c>
      <c r="BC54" t="inlineStr">
        <is>
          <t>Sold</t>
        </is>
      </c>
      <c r="BD54" s="6">
        <f>HYPERLINK("https://www.kleinanzeigen.de/s-anzeige/stx-rigg-envolve-4-9-blau-surfsegel-und-5-tlg-mast-windsurfen/2866530746-230-26538", "Link")</f>
        <v/>
      </c>
      <c r="BE54" s="6">
        <f>HYPERLINK("C:\Projects\Kleinanzeigen-Scraper\offer_images\2866530746", "Link")</f>
        <v/>
      </c>
      <c r="BF54" t="inlineStr">
        <is>
          <t>VonDerInsel</t>
        </is>
      </c>
      <c r="BG54" s="6">
        <f>HYPERLINK("https://www.kleinanzeigen.de/s-bestandsliste.html?userId=18735014", "Link")</f>
        <v/>
      </c>
      <c r="BH54" s="7" t="n">
        <v>45558.56539351852</v>
      </c>
      <c r="BI54" s="3" t="inlineStr">
        <is>
          <t>594.93</t>
        </is>
      </c>
      <c r="BJ54" t="inlineStr">
        <is>
          <t>Köln</t>
        </is>
      </c>
    </row>
    <row r="55">
      <c r="A55" s="2" t="n">
        <v>6.9</v>
      </c>
      <c r="B55" t="inlineStr">
        <is>
          <t>Gastra</t>
        </is>
      </c>
      <c r="C55" s="3" t="n">
        <v>456</v>
      </c>
      <c r="D55" s="3" t="n">
        <v>204</v>
      </c>
      <c r="E55" t="inlineStr"/>
      <c r="F55" t="inlineStr">
        <is>
          <t>2014</t>
        </is>
      </c>
      <c r="G55" t="inlineStr">
        <is>
          <t>used</t>
        </is>
      </c>
      <c r="H55" s="4" t="n">
        <v>220</v>
      </c>
      <c r="I55" t="inlineStr">
        <is>
          <t>VB</t>
        </is>
      </c>
      <c r="J55" t="inlineStr">
        <is>
          <t>18059 Rostock - Südstadt</t>
        </is>
      </c>
      <c r="K55" s="5" t="n">
        <v>45557</v>
      </c>
      <c r="L55" t="inlineStr"/>
      <c r="M55" s="6">
        <f>HYPERLINK("https://www.kleinanzeigen.de/s-anzeige/windsurf-segel-und-mast/2871036696-230-13049", "Link")</f>
        <v/>
      </c>
      <c r="N55" s="6">
        <f>HYPERLINK("C:\Projects\Kleinanzeigen-Scraper\offer_images\2871036696", "Link")</f>
        <v/>
      </c>
      <c r="O55" t="inlineStr">
        <is>
          <t>Jens Schroeder</t>
        </is>
      </c>
      <c r="P55" s="6">
        <f>HYPERLINK("https://www.kleinanzeigen.de/s-bestandsliste.html?userId=13663900", "Link")</f>
        <v/>
      </c>
      <c r="Q55" s="7" t="n">
        <v>45558.56519675926</v>
      </c>
      <c r="R55" s="3" t="inlineStr">
        <is>
          <t>489.44</t>
        </is>
      </c>
      <c r="S55" t="inlineStr">
        <is>
          <t>Köln</t>
        </is>
      </c>
      <c r="T55" t="inlineStr"/>
      <c r="U55" s="3" t="n">
        <v>430</v>
      </c>
      <c r="V55" s="8" t="inlineStr"/>
      <c r="W55" t="inlineStr">
        <is>
          <t>RDM</t>
        </is>
      </c>
      <c r="X55" s="4" t="n">
        <v>220</v>
      </c>
      <c r="Y55" t="inlineStr">
        <is>
          <t>VB</t>
        </is>
      </c>
      <c r="Z55" t="inlineStr">
        <is>
          <t>18059 Rostock - Südstadt</t>
        </is>
      </c>
      <c r="AA55" s="5" t="n">
        <v>45557</v>
      </c>
      <c r="AB55" t="inlineStr"/>
      <c r="AC55" s="6">
        <f>HYPERLINK("https://www.kleinanzeigen.de/s-anzeige/windsurf-segel-und-mast/2871036696-230-13049", "Link")</f>
        <v/>
      </c>
      <c r="AD55" s="6">
        <f>HYPERLINK("C:\Projects\Kleinanzeigen-Scraper\offer_images\2871036696", "Link")</f>
        <v/>
      </c>
      <c r="AE55" t="inlineStr">
        <is>
          <t>Jens Schroeder</t>
        </is>
      </c>
      <c r="AF55" s="6">
        <f>HYPERLINK("https://www.kleinanzeigen.de/s-bestandsliste.html?userId=13663900", "Link")</f>
        <v/>
      </c>
      <c r="AG55" s="7" t="n">
        <v>45558.56519675926</v>
      </c>
      <c r="AH55" s="3" t="inlineStr">
        <is>
          <t>489.44</t>
        </is>
      </c>
      <c r="AI55" t="inlineStr">
        <is>
          <t>Köln</t>
        </is>
      </c>
      <c r="AJ55" t="inlineStr"/>
      <c r="AK55" t="inlineStr"/>
      <c r="AL55" t="inlineStr"/>
      <c r="AM55" s="4" t="n">
        <v>220</v>
      </c>
      <c r="AN55" t="inlineStr">
        <is>
          <t>VB</t>
        </is>
      </c>
      <c r="AO55" t="inlineStr">
        <is>
          <t>18059 Rostock - Südstadt</t>
        </is>
      </c>
      <c r="AP55" s="5" t="n">
        <v>45557</v>
      </c>
      <c r="AQ55" t="inlineStr"/>
      <c r="AR55" s="6">
        <f>HYPERLINK("https://www.kleinanzeigen.de/s-anzeige/windsurf-segel-und-mast/2871036696-230-13049", "Link")</f>
        <v/>
      </c>
      <c r="AS55" s="6">
        <f>HYPERLINK("C:\Projects\Kleinanzeigen-Scraper\offer_images\2871036696", "Link")</f>
        <v/>
      </c>
      <c r="AT55" t="inlineStr">
        <is>
          <t>Jens Schroeder</t>
        </is>
      </c>
      <c r="AU55" s="6">
        <f>HYPERLINK("https://www.kleinanzeigen.de/s-bestandsliste.html?userId=13663900", "Link")</f>
        <v/>
      </c>
      <c r="AV55" s="7" t="n">
        <v>45558.56519675926</v>
      </c>
      <c r="AW55" s="3" t="inlineStr">
        <is>
          <t>489.44</t>
        </is>
      </c>
      <c r="AX55" t="inlineStr">
        <is>
          <t>Köln</t>
        </is>
      </c>
      <c r="AY55" s="4" t="n">
        <v>220</v>
      </c>
      <c r="AZ55" t="inlineStr">
        <is>
          <t>VB</t>
        </is>
      </c>
      <c r="BA55" t="inlineStr">
        <is>
          <t>18059 Rostock - Südstadt</t>
        </is>
      </c>
      <c r="BB55" s="5" t="n">
        <v>45557</v>
      </c>
      <c r="BC55" t="inlineStr"/>
      <c r="BD55" s="6">
        <f>HYPERLINK("https://www.kleinanzeigen.de/s-anzeige/windsurf-segel-und-mast/2871036696-230-13049", "Link")</f>
        <v/>
      </c>
      <c r="BE55" s="6">
        <f>HYPERLINK("C:\Projects\Kleinanzeigen-Scraper\offer_images\2871036696", "Link")</f>
        <v/>
      </c>
      <c r="BF55" t="inlineStr">
        <is>
          <t>Jens Schroeder</t>
        </is>
      </c>
      <c r="BG55" s="6">
        <f>HYPERLINK("https://www.kleinanzeigen.de/s-bestandsliste.html?userId=13663900", "Link")</f>
        <v/>
      </c>
      <c r="BH55" s="7" t="n">
        <v>45558.56519675926</v>
      </c>
      <c r="BI55" s="3" t="inlineStr">
        <is>
          <t>489.44</t>
        </is>
      </c>
      <c r="BJ55" t="inlineStr">
        <is>
          <t>Köln</t>
        </is>
      </c>
    </row>
    <row r="56">
      <c r="A56" s="2" t="n">
        <v>5.4</v>
      </c>
      <c r="B56" t="inlineStr">
        <is>
          <t>North Warp</t>
        </is>
      </c>
      <c r="C56" s="3" t="n">
        <v>410</v>
      </c>
      <c r="D56" s="3" t="n">
        <v>173</v>
      </c>
      <c r="E56" t="inlineStr">
        <is>
          <t>Slalom</t>
        </is>
      </c>
      <c r="F56" t="inlineStr">
        <is>
          <t>2018</t>
        </is>
      </c>
      <c r="G56" t="inlineStr">
        <is>
          <t>used</t>
        </is>
      </c>
      <c r="H56" s="4" t="n">
        <v>330</v>
      </c>
      <c r="I56" t="inlineStr">
        <is>
          <t>VB</t>
        </is>
      </c>
      <c r="J56" t="inlineStr">
        <is>
          <t>30880 Niedersachsen - Laatzen</t>
        </is>
      </c>
      <c r="K56" s="5" t="n">
        <v>45558</v>
      </c>
      <c r="L56" t="inlineStr"/>
      <c r="M56" s="6">
        <f>HYPERLINK("https://www.kleinanzeigen.de/s-anzeige/north-warp-5-4-400-mast-platinum-2018-slalom-segel-mast/2871641801-230-2893", "Link")</f>
        <v/>
      </c>
      <c r="N56" s="6">
        <f>HYPERLINK("C:\Projects\Kleinanzeigen-Scraper\offer_images\2871641801", "Link")</f>
        <v/>
      </c>
      <c r="O56" t="inlineStr">
        <is>
          <t>Jesse</t>
        </is>
      </c>
      <c r="P56" s="6">
        <f>HYPERLINK("https://www.kleinanzeigen.de/s-bestandsliste.html?userId=118903293", "Link")</f>
        <v/>
      </c>
      <c r="Q56" s="7" t="n">
        <v>45558.56334490741</v>
      </c>
      <c r="R56" s="3" t="inlineStr">
        <is>
          <t>249.44</t>
        </is>
      </c>
      <c r="S56" t="inlineStr">
        <is>
          <t>Köln</t>
        </is>
      </c>
      <c r="T56" t="inlineStr">
        <is>
          <t>North Platinum</t>
        </is>
      </c>
      <c r="U56" s="3" t="n">
        <v>400</v>
      </c>
      <c r="V56" s="8" t="inlineStr"/>
      <c r="W56" t="inlineStr">
        <is>
          <t>SDM</t>
        </is>
      </c>
      <c r="X56" s="4" t="n">
        <v>330</v>
      </c>
      <c r="Y56" t="inlineStr">
        <is>
          <t>VB</t>
        </is>
      </c>
      <c r="Z56" t="inlineStr">
        <is>
          <t>30880 Niedersachsen - Laatzen</t>
        </is>
      </c>
      <c r="AA56" s="5" t="n">
        <v>45558</v>
      </c>
      <c r="AB56" t="inlineStr"/>
      <c r="AC56" s="6">
        <f>HYPERLINK("https://www.kleinanzeigen.de/s-anzeige/north-warp-5-4-400-mast-platinum-2018-slalom-segel-mast/2871641801-230-2893", "Link")</f>
        <v/>
      </c>
      <c r="AD56" s="6">
        <f>HYPERLINK("C:\Projects\Kleinanzeigen-Scraper\offer_images\2871641801", "Link")</f>
        <v/>
      </c>
      <c r="AE56" t="inlineStr">
        <is>
          <t>Jesse</t>
        </is>
      </c>
      <c r="AF56" s="6">
        <f>HYPERLINK("https://www.kleinanzeigen.de/s-bestandsliste.html?userId=118903293", "Link")</f>
        <v/>
      </c>
      <c r="AG56" s="7" t="n">
        <v>45558.56334490741</v>
      </c>
      <c r="AH56" s="3" t="inlineStr">
        <is>
          <t>249.44</t>
        </is>
      </c>
      <c r="AI56" t="inlineStr">
        <is>
          <t>Köln</t>
        </is>
      </c>
      <c r="AJ56" t="inlineStr"/>
      <c r="AK56" t="inlineStr"/>
      <c r="AL56" t="inlineStr"/>
      <c r="AM56" s="4" t="n">
        <v>330</v>
      </c>
      <c r="AN56" t="inlineStr">
        <is>
          <t>VB</t>
        </is>
      </c>
      <c r="AO56" t="inlineStr">
        <is>
          <t>30880 Niedersachsen - Laatzen</t>
        </is>
      </c>
      <c r="AP56" s="5" t="n">
        <v>45558</v>
      </c>
      <c r="AQ56" t="inlineStr"/>
      <c r="AR56" s="6">
        <f>HYPERLINK("https://www.kleinanzeigen.de/s-anzeige/north-warp-5-4-400-mast-platinum-2018-slalom-segel-mast/2871641801-230-2893", "Link")</f>
        <v/>
      </c>
      <c r="AS56" s="6">
        <f>HYPERLINK("C:\Projects\Kleinanzeigen-Scraper\offer_images\2871641801", "Link")</f>
        <v/>
      </c>
      <c r="AT56" t="inlineStr">
        <is>
          <t>Jesse</t>
        </is>
      </c>
      <c r="AU56" s="6">
        <f>HYPERLINK("https://www.kleinanzeigen.de/s-bestandsliste.html?userId=118903293", "Link")</f>
        <v/>
      </c>
      <c r="AV56" s="7" t="n">
        <v>45558.56334490741</v>
      </c>
      <c r="AW56" s="3" t="inlineStr">
        <is>
          <t>249.44</t>
        </is>
      </c>
      <c r="AX56" t="inlineStr">
        <is>
          <t>Köln</t>
        </is>
      </c>
      <c r="AY56" s="4" t="n">
        <v>330</v>
      </c>
      <c r="AZ56" t="inlineStr">
        <is>
          <t>VB</t>
        </is>
      </c>
      <c r="BA56" t="inlineStr">
        <is>
          <t>30880 Niedersachsen - Laatzen</t>
        </is>
      </c>
      <c r="BB56" s="5" t="n">
        <v>45558</v>
      </c>
      <c r="BC56" t="inlineStr"/>
      <c r="BD56" s="6">
        <f>HYPERLINK("https://www.kleinanzeigen.de/s-anzeige/north-warp-5-4-400-mast-platinum-2018-slalom-segel-mast/2871641801-230-2893", "Link")</f>
        <v/>
      </c>
      <c r="BE56" s="6">
        <f>HYPERLINK("C:\Projects\Kleinanzeigen-Scraper\offer_images\2871641801", "Link")</f>
        <v/>
      </c>
      <c r="BF56" t="inlineStr">
        <is>
          <t>Jesse</t>
        </is>
      </c>
      <c r="BG56" s="6">
        <f>HYPERLINK("https://www.kleinanzeigen.de/s-bestandsliste.html?userId=118903293", "Link")</f>
        <v/>
      </c>
      <c r="BH56" s="7" t="n">
        <v>45558.56334490741</v>
      </c>
      <c r="BI56" s="3" t="inlineStr">
        <is>
          <t>249.44</t>
        </is>
      </c>
      <c r="BJ56" t="inlineStr">
        <is>
          <t>Köln</t>
        </is>
      </c>
    </row>
    <row r="57">
      <c r="A57" s="2" t="n">
        <v>3.5</v>
      </c>
      <c r="B57" t="inlineStr">
        <is>
          <t>Fanatic Ripper</t>
        </is>
      </c>
      <c r="C57" s="3" t="inlineStr"/>
      <c r="D57" s="3" t="inlineStr"/>
      <c r="E57" t="inlineStr"/>
      <c r="F57" t="inlineStr"/>
      <c r="G57" t="inlineStr">
        <is>
          <t>used</t>
        </is>
      </c>
      <c r="H57" s="4" t="n">
        <v>120</v>
      </c>
      <c r="I57" t="inlineStr">
        <is>
          <t>VB</t>
        </is>
      </c>
      <c r="J57" t="inlineStr">
        <is>
          <t>45721 Nordrhein-Westfalen - Haltern am See</t>
        </is>
      </c>
      <c r="K57" s="5" t="n">
        <v>45557</v>
      </c>
      <c r="L57" t="inlineStr"/>
      <c r="M57" s="6">
        <f>HYPERLINK("https://www.kleinanzeigen.de/s-anzeige/fanatic-ripper-rigg-3-5/2870374223-230-1336", "Link")</f>
        <v/>
      </c>
      <c r="N57" s="6">
        <f>HYPERLINK("C:\Projects\Kleinanzeigen-Scraper\offer_images\2870374223", "Link")</f>
        <v/>
      </c>
      <c r="O57" t="inlineStr">
        <is>
          <t>Familie Pieper</t>
        </is>
      </c>
      <c r="P57" s="6">
        <f>HYPERLINK("https://www.kleinanzeigen.de/s-bestandsliste.html?userId=10058282", "Link")</f>
        <v/>
      </c>
      <c r="Q57" s="7" t="n">
        <v>45557.55888888889</v>
      </c>
      <c r="R57" s="3" t="inlineStr">
        <is>
          <t>95.03</t>
        </is>
      </c>
      <c r="S57" t="inlineStr">
        <is>
          <t>Köln</t>
        </is>
      </c>
      <c r="T57" t="inlineStr"/>
      <c r="U57" s="3" t="n">
        <v>260</v>
      </c>
      <c r="V57" s="8" t="inlineStr"/>
      <c r="W57" t="inlineStr"/>
      <c r="X57" s="4" t="n">
        <v>120</v>
      </c>
      <c r="Y57" t="inlineStr">
        <is>
          <t>VB</t>
        </is>
      </c>
      <c r="Z57" t="inlineStr">
        <is>
          <t>45721 Nordrhein-Westfalen - Haltern am See</t>
        </is>
      </c>
      <c r="AA57" s="5" t="n">
        <v>45557</v>
      </c>
      <c r="AB57" t="inlineStr"/>
      <c r="AC57" s="6">
        <f>HYPERLINK("https://www.kleinanzeigen.de/s-anzeige/fanatic-ripper-rigg-3-5/2870374223-230-1336", "Link")</f>
        <v/>
      </c>
      <c r="AD57" s="6">
        <f>HYPERLINK("C:\Projects\Kleinanzeigen-Scraper\offer_images\2870374223", "Link")</f>
        <v/>
      </c>
      <c r="AE57" t="inlineStr">
        <is>
          <t>Familie Pieper</t>
        </is>
      </c>
      <c r="AF57" s="6">
        <f>HYPERLINK("https://www.kleinanzeigen.de/s-bestandsliste.html?userId=10058282", "Link")</f>
        <v/>
      </c>
      <c r="AG57" s="7" t="n">
        <v>45557.55888888889</v>
      </c>
      <c r="AH57" s="3" t="inlineStr">
        <is>
          <t>95.03</t>
        </is>
      </c>
      <c r="AI57" t="inlineStr">
        <is>
          <t>Köln</t>
        </is>
      </c>
      <c r="AJ57" t="inlineStr"/>
      <c r="AK57" t="inlineStr"/>
      <c r="AL57" t="inlineStr"/>
      <c r="AM57" s="4" t="n">
        <v>120</v>
      </c>
      <c r="AN57" t="inlineStr">
        <is>
          <t>VB</t>
        </is>
      </c>
      <c r="AO57" t="inlineStr">
        <is>
          <t>45721 Nordrhein-Westfalen - Haltern am See</t>
        </is>
      </c>
      <c r="AP57" s="5" t="n">
        <v>45557</v>
      </c>
      <c r="AQ57" t="inlineStr"/>
      <c r="AR57" s="6">
        <f>HYPERLINK("https://www.kleinanzeigen.de/s-anzeige/fanatic-ripper-rigg-3-5/2870374223-230-1336", "Link")</f>
        <v/>
      </c>
      <c r="AS57" s="6">
        <f>HYPERLINK("C:\Projects\Kleinanzeigen-Scraper\offer_images\2870374223", "Link")</f>
        <v/>
      </c>
      <c r="AT57" t="inlineStr">
        <is>
          <t>Familie Pieper</t>
        </is>
      </c>
      <c r="AU57" s="6">
        <f>HYPERLINK("https://www.kleinanzeigen.de/s-bestandsliste.html?userId=10058282", "Link")</f>
        <v/>
      </c>
      <c r="AV57" s="7" t="n">
        <v>45557.55888888889</v>
      </c>
      <c r="AW57" s="3" t="inlineStr">
        <is>
          <t>95.03</t>
        </is>
      </c>
      <c r="AX57" t="inlineStr">
        <is>
          <t>Köln</t>
        </is>
      </c>
      <c r="AY57" s="4" t="n">
        <v>120</v>
      </c>
      <c r="AZ57" t="inlineStr">
        <is>
          <t>VB</t>
        </is>
      </c>
      <c r="BA57" t="inlineStr">
        <is>
          <t>45721 Nordrhein-Westfalen - Haltern am See</t>
        </is>
      </c>
      <c r="BB57" s="5" t="n">
        <v>45557</v>
      </c>
      <c r="BC57" t="inlineStr"/>
      <c r="BD57" s="6">
        <f>HYPERLINK("https://www.kleinanzeigen.de/s-anzeige/fanatic-ripper-rigg-3-5/2870374223-230-1336", "Link")</f>
        <v/>
      </c>
      <c r="BE57" s="6">
        <f>HYPERLINK("C:\Projects\Kleinanzeigen-Scraper\offer_images\2870374223", "Link")</f>
        <v/>
      </c>
      <c r="BF57" t="inlineStr">
        <is>
          <t>Familie Pieper</t>
        </is>
      </c>
      <c r="BG57" s="6">
        <f>HYPERLINK("https://www.kleinanzeigen.de/s-bestandsliste.html?userId=10058282", "Link")</f>
        <v/>
      </c>
      <c r="BH57" s="7" t="n">
        <v>45557.55888888889</v>
      </c>
      <c r="BI57" s="3" t="inlineStr">
        <is>
          <t>95.03</t>
        </is>
      </c>
      <c r="BJ57" t="inlineStr">
        <is>
          <t>Köln</t>
        </is>
      </c>
    </row>
    <row r="58">
      <c r="A58" s="2" t="n">
        <v>5.2</v>
      </c>
      <c r="B58" t="inlineStr">
        <is>
          <t>Sailloft Quad</t>
        </is>
      </c>
      <c r="C58" s="3" t="inlineStr"/>
      <c r="D58" s="3" t="inlineStr">
        <is>
          <t>140-190</t>
        </is>
      </c>
      <c r="E58" t="inlineStr">
        <is>
          <t>Freestyle</t>
        </is>
      </c>
      <c r="F58" t="inlineStr"/>
      <c r="G58" t="inlineStr">
        <is>
          <t>used</t>
        </is>
      </c>
      <c r="H58" s="4" t="n">
        <v>250</v>
      </c>
      <c r="I58" t="inlineStr">
        <is>
          <t>VB</t>
        </is>
      </c>
      <c r="J58" t="inlineStr">
        <is>
          <t>16540 Brandenburg - Hohen Neuendorf</t>
        </is>
      </c>
      <c r="K58" s="5" t="n">
        <v>45557</v>
      </c>
      <c r="L58" t="inlineStr"/>
      <c r="M58" s="6">
        <f>HYPERLINK("https://www.kleinanzeigen.de/s-anzeige/sailloft-quad-komplettrigg-5-2/2870587952-230-7777", "Link")</f>
        <v/>
      </c>
      <c r="N58" s="6">
        <f>HYPERLINK("C:\Projects\Kleinanzeigen-Scraper\offer_images\2870587952", "Link")</f>
        <v/>
      </c>
      <c r="O58" t="inlineStr">
        <is>
          <t>Patrick</t>
        </is>
      </c>
      <c r="P58" s="6">
        <f>HYPERLINK("https://www.kleinanzeigen.de/s-bestandsliste.html?userId=1463507", "Link")</f>
        <v/>
      </c>
      <c r="Q58" s="7" t="n">
        <v>45557.55743055556</v>
      </c>
      <c r="R58" s="3" t="inlineStr">
        <is>
          <t>474.32</t>
        </is>
      </c>
      <c r="S58" t="inlineStr">
        <is>
          <t>Köln</t>
        </is>
      </c>
      <c r="T58" t="inlineStr">
        <is>
          <t>North Sails Black Label</t>
        </is>
      </c>
      <c r="U58" s="3" t="n">
        <v>400</v>
      </c>
      <c r="V58" s="8" t="n">
        <v>75</v>
      </c>
      <c r="W58" t="inlineStr"/>
      <c r="X58" s="4" t="n">
        <v>250</v>
      </c>
      <c r="Y58" t="inlineStr">
        <is>
          <t>VB</t>
        </is>
      </c>
      <c r="Z58" t="inlineStr">
        <is>
          <t>16540 Brandenburg - Hohen Neuendorf</t>
        </is>
      </c>
      <c r="AA58" s="5" t="n">
        <v>45557</v>
      </c>
      <c r="AB58" t="inlineStr"/>
      <c r="AC58" s="6">
        <f>HYPERLINK("https://www.kleinanzeigen.de/s-anzeige/sailloft-quad-komplettrigg-5-2/2870587952-230-7777", "Link")</f>
        <v/>
      </c>
      <c r="AD58" s="6">
        <f>HYPERLINK("C:\Projects\Kleinanzeigen-Scraper\offer_images\2870587952", "Link")</f>
        <v/>
      </c>
      <c r="AE58" t="inlineStr">
        <is>
          <t>Patrick</t>
        </is>
      </c>
      <c r="AF58" s="6">
        <f>HYPERLINK("https://www.kleinanzeigen.de/s-bestandsliste.html?userId=1463507", "Link")</f>
        <v/>
      </c>
      <c r="AG58" s="7" t="n">
        <v>45557.55743055556</v>
      </c>
      <c r="AH58" s="3" t="inlineStr">
        <is>
          <t>474.32</t>
        </is>
      </c>
      <c r="AI58" t="inlineStr">
        <is>
          <t>Köln</t>
        </is>
      </c>
      <c r="AJ58" t="inlineStr">
        <is>
          <t>Northsails Boom New School</t>
        </is>
      </c>
      <c r="AK58" t="inlineStr">
        <is>
          <t>140-190</t>
        </is>
      </c>
      <c r="AL58" t="inlineStr"/>
      <c r="AM58" s="4" t="n">
        <v>250</v>
      </c>
      <c r="AN58" t="inlineStr">
        <is>
          <t>VB</t>
        </is>
      </c>
      <c r="AO58" t="inlineStr">
        <is>
          <t>16540 Brandenburg - Hohen Neuendorf</t>
        </is>
      </c>
      <c r="AP58" s="5" t="n">
        <v>45557</v>
      </c>
      <c r="AQ58" t="inlineStr"/>
      <c r="AR58" s="6">
        <f>HYPERLINK("https://www.kleinanzeigen.de/s-anzeige/sailloft-quad-komplettrigg-5-2/2870587952-230-7777", "Link")</f>
        <v/>
      </c>
      <c r="AS58" s="6">
        <f>HYPERLINK("C:\Projects\Kleinanzeigen-Scraper\offer_images\2870587952", "Link")</f>
        <v/>
      </c>
      <c r="AT58" t="inlineStr">
        <is>
          <t>Patrick</t>
        </is>
      </c>
      <c r="AU58" s="6">
        <f>HYPERLINK("https://www.kleinanzeigen.de/s-bestandsliste.html?userId=1463507", "Link")</f>
        <v/>
      </c>
      <c r="AV58" s="7" t="n">
        <v>45557.55743055556</v>
      </c>
      <c r="AW58" s="3" t="inlineStr">
        <is>
          <t>474.32</t>
        </is>
      </c>
      <c r="AX58" t="inlineStr">
        <is>
          <t>Köln</t>
        </is>
      </c>
      <c r="AY58" s="4" t="n">
        <v>250</v>
      </c>
      <c r="AZ58" t="inlineStr">
        <is>
          <t>VB</t>
        </is>
      </c>
      <c r="BA58" t="inlineStr">
        <is>
          <t>16540 Brandenburg - Hohen Neuendorf</t>
        </is>
      </c>
      <c r="BB58" s="5" t="n">
        <v>45557</v>
      </c>
      <c r="BC58" t="inlineStr"/>
      <c r="BD58" s="6">
        <f>HYPERLINK("https://www.kleinanzeigen.de/s-anzeige/sailloft-quad-komplettrigg-5-2/2870587952-230-7777", "Link")</f>
        <v/>
      </c>
      <c r="BE58" s="6">
        <f>HYPERLINK("C:\Projects\Kleinanzeigen-Scraper\offer_images\2870587952", "Link")</f>
        <v/>
      </c>
      <c r="BF58" t="inlineStr">
        <is>
          <t>Patrick</t>
        </is>
      </c>
      <c r="BG58" s="6">
        <f>HYPERLINK("https://www.kleinanzeigen.de/s-bestandsliste.html?userId=1463507", "Link")</f>
        <v/>
      </c>
      <c r="BH58" s="7" t="n">
        <v>45557.55743055556</v>
      </c>
      <c r="BI58" s="3" t="inlineStr">
        <is>
          <t>474.32</t>
        </is>
      </c>
      <c r="BJ58" t="inlineStr">
        <is>
          <t>Köln</t>
        </is>
      </c>
    </row>
    <row r="59">
      <c r="A59" s="2" t="n">
        <v>7.9</v>
      </c>
      <c r="B59" t="inlineStr">
        <is>
          <t>Naish Indy</t>
        </is>
      </c>
      <c r="C59" s="3" t="inlineStr"/>
      <c r="D59" s="3" t="inlineStr"/>
      <c r="E59" t="inlineStr"/>
      <c r="F59" t="inlineStr"/>
      <c r="G59" t="inlineStr">
        <is>
          <t>repaired</t>
        </is>
      </c>
      <c r="H59" s="4" t="n">
        <v>140</v>
      </c>
      <c r="I59" t="inlineStr">
        <is>
          <t>VB</t>
        </is>
      </c>
      <c r="J59" t="inlineStr">
        <is>
          <t>21149 Hamburg</t>
        </is>
      </c>
      <c r="K59" s="5" t="n">
        <v>45556</v>
      </c>
      <c r="L59" t="inlineStr"/>
      <c r="M59" s="6">
        <f>HYPERLINK("https://www.dailydose.de/kleinanzeigen/detail.htm?ai=422961&amp;cf=kk&amp;pg=5&amp;ci=5", "Link")</f>
        <v/>
      </c>
      <c r="N59" s="6">
        <f>HYPERLINK("C:\Projects\Kleinanzeigen-Scraper\offer_images\422961", "Link")</f>
        <v/>
      </c>
      <c r="O59" t="inlineStr">
        <is>
          <t>KRav</t>
        </is>
      </c>
      <c r="P59" s="6">
        <f>HYPERLINK("https://www.dailydose.de/kleinanzeigen/user/19732", "Link")</f>
        <v/>
      </c>
      <c r="Q59" s="7" t="n">
        <v>45556.94585648148</v>
      </c>
      <c r="R59" s="3" t="inlineStr">
        <is>
          <t>342.48</t>
        </is>
      </c>
      <c r="S59" t="inlineStr">
        <is>
          <t>Köln</t>
        </is>
      </c>
      <c r="T59" t="inlineStr">
        <is>
          <t>NeilPryde</t>
        </is>
      </c>
      <c r="U59" s="3" t="n">
        <v>460</v>
      </c>
      <c r="V59" s="8" t="inlineStr">
        <is>
          <t>75%</t>
        </is>
      </c>
      <c r="W59" t="inlineStr"/>
      <c r="X59" s="4" t="n">
        <v>140</v>
      </c>
      <c r="Y59" t="inlineStr">
        <is>
          <t>VB</t>
        </is>
      </c>
      <c r="Z59" t="inlineStr">
        <is>
          <t>21149 Hamburg</t>
        </is>
      </c>
      <c r="AA59" s="5" t="n">
        <v>45556</v>
      </c>
      <c r="AB59" t="inlineStr"/>
      <c r="AC59" s="6">
        <f>HYPERLINK("https://www.dailydose.de/kleinanzeigen/detail.htm?ai=422961&amp;cf=kk&amp;pg=5&amp;ci=5", "Link")</f>
        <v/>
      </c>
      <c r="AD59" s="6">
        <f>HYPERLINK("C:\Projects\Kleinanzeigen-Scraper\offer_images\422961", "Link")</f>
        <v/>
      </c>
      <c r="AE59" t="inlineStr">
        <is>
          <t>KRav</t>
        </is>
      </c>
      <c r="AF59" s="6">
        <f>HYPERLINK("https://www.dailydose.de/kleinanzeigen/user/19732", "Link")</f>
        <v/>
      </c>
      <c r="AG59" s="7" t="n">
        <v>45556.94585648148</v>
      </c>
      <c r="AH59" s="3" t="inlineStr">
        <is>
          <t>342.48</t>
        </is>
      </c>
      <c r="AI59" t="inlineStr">
        <is>
          <t>Köln</t>
        </is>
      </c>
      <c r="AJ59" t="inlineStr">
        <is>
          <t>NeilPryde</t>
        </is>
      </c>
      <c r="AK59" t="inlineStr"/>
      <c r="AL59" t="inlineStr"/>
      <c r="AM59" s="4" t="n">
        <v>140</v>
      </c>
      <c r="AN59" t="inlineStr">
        <is>
          <t>VB</t>
        </is>
      </c>
      <c r="AO59" t="inlineStr">
        <is>
          <t>21149 Hamburg</t>
        </is>
      </c>
      <c r="AP59" s="5" t="n">
        <v>45556</v>
      </c>
      <c r="AQ59" t="inlineStr"/>
      <c r="AR59" s="6">
        <f>HYPERLINK("https://www.dailydose.de/kleinanzeigen/detail.htm?ai=422961&amp;cf=kk&amp;pg=5&amp;ci=5", "Link")</f>
        <v/>
      </c>
      <c r="AS59" s="6">
        <f>HYPERLINK("C:\Projects\Kleinanzeigen-Scraper\offer_images\422961", "Link")</f>
        <v/>
      </c>
      <c r="AT59" t="inlineStr">
        <is>
          <t>KRav</t>
        </is>
      </c>
      <c r="AU59" s="6">
        <f>HYPERLINK("https://www.dailydose.de/kleinanzeigen/user/19732", "Link")</f>
        <v/>
      </c>
      <c r="AV59" s="7" t="n">
        <v>45556.94585648148</v>
      </c>
      <c r="AW59" s="3" t="inlineStr">
        <is>
          <t>342.48</t>
        </is>
      </c>
      <c r="AX59" t="inlineStr">
        <is>
          <t>Köln</t>
        </is>
      </c>
      <c r="AY59" s="4" t="n">
        <v>140</v>
      </c>
      <c r="AZ59" t="inlineStr">
        <is>
          <t>VB</t>
        </is>
      </c>
      <c r="BA59" t="inlineStr">
        <is>
          <t>21149 Hamburg</t>
        </is>
      </c>
      <c r="BB59" s="5" t="n">
        <v>45556</v>
      </c>
      <c r="BC59" t="inlineStr"/>
      <c r="BD59" s="6">
        <f>HYPERLINK("https://www.dailydose.de/kleinanzeigen/detail.htm?ai=422961&amp;cf=kk&amp;pg=5&amp;ci=5", "Link")</f>
        <v/>
      </c>
      <c r="BE59" s="6">
        <f>HYPERLINK("C:\Projects\Kleinanzeigen-Scraper\offer_images\422961", "Link")</f>
        <v/>
      </c>
      <c r="BF59" t="inlineStr">
        <is>
          <t>KRav</t>
        </is>
      </c>
      <c r="BG59" s="6">
        <f>HYPERLINK("https://www.dailydose.de/kleinanzeigen/user/19732", "Link")</f>
        <v/>
      </c>
      <c r="BH59" s="7" t="n">
        <v>45556.94585648148</v>
      </c>
      <c r="BI59" s="3" t="inlineStr">
        <is>
          <t>342.48</t>
        </is>
      </c>
      <c r="BJ59" t="inlineStr">
        <is>
          <t>Köln</t>
        </is>
      </c>
    </row>
    <row r="60">
      <c r="A60" s="2" t="n">
        <v>5.5</v>
      </c>
      <c r="B60" t="inlineStr">
        <is>
          <t>NP Fusion</t>
        </is>
      </c>
      <c r="C60" s="3" t="inlineStr"/>
      <c r="D60" s="3" t="inlineStr"/>
      <c r="E60" t="inlineStr"/>
      <c r="F60" t="inlineStr"/>
      <c r="G60" t="inlineStr">
        <is>
          <t>used</t>
        </is>
      </c>
      <c r="H60" s="4" t="n">
        <v>349</v>
      </c>
      <c r="I60" t="inlineStr"/>
      <c r="J60" t="inlineStr">
        <is>
          <t>45772 Nordrhein-Westfalen - Marl</t>
        </is>
      </c>
      <c r="K60" s="5" t="n">
        <v>45556</v>
      </c>
      <c r="L60" t="inlineStr">
        <is>
          <t>Sold</t>
        </is>
      </c>
      <c r="M60" s="6">
        <f>HYPERLINK("https://www.dailydose.de/kleinanzeigen/detail.htm?ai=422972&amp;cf=kk&amp;pg=3&amp;ci=5", "Link")</f>
        <v/>
      </c>
      <c r="N60" s="6">
        <f>HYPERLINK("C:\Projects\Kleinanzeigen-Scraper\offer_images\422972", "Link")</f>
        <v/>
      </c>
      <c r="O60" t="inlineStr">
        <is>
          <t>margarethe_22</t>
        </is>
      </c>
      <c r="P60" s="6">
        <f>HYPERLINK("https://www.dailydose.de/kleinanzeigen/user/15510", "Link")</f>
        <v/>
      </c>
      <c r="Q60" s="7" t="n">
        <v>45556.9452662037</v>
      </c>
      <c r="R60" s="3" t="inlineStr">
        <is>
          <t>84.29</t>
        </is>
      </c>
      <c r="S60" t="inlineStr">
        <is>
          <t>Köln</t>
        </is>
      </c>
      <c r="T60" t="inlineStr">
        <is>
          <t>NP</t>
        </is>
      </c>
      <c r="U60" s="3" t="n">
        <v>400</v>
      </c>
      <c r="V60" s="8" t="inlineStr">
        <is>
          <t>100%</t>
        </is>
      </c>
      <c r="W60" t="inlineStr">
        <is>
          <t>RDM</t>
        </is>
      </c>
      <c r="X60" s="4" t="n">
        <v>349</v>
      </c>
      <c r="Y60" t="inlineStr"/>
      <c r="Z60" t="inlineStr">
        <is>
          <t>45772 Nordrhein-Westfalen - Marl</t>
        </is>
      </c>
      <c r="AA60" s="5" t="n">
        <v>45556</v>
      </c>
      <c r="AB60" t="inlineStr">
        <is>
          <t>Sold</t>
        </is>
      </c>
      <c r="AC60" s="6">
        <f>HYPERLINK("https://www.dailydose.de/kleinanzeigen/detail.htm?ai=422972&amp;cf=kk&amp;pg=3&amp;ci=5", "Link")</f>
        <v/>
      </c>
      <c r="AD60" s="6">
        <f>HYPERLINK("C:\Projects\Kleinanzeigen-Scraper\offer_images\422972", "Link")</f>
        <v/>
      </c>
      <c r="AE60" t="inlineStr">
        <is>
          <t>margarethe_22</t>
        </is>
      </c>
      <c r="AF60" s="6">
        <f>HYPERLINK("https://www.dailydose.de/kleinanzeigen/user/15510", "Link")</f>
        <v/>
      </c>
      <c r="AG60" s="7" t="n">
        <v>45556.9452662037</v>
      </c>
      <c r="AH60" s="3" t="inlineStr">
        <is>
          <t>84.29</t>
        </is>
      </c>
      <c r="AI60" t="inlineStr">
        <is>
          <t>Köln</t>
        </is>
      </c>
      <c r="AJ60" t="inlineStr"/>
      <c r="AK60" t="inlineStr"/>
      <c r="AL60" t="inlineStr"/>
      <c r="AM60" s="4" t="n">
        <v>349</v>
      </c>
      <c r="AN60" t="inlineStr"/>
      <c r="AO60" t="inlineStr">
        <is>
          <t>45772 Nordrhein-Westfalen - Marl</t>
        </is>
      </c>
      <c r="AP60" s="5" t="n">
        <v>45556</v>
      </c>
      <c r="AQ60" t="inlineStr">
        <is>
          <t>Sold</t>
        </is>
      </c>
      <c r="AR60" s="6">
        <f>HYPERLINK("https://www.dailydose.de/kleinanzeigen/detail.htm?ai=422972&amp;cf=kk&amp;pg=3&amp;ci=5", "Link")</f>
        <v/>
      </c>
      <c r="AS60" s="6">
        <f>HYPERLINK("C:\Projects\Kleinanzeigen-Scraper\offer_images\422972", "Link")</f>
        <v/>
      </c>
      <c r="AT60" t="inlineStr">
        <is>
          <t>margarethe_22</t>
        </is>
      </c>
      <c r="AU60" s="6">
        <f>HYPERLINK("https://www.dailydose.de/kleinanzeigen/user/15510", "Link")</f>
        <v/>
      </c>
      <c r="AV60" s="7" t="n">
        <v>45556.9452662037</v>
      </c>
      <c r="AW60" s="3" t="inlineStr">
        <is>
          <t>84.29</t>
        </is>
      </c>
      <c r="AX60" t="inlineStr">
        <is>
          <t>Köln</t>
        </is>
      </c>
      <c r="AY60" s="4" t="n">
        <v>349</v>
      </c>
      <c r="AZ60" t="inlineStr"/>
      <c r="BA60" t="inlineStr">
        <is>
          <t>45772 Nordrhein-Westfalen - Marl</t>
        </is>
      </c>
      <c r="BB60" s="5" t="n">
        <v>45556</v>
      </c>
      <c r="BC60" t="inlineStr">
        <is>
          <t>Sold</t>
        </is>
      </c>
      <c r="BD60" s="6">
        <f>HYPERLINK("https://www.dailydose.de/kleinanzeigen/detail.htm?ai=422972&amp;cf=kk&amp;pg=3&amp;ci=5", "Link")</f>
        <v/>
      </c>
      <c r="BE60" s="6">
        <f>HYPERLINK("C:\Projects\Kleinanzeigen-Scraper\offer_images\422972", "Link")</f>
        <v/>
      </c>
      <c r="BF60" t="inlineStr">
        <is>
          <t>margarethe_22</t>
        </is>
      </c>
      <c r="BG60" s="6">
        <f>HYPERLINK("https://www.dailydose.de/kleinanzeigen/user/15510", "Link")</f>
        <v/>
      </c>
      <c r="BH60" s="7" t="n">
        <v>45556.9452662037</v>
      </c>
      <c r="BI60" s="3" t="inlineStr">
        <is>
          <t>84.29</t>
        </is>
      </c>
      <c r="BJ60" t="inlineStr">
        <is>
          <t>Köln</t>
        </is>
      </c>
    </row>
    <row r="61">
      <c r="A61" s="2" t="n">
        <v>5.5</v>
      </c>
      <c r="B61" t="inlineStr">
        <is>
          <t>Neil Pryde Fusion</t>
        </is>
      </c>
      <c r="C61" s="3" t="n">
        <v>430</v>
      </c>
      <c r="D61" s="3" t="n">
        <v>179</v>
      </c>
      <c r="E61" t="inlineStr">
        <is>
          <t>Freeride</t>
        </is>
      </c>
      <c r="F61" t="inlineStr"/>
      <c r="G61" t="inlineStr">
        <is>
          <t>used</t>
        </is>
      </c>
      <c r="H61" s="4" t="n">
        <v>349</v>
      </c>
      <c r="I61" t="inlineStr"/>
      <c r="J61" t="inlineStr">
        <is>
          <t>45772 Nordrhein-Westfalen - Marl</t>
        </is>
      </c>
      <c r="K61" s="5" t="n">
        <v>45556</v>
      </c>
      <c r="L61" t="inlineStr">
        <is>
          <t>Sold</t>
        </is>
      </c>
      <c r="M61" s="6">
        <f>HYPERLINK("https://www.kleinanzeigen.de/s-anzeige/neil-pryde-fusion-5-5-6-1-komplettrigg-windsurfen-segel-fanatic/2869494563-230-1772", "Link")</f>
        <v/>
      </c>
      <c r="N61" s="6">
        <f>HYPERLINK("C:\Projects\Kleinanzeigen-Scraper\offer_images\2869494563", "Link")</f>
        <v/>
      </c>
      <c r="O61" t="inlineStr">
        <is>
          <t>RRD</t>
        </is>
      </c>
      <c r="P61" s="6">
        <f>HYPERLINK("https://www.kleinanzeigen.de/s-bestandsliste.html?userId=13661901", "Link")</f>
        <v/>
      </c>
      <c r="Q61" s="7" t="n">
        <v>45556.94307870371</v>
      </c>
      <c r="R61" s="3" t="inlineStr">
        <is>
          <t>84.29</t>
        </is>
      </c>
      <c r="S61" t="inlineStr">
        <is>
          <t>Köln</t>
        </is>
      </c>
      <c r="T61" t="inlineStr"/>
      <c r="U61" s="3" t="n">
        <v>400</v>
      </c>
      <c r="V61" s="8" t="inlineStr">
        <is>
          <t>100%</t>
        </is>
      </c>
      <c r="W61" t="inlineStr">
        <is>
          <t>RDM</t>
        </is>
      </c>
      <c r="X61" s="4" t="n">
        <v>349</v>
      </c>
      <c r="Y61" t="inlineStr"/>
      <c r="Z61" t="inlineStr">
        <is>
          <t>45772 Nordrhein-Westfalen - Marl</t>
        </is>
      </c>
      <c r="AA61" s="5" t="n">
        <v>45556</v>
      </c>
      <c r="AB61" t="inlineStr">
        <is>
          <t>Sold</t>
        </is>
      </c>
      <c r="AC61" s="6">
        <f>HYPERLINK("https://www.kleinanzeigen.de/s-anzeige/neil-pryde-fusion-5-5-6-1-komplettrigg-windsurfen-segel-fanatic/2869494563-230-1772", "Link")</f>
        <v/>
      </c>
      <c r="AD61" s="6">
        <f>HYPERLINK("C:\Projects\Kleinanzeigen-Scraper\offer_images\2869494563", "Link")</f>
        <v/>
      </c>
      <c r="AE61" t="inlineStr">
        <is>
          <t>RRD</t>
        </is>
      </c>
      <c r="AF61" s="6">
        <f>HYPERLINK("https://www.kleinanzeigen.de/s-bestandsliste.html?userId=13661901", "Link")</f>
        <v/>
      </c>
      <c r="AG61" s="7" t="n">
        <v>45556.94307870371</v>
      </c>
      <c r="AH61" s="3" t="inlineStr">
        <is>
          <t>84.29</t>
        </is>
      </c>
      <c r="AI61" t="inlineStr">
        <is>
          <t>Köln</t>
        </is>
      </c>
      <c r="AJ61" t="inlineStr"/>
      <c r="AK61" t="inlineStr"/>
      <c r="AL61" t="inlineStr"/>
      <c r="AM61" s="4" t="n">
        <v>349</v>
      </c>
      <c r="AN61" t="inlineStr"/>
      <c r="AO61" t="inlineStr">
        <is>
          <t>45772 Nordrhein-Westfalen - Marl</t>
        </is>
      </c>
      <c r="AP61" s="5" t="n">
        <v>45556</v>
      </c>
      <c r="AQ61" t="inlineStr">
        <is>
          <t>Sold</t>
        </is>
      </c>
      <c r="AR61" s="6">
        <f>HYPERLINK("https://www.kleinanzeigen.de/s-anzeige/neil-pryde-fusion-5-5-6-1-komplettrigg-windsurfen-segel-fanatic/2869494563-230-1772", "Link")</f>
        <v/>
      </c>
      <c r="AS61" s="6">
        <f>HYPERLINK("C:\Projects\Kleinanzeigen-Scraper\offer_images\2869494563", "Link")</f>
        <v/>
      </c>
      <c r="AT61" t="inlineStr">
        <is>
          <t>RRD</t>
        </is>
      </c>
      <c r="AU61" s="6">
        <f>HYPERLINK("https://www.kleinanzeigen.de/s-bestandsliste.html?userId=13661901", "Link")</f>
        <v/>
      </c>
      <c r="AV61" s="7" t="n">
        <v>45556.94307870371</v>
      </c>
      <c r="AW61" s="3" t="inlineStr">
        <is>
          <t>84.29</t>
        </is>
      </c>
      <c r="AX61" t="inlineStr">
        <is>
          <t>Köln</t>
        </is>
      </c>
      <c r="AY61" s="4" t="n">
        <v>349</v>
      </c>
      <c r="AZ61" t="inlineStr"/>
      <c r="BA61" t="inlineStr">
        <is>
          <t>45772 Nordrhein-Westfalen - Marl</t>
        </is>
      </c>
      <c r="BB61" s="5" t="n">
        <v>45556</v>
      </c>
      <c r="BC61" t="inlineStr">
        <is>
          <t>Sold</t>
        </is>
      </c>
      <c r="BD61" s="6">
        <f>HYPERLINK("https://www.kleinanzeigen.de/s-anzeige/neil-pryde-fusion-5-5-6-1-komplettrigg-windsurfen-segel-fanatic/2869494563-230-1772", "Link")</f>
        <v/>
      </c>
      <c r="BE61" s="6">
        <f>HYPERLINK("C:\Projects\Kleinanzeigen-Scraper\offer_images\2869494563", "Link")</f>
        <v/>
      </c>
      <c r="BF61" t="inlineStr">
        <is>
          <t>RRD</t>
        </is>
      </c>
      <c r="BG61" s="6">
        <f>HYPERLINK("https://www.kleinanzeigen.de/s-bestandsliste.html?userId=13661901", "Link")</f>
        <v/>
      </c>
      <c r="BH61" s="7" t="n">
        <v>45556.94307870371</v>
      </c>
      <c r="BI61" s="3" t="inlineStr">
        <is>
          <t>84.29</t>
        </is>
      </c>
      <c r="BJ61" t="inlineStr">
        <is>
          <t>Köln</t>
        </is>
      </c>
    </row>
    <row r="62">
      <c r="A62" s="2" t="n">
        <v>9.6</v>
      </c>
      <c r="B62" t="inlineStr">
        <is>
          <t>Gunsails Vector</t>
        </is>
      </c>
      <c r="C62" s="3" t="n">
        <v>520</v>
      </c>
      <c r="D62" s="3" t="n">
        <v>236</v>
      </c>
      <c r="E62" t="inlineStr"/>
      <c r="F62" t="inlineStr"/>
      <c r="G62" t="inlineStr">
        <is>
          <t>used</t>
        </is>
      </c>
      <c r="H62" s="4" t="n">
        <v>430</v>
      </c>
      <c r="I62" t="inlineStr"/>
      <c r="J62" t="inlineStr">
        <is>
          <t>26129 Niedersachsen - Oldenburg</t>
        </is>
      </c>
      <c r="K62" s="5" t="n">
        <v>45556</v>
      </c>
      <c r="L62" t="inlineStr"/>
      <c r="M62" s="6">
        <f>HYPERLINK("https://www.kleinanzeigen.de/s-anzeige/gunsails-vector-9-6qm-mit-gunsails-expert-carbonmast-windsurf/2870049582-230-3113", "Link")</f>
        <v/>
      </c>
      <c r="N62" s="6">
        <f>HYPERLINK("C:\Projects\Kleinanzeigen-Scraper\offer_images\2870049582", "Link")</f>
        <v/>
      </c>
      <c r="O62" t="inlineStr">
        <is>
          <t>Stefan</t>
        </is>
      </c>
      <c r="P62" s="6">
        <f>HYPERLINK("https://www.kleinanzeigen.de/s-bestandsliste.html?userId=4116163", "Link")</f>
        <v/>
      </c>
      <c r="Q62" s="7" t="n">
        <v>45556.93601851852</v>
      </c>
      <c r="R62" s="3" t="inlineStr">
        <is>
          <t>259.47</t>
        </is>
      </c>
      <c r="S62" t="inlineStr">
        <is>
          <t>Köln</t>
        </is>
      </c>
      <c r="T62" t="inlineStr">
        <is>
          <t>Gunsails Expert</t>
        </is>
      </c>
      <c r="U62" s="3" t="n">
        <v>490</v>
      </c>
      <c r="V62" s="8" t="inlineStr">
        <is>
          <t>79-75%</t>
        </is>
      </c>
      <c r="W62" t="inlineStr">
        <is>
          <t>SDM</t>
        </is>
      </c>
      <c r="X62" s="4" t="n">
        <v>430</v>
      </c>
      <c r="Y62" t="inlineStr"/>
      <c r="Z62" t="inlineStr">
        <is>
          <t>26129 Niedersachsen - Oldenburg</t>
        </is>
      </c>
      <c r="AA62" s="5" t="n">
        <v>45556</v>
      </c>
      <c r="AB62" t="inlineStr"/>
      <c r="AC62" s="6">
        <f>HYPERLINK("https://www.kleinanzeigen.de/s-anzeige/gunsails-vector-9-6qm-mit-gunsails-expert-carbonmast-windsurf/2870049582-230-3113", "Link")</f>
        <v/>
      </c>
      <c r="AD62" s="6">
        <f>HYPERLINK("C:\Projects\Kleinanzeigen-Scraper\offer_images\2870049582", "Link")</f>
        <v/>
      </c>
      <c r="AE62" t="inlineStr">
        <is>
          <t>Stefan</t>
        </is>
      </c>
      <c r="AF62" s="6">
        <f>HYPERLINK("https://www.kleinanzeigen.de/s-bestandsliste.html?userId=4116163", "Link")</f>
        <v/>
      </c>
      <c r="AG62" s="7" t="n">
        <v>45556.93601851852</v>
      </c>
      <c r="AH62" s="3" t="inlineStr">
        <is>
          <t>259.47</t>
        </is>
      </c>
      <c r="AI62" t="inlineStr">
        <is>
          <t>Köln</t>
        </is>
      </c>
      <c r="AJ62" t="inlineStr"/>
      <c r="AK62" t="inlineStr"/>
      <c r="AL62" t="inlineStr"/>
      <c r="AM62" s="4" t="n">
        <v>430</v>
      </c>
      <c r="AN62" t="inlineStr"/>
      <c r="AO62" t="inlineStr">
        <is>
          <t>26129 Niedersachsen - Oldenburg</t>
        </is>
      </c>
      <c r="AP62" s="5" t="n">
        <v>45556</v>
      </c>
      <c r="AQ62" t="inlineStr"/>
      <c r="AR62" s="6">
        <f>HYPERLINK("https://www.kleinanzeigen.de/s-anzeige/gunsails-vector-9-6qm-mit-gunsails-expert-carbonmast-windsurf/2870049582-230-3113", "Link")</f>
        <v/>
      </c>
      <c r="AS62" s="6">
        <f>HYPERLINK("C:\Projects\Kleinanzeigen-Scraper\offer_images\2870049582", "Link")</f>
        <v/>
      </c>
      <c r="AT62" t="inlineStr">
        <is>
          <t>Stefan</t>
        </is>
      </c>
      <c r="AU62" s="6">
        <f>HYPERLINK("https://www.kleinanzeigen.de/s-bestandsliste.html?userId=4116163", "Link")</f>
        <v/>
      </c>
      <c r="AV62" s="7" t="n">
        <v>45556.93601851852</v>
      </c>
      <c r="AW62" s="3" t="inlineStr">
        <is>
          <t>259.47</t>
        </is>
      </c>
      <c r="AX62" t="inlineStr">
        <is>
          <t>Köln</t>
        </is>
      </c>
      <c r="AY62" s="4" t="n">
        <v>430</v>
      </c>
      <c r="AZ62" t="inlineStr"/>
      <c r="BA62" t="inlineStr">
        <is>
          <t>26129 Niedersachsen - Oldenburg</t>
        </is>
      </c>
      <c r="BB62" s="5" t="n">
        <v>45556</v>
      </c>
      <c r="BC62" t="inlineStr"/>
      <c r="BD62" s="6">
        <f>HYPERLINK("https://www.kleinanzeigen.de/s-anzeige/gunsails-vector-9-6qm-mit-gunsails-expert-carbonmast-windsurf/2870049582-230-3113", "Link")</f>
        <v/>
      </c>
      <c r="BE62" s="6">
        <f>HYPERLINK("C:\Projects\Kleinanzeigen-Scraper\offer_images\2870049582", "Link")</f>
        <v/>
      </c>
      <c r="BF62" t="inlineStr">
        <is>
          <t>Stefan</t>
        </is>
      </c>
      <c r="BG62" s="6">
        <f>HYPERLINK("https://www.kleinanzeigen.de/s-bestandsliste.html?userId=4116163", "Link")</f>
        <v/>
      </c>
      <c r="BH62" s="7" t="n">
        <v>45556.93601851852</v>
      </c>
      <c r="BI62" s="3" t="inlineStr">
        <is>
          <t>259.47</t>
        </is>
      </c>
      <c r="BJ62" t="inlineStr">
        <is>
          <t>Köln</t>
        </is>
      </c>
    </row>
    <row r="63">
      <c r="A63" s="2" t="n">
        <v>8.6</v>
      </c>
      <c r="B63" t="inlineStr">
        <is>
          <t>Neil Pryde RS Racing EVO11</t>
        </is>
      </c>
      <c r="C63" s="3" t="n">
        <v>490</v>
      </c>
      <c r="D63" s="3" t="inlineStr"/>
      <c r="E63" t="inlineStr">
        <is>
          <t>Racing</t>
        </is>
      </c>
      <c r="F63" t="inlineStr"/>
      <c r="G63" t="inlineStr">
        <is>
          <t>new</t>
        </is>
      </c>
      <c r="H63" s="4" t="n">
        <v>740</v>
      </c>
      <c r="I63" t="inlineStr"/>
      <c r="J63" t="inlineStr">
        <is>
          <t>14558 Nuthetal</t>
        </is>
      </c>
      <c r="K63" s="5" t="n">
        <v>45554</v>
      </c>
      <c r="L63" t="inlineStr">
        <is>
          <t>Sold</t>
        </is>
      </c>
      <c r="M63" s="6">
        <f>HYPERLINK("https://www.dailydose.de/kleinanzeigen/detail.htm?ai=422867&amp;cf=kk&amp;pg=5&amp;ci=5", "Link")</f>
        <v/>
      </c>
      <c r="N63" s="6">
        <f>HYPERLINK("C:\Projects\Kleinanzeigen-Scraper\offer_images\422867", "Link")</f>
        <v/>
      </c>
      <c r="O63" t="inlineStr">
        <is>
          <t>Guido_126</t>
        </is>
      </c>
      <c r="P63" s="6">
        <f>HYPERLINK("https://www.dailydose.de/kleinanzeigen/user/9574", "Link")</f>
        <v/>
      </c>
      <c r="Q63" s="7" t="n">
        <v>45555.56893518518</v>
      </c>
      <c r="R63" s="3" t="inlineStr">
        <is>
          <t>453.79</t>
        </is>
      </c>
      <c r="S63" t="inlineStr">
        <is>
          <t>Köln</t>
        </is>
      </c>
      <c r="T63" t="inlineStr">
        <is>
          <t>Neil Pryde X6</t>
        </is>
      </c>
      <c r="U63" s="3" t="n">
        <v>490</v>
      </c>
      <c r="V63" s="8" t="inlineStr">
        <is>
          <t>90%</t>
        </is>
      </c>
      <c r="W63" t="inlineStr">
        <is>
          <t>SDM</t>
        </is>
      </c>
      <c r="X63" s="4" t="n">
        <v>740</v>
      </c>
      <c r="Y63" t="inlineStr"/>
      <c r="Z63" t="inlineStr">
        <is>
          <t>14558 Nuthetal</t>
        </is>
      </c>
      <c r="AA63" s="5" t="n">
        <v>45554</v>
      </c>
      <c r="AB63" t="inlineStr">
        <is>
          <t>Sold</t>
        </is>
      </c>
      <c r="AC63" s="6">
        <f>HYPERLINK("https://www.dailydose.de/kleinanzeigen/detail.htm?ai=422867&amp;cf=kk&amp;pg=5&amp;ci=5", "Link")</f>
        <v/>
      </c>
      <c r="AD63" s="6">
        <f>HYPERLINK("C:\Projects\Kleinanzeigen-Scraper\offer_images\422867", "Link")</f>
        <v/>
      </c>
      <c r="AE63" t="inlineStr">
        <is>
          <t>Guido_126</t>
        </is>
      </c>
      <c r="AF63" s="6">
        <f>HYPERLINK("https://www.dailydose.de/kleinanzeigen/user/9574", "Link")</f>
        <v/>
      </c>
      <c r="AG63" s="7" t="n">
        <v>45555.56893518518</v>
      </c>
      <c r="AH63" s="3" t="inlineStr">
        <is>
          <t>453.79</t>
        </is>
      </c>
      <c r="AI63" t="inlineStr">
        <is>
          <t>Köln</t>
        </is>
      </c>
      <c r="AJ63" t="inlineStr"/>
      <c r="AK63" t="inlineStr"/>
      <c r="AL63" t="inlineStr"/>
      <c r="AM63" s="4" t="n">
        <v>740</v>
      </c>
      <c r="AN63" t="inlineStr"/>
      <c r="AO63" t="inlineStr">
        <is>
          <t>14558 Nuthetal</t>
        </is>
      </c>
      <c r="AP63" s="5" t="n">
        <v>45554</v>
      </c>
      <c r="AQ63" t="inlineStr">
        <is>
          <t>Sold</t>
        </is>
      </c>
      <c r="AR63" s="6">
        <f>HYPERLINK("https://www.dailydose.de/kleinanzeigen/detail.htm?ai=422867&amp;cf=kk&amp;pg=5&amp;ci=5", "Link")</f>
        <v/>
      </c>
      <c r="AS63" s="6">
        <f>HYPERLINK("C:\Projects\Kleinanzeigen-Scraper\offer_images\422867", "Link")</f>
        <v/>
      </c>
      <c r="AT63" t="inlineStr">
        <is>
          <t>Guido_126</t>
        </is>
      </c>
      <c r="AU63" s="6">
        <f>HYPERLINK("https://www.dailydose.de/kleinanzeigen/user/9574", "Link")</f>
        <v/>
      </c>
      <c r="AV63" s="7" t="n">
        <v>45555.56893518518</v>
      </c>
      <c r="AW63" s="3" t="inlineStr">
        <is>
          <t>453.79</t>
        </is>
      </c>
      <c r="AX63" t="inlineStr">
        <is>
          <t>Köln</t>
        </is>
      </c>
      <c r="AY63" s="4" t="n">
        <v>740</v>
      </c>
      <c r="AZ63" t="inlineStr"/>
      <c r="BA63" t="inlineStr">
        <is>
          <t>14558 Nuthetal</t>
        </is>
      </c>
      <c r="BB63" s="5" t="n">
        <v>45554</v>
      </c>
      <c r="BC63" t="inlineStr">
        <is>
          <t>Sold</t>
        </is>
      </c>
      <c r="BD63" s="6">
        <f>HYPERLINK("https://www.dailydose.de/kleinanzeigen/detail.htm?ai=422867&amp;cf=kk&amp;pg=5&amp;ci=5", "Link")</f>
        <v/>
      </c>
      <c r="BE63" s="6">
        <f>HYPERLINK("C:\Projects\Kleinanzeigen-Scraper\offer_images\422867", "Link")</f>
        <v/>
      </c>
      <c r="BF63" t="inlineStr">
        <is>
          <t>Guido_126</t>
        </is>
      </c>
      <c r="BG63" s="6">
        <f>HYPERLINK("https://www.dailydose.de/kleinanzeigen/user/9574", "Link")</f>
        <v/>
      </c>
      <c r="BH63" s="7" t="n">
        <v>45555.56893518518</v>
      </c>
      <c r="BI63" s="3" t="inlineStr">
        <is>
          <t>453.79</t>
        </is>
      </c>
      <c r="BJ63" t="inlineStr">
        <is>
          <t>Köln</t>
        </is>
      </c>
    </row>
    <row r="64">
      <c r="A64" s="2" t="n">
        <v>7</v>
      </c>
      <c r="B64" t="inlineStr">
        <is>
          <t>Point-7 AC-X</t>
        </is>
      </c>
      <c r="C64" s="3" t="n">
        <v>460</v>
      </c>
      <c r="D64" s="3" t="n">
        <v>198</v>
      </c>
      <c r="E64" t="inlineStr">
        <is>
          <t>Freerace</t>
        </is>
      </c>
      <c r="F64" t="inlineStr">
        <is>
          <t>2018</t>
        </is>
      </c>
      <c r="G64" t="inlineStr">
        <is>
          <t>used</t>
        </is>
      </c>
      <c r="H64" s="4" t="n">
        <v>580</v>
      </c>
      <c r="I64" t="inlineStr"/>
      <c r="J64" t="inlineStr">
        <is>
          <t>Imst/Innsbruck/Gardasee</t>
        </is>
      </c>
      <c r="K64" s="5" t="n">
        <v>45553</v>
      </c>
      <c r="L64" t="inlineStr">
        <is>
          <t>Sold</t>
        </is>
      </c>
      <c r="M64" s="6">
        <f>HYPERLINK("https://www.dailydose.de/kleinanzeigen/detail.htm?ai=422794&amp;cf=kk&amp;pg=5&amp;ci=5", "Link")</f>
        <v/>
      </c>
      <c r="N64" s="6">
        <f>HYPERLINK("C:\Projects\Kleinanzeigen-Scraper\offer_images\422794", "Link")</f>
        <v/>
      </c>
      <c r="O64" t="inlineStr">
        <is>
          <t>Maria_68</t>
        </is>
      </c>
      <c r="P64" s="6">
        <f>HYPERLINK("https://www.dailydose.de/kleinanzeigen/user/25461", "Link")</f>
        <v/>
      </c>
      <c r="Q64" s="7" t="n">
        <v>45555.56744212963</v>
      </c>
      <c r="R64" s="3" t="inlineStr">
        <is>
          <t>117.54</t>
        </is>
      </c>
      <c r="S64" t="inlineStr">
        <is>
          <t>München</t>
        </is>
      </c>
      <c r="T64" t="inlineStr">
        <is>
          <t>Point-7</t>
        </is>
      </c>
      <c r="U64" s="3" t="n">
        <v>460</v>
      </c>
      <c r="V64" s="8" t="inlineStr">
        <is>
          <t>100%</t>
        </is>
      </c>
      <c r="W64" t="inlineStr">
        <is>
          <t>SDM</t>
        </is>
      </c>
      <c r="X64" s="4" t="n">
        <v>580</v>
      </c>
      <c r="Y64" t="inlineStr"/>
      <c r="Z64" t="inlineStr">
        <is>
          <t>Imst/Innsbruck/Gardasee</t>
        </is>
      </c>
      <c r="AA64" s="5" t="n">
        <v>45553</v>
      </c>
      <c r="AB64" t="inlineStr">
        <is>
          <t>Sold</t>
        </is>
      </c>
      <c r="AC64" s="6">
        <f>HYPERLINK("https://www.dailydose.de/kleinanzeigen/detail.htm?ai=422794&amp;cf=kk&amp;pg=5&amp;ci=5", "Link")</f>
        <v/>
      </c>
      <c r="AD64" s="6">
        <f>HYPERLINK("C:\Projects\Kleinanzeigen-Scraper\offer_images\422794", "Link")</f>
        <v/>
      </c>
      <c r="AE64" t="inlineStr">
        <is>
          <t>Maria_68</t>
        </is>
      </c>
      <c r="AF64" s="6">
        <f>HYPERLINK("https://www.dailydose.de/kleinanzeigen/user/25461", "Link")</f>
        <v/>
      </c>
      <c r="AG64" s="7" t="n">
        <v>45555.56744212963</v>
      </c>
      <c r="AH64" s="3" t="inlineStr">
        <is>
          <t>117.54</t>
        </is>
      </c>
      <c r="AI64" t="inlineStr">
        <is>
          <t>München</t>
        </is>
      </c>
      <c r="AJ64" t="inlineStr"/>
      <c r="AK64" t="inlineStr"/>
      <c r="AL64" t="inlineStr"/>
      <c r="AM64" s="4" t="n">
        <v>580</v>
      </c>
      <c r="AN64" t="inlineStr"/>
      <c r="AO64" t="inlineStr">
        <is>
          <t>Imst/Innsbruck/Gardasee</t>
        </is>
      </c>
      <c r="AP64" s="5" t="n">
        <v>45553</v>
      </c>
      <c r="AQ64" t="inlineStr">
        <is>
          <t>Sold</t>
        </is>
      </c>
      <c r="AR64" s="6">
        <f>HYPERLINK("https://www.dailydose.de/kleinanzeigen/detail.htm?ai=422794&amp;cf=kk&amp;pg=5&amp;ci=5", "Link")</f>
        <v/>
      </c>
      <c r="AS64" s="6">
        <f>HYPERLINK("C:\Projects\Kleinanzeigen-Scraper\offer_images\422794", "Link")</f>
        <v/>
      </c>
      <c r="AT64" t="inlineStr">
        <is>
          <t>Maria_68</t>
        </is>
      </c>
      <c r="AU64" s="6">
        <f>HYPERLINK("https://www.dailydose.de/kleinanzeigen/user/25461", "Link")</f>
        <v/>
      </c>
      <c r="AV64" s="7" t="n">
        <v>45555.56744212963</v>
      </c>
      <c r="AW64" s="3" t="inlineStr">
        <is>
          <t>117.54</t>
        </is>
      </c>
      <c r="AX64" t="inlineStr">
        <is>
          <t>München</t>
        </is>
      </c>
      <c r="AY64" s="4" t="n">
        <v>580</v>
      </c>
      <c r="AZ64" t="inlineStr"/>
      <c r="BA64" t="inlineStr">
        <is>
          <t>Imst/Innsbruck/Gardasee</t>
        </is>
      </c>
      <c r="BB64" s="5" t="n">
        <v>45553</v>
      </c>
      <c r="BC64" t="inlineStr">
        <is>
          <t>Sold</t>
        </is>
      </c>
      <c r="BD64" s="6">
        <f>HYPERLINK("https://www.dailydose.de/kleinanzeigen/detail.htm?ai=422794&amp;cf=kk&amp;pg=5&amp;ci=5", "Link")</f>
        <v/>
      </c>
      <c r="BE64" s="6">
        <f>HYPERLINK("C:\Projects\Kleinanzeigen-Scraper\offer_images\422794", "Link")</f>
        <v/>
      </c>
      <c r="BF64" t="inlineStr">
        <is>
          <t>Maria_68</t>
        </is>
      </c>
      <c r="BG64" s="6">
        <f>HYPERLINK("https://www.dailydose.de/kleinanzeigen/user/25461", "Link")</f>
        <v/>
      </c>
      <c r="BH64" s="7" t="n">
        <v>45555.56744212963</v>
      </c>
      <c r="BI64" s="3" t="inlineStr">
        <is>
          <t>117.54</t>
        </is>
      </c>
      <c r="BJ64" t="inlineStr">
        <is>
          <t>München</t>
        </is>
      </c>
    </row>
    <row r="65">
      <c r="A65" s="2" t="n">
        <v>5.5</v>
      </c>
      <c r="B65" t="inlineStr">
        <is>
          <t>Neil Pryde Fusion</t>
        </is>
      </c>
      <c r="C65" s="3" t="inlineStr"/>
      <c r="D65" s="3" t="inlineStr"/>
      <c r="E65" t="inlineStr"/>
      <c r="F65" t="inlineStr">
        <is>
          <t>2018</t>
        </is>
      </c>
      <c r="G65" t="inlineStr">
        <is>
          <t>used</t>
        </is>
      </c>
      <c r="H65" s="4" t="n">
        <v>490</v>
      </c>
      <c r="I65" t="inlineStr"/>
      <c r="J65" t="inlineStr">
        <is>
          <t>85051 Bayern - Ingolstadt</t>
        </is>
      </c>
      <c r="K65" s="5" t="n">
        <v>45551</v>
      </c>
      <c r="L65" t="inlineStr"/>
      <c r="M65" s="6">
        <f>HYPERLINK("https://www.kleinanzeigen.de/s-anzeige/neil-pryde-fusion-5-5-rigg-neilpryde/2865826459-230-7615", "Link")</f>
        <v/>
      </c>
      <c r="N65" s="6">
        <f>HYPERLINK("C:\Projects\Kleinanzeigen-Scraper\offer_images\2865826459", "Link")</f>
        <v/>
      </c>
      <c r="O65" t="inlineStr">
        <is>
          <t>Jürgen Hackbarth</t>
        </is>
      </c>
      <c r="P65" s="6">
        <f>HYPERLINK("https://www.kleinanzeigen.de/s-bestandsliste.html?userId=17491979", "Link")</f>
        <v/>
      </c>
      <c r="Q65" s="7" t="n">
        <v>45555.55575231482</v>
      </c>
      <c r="R65" s="3" t="inlineStr">
        <is>
          <t>67.00</t>
        </is>
      </c>
      <c r="S65" t="inlineStr">
        <is>
          <t>München</t>
        </is>
      </c>
      <c r="T65" t="inlineStr">
        <is>
          <t>Neil Pryde X3</t>
        </is>
      </c>
      <c r="U65" s="3" t="inlineStr"/>
      <c r="V65" s="8" t="inlineStr"/>
      <c r="W65" t="inlineStr"/>
      <c r="X65" s="4" t="n">
        <v>490</v>
      </c>
      <c r="Y65" t="inlineStr"/>
      <c r="Z65" t="inlineStr">
        <is>
          <t>85051 Bayern - Ingolstadt</t>
        </is>
      </c>
      <c r="AA65" s="5" t="n">
        <v>45551</v>
      </c>
      <c r="AB65" t="inlineStr"/>
      <c r="AC65" s="6">
        <f>HYPERLINK("https://www.kleinanzeigen.de/s-anzeige/neil-pryde-fusion-5-5-rigg-neilpryde/2865826459-230-7615", "Link")</f>
        <v/>
      </c>
      <c r="AD65" s="6">
        <f>HYPERLINK("C:\Projects\Kleinanzeigen-Scraper\offer_images\2865826459", "Link")</f>
        <v/>
      </c>
      <c r="AE65" t="inlineStr">
        <is>
          <t>Jürgen Hackbarth</t>
        </is>
      </c>
      <c r="AF65" s="6">
        <f>HYPERLINK("https://www.kleinanzeigen.de/s-bestandsliste.html?userId=17491979", "Link")</f>
        <v/>
      </c>
      <c r="AG65" s="7" t="n">
        <v>45555.55575231482</v>
      </c>
      <c r="AH65" s="3" t="inlineStr">
        <is>
          <t>67.00</t>
        </is>
      </c>
      <c r="AI65" t="inlineStr">
        <is>
          <t>München</t>
        </is>
      </c>
      <c r="AJ65" t="inlineStr">
        <is>
          <t>Dynafiber</t>
        </is>
      </c>
      <c r="AK65" t="inlineStr">
        <is>
          <t>150-200</t>
        </is>
      </c>
      <c r="AL65" t="inlineStr"/>
      <c r="AM65" s="4" t="n">
        <v>490</v>
      </c>
      <c r="AN65" t="inlineStr"/>
      <c r="AO65" t="inlineStr">
        <is>
          <t>85051 Bayern - Ingolstadt</t>
        </is>
      </c>
      <c r="AP65" s="5" t="n">
        <v>45551</v>
      </c>
      <c r="AQ65" t="inlineStr"/>
      <c r="AR65" s="6">
        <f>HYPERLINK("https://www.kleinanzeigen.de/s-anzeige/neil-pryde-fusion-5-5-rigg-neilpryde/2865826459-230-7615", "Link")</f>
        <v/>
      </c>
      <c r="AS65" s="6">
        <f>HYPERLINK("C:\Projects\Kleinanzeigen-Scraper\offer_images\2865826459", "Link")</f>
        <v/>
      </c>
      <c r="AT65" t="inlineStr">
        <is>
          <t>Jürgen Hackbarth</t>
        </is>
      </c>
      <c r="AU65" s="6">
        <f>HYPERLINK("https://www.kleinanzeigen.de/s-bestandsliste.html?userId=17491979", "Link")</f>
        <v/>
      </c>
      <c r="AV65" s="7" t="n">
        <v>45555.55575231482</v>
      </c>
      <c r="AW65" s="3" t="inlineStr">
        <is>
          <t>67.00</t>
        </is>
      </c>
      <c r="AX65" t="inlineStr">
        <is>
          <t>München</t>
        </is>
      </c>
      <c r="AY65" s="4" t="n">
        <v>490</v>
      </c>
      <c r="AZ65" t="inlineStr"/>
      <c r="BA65" t="inlineStr">
        <is>
          <t>85051 Bayern - Ingolstadt</t>
        </is>
      </c>
      <c r="BB65" s="5" t="n">
        <v>45551</v>
      </c>
      <c r="BC65" t="inlineStr"/>
      <c r="BD65" s="6">
        <f>HYPERLINK("https://www.kleinanzeigen.de/s-anzeige/neil-pryde-fusion-5-5-rigg-neilpryde/2865826459-230-7615", "Link")</f>
        <v/>
      </c>
      <c r="BE65" s="6">
        <f>HYPERLINK("C:\Projects\Kleinanzeigen-Scraper\offer_images\2865826459", "Link")</f>
        <v/>
      </c>
      <c r="BF65" t="inlineStr">
        <is>
          <t>Jürgen Hackbarth</t>
        </is>
      </c>
      <c r="BG65" s="6">
        <f>HYPERLINK("https://www.kleinanzeigen.de/s-bestandsliste.html?userId=17491979", "Link")</f>
        <v/>
      </c>
      <c r="BH65" s="7" t="n">
        <v>45555.55575231482</v>
      </c>
      <c r="BI65" s="3" t="inlineStr">
        <is>
          <t>67.00</t>
        </is>
      </c>
      <c r="BJ65" t="inlineStr">
        <is>
          <t>München</t>
        </is>
      </c>
    </row>
    <row r="66">
      <c r="A66" s="2" t="n">
        <v>5.2</v>
      </c>
      <c r="B66" t="inlineStr">
        <is>
          <t>Gaastra Hybrid HD</t>
        </is>
      </c>
      <c r="C66" s="3" t="inlineStr"/>
      <c r="D66" s="3" t="inlineStr">
        <is>
          <t>150-200</t>
        </is>
      </c>
      <c r="E66" t="inlineStr"/>
      <c r="F66" t="inlineStr">
        <is>
          <t>2.5 years ago</t>
        </is>
      </c>
      <c r="G66" t="inlineStr">
        <is>
          <t>repaired</t>
        </is>
      </c>
      <c r="H66" s="4" t="n">
        <v>450</v>
      </c>
      <c r="I66" t="inlineStr">
        <is>
          <t>VB</t>
        </is>
      </c>
      <c r="J66" t="inlineStr">
        <is>
          <t>47228 Duisburg - Rheinhausen</t>
        </is>
      </c>
      <c r="K66" s="5" t="n">
        <v>45550</v>
      </c>
      <c r="L66" t="inlineStr">
        <is>
          <t>Sold</t>
        </is>
      </c>
      <c r="M66" s="6">
        <f>HYPERLINK("https://www.kleinanzeigen.de/s-anzeige/ga-windsurf-gaastra-hybrid-hd-5-2-komplettes-rigg/2864809371-230-2135", "Link")</f>
        <v/>
      </c>
      <c r="N66" s="6">
        <f>HYPERLINK("C:\Projects\Kleinanzeigen-Scraper\offer_images\2864809371", "Link")</f>
        <v/>
      </c>
      <c r="O66" t="inlineStr">
        <is>
          <t>Jochen Blum</t>
        </is>
      </c>
      <c r="P66" s="6">
        <f>HYPERLINK("https://www.kleinanzeigen.de/s-bestandsliste.html?userId=26297695", "Link")</f>
        <v/>
      </c>
      <c r="Q66" s="7" t="n">
        <v>45551.59909722222</v>
      </c>
      <c r="R66" s="3" t="inlineStr">
        <is>
          <t>56.80</t>
        </is>
      </c>
      <c r="S66" t="inlineStr">
        <is>
          <t>Köln</t>
        </is>
      </c>
      <c r="T66" t="inlineStr">
        <is>
          <t>GA</t>
        </is>
      </c>
      <c r="U66" s="3" t="inlineStr"/>
      <c r="V66" s="8" t="inlineStr"/>
      <c r="W66" t="inlineStr"/>
      <c r="X66" s="4" t="n">
        <v>450</v>
      </c>
      <c r="Y66" t="inlineStr">
        <is>
          <t>VB</t>
        </is>
      </c>
      <c r="Z66" t="inlineStr">
        <is>
          <t>47228 Duisburg - Rheinhausen</t>
        </is>
      </c>
      <c r="AA66" s="5" t="n">
        <v>45550</v>
      </c>
      <c r="AB66" t="inlineStr">
        <is>
          <t>Sold</t>
        </is>
      </c>
      <c r="AC66" s="6">
        <f>HYPERLINK("https://www.kleinanzeigen.de/s-anzeige/ga-windsurf-gaastra-hybrid-hd-5-2-komplettes-rigg/2864809371-230-2135", "Link")</f>
        <v/>
      </c>
      <c r="AD66" s="6">
        <f>HYPERLINK("C:\Projects\Kleinanzeigen-Scraper\offer_images\2864809371", "Link")</f>
        <v/>
      </c>
      <c r="AE66" t="inlineStr">
        <is>
          <t>Jochen Blum</t>
        </is>
      </c>
      <c r="AF66" s="6">
        <f>HYPERLINK("https://www.kleinanzeigen.de/s-bestandsliste.html?userId=26297695", "Link")</f>
        <v/>
      </c>
      <c r="AG66" s="7" t="n">
        <v>45551.59909722222</v>
      </c>
      <c r="AH66" s="3" t="inlineStr">
        <is>
          <t>56.80</t>
        </is>
      </c>
      <c r="AI66" t="inlineStr">
        <is>
          <t>Köln</t>
        </is>
      </c>
      <c r="AJ66" t="inlineStr">
        <is>
          <t>Duotone silver series</t>
        </is>
      </c>
      <c r="AK66" t="inlineStr">
        <is>
          <t>150-200</t>
        </is>
      </c>
      <c r="AL66" t="inlineStr"/>
      <c r="AM66" s="4" t="n">
        <v>450</v>
      </c>
      <c r="AN66" t="inlineStr">
        <is>
          <t>VB</t>
        </is>
      </c>
      <c r="AO66" t="inlineStr">
        <is>
          <t>47228 Duisburg - Rheinhausen</t>
        </is>
      </c>
      <c r="AP66" s="5" t="n">
        <v>45550</v>
      </c>
      <c r="AQ66" t="inlineStr">
        <is>
          <t>Sold</t>
        </is>
      </c>
      <c r="AR66" s="6">
        <f>HYPERLINK("https://www.kleinanzeigen.de/s-anzeige/ga-windsurf-gaastra-hybrid-hd-5-2-komplettes-rigg/2864809371-230-2135", "Link")</f>
        <v/>
      </c>
      <c r="AS66" s="6">
        <f>HYPERLINK("C:\Projects\Kleinanzeigen-Scraper\offer_images\2864809371", "Link")</f>
        <v/>
      </c>
      <c r="AT66" t="inlineStr">
        <is>
          <t>Jochen Blum</t>
        </is>
      </c>
      <c r="AU66" s="6">
        <f>HYPERLINK("https://www.kleinanzeigen.de/s-bestandsliste.html?userId=26297695", "Link")</f>
        <v/>
      </c>
      <c r="AV66" s="7" t="n">
        <v>45551.59909722222</v>
      </c>
      <c r="AW66" s="3" t="inlineStr">
        <is>
          <t>56.80</t>
        </is>
      </c>
      <c r="AX66" t="inlineStr">
        <is>
          <t>Köln</t>
        </is>
      </c>
      <c r="AY66" s="4" t="n">
        <v>450</v>
      </c>
      <c r="AZ66" t="inlineStr">
        <is>
          <t>VB</t>
        </is>
      </c>
      <c r="BA66" t="inlineStr">
        <is>
          <t>47228 Duisburg - Rheinhausen</t>
        </is>
      </c>
      <c r="BB66" s="5" t="n">
        <v>45550</v>
      </c>
      <c r="BC66" t="inlineStr">
        <is>
          <t>Sold</t>
        </is>
      </c>
      <c r="BD66" s="6">
        <f>HYPERLINK("https://www.kleinanzeigen.de/s-anzeige/ga-windsurf-gaastra-hybrid-hd-5-2-komplettes-rigg/2864809371-230-2135", "Link")</f>
        <v/>
      </c>
      <c r="BE66" s="6">
        <f>HYPERLINK("C:\Projects\Kleinanzeigen-Scraper\offer_images\2864809371", "Link")</f>
        <v/>
      </c>
      <c r="BF66" t="inlineStr">
        <is>
          <t>Jochen Blum</t>
        </is>
      </c>
      <c r="BG66" s="6">
        <f>HYPERLINK("https://www.kleinanzeigen.de/s-bestandsliste.html?userId=26297695", "Link")</f>
        <v/>
      </c>
      <c r="BH66" s="7" t="n">
        <v>45551.59909722222</v>
      </c>
      <c r="BI66" s="3" t="inlineStr">
        <is>
          <t>56.80</t>
        </is>
      </c>
      <c r="BJ66" t="inlineStr">
        <is>
          <t>Köln</t>
        </is>
      </c>
    </row>
    <row r="67">
      <c r="A67" s="2" t="n">
        <v>8.5</v>
      </c>
      <c r="B67" t="inlineStr">
        <is>
          <t>Gaastra GA Sails Phantom</t>
        </is>
      </c>
      <c r="C67" s="3" t="n">
        <v>490</v>
      </c>
      <c r="D67" s="3" t="n">
        <v>221</v>
      </c>
      <c r="E67" t="inlineStr"/>
      <c r="F67" t="inlineStr">
        <is>
          <t>2016</t>
        </is>
      </c>
      <c r="G67" t="inlineStr">
        <is>
          <t>new</t>
        </is>
      </c>
      <c r="H67" s="4" t="n">
        <v>370</v>
      </c>
      <c r="I67" t="inlineStr">
        <is>
          <t>VB</t>
        </is>
      </c>
      <c r="J67" t="inlineStr">
        <is>
          <t>12357 Berlin</t>
        </is>
      </c>
      <c r="K67" s="5" t="n">
        <v>45550</v>
      </c>
      <c r="L67" t="inlineStr">
        <is>
          <t>Sold</t>
        </is>
      </c>
      <c r="M67" s="6">
        <f>HYPERLINK("https://www.dailydose.de/kleinanzeigen/detail.htm?ai=422615&amp;cf=kk&amp;pg=4&amp;ci=5", "Link")</f>
        <v/>
      </c>
      <c r="N67" s="6">
        <f>HYPERLINK("C:\Projects\Kleinanzeigen-Scraper\offer_images\422615", "Link")</f>
        <v/>
      </c>
      <c r="O67" t="inlineStr">
        <is>
          <t>matti33a</t>
        </is>
      </c>
      <c r="P67" s="6">
        <f>HYPERLINK("https://www.dailydose.de/kleinanzeigen/user/14785", "Link")</f>
        <v/>
      </c>
      <c r="Q67" s="7" t="n">
        <v>45551.415625</v>
      </c>
      <c r="R67" s="3" t="inlineStr">
        <is>
          <t>479.74</t>
        </is>
      </c>
      <c r="S67" t="inlineStr">
        <is>
          <t>Köln</t>
        </is>
      </c>
      <c r="T67" t="inlineStr">
        <is>
          <t>Gaastra C100</t>
        </is>
      </c>
      <c r="U67" s="3" t="n">
        <v>490</v>
      </c>
      <c r="V67" s="8" t="inlineStr"/>
      <c r="W67" t="inlineStr"/>
      <c r="X67" s="4" t="n">
        <v>370</v>
      </c>
      <c r="Y67" t="inlineStr">
        <is>
          <t>VB</t>
        </is>
      </c>
      <c r="Z67" t="inlineStr">
        <is>
          <t>12357 Berlin</t>
        </is>
      </c>
      <c r="AA67" s="5" t="n">
        <v>45550</v>
      </c>
      <c r="AB67" t="inlineStr">
        <is>
          <t>Sold</t>
        </is>
      </c>
      <c r="AC67" s="6">
        <f>HYPERLINK("https://www.dailydose.de/kleinanzeigen/detail.htm?ai=422615&amp;cf=kk&amp;pg=4&amp;ci=5", "Link")</f>
        <v/>
      </c>
      <c r="AD67" s="6">
        <f>HYPERLINK("C:\Projects\Kleinanzeigen-Scraper\offer_images\422615", "Link")</f>
        <v/>
      </c>
      <c r="AE67" t="inlineStr">
        <is>
          <t>matti33a</t>
        </is>
      </c>
      <c r="AF67" s="6">
        <f>HYPERLINK("https://www.dailydose.de/kleinanzeigen/user/14785", "Link")</f>
        <v/>
      </c>
      <c r="AG67" s="7" t="n">
        <v>45551.415625</v>
      </c>
      <c r="AH67" s="3" t="inlineStr">
        <is>
          <t>479.74</t>
        </is>
      </c>
      <c r="AI67" t="inlineStr">
        <is>
          <t>Köln</t>
        </is>
      </c>
      <c r="AJ67" t="inlineStr"/>
      <c r="AK67" t="inlineStr"/>
      <c r="AL67" t="inlineStr"/>
      <c r="AM67" s="4" t="n">
        <v>370</v>
      </c>
      <c r="AN67" t="inlineStr">
        <is>
          <t>VB</t>
        </is>
      </c>
      <c r="AO67" t="inlineStr">
        <is>
          <t>12357 Berlin</t>
        </is>
      </c>
      <c r="AP67" s="5" t="n">
        <v>45550</v>
      </c>
      <c r="AQ67" t="inlineStr">
        <is>
          <t>Sold</t>
        </is>
      </c>
      <c r="AR67" s="6">
        <f>HYPERLINK("https://www.dailydose.de/kleinanzeigen/detail.htm?ai=422615&amp;cf=kk&amp;pg=4&amp;ci=5", "Link")</f>
        <v/>
      </c>
      <c r="AS67" s="6">
        <f>HYPERLINK("C:\Projects\Kleinanzeigen-Scraper\offer_images\422615", "Link")</f>
        <v/>
      </c>
      <c r="AT67" t="inlineStr">
        <is>
          <t>matti33a</t>
        </is>
      </c>
      <c r="AU67" s="6">
        <f>HYPERLINK("https://www.dailydose.de/kleinanzeigen/user/14785", "Link")</f>
        <v/>
      </c>
      <c r="AV67" s="7" t="n">
        <v>45551.415625</v>
      </c>
      <c r="AW67" s="3" t="inlineStr">
        <is>
          <t>479.74</t>
        </is>
      </c>
      <c r="AX67" t="inlineStr">
        <is>
          <t>Köln</t>
        </is>
      </c>
      <c r="AY67" s="4" t="n">
        <v>370</v>
      </c>
      <c r="AZ67" t="inlineStr">
        <is>
          <t>VB</t>
        </is>
      </c>
      <c r="BA67" t="inlineStr">
        <is>
          <t>12357 Berlin</t>
        </is>
      </c>
      <c r="BB67" s="5" t="n">
        <v>45550</v>
      </c>
      <c r="BC67" t="inlineStr">
        <is>
          <t>Sold</t>
        </is>
      </c>
      <c r="BD67" s="6">
        <f>HYPERLINK("https://www.dailydose.de/kleinanzeigen/detail.htm?ai=422615&amp;cf=kk&amp;pg=4&amp;ci=5", "Link")</f>
        <v/>
      </c>
      <c r="BE67" s="6">
        <f>HYPERLINK("C:\Projects\Kleinanzeigen-Scraper\offer_images\422615", "Link")</f>
        <v/>
      </c>
      <c r="BF67" t="inlineStr">
        <is>
          <t>matti33a</t>
        </is>
      </c>
      <c r="BG67" s="6">
        <f>HYPERLINK("https://www.dailydose.de/kleinanzeigen/user/14785", "Link")</f>
        <v/>
      </c>
      <c r="BH67" s="7" t="n">
        <v>45551.415625</v>
      </c>
      <c r="BI67" s="3" t="inlineStr">
        <is>
          <t>479.74</t>
        </is>
      </c>
      <c r="BJ67" t="inlineStr">
        <is>
          <t>Köln</t>
        </is>
      </c>
    </row>
    <row r="68">
      <c r="A68" s="2" t="n">
        <v>8</v>
      </c>
      <c r="B68" t="inlineStr">
        <is>
          <t>Severne</t>
        </is>
      </c>
      <c r="C68" s="3" t="inlineStr"/>
      <c r="D68" s="3" t="inlineStr"/>
      <c r="E68" t="inlineStr"/>
      <c r="F68" t="inlineStr"/>
      <c r="G68" t="inlineStr">
        <is>
          <t>repaired</t>
        </is>
      </c>
      <c r="H68" s="4" t="n">
        <v>1.05</v>
      </c>
      <c r="I68" t="inlineStr"/>
      <c r="J68" t="inlineStr">
        <is>
          <t>22045 Wandsbek - Hamburg Tonndorf</t>
        </is>
      </c>
      <c r="K68" s="5" t="n">
        <v>45338</v>
      </c>
      <c r="L68" t="inlineStr">
        <is>
          <t>Sold</t>
        </is>
      </c>
      <c r="M68" s="6">
        <f>HYPERLINK("https://www.kleinanzeigen.de/s-anzeige/iq-foil-8-0-segel-gabel-mast-severne-starboard/2681073489-230-17135", "Link")</f>
        <v/>
      </c>
      <c r="N68" s="6">
        <f>HYPERLINK("C:\Projects\Kleinanzeigen-Scraper\offer_images\2681073489", "Link")</f>
        <v/>
      </c>
      <c r="O68" t="inlineStr">
        <is>
          <t>Nadia J.</t>
        </is>
      </c>
      <c r="P68" s="6">
        <f>HYPERLINK("https://www.kleinanzeigen.de/s-bestandsliste.html?userId=79389459", "Link")</f>
        <v/>
      </c>
      <c r="Q68" s="7" t="n">
        <v>45551.41159722222</v>
      </c>
      <c r="R68" s="3" t="inlineStr">
        <is>
          <t>364.91</t>
        </is>
      </c>
      <c r="S68" t="inlineStr">
        <is>
          <t>Köln</t>
        </is>
      </c>
      <c r="T68" t="inlineStr">
        <is>
          <t>Severne</t>
        </is>
      </c>
      <c r="U68" s="3" t="n">
        <v>490</v>
      </c>
      <c r="V68" s="8" t="inlineStr">
        <is>
          <t>100%</t>
        </is>
      </c>
      <c r="W68" t="inlineStr">
        <is>
          <t>SDM</t>
        </is>
      </c>
      <c r="X68" s="4" t="n">
        <v>1.05</v>
      </c>
      <c r="Y68" t="inlineStr"/>
      <c r="Z68" t="inlineStr">
        <is>
          <t>22045 Wandsbek - Hamburg Tonndorf</t>
        </is>
      </c>
      <c r="AA68" s="5" t="n">
        <v>45338</v>
      </c>
      <c r="AB68" t="inlineStr">
        <is>
          <t>Sold</t>
        </is>
      </c>
      <c r="AC68" s="6">
        <f>HYPERLINK("https://www.kleinanzeigen.de/s-anzeige/iq-foil-8-0-segel-gabel-mast-severne-starboard/2681073489-230-17135", "Link")</f>
        <v/>
      </c>
      <c r="AD68" s="6">
        <f>HYPERLINK("C:\Projects\Kleinanzeigen-Scraper\offer_images\2681073489", "Link")</f>
        <v/>
      </c>
      <c r="AE68" t="inlineStr">
        <is>
          <t>Nadia J.</t>
        </is>
      </c>
      <c r="AF68" s="6">
        <f>HYPERLINK("https://www.kleinanzeigen.de/s-bestandsliste.html?userId=79389459", "Link")</f>
        <v/>
      </c>
      <c r="AG68" s="7" t="n">
        <v>45551.41159722222</v>
      </c>
      <c r="AH68" s="3" t="inlineStr">
        <is>
          <t>364.91</t>
        </is>
      </c>
      <c r="AI68" t="inlineStr">
        <is>
          <t>Köln</t>
        </is>
      </c>
      <c r="AJ68" t="inlineStr">
        <is>
          <t>Severne Carbon Race</t>
        </is>
      </c>
      <c r="AK68" t="inlineStr"/>
      <c r="AL68" t="inlineStr"/>
      <c r="AM68" s="4" t="n">
        <v>1.05</v>
      </c>
      <c r="AN68" t="inlineStr"/>
      <c r="AO68" t="inlineStr">
        <is>
          <t>22045 Wandsbek - Hamburg Tonndorf</t>
        </is>
      </c>
      <c r="AP68" s="5" t="n">
        <v>45338</v>
      </c>
      <c r="AQ68" t="inlineStr">
        <is>
          <t>Sold</t>
        </is>
      </c>
      <c r="AR68" s="6">
        <f>HYPERLINK("https://www.kleinanzeigen.de/s-anzeige/iq-foil-8-0-segel-gabel-mast-severne-starboard/2681073489-230-17135", "Link")</f>
        <v/>
      </c>
      <c r="AS68" s="6">
        <f>HYPERLINK("C:\Projects\Kleinanzeigen-Scraper\offer_images\2681073489", "Link")</f>
        <v/>
      </c>
      <c r="AT68" t="inlineStr">
        <is>
          <t>Nadia J.</t>
        </is>
      </c>
      <c r="AU68" s="6">
        <f>HYPERLINK("https://www.kleinanzeigen.de/s-bestandsliste.html?userId=79389459", "Link")</f>
        <v/>
      </c>
      <c r="AV68" s="7" t="n">
        <v>45551.41159722222</v>
      </c>
      <c r="AW68" s="3" t="inlineStr">
        <is>
          <t>364.91</t>
        </is>
      </c>
      <c r="AX68" t="inlineStr">
        <is>
          <t>Köln</t>
        </is>
      </c>
      <c r="AY68" s="4" t="n">
        <v>1.05</v>
      </c>
      <c r="AZ68" t="inlineStr"/>
      <c r="BA68" t="inlineStr">
        <is>
          <t>22045 Wandsbek - Hamburg Tonndorf</t>
        </is>
      </c>
      <c r="BB68" s="5" t="n">
        <v>45338</v>
      </c>
      <c r="BC68" t="inlineStr">
        <is>
          <t>Sold</t>
        </is>
      </c>
      <c r="BD68" s="6">
        <f>HYPERLINK("https://www.kleinanzeigen.de/s-anzeige/iq-foil-8-0-segel-gabel-mast-severne-starboard/2681073489-230-17135", "Link")</f>
        <v/>
      </c>
      <c r="BE68" s="6">
        <f>HYPERLINK("C:\Projects\Kleinanzeigen-Scraper\offer_images\2681073489", "Link")</f>
        <v/>
      </c>
      <c r="BF68" t="inlineStr">
        <is>
          <t>Nadia J.</t>
        </is>
      </c>
      <c r="BG68" s="6">
        <f>HYPERLINK("https://www.kleinanzeigen.de/s-bestandsliste.html?userId=79389459", "Link")</f>
        <v/>
      </c>
      <c r="BH68" s="7" t="n">
        <v>45551.41159722222</v>
      </c>
      <c r="BI68" s="3" t="inlineStr">
        <is>
          <t>364.91</t>
        </is>
      </c>
      <c r="BJ68" t="inlineStr">
        <is>
          <t>Köln</t>
        </is>
      </c>
    </row>
    <row r="69">
      <c r="A69" s="2" t="n">
        <v>7.8</v>
      </c>
      <c r="B69" t="inlineStr">
        <is>
          <t>North Crossfire</t>
        </is>
      </c>
      <c r="C69" s="3" t="n">
        <v>500</v>
      </c>
      <c r="D69" s="3" t="n">
        <v>220</v>
      </c>
      <c r="E69" t="inlineStr"/>
      <c r="F69" t="inlineStr"/>
      <c r="G69" t="inlineStr">
        <is>
          <t>used</t>
        </is>
      </c>
      <c r="H69" s="4" t="n">
        <v>200</v>
      </c>
      <c r="I69" t="inlineStr"/>
      <c r="J69" t="inlineStr">
        <is>
          <t>79100 Freiburg im Breisgau - Wiehre</t>
        </is>
      </c>
      <c r="K69" s="5" t="n">
        <v>45549</v>
      </c>
      <c r="L69" t="inlineStr">
        <is>
          <t>Sold</t>
        </is>
      </c>
      <c r="M69" s="6">
        <f>HYPERLINK("https://www.kleinanzeigen.de/s-anzeige/verkaufe-north-crossfire-windsurfsegel-rigg-7-8m-/2863032621-230-9368", "Link")</f>
        <v/>
      </c>
      <c r="N69" s="6">
        <f>HYPERLINK("C:\Projects\Kleinanzeigen-Scraper\offer_images\2863032621", "Link")</f>
        <v/>
      </c>
      <c r="O69" t="inlineStr">
        <is>
          <t>MLF</t>
        </is>
      </c>
      <c r="P69" s="6">
        <f>HYPERLINK("https://www.kleinanzeigen.de/s-bestandsliste.html?userId=15574759", "Link")</f>
        <v/>
      </c>
      <c r="Q69" s="7" t="n">
        <v>45551.41141203704</v>
      </c>
      <c r="R69" s="3" t="inlineStr">
        <is>
          <t>39.95</t>
        </is>
      </c>
      <c r="S69" t="inlineStr">
        <is>
          <t>Bonndorf</t>
        </is>
      </c>
      <c r="T69" t="inlineStr"/>
      <c r="U69" s="3" t="inlineStr"/>
      <c r="V69" s="8" t="inlineStr">
        <is>
          <t>65%</t>
        </is>
      </c>
      <c r="W69" t="inlineStr"/>
      <c r="X69" s="4" t="n">
        <v>200</v>
      </c>
      <c r="Y69" t="inlineStr"/>
      <c r="Z69" t="inlineStr">
        <is>
          <t>79100 Freiburg im Breisgau - Wiehre</t>
        </is>
      </c>
      <c r="AA69" s="5" t="n">
        <v>45549</v>
      </c>
      <c r="AB69" t="inlineStr">
        <is>
          <t>Sold</t>
        </is>
      </c>
      <c r="AC69" s="6">
        <f>HYPERLINK("https://www.kleinanzeigen.de/s-anzeige/verkaufe-north-crossfire-windsurfsegel-rigg-7-8m-/2863032621-230-9368", "Link")</f>
        <v/>
      </c>
      <c r="AD69" s="6">
        <f>HYPERLINK("C:\Projects\Kleinanzeigen-Scraper\offer_images\2863032621", "Link")</f>
        <v/>
      </c>
      <c r="AE69" t="inlineStr">
        <is>
          <t>MLF</t>
        </is>
      </c>
      <c r="AF69" s="6">
        <f>HYPERLINK("https://www.kleinanzeigen.de/s-bestandsliste.html?userId=15574759", "Link")</f>
        <v/>
      </c>
      <c r="AG69" s="7" t="n">
        <v>45551.41141203704</v>
      </c>
      <c r="AH69" s="3" t="inlineStr">
        <is>
          <t>39.95</t>
        </is>
      </c>
      <c r="AI69" t="inlineStr">
        <is>
          <t>Bonndorf</t>
        </is>
      </c>
      <c r="AJ69" t="inlineStr">
        <is>
          <t>Gaastra</t>
        </is>
      </c>
      <c r="AK69" t="inlineStr">
        <is>
          <t>185-245</t>
        </is>
      </c>
      <c r="AL69" t="inlineStr"/>
      <c r="AM69" s="4" t="n">
        <v>200</v>
      </c>
      <c r="AN69" t="inlineStr"/>
      <c r="AO69" t="inlineStr">
        <is>
          <t>79100 Freiburg im Breisgau - Wiehre</t>
        </is>
      </c>
      <c r="AP69" s="5" t="n">
        <v>45549</v>
      </c>
      <c r="AQ69" t="inlineStr">
        <is>
          <t>Sold</t>
        </is>
      </c>
      <c r="AR69" s="6">
        <f>HYPERLINK("https://www.kleinanzeigen.de/s-anzeige/verkaufe-north-crossfire-windsurfsegel-rigg-7-8m-/2863032621-230-9368", "Link")</f>
        <v/>
      </c>
      <c r="AS69" s="6">
        <f>HYPERLINK("C:\Projects\Kleinanzeigen-Scraper\offer_images\2863032621", "Link")</f>
        <v/>
      </c>
      <c r="AT69" t="inlineStr">
        <is>
          <t>MLF</t>
        </is>
      </c>
      <c r="AU69" s="6">
        <f>HYPERLINK("https://www.kleinanzeigen.de/s-bestandsliste.html?userId=15574759", "Link")</f>
        <v/>
      </c>
      <c r="AV69" s="7" t="n">
        <v>45551.41141203704</v>
      </c>
      <c r="AW69" s="3" t="inlineStr">
        <is>
          <t>39.95</t>
        </is>
      </c>
      <c r="AX69" t="inlineStr">
        <is>
          <t>Bonndorf</t>
        </is>
      </c>
      <c r="AY69" s="4" t="n">
        <v>200</v>
      </c>
      <c r="AZ69" t="inlineStr"/>
      <c r="BA69" t="inlineStr">
        <is>
          <t>79100 Freiburg im Breisgau - Wiehre</t>
        </is>
      </c>
      <c r="BB69" s="5" t="n">
        <v>45549</v>
      </c>
      <c r="BC69" t="inlineStr">
        <is>
          <t>Sold</t>
        </is>
      </c>
      <c r="BD69" s="6">
        <f>HYPERLINK("https://www.kleinanzeigen.de/s-anzeige/verkaufe-north-crossfire-windsurfsegel-rigg-7-8m-/2863032621-230-9368", "Link")</f>
        <v/>
      </c>
      <c r="BE69" s="6">
        <f>HYPERLINK("C:\Projects\Kleinanzeigen-Scraper\offer_images\2863032621", "Link")</f>
        <v/>
      </c>
      <c r="BF69" t="inlineStr">
        <is>
          <t>MLF</t>
        </is>
      </c>
      <c r="BG69" s="6">
        <f>HYPERLINK("https://www.kleinanzeigen.de/s-bestandsliste.html?userId=15574759", "Link")</f>
        <v/>
      </c>
      <c r="BH69" s="7" t="n">
        <v>45551.41141203704</v>
      </c>
      <c r="BI69" s="3" t="inlineStr">
        <is>
          <t>39.95</t>
        </is>
      </c>
      <c r="BJ69" t="inlineStr">
        <is>
          <t>Bonndorf</t>
        </is>
      </c>
    </row>
    <row r="70">
      <c r="A70" s="2" t="n">
        <v>9</v>
      </c>
      <c r="B70" t="inlineStr">
        <is>
          <t>Neilpryde V8</t>
        </is>
      </c>
      <c r="C70" s="3" t="inlineStr"/>
      <c r="D70" s="3" t="inlineStr">
        <is>
          <t>200-250</t>
        </is>
      </c>
      <c r="E70" t="inlineStr"/>
      <c r="F70" t="inlineStr"/>
      <c r="G70" t="inlineStr">
        <is>
          <t>used</t>
        </is>
      </c>
      <c r="H70" s="4" t="n">
        <v>295</v>
      </c>
      <c r="I70" t="inlineStr">
        <is>
          <t>VB</t>
        </is>
      </c>
      <c r="J70" t="inlineStr">
        <is>
          <t>46242 Nordrhein-Westfalen - Bottrop</t>
        </is>
      </c>
      <c r="K70" s="5" t="n">
        <v>45550</v>
      </c>
      <c r="L70" t="inlineStr"/>
      <c r="M70" s="6">
        <f>HYPERLINK("https://www.kleinanzeigen.de/s-anzeige/rigg-komplett-neilpryde-v8-9m2/2863786822-230-1954", "Link")</f>
        <v/>
      </c>
      <c r="N70" s="6">
        <f>HYPERLINK("C:\Projects\Kleinanzeigen-Scraper\offer_images\2863786822", "Link")</f>
        <v/>
      </c>
      <c r="O70" t="inlineStr">
        <is>
          <t>Commander</t>
        </is>
      </c>
      <c r="P70" s="6">
        <f>HYPERLINK("https://www.kleinanzeigen.de/s-bestandsliste.html?userId=3160023", "Link")</f>
        <v/>
      </c>
      <c r="Q70" s="7" t="n">
        <v>45551.41122685185</v>
      </c>
      <c r="R70" s="3" t="inlineStr">
        <is>
          <t>65.36</t>
        </is>
      </c>
      <c r="S70" t="inlineStr">
        <is>
          <t>Köln</t>
        </is>
      </c>
      <c r="T70" t="inlineStr"/>
      <c r="U70" s="3" t="n">
        <v>490</v>
      </c>
      <c r="V70" s="8" t="inlineStr"/>
      <c r="W70" t="inlineStr"/>
      <c r="X70" s="4" t="n">
        <v>295</v>
      </c>
      <c r="Y70" t="inlineStr">
        <is>
          <t>VB</t>
        </is>
      </c>
      <c r="Z70" t="inlineStr">
        <is>
          <t>46242 Nordrhein-Westfalen - Bottrop</t>
        </is>
      </c>
      <c r="AA70" s="5" t="n">
        <v>45550</v>
      </c>
      <c r="AB70" t="inlineStr"/>
      <c r="AC70" s="6">
        <f>HYPERLINK("https://www.kleinanzeigen.de/s-anzeige/rigg-komplett-neilpryde-v8-9m2/2863786822-230-1954", "Link")</f>
        <v/>
      </c>
      <c r="AD70" s="6">
        <f>HYPERLINK("C:\Projects\Kleinanzeigen-Scraper\offer_images\2863786822", "Link")</f>
        <v/>
      </c>
      <c r="AE70" t="inlineStr">
        <is>
          <t>Commander</t>
        </is>
      </c>
      <c r="AF70" s="6">
        <f>HYPERLINK("https://www.kleinanzeigen.de/s-bestandsliste.html?userId=3160023", "Link")</f>
        <v/>
      </c>
      <c r="AG70" s="7" t="n">
        <v>45551.41122685185</v>
      </c>
      <c r="AH70" s="3" t="inlineStr">
        <is>
          <t>65.36</t>
        </is>
      </c>
      <c r="AI70" t="inlineStr">
        <is>
          <t>Köln</t>
        </is>
      </c>
      <c r="AJ70" t="inlineStr">
        <is>
          <t>GUN SAILS</t>
        </is>
      </c>
      <c r="AK70" t="inlineStr">
        <is>
          <t>200-250</t>
        </is>
      </c>
      <c r="AL70" t="inlineStr"/>
      <c r="AM70" s="4" t="n">
        <v>295</v>
      </c>
      <c r="AN70" t="inlineStr">
        <is>
          <t>VB</t>
        </is>
      </c>
      <c r="AO70" t="inlineStr">
        <is>
          <t>46242 Nordrhein-Westfalen - Bottrop</t>
        </is>
      </c>
      <c r="AP70" s="5" t="n">
        <v>45550</v>
      </c>
      <c r="AQ70" t="inlineStr"/>
      <c r="AR70" s="6">
        <f>HYPERLINK("https://www.kleinanzeigen.de/s-anzeige/rigg-komplett-neilpryde-v8-9m2/2863786822-230-1954", "Link")</f>
        <v/>
      </c>
      <c r="AS70" s="6">
        <f>HYPERLINK("C:\Projects\Kleinanzeigen-Scraper\offer_images\2863786822", "Link")</f>
        <v/>
      </c>
      <c r="AT70" t="inlineStr">
        <is>
          <t>Commander</t>
        </is>
      </c>
      <c r="AU70" s="6">
        <f>HYPERLINK("https://www.kleinanzeigen.de/s-bestandsliste.html?userId=3160023", "Link")</f>
        <v/>
      </c>
      <c r="AV70" s="7" t="n">
        <v>45551.41122685185</v>
      </c>
      <c r="AW70" s="3" t="inlineStr">
        <is>
          <t>65.36</t>
        </is>
      </c>
      <c r="AX70" t="inlineStr">
        <is>
          <t>Köln</t>
        </is>
      </c>
      <c r="AY70" s="4" t="n">
        <v>295</v>
      </c>
      <c r="AZ70" t="inlineStr">
        <is>
          <t>VB</t>
        </is>
      </c>
      <c r="BA70" t="inlineStr">
        <is>
          <t>46242 Nordrhein-Westfalen - Bottrop</t>
        </is>
      </c>
      <c r="BB70" s="5" t="n">
        <v>45550</v>
      </c>
      <c r="BC70" t="inlineStr"/>
      <c r="BD70" s="6">
        <f>HYPERLINK("https://www.kleinanzeigen.de/s-anzeige/rigg-komplett-neilpryde-v8-9m2/2863786822-230-1954", "Link")</f>
        <v/>
      </c>
      <c r="BE70" s="6">
        <f>HYPERLINK("C:\Projects\Kleinanzeigen-Scraper\offer_images\2863786822", "Link")</f>
        <v/>
      </c>
      <c r="BF70" t="inlineStr">
        <is>
          <t>Commander</t>
        </is>
      </c>
      <c r="BG70" s="6">
        <f>HYPERLINK("https://www.kleinanzeigen.de/s-bestandsliste.html?userId=3160023", "Link")</f>
        <v/>
      </c>
      <c r="BH70" s="7" t="n">
        <v>45551.41122685185</v>
      </c>
      <c r="BI70" s="3" t="inlineStr">
        <is>
          <t>65.36</t>
        </is>
      </c>
      <c r="BJ70" t="inlineStr">
        <is>
          <t>Köln</t>
        </is>
      </c>
    </row>
    <row r="71">
      <c r="A71" s="2" t="n">
        <v>8.6</v>
      </c>
      <c r="B71" t="inlineStr">
        <is>
          <t>Gun Sails Vector</t>
        </is>
      </c>
      <c r="C71" s="3" t="n">
        <v>501</v>
      </c>
      <c r="D71" s="3" t="n">
        <v>235</v>
      </c>
      <c r="E71" t="inlineStr"/>
      <c r="F71" t="inlineStr"/>
      <c r="G71" t="inlineStr">
        <is>
          <t>used</t>
        </is>
      </c>
      <c r="H71" s="4" t="n">
        <v>200</v>
      </c>
      <c r="I71" t="inlineStr">
        <is>
          <t>VB</t>
        </is>
      </c>
      <c r="J71" t="inlineStr">
        <is>
          <t>37574 Niedersachsen - Einbeck</t>
        </is>
      </c>
      <c r="K71" s="5" t="n">
        <v>45550</v>
      </c>
      <c r="L71" t="inlineStr"/>
      <c r="M71" s="6">
        <f>HYPERLINK("https://www.kleinanzeigen.de/s-anzeige/gun-sails-vector-8-6-qm-incl-mast/2864502698-230-2842", "Link")</f>
        <v/>
      </c>
      <c r="N71" s="6">
        <f>HYPERLINK("C:\Projects\Kleinanzeigen-Scraper\offer_images\2864502698", "Link")</f>
        <v/>
      </c>
      <c r="O71" t="inlineStr">
        <is>
          <t>M. Fischer</t>
        </is>
      </c>
      <c r="P71" s="6">
        <f>HYPERLINK("https://www.kleinanzeigen.de/s-bestandsliste.html?userId=4803195", "Link")</f>
        <v/>
      </c>
      <c r="Q71" s="7" t="n">
        <v>45551.41106481481</v>
      </c>
      <c r="R71" s="3" t="inlineStr">
        <is>
          <t>226.22</t>
        </is>
      </c>
      <c r="S71" t="inlineStr">
        <is>
          <t>Köln</t>
        </is>
      </c>
      <c r="T71" t="inlineStr"/>
      <c r="U71" s="3" t="inlineStr"/>
      <c r="V71" s="8" t="inlineStr">
        <is>
          <t>100%</t>
        </is>
      </c>
      <c r="W71" t="inlineStr"/>
      <c r="X71" s="4" t="n">
        <v>200</v>
      </c>
      <c r="Y71" t="inlineStr">
        <is>
          <t>VB</t>
        </is>
      </c>
      <c r="Z71" t="inlineStr">
        <is>
          <t>37574 Niedersachsen - Einbeck</t>
        </is>
      </c>
      <c r="AA71" s="5" t="n">
        <v>45550</v>
      </c>
      <c r="AB71" t="inlineStr"/>
      <c r="AC71" s="6">
        <f>HYPERLINK("https://www.kleinanzeigen.de/s-anzeige/gun-sails-vector-8-6-qm-incl-mast/2864502698-230-2842", "Link")</f>
        <v/>
      </c>
      <c r="AD71" s="6">
        <f>HYPERLINK("C:\Projects\Kleinanzeigen-Scraper\offer_images\2864502698", "Link")</f>
        <v/>
      </c>
      <c r="AE71" t="inlineStr">
        <is>
          <t>M. Fischer</t>
        </is>
      </c>
      <c r="AF71" s="6">
        <f>HYPERLINK("https://www.kleinanzeigen.de/s-bestandsliste.html?userId=4803195", "Link")</f>
        <v/>
      </c>
      <c r="AG71" s="7" t="n">
        <v>45551.41106481481</v>
      </c>
      <c r="AH71" s="3" t="inlineStr">
        <is>
          <t>226.22</t>
        </is>
      </c>
      <c r="AI71" t="inlineStr">
        <is>
          <t>Köln</t>
        </is>
      </c>
      <c r="AJ71" t="inlineStr"/>
      <c r="AK71" t="inlineStr"/>
      <c r="AL71" t="inlineStr"/>
      <c r="AM71" s="4" t="n">
        <v>200</v>
      </c>
      <c r="AN71" t="inlineStr">
        <is>
          <t>VB</t>
        </is>
      </c>
      <c r="AO71" t="inlineStr">
        <is>
          <t>37574 Niedersachsen - Einbeck</t>
        </is>
      </c>
      <c r="AP71" s="5" t="n">
        <v>45550</v>
      </c>
      <c r="AQ71" t="inlineStr"/>
      <c r="AR71" s="6">
        <f>HYPERLINK("https://www.kleinanzeigen.de/s-anzeige/gun-sails-vector-8-6-qm-incl-mast/2864502698-230-2842", "Link")</f>
        <v/>
      </c>
      <c r="AS71" s="6">
        <f>HYPERLINK("C:\Projects\Kleinanzeigen-Scraper\offer_images\2864502698", "Link")</f>
        <v/>
      </c>
      <c r="AT71" t="inlineStr">
        <is>
          <t>M. Fischer</t>
        </is>
      </c>
      <c r="AU71" s="6">
        <f>HYPERLINK("https://www.kleinanzeigen.de/s-bestandsliste.html?userId=4803195", "Link")</f>
        <v/>
      </c>
      <c r="AV71" s="7" t="n">
        <v>45551.41106481481</v>
      </c>
      <c r="AW71" s="3" t="inlineStr">
        <is>
          <t>226.22</t>
        </is>
      </c>
      <c r="AX71" t="inlineStr">
        <is>
          <t>Köln</t>
        </is>
      </c>
      <c r="AY71" s="4" t="n">
        <v>200</v>
      </c>
      <c r="AZ71" t="inlineStr">
        <is>
          <t>VB</t>
        </is>
      </c>
      <c r="BA71" t="inlineStr">
        <is>
          <t>37574 Niedersachsen - Einbeck</t>
        </is>
      </c>
      <c r="BB71" s="5" t="n">
        <v>45550</v>
      </c>
      <c r="BC71" t="inlineStr"/>
      <c r="BD71" s="6">
        <f>HYPERLINK("https://www.kleinanzeigen.de/s-anzeige/gun-sails-vector-8-6-qm-incl-mast/2864502698-230-2842", "Link")</f>
        <v/>
      </c>
      <c r="BE71" s="6">
        <f>HYPERLINK("C:\Projects\Kleinanzeigen-Scraper\offer_images\2864502698", "Link")</f>
        <v/>
      </c>
      <c r="BF71" t="inlineStr">
        <is>
          <t>M. Fischer</t>
        </is>
      </c>
      <c r="BG71" s="6">
        <f>HYPERLINK("https://www.kleinanzeigen.de/s-bestandsliste.html?userId=4803195", "Link")</f>
        <v/>
      </c>
      <c r="BH71" s="7" t="n">
        <v>45551.41106481481</v>
      </c>
      <c r="BI71" s="3" t="inlineStr">
        <is>
          <t>226.22</t>
        </is>
      </c>
      <c r="BJ71" t="inlineStr">
        <is>
          <t>Köln</t>
        </is>
      </c>
    </row>
    <row r="72">
      <c r="A72" s="2" t="n">
        <v>4.5</v>
      </c>
      <c r="B72" t="inlineStr">
        <is>
          <t>Neilpryde Combat Pro</t>
        </is>
      </c>
      <c r="C72" s="3" t="n">
        <v>370</v>
      </c>
      <c r="D72" s="3" t="n">
        <v>160</v>
      </c>
      <c r="E72" t="inlineStr"/>
      <c r="F72" t="inlineStr">
        <is>
          <t>2021</t>
        </is>
      </c>
      <c r="G72" t="inlineStr">
        <is>
          <t>new</t>
        </is>
      </c>
      <c r="H72" s="4" t="n">
        <v>770</v>
      </c>
      <c r="I72" t="inlineStr"/>
      <c r="J72" t="inlineStr">
        <is>
          <t>82178 Bayern - Puchheim</t>
        </is>
      </c>
      <c r="K72" s="5" t="n">
        <v>45549</v>
      </c>
      <c r="L72" t="inlineStr"/>
      <c r="M72" s="6">
        <f>HYPERLINK("https://www.kleinanzeigen.de/s-anzeige/neilpryde-combat-pro-2021-inkl-passendem-np-carbon-mast-neu-/2863076807-230-5599", "Link")</f>
        <v/>
      </c>
      <c r="N72" s="6">
        <f>HYPERLINK("C:\Projects\Kleinanzeigen-Scraper\offer_images\2863076807", "Link")</f>
        <v/>
      </c>
      <c r="O72" t="inlineStr">
        <is>
          <t>Michael Nanini</t>
        </is>
      </c>
      <c r="P72" s="6">
        <f>HYPERLINK("https://www.kleinanzeigen.de/s-bestandsliste.html?userId=11859414", "Link")</f>
        <v/>
      </c>
      <c r="Q72" s="7" t="n">
        <v>45551.41071759259</v>
      </c>
      <c r="R72" s="3" t="inlineStr">
        <is>
          <t>17.38</t>
        </is>
      </c>
      <c r="S72" t="inlineStr">
        <is>
          <t>München</t>
        </is>
      </c>
      <c r="T72" t="inlineStr">
        <is>
          <t>Neilpryde SPX</t>
        </is>
      </c>
      <c r="U72" s="3" t="n">
        <v>370</v>
      </c>
      <c r="V72" s="8" t="inlineStr">
        <is>
          <t>70%</t>
        </is>
      </c>
      <c r="W72" t="inlineStr"/>
      <c r="X72" s="4" t="n">
        <v>770</v>
      </c>
      <c r="Y72" t="inlineStr"/>
      <c r="Z72" t="inlineStr">
        <is>
          <t>82178 Bayern - Puchheim</t>
        </is>
      </c>
      <c r="AA72" s="5" t="n">
        <v>45549</v>
      </c>
      <c r="AB72" t="inlineStr"/>
      <c r="AC72" s="6">
        <f>HYPERLINK("https://www.kleinanzeigen.de/s-anzeige/neilpryde-combat-pro-2021-inkl-passendem-np-carbon-mast-neu-/2863076807-230-5599", "Link")</f>
        <v/>
      </c>
      <c r="AD72" s="6">
        <f>HYPERLINK("C:\Projects\Kleinanzeigen-Scraper\offer_images\2863076807", "Link")</f>
        <v/>
      </c>
      <c r="AE72" t="inlineStr">
        <is>
          <t>Michael Nanini</t>
        </is>
      </c>
      <c r="AF72" s="6">
        <f>HYPERLINK("https://www.kleinanzeigen.de/s-bestandsliste.html?userId=11859414", "Link")</f>
        <v/>
      </c>
      <c r="AG72" s="7" t="n">
        <v>45551.41071759259</v>
      </c>
      <c r="AH72" s="3" t="inlineStr">
        <is>
          <t>17.38</t>
        </is>
      </c>
      <c r="AI72" t="inlineStr">
        <is>
          <t>München</t>
        </is>
      </c>
      <c r="AJ72" t="inlineStr"/>
      <c r="AK72" t="inlineStr"/>
      <c r="AL72" t="inlineStr"/>
      <c r="AM72" s="4" t="n">
        <v>770</v>
      </c>
      <c r="AN72" t="inlineStr"/>
      <c r="AO72" t="inlineStr">
        <is>
          <t>82178 Bayern - Puchheim</t>
        </is>
      </c>
      <c r="AP72" s="5" t="n">
        <v>45549</v>
      </c>
      <c r="AQ72" t="inlineStr"/>
      <c r="AR72" s="6">
        <f>HYPERLINK("https://www.kleinanzeigen.de/s-anzeige/neilpryde-combat-pro-2021-inkl-passendem-np-carbon-mast-neu-/2863076807-230-5599", "Link")</f>
        <v/>
      </c>
      <c r="AS72" s="6">
        <f>HYPERLINK("C:\Projects\Kleinanzeigen-Scraper\offer_images\2863076807", "Link")</f>
        <v/>
      </c>
      <c r="AT72" t="inlineStr">
        <is>
          <t>Michael Nanini</t>
        </is>
      </c>
      <c r="AU72" s="6">
        <f>HYPERLINK("https://www.kleinanzeigen.de/s-bestandsliste.html?userId=11859414", "Link")</f>
        <v/>
      </c>
      <c r="AV72" s="7" t="n">
        <v>45551.41071759259</v>
      </c>
      <c r="AW72" s="3" t="inlineStr">
        <is>
          <t>17.38</t>
        </is>
      </c>
      <c r="AX72" t="inlineStr">
        <is>
          <t>München</t>
        </is>
      </c>
      <c r="AY72" s="4" t="n">
        <v>770</v>
      </c>
      <c r="AZ72" t="inlineStr"/>
      <c r="BA72" t="inlineStr">
        <is>
          <t>82178 Bayern - Puchheim</t>
        </is>
      </c>
      <c r="BB72" s="5" t="n">
        <v>45549</v>
      </c>
      <c r="BC72" t="inlineStr"/>
      <c r="BD72" s="6">
        <f>HYPERLINK("https://www.kleinanzeigen.de/s-anzeige/neilpryde-combat-pro-2021-inkl-passendem-np-carbon-mast-neu-/2863076807-230-5599", "Link")</f>
        <v/>
      </c>
      <c r="BE72" s="6">
        <f>HYPERLINK("C:\Projects\Kleinanzeigen-Scraper\offer_images\2863076807", "Link")</f>
        <v/>
      </c>
      <c r="BF72" t="inlineStr">
        <is>
          <t>Michael Nanini</t>
        </is>
      </c>
      <c r="BG72" s="6">
        <f>HYPERLINK("https://www.kleinanzeigen.de/s-bestandsliste.html?userId=11859414", "Link")</f>
        <v/>
      </c>
      <c r="BH72" s="7" t="n">
        <v>45551.41071759259</v>
      </c>
      <c r="BI72" s="3" t="inlineStr">
        <is>
          <t>17.38</t>
        </is>
      </c>
      <c r="BJ72" t="inlineStr">
        <is>
          <t>München</t>
        </is>
      </c>
    </row>
    <row r="73">
      <c r="A73" s="2" t="n">
        <v>7.8</v>
      </c>
      <c r="B73" t="inlineStr">
        <is>
          <t>North Crossride</t>
        </is>
      </c>
      <c r="C73" s="3" t="n">
        <v>5.19</v>
      </c>
      <c r="D73" s="3" t="inlineStr">
        <is>
          <t>215-217</t>
        </is>
      </c>
      <c r="E73" t="inlineStr"/>
      <c r="F73" t="inlineStr"/>
      <c r="G73" t="inlineStr">
        <is>
          <t>used</t>
        </is>
      </c>
      <c r="H73" s="4" t="n">
        <v>120</v>
      </c>
      <c r="I73" t="inlineStr"/>
      <c r="J73" t="inlineStr">
        <is>
          <t>88045 Baden-Württemberg - Friedrichshafen</t>
        </is>
      </c>
      <c r="K73" s="5" t="n">
        <v>45549</v>
      </c>
      <c r="L73" t="inlineStr">
        <is>
          <t>Sold</t>
        </is>
      </c>
      <c r="M73" s="6">
        <f>HYPERLINK("https://www.kleinanzeigen.de/s-anzeige/windsurf-segel-north-crossride-7-8-inkl-mast-95-carbon-2-1kg-/2863440981-230-9213", "Link")</f>
        <v/>
      </c>
      <c r="N73" s="6">
        <f>HYPERLINK("C:\Projects\Kleinanzeigen-Scraper\offer_images\2863440981", "Link")</f>
        <v/>
      </c>
      <c r="O73" t="inlineStr">
        <is>
          <t>R.M.</t>
        </is>
      </c>
      <c r="P73" s="6">
        <f>HYPERLINK("https://www.kleinanzeigen.de/s-bestandsliste.html?userId=56059820", "Link")</f>
        <v/>
      </c>
      <c r="Q73" s="7" t="n">
        <v>45551.40878472223</v>
      </c>
      <c r="R73" s="3" t="inlineStr">
        <is>
          <t>85.70</t>
        </is>
      </c>
      <c r="S73" t="inlineStr">
        <is>
          <t>Bonndorf</t>
        </is>
      </c>
      <c r="T73" t="inlineStr"/>
      <c r="U73" s="3" t="inlineStr"/>
      <c r="V73" s="8" t="inlineStr">
        <is>
          <t>95%</t>
        </is>
      </c>
      <c r="W73" t="inlineStr"/>
      <c r="X73" s="4" t="n">
        <v>120</v>
      </c>
      <c r="Y73" t="inlineStr"/>
      <c r="Z73" t="inlineStr">
        <is>
          <t>88045 Baden-Württemberg - Friedrichshafen</t>
        </is>
      </c>
      <c r="AA73" s="5" t="n">
        <v>45549</v>
      </c>
      <c r="AB73" t="inlineStr">
        <is>
          <t>Sold</t>
        </is>
      </c>
      <c r="AC73" s="6">
        <f>HYPERLINK("https://www.kleinanzeigen.de/s-anzeige/windsurf-segel-north-crossride-7-8-inkl-mast-95-carbon-2-1kg-/2863440981-230-9213", "Link")</f>
        <v/>
      </c>
      <c r="AD73" s="6">
        <f>HYPERLINK("C:\Projects\Kleinanzeigen-Scraper\offer_images\2863440981", "Link")</f>
        <v/>
      </c>
      <c r="AE73" t="inlineStr">
        <is>
          <t>R.M.</t>
        </is>
      </c>
      <c r="AF73" s="6">
        <f>HYPERLINK("https://www.kleinanzeigen.de/s-bestandsliste.html?userId=56059820", "Link")</f>
        <v/>
      </c>
      <c r="AG73" s="7" t="n">
        <v>45551.40878472223</v>
      </c>
      <c r="AH73" s="3" t="inlineStr">
        <is>
          <t>85.70</t>
        </is>
      </c>
      <c r="AI73" t="inlineStr">
        <is>
          <t>Bonndorf</t>
        </is>
      </c>
      <c r="AJ73" t="inlineStr"/>
      <c r="AK73" t="inlineStr">
        <is>
          <t>215-217</t>
        </is>
      </c>
      <c r="AL73" t="inlineStr"/>
      <c r="AM73" s="4" t="n">
        <v>120</v>
      </c>
      <c r="AN73" t="inlineStr"/>
      <c r="AO73" t="inlineStr">
        <is>
          <t>88045 Baden-Württemberg - Friedrichshafen</t>
        </is>
      </c>
      <c r="AP73" s="5" t="n">
        <v>45549</v>
      </c>
      <c r="AQ73" t="inlineStr">
        <is>
          <t>Sold</t>
        </is>
      </c>
      <c r="AR73" s="6">
        <f>HYPERLINK("https://www.kleinanzeigen.de/s-anzeige/windsurf-segel-north-crossride-7-8-inkl-mast-95-carbon-2-1kg-/2863440981-230-9213", "Link")</f>
        <v/>
      </c>
      <c r="AS73" s="6">
        <f>HYPERLINK("C:\Projects\Kleinanzeigen-Scraper\offer_images\2863440981", "Link")</f>
        <v/>
      </c>
      <c r="AT73" t="inlineStr">
        <is>
          <t>R.M.</t>
        </is>
      </c>
      <c r="AU73" s="6">
        <f>HYPERLINK("https://www.kleinanzeigen.de/s-bestandsliste.html?userId=56059820", "Link")</f>
        <v/>
      </c>
      <c r="AV73" s="7" t="n">
        <v>45551.40878472223</v>
      </c>
      <c r="AW73" s="3" t="inlineStr">
        <is>
          <t>85.70</t>
        </is>
      </c>
      <c r="AX73" t="inlineStr">
        <is>
          <t>Bonndorf</t>
        </is>
      </c>
      <c r="AY73" s="4" t="n">
        <v>120</v>
      </c>
      <c r="AZ73" t="inlineStr"/>
      <c r="BA73" t="inlineStr">
        <is>
          <t>88045 Baden-Württemberg - Friedrichshafen</t>
        </is>
      </c>
      <c r="BB73" s="5" t="n">
        <v>45549</v>
      </c>
      <c r="BC73" t="inlineStr">
        <is>
          <t>Sold</t>
        </is>
      </c>
      <c r="BD73" s="6">
        <f>HYPERLINK("https://www.kleinanzeigen.de/s-anzeige/windsurf-segel-north-crossride-7-8-inkl-mast-95-carbon-2-1kg-/2863440981-230-9213", "Link")</f>
        <v/>
      </c>
      <c r="BE73" s="6">
        <f>HYPERLINK("C:\Projects\Kleinanzeigen-Scraper\offer_images\2863440981", "Link")</f>
        <v/>
      </c>
      <c r="BF73" t="inlineStr">
        <is>
          <t>R.M.</t>
        </is>
      </c>
      <c r="BG73" s="6">
        <f>HYPERLINK("https://www.kleinanzeigen.de/s-bestandsliste.html?userId=56059820", "Link")</f>
        <v/>
      </c>
      <c r="BH73" s="7" t="n">
        <v>45551.40878472223</v>
      </c>
      <c r="BI73" s="3" t="inlineStr">
        <is>
          <t>85.70</t>
        </is>
      </c>
      <c r="BJ73" t="inlineStr">
        <is>
          <t>Bonndorf</t>
        </is>
      </c>
    </row>
    <row r="74">
      <c r="A74" s="2" t="n">
        <v>8.199999999999999</v>
      </c>
      <c r="B74" t="inlineStr">
        <is>
          <t>NeilPryde Hornet</t>
        </is>
      </c>
      <c r="C74" s="3" t="n">
        <v>490</v>
      </c>
      <c r="D74" s="3" t="inlineStr"/>
      <c r="E74" t="inlineStr"/>
      <c r="F74" t="inlineStr"/>
      <c r="G74" t="inlineStr">
        <is>
          <t>used</t>
        </is>
      </c>
      <c r="H74" s="4" t="n">
        <v>290</v>
      </c>
      <c r="I74" t="inlineStr">
        <is>
          <t>VB</t>
        </is>
      </c>
      <c r="J74" t="inlineStr">
        <is>
          <t>81549 Obergiesing-Fasangarten - Obergiesing</t>
        </is>
      </c>
      <c r="K74" s="5" t="n">
        <v>45550</v>
      </c>
      <c r="L74" t="inlineStr"/>
      <c r="M74" s="6">
        <f>HYPERLINK("https://www.kleinanzeigen.de/s-anzeige/windsurf-segel-8-2m-neilpryde-hornet-mit-mast/2864848373-230-16363", "Link")</f>
        <v/>
      </c>
      <c r="N74" s="6">
        <f>HYPERLINK("C:\Projects\Kleinanzeigen-Scraper\offer_images\2864848373", "Link")</f>
        <v/>
      </c>
      <c r="O74" t="inlineStr">
        <is>
          <t>Paolo</t>
        </is>
      </c>
      <c r="P74" s="6">
        <f>HYPERLINK("https://www.kleinanzeigen.de/s-bestandsliste.html?userId=80420214", "Link")</f>
        <v/>
      </c>
      <c r="Q74" s="7" t="n">
        <v>45551.40672453704</v>
      </c>
      <c r="R74" s="3" t="inlineStr">
        <is>
          <t>4.99</t>
        </is>
      </c>
      <c r="S74" t="inlineStr">
        <is>
          <t>München</t>
        </is>
      </c>
      <c r="T74" t="inlineStr"/>
      <c r="U74" s="3" t="n">
        <v>490</v>
      </c>
      <c r="V74" s="8" t="inlineStr">
        <is>
          <t>75%</t>
        </is>
      </c>
      <c r="W74" t="inlineStr">
        <is>
          <t>SDM</t>
        </is>
      </c>
      <c r="X74" s="4" t="n">
        <v>290</v>
      </c>
      <c r="Y74" t="inlineStr">
        <is>
          <t>VB</t>
        </is>
      </c>
      <c r="Z74" t="inlineStr">
        <is>
          <t>81549 Obergiesing-Fasangarten - Obergiesing</t>
        </is>
      </c>
      <c r="AA74" s="5" t="n">
        <v>45550</v>
      </c>
      <c r="AB74" t="inlineStr"/>
      <c r="AC74" s="6">
        <f>HYPERLINK("https://www.kleinanzeigen.de/s-anzeige/windsurf-segel-8-2m-neilpryde-hornet-mit-mast/2864848373-230-16363", "Link")</f>
        <v/>
      </c>
      <c r="AD74" s="6">
        <f>HYPERLINK("C:\Projects\Kleinanzeigen-Scraper\offer_images\2864848373", "Link")</f>
        <v/>
      </c>
      <c r="AE74" t="inlineStr">
        <is>
          <t>Paolo</t>
        </is>
      </c>
      <c r="AF74" s="6">
        <f>HYPERLINK("https://www.kleinanzeigen.de/s-bestandsliste.html?userId=80420214", "Link")</f>
        <v/>
      </c>
      <c r="AG74" s="7" t="n">
        <v>45551.40672453704</v>
      </c>
      <c r="AH74" s="3" t="inlineStr">
        <is>
          <t>4.99</t>
        </is>
      </c>
      <c r="AI74" t="inlineStr">
        <is>
          <t>München</t>
        </is>
      </c>
      <c r="AJ74" t="inlineStr"/>
      <c r="AK74" t="inlineStr"/>
      <c r="AL74" t="inlineStr"/>
      <c r="AM74" s="4" t="n">
        <v>290</v>
      </c>
      <c r="AN74" t="inlineStr">
        <is>
          <t>VB</t>
        </is>
      </c>
      <c r="AO74" t="inlineStr">
        <is>
          <t>81549 Obergiesing-Fasangarten - Obergiesing</t>
        </is>
      </c>
      <c r="AP74" s="5" t="n">
        <v>45550</v>
      </c>
      <c r="AQ74" t="inlineStr"/>
      <c r="AR74" s="6">
        <f>HYPERLINK("https://www.kleinanzeigen.de/s-anzeige/windsurf-segel-8-2m-neilpryde-hornet-mit-mast/2864848373-230-16363", "Link")</f>
        <v/>
      </c>
      <c r="AS74" s="6">
        <f>HYPERLINK("C:\Projects\Kleinanzeigen-Scraper\offer_images\2864848373", "Link")</f>
        <v/>
      </c>
      <c r="AT74" t="inlineStr">
        <is>
          <t>Paolo</t>
        </is>
      </c>
      <c r="AU74" s="6">
        <f>HYPERLINK("https://www.kleinanzeigen.de/s-bestandsliste.html?userId=80420214", "Link")</f>
        <v/>
      </c>
      <c r="AV74" s="7" t="n">
        <v>45551.40672453704</v>
      </c>
      <c r="AW74" s="3" t="inlineStr">
        <is>
          <t>4.99</t>
        </is>
      </c>
      <c r="AX74" t="inlineStr">
        <is>
          <t>München</t>
        </is>
      </c>
      <c r="AY74" s="4" t="n">
        <v>290</v>
      </c>
      <c r="AZ74" t="inlineStr">
        <is>
          <t>VB</t>
        </is>
      </c>
      <c r="BA74" t="inlineStr">
        <is>
          <t>81549 Obergiesing-Fasangarten - Obergiesing</t>
        </is>
      </c>
      <c r="BB74" s="5" t="n">
        <v>45550</v>
      </c>
      <c r="BC74" t="inlineStr"/>
      <c r="BD74" s="6">
        <f>HYPERLINK("https://www.kleinanzeigen.de/s-anzeige/windsurf-segel-8-2m-neilpryde-hornet-mit-mast/2864848373-230-16363", "Link")</f>
        <v/>
      </c>
      <c r="BE74" s="6">
        <f>HYPERLINK("C:\Projects\Kleinanzeigen-Scraper\offer_images\2864848373", "Link")</f>
        <v/>
      </c>
      <c r="BF74" t="inlineStr">
        <is>
          <t>Paolo</t>
        </is>
      </c>
      <c r="BG74" s="6">
        <f>HYPERLINK("https://www.kleinanzeigen.de/s-bestandsliste.html?userId=80420214", "Link")</f>
        <v/>
      </c>
      <c r="BH74" s="7" t="n">
        <v>45551.40672453704</v>
      </c>
      <c r="BI74" s="3" t="inlineStr">
        <is>
          <t>4.99</t>
        </is>
      </c>
      <c r="BJ74" t="inlineStr">
        <is>
          <t>München</t>
        </is>
      </c>
    </row>
    <row r="75">
      <c r="A75" s="2" t="n">
        <v>6.25</v>
      </c>
      <c r="B75" t="inlineStr">
        <is>
          <t>Naish Nalu</t>
        </is>
      </c>
      <c r="C75" s="3" t="inlineStr"/>
      <c r="D75" s="3" t="inlineStr"/>
      <c r="E75" t="inlineStr"/>
      <c r="F75" t="inlineStr"/>
      <c r="G75" t="inlineStr">
        <is>
          <t>used</t>
        </is>
      </c>
      <c r="H75" s="4" t="n">
        <v>90</v>
      </c>
      <c r="I75" t="inlineStr"/>
      <c r="J75" t="inlineStr">
        <is>
          <t>88045 Baden-Württemberg - Friedrichshafen</t>
        </is>
      </c>
      <c r="K75" s="5" t="n">
        <v>45549</v>
      </c>
      <c r="L75" t="inlineStr"/>
      <c r="M75" s="6">
        <f>HYPERLINK("https://www.kleinanzeigen.de/s-anzeige/windsurf-segel-naish-nalu-6-25-inkl-mast-40-carbon/2863443808-230-9213", "Link")</f>
        <v/>
      </c>
      <c r="N75" s="6">
        <f>HYPERLINK("C:\Projects\Kleinanzeigen-Scraper\offer_images\2863443808", "Link")</f>
        <v/>
      </c>
      <c r="O75" t="inlineStr">
        <is>
          <t>R.M.</t>
        </is>
      </c>
      <c r="P75" s="6">
        <f>HYPERLINK("https://www.kleinanzeigen.de/s-bestandsliste.html?userId=56059820", "Link")</f>
        <v/>
      </c>
      <c r="Q75" s="7" t="n">
        <v>45551.40571759259</v>
      </c>
      <c r="R75" s="3" t="inlineStr">
        <is>
          <t>85.70</t>
        </is>
      </c>
      <c r="S75" t="inlineStr">
        <is>
          <t>Bonndorf</t>
        </is>
      </c>
      <c r="T75" t="inlineStr"/>
      <c r="U75" s="3" t="inlineStr"/>
      <c r="V75" s="8" t="inlineStr">
        <is>
          <t>40%</t>
        </is>
      </c>
      <c r="W75" t="inlineStr"/>
      <c r="X75" s="4" t="n">
        <v>90</v>
      </c>
      <c r="Y75" t="inlineStr"/>
      <c r="Z75" t="inlineStr">
        <is>
          <t>88045 Baden-Württemberg - Friedrichshafen</t>
        </is>
      </c>
      <c r="AA75" s="5" t="n">
        <v>45549</v>
      </c>
      <c r="AB75" t="inlineStr"/>
      <c r="AC75" s="6">
        <f>HYPERLINK("https://www.kleinanzeigen.de/s-anzeige/windsurf-segel-naish-nalu-6-25-inkl-mast-40-carbon/2863443808-230-9213", "Link")</f>
        <v/>
      </c>
      <c r="AD75" s="6">
        <f>HYPERLINK("C:\Projects\Kleinanzeigen-Scraper\offer_images\2863443808", "Link")</f>
        <v/>
      </c>
      <c r="AE75" t="inlineStr">
        <is>
          <t>R.M.</t>
        </is>
      </c>
      <c r="AF75" s="6">
        <f>HYPERLINK("https://www.kleinanzeigen.de/s-bestandsliste.html?userId=56059820", "Link")</f>
        <v/>
      </c>
      <c r="AG75" s="7" t="n">
        <v>45551.40571759259</v>
      </c>
      <c r="AH75" s="3" t="inlineStr">
        <is>
          <t>85.70</t>
        </is>
      </c>
      <c r="AI75" t="inlineStr">
        <is>
          <t>Bonndorf</t>
        </is>
      </c>
      <c r="AJ75" t="inlineStr"/>
      <c r="AK75" t="inlineStr"/>
      <c r="AL75" t="inlineStr"/>
      <c r="AM75" s="4" t="n">
        <v>90</v>
      </c>
      <c r="AN75" t="inlineStr"/>
      <c r="AO75" t="inlineStr">
        <is>
          <t>88045 Baden-Württemberg - Friedrichshafen</t>
        </is>
      </c>
      <c r="AP75" s="5" t="n">
        <v>45549</v>
      </c>
      <c r="AQ75" t="inlineStr"/>
      <c r="AR75" s="6">
        <f>HYPERLINK("https://www.kleinanzeigen.de/s-anzeige/windsurf-segel-naish-nalu-6-25-inkl-mast-40-carbon/2863443808-230-9213", "Link")</f>
        <v/>
      </c>
      <c r="AS75" s="6">
        <f>HYPERLINK("C:\Projects\Kleinanzeigen-Scraper\offer_images\2863443808", "Link")</f>
        <v/>
      </c>
      <c r="AT75" t="inlineStr">
        <is>
          <t>R.M.</t>
        </is>
      </c>
      <c r="AU75" s="6">
        <f>HYPERLINK("https://www.kleinanzeigen.de/s-bestandsliste.html?userId=56059820", "Link")</f>
        <v/>
      </c>
      <c r="AV75" s="7" t="n">
        <v>45551.40571759259</v>
      </c>
      <c r="AW75" s="3" t="inlineStr">
        <is>
          <t>85.70</t>
        </is>
      </c>
      <c r="AX75" t="inlineStr">
        <is>
          <t>Bonndorf</t>
        </is>
      </c>
      <c r="AY75" s="4" t="n">
        <v>90</v>
      </c>
      <c r="AZ75" t="inlineStr"/>
      <c r="BA75" t="inlineStr">
        <is>
          <t>88045 Baden-Württemberg - Friedrichshafen</t>
        </is>
      </c>
      <c r="BB75" s="5" t="n">
        <v>45549</v>
      </c>
      <c r="BC75" t="inlineStr"/>
      <c r="BD75" s="6">
        <f>HYPERLINK("https://www.kleinanzeigen.de/s-anzeige/windsurf-segel-naish-nalu-6-25-inkl-mast-40-carbon/2863443808-230-9213", "Link")</f>
        <v/>
      </c>
      <c r="BE75" s="6">
        <f>HYPERLINK("C:\Projects\Kleinanzeigen-Scraper\offer_images\2863443808", "Link")</f>
        <v/>
      </c>
      <c r="BF75" t="inlineStr">
        <is>
          <t>R.M.</t>
        </is>
      </c>
      <c r="BG75" s="6">
        <f>HYPERLINK("https://www.kleinanzeigen.de/s-bestandsliste.html?userId=56059820", "Link")</f>
        <v/>
      </c>
      <c r="BH75" s="7" t="n">
        <v>45551.40571759259</v>
      </c>
      <c r="BI75" s="3" t="inlineStr">
        <is>
          <t>85.70</t>
        </is>
      </c>
      <c r="BJ75" t="inlineStr">
        <is>
          <t>Bonndorf</t>
        </is>
      </c>
    </row>
    <row r="76">
      <c r="A76" s="2" t="n">
        <v>6.9</v>
      </c>
      <c r="B76" t="inlineStr">
        <is>
          <t>Neilpryde Expression</t>
        </is>
      </c>
      <c r="C76" s="3" t="n">
        <v>482</v>
      </c>
      <c r="D76" s="3" t="n">
        <v>202</v>
      </c>
      <c r="E76" t="inlineStr"/>
      <c r="F76" t="inlineStr"/>
      <c r="G76" t="inlineStr">
        <is>
          <t>repaired</t>
        </is>
      </c>
      <c r="H76" s="4" t="n">
        <v>145</v>
      </c>
      <c r="I76" t="inlineStr"/>
      <c r="J76" t="inlineStr">
        <is>
          <t>66424 Saarland - Homburg</t>
        </is>
      </c>
      <c r="K76" s="5" t="n">
        <v>45550</v>
      </c>
      <c r="L76" t="inlineStr"/>
      <c r="M76" s="6">
        <f>HYPERLINK("https://www.kleinanzeigen.de/s-anzeige/neilpryde-surfsegel-6-9qm-gunsails-carbon-mast-select-100/2864312960-230-372", "Link")</f>
        <v/>
      </c>
      <c r="N76" s="6">
        <f>HYPERLINK("C:\Projects\Kleinanzeigen-Scraper\offer_images\2864312960", "Link")</f>
        <v/>
      </c>
      <c r="O76" t="inlineStr">
        <is>
          <t>ce</t>
        </is>
      </c>
      <c r="P76" s="6">
        <f>HYPERLINK("https://www.kleinanzeigen.de/s-bestandsliste.html?userId=3154375", "Link")</f>
        <v/>
      </c>
      <c r="Q76" s="7" t="n">
        <v>45550.99733796297</v>
      </c>
      <c r="R76" s="3" t="inlineStr">
        <is>
          <t>84.10</t>
        </is>
      </c>
      <c r="S76" t="inlineStr">
        <is>
          <t>Karlsruhe</t>
        </is>
      </c>
      <c r="T76" t="inlineStr">
        <is>
          <t>Gunsails Select 100</t>
        </is>
      </c>
      <c r="U76" s="3" t="inlineStr"/>
      <c r="V76" s="8" t="inlineStr"/>
      <c r="W76" t="inlineStr"/>
      <c r="X76" s="4" t="n">
        <v>145</v>
      </c>
      <c r="Y76" t="inlineStr"/>
      <c r="Z76" t="inlineStr">
        <is>
          <t>66424 Saarland - Homburg</t>
        </is>
      </c>
      <c r="AA76" s="5" t="n">
        <v>45550</v>
      </c>
      <c r="AB76" t="inlineStr"/>
      <c r="AC76" s="6">
        <f>HYPERLINK("https://www.kleinanzeigen.de/s-anzeige/neilpryde-surfsegel-6-9qm-gunsails-carbon-mast-select-100/2864312960-230-372", "Link")</f>
        <v/>
      </c>
      <c r="AD76" s="6">
        <f>HYPERLINK("C:\Projects\Kleinanzeigen-Scraper\offer_images\2864312960", "Link")</f>
        <v/>
      </c>
      <c r="AE76" t="inlineStr">
        <is>
          <t>ce</t>
        </is>
      </c>
      <c r="AF76" s="6">
        <f>HYPERLINK("https://www.kleinanzeigen.de/s-bestandsliste.html?userId=3154375", "Link")</f>
        <v/>
      </c>
      <c r="AG76" s="7" t="n">
        <v>45550.99733796297</v>
      </c>
      <c r="AH76" s="3" t="inlineStr">
        <is>
          <t>84.10</t>
        </is>
      </c>
      <c r="AI76" t="inlineStr">
        <is>
          <t>Karlsruhe</t>
        </is>
      </c>
      <c r="AJ76" t="inlineStr"/>
      <c r="AK76" t="inlineStr"/>
      <c r="AL76" t="inlineStr"/>
      <c r="AM76" s="4" t="n">
        <v>145</v>
      </c>
      <c r="AN76" t="inlineStr"/>
      <c r="AO76" t="inlineStr">
        <is>
          <t>66424 Saarland - Homburg</t>
        </is>
      </c>
      <c r="AP76" s="5" t="n">
        <v>45550</v>
      </c>
      <c r="AQ76" t="inlineStr"/>
      <c r="AR76" s="6">
        <f>HYPERLINK("https://www.kleinanzeigen.de/s-anzeige/neilpryde-surfsegel-6-9qm-gunsails-carbon-mast-select-100/2864312960-230-372", "Link")</f>
        <v/>
      </c>
      <c r="AS76" s="6">
        <f>HYPERLINK("C:\Projects\Kleinanzeigen-Scraper\offer_images\2864312960", "Link")</f>
        <v/>
      </c>
      <c r="AT76" t="inlineStr">
        <is>
          <t>ce</t>
        </is>
      </c>
      <c r="AU76" s="6">
        <f>HYPERLINK("https://www.kleinanzeigen.de/s-bestandsliste.html?userId=3154375", "Link")</f>
        <v/>
      </c>
      <c r="AV76" s="7" t="n">
        <v>45550.99733796297</v>
      </c>
      <c r="AW76" s="3" t="inlineStr">
        <is>
          <t>84.10</t>
        </is>
      </c>
      <c r="AX76" t="inlineStr">
        <is>
          <t>Karlsruhe</t>
        </is>
      </c>
      <c r="AY76" s="4" t="n">
        <v>145</v>
      </c>
      <c r="AZ76" t="inlineStr"/>
      <c r="BA76" t="inlineStr">
        <is>
          <t>66424 Saarland - Homburg</t>
        </is>
      </c>
      <c r="BB76" s="5" t="n">
        <v>45550</v>
      </c>
      <c r="BC76" t="inlineStr"/>
      <c r="BD76" s="6">
        <f>HYPERLINK("https://www.kleinanzeigen.de/s-anzeige/neilpryde-surfsegel-6-9qm-gunsails-carbon-mast-select-100/2864312960-230-372", "Link")</f>
        <v/>
      </c>
      <c r="BE76" s="6">
        <f>HYPERLINK("C:\Projects\Kleinanzeigen-Scraper\offer_images\2864312960", "Link")</f>
        <v/>
      </c>
      <c r="BF76" t="inlineStr">
        <is>
          <t>ce</t>
        </is>
      </c>
      <c r="BG76" s="6">
        <f>HYPERLINK("https://www.kleinanzeigen.de/s-bestandsliste.html?userId=3154375", "Link")</f>
        <v/>
      </c>
      <c r="BH76" s="7" t="n">
        <v>45550.99733796297</v>
      </c>
      <c r="BI76" s="3" t="inlineStr">
        <is>
          <t>84.10</t>
        </is>
      </c>
      <c r="BJ76" t="inlineStr">
        <is>
          <t>Karlsruhe</t>
        </is>
      </c>
    </row>
    <row r="77">
      <c r="A77" s="2" t="n">
        <v>9.6</v>
      </c>
      <c r="B77" t="inlineStr">
        <is>
          <t>Gun Sails GSR</t>
        </is>
      </c>
      <c r="C77" s="3" t="inlineStr"/>
      <c r="D77" s="3" t="inlineStr"/>
      <c r="E77" t="inlineStr">
        <is>
          <t>Racing</t>
        </is>
      </c>
      <c r="F77" t="inlineStr"/>
      <c r="G77" t="inlineStr">
        <is>
          <t>repaired</t>
        </is>
      </c>
      <c r="H77" s="4" t="n">
        <v>290</v>
      </c>
      <c r="I77" t="inlineStr"/>
      <c r="J77" t="inlineStr">
        <is>
          <t>88045 Baden-Württemberg - Friedrichshafen</t>
        </is>
      </c>
      <c r="K77" s="5" t="n">
        <v>45549</v>
      </c>
      <c r="L77" t="inlineStr"/>
      <c r="M77" s="6">
        <f>HYPERLINK("https://www.kleinanzeigen.de/s-anzeige/windsurf-segel-gun-sails-gsr-9-6-inkl-100-carbon-mast/2863345515-230-9213", "Link")</f>
        <v/>
      </c>
      <c r="N77" s="6">
        <f>HYPERLINK("C:\Projects\Kleinanzeigen-Scraper\offer_images\2863345515", "Link")</f>
        <v/>
      </c>
      <c r="O77" t="inlineStr">
        <is>
          <t>R.M.</t>
        </is>
      </c>
      <c r="P77" s="6">
        <f>HYPERLINK("https://www.kleinanzeigen.de/s-bestandsliste.html?userId=56059820", "Link")</f>
        <v/>
      </c>
      <c r="Q77" s="7" t="n">
        <v>45550.99643518519</v>
      </c>
      <c r="R77" s="3" t="inlineStr">
        <is>
          <t>85.70</t>
        </is>
      </c>
      <c r="S77" t="inlineStr">
        <is>
          <t>Bonndorf</t>
        </is>
      </c>
      <c r="T77" t="inlineStr">
        <is>
          <t>Select</t>
        </is>
      </c>
      <c r="U77" s="3" t="inlineStr"/>
      <c r="V77" s="8" t="inlineStr">
        <is>
          <t>100%</t>
        </is>
      </c>
      <c r="W77" t="inlineStr">
        <is>
          <t>SDM</t>
        </is>
      </c>
      <c r="X77" s="4" t="n">
        <v>290</v>
      </c>
      <c r="Y77" t="inlineStr"/>
      <c r="Z77" t="inlineStr">
        <is>
          <t>88045 Baden-Württemberg - Friedrichshafen</t>
        </is>
      </c>
      <c r="AA77" s="5" t="n">
        <v>45549</v>
      </c>
      <c r="AB77" t="inlineStr"/>
      <c r="AC77" s="6">
        <f>HYPERLINK("https://www.kleinanzeigen.de/s-anzeige/windsurf-segel-gun-sails-gsr-9-6-inkl-100-carbon-mast/2863345515-230-9213", "Link")</f>
        <v/>
      </c>
      <c r="AD77" s="6">
        <f>HYPERLINK("C:\Projects\Kleinanzeigen-Scraper\offer_images\2863345515", "Link")</f>
        <v/>
      </c>
      <c r="AE77" t="inlineStr">
        <is>
          <t>R.M.</t>
        </is>
      </c>
      <c r="AF77" s="6">
        <f>HYPERLINK("https://www.kleinanzeigen.de/s-bestandsliste.html?userId=56059820", "Link")</f>
        <v/>
      </c>
      <c r="AG77" s="7" t="n">
        <v>45550.99643518519</v>
      </c>
      <c r="AH77" s="3" t="inlineStr">
        <is>
          <t>85.70</t>
        </is>
      </c>
      <c r="AI77" t="inlineStr">
        <is>
          <t>Bonndorf</t>
        </is>
      </c>
      <c r="AJ77" t="inlineStr"/>
      <c r="AK77" t="inlineStr"/>
      <c r="AL77" t="inlineStr"/>
      <c r="AM77" s="4" t="n">
        <v>290</v>
      </c>
      <c r="AN77" t="inlineStr"/>
      <c r="AO77" t="inlineStr">
        <is>
          <t>88045 Baden-Württemberg - Friedrichshafen</t>
        </is>
      </c>
      <c r="AP77" s="5" t="n">
        <v>45549</v>
      </c>
      <c r="AQ77" t="inlineStr"/>
      <c r="AR77" s="6">
        <f>HYPERLINK("https://www.kleinanzeigen.de/s-anzeige/windsurf-segel-gun-sails-gsr-9-6-inkl-100-carbon-mast/2863345515-230-9213", "Link")</f>
        <v/>
      </c>
      <c r="AS77" s="6">
        <f>HYPERLINK("C:\Projects\Kleinanzeigen-Scraper\offer_images\2863345515", "Link")</f>
        <v/>
      </c>
      <c r="AT77" t="inlineStr">
        <is>
          <t>R.M.</t>
        </is>
      </c>
      <c r="AU77" s="6">
        <f>HYPERLINK("https://www.kleinanzeigen.de/s-bestandsliste.html?userId=56059820", "Link")</f>
        <v/>
      </c>
      <c r="AV77" s="7" t="n">
        <v>45550.99643518519</v>
      </c>
      <c r="AW77" s="3" t="inlineStr">
        <is>
          <t>85.70</t>
        </is>
      </c>
      <c r="AX77" t="inlineStr">
        <is>
          <t>Bonndorf</t>
        </is>
      </c>
      <c r="AY77" s="4" t="n">
        <v>290</v>
      </c>
      <c r="AZ77" t="inlineStr"/>
      <c r="BA77" t="inlineStr">
        <is>
          <t>88045 Baden-Württemberg - Friedrichshafen</t>
        </is>
      </c>
      <c r="BB77" s="5" t="n">
        <v>45549</v>
      </c>
      <c r="BC77" t="inlineStr"/>
      <c r="BD77" s="6">
        <f>HYPERLINK("https://www.kleinanzeigen.de/s-anzeige/windsurf-segel-gun-sails-gsr-9-6-inkl-100-carbon-mast/2863345515-230-9213", "Link")</f>
        <v/>
      </c>
      <c r="BE77" s="6">
        <f>HYPERLINK("C:\Projects\Kleinanzeigen-Scraper\offer_images\2863345515", "Link")</f>
        <v/>
      </c>
      <c r="BF77" t="inlineStr">
        <is>
          <t>R.M.</t>
        </is>
      </c>
      <c r="BG77" s="6">
        <f>HYPERLINK("https://www.kleinanzeigen.de/s-bestandsliste.html?userId=56059820", "Link")</f>
        <v/>
      </c>
      <c r="BH77" s="7" t="n">
        <v>45550.99643518519</v>
      </c>
      <c r="BI77" s="3" t="inlineStr">
        <is>
          <t>85.70</t>
        </is>
      </c>
      <c r="BJ77" t="inlineStr">
        <is>
          <t>Bonndorf</t>
        </is>
      </c>
    </row>
    <row r="78">
      <c r="A78" s="2" t="n">
        <v>6</v>
      </c>
      <c r="B78" t="inlineStr">
        <is>
          <t>STX HD2</t>
        </is>
      </c>
      <c r="C78" s="3" t="inlineStr"/>
      <c r="D78" s="3" t="inlineStr"/>
      <c r="E78" t="inlineStr"/>
      <c r="F78" t="inlineStr">
        <is>
          <t>2</t>
        </is>
      </c>
      <c r="G78" t="inlineStr">
        <is>
          <t>used</t>
        </is>
      </c>
      <c r="H78" s="4" t="n">
        <v>399</v>
      </c>
      <c r="I78" t="inlineStr">
        <is>
          <t>VB</t>
        </is>
      </c>
      <c r="J78" t="inlineStr">
        <is>
          <t>71067 Baden-Württemberg - Sindelfingen</t>
        </is>
      </c>
      <c r="K78" s="5" t="n">
        <v>45549</v>
      </c>
      <c r="L78" t="inlineStr">
        <is>
          <t>Sold</t>
        </is>
      </c>
      <c r="M78" s="6">
        <f>HYPERLINK("https://www.kleinanzeigen.de/s-anzeige/segel-windsurf-komplett-rigg-stx-hd2-6qm-wenig-genutzt/2862943518-230-8992", "Link")</f>
        <v/>
      </c>
      <c r="N78" s="6">
        <f>HYPERLINK("C:\Projects\Kleinanzeigen-Scraper\offer_images\2862943518", "Link")</f>
        <v/>
      </c>
      <c r="O78" t="inlineStr">
        <is>
          <t>Philipp Imhof</t>
        </is>
      </c>
      <c r="P78" s="6">
        <f>HYPERLINK("https://www.kleinanzeigen.de/s-bestandsliste.html?userId=25290892", "Link")</f>
        <v/>
      </c>
      <c r="Q78" s="7" t="n">
        <v>45550.99395833333</v>
      </c>
      <c r="R78" s="3" t="inlineStr">
        <is>
          <t>5.96</t>
        </is>
      </c>
      <c r="S78" t="inlineStr">
        <is>
          <t>Böblingen</t>
        </is>
      </c>
      <c r="T78" t="inlineStr">
        <is>
          <t>STX</t>
        </is>
      </c>
      <c r="U78" s="3" t="inlineStr"/>
      <c r="V78" s="8" t="inlineStr"/>
      <c r="W78" t="inlineStr"/>
      <c r="X78" s="4" t="n">
        <v>399</v>
      </c>
      <c r="Y78" t="inlineStr">
        <is>
          <t>VB</t>
        </is>
      </c>
      <c r="Z78" t="inlineStr">
        <is>
          <t>71067 Baden-Württemberg - Sindelfingen</t>
        </is>
      </c>
      <c r="AA78" s="5" t="n">
        <v>45549</v>
      </c>
      <c r="AB78" t="inlineStr">
        <is>
          <t>Sold</t>
        </is>
      </c>
      <c r="AC78" s="6">
        <f>HYPERLINK("https://www.kleinanzeigen.de/s-anzeige/segel-windsurf-komplett-rigg-stx-hd2-6qm-wenig-genutzt/2862943518-230-8992", "Link")</f>
        <v/>
      </c>
      <c r="AD78" s="6">
        <f>HYPERLINK("C:\Projects\Kleinanzeigen-Scraper\offer_images\2862943518", "Link")</f>
        <v/>
      </c>
      <c r="AE78" t="inlineStr">
        <is>
          <t>Philipp Imhof</t>
        </is>
      </c>
      <c r="AF78" s="6">
        <f>HYPERLINK("https://www.kleinanzeigen.de/s-bestandsliste.html?userId=25290892", "Link")</f>
        <v/>
      </c>
      <c r="AG78" s="7" t="n">
        <v>45550.99395833333</v>
      </c>
      <c r="AH78" s="3" t="inlineStr">
        <is>
          <t>5.96</t>
        </is>
      </c>
      <c r="AI78" t="inlineStr">
        <is>
          <t>Böblingen</t>
        </is>
      </c>
      <c r="AJ78" t="inlineStr">
        <is>
          <t>STX</t>
        </is>
      </c>
      <c r="AK78" t="inlineStr"/>
      <c r="AL78" t="inlineStr"/>
      <c r="AM78" s="4" t="n">
        <v>399</v>
      </c>
      <c r="AN78" t="inlineStr">
        <is>
          <t>VB</t>
        </is>
      </c>
      <c r="AO78" t="inlineStr">
        <is>
          <t>71067 Baden-Württemberg - Sindelfingen</t>
        </is>
      </c>
      <c r="AP78" s="5" t="n">
        <v>45549</v>
      </c>
      <c r="AQ78" t="inlineStr">
        <is>
          <t>Sold</t>
        </is>
      </c>
      <c r="AR78" s="6">
        <f>HYPERLINK("https://www.kleinanzeigen.de/s-anzeige/segel-windsurf-komplett-rigg-stx-hd2-6qm-wenig-genutzt/2862943518-230-8992", "Link")</f>
        <v/>
      </c>
      <c r="AS78" s="6">
        <f>HYPERLINK("C:\Projects\Kleinanzeigen-Scraper\offer_images\2862943518", "Link")</f>
        <v/>
      </c>
      <c r="AT78" t="inlineStr">
        <is>
          <t>Philipp Imhof</t>
        </is>
      </c>
      <c r="AU78" s="6">
        <f>HYPERLINK("https://www.kleinanzeigen.de/s-bestandsliste.html?userId=25290892", "Link")</f>
        <v/>
      </c>
      <c r="AV78" s="7" t="n">
        <v>45550.99395833333</v>
      </c>
      <c r="AW78" s="3" t="inlineStr">
        <is>
          <t>5.96</t>
        </is>
      </c>
      <c r="AX78" t="inlineStr">
        <is>
          <t>Böblingen</t>
        </is>
      </c>
      <c r="AY78" s="4" t="n">
        <v>399</v>
      </c>
      <c r="AZ78" t="inlineStr">
        <is>
          <t>VB</t>
        </is>
      </c>
      <c r="BA78" t="inlineStr">
        <is>
          <t>71067 Baden-Württemberg - Sindelfingen</t>
        </is>
      </c>
      <c r="BB78" s="5" t="n">
        <v>45549</v>
      </c>
      <c r="BC78" t="inlineStr">
        <is>
          <t>Sold</t>
        </is>
      </c>
      <c r="BD78" s="6">
        <f>HYPERLINK("https://www.kleinanzeigen.de/s-anzeige/segel-windsurf-komplett-rigg-stx-hd2-6qm-wenig-genutzt/2862943518-230-8992", "Link")</f>
        <v/>
      </c>
      <c r="BE78" s="6">
        <f>HYPERLINK("C:\Projects\Kleinanzeigen-Scraper\offer_images\2862943518", "Link")</f>
        <v/>
      </c>
      <c r="BF78" t="inlineStr">
        <is>
          <t>Philipp Imhof</t>
        </is>
      </c>
      <c r="BG78" s="6">
        <f>HYPERLINK("https://www.kleinanzeigen.de/s-bestandsliste.html?userId=25290892", "Link")</f>
        <v/>
      </c>
      <c r="BH78" s="7" t="n">
        <v>45550.99395833333</v>
      </c>
      <c r="BI78" s="3" t="inlineStr">
        <is>
          <t>5.96</t>
        </is>
      </c>
      <c r="BJ78" t="inlineStr">
        <is>
          <t>Böblingen</t>
        </is>
      </c>
    </row>
    <row r="79">
      <c r="A79" s="2" t="n">
        <v>5.5</v>
      </c>
      <c r="B79" t="inlineStr">
        <is>
          <t>Neil Pryde Fusion</t>
        </is>
      </c>
      <c r="C79" s="3" t="n">
        <v>430</v>
      </c>
      <c r="D79" s="3" t="n">
        <v>179</v>
      </c>
      <c r="E79" t="inlineStr">
        <is>
          <t>Freeride</t>
        </is>
      </c>
      <c r="F79" t="inlineStr"/>
      <c r="G79" t="inlineStr">
        <is>
          <t>used</t>
        </is>
      </c>
      <c r="H79" s="4" t="n">
        <v>349</v>
      </c>
      <c r="I79" t="inlineStr"/>
      <c r="J79" t="inlineStr">
        <is>
          <t>45772 Nordrhein-Westfalen - Marl</t>
        </is>
      </c>
      <c r="K79" s="5" t="n">
        <v>45549</v>
      </c>
      <c r="L79" t="inlineStr">
        <is>
          <t>Sold</t>
        </is>
      </c>
      <c r="M79" s="6">
        <f>HYPERLINK("https://www.kleinanzeigen.de/s-anzeige/neil-pryde-fusion-5-5-komplettrigg-windsurfen-segel-fanatic/2862833735-230-1772", "Link")</f>
        <v/>
      </c>
      <c r="N79" s="6">
        <f>HYPERLINK("C:\Projects\Kleinanzeigen-Scraper\offer_images\2862833735", "Link")</f>
        <v/>
      </c>
      <c r="O79" t="inlineStr">
        <is>
          <t>RRD</t>
        </is>
      </c>
      <c r="P79" s="6">
        <f>HYPERLINK("https://www.kleinanzeigen.de/s-bestandsliste.html?userId=13661901", "Link")</f>
        <v/>
      </c>
      <c r="Q79" s="7" t="n">
        <v>45550.99358796296</v>
      </c>
      <c r="R79" s="3" t="inlineStr">
        <is>
          <t>84.29</t>
        </is>
      </c>
      <c r="S79" t="inlineStr">
        <is>
          <t>Köln</t>
        </is>
      </c>
      <c r="T79" t="inlineStr"/>
      <c r="U79" s="3" t="n">
        <v>400</v>
      </c>
      <c r="V79" s="8" t="inlineStr">
        <is>
          <t>100%</t>
        </is>
      </c>
      <c r="W79" t="inlineStr">
        <is>
          <t>RDM</t>
        </is>
      </c>
      <c r="X79" s="4" t="n">
        <v>349</v>
      </c>
      <c r="Y79" t="inlineStr"/>
      <c r="Z79" t="inlineStr">
        <is>
          <t>45772 Nordrhein-Westfalen - Marl</t>
        </is>
      </c>
      <c r="AA79" s="5" t="n">
        <v>45549</v>
      </c>
      <c r="AB79" t="inlineStr">
        <is>
          <t>Sold</t>
        </is>
      </c>
      <c r="AC79" s="6">
        <f>HYPERLINK("https://www.kleinanzeigen.de/s-anzeige/neil-pryde-fusion-5-5-komplettrigg-windsurfen-segel-fanatic/2862833735-230-1772", "Link")</f>
        <v/>
      </c>
      <c r="AD79" s="6">
        <f>HYPERLINK("C:\Projects\Kleinanzeigen-Scraper\offer_images\2862833735", "Link")</f>
        <v/>
      </c>
      <c r="AE79" t="inlineStr">
        <is>
          <t>RRD</t>
        </is>
      </c>
      <c r="AF79" s="6">
        <f>HYPERLINK("https://www.kleinanzeigen.de/s-bestandsliste.html?userId=13661901", "Link")</f>
        <v/>
      </c>
      <c r="AG79" s="7" t="n">
        <v>45550.99358796296</v>
      </c>
      <c r="AH79" s="3" t="inlineStr">
        <is>
          <t>84.29</t>
        </is>
      </c>
      <c r="AI79" t="inlineStr">
        <is>
          <t>Köln</t>
        </is>
      </c>
      <c r="AJ79" t="inlineStr"/>
      <c r="AK79" t="inlineStr"/>
      <c r="AL79" t="inlineStr"/>
      <c r="AM79" s="4" t="n">
        <v>349</v>
      </c>
      <c r="AN79" t="inlineStr"/>
      <c r="AO79" t="inlineStr">
        <is>
          <t>45772 Nordrhein-Westfalen - Marl</t>
        </is>
      </c>
      <c r="AP79" s="5" t="n">
        <v>45549</v>
      </c>
      <c r="AQ79" t="inlineStr">
        <is>
          <t>Sold</t>
        </is>
      </c>
      <c r="AR79" s="6">
        <f>HYPERLINK("https://www.kleinanzeigen.de/s-anzeige/neil-pryde-fusion-5-5-komplettrigg-windsurfen-segel-fanatic/2862833735-230-1772", "Link")</f>
        <v/>
      </c>
      <c r="AS79" s="6">
        <f>HYPERLINK("C:\Projects\Kleinanzeigen-Scraper\offer_images\2862833735", "Link")</f>
        <v/>
      </c>
      <c r="AT79" t="inlineStr">
        <is>
          <t>RRD</t>
        </is>
      </c>
      <c r="AU79" s="6">
        <f>HYPERLINK("https://www.kleinanzeigen.de/s-bestandsliste.html?userId=13661901", "Link")</f>
        <v/>
      </c>
      <c r="AV79" s="7" t="n">
        <v>45550.99358796296</v>
      </c>
      <c r="AW79" s="3" t="inlineStr">
        <is>
          <t>84.29</t>
        </is>
      </c>
      <c r="AX79" t="inlineStr">
        <is>
          <t>Köln</t>
        </is>
      </c>
      <c r="AY79" s="4" t="n">
        <v>349</v>
      </c>
      <c r="AZ79" t="inlineStr"/>
      <c r="BA79" t="inlineStr">
        <is>
          <t>45772 Nordrhein-Westfalen - Marl</t>
        </is>
      </c>
      <c r="BB79" s="5" t="n">
        <v>45549</v>
      </c>
      <c r="BC79" t="inlineStr">
        <is>
          <t>Sold</t>
        </is>
      </c>
      <c r="BD79" s="6">
        <f>HYPERLINK("https://www.kleinanzeigen.de/s-anzeige/neil-pryde-fusion-5-5-komplettrigg-windsurfen-segel-fanatic/2862833735-230-1772", "Link")</f>
        <v/>
      </c>
      <c r="BE79" s="6">
        <f>HYPERLINK("C:\Projects\Kleinanzeigen-Scraper\offer_images\2862833735", "Link")</f>
        <v/>
      </c>
      <c r="BF79" t="inlineStr">
        <is>
          <t>RRD</t>
        </is>
      </c>
      <c r="BG79" s="6">
        <f>HYPERLINK("https://www.kleinanzeigen.de/s-bestandsliste.html?userId=13661901", "Link")</f>
        <v/>
      </c>
      <c r="BH79" s="7" t="n">
        <v>45550.99358796296</v>
      </c>
      <c r="BI79" s="3" t="inlineStr">
        <is>
          <t>84.29</t>
        </is>
      </c>
      <c r="BJ79" t="inlineStr">
        <is>
          <t>Köln</t>
        </is>
      </c>
    </row>
    <row r="80">
      <c r="A80" s="2" t="n">
        <v>5</v>
      </c>
      <c r="B80" t="inlineStr">
        <is>
          <t>North Instinkt</t>
        </is>
      </c>
      <c r="C80" s="3" t="inlineStr"/>
      <c r="D80" s="3" t="inlineStr"/>
      <c r="E80" t="inlineStr">
        <is>
          <t>Wave</t>
        </is>
      </c>
      <c r="F80" t="inlineStr"/>
      <c r="G80" t="inlineStr">
        <is>
          <t>new</t>
        </is>
      </c>
      <c r="H80" s="4" t="n">
        <v>95</v>
      </c>
      <c r="I80" t="inlineStr">
        <is>
          <t>VB</t>
        </is>
      </c>
      <c r="J80" t="inlineStr">
        <is>
          <t>79117 Baden-Württemberg - Freiburg im Breisgau</t>
        </is>
      </c>
      <c r="K80" s="5" t="n">
        <v>45543</v>
      </c>
      <c r="L80" t="inlineStr">
        <is>
          <t>Sold</t>
        </is>
      </c>
      <c r="M80" s="6">
        <f>HYPERLINK("https://www.kleinanzeigen.de/s-anzeige/surfsegel-north-5-0-instinkt/2857380470-230-9365", "Link")</f>
        <v/>
      </c>
      <c r="N80" s="6">
        <f>HYPERLINK("C:\Projects\Kleinanzeigen-Scraper\offer_images\2857380470", "Link")</f>
        <v/>
      </c>
      <c r="O80" t="inlineStr">
        <is>
          <t>Kurt Leistikow</t>
        </is>
      </c>
      <c r="P80" s="6">
        <f>HYPERLINK("https://www.kleinanzeigen.de/s-bestandsliste.html?userId=28069952", "Link")</f>
        <v/>
      </c>
      <c r="Q80" s="7" t="n">
        <v>45549.58116898148</v>
      </c>
      <c r="R80" s="3" t="inlineStr">
        <is>
          <t>36.56</t>
        </is>
      </c>
      <c r="S80" t="inlineStr">
        <is>
          <t>Bonndorf</t>
        </is>
      </c>
      <c r="T80" t="inlineStr">
        <is>
          <t>Neilpryde</t>
        </is>
      </c>
      <c r="U80" s="3" t="n">
        <v>400</v>
      </c>
      <c r="V80" s="8" t="inlineStr"/>
      <c r="W80" t="inlineStr"/>
      <c r="X80" s="4" t="n">
        <v>95</v>
      </c>
      <c r="Y80" t="inlineStr">
        <is>
          <t>VB</t>
        </is>
      </c>
      <c r="Z80" t="inlineStr">
        <is>
          <t>79117 Baden-Württemberg - Freiburg im Breisgau</t>
        </is>
      </c>
      <c r="AA80" s="5" t="n">
        <v>45543</v>
      </c>
      <c r="AB80" t="inlineStr">
        <is>
          <t>Sold</t>
        </is>
      </c>
      <c r="AC80" s="6">
        <f>HYPERLINK("https://www.kleinanzeigen.de/s-anzeige/surfsegel-north-5-0-instinkt/2857380470-230-9365", "Link")</f>
        <v/>
      </c>
      <c r="AD80" s="6">
        <f>HYPERLINK("C:\Projects\Kleinanzeigen-Scraper\offer_images\2857380470", "Link")</f>
        <v/>
      </c>
      <c r="AE80" t="inlineStr">
        <is>
          <t>Kurt Leistikow</t>
        </is>
      </c>
      <c r="AF80" s="6">
        <f>HYPERLINK("https://www.kleinanzeigen.de/s-bestandsliste.html?userId=28069952", "Link")</f>
        <v/>
      </c>
      <c r="AG80" s="7" t="n">
        <v>45549.58116898148</v>
      </c>
      <c r="AH80" s="3" t="inlineStr">
        <is>
          <t>36.56</t>
        </is>
      </c>
      <c r="AI80" t="inlineStr">
        <is>
          <t>Bonndorf</t>
        </is>
      </c>
      <c r="AJ80" t="inlineStr">
        <is>
          <t>North Heavy Duty</t>
        </is>
      </c>
      <c r="AK80" t="inlineStr"/>
      <c r="AL80" t="inlineStr"/>
      <c r="AM80" s="4" t="n">
        <v>95</v>
      </c>
      <c r="AN80" t="inlineStr">
        <is>
          <t>VB</t>
        </is>
      </c>
      <c r="AO80" t="inlineStr">
        <is>
          <t>79117 Baden-Württemberg - Freiburg im Breisgau</t>
        </is>
      </c>
      <c r="AP80" s="5" t="n">
        <v>45543</v>
      </c>
      <c r="AQ80" t="inlineStr">
        <is>
          <t>Sold</t>
        </is>
      </c>
      <c r="AR80" s="6">
        <f>HYPERLINK("https://www.kleinanzeigen.de/s-anzeige/surfsegel-north-5-0-instinkt/2857380470-230-9365", "Link")</f>
        <v/>
      </c>
      <c r="AS80" s="6">
        <f>HYPERLINK("C:\Projects\Kleinanzeigen-Scraper\offer_images\2857380470", "Link")</f>
        <v/>
      </c>
      <c r="AT80" t="inlineStr">
        <is>
          <t>Kurt Leistikow</t>
        </is>
      </c>
      <c r="AU80" s="6">
        <f>HYPERLINK("https://www.kleinanzeigen.de/s-bestandsliste.html?userId=28069952", "Link")</f>
        <v/>
      </c>
      <c r="AV80" s="7" t="n">
        <v>45549.58116898148</v>
      </c>
      <c r="AW80" s="3" t="inlineStr">
        <is>
          <t>36.56</t>
        </is>
      </c>
      <c r="AX80" t="inlineStr">
        <is>
          <t>Bonndorf</t>
        </is>
      </c>
      <c r="AY80" s="4" t="n">
        <v>95</v>
      </c>
      <c r="AZ80" t="inlineStr">
        <is>
          <t>VB</t>
        </is>
      </c>
      <c r="BA80" t="inlineStr">
        <is>
          <t>79117 Baden-Württemberg - Freiburg im Breisgau</t>
        </is>
      </c>
      <c r="BB80" s="5" t="n">
        <v>45543</v>
      </c>
      <c r="BC80" t="inlineStr">
        <is>
          <t>Sold</t>
        </is>
      </c>
      <c r="BD80" s="6">
        <f>HYPERLINK("https://www.kleinanzeigen.de/s-anzeige/surfsegel-north-5-0-instinkt/2857380470-230-9365", "Link")</f>
        <v/>
      </c>
      <c r="BE80" s="6">
        <f>HYPERLINK("C:\Projects\Kleinanzeigen-Scraper\offer_images\2857380470", "Link")</f>
        <v/>
      </c>
      <c r="BF80" t="inlineStr">
        <is>
          <t>Kurt Leistikow</t>
        </is>
      </c>
      <c r="BG80" s="6">
        <f>HYPERLINK("https://www.kleinanzeigen.de/s-bestandsliste.html?userId=28069952", "Link")</f>
        <v/>
      </c>
      <c r="BH80" s="7" t="n">
        <v>45549.58116898148</v>
      </c>
      <c r="BI80" s="3" t="inlineStr">
        <is>
          <t>36.56</t>
        </is>
      </c>
      <c r="BJ80" t="inlineStr">
        <is>
          <t>Bonndorf</t>
        </is>
      </c>
    </row>
    <row r="81">
      <c r="A81" s="2" t="n">
        <v>6</v>
      </c>
      <c r="B81" t="inlineStr">
        <is>
          <t>Gun Sails Freeride</t>
        </is>
      </c>
      <c r="C81" s="3" t="n">
        <v>444</v>
      </c>
      <c r="D81" s="3" t="n">
        <v>190</v>
      </c>
      <c r="E81" t="inlineStr">
        <is>
          <t>Freeride</t>
        </is>
      </c>
      <c r="F81" t="inlineStr"/>
      <c r="G81" t="inlineStr">
        <is>
          <t>used</t>
        </is>
      </c>
      <c r="H81" s="4" t="n">
        <v>50</v>
      </c>
      <c r="I81" t="inlineStr"/>
      <c r="J81" t="inlineStr">
        <is>
          <t>14169 Berlin - Zehlendorf</t>
        </is>
      </c>
      <c r="K81" s="5" t="n">
        <v>45422</v>
      </c>
      <c r="L81" t="inlineStr"/>
      <c r="M81" s="6">
        <f>HYPERLINK("https://www.kleinanzeigen.de/s-anzeige/gun-sails-freeride-6-0-neilpryde-x3-460/2757654774-230-3529", "Link")</f>
        <v/>
      </c>
      <c r="N81" s="6">
        <f>HYPERLINK("C:\Projects\Kleinanzeigen-Scraper\offer_images\2757654774", "Link")</f>
        <v/>
      </c>
      <c r="O81" t="inlineStr">
        <is>
          <t>Laß</t>
        </is>
      </c>
      <c r="P81" s="6">
        <f>HYPERLINK("https://www.kleinanzeigen.de/s-bestandsliste.html?userId=37611846", "Link")</f>
        <v/>
      </c>
      <c r="Q81" s="7" t="n">
        <v>45549.58113425926</v>
      </c>
      <c r="R81" s="3" t="inlineStr">
        <is>
          <t>465.88</t>
        </is>
      </c>
      <c r="S81" t="inlineStr">
        <is>
          <t>Köln</t>
        </is>
      </c>
      <c r="T81" t="inlineStr">
        <is>
          <t>Neilpryde X3</t>
        </is>
      </c>
      <c r="U81" s="3" t="n">
        <v>460</v>
      </c>
      <c r="V81" s="8" t="inlineStr">
        <is>
          <t>30%</t>
        </is>
      </c>
      <c r="W81" t="inlineStr"/>
      <c r="X81" s="4" t="n">
        <v>50</v>
      </c>
      <c r="Y81" t="inlineStr"/>
      <c r="Z81" t="inlineStr">
        <is>
          <t>14169 Berlin - Zehlendorf</t>
        </is>
      </c>
      <c r="AA81" s="5" t="n">
        <v>45422</v>
      </c>
      <c r="AB81" t="inlineStr"/>
      <c r="AC81" s="6">
        <f>HYPERLINK("https://www.kleinanzeigen.de/s-anzeige/gun-sails-freeride-6-0-neilpryde-x3-460/2757654774-230-3529", "Link")</f>
        <v/>
      </c>
      <c r="AD81" s="6">
        <f>HYPERLINK("C:\Projects\Kleinanzeigen-Scraper\offer_images\2757654774", "Link")</f>
        <v/>
      </c>
      <c r="AE81" t="inlineStr">
        <is>
          <t>Laß</t>
        </is>
      </c>
      <c r="AF81" s="6">
        <f>HYPERLINK("https://www.kleinanzeigen.de/s-bestandsliste.html?userId=37611846", "Link")</f>
        <v/>
      </c>
      <c r="AG81" s="7" t="n">
        <v>45549.58113425926</v>
      </c>
      <c r="AH81" s="3" t="inlineStr">
        <is>
          <t>465.88</t>
        </is>
      </c>
      <c r="AI81" t="inlineStr">
        <is>
          <t>Köln</t>
        </is>
      </c>
      <c r="AJ81" t="inlineStr"/>
      <c r="AK81" t="inlineStr"/>
      <c r="AL81" t="inlineStr"/>
      <c r="AM81" s="4" t="n">
        <v>50</v>
      </c>
      <c r="AN81" t="inlineStr"/>
      <c r="AO81" t="inlineStr">
        <is>
          <t>14169 Berlin - Zehlendorf</t>
        </is>
      </c>
      <c r="AP81" s="5" t="n">
        <v>45422</v>
      </c>
      <c r="AQ81" t="inlineStr"/>
      <c r="AR81" s="6">
        <f>HYPERLINK("https://www.kleinanzeigen.de/s-anzeige/gun-sails-freeride-6-0-neilpryde-x3-460/2757654774-230-3529", "Link")</f>
        <v/>
      </c>
      <c r="AS81" s="6">
        <f>HYPERLINK("C:\Projects\Kleinanzeigen-Scraper\offer_images\2757654774", "Link")</f>
        <v/>
      </c>
      <c r="AT81" t="inlineStr">
        <is>
          <t>Laß</t>
        </is>
      </c>
      <c r="AU81" s="6">
        <f>HYPERLINK("https://www.kleinanzeigen.de/s-bestandsliste.html?userId=37611846", "Link")</f>
        <v/>
      </c>
      <c r="AV81" s="7" t="n">
        <v>45549.58113425926</v>
      </c>
      <c r="AW81" s="3" t="inlineStr">
        <is>
          <t>465.88</t>
        </is>
      </c>
      <c r="AX81" t="inlineStr">
        <is>
          <t>Köln</t>
        </is>
      </c>
      <c r="AY81" s="4" t="n">
        <v>50</v>
      </c>
      <c r="AZ81" t="inlineStr"/>
      <c r="BA81" t="inlineStr">
        <is>
          <t>14169 Berlin - Zehlendorf</t>
        </is>
      </c>
      <c r="BB81" s="5" t="n">
        <v>45422</v>
      </c>
      <c r="BC81" t="inlineStr"/>
      <c r="BD81" s="6">
        <f>HYPERLINK("https://www.kleinanzeigen.de/s-anzeige/gun-sails-freeride-6-0-neilpryde-x3-460/2757654774-230-3529", "Link")</f>
        <v/>
      </c>
      <c r="BE81" s="6">
        <f>HYPERLINK("C:\Projects\Kleinanzeigen-Scraper\offer_images\2757654774", "Link")</f>
        <v/>
      </c>
      <c r="BF81" t="inlineStr">
        <is>
          <t>Laß</t>
        </is>
      </c>
      <c r="BG81" s="6">
        <f>HYPERLINK("https://www.kleinanzeigen.de/s-bestandsliste.html?userId=37611846", "Link")</f>
        <v/>
      </c>
      <c r="BH81" s="7" t="n">
        <v>45549.58113425926</v>
      </c>
      <c r="BI81" s="3" t="inlineStr">
        <is>
          <t>465.88</t>
        </is>
      </c>
      <c r="BJ81" t="inlineStr">
        <is>
          <t>Köln</t>
        </is>
      </c>
    </row>
    <row r="82">
      <c r="A82" s="2" t="n">
        <v>8</v>
      </c>
      <c r="B82" t="inlineStr">
        <is>
          <t>Gun Sails Booster</t>
        </is>
      </c>
      <c r="C82" s="3" t="inlineStr"/>
      <c r="D82" s="3" t="inlineStr"/>
      <c r="E82" t="inlineStr"/>
      <c r="F82" t="inlineStr"/>
      <c r="G82" t="inlineStr">
        <is>
          <t>used</t>
        </is>
      </c>
      <c r="H82" s="4" t="n">
        <v>350</v>
      </c>
      <c r="I82" t="inlineStr">
        <is>
          <t>VB</t>
        </is>
      </c>
      <c r="J82" t="inlineStr">
        <is>
          <t>63150 Hessen - Heusenstamm</t>
        </is>
      </c>
      <c r="K82" s="5" t="n">
        <v>45503</v>
      </c>
      <c r="L82" t="inlineStr">
        <is>
          <t>Sold</t>
        </is>
      </c>
      <c r="M82" s="6">
        <f>HYPERLINK("https://www.kleinanzeigen.de/s-anzeige/gun-sails-segel-8-0-qm-rigg-komplett-windsurfen/2824976255-230-4521", "Link")</f>
        <v/>
      </c>
      <c r="N82" s="6">
        <f>HYPERLINK("C:\Projects\Kleinanzeigen-Scraper\offer_images\2824976255", "Link")</f>
        <v/>
      </c>
      <c r="O82" t="inlineStr">
        <is>
          <t>J.Reuter</t>
        </is>
      </c>
      <c r="P82" s="6">
        <f>HYPERLINK("https://www.kleinanzeigen.de/s-bestandsliste.html?userId=23731739", "Link")</f>
        <v/>
      </c>
      <c r="Q82" s="7" t="n">
        <v>45549.58079861111</v>
      </c>
      <c r="R82" s="3" t="inlineStr">
        <is>
          <t>119.86</t>
        </is>
      </c>
      <c r="S82" t="inlineStr">
        <is>
          <t>Karlsruhe</t>
        </is>
      </c>
      <c r="T82" t="inlineStr">
        <is>
          <t>Best Mast Terminator C70</t>
        </is>
      </c>
      <c r="U82" s="3" t="inlineStr"/>
      <c r="V82" s="8" t="inlineStr"/>
      <c r="W82" t="inlineStr"/>
      <c r="X82" s="4" t="n">
        <v>350</v>
      </c>
      <c r="Y82" t="inlineStr">
        <is>
          <t>VB</t>
        </is>
      </c>
      <c r="Z82" t="inlineStr">
        <is>
          <t>63150 Hessen - Heusenstamm</t>
        </is>
      </c>
      <c r="AA82" s="5" t="n">
        <v>45503</v>
      </c>
      <c r="AB82" t="inlineStr">
        <is>
          <t>Sold</t>
        </is>
      </c>
      <c r="AC82" s="6">
        <f>HYPERLINK("https://www.kleinanzeigen.de/s-anzeige/gun-sails-segel-8-0-qm-rigg-komplett-windsurfen/2824976255-230-4521", "Link")</f>
        <v/>
      </c>
      <c r="AD82" s="6">
        <f>HYPERLINK("C:\Projects\Kleinanzeigen-Scraper\offer_images\2824976255", "Link")</f>
        <v/>
      </c>
      <c r="AE82" t="inlineStr">
        <is>
          <t>J.Reuter</t>
        </is>
      </c>
      <c r="AF82" s="6">
        <f>HYPERLINK("https://www.kleinanzeigen.de/s-bestandsliste.html?userId=23731739", "Link")</f>
        <v/>
      </c>
      <c r="AG82" s="7" t="n">
        <v>45549.58079861111</v>
      </c>
      <c r="AH82" s="3" t="inlineStr">
        <is>
          <t>119.86</t>
        </is>
      </c>
      <c r="AI82" t="inlineStr">
        <is>
          <t>Karlsruhe</t>
        </is>
      </c>
      <c r="AJ82" t="inlineStr"/>
      <c r="AK82" t="inlineStr"/>
      <c r="AL82" t="inlineStr"/>
      <c r="AM82" s="4" t="n">
        <v>350</v>
      </c>
      <c r="AN82" t="inlineStr">
        <is>
          <t>VB</t>
        </is>
      </c>
      <c r="AO82" t="inlineStr">
        <is>
          <t>63150 Hessen - Heusenstamm</t>
        </is>
      </c>
      <c r="AP82" s="5" t="n">
        <v>45503</v>
      </c>
      <c r="AQ82" t="inlineStr">
        <is>
          <t>Sold</t>
        </is>
      </c>
      <c r="AR82" s="6">
        <f>HYPERLINK("https://www.kleinanzeigen.de/s-anzeige/gun-sails-segel-8-0-qm-rigg-komplett-windsurfen/2824976255-230-4521", "Link")</f>
        <v/>
      </c>
      <c r="AS82" s="6">
        <f>HYPERLINK("C:\Projects\Kleinanzeigen-Scraper\offer_images\2824976255", "Link")</f>
        <v/>
      </c>
      <c r="AT82" t="inlineStr">
        <is>
          <t>J.Reuter</t>
        </is>
      </c>
      <c r="AU82" s="6">
        <f>HYPERLINK("https://www.kleinanzeigen.de/s-bestandsliste.html?userId=23731739", "Link")</f>
        <v/>
      </c>
      <c r="AV82" s="7" t="n">
        <v>45549.58079861111</v>
      </c>
      <c r="AW82" s="3" t="inlineStr">
        <is>
          <t>119.86</t>
        </is>
      </c>
      <c r="AX82" t="inlineStr">
        <is>
          <t>Karlsruhe</t>
        </is>
      </c>
      <c r="AY82" s="4" t="n">
        <v>350</v>
      </c>
      <c r="AZ82" t="inlineStr">
        <is>
          <t>VB</t>
        </is>
      </c>
      <c r="BA82" t="inlineStr">
        <is>
          <t>63150 Hessen - Heusenstamm</t>
        </is>
      </c>
      <c r="BB82" s="5" t="n">
        <v>45503</v>
      </c>
      <c r="BC82" t="inlineStr">
        <is>
          <t>Sold</t>
        </is>
      </c>
      <c r="BD82" s="6">
        <f>HYPERLINK("https://www.kleinanzeigen.de/s-anzeige/gun-sails-segel-8-0-qm-rigg-komplett-windsurfen/2824976255-230-4521", "Link")</f>
        <v/>
      </c>
      <c r="BE82" s="6">
        <f>HYPERLINK("C:\Projects\Kleinanzeigen-Scraper\offer_images\2824976255", "Link")</f>
        <v/>
      </c>
      <c r="BF82" t="inlineStr">
        <is>
          <t>J.Reuter</t>
        </is>
      </c>
      <c r="BG82" s="6">
        <f>HYPERLINK("https://www.kleinanzeigen.de/s-bestandsliste.html?userId=23731739", "Link")</f>
        <v/>
      </c>
      <c r="BH82" s="7" t="n">
        <v>45549.58079861111</v>
      </c>
      <c r="BI82" s="3" t="inlineStr">
        <is>
          <t>119.86</t>
        </is>
      </c>
      <c r="BJ82" t="inlineStr">
        <is>
          <t>Karlsruhe</t>
        </is>
      </c>
    </row>
    <row r="83">
      <c r="A83" s="2" t="n">
        <v>6.7</v>
      </c>
      <c r="B83" t="inlineStr">
        <is>
          <t>Gun Sails</t>
        </is>
      </c>
      <c r="C83" s="3" t="inlineStr"/>
      <c r="D83" s="3" t="inlineStr"/>
      <c r="E83" t="inlineStr"/>
      <c r="F83" t="inlineStr"/>
      <c r="G83" t="inlineStr">
        <is>
          <t>used</t>
        </is>
      </c>
      <c r="H83" s="4" t="n">
        <v>210</v>
      </c>
      <c r="I83" t="inlineStr"/>
      <c r="J83" t="inlineStr">
        <is>
          <t>31180 Niedersachsen - Giesen</t>
        </is>
      </c>
      <c r="K83" s="5" t="n">
        <v>45204</v>
      </c>
      <c r="L83" t="inlineStr"/>
      <c r="M83" s="6">
        <f>HYPERLINK("https://www.kleinanzeigen.de/s-anzeige/gun-sails-6-7-komplett-mit-mast-carbonanteil-und-gabelbaum/2564203874-230-2906", "Link")</f>
        <v/>
      </c>
      <c r="N83" s="6">
        <f>HYPERLINK("C:\Projects\Kleinanzeigen-Scraper\offer_images\2564203874", "Link")</f>
        <v/>
      </c>
      <c r="O83" t="inlineStr">
        <is>
          <t>Basti</t>
        </is>
      </c>
      <c r="P83" s="6">
        <f>HYPERLINK("https://www.kleinanzeigen.de/s-bestandsliste.html?userId=125698879", "Link")</f>
        <v/>
      </c>
      <c r="Q83" s="7" t="n">
        <v>45549.58069444444</v>
      </c>
      <c r="R83" s="3" t="inlineStr">
        <is>
          <t>247.06</t>
        </is>
      </c>
      <c r="S83" t="inlineStr">
        <is>
          <t>Köln</t>
        </is>
      </c>
      <c r="T83" t="inlineStr"/>
      <c r="U83" s="3" t="inlineStr"/>
      <c r="V83" s="8" t="inlineStr">
        <is>
          <t>Carbonanteil</t>
        </is>
      </c>
      <c r="W83" t="inlineStr"/>
      <c r="X83" s="4" t="n">
        <v>210</v>
      </c>
      <c r="Y83" t="inlineStr"/>
      <c r="Z83" t="inlineStr">
        <is>
          <t>31180 Niedersachsen - Giesen</t>
        </is>
      </c>
      <c r="AA83" s="5" t="n">
        <v>45204</v>
      </c>
      <c r="AB83" t="inlineStr"/>
      <c r="AC83" s="6">
        <f>HYPERLINK("https://www.kleinanzeigen.de/s-anzeige/gun-sails-6-7-komplett-mit-mast-carbonanteil-und-gabelbaum/2564203874-230-2906", "Link")</f>
        <v/>
      </c>
      <c r="AD83" s="6">
        <f>HYPERLINK("C:\Projects\Kleinanzeigen-Scraper\offer_images\2564203874", "Link")</f>
        <v/>
      </c>
      <c r="AE83" t="inlineStr">
        <is>
          <t>Basti</t>
        </is>
      </c>
      <c r="AF83" s="6">
        <f>HYPERLINK("https://www.kleinanzeigen.de/s-bestandsliste.html?userId=125698879", "Link")</f>
        <v/>
      </c>
      <c r="AG83" s="7" t="n">
        <v>45549.58069444444</v>
      </c>
      <c r="AH83" s="3" t="inlineStr">
        <is>
          <t>247.06</t>
        </is>
      </c>
      <c r="AI83" t="inlineStr">
        <is>
          <t>Köln</t>
        </is>
      </c>
      <c r="AJ83" t="inlineStr"/>
      <c r="AK83" t="inlineStr"/>
      <c r="AL83" t="inlineStr"/>
      <c r="AM83" s="4" t="n">
        <v>210</v>
      </c>
      <c r="AN83" t="inlineStr"/>
      <c r="AO83" t="inlineStr">
        <is>
          <t>31180 Niedersachsen - Giesen</t>
        </is>
      </c>
      <c r="AP83" s="5" t="n">
        <v>45204</v>
      </c>
      <c r="AQ83" t="inlineStr"/>
      <c r="AR83" s="6">
        <f>HYPERLINK("https://www.kleinanzeigen.de/s-anzeige/gun-sails-6-7-komplett-mit-mast-carbonanteil-und-gabelbaum/2564203874-230-2906", "Link")</f>
        <v/>
      </c>
      <c r="AS83" s="6">
        <f>HYPERLINK("C:\Projects\Kleinanzeigen-Scraper\offer_images\2564203874", "Link")</f>
        <v/>
      </c>
      <c r="AT83" t="inlineStr">
        <is>
          <t>Basti</t>
        </is>
      </c>
      <c r="AU83" s="6">
        <f>HYPERLINK("https://www.kleinanzeigen.de/s-bestandsliste.html?userId=125698879", "Link")</f>
        <v/>
      </c>
      <c r="AV83" s="7" t="n">
        <v>45549.58069444444</v>
      </c>
      <c r="AW83" s="3" t="inlineStr">
        <is>
          <t>247.06</t>
        </is>
      </c>
      <c r="AX83" t="inlineStr">
        <is>
          <t>Köln</t>
        </is>
      </c>
      <c r="AY83" s="4" t="n">
        <v>210</v>
      </c>
      <c r="AZ83" t="inlineStr"/>
      <c r="BA83" t="inlineStr">
        <is>
          <t>31180 Niedersachsen - Giesen</t>
        </is>
      </c>
      <c r="BB83" s="5" t="n">
        <v>45204</v>
      </c>
      <c r="BC83" t="inlineStr"/>
      <c r="BD83" s="6">
        <f>HYPERLINK("https://www.kleinanzeigen.de/s-anzeige/gun-sails-6-7-komplett-mit-mast-carbonanteil-und-gabelbaum/2564203874-230-2906", "Link")</f>
        <v/>
      </c>
      <c r="BE83" s="6">
        <f>HYPERLINK("C:\Projects\Kleinanzeigen-Scraper\offer_images\2564203874", "Link")</f>
        <v/>
      </c>
      <c r="BF83" t="inlineStr">
        <is>
          <t>Basti</t>
        </is>
      </c>
      <c r="BG83" s="6">
        <f>HYPERLINK("https://www.kleinanzeigen.de/s-bestandsliste.html?userId=125698879", "Link")</f>
        <v/>
      </c>
      <c r="BH83" s="7" t="n">
        <v>45549.58069444444</v>
      </c>
      <c r="BI83" s="3" t="inlineStr">
        <is>
          <t>247.06</t>
        </is>
      </c>
      <c r="BJ83" t="inlineStr">
        <is>
          <t>Köln</t>
        </is>
      </c>
    </row>
    <row r="84">
      <c r="A84" s="2" t="n">
        <v>7.7</v>
      </c>
      <c r="B84" t="inlineStr">
        <is>
          <t>Neilpryde Ryde HD</t>
        </is>
      </c>
      <c r="C84" s="3" t="inlineStr"/>
      <c r="D84" s="3" t="inlineStr">
        <is>
          <t>160-220</t>
        </is>
      </c>
      <c r="E84" t="inlineStr"/>
      <c r="F84" t="inlineStr"/>
      <c r="G84" t="inlineStr">
        <is>
          <t>used</t>
        </is>
      </c>
      <c r="H84" s="4" t="n">
        <v>750</v>
      </c>
      <c r="I84" t="inlineStr">
        <is>
          <t>VB</t>
        </is>
      </c>
      <c r="J84" t="inlineStr">
        <is>
          <t>83626 Bayern - Valley</t>
        </is>
      </c>
      <c r="K84" s="5" t="n">
        <v>45536</v>
      </c>
      <c r="L84" t="inlineStr"/>
      <c r="M84" s="6">
        <f>HYPERLINK("https://www.kleinanzeigen.de/s-anzeige/neilpryde-hd-7-7-komplett-rigg/2851217522-230-6193", "Link")</f>
        <v/>
      </c>
      <c r="N84" s="6">
        <f>HYPERLINK("C:\Projects\Kleinanzeigen-Scraper\offer_images\2851217522", "Link")</f>
        <v/>
      </c>
      <c r="O84" t="inlineStr">
        <is>
          <t>Andreas</t>
        </is>
      </c>
      <c r="P84" s="6">
        <f>HYPERLINK("https://www.kleinanzeigen.de/s-bestandsliste.html?userId=25096131", "Link")</f>
        <v/>
      </c>
      <c r="Q84" s="7" t="n">
        <v>45549.58039351852</v>
      </c>
      <c r="R84" s="3" t="inlineStr">
        <is>
          <t>31.06</t>
        </is>
      </c>
      <c r="S84" t="inlineStr">
        <is>
          <t>München</t>
        </is>
      </c>
      <c r="T84" t="inlineStr">
        <is>
          <t>Neilpryde Spx 65</t>
        </is>
      </c>
      <c r="U84" s="3" t="inlineStr"/>
      <c r="V84" s="8" t="inlineStr"/>
      <c r="W84" t="inlineStr"/>
      <c r="X84" s="4" t="n">
        <v>750</v>
      </c>
      <c r="Y84" t="inlineStr">
        <is>
          <t>VB</t>
        </is>
      </c>
      <c r="Z84" t="inlineStr">
        <is>
          <t>83626 Bayern - Valley</t>
        </is>
      </c>
      <c r="AA84" s="5" t="n">
        <v>45536</v>
      </c>
      <c r="AB84" t="inlineStr"/>
      <c r="AC84" s="6">
        <f>HYPERLINK("https://www.kleinanzeigen.de/s-anzeige/neilpryde-hd-7-7-komplett-rigg/2851217522-230-6193", "Link")</f>
        <v/>
      </c>
      <c r="AD84" s="6">
        <f>HYPERLINK("C:\Projects\Kleinanzeigen-Scraper\offer_images\2851217522", "Link")</f>
        <v/>
      </c>
      <c r="AE84" t="inlineStr">
        <is>
          <t>Andreas</t>
        </is>
      </c>
      <c r="AF84" s="6">
        <f>HYPERLINK("https://www.kleinanzeigen.de/s-bestandsliste.html?userId=25096131", "Link")</f>
        <v/>
      </c>
      <c r="AG84" s="7" t="n">
        <v>45549.58039351852</v>
      </c>
      <c r="AH84" s="3" t="inlineStr">
        <is>
          <t>31.06</t>
        </is>
      </c>
      <c r="AI84" t="inlineStr">
        <is>
          <t>München</t>
        </is>
      </c>
      <c r="AJ84" t="inlineStr">
        <is>
          <t>Neilpryde XF Wave</t>
        </is>
      </c>
      <c r="AK84" t="inlineStr">
        <is>
          <t>160-220</t>
        </is>
      </c>
      <c r="AL84" t="inlineStr"/>
      <c r="AM84" s="4" t="n">
        <v>750</v>
      </c>
      <c r="AN84" t="inlineStr">
        <is>
          <t>VB</t>
        </is>
      </c>
      <c r="AO84" t="inlineStr">
        <is>
          <t>83626 Bayern - Valley</t>
        </is>
      </c>
      <c r="AP84" s="5" t="n">
        <v>45536</v>
      </c>
      <c r="AQ84" t="inlineStr"/>
      <c r="AR84" s="6">
        <f>HYPERLINK("https://www.kleinanzeigen.de/s-anzeige/neilpryde-hd-7-7-komplett-rigg/2851217522-230-6193", "Link")</f>
        <v/>
      </c>
      <c r="AS84" s="6">
        <f>HYPERLINK("C:\Projects\Kleinanzeigen-Scraper\offer_images\2851217522", "Link")</f>
        <v/>
      </c>
      <c r="AT84" t="inlineStr">
        <is>
          <t>Andreas</t>
        </is>
      </c>
      <c r="AU84" s="6">
        <f>HYPERLINK("https://www.kleinanzeigen.de/s-bestandsliste.html?userId=25096131", "Link")</f>
        <v/>
      </c>
      <c r="AV84" s="7" t="n">
        <v>45549.58039351852</v>
      </c>
      <c r="AW84" s="3" t="inlineStr">
        <is>
          <t>31.06</t>
        </is>
      </c>
      <c r="AX84" t="inlineStr">
        <is>
          <t>München</t>
        </is>
      </c>
      <c r="AY84" s="4" t="n">
        <v>750</v>
      </c>
      <c r="AZ84" t="inlineStr">
        <is>
          <t>VB</t>
        </is>
      </c>
      <c r="BA84" t="inlineStr">
        <is>
          <t>83626 Bayern - Valley</t>
        </is>
      </c>
      <c r="BB84" s="5" t="n">
        <v>45536</v>
      </c>
      <c r="BC84" t="inlineStr"/>
      <c r="BD84" s="6">
        <f>HYPERLINK("https://www.kleinanzeigen.de/s-anzeige/neilpryde-hd-7-7-komplett-rigg/2851217522-230-6193", "Link")</f>
        <v/>
      </c>
      <c r="BE84" s="6">
        <f>HYPERLINK("C:\Projects\Kleinanzeigen-Scraper\offer_images\2851217522", "Link")</f>
        <v/>
      </c>
      <c r="BF84" t="inlineStr">
        <is>
          <t>Andreas</t>
        </is>
      </c>
      <c r="BG84" s="6">
        <f>HYPERLINK("https://www.kleinanzeigen.de/s-bestandsliste.html?userId=25096131", "Link")</f>
        <v/>
      </c>
      <c r="BH84" s="7" t="n">
        <v>45549.58039351852</v>
      </c>
      <c r="BI84" s="3" t="inlineStr">
        <is>
          <t>31.06</t>
        </is>
      </c>
      <c r="BJ84" t="inlineStr">
        <is>
          <t>München</t>
        </is>
      </c>
    </row>
    <row r="85">
      <c r="A85" s="2" t="n">
        <v>8.6</v>
      </c>
      <c r="B85" t="inlineStr">
        <is>
          <t>Neilpryde RS EVo Racing</t>
        </is>
      </c>
      <c r="C85" s="3" t="n">
        <v>490</v>
      </c>
      <c r="D85" s="3" t="inlineStr"/>
      <c r="E85" t="inlineStr">
        <is>
          <t>Racing</t>
        </is>
      </c>
      <c r="F85" t="inlineStr"/>
      <c r="G85" t="inlineStr"/>
      <c r="H85" s="4" t="n">
        <v>399</v>
      </c>
      <c r="I85" t="inlineStr"/>
      <c r="J85" t="inlineStr">
        <is>
          <t>88400 Baden-Württemberg - Biberach an der Riß</t>
        </is>
      </c>
      <c r="K85" s="5" t="n">
        <v>45541</v>
      </c>
      <c r="L85" t="inlineStr">
        <is>
          <t>Sold</t>
        </is>
      </c>
      <c r="M85" s="6">
        <f>HYPERLINK("https://www.kleinanzeigen.de/s-anzeige/neilpryde-rs-evo-racing-8-6qm-490-fx100-carbon/2855362199-230-8706", "Link")</f>
        <v/>
      </c>
      <c r="N85" s="6">
        <f>HYPERLINK("C:\Projects\Kleinanzeigen-Scraper\offer_images\2855362199", "Link")</f>
        <v/>
      </c>
      <c r="O85" t="inlineStr">
        <is>
          <t>Schneider</t>
        </is>
      </c>
      <c r="P85" s="6">
        <f>HYPERLINK("https://www.kleinanzeigen.de/s-bestandsliste.html?userId=3638597", "Link")</f>
        <v/>
      </c>
      <c r="Q85" s="7" t="n">
        <v>45549.58038194444</v>
      </c>
      <c r="R85" s="3" t="inlineStr">
        <is>
          <t>89.53</t>
        </is>
      </c>
      <c r="S85" t="inlineStr">
        <is>
          <t>Böblingen</t>
        </is>
      </c>
      <c r="T85" t="inlineStr">
        <is>
          <t>Neilpryde FX100</t>
        </is>
      </c>
      <c r="U85" s="3" t="n">
        <v>490</v>
      </c>
      <c r="V85" s="8" t="inlineStr">
        <is>
          <t>100%</t>
        </is>
      </c>
      <c r="W85" t="inlineStr"/>
      <c r="X85" s="4" t="n">
        <v>399</v>
      </c>
      <c r="Y85" t="inlineStr"/>
      <c r="Z85" t="inlineStr">
        <is>
          <t>88400 Baden-Württemberg - Biberach an der Riß</t>
        </is>
      </c>
      <c r="AA85" s="5" t="n">
        <v>45541</v>
      </c>
      <c r="AB85" t="inlineStr">
        <is>
          <t>Sold</t>
        </is>
      </c>
      <c r="AC85" s="6">
        <f>HYPERLINK("https://www.kleinanzeigen.de/s-anzeige/neilpryde-rs-evo-racing-8-6qm-490-fx100-carbon/2855362199-230-8706", "Link")</f>
        <v/>
      </c>
      <c r="AD85" s="6">
        <f>HYPERLINK("C:\Projects\Kleinanzeigen-Scraper\offer_images\2855362199", "Link")</f>
        <v/>
      </c>
      <c r="AE85" t="inlineStr">
        <is>
          <t>Schneider</t>
        </is>
      </c>
      <c r="AF85" s="6">
        <f>HYPERLINK("https://www.kleinanzeigen.de/s-bestandsliste.html?userId=3638597", "Link")</f>
        <v/>
      </c>
      <c r="AG85" s="7" t="n">
        <v>45549.58038194444</v>
      </c>
      <c r="AH85" s="3" t="inlineStr">
        <is>
          <t>89.53</t>
        </is>
      </c>
      <c r="AI85" t="inlineStr">
        <is>
          <t>Böblingen</t>
        </is>
      </c>
      <c r="AJ85" t="inlineStr"/>
      <c r="AK85" t="inlineStr"/>
      <c r="AL85" t="inlineStr"/>
      <c r="AM85" s="4" t="n">
        <v>399</v>
      </c>
      <c r="AN85" t="inlineStr"/>
      <c r="AO85" t="inlineStr">
        <is>
          <t>88400 Baden-Württemberg - Biberach an der Riß</t>
        </is>
      </c>
      <c r="AP85" s="5" t="n">
        <v>45541</v>
      </c>
      <c r="AQ85" t="inlineStr">
        <is>
          <t>Sold</t>
        </is>
      </c>
      <c r="AR85" s="6">
        <f>HYPERLINK("https://www.kleinanzeigen.de/s-anzeige/neilpryde-rs-evo-racing-8-6qm-490-fx100-carbon/2855362199-230-8706", "Link")</f>
        <v/>
      </c>
      <c r="AS85" s="6">
        <f>HYPERLINK("C:\Projects\Kleinanzeigen-Scraper\offer_images\2855362199", "Link")</f>
        <v/>
      </c>
      <c r="AT85" t="inlineStr">
        <is>
          <t>Schneider</t>
        </is>
      </c>
      <c r="AU85" s="6">
        <f>HYPERLINK("https://www.kleinanzeigen.de/s-bestandsliste.html?userId=3638597", "Link")</f>
        <v/>
      </c>
      <c r="AV85" s="7" t="n">
        <v>45549.58038194444</v>
      </c>
      <c r="AW85" s="3" t="inlineStr">
        <is>
          <t>89.53</t>
        </is>
      </c>
      <c r="AX85" t="inlineStr">
        <is>
          <t>Böblingen</t>
        </is>
      </c>
      <c r="AY85" s="4" t="n">
        <v>399</v>
      </c>
      <c r="AZ85" t="inlineStr"/>
      <c r="BA85" t="inlineStr">
        <is>
          <t>88400 Baden-Württemberg - Biberach an der Riß</t>
        </is>
      </c>
      <c r="BB85" s="5" t="n">
        <v>45541</v>
      </c>
      <c r="BC85" t="inlineStr">
        <is>
          <t>Sold</t>
        </is>
      </c>
      <c r="BD85" s="6">
        <f>HYPERLINK("https://www.kleinanzeigen.de/s-anzeige/neilpryde-rs-evo-racing-8-6qm-490-fx100-carbon/2855362199-230-8706", "Link")</f>
        <v/>
      </c>
      <c r="BE85" s="6">
        <f>HYPERLINK("C:\Projects\Kleinanzeigen-Scraper\offer_images\2855362199", "Link")</f>
        <v/>
      </c>
      <c r="BF85" t="inlineStr">
        <is>
          <t>Schneider</t>
        </is>
      </c>
      <c r="BG85" s="6">
        <f>HYPERLINK("https://www.kleinanzeigen.de/s-bestandsliste.html?userId=3638597", "Link")</f>
        <v/>
      </c>
      <c r="BH85" s="7" t="n">
        <v>45549.58038194444</v>
      </c>
      <c r="BI85" s="3" t="inlineStr">
        <is>
          <t>89.53</t>
        </is>
      </c>
      <c r="BJ85" t="inlineStr">
        <is>
          <t>Böblingen</t>
        </is>
      </c>
    </row>
    <row r="86">
      <c r="A86" s="2" t="n">
        <v>4.8</v>
      </c>
      <c r="B86" t="inlineStr">
        <is>
          <t>Neilpryde JP</t>
        </is>
      </c>
      <c r="C86" s="3" t="n">
        <v>370</v>
      </c>
      <c r="D86" s="3" t="inlineStr"/>
      <c r="E86" t="inlineStr"/>
      <c r="F86" t="inlineStr"/>
      <c r="G86" t="inlineStr">
        <is>
          <t>used</t>
        </is>
      </c>
      <c r="H86" s="4" t="n">
        <v>255</v>
      </c>
      <c r="I86" t="inlineStr"/>
      <c r="J86" t="inlineStr">
        <is>
          <t>18439 Mecklenburg-Vorpommern - Stralsund</t>
        </is>
      </c>
      <c r="K86" s="5" t="n">
        <v>45455</v>
      </c>
      <c r="L86" t="inlineStr">
        <is>
          <t>Sold</t>
        </is>
      </c>
      <c r="M86" s="6">
        <f>HYPERLINK("https://www.kleinanzeigen.de/s-anzeige/windsurf-rigg-neilpryde-jp-und-mast/2786661481-230-135", "Link")</f>
        <v/>
      </c>
      <c r="N86" s="6">
        <f>HYPERLINK("C:\Projects\Kleinanzeigen-Scraper\offer_images\2786661481", "Link")</f>
        <v/>
      </c>
      <c r="O86" t="inlineStr">
        <is>
          <t>Mareike T.</t>
        </is>
      </c>
      <c r="P86" s="6">
        <f>HYPERLINK("https://www.kleinanzeigen.de/s-bestandsliste.html?userId=50819009", "Link")</f>
        <v/>
      </c>
      <c r="Q86" s="7" t="n">
        <v>45549.58017361111</v>
      </c>
      <c r="R86" s="3" t="inlineStr">
        <is>
          <t>557.94</t>
        </is>
      </c>
      <c r="S86" t="inlineStr">
        <is>
          <t>Köln</t>
        </is>
      </c>
      <c r="T86" t="inlineStr">
        <is>
          <t>Neilpryde Matrix x65</t>
        </is>
      </c>
      <c r="U86" s="3" t="n">
        <v>370</v>
      </c>
      <c r="V86" s="8" t="inlineStr"/>
      <c r="W86" t="inlineStr">
        <is>
          <t>RDM</t>
        </is>
      </c>
      <c r="X86" s="4" t="n">
        <v>255</v>
      </c>
      <c r="Y86" t="inlineStr"/>
      <c r="Z86" t="inlineStr">
        <is>
          <t>18439 Mecklenburg-Vorpommern - Stralsund</t>
        </is>
      </c>
      <c r="AA86" s="5" t="n">
        <v>45455</v>
      </c>
      <c r="AB86" t="inlineStr">
        <is>
          <t>Sold</t>
        </is>
      </c>
      <c r="AC86" s="6">
        <f>HYPERLINK("https://www.kleinanzeigen.de/s-anzeige/windsurf-rigg-neilpryde-jp-und-mast/2786661481-230-135", "Link")</f>
        <v/>
      </c>
      <c r="AD86" s="6">
        <f>HYPERLINK("C:\Projects\Kleinanzeigen-Scraper\offer_images\2786661481", "Link")</f>
        <v/>
      </c>
      <c r="AE86" t="inlineStr">
        <is>
          <t>Mareike T.</t>
        </is>
      </c>
      <c r="AF86" s="6">
        <f>HYPERLINK("https://www.kleinanzeigen.de/s-bestandsliste.html?userId=50819009", "Link")</f>
        <v/>
      </c>
      <c r="AG86" s="7" t="n">
        <v>45549.58017361111</v>
      </c>
      <c r="AH86" s="3" t="inlineStr">
        <is>
          <t>557.94</t>
        </is>
      </c>
      <c r="AI86" t="inlineStr">
        <is>
          <t>Köln</t>
        </is>
      </c>
      <c r="AJ86" t="inlineStr"/>
      <c r="AK86" t="inlineStr"/>
      <c r="AL86" t="inlineStr"/>
      <c r="AM86" s="4" t="n">
        <v>255</v>
      </c>
      <c r="AN86" t="inlineStr"/>
      <c r="AO86" t="inlineStr">
        <is>
          <t>18439 Mecklenburg-Vorpommern - Stralsund</t>
        </is>
      </c>
      <c r="AP86" s="5" t="n">
        <v>45455</v>
      </c>
      <c r="AQ86" t="inlineStr">
        <is>
          <t>Sold</t>
        </is>
      </c>
      <c r="AR86" s="6">
        <f>HYPERLINK("https://www.kleinanzeigen.de/s-anzeige/windsurf-rigg-neilpryde-jp-und-mast/2786661481-230-135", "Link")</f>
        <v/>
      </c>
      <c r="AS86" s="6">
        <f>HYPERLINK("C:\Projects\Kleinanzeigen-Scraper\offer_images\2786661481", "Link")</f>
        <v/>
      </c>
      <c r="AT86" t="inlineStr">
        <is>
          <t>Mareike T.</t>
        </is>
      </c>
      <c r="AU86" s="6">
        <f>HYPERLINK("https://www.kleinanzeigen.de/s-bestandsliste.html?userId=50819009", "Link")</f>
        <v/>
      </c>
      <c r="AV86" s="7" t="n">
        <v>45549.58017361111</v>
      </c>
      <c r="AW86" s="3" t="inlineStr">
        <is>
          <t>557.94</t>
        </is>
      </c>
      <c r="AX86" t="inlineStr">
        <is>
          <t>Köln</t>
        </is>
      </c>
      <c r="AY86" s="4" t="n">
        <v>255</v>
      </c>
      <c r="AZ86" t="inlineStr"/>
      <c r="BA86" t="inlineStr">
        <is>
          <t>18439 Mecklenburg-Vorpommern - Stralsund</t>
        </is>
      </c>
      <c r="BB86" s="5" t="n">
        <v>45455</v>
      </c>
      <c r="BC86" t="inlineStr">
        <is>
          <t>Sold</t>
        </is>
      </c>
      <c r="BD86" s="6">
        <f>HYPERLINK("https://www.kleinanzeigen.de/s-anzeige/windsurf-rigg-neilpryde-jp-und-mast/2786661481-230-135", "Link")</f>
        <v/>
      </c>
      <c r="BE86" s="6">
        <f>HYPERLINK("C:\Projects\Kleinanzeigen-Scraper\offer_images\2786661481", "Link")</f>
        <v/>
      </c>
      <c r="BF86" t="inlineStr">
        <is>
          <t>Mareike T.</t>
        </is>
      </c>
      <c r="BG86" s="6">
        <f>HYPERLINK("https://www.kleinanzeigen.de/s-bestandsliste.html?userId=50819009", "Link")</f>
        <v/>
      </c>
      <c r="BH86" s="7" t="n">
        <v>45549.58017361111</v>
      </c>
      <c r="BI86" s="3" t="inlineStr">
        <is>
          <t>557.94</t>
        </is>
      </c>
      <c r="BJ86" t="inlineStr">
        <is>
          <t>Köln</t>
        </is>
      </c>
    </row>
    <row r="87">
      <c r="A87" s="2" t="n">
        <v>7.8</v>
      </c>
      <c r="B87" t="inlineStr">
        <is>
          <t>Duotone Warp_Fin</t>
        </is>
      </c>
      <c r="C87" s="3" t="n">
        <v>460</v>
      </c>
      <c r="D87" s="3" t="inlineStr"/>
      <c r="E87" t="inlineStr"/>
      <c r="F87" t="inlineStr">
        <is>
          <t>2024</t>
        </is>
      </c>
      <c r="G87" t="inlineStr">
        <is>
          <t>new</t>
        </is>
      </c>
      <c r="H87" s="4" t="n">
        <v>690</v>
      </c>
      <c r="I87" t="inlineStr"/>
      <c r="J87" t="inlineStr">
        <is>
          <t>33758 Nordrhein-Westfalen - Schloß Holte-Stukenbrock</t>
        </is>
      </c>
      <c r="K87" s="5" t="n">
        <v>45544</v>
      </c>
      <c r="L87" t="inlineStr">
        <is>
          <t>Sold</t>
        </is>
      </c>
      <c r="M87" s="6">
        <f>HYPERLINK("https://www.kleinanzeigen.de/s-anzeige/duotone-warp-fin-2024-7-8-neuwertig/2858610776-230-1646", "Link")</f>
        <v/>
      </c>
      <c r="N87" s="6">
        <f>HYPERLINK("C:\Projects\Kleinanzeigen-Scraper\offer_images\2858610776", "Link")</f>
        <v/>
      </c>
      <c r="O87" t="inlineStr">
        <is>
          <t>Ralf Ewers</t>
        </is>
      </c>
      <c r="P87" s="6">
        <f>HYPERLINK("https://www.kleinanzeigen.de/s-bestandsliste.html?userId=75080608", "Link")</f>
        <v/>
      </c>
      <c r="Q87" s="7" t="n">
        <v>45549.58010416666</v>
      </c>
      <c r="R87" s="3" t="inlineStr">
        <is>
          <t>158.29</t>
        </is>
      </c>
      <c r="S87" t="inlineStr">
        <is>
          <t>Köln</t>
        </is>
      </c>
      <c r="T87" t="inlineStr">
        <is>
          <t>Platinum</t>
        </is>
      </c>
      <c r="U87" s="3" t="n">
        <v>460</v>
      </c>
      <c r="V87" s="8" t="inlineStr"/>
      <c r="W87" t="inlineStr"/>
      <c r="X87" s="4" t="n">
        <v>690</v>
      </c>
      <c r="Y87" t="inlineStr"/>
      <c r="Z87" t="inlineStr">
        <is>
          <t>33758 Nordrhein-Westfalen - Schloß Holte-Stukenbrock</t>
        </is>
      </c>
      <c r="AA87" s="5" t="n">
        <v>45544</v>
      </c>
      <c r="AB87" t="inlineStr">
        <is>
          <t>Sold</t>
        </is>
      </c>
      <c r="AC87" s="6">
        <f>HYPERLINK("https://www.kleinanzeigen.de/s-anzeige/duotone-warp-fin-2024-7-8-neuwertig/2858610776-230-1646", "Link")</f>
        <v/>
      </c>
      <c r="AD87" s="6">
        <f>HYPERLINK("C:\Projects\Kleinanzeigen-Scraper\offer_images\2858610776", "Link")</f>
        <v/>
      </c>
      <c r="AE87" t="inlineStr">
        <is>
          <t>Ralf Ewers</t>
        </is>
      </c>
      <c r="AF87" s="6">
        <f>HYPERLINK("https://www.kleinanzeigen.de/s-bestandsliste.html?userId=75080608", "Link")</f>
        <v/>
      </c>
      <c r="AG87" s="7" t="n">
        <v>45549.58010416666</v>
      </c>
      <c r="AH87" s="3" t="inlineStr">
        <is>
          <t>158.29</t>
        </is>
      </c>
      <c r="AI87" t="inlineStr">
        <is>
          <t>Köln</t>
        </is>
      </c>
      <c r="AJ87" t="inlineStr"/>
      <c r="AK87" t="inlineStr"/>
      <c r="AL87" t="inlineStr"/>
      <c r="AM87" s="4" t="n">
        <v>690</v>
      </c>
      <c r="AN87" t="inlineStr"/>
      <c r="AO87" t="inlineStr">
        <is>
          <t>33758 Nordrhein-Westfalen - Schloß Holte-Stukenbrock</t>
        </is>
      </c>
      <c r="AP87" s="5" t="n">
        <v>45544</v>
      </c>
      <c r="AQ87" t="inlineStr">
        <is>
          <t>Sold</t>
        </is>
      </c>
      <c r="AR87" s="6">
        <f>HYPERLINK("https://www.kleinanzeigen.de/s-anzeige/duotone-warp-fin-2024-7-8-neuwertig/2858610776-230-1646", "Link")</f>
        <v/>
      </c>
      <c r="AS87" s="6">
        <f>HYPERLINK("C:\Projects\Kleinanzeigen-Scraper\offer_images\2858610776", "Link")</f>
        <v/>
      </c>
      <c r="AT87" t="inlineStr">
        <is>
          <t>Ralf Ewers</t>
        </is>
      </c>
      <c r="AU87" s="6">
        <f>HYPERLINK("https://www.kleinanzeigen.de/s-bestandsliste.html?userId=75080608", "Link")</f>
        <v/>
      </c>
      <c r="AV87" s="7" t="n">
        <v>45549.58010416666</v>
      </c>
      <c r="AW87" s="3" t="inlineStr">
        <is>
          <t>158.29</t>
        </is>
      </c>
      <c r="AX87" t="inlineStr">
        <is>
          <t>Köln</t>
        </is>
      </c>
      <c r="AY87" s="4" t="n">
        <v>690</v>
      </c>
      <c r="AZ87" t="inlineStr"/>
      <c r="BA87" t="inlineStr">
        <is>
          <t>33758 Nordrhein-Westfalen - Schloß Holte-Stukenbrock</t>
        </is>
      </c>
      <c r="BB87" s="5" t="n">
        <v>45544</v>
      </c>
      <c r="BC87" t="inlineStr">
        <is>
          <t>Sold</t>
        </is>
      </c>
      <c r="BD87" s="6">
        <f>HYPERLINK("https://www.kleinanzeigen.de/s-anzeige/duotone-warp-fin-2024-7-8-neuwertig/2858610776-230-1646", "Link")</f>
        <v/>
      </c>
      <c r="BE87" s="6">
        <f>HYPERLINK("C:\Projects\Kleinanzeigen-Scraper\offer_images\2858610776", "Link")</f>
        <v/>
      </c>
      <c r="BF87" t="inlineStr">
        <is>
          <t>Ralf Ewers</t>
        </is>
      </c>
      <c r="BG87" s="6">
        <f>HYPERLINK("https://www.kleinanzeigen.de/s-bestandsliste.html?userId=75080608", "Link")</f>
        <v/>
      </c>
      <c r="BH87" s="7" t="n">
        <v>45549.58010416666</v>
      </c>
      <c r="BI87" s="3" t="inlineStr">
        <is>
          <t>158.29</t>
        </is>
      </c>
      <c r="BJ87" t="inlineStr">
        <is>
          <t>Köln</t>
        </is>
      </c>
    </row>
    <row r="88">
      <c r="A88" s="2" t="n">
        <v>6.6</v>
      </c>
      <c r="B88" t="inlineStr">
        <is>
          <t>Naish Sprint</t>
        </is>
      </c>
      <c r="C88" s="3" t="inlineStr"/>
      <c r="D88" s="3" t="inlineStr">
        <is>
          <t>180-220</t>
        </is>
      </c>
      <c r="E88" t="inlineStr"/>
      <c r="F88" t="inlineStr"/>
      <c r="G88" t="inlineStr">
        <is>
          <t>used</t>
        </is>
      </c>
      <c r="H88" s="4" t="n">
        <v>230</v>
      </c>
      <c r="I88" t="inlineStr"/>
      <c r="J88" t="inlineStr">
        <is>
          <t>82346 Bayern - Andechs</t>
        </is>
      </c>
      <c r="K88" s="5" t="n">
        <v>45480</v>
      </c>
      <c r="L88" t="inlineStr">
        <is>
          <t>Sold</t>
        </is>
      </c>
      <c r="M88" s="6">
        <f>HYPERLINK("https://www.kleinanzeigen.de/s-anzeige/komplettrig-windsurfen-segel-naish-6-6-carbon-mast-460/2806990765-230-5524", "Link")</f>
        <v/>
      </c>
      <c r="N88" s="6">
        <f>HYPERLINK("C:\Projects\Kleinanzeigen-Scraper\offer_images\2806990765", "Link")</f>
        <v/>
      </c>
      <c r="O88" t="inlineStr">
        <is>
          <t>M. K.</t>
        </is>
      </c>
      <c r="P88" s="6">
        <f>HYPERLINK("https://www.kleinanzeigen.de/s-bestandsliste.html?userId=59256837", "Link")</f>
        <v/>
      </c>
      <c r="Q88" s="7" t="n">
        <v>45549.57994212963</v>
      </c>
      <c r="R88" s="3" t="inlineStr">
        <is>
          <t>34.46</t>
        </is>
      </c>
      <c r="S88" t="inlineStr">
        <is>
          <t>München</t>
        </is>
      </c>
      <c r="T88" t="inlineStr">
        <is>
          <t>Neilpryde IntegratedRig Wavepro Lighttip Technology</t>
        </is>
      </c>
      <c r="U88" s="3" t="n">
        <v>460</v>
      </c>
      <c r="V88" s="8" t="inlineStr">
        <is>
          <t>100%</t>
        </is>
      </c>
      <c r="W88" t="inlineStr"/>
      <c r="X88" s="4" t="n">
        <v>230</v>
      </c>
      <c r="Y88" t="inlineStr"/>
      <c r="Z88" t="inlineStr">
        <is>
          <t>82346 Bayern - Andechs</t>
        </is>
      </c>
      <c r="AA88" s="5" t="n">
        <v>45480</v>
      </c>
      <c r="AB88" t="inlineStr">
        <is>
          <t>Sold</t>
        </is>
      </c>
      <c r="AC88" s="6">
        <f>HYPERLINK("https://www.kleinanzeigen.de/s-anzeige/komplettrig-windsurfen-segel-naish-6-6-carbon-mast-460/2806990765-230-5524", "Link")</f>
        <v/>
      </c>
      <c r="AD88" s="6">
        <f>HYPERLINK("C:\Projects\Kleinanzeigen-Scraper\offer_images\2806990765", "Link")</f>
        <v/>
      </c>
      <c r="AE88" t="inlineStr">
        <is>
          <t>M. K.</t>
        </is>
      </c>
      <c r="AF88" s="6">
        <f>HYPERLINK("https://www.kleinanzeigen.de/s-bestandsliste.html?userId=59256837", "Link")</f>
        <v/>
      </c>
      <c r="AG88" s="7" t="n">
        <v>45549.57994212963</v>
      </c>
      <c r="AH88" s="3" t="inlineStr">
        <is>
          <t>34.46</t>
        </is>
      </c>
      <c r="AI88" t="inlineStr">
        <is>
          <t>München</t>
        </is>
      </c>
      <c r="AJ88" t="inlineStr">
        <is>
          <t>Neilpryde Race IntegratedRig</t>
        </is>
      </c>
      <c r="AK88" t="inlineStr">
        <is>
          <t>180-220</t>
        </is>
      </c>
      <c r="AL88" t="inlineStr"/>
      <c r="AM88" s="4" t="n">
        <v>230</v>
      </c>
      <c r="AN88" t="inlineStr"/>
      <c r="AO88" t="inlineStr">
        <is>
          <t>82346 Bayern - Andechs</t>
        </is>
      </c>
      <c r="AP88" s="5" t="n">
        <v>45480</v>
      </c>
      <c r="AQ88" t="inlineStr">
        <is>
          <t>Sold</t>
        </is>
      </c>
      <c r="AR88" s="6">
        <f>HYPERLINK("https://www.kleinanzeigen.de/s-anzeige/komplettrig-windsurfen-segel-naish-6-6-carbon-mast-460/2806990765-230-5524", "Link")</f>
        <v/>
      </c>
      <c r="AS88" s="6">
        <f>HYPERLINK("C:\Projects\Kleinanzeigen-Scraper\offer_images\2806990765", "Link")</f>
        <v/>
      </c>
      <c r="AT88" t="inlineStr">
        <is>
          <t>M. K.</t>
        </is>
      </c>
      <c r="AU88" s="6">
        <f>HYPERLINK("https://www.kleinanzeigen.de/s-bestandsliste.html?userId=59256837", "Link")</f>
        <v/>
      </c>
      <c r="AV88" s="7" t="n">
        <v>45549.57994212963</v>
      </c>
      <c r="AW88" s="3" t="inlineStr">
        <is>
          <t>34.46</t>
        </is>
      </c>
      <c r="AX88" t="inlineStr">
        <is>
          <t>München</t>
        </is>
      </c>
      <c r="AY88" s="4" t="n">
        <v>230</v>
      </c>
      <c r="AZ88" t="inlineStr"/>
      <c r="BA88" t="inlineStr">
        <is>
          <t>82346 Bayern - Andechs</t>
        </is>
      </c>
      <c r="BB88" s="5" t="n">
        <v>45480</v>
      </c>
      <c r="BC88" t="inlineStr">
        <is>
          <t>Sold</t>
        </is>
      </c>
      <c r="BD88" s="6">
        <f>HYPERLINK("https://www.kleinanzeigen.de/s-anzeige/komplettrig-windsurfen-segel-naish-6-6-carbon-mast-460/2806990765-230-5524", "Link")</f>
        <v/>
      </c>
      <c r="BE88" s="6">
        <f>HYPERLINK("C:\Projects\Kleinanzeigen-Scraper\offer_images\2806990765", "Link")</f>
        <v/>
      </c>
      <c r="BF88" t="inlineStr">
        <is>
          <t>M. K.</t>
        </is>
      </c>
      <c r="BG88" s="6">
        <f>HYPERLINK("https://www.kleinanzeigen.de/s-bestandsliste.html?userId=59256837", "Link")</f>
        <v/>
      </c>
      <c r="BH88" s="7" t="n">
        <v>45549.57994212963</v>
      </c>
      <c r="BI88" s="3" t="inlineStr">
        <is>
          <t>34.46</t>
        </is>
      </c>
      <c r="BJ88" t="inlineStr">
        <is>
          <t>München</t>
        </is>
      </c>
    </row>
    <row r="89">
      <c r="A89" s="2" t="n">
        <v>8.800000000000001</v>
      </c>
      <c r="B89" t="inlineStr">
        <is>
          <t>Vandal Mission</t>
        </is>
      </c>
      <c r="C89" s="3" t="n">
        <v>490</v>
      </c>
      <c r="D89" s="3" t="n">
        <v>224</v>
      </c>
      <c r="E89" t="inlineStr"/>
      <c r="F89" t="inlineStr"/>
      <c r="G89" t="inlineStr">
        <is>
          <t>used</t>
        </is>
      </c>
      <c r="H89" s="4" t="n">
        <v>350</v>
      </c>
      <c r="I89" t="inlineStr">
        <is>
          <t>VB</t>
        </is>
      </c>
      <c r="J89" t="inlineStr">
        <is>
          <t>23626 Kreis Ostholstein - Ratekau</t>
        </is>
      </c>
      <c r="K89" s="5" t="n">
        <v>45494</v>
      </c>
      <c r="L89" t="inlineStr">
        <is>
          <t>Sold</t>
        </is>
      </c>
      <c r="M89" s="6">
        <f>HYPERLINK("https://www.kleinanzeigen.de/s-anzeige/windsurfsegel-vandal-mission-8-8-mit-mast-und-gabelbaum/2817851733-230-439", "Link")</f>
        <v/>
      </c>
      <c r="N89" s="6">
        <f>HYPERLINK("C:\Projects\Kleinanzeigen-Scraper\offer_images\2817851733", "Link")</f>
        <v/>
      </c>
      <c r="O89" t="inlineStr">
        <is>
          <t>Stefan Kayser</t>
        </is>
      </c>
      <c r="P89" s="6">
        <f>HYPERLINK("https://www.kleinanzeigen.de/s-bestandsliste.html?userId=500592", "Link")</f>
        <v/>
      </c>
      <c r="Q89" s="7" t="n">
        <v>45549.57991898148</v>
      </c>
      <c r="R89" s="3" t="inlineStr">
        <is>
          <t>421.31</t>
        </is>
      </c>
      <c r="S89" t="inlineStr">
        <is>
          <t>Köln</t>
        </is>
      </c>
      <c r="T89" t="inlineStr"/>
      <c r="U89" s="3" t="n">
        <v>490</v>
      </c>
      <c r="V89" s="8" t="inlineStr"/>
      <c r="W89" t="inlineStr">
        <is>
          <t>SDM</t>
        </is>
      </c>
      <c r="X89" s="4" t="n">
        <v>350</v>
      </c>
      <c r="Y89" t="inlineStr">
        <is>
          <t>VB</t>
        </is>
      </c>
      <c r="Z89" t="inlineStr">
        <is>
          <t>23626 Kreis Ostholstein - Ratekau</t>
        </is>
      </c>
      <c r="AA89" s="5" t="n">
        <v>45494</v>
      </c>
      <c r="AB89" t="inlineStr">
        <is>
          <t>Sold</t>
        </is>
      </c>
      <c r="AC89" s="6">
        <f>HYPERLINK("https://www.kleinanzeigen.de/s-anzeige/windsurfsegel-vandal-mission-8-8-mit-mast-und-gabelbaum/2817851733-230-439", "Link")</f>
        <v/>
      </c>
      <c r="AD89" s="6">
        <f>HYPERLINK("C:\Projects\Kleinanzeigen-Scraper\offer_images\2817851733", "Link")</f>
        <v/>
      </c>
      <c r="AE89" t="inlineStr">
        <is>
          <t>Stefan Kayser</t>
        </is>
      </c>
      <c r="AF89" s="6">
        <f>HYPERLINK("https://www.kleinanzeigen.de/s-bestandsliste.html?userId=500592", "Link")</f>
        <v/>
      </c>
      <c r="AG89" s="7" t="n">
        <v>45549.57991898148</v>
      </c>
      <c r="AH89" s="3" t="inlineStr">
        <is>
          <t>421.31</t>
        </is>
      </c>
      <c r="AI89" t="inlineStr">
        <is>
          <t>Köln</t>
        </is>
      </c>
      <c r="AJ89" t="inlineStr">
        <is>
          <t>Neilpryde</t>
        </is>
      </c>
      <c r="AK89" t="inlineStr">
        <is>
          <t>215-245</t>
        </is>
      </c>
      <c r="AL89" t="inlineStr"/>
      <c r="AM89" s="4" t="n">
        <v>350</v>
      </c>
      <c r="AN89" t="inlineStr">
        <is>
          <t>VB</t>
        </is>
      </c>
      <c r="AO89" t="inlineStr">
        <is>
          <t>23626 Kreis Ostholstein - Ratekau</t>
        </is>
      </c>
      <c r="AP89" s="5" t="n">
        <v>45494</v>
      </c>
      <c r="AQ89" t="inlineStr">
        <is>
          <t>Sold</t>
        </is>
      </c>
      <c r="AR89" s="6">
        <f>HYPERLINK("https://www.kleinanzeigen.de/s-anzeige/windsurfsegel-vandal-mission-8-8-mit-mast-und-gabelbaum/2817851733-230-439", "Link")</f>
        <v/>
      </c>
      <c r="AS89" s="6">
        <f>HYPERLINK("C:\Projects\Kleinanzeigen-Scraper\offer_images\2817851733", "Link")</f>
        <v/>
      </c>
      <c r="AT89" t="inlineStr">
        <is>
          <t>Stefan Kayser</t>
        </is>
      </c>
      <c r="AU89" s="6">
        <f>HYPERLINK("https://www.kleinanzeigen.de/s-bestandsliste.html?userId=500592", "Link")</f>
        <v/>
      </c>
      <c r="AV89" s="7" t="n">
        <v>45549.57991898148</v>
      </c>
      <c r="AW89" s="3" t="inlineStr">
        <is>
          <t>421.31</t>
        </is>
      </c>
      <c r="AX89" t="inlineStr">
        <is>
          <t>Köln</t>
        </is>
      </c>
      <c r="AY89" s="4" t="n">
        <v>350</v>
      </c>
      <c r="AZ89" t="inlineStr">
        <is>
          <t>VB</t>
        </is>
      </c>
      <c r="BA89" t="inlineStr">
        <is>
          <t>23626 Kreis Ostholstein - Ratekau</t>
        </is>
      </c>
      <c r="BB89" s="5" t="n">
        <v>45494</v>
      </c>
      <c r="BC89" t="inlineStr">
        <is>
          <t>Sold</t>
        </is>
      </c>
      <c r="BD89" s="6">
        <f>HYPERLINK("https://www.kleinanzeigen.de/s-anzeige/windsurfsegel-vandal-mission-8-8-mit-mast-und-gabelbaum/2817851733-230-439", "Link")</f>
        <v/>
      </c>
      <c r="BE89" s="6">
        <f>HYPERLINK("C:\Projects\Kleinanzeigen-Scraper\offer_images\2817851733", "Link")</f>
        <v/>
      </c>
      <c r="BF89" t="inlineStr">
        <is>
          <t>Stefan Kayser</t>
        </is>
      </c>
      <c r="BG89" s="6">
        <f>HYPERLINK("https://www.kleinanzeigen.de/s-bestandsliste.html?userId=500592", "Link")</f>
        <v/>
      </c>
      <c r="BH89" s="7" t="n">
        <v>45549.57991898148</v>
      </c>
      <c r="BI89" s="3" t="inlineStr">
        <is>
          <t>421.31</t>
        </is>
      </c>
      <c r="BJ89" t="inlineStr">
        <is>
          <t>Köln</t>
        </is>
      </c>
    </row>
    <row r="90">
      <c r="A90" s="2" t="n">
        <v>7.1</v>
      </c>
      <c r="B90" t="inlineStr">
        <is>
          <t>Point 7 AC One</t>
        </is>
      </c>
      <c r="C90" s="3" t="n">
        <v>462</v>
      </c>
      <c r="D90" s="3" t="n">
        <v>198</v>
      </c>
      <c r="E90" t="inlineStr">
        <is>
          <t>Camber</t>
        </is>
      </c>
      <c r="F90" t="inlineStr"/>
      <c r="G90" t="inlineStr">
        <is>
          <t>used</t>
        </is>
      </c>
      <c r="H90" s="4" t="n">
        <v>300</v>
      </c>
      <c r="I90" t="inlineStr"/>
      <c r="J90" t="inlineStr">
        <is>
          <t>51467 Nordrhein-Westfalen - Bergisch Gladbach</t>
        </is>
      </c>
      <c r="K90" s="5" t="n">
        <v>45334</v>
      </c>
      <c r="L90" t="inlineStr">
        <is>
          <t>Sold</t>
        </is>
      </c>
      <c r="M90" s="6">
        <f>HYPERLINK("https://www.kleinanzeigen.de/s-anzeige/windsurfsegel-point-7-ac-one-7-1/2677616997-230-1589", "Link")</f>
        <v/>
      </c>
      <c r="N90" s="6">
        <f>HYPERLINK("C:\Projects\Kleinanzeigen-Scraper\offer_images\2677616997", "Link")</f>
        <v/>
      </c>
      <c r="O90" t="inlineStr">
        <is>
          <t>Alexander Langel</t>
        </is>
      </c>
      <c r="P90" s="6">
        <f>HYPERLINK("https://www.kleinanzeigen.de/s-bestandsliste.html?userId=55245190", "Link")</f>
        <v/>
      </c>
      <c r="Q90" s="7" t="n">
        <v>45549.57946759259</v>
      </c>
      <c r="R90" s="3" t="inlineStr">
        <is>
          <t>12.13</t>
        </is>
      </c>
      <c r="S90" t="inlineStr">
        <is>
          <t>Köln</t>
        </is>
      </c>
      <c r="T90" t="inlineStr">
        <is>
          <t>Point 7</t>
        </is>
      </c>
      <c r="U90" s="3" t="n">
        <v>430</v>
      </c>
      <c r="V90" s="8" t="inlineStr">
        <is>
          <t>100%</t>
        </is>
      </c>
      <c r="W90" t="inlineStr"/>
      <c r="X90" s="4" t="n">
        <v>300</v>
      </c>
      <c r="Y90" t="inlineStr"/>
      <c r="Z90" t="inlineStr">
        <is>
          <t>51467 Nordrhein-Westfalen - Bergisch Gladbach</t>
        </is>
      </c>
      <c r="AA90" s="5" t="n">
        <v>45334</v>
      </c>
      <c r="AB90" t="inlineStr">
        <is>
          <t>Sold</t>
        </is>
      </c>
      <c r="AC90" s="6">
        <f>HYPERLINK("https://www.kleinanzeigen.de/s-anzeige/windsurfsegel-point-7-ac-one-7-1/2677616997-230-1589", "Link")</f>
        <v/>
      </c>
      <c r="AD90" s="6">
        <f>HYPERLINK("C:\Projects\Kleinanzeigen-Scraper\offer_images\2677616997", "Link")</f>
        <v/>
      </c>
      <c r="AE90" t="inlineStr">
        <is>
          <t>Alexander Langel</t>
        </is>
      </c>
      <c r="AF90" s="6">
        <f>HYPERLINK("https://www.kleinanzeigen.de/s-bestandsliste.html?userId=55245190", "Link")</f>
        <v/>
      </c>
      <c r="AG90" s="7" t="n">
        <v>45549.57946759259</v>
      </c>
      <c r="AH90" s="3" t="inlineStr">
        <is>
          <t>12.13</t>
        </is>
      </c>
      <c r="AI90" t="inlineStr">
        <is>
          <t>Köln</t>
        </is>
      </c>
      <c r="AJ90" t="inlineStr"/>
      <c r="AK90" t="inlineStr">
        <is>
          <t>198</t>
        </is>
      </c>
      <c r="AL90" t="inlineStr"/>
      <c r="AM90" s="4" t="n">
        <v>300</v>
      </c>
      <c r="AN90" t="inlineStr"/>
      <c r="AO90" t="inlineStr">
        <is>
          <t>51467 Nordrhein-Westfalen - Bergisch Gladbach</t>
        </is>
      </c>
      <c r="AP90" s="5" t="n">
        <v>45334</v>
      </c>
      <c r="AQ90" t="inlineStr">
        <is>
          <t>Sold</t>
        </is>
      </c>
      <c r="AR90" s="6">
        <f>HYPERLINK("https://www.kleinanzeigen.de/s-anzeige/windsurfsegel-point-7-ac-one-7-1/2677616997-230-1589", "Link")</f>
        <v/>
      </c>
      <c r="AS90" s="6">
        <f>HYPERLINK("C:\Projects\Kleinanzeigen-Scraper\offer_images\2677616997", "Link")</f>
        <v/>
      </c>
      <c r="AT90" t="inlineStr">
        <is>
          <t>Alexander Langel</t>
        </is>
      </c>
      <c r="AU90" s="6">
        <f>HYPERLINK("https://www.kleinanzeigen.de/s-bestandsliste.html?userId=55245190", "Link")</f>
        <v/>
      </c>
      <c r="AV90" s="7" t="n">
        <v>45549.57946759259</v>
      </c>
      <c r="AW90" s="3" t="inlineStr">
        <is>
          <t>12.13</t>
        </is>
      </c>
      <c r="AX90" t="inlineStr">
        <is>
          <t>Köln</t>
        </is>
      </c>
      <c r="AY90" s="4" t="n">
        <v>300</v>
      </c>
      <c r="AZ90" t="inlineStr"/>
      <c r="BA90" t="inlineStr">
        <is>
          <t>51467 Nordrhein-Westfalen - Bergisch Gladbach</t>
        </is>
      </c>
      <c r="BB90" s="5" t="n">
        <v>45334</v>
      </c>
      <c r="BC90" t="inlineStr">
        <is>
          <t>Sold</t>
        </is>
      </c>
      <c r="BD90" s="6">
        <f>HYPERLINK("https://www.kleinanzeigen.de/s-anzeige/windsurfsegel-point-7-ac-one-7-1/2677616997-230-1589", "Link")</f>
        <v/>
      </c>
      <c r="BE90" s="6">
        <f>HYPERLINK("C:\Projects\Kleinanzeigen-Scraper\offer_images\2677616997", "Link")</f>
        <v/>
      </c>
      <c r="BF90" t="inlineStr">
        <is>
          <t>Alexander Langel</t>
        </is>
      </c>
      <c r="BG90" s="6">
        <f>HYPERLINK("https://www.kleinanzeigen.de/s-bestandsliste.html?userId=55245190", "Link")</f>
        <v/>
      </c>
      <c r="BH90" s="7" t="n">
        <v>45549.57946759259</v>
      </c>
      <c r="BI90" s="3" t="inlineStr">
        <is>
          <t>12.13</t>
        </is>
      </c>
      <c r="BJ90" t="inlineStr">
        <is>
          <t>Köln</t>
        </is>
      </c>
    </row>
    <row r="91">
      <c r="A91" s="2" t="n">
        <v>11.8</v>
      </c>
      <c r="B91" t="inlineStr">
        <is>
          <t>Loftsails Racingblade</t>
        </is>
      </c>
      <c r="C91" s="3" t="inlineStr"/>
      <c r="D91" s="3" t="inlineStr"/>
      <c r="E91" t="inlineStr">
        <is>
          <t>Racing</t>
        </is>
      </c>
      <c r="F91" t="inlineStr">
        <is>
          <t>2012</t>
        </is>
      </c>
      <c r="G91" t="inlineStr">
        <is>
          <t>used</t>
        </is>
      </c>
      <c r="H91" s="4" t="n">
        <v>500</v>
      </c>
      <c r="I91" t="inlineStr"/>
      <c r="J91" t="inlineStr">
        <is>
          <t>45657 Nordrhein-Westfalen - Recklinghausen</t>
        </is>
      </c>
      <c r="K91" s="5" t="n">
        <v>45518</v>
      </c>
      <c r="L91" t="inlineStr"/>
      <c r="M91" s="6">
        <f>HYPERLINK("https://www.kleinanzeigen.de/s-anzeige/surfsegel-loftsails-racingblade-fr-11-8m2-mit-mast/2836793019-230-1987", "Link")</f>
        <v/>
      </c>
      <c r="N91" s="6">
        <f>HYPERLINK("C:\Projects\Kleinanzeigen-Scraper\offer_images\2836793019", "Link")</f>
        <v/>
      </c>
      <c r="O91" t="inlineStr">
        <is>
          <t>Christian</t>
        </is>
      </c>
      <c r="P91" s="6">
        <f>HYPERLINK("https://www.kleinanzeigen.de/s-bestandsliste.html?userId=3127722", "Link")</f>
        <v/>
      </c>
      <c r="Q91" s="7" t="n">
        <v>45549.57940972222</v>
      </c>
      <c r="R91" s="3" t="inlineStr">
        <is>
          <t>77.14</t>
        </is>
      </c>
      <c r="S91" t="inlineStr">
        <is>
          <t>Köln</t>
        </is>
      </c>
      <c r="T91" t="inlineStr">
        <is>
          <t>Arrows Ultimate</t>
        </is>
      </c>
      <c r="U91" s="3" t="n">
        <v>550</v>
      </c>
      <c r="V91" s="8" t="inlineStr">
        <is>
          <t>100%</t>
        </is>
      </c>
      <c r="W91" t="inlineStr"/>
      <c r="X91" s="4" t="n">
        <v>500</v>
      </c>
      <c r="Y91" t="inlineStr"/>
      <c r="Z91" t="inlineStr">
        <is>
          <t>45657 Nordrhein-Westfalen - Recklinghausen</t>
        </is>
      </c>
      <c r="AA91" s="5" t="n">
        <v>45518</v>
      </c>
      <c r="AB91" t="inlineStr"/>
      <c r="AC91" s="6">
        <f>HYPERLINK("https://www.kleinanzeigen.de/s-anzeige/surfsegel-loftsails-racingblade-fr-11-8m2-mit-mast/2836793019-230-1987", "Link")</f>
        <v/>
      </c>
      <c r="AD91" s="6">
        <f>HYPERLINK("C:\Projects\Kleinanzeigen-Scraper\offer_images\2836793019", "Link")</f>
        <v/>
      </c>
      <c r="AE91" t="inlineStr">
        <is>
          <t>Christian</t>
        </is>
      </c>
      <c r="AF91" s="6">
        <f>HYPERLINK("https://www.kleinanzeigen.de/s-bestandsliste.html?userId=3127722", "Link")</f>
        <v/>
      </c>
      <c r="AG91" s="7" t="n">
        <v>45549.57940972222</v>
      </c>
      <c r="AH91" s="3" t="inlineStr">
        <is>
          <t>77.14</t>
        </is>
      </c>
      <c r="AI91" t="inlineStr">
        <is>
          <t>Köln</t>
        </is>
      </c>
      <c r="AJ91" t="inlineStr">
        <is>
          <t>Neilpryde X9</t>
        </is>
      </c>
      <c r="AK91" t="inlineStr">
        <is>
          <t>260-320</t>
        </is>
      </c>
      <c r="AL91" t="inlineStr"/>
      <c r="AM91" s="4" t="n">
        <v>500</v>
      </c>
      <c r="AN91" t="inlineStr"/>
      <c r="AO91" t="inlineStr">
        <is>
          <t>45657 Nordrhein-Westfalen - Recklinghausen</t>
        </is>
      </c>
      <c r="AP91" s="5" t="n">
        <v>45518</v>
      </c>
      <c r="AQ91" t="inlineStr"/>
      <c r="AR91" s="6">
        <f>HYPERLINK("https://www.kleinanzeigen.de/s-anzeige/surfsegel-loftsails-racingblade-fr-11-8m2-mit-mast/2836793019-230-1987", "Link")</f>
        <v/>
      </c>
      <c r="AS91" s="6">
        <f>HYPERLINK("C:\Projects\Kleinanzeigen-Scraper\offer_images\2836793019", "Link")</f>
        <v/>
      </c>
      <c r="AT91" t="inlineStr">
        <is>
          <t>Christian</t>
        </is>
      </c>
      <c r="AU91" s="6">
        <f>HYPERLINK("https://www.kleinanzeigen.de/s-bestandsliste.html?userId=3127722", "Link")</f>
        <v/>
      </c>
      <c r="AV91" s="7" t="n">
        <v>45549.57940972222</v>
      </c>
      <c r="AW91" s="3" t="inlineStr">
        <is>
          <t>77.14</t>
        </is>
      </c>
      <c r="AX91" t="inlineStr">
        <is>
          <t>Köln</t>
        </is>
      </c>
      <c r="AY91" s="4" t="n">
        <v>500</v>
      </c>
      <c r="AZ91" t="inlineStr"/>
      <c r="BA91" t="inlineStr">
        <is>
          <t>45657 Nordrhein-Westfalen - Recklinghausen</t>
        </is>
      </c>
      <c r="BB91" s="5" t="n">
        <v>45518</v>
      </c>
      <c r="BC91" t="inlineStr"/>
      <c r="BD91" s="6">
        <f>HYPERLINK("https://www.kleinanzeigen.de/s-anzeige/surfsegel-loftsails-racingblade-fr-11-8m2-mit-mast/2836793019-230-1987", "Link")</f>
        <v/>
      </c>
      <c r="BE91" s="6">
        <f>HYPERLINK("C:\Projects\Kleinanzeigen-Scraper\offer_images\2836793019", "Link")</f>
        <v/>
      </c>
      <c r="BF91" t="inlineStr">
        <is>
          <t>Christian</t>
        </is>
      </c>
      <c r="BG91" s="6">
        <f>HYPERLINK("https://www.kleinanzeigen.de/s-bestandsliste.html?userId=3127722", "Link")</f>
        <v/>
      </c>
      <c r="BH91" s="7" t="n">
        <v>45549.57940972222</v>
      </c>
      <c r="BI91" s="3" t="inlineStr">
        <is>
          <t>77.14</t>
        </is>
      </c>
      <c r="BJ91" t="inlineStr">
        <is>
          <t>Köln</t>
        </is>
      </c>
    </row>
    <row r="92">
      <c r="A92" s="2" t="n">
        <v>6.2</v>
      </c>
      <c r="B92" t="inlineStr">
        <is>
          <t>NeilPryde X:Wave</t>
        </is>
      </c>
      <c r="C92" s="3" t="inlineStr"/>
      <c r="D92" s="3" t="inlineStr"/>
      <c r="E92" t="inlineStr"/>
      <c r="F92" t="inlineStr">
        <is>
          <t>2019</t>
        </is>
      </c>
      <c r="G92" t="inlineStr">
        <is>
          <t>used</t>
        </is>
      </c>
      <c r="H92" s="4" t="n">
        <v>1</v>
      </c>
      <c r="I92" t="inlineStr"/>
      <c r="J92" t="inlineStr">
        <is>
          <t>90587 Bayern - Obermichelbach</t>
        </is>
      </c>
      <c r="K92" s="5" t="n">
        <v>45536</v>
      </c>
      <c r="L92" t="inlineStr">
        <is>
          <t>Sold</t>
        </is>
      </c>
      <c r="M92" s="6">
        <f>HYPERLINK("https://www.kleinanzeigen.de/s-anzeige/neilpryde-xwave-hd-6-2-mast-spx-90-430-rdm-gabel-xwave-165-215/2851947253-230-17037", "Link")</f>
        <v/>
      </c>
      <c r="N92" s="6">
        <f>HYPERLINK("C:\Projects\Kleinanzeigen-Scraper\offer_images\2851947253", "Link")</f>
        <v/>
      </c>
      <c r="O92" t="inlineStr">
        <is>
          <t>Harald</t>
        </is>
      </c>
      <c r="P92" s="6">
        <f>HYPERLINK("https://www.kleinanzeigen.de/s-bestandsliste.html?userId=58707927", "Link")</f>
        <v/>
      </c>
      <c r="Q92" s="7" t="n">
        <v>45549.57929398148</v>
      </c>
      <c r="R92" s="3" t="inlineStr">
        <is>
          <t>160.89</t>
        </is>
      </c>
      <c r="S92" t="inlineStr">
        <is>
          <t>München</t>
        </is>
      </c>
      <c r="T92" t="inlineStr">
        <is>
          <t>Neil Pryde SPX 90</t>
        </is>
      </c>
      <c r="U92" s="3" t="n">
        <v>430</v>
      </c>
      <c r="V92" s="8" t="inlineStr"/>
      <c r="W92" t="inlineStr">
        <is>
          <t>RDM</t>
        </is>
      </c>
      <c r="X92" s="4" t="n">
        <v>1</v>
      </c>
      <c r="Y92" t="inlineStr"/>
      <c r="Z92" t="inlineStr">
        <is>
          <t>90587 Bayern - Obermichelbach</t>
        </is>
      </c>
      <c r="AA92" s="5" t="n">
        <v>45536</v>
      </c>
      <c r="AB92" t="inlineStr">
        <is>
          <t>Sold</t>
        </is>
      </c>
      <c r="AC92" s="6">
        <f>HYPERLINK("https://www.kleinanzeigen.de/s-anzeige/neilpryde-xwave-hd-6-2-mast-spx-90-430-rdm-gabel-xwave-165-215/2851947253-230-17037", "Link")</f>
        <v/>
      </c>
      <c r="AD92" s="6">
        <f>HYPERLINK("C:\Projects\Kleinanzeigen-Scraper\offer_images\2851947253", "Link")</f>
        <v/>
      </c>
      <c r="AE92" t="inlineStr">
        <is>
          <t>Harald</t>
        </is>
      </c>
      <c r="AF92" s="6">
        <f>HYPERLINK("https://www.kleinanzeigen.de/s-bestandsliste.html?userId=58707927", "Link")</f>
        <v/>
      </c>
      <c r="AG92" s="7" t="n">
        <v>45549.57929398148</v>
      </c>
      <c r="AH92" s="3" t="inlineStr">
        <is>
          <t>160.89</t>
        </is>
      </c>
      <c r="AI92" t="inlineStr">
        <is>
          <t>München</t>
        </is>
      </c>
      <c r="AJ92" t="inlineStr">
        <is>
          <t>Neil Pryde X:Wave</t>
        </is>
      </c>
      <c r="AK92" t="inlineStr">
        <is>
          <t>165-215</t>
        </is>
      </c>
      <c r="AL92" t="inlineStr"/>
      <c r="AM92" s="4" t="n">
        <v>1</v>
      </c>
      <c r="AN92" t="inlineStr"/>
      <c r="AO92" t="inlineStr">
        <is>
          <t>90587 Bayern - Obermichelbach</t>
        </is>
      </c>
      <c r="AP92" s="5" t="n">
        <v>45536</v>
      </c>
      <c r="AQ92" t="inlineStr">
        <is>
          <t>Sold</t>
        </is>
      </c>
      <c r="AR92" s="6">
        <f>HYPERLINK("https://www.kleinanzeigen.de/s-anzeige/neilpryde-xwave-hd-6-2-mast-spx-90-430-rdm-gabel-xwave-165-215/2851947253-230-17037", "Link")</f>
        <v/>
      </c>
      <c r="AS92" s="6">
        <f>HYPERLINK("C:\Projects\Kleinanzeigen-Scraper\offer_images\2851947253", "Link")</f>
        <v/>
      </c>
      <c r="AT92" t="inlineStr">
        <is>
          <t>Harald</t>
        </is>
      </c>
      <c r="AU92" s="6">
        <f>HYPERLINK("https://www.kleinanzeigen.de/s-bestandsliste.html?userId=58707927", "Link")</f>
        <v/>
      </c>
      <c r="AV92" s="7" t="n">
        <v>45549.57929398148</v>
      </c>
      <c r="AW92" s="3" t="inlineStr">
        <is>
          <t>160.89</t>
        </is>
      </c>
      <c r="AX92" t="inlineStr">
        <is>
          <t>München</t>
        </is>
      </c>
      <c r="AY92" s="4" t="n">
        <v>1</v>
      </c>
      <c r="AZ92" t="inlineStr"/>
      <c r="BA92" t="inlineStr">
        <is>
          <t>90587 Bayern - Obermichelbach</t>
        </is>
      </c>
      <c r="BB92" s="5" t="n">
        <v>45536</v>
      </c>
      <c r="BC92" t="inlineStr">
        <is>
          <t>Sold</t>
        </is>
      </c>
      <c r="BD92" s="6">
        <f>HYPERLINK("https://www.kleinanzeigen.de/s-anzeige/neilpryde-xwave-hd-6-2-mast-spx-90-430-rdm-gabel-xwave-165-215/2851947253-230-17037", "Link")</f>
        <v/>
      </c>
      <c r="BE92" s="6">
        <f>HYPERLINK("C:\Projects\Kleinanzeigen-Scraper\offer_images\2851947253", "Link")</f>
        <v/>
      </c>
      <c r="BF92" t="inlineStr">
        <is>
          <t>Harald</t>
        </is>
      </c>
      <c r="BG92" s="6">
        <f>HYPERLINK("https://www.kleinanzeigen.de/s-bestandsliste.html?userId=58707927", "Link")</f>
        <v/>
      </c>
      <c r="BH92" s="7" t="n">
        <v>45549.57929398148</v>
      </c>
      <c r="BI92" s="3" t="inlineStr">
        <is>
          <t>160.89</t>
        </is>
      </c>
      <c r="BJ92" t="inlineStr">
        <is>
          <t>München</t>
        </is>
      </c>
    </row>
    <row r="93">
      <c r="A93" s="2" t="n">
        <v>6.2</v>
      </c>
      <c r="B93" t="inlineStr">
        <is>
          <t>Gun</t>
        </is>
      </c>
      <c r="C93" s="3" t="inlineStr"/>
      <c r="D93" s="3" t="inlineStr"/>
      <c r="E93" t="inlineStr"/>
      <c r="F93" t="inlineStr"/>
      <c r="G93" t="inlineStr">
        <is>
          <t>very good</t>
        </is>
      </c>
      <c r="H93" s="4" t="n">
        <v>60</v>
      </c>
      <c r="I93" t="inlineStr">
        <is>
          <t>VB</t>
        </is>
      </c>
      <c r="J93" t="inlineStr">
        <is>
          <t>41540 Nordrhein-Westfalen - Dormagen</t>
        </is>
      </c>
      <c r="K93" s="5" t="n">
        <v>45528</v>
      </c>
      <c r="L93" t="inlineStr">
        <is>
          <t>Sold</t>
        </is>
      </c>
      <c r="M93" s="6">
        <f>HYPERLINK("https://www.kleinanzeigen.de/s-anzeige/gun-sails-6-2-qm-komplett-rigg/2844772792-230-1881", "Link")</f>
        <v/>
      </c>
      <c r="N93" s="6">
        <f>HYPERLINK("C:\Projects\Kleinanzeigen-Scraper\offer_images\2844772792", "Link")</f>
        <v/>
      </c>
      <c r="O93" t="inlineStr">
        <is>
          <t>Björn Schenk</t>
        </is>
      </c>
      <c r="P93" s="6">
        <f>HYPERLINK("https://www.kleinanzeigen.de/s-bestandsliste.html?userId=25301127", "Link")</f>
        <v/>
      </c>
      <c r="Q93" s="7" t="n">
        <v>45549.57914351852</v>
      </c>
      <c r="R93" s="3" t="inlineStr">
        <is>
          <t>19.12</t>
        </is>
      </c>
      <c r="S93" t="inlineStr">
        <is>
          <t>Köln</t>
        </is>
      </c>
      <c r="T93" t="inlineStr">
        <is>
          <t>Gun C30</t>
        </is>
      </c>
      <c r="U93" s="3" t="n">
        <v>465</v>
      </c>
      <c r="V93" s="8" t="inlineStr"/>
      <c r="W93" t="inlineStr"/>
      <c r="X93" s="4" t="n">
        <v>60</v>
      </c>
      <c r="Y93" t="inlineStr">
        <is>
          <t>VB</t>
        </is>
      </c>
      <c r="Z93" t="inlineStr">
        <is>
          <t>41540 Nordrhein-Westfalen - Dormagen</t>
        </is>
      </c>
      <c r="AA93" s="5" t="n">
        <v>45528</v>
      </c>
      <c r="AB93" t="inlineStr">
        <is>
          <t>Sold</t>
        </is>
      </c>
      <c r="AC93" s="6">
        <f>HYPERLINK("https://www.kleinanzeigen.de/s-anzeige/gun-sails-6-2-qm-komplett-rigg/2844772792-230-1881", "Link")</f>
        <v/>
      </c>
      <c r="AD93" s="6">
        <f>HYPERLINK("C:\Projects\Kleinanzeigen-Scraper\offer_images\2844772792", "Link")</f>
        <v/>
      </c>
      <c r="AE93" t="inlineStr">
        <is>
          <t>Björn Schenk</t>
        </is>
      </c>
      <c r="AF93" s="6">
        <f>HYPERLINK("https://www.kleinanzeigen.de/s-bestandsliste.html?userId=25301127", "Link")</f>
        <v/>
      </c>
      <c r="AG93" s="7" t="n">
        <v>45549.57914351852</v>
      </c>
      <c r="AH93" s="3" t="inlineStr">
        <is>
          <t>19.12</t>
        </is>
      </c>
      <c r="AI93" t="inlineStr">
        <is>
          <t>Köln</t>
        </is>
      </c>
      <c r="AJ93" t="inlineStr">
        <is>
          <t>Neilpryde</t>
        </is>
      </c>
      <c r="AK93" t="inlineStr"/>
      <c r="AL93" t="inlineStr"/>
      <c r="AM93" s="4" t="n">
        <v>60</v>
      </c>
      <c r="AN93" t="inlineStr">
        <is>
          <t>VB</t>
        </is>
      </c>
      <c r="AO93" t="inlineStr">
        <is>
          <t>41540 Nordrhein-Westfalen - Dormagen</t>
        </is>
      </c>
      <c r="AP93" s="5" t="n">
        <v>45528</v>
      </c>
      <c r="AQ93" t="inlineStr">
        <is>
          <t>Sold</t>
        </is>
      </c>
      <c r="AR93" s="6">
        <f>HYPERLINK("https://www.kleinanzeigen.de/s-anzeige/gun-sails-6-2-qm-komplett-rigg/2844772792-230-1881", "Link")</f>
        <v/>
      </c>
      <c r="AS93" s="6">
        <f>HYPERLINK("C:\Projects\Kleinanzeigen-Scraper\offer_images\2844772792", "Link")</f>
        <v/>
      </c>
      <c r="AT93" t="inlineStr">
        <is>
          <t>Björn Schenk</t>
        </is>
      </c>
      <c r="AU93" s="6">
        <f>HYPERLINK("https://www.kleinanzeigen.de/s-bestandsliste.html?userId=25301127", "Link")</f>
        <v/>
      </c>
      <c r="AV93" s="7" t="n">
        <v>45549.57914351852</v>
      </c>
      <c r="AW93" s="3" t="inlineStr">
        <is>
          <t>19.12</t>
        </is>
      </c>
      <c r="AX93" t="inlineStr">
        <is>
          <t>Köln</t>
        </is>
      </c>
      <c r="AY93" s="4" t="n">
        <v>60</v>
      </c>
      <c r="AZ93" t="inlineStr">
        <is>
          <t>VB</t>
        </is>
      </c>
      <c r="BA93" t="inlineStr">
        <is>
          <t>41540 Nordrhein-Westfalen - Dormagen</t>
        </is>
      </c>
      <c r="BB93" s="5" t="n">
        <v>45528</v>
      </c>
      <c r="BC93" t="inlineStr">
        <is>
          <t>Sold</t>
        </is>
      </c>
      <c r="BD93" s="6">
        <f>HYPERLINK("https://www.kleinanzeigen.de/s-anzeige/gun-sails-6-2-qm-komplett-rigg/2844772792-230-1881", "Link")</f>
        <v/>
      </c>
      <c r="BE93" s="6">
        <f>HYPERLINK("C:\Projects\Kleinanzeigen-Scraper\offer_images\2844772792", "Link")</f>
        <v/>
      </c>
      <c r="BF93" t="inlineStr">
        <is>
          <t>Björn Schenk</t>
        </is>
      </c>
      <c r="BG93" s="6">
        <f>HYPERLINK("https://www.kleinanzeigen.de/s-bestandsliste.html?userId=25301127", "Link")</f>
        <v/>
      </c>
      <c r="BH93" s="7" t="n">
        <v>45549.57914351852</v>
      </c>
      <c r="BI93" s="3" t="inlineStr">
        <is>
          <t>19.12</t>
        </is>
      </c>
      <c r="BJ93" t="inlineStr">
        <is>
          <t>Köln</t>
        </is>
      </c>
    </row>
    <row r="94">
      <c r="A94" s="2" t="n">
        <v>6.2</v>
      </c>
      <c r="B94" t="inlineStr">
        <is>
          <t>Point 7 Ac-One</t>
        </is>
      </c>
      <c r="C94" s="3" t="n">
        <v>400</v>
      </c>
      <c r="D94" s="3" t="inlineStr"/>
      <c r="E94" t="inlineStr">
        <is>
          <t>Racing</t>
        </is>
      </c>
      <c r="F94" t="inlineStr">
        <is>
          <t>2019</t>
        </is>
      </c>
      <c r="G94" t="inlineStr">
        <is>
          <t>used</t>
        </is>
      </c>
      <c r="H94" s="4" t="n">
        <v>380</v>
      </c>
      <c r="I94" t="inlineStr">
        <is>
          <t>VB</t>
        </is>
      </c>
      <c r="J94" t="inlineStr">
        <is>
          <t>91126 Bayern - Schwabach</t>
        </is>
      </c>
      <c r="K94" s="5" t="n">
        <v>45072</v>
      </c>
      <c r="L94" t="inlineStr"/>
      <c r="M94" s="6">
        <f>HYPERLINK("https://www.kleinanzeigen.de/s-anzeige/point-7-ac-one-6-2-black-1x-aufgebaut-mit-mast-im-set-/2452720297-230-7251", "Link")</f>
        <v/>
      </c>
      <c r="N94" s="6">
        <f>HYPERLINK("C:\Projects\Kleinanzeigen-Scraper\offer_images\2452720297", "Link")</f>
        <v/>
      </c>
      <c r="O94" t="inlineStr">
        <is>
          <t>Hr. A.</t>
        </is>
      </c>
      <c r="P94" s="6">
        <f>HYPERLINK("https://www.kleinanzeigen.de/s-bestandsliste.html?userId=6283007", "Link")</f>
        <v/>
      </c>
      <c r="Q94" s="7" t="n">
        <v>45549.5790625</v>
      </c>
      <c r="R94" s="3" t="inlineStr">
        <is>
          <t>137.42</t>
        </is>
      </c>
      <c r="S94" t="inlineStr">
        <is>
          <t>München</t>
        </is>
      </c>
      <c r="T94" t="inlineStr">
        <is>
          <t>Point 7 Blackcore</t>
        </is>
      </c>
      <c r="U94" s="3" t="n">
        <v>400</v>
      </c>
      <c r="V94" s="8" t="inlineStr">
        <is>
          <t>80%</t>
        </is>
      </c>
      <c r="W94" t="inlineStr">
        <is>
          <t>SDM</t>
        </is>
      </c>
      <c r="X94" s="4" t="n">
        <v>380</v>
      </c>
      <c r="Y94" t="inlineStr">
        <is>
          <t>VB</t>
        </is>
      </c>
      <c r="Z94" t="inlineStr">
        <is>
          <t>91126 Bayern - Schwabach</t>
        </is>
      </c>
      <c r="AA94" s="5" t="n">
        <v>45072</v>
      </c>
      <c r="AB94" t="inlineStr"/>
      <c r="AC94" s="6">
        <f>HYPERLINK("https://www.kleinanzeigen.de/s-anzeige/point-7-ac-one-6-2-black-1x-aufgebaut-mit-mast-im-set-/2452720297-230-7251", "Link")</f>
        <v/>
      </c>
      <c r="AD94" s="6">
        <f>HYPERLINK("C:\Projects\Kleinanzeigen-Scraper\offer_images\2452720297", "Link")</f>
        <v/>
      </c>
      <c r="AE94" t="inlineStr">
        <is>
          <t>Hr. A.</t>
        </is>
      </c>
      <c r="AF94" s="6">
        <f>HYPERLINK("https://www.kleinanzeigen.de/s-bestandsliste.html?userId=6283007", "Link")</f>
        <v/>
      </c>
      <c r="AG94" s="7" t="n">
        <v>45549.5790625</v>
      </c>
      <c r="AH94" s="3" t="inlineStr">
        <is>
          <t>137.42</t>
        </is>
      </c>
      <c r="AI94" t="inlineStr">
        <is>
          <t>München</t>
        </is>
      </c>
      <c r="AJ94" t="inlineStr"/>
      <c r="AK94" t="inlineStr"/>
      <c r="AL94" t="inlineStr"/>
      <c r="AM94" s="4" t="n">
        <v>380</v>
      </c>
      <c r="AN94" t="inlineStr">
        <is>
          <t>VB</t>
        </is>
      </c>
      <c r="AO94" t="inlineStr">
        <is>
          <t>91126 Bayern - Schwabach</t>
        </is>
      </c>
      <c r="AP94" s="5" t="n">
        <v>45072</v>
      </c>
      <c r="AQ94" t="inlineStr"/>
      <c r="AR94" s="6">
        <f>HYPERLINK("https://www.kleinanzeigen.de/s-anzeige/point-7-ac-one-6-2-black-1x-aufgebaut-mit-mast-im-set-/2452720297-230-7251", "Link")</f>
        <v/>
      </c>
      <c r="AS94" s="6">
        <f>HYPERLINK("C:\Projects\Kleinanzeigen-Scraper\offer_images\2452720297", "Link")</f>
        <v/>
      </c>
      <c r="AT94" t="inlineStr">
        <is>
          <t>Hr. A.</t>
        </is>
      </c>
      <c r="AU94" s="6">
        <f>HYPERLINK("https://www.kleinanzeigen.de/s-bestandsliste.html?userId=6283007", "Link")</f>
        <v/>
      </c>
      <c r="AV94" s="7" t="n">
        <v>45549.5790625</v>
      </c>
      <c r="AW94" s="3" t="inlineStr">
        <is>
          <t>137.42</t>
        </is>
      </c>
      <c r="AX94" t="inlineStr">
        <is>
          <t>München</t>
        </is>
      </c>
      <c r="AY94" s="4" t="n">
        <v>380</v>
      </c>
      <c r="AZ94" t="inlineStr">
        <is>
          <t>VB</t>
        </is>
      </c>
      <c r="BA94" t="inlineStr">
        <is>
          <t>91126 Bayern - Schwabach</t>
        </is>
      </c>
      <c r="BB94" s="5" t="n">
        <v>45072</v>
      </c>
      <c r="BC94" t="inlineStr"/>
      <c r="BD94" s="6">
        <f>HYPERLINK("https://www.kleinanzeigen.de/s-anzeige/point-7-ac-one-6-2-black-1x-aufgebaut-mit-mast-im-set-/2452720297-230-7251", "Link")</f>
        <v/>
      </c>
      <c r="BE94" s="6">
        <f>HYPERLINK("C:\Projects\Kleinanzeigen-Scraper\offer_images\2452720297", "Link")</f>
        <v/>
      </c>
      <c r="BF94" t="inlineStr">
        <is>
          <t>Hr. A.</t>
        </is>
      </c>
      <c r="BG94" s="6">
        <f>HYPERLINK("https://www.kleinanzeigen.de/s-bestandsliste.html?userId=6283007", "Link")</f>
        <v/>
      </c>
      <c r="BH94" s="7" t="n">
        <v>45549.5790625</v>
      </c>
      <c r="BI94" s="3" t="inlineStr">
        <is>
          <t>137.42</t>
        </is>
      </c>
      <c r="BJ94" t="inlineStr">
        <is>
          <t>München</t>
        </is>
      </c>
    </row>
    <row r="95">
      <c r="A95" s="2" t="n">
        <v>8</v>
      </c>
      <c r="B95" t="inlineStr">
        <is>
          <t>Severne NCX</t>
        </is>
      </c>
      <c r="C95" s="3" t="inlineStr"/>
      <c r="D95" s="3" t="inlineStr"/>
      <c r="E95" t="inlineStr"/>
      <c r="F95" t="inlineStr"/>
      <c r="G95" t="inlineStr">
        <is>
          <t>used</t>
        </is>
      </c>
      <c r="H95" s="4" t="n">
        <v>350</v>
      </c>
      <c r="I95" t="inlineStr"/>
      <c r="J95" t="inlineStr">
        <is>
          <t>88161 Bayern - Lindenberg im Allgäu</t>
        </is>
      </c>
      <c r="K95" s="5" t="n">
        <v>45531</v>
      </c>
      <c r="L95" t="inlineStr">
        <is>
          <t>Sold</t>
        </is>
      </c>
      <c r="M95" s="6">
        <f>HYPERLINK("https://www.kleinanzeigen.de/s-anzeige/surfsegel-severne-ncx-8m2-mit-490-carbonmast/2848039451-230-8596", "Link")</f>
        <v/>
      </c>
      <c r="N95" s="6">
        <f>HYPERLINK("C:\Projects\Kleinanzeigen-Scraper\offer_images\2848039451", "Link")</f>
        <v/>
      </c>
      <c r="O95" t="inlineStr">
        <is>
          <t>Frank Reisinger</t>
        </is>
      </c>
      <c r="P95" s="6">
        <f>HYPERLINK("https://www.kleinanzeigen.de/s-bestandsliste.html?userId=130614574", "Link")</f>
        <v/>
      </c>
      <c r="Q95" s="7" t="n">
        <v>45549.57881944445</v>
      </c>
      <c r="R95" s="3" t="inlineStr">
        <is>
          <t>118.20</t>
        </is>
      </c>
      <c r="S95" t="inlineStr">
        <is>
          <t>Bonndorf</t>
        </is>
      </c>
      <c r="T95" t="inlineStr">
        <is>
          <t>Severne</t>
        </is>
      </c>
      <c r="U95" s="3" t="n">
        <v>490</v>
      </c>
      <c r="V95" s="8" t="inlineStr">
        <is>
          <t>100%</t>
        </is>
      </c>
      <c r="W95" t="inlineStr"/>
      <c r="X95" s="4" t="n">
        <v>350</v>
      </c>
      <c r="Y95" t="inlineStr"/>
      <c r="Z95" t="inlineStr">
        <is>
          <t>88161 Bayern - Lindenberg im Allgäu</t>
        </is>
      </c>
      <c r="AA95" s="5" t="n">
        <v>45531</v>
      </c>
      <c r="AB95" t="inlineStr">
        <is>
          <t>Sold</t>
        </is>
      </c>
      <c r="AC95" s="6">
        <f>HYPERLINK("https://www.kleinanzeigen.de/s-anzeige/surfsegel-severne-ncx-8m2-mit-490-carbonmast/2848039451-230-8596", "Link")</f>
        <v/>
      </c>
      <c r="AD95" s="6">
        <f>HYPERLINK("C:\Projects\Kleinanzeigen-Scraper\offer_images\2848039451", "Link")</f>
        <v/>
      </c>
      <c r="AE95" t="inlineStr">
        <is>
          <t>Frank Reisinger</t>
        </is>
      </c>
      <c r="AF95" s="6">
        <f>HYPERLINK("https://www.kleinanzeigen.de/s-bestandsliste.html?userId=130614574", "Link")</f>
        <v/>
      </c>
      <c r="AG95" s="7" t="n">
        <v>45549.57881944445</v>
      </c>
      <c r="AH95" s="3" t="inlineStr">
        <is>
          <t>118.20</t>
        </is>
      </c>
      <c r="AI95" t="inlineStr">
        <is>
          <t>Bonndorf</t>
        </is>
      </c>
      <c r="AJ95" t="inlineStr"/>
      <c r="AK95" t="inlineStr"/>
      <c r="AL95" t="inlineStr"/>
      <c r="AM95" s="4" t="n">
        <v>350</v>
      </c>
      <c r="AN95" t="inlineStr"/>
      <c r="AO95" t="inlineStr">
        <is>
          <t>88161 Bayern - Lindenberg im Allgäu</t>
        </is>
      </c>
      <c r="AP95" s="5" t="n">
        <v>45531</v>
      </c>
      <c r="AQ95" t="inlineStr">
        <is>
          <t>Sold</t>
        </is>
      </c>
      <c r="AR95" s="6">
        <f>HYPERLINK("https://www.kleinanzeigen.de/s-anzeige/surfsegel-severne-ncx-8m2-mit-490-carbonmast/2848039451-230-8596", "Link")</f>
        <v/>
      </c>
      <c r="AS95" s="6">
        <f>HYPERLINK("C:\Projects\Kleinanzeigen-Scraper\offer_images\2848039451", "Link")</f>
        <v/>
      </c>
      <c r="AT95" t="inlineStr">
        <is>
          <t>Frank Reisinger</t>
        </is>
      </c>
      <c r="AU95" s="6">
        <f>HYPERLINK("https://www.kleinanzeigen.de/s-bestandsliste.html?userId=130614574", "Link")</f>
        <v/>
      </c>
      <c r="AV95" s="7" t="n">
        <v>45549.57881944445</v>
      </c>
      <c r="AW95" s="3" t="inlineStr">
        <is>
          <t>118.20</t>
        </is>
      </c>
      <c r="AX95" t="inlineStr">
        <is>
          <t>Bonndorf</t>
        </is>
      </c>
      <c r="AY95" s="4" t="n">
        <v>350</v>
      </c>
      <c r="AZ95" t="inlineStr"/>
      <c r="BA95" t="inlineStr">
        <is>
          <t>88161 Bayern - Lindenberg im Allgäu</t>
        </is>
      </c>
      <c r="BB95" s="5" t="n">
        <v>45531</v>
      </c>
      <c r="BC95" t="inlineStr">
        <is>
          <t>Sold</t>
        </is>
      </c>
      <c r="BD95" s="6">
        <f>HYPERLINK("https://www.kleinanzeigen.de/s-anzeige/surfsegel-severne-ncx-8m2-mit-490-carbonmast/2848039451-230-8596", "Link")</f>
        <v/>
      </c>
      <c r="BE95" s="6">
        <f>HYPERLINK("C:\Projects\Kleinanzeigen-Scraper\offer_images\2848039451", "Link")</f>
        <v/>
      </c>
      <c r="BF95" t="inlineStr">
        <is>
          <t>Frank Reisinger</t>
        </is>
      </c>
      <c r="BG95" s="6">
        <f>HYPERLINK("https://www.kleinanzeigen.de/s-bestandsliste.html?userId=130614574", "Link")</f>
        <v/>
      </c>
      <c r="BH95" s="7" t="n">
        <v>45549.57881944445</v>
      </c>
      <c r="BI95" s="3" t="inlineStr">
        <is>
          <t>118.20</t>
        </is>
      </c>
      <c r="BJ95" t="inlineStr">
        <is>
          <t>Bonndorf</t>
        </is>
      </c>
    </row>
    <row r="96">
      <c r="A96" s="2" t="n">
        <v>3.3</v>
      </c>
      <c r="B96" t="inlineStr">
        <is>
          <t>Neilpryde Dragonfly</t>
        </is>
      </c>
      <c r="C96" s="3" t="inlineStr"/>
      <c r="D96" s="3" t="inlineStr"/>
      <c r="E96" t="inlineStr"/>
      <c r="F96" t="inlineStr"/>
      <c r="G96" t="inlineStr">
        <is>
          <t>new</t>
        </is>
      </c>
      <c r="H96" s="4" t="n">
        <v>380</v>
      </c>
      <c r="I96" t="inlineStr">
        <is>
          <t>VB</t>
        </is>
      </c>
      <c r="J96" t="inlineStr">
        <is>
          <t>32760 Nordrhein-Westfalen - Detmold</t>
        </is>
      </c>
      <c r="K96" s="5" t="n">
        <v>45539</v>
      </c>
      <c r="L96" t="inlineStr">
        <is>
          <t>Sold</t>
        </is>
      </c>
      <c r="M96" s="6">
        <f>HYPERLINK("https://www.kleinanzeigen.de/s-anzeige/kindersegel-neilpryde-dragonfly-3-3-segel-mast-gabelbaum/2854553897-230-1795", "Link")</f>
        <v/>
      </c>
      <c r="N96" s="6">
        <f>HYPERLINK("C:\Projects\Kleinanzeigen-Scraper\offer_images\2854553897", "Link")</f>
        <v/>
      </c>
      <c r="O96" t="inlineStr">
        <is>
          <t>Torsten Stövesand</t>
        </is>
      </c>
      <c r="P96" s="6">
        <f>HYPERLINK("https://www.kleinanzeigen.de/s-bestandsliste.html?userId=47219035", "Link")</f>
        <v/>
      </c>
      <c r="Q96" s="7" t="n">
        <v>45549.57871527778</v>
      </c>
      <c r="R96" s="3" t="inlineStr">
        <is>
          <t>172.40</t>
        </is>
      </c>
      <c r="S96" t="inlineStr">
        <is>
          <t>Köln</t>
        </is>
      </c>
      <c r="T96" t="inlineStr">
        <is>
          <t>Neilpryde Dragonfly</t>
        </is>
      </c>
      <c r="U96" s="3" t="inlineStr"/>
      <c r="V96" s="8" t="inlineStr"/>
      <c r="W96" t="inlineStr"/>
      <c r="X96" s="4" t="n">
        <v>380</v>
      </c>
      <c r="Y96" t="inlineStr">
        <is>
          <t>VB</t>
        </is>
      </c>
      <c r="Z96" t="inlineStr">
        <is>
          <t>32760 Nordrhein-Westfalen - Detmold</t>
        </is>
      </c>
      <c r="AA96" s="5" t="n">
        <v>45539</v>
      </c>
      <c r="AB96" t="inlineStr">
        <is>
          <t>Sold</t>
        </is>
      </c>
      <c r="AC96" s="6">
        <f>HYPERLINK("https://www.kleinanzeigen.de/s-anzeige/kindersegel-neilpryde-dragonfly-3-3-segel-mast-gabelbaum/2854553897-230-1795", "Link")</f>
        <v/>
      </c>
      <c r="AD96" s="6">
        <f>HYPERLINK("C:\Projects\Kleinanzeigen-Scraper\offer_images\2854553897", "Link")</f>
        <v/>
      </c>
      <c r="AE96" t="inlineStr">
        <is>
          <t>Torsten Stövesand</t>
        </is>
      </c>
      <c r="AF96" s="6">
        <f>HYPERLINK("https://www.kleinanzeigen.de/s-bestandsliste.html?userId=47219035", "Link")</f>
        <v/>
      </c>
      <c r="AG96" s="7" t="n">
        <v>45549.57871527778</v>
      </c>
      <c r="AH96" s="3" t="inlineStr">
        <is>
          <t>172.40</t>
        </is>
      </c>
      <c r="AI96" t="inlineStr">
        <is>
          <t>Köln</t>
        </is>
      </c>
      <c r="AJ96" t="inlineStr"/>
      <c r="AK96" t="inlineStr"/>
      <c r="AL96" t="inlineStr"/>
      <c r="AM96" s="4" t="n">
        <v>380</v>
      </c>
      <c r="AN96" t="inlineStr">
        <is>
          <t>VB</t>
        </is>
      </c>
      <c r="AO96" t="inlineStr">
        <is>
          <t>32760 Nordrhein-Westfalen - Detmold</t>
        </is>
      </c>
      <c r="AP96" s="5" t="n">
        <v>45539</v>
      </c>
      <c r="AQ96" t="inlineStr">
        <is>
          <t>Sold</t>
        </is>
      </c>
      <c r="AR96" s="6">
        <f>HYPERLINK("https://www.kleinanzeigen.de/s-anzeige/kindersegel-neilpryde-dragonfly-3-3-segel-mast-gabelbaum/2854553897-230-1795", "Link")</f>
        <v/>
      </c>
      <c r="AS96" s="6">
        <f>HYPERLINK("C:\Projects\Kleinanzeigen-Scraper\offer_images\2854553897", "Link")</f>
        <v/>
      </c>
      <c r="AT96" t="inlineStr">
        <is>
          <t>Torsten Stövesand</t>
        </is>
      </c>
      <c r="AU96" s="6">
        <f>HYPERLINK("https://www.kleinanzeigen.de/s-bestandsliste.html?userId=47219035", "Link")</f>
        <v/>
      </c>
      <c r="AV96" s="7" t="n">
        <v>45549.57871527778</v>
      </c>
      <c r="AW96" s="3" t="inlineStr">
        <is>
          <t>172.40</t>
        </is>
      </c>
      <c r="AX96" t="inlineStr">
        <is>
          <t>Köln</t>
        </is>
      </c>
      <c r="AY96" s="4" t="n">
        <v>380</v>
      </c>
      <c r="AZ96" t="inlineStr">
        <is>
          <t>VB</t>
        </is>
      </c>
      <c r="BA96" t="inlineStr">
        <is>
          <t>32760 Nordrhein-Westfalen - Detmold</t>
        </is>
      </c>
      <c r="BB96" s="5" t="n">
        <v>45539</v>
      </c>
      <c r="BC96" t="inlineStr">
        <is>
          <t>Sold</t>
        </is>
      </c>
      <c r="BD96" s="6">
        <f>HYPERLINK("https://www.kleinanzeigen.de/s-anzeige/kindersegel-neilpryde-dragonfly-3-3-segel-mast-gabelbaum/2854553897-230-1795", "Link")</f>
        <v/>
      </c>
      <c r="BE96" s="6">
        <f>HYPERLINK("C:\Projects\Kleinanzeigen-Scraper\offer_images\2854553897", "Link")</f>
        <v/>
      </c>
      <c r="BF96" t="inlineStr">
        <is>
          <t>Torsten Stövesand</t>
        </is>
      </c>
      <c r="BG96" s="6">
        <f>HYPERLINK("https://www.kleinanzeigen.de/s-bestandsliste.html?userId=47219035", "Link")</f>
        <v/>
      </c>
      <c r="BH96" s="7" t="n">
        <v>45549.57871527778</v>
      </c>
      <c r="BI96" s="3" t="inlineStr">
        <is>
          <t>172.40</t>
        </is>
      </c>
      <c r="BJ96" t="inlineStr">
        <is>
          <t>Köln</t>
        </is>
      </c>
    </row>
    <row r="97">
      <c r="A97" s="2" t="n">
        <v>10</v>
      </c>
      <c r="B97" t="inlineStr">
        <is>
          <t>Neilpryde Flight Evo</t>
        </is>
      </c>
      <c r="C97" s="3" t="inlineStr"/>
      <c r="D97" s="3" t="inlineStr"/>
      <c r="E97" t="inlineStr"/>
      <c r="F97" t="inlineStr"/>
      <c r="G97" t="inlineStr"/>
      <c r="H97" s="4" t="n">
        <v>900</v>
      </c>
      <c r="I97" t="inlineStr">
        <is>
          <t>VB</t>
        </is>
      </c>
      <c r="J97" t="inlineStr">
        <is>
          <t>83317 Bayern - Teisendorf</t>
        </is>
      </c>
      <c r="K97" s="5" t="n">
        <v>45491</v>
      </c>
      <c r="L97" t="inlineStr"/>
      <c r="M97" s="6">
        <f>HYPERLINK("https://www.kleinanzeigen.de/s-anzeige/neilpryde-flight-evo-10-0-segel-komplettrigg/2815333434-230-6269", "Link")</f>
        <v/>
      </c>
      <c r="N97" s="6">
        <f>HYPERLINK("C:\Projects\Kleinanzeigen-Scraper\offer_images\2815333434", "Link")</f>
        <v/>
      </c>
      <c r="O97" t="inlineStr">
        <is>
          <t>Albert Maier</t>
        </is>
      </c>
      <c r="P97" s="6">
        <f>HYPERLINK("https://www.kleinanzeigen.de/s-bestandsliste.html?userId=15826908", "Link")</f>
        <v/>
      </c>
      <c r="Q97" s="7" t="n">
        <v>45549.57820601852</v>
      </c>
      <c r="R97" s="3" t="inlineStr">
        <is>
          <t>98.85</t>
        </is>
      </c>
      <c r="S97" t="inlineStr">
        <is>
          <t>München</t>
        </is>
      </c>
      <c r="T97" t="inlineStr">
        <is>
          <t>Neilpryde</t>
        </is>
      </c>
      <c r="U97" s="3" t="n">
        <v>550</v>
      </c>
      <c r="V97" s="8" t="inlineStr"/>
      <c r="W97" t="inlineStr"/>
      <c r="X97" s="4" t="n">
        <v>900</v>
      </c>
      <c r="Y97" t="inlineStr">
        <is>
          <t>VB</t>
        </is>
      </c>
      <c r="Z97" t="inlineStr">
        <is>
          <t>83317 Bayern - Teisendorf</t>
        </is>
      </c>
      <c r="AA97" s="5" t="n">
        <v>45491</v>
      </c>
      <c r="AB97" t="inlineStr"/>
      <c r="AC97" s="6">
        <f>HYPERLINK("https://www.kleinanzeigen.de/s-anzeige/neilpryde-flight-evo-10-0-segel-komplettrigg/2815333434-230-6269", "Link")</f>
        <v/>
      </c>
      <c r="AD97" s="6">
        <f>HYPERLINK("C:\Projects\Kleinanzeigen-Scraper\offer_images\2815333434", "Link")</f>
        <v/>
      </c>
      <c r="AE97" t="inlineStr">
        <is>
          <t>Albert Maier</t>
        </is>
      </c>
      <c r="AF97" s="6">
        <f>HYPERLINK("https://www.kleinanzeigen.de/s-bestandsliste.html?userId=15826908", "Link")</f>
        <v/>
      </c>
      <c r="AG97" s="7" t="n">
        <v>45549.57820601852</v>
      </c>
      <c r="AH97" s="3" t="inlineStr">
        <is>
          <t>98.85</t>
        </is>
      </c>
      <c r="AI97" t="inlineStr">
        <is>
          <t>München</t>
        </is>
      </c>
      <c r="AJ97" t="inlineStr"/>
      <c r="AK97" t="inlineStr"/>
      <c r="AL97" t="inlineStr"/>
      <c r="AM97" s="4" t="n">
        <v>900</v>
      </c>
      <c r="AN97" t="inlineStr">
        <is>
          <t>VB</t>
        </is>
      </c>
      <c r="AO97" t="inlineStr">
        <is>
          <t>83317 Bayern - Teisendorf</t>
        </is>
      </c>
      <c r="AP97" s="5" t="n">
        <v>45491</v>
      </c>
      <c r="AQ97" t="inlineStr"/>
      <c r="AR97" s="6">
        <f>HYPERLINK("https://www.kleinanzeigen.de/s-anzeige/neilpryde-flight-evo-10-0-segel-komplettrigg/2815333434-230-6269", "Link")</f>
        <v/>
      </c>
      <c r="AS97" s="6">
        <f>HYPERLINK("C:\Projects\Kleinanzeigen-Scraper\offer_images\2815333434", "Link")</f>
        <v/>
      </c>
      <c r="AT97" t="inlineStr">
        <is>
          <t>Albert Maier</t>
        </is>
      </c>
      <c r="AU97" s="6">
        <f>HYPERLINK("https://www.kleinanzeigen.de/s-bestandsliste.html?userId=15826908", "Link")</f>
        <v/>
      </c>
      <c r="AV97" s="7" t="n">
        <v>45549.57820601852</v>
      </c>
      <c r="AW97" s="3" t="inlineStr">
        <is>
          <t>98.85</t>
        </is>
      </c>
      <c r="AX97" t="inlineStr">
        <is>
          <t>München</t>
        </is>
      </c>
      <c r="AY97" s="4" t="n">
        <v>900</v>
      </c>
      <c r="AZ97" t="inlineStr">
        <is>
          <t>VB</t>
        </is>
      </c>
      <c r="BA97" t="inlineStr">
        <is>
          <t>83317 Bayern - Teisendorf</t>
        </is>
      </c>
      <c r="BB97" s="5" t="n">
        <v>45491</v>
      </c>
      <c r="BC97" t="inlineStr"/>
      <c r="BD97" s="6">
        <f>HYPERLINK("https://www.kleinanzeigen.de/s-anzeige/neilpryde-flight-evo-10-0-segel-komplettrigg/2815333434-230-6269", "Link")</f>
        <v/>
      </c>
      <c r="BE97" s="6">
        <f>HYPERLINK("C:\Projects\Kleinanzeigen-Scraper\offer_images\2815333434", "Link")</f>
        <v/>
      </c>
      <c r="BF97" t="inlineStr">
        <is>
          <t>Albert Maier</t>
        </is>
      </c>
      <c r="BG97" s="6">
        <f>HYPERLINK("https://www.kleinanzeigen.de/s-bestandsliste.html?userId=15826908", "Link")</f>
        <v/>
      </c>
      <c r="BH97" s="7" t="n">
        <v>45549.57820601852</v>
      </c>
      <c r="BI97" s="3" t="inlineStr">
        <is>
          <t>98.85</t>
        </is>
      </c>
      <c r="BJ97" t="inlineStr">
        <is>
          <t>München</t>
        </is>
      </c>
    </row>
    <row r="98">
      <c r="A98" s="2" t="n">
        <v>4.7</v>
      </c>
      <c r="B98" t="inlineStr">
        <is>
          <t>GUN Sails</t>
        </is>
      </c>
      <c r="C98" s="3" t="inlineStr"/>
      <c r="D98" s="3" t="inlineStr"/>
      <c r="E98" t="inlineStr"/>
      <c r="F98" t="inlineStr"/>
      <c r="G98" t="inlineStr">
        <is>
          <t>repaired</t>
        </is>
      </c>
      <c r="H98" s="4" t="n">
        <v>75</v>
      </c>
      <c r="I98" t="inlineStr">
        <is>
          <t>VB</t>
        </is>
      </c>
      <c r="J98" t="inlineStr">
        <is>
          <t>46147 Nordrhein-Westfalen - Oberhausen</t>
        </is>
      </c>
      <c r="K98" s="5" t="n">
        <v>45519</v>
      </c>
      <c r="L98" t="inlineStr"/>
      <c r="M98" s="6">
        <f>HYPERLINK("https://www.kleinanzeigen.de/s-anzeige/gun-sails-segel-4-7-komplettrigg/2837590130-230-1291", "Link")</f>
        <v/>
      </c>
      <c r="N98" s="6">
        <f>HYPERLINK("C:\Projects\Kleinanzeigen-Scraper\offer_images\2837590130", "Link")</f>
        <v/>
      </c>
      <c r="O98" t="inlineStr">
        <is>
          <t>Cornelia Wahl</t>
        </is>
      </c>
      <c r="P98" s="6">
        <f>HYPERLINK("https://www.kleinanzeigen.de/s-bestandsliste.html?userId=12537764", "Link")</f>
        <v/>
      </c>
      <c r="Q98" s="7" t="n">
        <v>45549.57818287037</v>
      </c>
      <c r="R98" s="3" t="inlineStr">
        <is>
          <t>67.87</t>
        </is>
      </c>
      <c r="S98" t="inlineStr">
        <is>
          <t>Köln</t>
        </is>
      </c>
      <c r="T98" t="inlineStr"/>
      <c r="U98" s="3" t="inlineStr"/>
      <c r="V98" s="8" t="inlineStr"/>
      <c r="W98" t="inlineStr"/>
      <c r="X98" s="4" t="n">
        <v>75</v>
      </c>
      <c r="Y98" t="inlineStr">
        <is>
          <t>VB</t>
        </is>
      </c>
      <c r="Z98" t="inlineStr">
        <is>
          <t>46147 Nordrhein-Westfalen - Oberhausen</t>
        </is>
      </c>
      <c r="AA98" s="5" t="n">
        <v>45519</v>
      </c>
      <c r="AB98" t="inlineStr"/>
      <c r="AC98" s="6">
        <f>HYPERLINK("https://www.kleinanzeigen.de/s-anzeige/gun-sails-segel-4-7-komplettrigg/2837590130-230-1291", "Link")</f>
        <v/>
      </c>
      <c r="AD98" s="6">
        <f>HYPERLINK("C:\Projects\Kleinanzeigen-Scraper\offer_images\2837590130", "Link")</f>
        <v/>
      </c>
      <c r="AE98" t="inlineStr">
        <is>
          <t>Cornelia Wahl</t>
        </is>
      </c>
      <c r="AF98" s="6">
        <f>HYPERLINK("https://www.kleinanzeigen.de/s-bestandsliste.html?userId=12537764", "Link")</f>
        <v/>
      </c>
      <c r="AG98" s="7" t="n">
        <v>45549.57818287037</v>
      </c>
      <c r="AH98" s="3" t="inlineStr">
        <is>
          <t>67.87</t>
        </is>
      </c>
      <c r="AI98" t="inlineStr">
        <is>
          <t>Köln</t>
        </is>
      </c>
      <c r="AJ98" t="inlineStr"/>
      <c r="AK98" t="inlineStr"/>
      <c r="AL98" t="inlineStr"/>
      <c r="AM98" s="4" t="n">
        <v>75</v>
      </c>
      <c r="AN98" t="inlineStr">
        <is>
          <t>VB</t>
        </is>
      </c>
      <c r="AO98" t="inlineStr">
        <is>
          <t>46147 Nordrhein-Westfalen - Oberhausen</t>
        </is>
      </c>
      <c r="AP98" s="5" t="n">
        <v>45519</v>
      </c>
      <c r="AQ98" t="inlineStr"/>
      <c r="AR98" s="6">
        <f>HYPERLINK("https://www.kleinanzeigen.de/s-anzeige/gun-sails-segel-4-7-komplettrigg/2837590130-230-1291", "Link")</f>
        <v/>
      </c>
      <c r="AS98" s="6">
        <f>HYPERLINK("C:\Projects\Kleinanzeigen-Scraper\offer_images\2837590130", "Link")</f>
        <v/>
      </c>
      <c r="AT98" t="inlineStr">
        <is>
          <t>Cornelia Wahl</t>
        </is>
      </c>
      <c r="AU98" s="6">
        <f>HYPERLINK("https://www.kleinanzeigen.de/s-bestandsliste.html?userId=12537764", "Link")</f>
        <v/>
      </c>
      <c r="AV98" s="7" t="n">
        <v>45549.57818287037</v>
      </c>
      <c r="AW98" s="3" t="inlineStr">
        <is>
          <t>67.87</t>
        </is>
      </c>
      <c r="AX98" t="inlineStr">
        <is>
          <t>Köln</t>
        </is>
      </c>
      <c r="AY98" s="4" t="n">
        <v>75</v>
      </c>
      <c r="AZ98" t="inlineStr">
        <is>
          <t>VB</t>
        </is>
      </c>
      <c r="BA98" t="inlineStr">
        <is>
          <t>46147 Nordrhein-Westfalen - Oberhausen</t>
        </is>
      </c>
      <c r="BB98" s="5" t="n">
        <v>45519</v>
      </c>
      <c r="BC98" t="inlineStr"/>
      <c r="BD98" s="6">
        <f>HYPERLINK("https://www.kleinanzeigen.de/s-anzeige/gun-sails-segel-4-7-komplettrigg/2837590130-230-1291", "Link")</f>
        <v/>
      </c>
      <c r="BE98" s="6">
        <f>HYPERLINK("C:\Projects\Kleinanzeigen-Scraper\offer_images\2837590130", "Link")</f>
        <v/>
      </c>
      <c r="BF98" t="inlineStr">
        <is>
          <t>Cornelia Wahl</t>
        </is>
      </c>
      <c r="BG98" s="6">
        <f>HYPERLINK("https://www.kleinanzeigen.de/s-bestandsliste.html?userId=12537764", "Link")</f>
        <v/>
      </c>
      <c r="BH98" s="7" t="n">
        <v>45549.57818287037</v>
      </c>
      <c r="BI98" s="3" t="inlineStr">
        <is>
          <t>67.87</t>
        </is>
      </c>
      <c r="BJ98" t="inlineStr">
        <is>
          <t>Köln</t>
        </is>
      </c>
    </row>
    <row r="99">
      <c r="A99" s="2" t="n">
        <v>6.1</v>
      </c>
      <c r="B99" t="inlineStr">
        <is>
          <t>Neil Pryde Expression</t>
        </is>
      </c>
      <c r="C99" s="3" t="inlineStr"/>
      <c r="D99" s="3" t="inlineStr"/>
      <c r="E99" t="inlineStr"/>
      <c r="F99" t="inlineStr"/>
      <c r="G99" t="inlineStr">
        <is>
          <t>used</t>
        </is>
      </c>
      <c r="H99" s="4" t="n">
        <v>279</v>
      </c>
      <c r="I99" t="inlineStr"/>
      <c r="J99" t="inlineStr">
        <is>
          <t>45772 Nordrhein-Westfalen - Marl</t>
        </is>
      </c>
      <c r="K99" s="5" t="n">
        <v>45548</v>
      </c>
      <c r="L99" t="inlineStr">
        <is>
          <t>Sold</t>
        </is>
      </c>
      <c r="M99" s="6">
        <f>HYPERLINK("https://www.kleinanzeigen.de/s-anzeige/6-1-neil-pryde-expression-komplettrigg-windsurfen-segel/2861950861-230-1772", "Link")</f>
        <v/>
      </c>
      <c r="N99" s="6">
        <f>HYPERLINK("C:\Projects\Kleinanzeigen-Scraper\offer_images\2861950861", "Link")</f>
        <v/>
      </c>
      <c r="O99" t="inlineStr">
        <is>
          <t>RRD</t>
        </is>
      </c>
      <c r="P99" s="6">
        <f>HYPERLINK("https://www.kleinanzeigen.de/s-bestandsliste.html?userId=13661901", "Link")</f>
        <v/>
      </c>
      <c r="Q99" s="7" t="n">
        <v>45549.57800925926</v>
      </c>
      <c r="R99" s="3" t="inlineStr">
        <is>
          <t>84.29</t>
        </is>
      </c>
      <c r="S99" t="inlineStr">
        <is>
          <t>Köln</t>
        </is>
      </c>
      <c r="T99" t="inlineStr">
        <is>
          <t>North Red Mast</t>
        </is>
      </c>
      <c r="U99" s="3" t="n">
        <v>460</v>
      </c>
      <c r="V99" s="8" t="inlineStr"/>
      <c r="W99" t="inlineStr"/>
      <c r="X99" s="4" t="n">
        <v>279</v>
      </c>
      <c r="Y99" t="inlineStr"/>
      <c r="Z99" t="inlineStr">
        <is>
          <t>45772 Nordrhein-Westfalen - Marl</t>
        </is>
      </c>
      <c r="AA99" s="5" t="n">
        <v>45548</v>
      </c>
      <c r="AB99" t="inlineStr">
        <is>
          <t>Sold</t>
        </is>
      </c>
      <c r="AC99" s="6">
        <f>HYPERLINK("https://www.kleinanzeigen.de/s-anzeige/6-1-neil-pryde-expression-komplettrigg-windsurfen-segel/2861950861-230-1772", "Link")</f>
        <v/>
      </c>
      <c r="AD99" s="6">
        <f>HYPERLINK("C:\Projects\Kleinanzeigen-Scraper\offer_images\2861950861", "Link")</f>
        <v/>
      </c>
      <c r="AE99" t="inlineStr">
        <is>
          <t>RRD</t>
        </is>
      </c>
      <c r="AF99" s="6">
        <f>HYPERLINK("https://www.kleinanzeigen.de/s-bestandsliste.html?userId=13661901", "Link")</f>
        <v/>
      </c>
      <c r="AG99" s="7" t="n">
        <v>45549.57800925926</v>
      </c>
      <c r="AH99" s="3" t="inlineStr">
        <is>
          <t>84.29</t>
        </is>
      </c>
      <c r="AI99" t="inlineStr">
        <is>
          <t>Köln</t>
        </is>
      </c>
      <c r="AJ99" t="inlineStr">
        <is>
          <t>Aerongabelbaum MTC26</t>
        </is>
      </c>
      <c r="AK99" t="inlineStr"/>
      <c r="AL99" t="inlineStr"/>
      <c r="AM99" s="4" t="n">
        <v>279</v>
      </c>
      <c r="AN99" t="inlineStr"/>
      <c r="AO99" t="inlineStr">
        <is>
          <t>45772 Nordrhein-Westfalen - Marl</t>
        </is>
      </c>
      <c r="AP99" s="5" t="n">
        <v>45548</v>
      </c>
      <c r="AQ99" t="inlineStr">
        <is>
          <t>Sold</t>
        </is>
      </c>
      <c r="AR99" s="6">
        <f>HYPERLINK("https://www.kleinanzeigen.de/s-anzeige/6-1-neil-pryde-expression-komplettrigg-windsurfen-segel/2861950861-230-1772", "Link")</f>
        <v/>
      </c>
      <c r="AS99" s="6">
        <f>HYPERLINK("C:\Projects\Kleinanzeigen-Scraper\offer_images\2861950861", "Link")</f>
        <v/>
      </c>
      <c r="AT99" t="inlineStr">
        <is>
          <t>RRD</t>
        </is>
      </c>
      <c r="AU99" s="6">
        <f>HYPERLINK("https://www.kleinanzeigen.de/s-bestandsliste.html?userId=13661901", "Link")</f>
        <v/>
      </c>
      <c r="AV99" s="7" t="n">
        <v>45549.57800925926</v>
      </c>
      <c r="AW99" s="3" t="inlineStr">
        <is>
          <t>84.29</t>
        </is>
      </c>
      <c r="AX99" t="inlineStr">
        <is>
          <t>Köln</t>
        </is>
      </c>
      <c r="AY99" s="4" t="n">
        <v>279</v>
      </c>
      <c r="AZ99" t="inlineStr"/>
      <c r="BA99" t="inlineStr">
        <is>
          <t>45772 Nordrhein-Westfalen - Marl</t>
        </is>
      </c>
      <c r="BB99" s="5" t="n">
        <v>45548</v>
      </c>
      <c r="BC99" t="inlineStr">
        <is>
          <t>Sold</t>
        </is>
      </c>
      <c r="BD99" s="6">
        <f>HYPERLINK("https://www.kleinanzeigen.de/s-anzeige/6-1-neil-pryde-expression-komplettrigg-windsurfen-segel/2861950861-230-1772", "Link")</f>
        <v/>
      </c>
      <c r="BE99" s="6">
        <f>HYPERLINK("C:\Projects\Kleinanzeigen-Scraper\offer_images\2861950861", "Link")</f>
        <v/>
      </c>
      <c r="BF99" t="inlineStr">
        <is>
          <t>RRD</t>
        </is>
      </c>
      <c r="BG99" s="6">
        <f>HYPERLINK("https://www.kleinanzeigen.de/s-bestandsliste.html?userId=13661901", "Link")</f>
        <v/>
      </c>
      <c r="BH99" s="7" t="n">
        <v>45549.57800925926</v>
      </c>
      <c r="BI99" s="3" t="inlineStr">
        <is>
          <t>84.29</t>
        </is>
      </c>
      <c r="BJ99" t="inlineStr">
        <is>
          <t>Köln</t>
        </is>
      </c>
    </row>
    <row r="100">
      <c r="A100" s="2" t="n">
        <v>5.5</v>
      </c>
      <c r="B100" t="inlineStr">
        <is>
          <t>Simmer</t>
        </is>
      </c>
      <c r="C100" s="3" t="inlineStr"/>
      <c r="D100" s="3" t="inlineStr"/>
      <c r="E100" t="inlineStr"/>
      <c r="F100" t="inlineStr"/>
      <c r="G100" t="inlineStr">
        <is>
          <t>used</t>
        </is>
      </c>
      <c r="H100" s="4" t="n">
        <v>100</v>
      </c>
      <c r="I100" t="inlineStr">
        <is>
          <t>VB</t>
        </is>
      </c>
      <c r="J100" t="inlineStr">
        <is>
          <t>95447 Bayern - Bayreuth</t>
        </is>
      </c>
      <c r="K100" s="5" t="n">
        <v>45439</v>
      </c>
      <c r="L100" t="inlineStr"/>
      <c r="M100" s="6">
        <f>HYPERLINK("https://www.kleinanzeigen.de/s-anzeige/simmer-windsurf-rig-5-5/2772496096-230-7495", "Link")</f>
        <v/>
      </c>
      <c r="N100" s="6">
        <f>HYPERLINK("C:\Projects\Kleinanzeigen-Scraper\offer_images\2772496096", "Link")</f>
        <v/>
      </c>
      <c r="O100" t="inlineStr">
        <is>
          <t>Finn</t>
        </is>
      </c>
      <c r="P100" s="6">
        <f>HYPERLINK("https://www.kleinanzeigen.de/s-bestandsliste.html?userId=129708351", "Link")</f>
        <v/>
      </c>
      <c r="Q100" s="7" t="n">
        <v>45549.57790509259</v>
      </c>
      <c r="R100" s="3" t="inlineStr">
        <is>
          <t>198.40</t>
        </is>
      </c>
      <c r="S100" t="inlineStr">
        <is>
          <t>München</t>
        </is>
      </c>
      <c r="T100" t="inlineStr">
        <is>
          <t>Simmer</t>
        </is>
      </c>
      <c r="U100" s="3" t="n">
        <v>430</v>
      </c>
      <c r="V100" s="8" t="inlineStr">
        <is>
          <t>30%</t>
        </is>
      </c>
      <c r="W100" t="inlineStr"/>
      <c r="X100" s="4" t="n">
        <v>100</v>
      </c>
      <c r="Y100" t="inlineStr">
        <is>
          <t>VB</t>
        </is>
      </c>
      <c r="Z100" t="inlineStr">
        <is>
          <t>95447 Bayern - Bayreuth</t>
        </is>
      </c>
      <c r="AA100" s="5" t="n">
        <v>45439</v>
      </c>
      <c r="AB100" t="inlineStr"/>
      <c r="AC100" s="6">
        <f>HYPERLINK("https://www.kleinanzeigen.de/s-anzeige/simmer-windsurf-rig-5-5/2772496096-230-7495", "Link")</f>
        <v/>
      </c>
      <c r="AD100" s="6">
        <f>HYPERLINK("C:\Projects\Kleinanzeigen-Scraper\offer_images\2772496096", "Link")</f>
        <v/>
      </c>
      <c r="AE100" t="inlineStr">
        <is>
          <t>Finn</t>
        </is>
      </c>
      <c r="AF100" s="6">
        <f>HYPERLINK("https://www.kleinanzeigen.de/s-bestandsliste.html?userId=129708351", "Link")</f>
        <v/>
      </c>
      <c r="AG100" s="7" t="n">
        <v>45549.57790509259</v>
      </c>
      <c r="AH100" s="3" t="inlineStr">
        <is>
          <t>198.40</t>
        </is>
      </c>
      <c r="AI100" t="inlineStr">
        <is>
          <t>München</t>
        </is>
      </c>
      <c r="AJ100" t="inlineStr">
        <is>
          <t>Simmer</t>
        </is>
      </c>
      <c r="AK100" t="inlineStr">
        <is>
          <t>175</t>
        </is>
      </c>
      <c r="AL100" t="inlineStr"/>
      <c r="AM100" s="4" t="n">
        <v>100</v>
      </c>
      <c r="AN100" t="inlineStr">
        <is>
          <t>VB</t>
        </is>
      </c>
      <c r="AO100" t="inlineStr">
        <is>
          <t>95447 Bayern - Bayreuth</t>
        </is>
      </c>
      <c r="AP100" s="5" t="n">
        <v>45439</v>
      </c>
      <c r="AQ100" t="inlineStr"/>
      <c r="AR100" s="6">
        <f>HYPERLINK("https://www.kleinanzeigen.de/s-anzeige/simmer-windsurf-rig-5-5/2772496096-230-7495", "Link")</f>
        <v/>
      </c>
      <c r="AS100" s="6">
        <f>HYPERLINK("C:\Projects\Kleinanzeigen-Scraper\offer_images\2772496096", "Link")</f>
        <v/>
      </c>
      <c r="AT100" t="inlineStr">
        <is>
          <t>Finn</t>
        </is>
      </c>
      <c r="AU100" s="6">
        <f>HYPERLINK("https://www.kleinanzeigen.de/s-bestandsliste.html?userId=129708351", "Link")</f>
        <v/>
      </c>
      <c r="AV100" s="7" t="n">
        <v>45549.57790509259</v>
      </c>
      <c r="AW100" s="3" t="inlineStr">
        <is>
          <t>198.40</t>
        </is>
      </c>
      <c r="AX100" t="inlineStr">
        <is>
          <t>München</t>
        </is>
      </c>
      <c r="AY100" s="4" t="n">
        <v>100</v>
      </c>
      <c r="AZ100" t="inlineStr">
        <is>
          <t>VB</t>
        </is>
      </c>
      <c r="BA100" t="inlineStr">
        <is>
          <t>95447 Bayern - Bayreuth</t>
        </is>
      </c>
      <c r="BB100" s="5" t="n">
        <v>45439</v>
      </c>
      <c r="BC100" t="inlineStr"/>
      <c r="BD100" s="6">
        <f>HYPERLINK("https://www.kleinanzeigen.de/s-anzeige/simmer-windsurf-rig-5-5/2772496096-230-7495", "Link")</f>
        <v/>
      </c>
      <c r="BE100" s="6">
        <f>HYPERLINK("C:\Projects\Kleinanzeigen-Scraper\offer_images\2772496096", "Link")</f>
        <v/>
      </c>
      <c r="BF100" t="inlineStr">
        <is>
          <t>Finn</t>
        </is>
      </c>
      <c r="BG100" s="6">
        <f>HYPERLINK("https://www.kleinanzeigen.de/s-bestandsliste.html?userId=129708351", "Link")</f>
        <v/>
      </c>
      <c r="BH100" s="7" t="n">
        <v>45549.57790509259</v>
      </c>
      <c r="BI100" s="3" t="inlineStr">
        <is>
          <t>198.40</t>
        </is>
      </c>
      <c r="BJ100" t="inlineStr">
        <is>
          <t>München</t>
        </is>
      </c>
    </row>
    <row r="101">
      <c r="A101" s="2" t="n">
        <v>8.5</v>
      </c>
      <c r="B101" t="inlineStr">
        <is>
          <t>Severne Convert</t>
        </is>
      </c>
      <c r="C101" s="3" t="inlineStr"/>
      <c r="D101" s="3" t="inlineStr"/>
      <c r="E101" t="inlineStr"/>
      <c r="F101" t="inlineStr">
        <is>
          <t>2016</t>
        </is>
      </c>
      <c r="G101" t="inlineStr">
        <is>
          <t>used</t>
        </is>
      </c>
      <c r="H101" s="4" t="n">
        <v>290</v>
      </c>
      <c r="I101" t="inlineStr">
        <is>
          <t>VB</t>
        </is>
      </c>
      <c r="J101" t="inlineStr">
        <is>
          <t>22159 Wandsbek - Hamburg Farmsen-Berne</t>
        </is>
      </c>
      <c r="K101" s="5" t="n">
        <v>45524</v>
      </c>
      <c r="L101" t="inlineStr"/>
      <c r="M101" s="6">
        <f>HYPERLINK("https://www.kleinanzeigen.de/s-anzeige/severne-convert-8-5-mast-sdm-white-460-gabelbaum-windsurf-segel/2842151557-230-9454", "Link")</f>
        <v/>
      </c>
      <c r="N101" s="6">
        <f>HYPERLINK("C:\Projects\Kleinanzeigen-Scraper\offer_images\2842151557", "Link")</f>
        <v/>
      </c>
      <c r="O101" t="inlineStr">
        <is>
          <t>Florian Hartl</t>
        </is>
      </c>
      <c r="P101" s="6">
        <f>HYPERLINK("https://www.kleinanzeigen.de/s-bestandsliste.html?userId=136030965", "Link")</f>
        <v/>
      </c>
      <c r="Q101" s="7" t="n">
        <v>45549.57775462963</v>
      </c>
      <c r="R101" s="3" t="inlineStr">
        <is>
          <t>367.33</t>
        </is>
      </c>
      <c r="S101" t="inlineStr">
        <is>
          <t>Köln</t>
        </is>
      </c>
      <c r="T101" t="inlineStr">
        <is>
          <t>Severne</t>
        </is>
      </c>
      <c r="U101" s="3" t="n">
        <v>460</v>
      </c>
      <c r="V101" s="8" t="inlineStr"/>
      <c r="W101" t="inlineStr">
        <is>
          <t>SDM</t>
        </is>
      </c>
      <c r="X101" s="4" t="n">
        <v>290</v>
      </c>
      <c r="Y101" t="inlineStr">
        <is>
          <t>VB</t>
        </is>
      </c>
      <c r="Z101" t="inlineStr">
        <is>
          <t>22159 Wandsbek - Hamburg Farmsen-Berne</t>
        </is>
      </c>
      <c r="AA101" s="5" t="n">
        <v>45524</v>
      </c>
      <c r="AB101" t="inlineStr"/>
      <c r="AC101" s="6">
        <f>HYPERLINK("https://www.kleinanzeigen.de/s-anzeige/severne-convert-8-5-mast-sdm-white-460-gabelbaum-windsurf-segel/2842151557-230-9454", "Link")</f>
        <v/>
      </c>
      <c r="AD101" s="6">
        <f>HYPERLINK("C:\Projects\Kleinanzeigen-Scraper\offer_images\2842151557", "Link")</f>
        <v/>
      </c>
      <c r="AE101" t="inlineStr">
        <is>
          <t>Florian Hartl</t>
        </is>
      </c>
      <c r="AF101" s="6">
        <f>HYPERLINK("https://www.kleinanzeigen.de/s-bestandsliste.html?userId=136030965", "Link")</f>
        <v/>
      </c>
      <c r="AG101" s="7" t="n">
        <v>45549.57775462963</v>
      </c>
      <c r="AH101" s="3" t="inlineStr">
        <is>
          <t>367.33</t>
        </is>
      </c>
      <c r="AI101" t="inlineStr">
        <is>
          <t>Köln</t>
        </is>
      </c>
      <c r="AJ101" t="inlineStr">
        <is>
          <t>Neilpryde X3</t>
        </is>
      </c>
      <c r="AK101" t="inlineStr"/>
      <c r="AL101" t="inlineStr">
        <is>
          <t>2018</t>
        </is>
      </c>
      <c r="AM101" s="4" t="n">
        <v>290</v>
      </c>
      <c r="AN101" t="inlineStr">
        <is>
          <t>VB</t>
        </is>
      </c>
      <c r="AO101" t="inlineStr">
        <is>
          <t>22159 Wandsbek - Hamburg Farmsen-Berne</t>
        </is>
      </c>
      <c r="AP101" s="5" t="n">
        <v>45524</v>
      </c>
      <c r="AQ101" t="inlineStr"/>
      <c r="AR101" s="6">
        <f>HYPERLINK("https://www.kleinanzeigen.de/s-anzeige/severne-convert-8-5-mast-sdm-white-460-gabelbaum-windsurf-segel/2842151557-230-9454", "Link")</f>
        <v/>
      </c>
      <c r="AS101" s="6">
        <f>HYPERLINK("C:\Projects\Kleinanzeigen-Scraper\offer_images\2842151557", "Link")</f>
        <v/>
      </c>
      <c r="AT101" t="inlineStr">
        <is>
          <t>Florian Hartl</t>
        </is>
      </c>
      <c r="AU101" s="6">
        <f>HYPERLINK("https://www.kleinanzeigen.de/s-bestandsliste.html?userId=136030965", "Link")</f>
        <v/>
      </c>
      <c r="AV101" s="7" t="n">
        <v>45549.57775462963</v>
      </c>
      <c r="AW101" s="3" t="inlineStr">
        <is>
          <t>367.33</t>
        </is>
      </c>
      <c r="AX101" t="inlineStr">
        <is>
          <t>Köln</t>
        </is>
      </c>
      <c r="AY101" s="4" t="n">
        <v>290</v>
      </c>
      <c r="AZ101" t="inlineStr">
        <is>
          <t>VB</t>
        </is>
      </c>
      <c r="BA101" t="inlineStr">
        <is>
          <t>22159 Wandsbek - Hamburg Farmsen-Berne</t>
        </is>
      </c>
      <c r="BB101" s="5" t="n">
        <v>45524</v>
      </c>
      <c r="BC101" t="inlineStr"/>
      <c r="BD101" s="6">
        <f>HYPERLINK("https://www.kleinanzeigen.de/s-anzeige/severne-convert-8-5-mast-sdm-white-460-gabelbaum-windsurf-segel/2842151557-230-9454", "Link")</f>
        <v/>
      </c>
      <c r="BE101" s="6">
        <f>HYPERLINK("C:\Projects\Kleinanzeigen-Scraper\offer_images\2842151557", "Link")</f>
        <v/>
      </c>
      <c r="BF101" t="inlineStr">
        <is>
          <t>Florian Hartl</t>
        </is>
      </c>
      <c r="BG101" s="6">
        <f>HYPERLINK("https://www.kleinanzeigen.de/s-bestandsliste.html?userId=136030965", "Link")</f>
        <v/>
      </c>
      <c r="BH101" s="7" t="n">
        <v>45549.57775462963</v>
      </c>
      <c r="BI101" s="3" t="inlineStr">
        <is>
          <t>367.33</t>
        </is>
      </c>
      <c r="BJ101" t="inlineStr">
        <is>
          <t>Köln</t>
        </is>
      </c>
    </row>
    <row r="102">
      <c r="A102" s="2" t="n">
        <v>6</v>
      </c>
      <c r="B102" t="inlineStr">
        <is>
          <t>Fanatic</t>
        </is>
      </c>
      <c r="C102" s="3" t="inlineStr"/>
      <c r="D102" s="3" t="inlineStr"/>
      <c r="E102" t="inlineStr"/>
      <c r="F102" t="inlineStr">
        <is>
          <t>3</t>
        </is>
      </c>
      <c r="G102" t="inlineStr">
        <is>
          <t>used</t>
        </is>
      </c>
      <c r="H102" s="4" t="n">
        <v>430</v>
      </c>
      <c r="I102" t="inlineStr">
        <is>
          <t>VB</t>
        </is>
      </c>
      <c r="J102" t="inlineStr">
        <is>
          <t>04349 Leipzig - Thekla</t>
        </is>
      </c>
      <c r="K102" s="5" t="n">
        <v>45523</v>
      </c>
      <c r="L102" t="inlineStr">
        <is>
          <t>Sold</t>
        </is>
      </c>
      <c r="M102" s="6">
        <f>HYPERLINK("https://www.kleinanzeigen.de/s-anzeige/windsurf-segel-fanatic-ride-komplett-rigg-6-0/2841017496-230-4239", "Link")</f>
        <v/>
      </c>
      <c r="N102" s="6">
        <f>HYPERLINK("C:\Projects\Kleinanzeigen-Scraper\offer_images\2841017496", "Link")</f>
        <v/>
      </c>
      <c r="O102" t="inlineStr">
        <is>
          <t>schmiha1946</t>
        </is>
      </c>
      <c r="P102" s="6">
        <f>HYPERLINK("https://www.kleinanzeigen.de/s-bestandsliste.html?userId=141447532", "Link")</f>
        <v/>
      </c>
      <c r="Q102" s="7" t="n">
        <v>45549.5772337963</v>
      </c>
      <c r="R102" s="3" t="inlineStr">
        <is>
          <t>365.97</t>
        </is>
      </c>
      <c r="S102" t="inlineStr">
        <is>
          <t>München</t>
        </is>
      </c>
      <c r="T102" t="inlineStr"/>
      <c r="U102" s="3" t="inlineStr"/>
      <c r="V102" s="8" t="inlineStr"/>
      <c r="W102" t="inlineStr"/>
      <c r="X102" s="4" t="n">
        <v>430</v>
      </c>
      <c r="Y102" t="inlineStr">
        <is>
          <t>VB</t>
        </is>
      </c>
      <c r="Z102" t="inlineStr">
        <is>
          <t>04349 Leipzig - Thekla</t>
        </is>
      </c>
      <c r="AA102" s="5" t="n">
        <v>45523</v>
      </c>
      <c r="AB102" t="inlineStr">
        <is>
          <t>Sold</t>
        </is>
      </c>
      <c r="AC102" s="6">
        <f>HYPERLINK("https://www.kleinanzeigen.de/s-anzeige/windsurf-segel-fanatic-ride-komplett-rigg-6-0/2841017496-230-4239", "Link")</f>
        <v/>
      </c>
      <c r="AD102" s="6">
        <f>HYPERLINK("C:\Projects\Kleinanzeigen-Scraper\offer_images\2841017496", "Link")</f>
        <v/>
      </c>
      <c r="AE102" t="inlineStr">
        <is>
          <t>schmiha1946</t>
        </is>
      </c>
      <c r="AF102" s="6">
        <f>HYPERLINK("https://www.kleinanzeigen.de/s-bestandsliste.html?userId=141447532", "Link")</f>
        <v/>
      </c>
      <c r="AG102" s="7" t="n">
        <v>45549.5772337963</v>
      </c>
      <c r="AH102" s="3" t="inlineStr">
        <is>
          <t>365.97</t>
        </is>
      </c>
      <c r="AI102" t="inlineStr">
        <is>
          <t>München</t>
        </is>
      </c>
      <c r="AJ102" t="inlineStr"/>
      <c r="AK102" t="inlineStr"/>
      <c r="AL102" t="inlineStr"/>
      <c r="AM102" s="4" t="n">
        <v>430</v>
      </c>
      <c r="AN102" t="inlineStr">
        <is>
          <t>VB</t>
        </is>
      </c>
      <c r="AO102" t="inlineStr">
        <is>
          <t>04349 Leipzig - Thekla</t>
        </is>
      </c>
      <c r="AP102" s="5" t="n">
        <v>45523</v>
      </c>
      <c r="AQ102" t="inlineStr">
        <is>
          <t>Sold</t>
        </is>
      </c>
      <c r="AR102" s="6">
        <f>HYPERLINK("https://www.kleinanzeigen.de/s-anzeige/windsurf-segel-fanatic-ride-komplett-rigg-6-0/2841017496-230-4239", "Link")</f>
        <v/>
      </c>
      <c r="AS102" s="6">
        <f>HYPERLINK("C:\Projects\Kleinanzeigen-Scraper\offer_images\2841017496", "Link")</f>
        <v/>
      </c>
      <c r="AT102" t="inlineStr">
        <is>
          <t>schmiha1946</t>
        </is>
      </c>
      <c r="AU102" s="6">
        <f>HYPERLINK("https://www.kleinanzeigen.de/s-bestandsliste.html?userId=141447532", "Link")</f>
        <v/>
      </c>
      <c r="AV102" s="7" t="n">
        <v>45549.5772337963</v>
      </c>
      <c r="AW102" s="3" t="inlineStr">
        <is>
          <t>365.97</t>
        </is>
      </c>
      <c r="AX102" t="inlineStr">
        <is>
          <t>München</t>
        </is>
      </c>
      <c r="AY102" s="4" t="n">
        <v>430</v>
      </c>
      <c r="AZ102" t="inlineStr">
        <is>
          <t>VB</t>
        </is>
      </c>
      <c r="BA102" t="inlineStr">
        <is>
          <t>04349 Leipzig - Thekla</t>
        </is>
      </c>
      <c r="BB102" s="5" t="n">
        <v>45523</v>
      </c>
      <c r="BC102" t="inlineStr">
        <is>
          <t>Sold</t>
        </is>
      </c>
      <c r="BD102" s="6">
        <f>HYPERLINK("https://www.kleinanzeigen.de/s-anzeige/windsurf-segel-fanatic-ride-komplett-rigg-6-0/2841017496-230-4239", "Link")</f>
        <v/>
      </c>
      <c r="BE102" s="6">
        <f>HYPERLINK("C:\Projects\Kleinanzeigen-Scraper\offer_images\2841017496", "Link")</f>
        <v/>
      </c>
      <c r="BF102" t="inlineStr">
        <is>
          <t>schmiha1946</t>
        </is>
      </c>
      <c r="BG102" s="6">
        <f>HYPERLINK("https://www.kleinanzeigen.de/s-bestandsliste.html?userId=141447532", "Link")</f>
        <v/>
      </c>
      <c r="BH102" s="7" t="n">
        <v>45549.5772337963</v>
      </c>
      <c r="BI102" s="3" t="inlineStr">
        <is>
          <t>365.97</t>
        </is>
      </c>
      <c r="BJ102" t="inlineStr">
        <is>
          <t>München</t>
        </is>
      </c>
    </row>
    <row r="103">
      <c r="A103" s="2" t="n">
        <v>7.5</v>
      </c>
      <c r="B103" t="inlineStr">
        <is>
          <t>Sailloft Traction</t>
        </is>
      </c>
      <c r="C103" s="3" t="n">
        <v>460</v>
      </c>
      <c r="D103" s="3" t="inlineStr"/>
      <c r="E103" t="inlineStr"/>
      <c r="F103" t="inlineStr"/>
      <c r="G103" t="inlineStr">
        <is>
          <t>used</t>
        </is>
      </c>
      <c r="H103" s="4" t="n">
        <v>100</v>
      </c>
      <c r="I103" t="inlineStr"/>
      <c r="J103" t="inlineStr">
        <is>
          <t>46539 Nordrhein-Westfalen - Dinslaken</t>
        </is>
      </c>
      <c r="K103" s="5" t="n">
        <v>45500</v>
      </c>
      <c r="L103" t="inlineStr"/>
      <c r="M103" s="6">
        <f>HYPERLINK("https://www.kleinanzeigen.de/s-anzeige/sailloft-traction-7-5-mit-mast/2822711415-230-1855", "Link")</f>
        <v/>
      </c>
      <c r="N103" s="6">
        <f>HYPERLINK("C:\Projects\Kleinanzeigen-Scraper\offer_images\2822711415", "Link")</f>
        <v/>
      </c>
      <c r="O103" t="inlineStr">
        <is>
          <t>Kuhlmann</t>
        </is>
      </c>
      <c r="P103" s="6">
        <f>HYPERLINK("https://www.kleinanzeigen.de/s-bestandsliste.html?userId=50984913", "Link")</f>
        <v/>
      </c>
      <c r="Q103" s="7" t="n">
        <v>45549.57700231481</v>
      </c>
      <c r="R103" s="3" t="inlineStr">
        <is>
          <t>72.34</t>
        </is>
      </c>
      <c r="S103" t="inlineStr">
        <is>
          <t>Köln</t>
        </is>
      </c>
      <c r="T103" t="inlineStr"/>
      <c r="U103" s="3" t="n">
        <v>460</v>
      </c>
      <c r="V103" s="8" t="inlineStr"/>
      <c r="W103" t="inlineStr"/>
      <c r="X103" s="4" t="n">
        <v>100</v>
      </c>
      <c r="Y103" t="inlineStr"/>
      <c r="Z103" t="inlineStr">
        <is>
          <t>46539 Nordrhein-Westfalen - Dinslaken</t>
        </is>
      </c>
      <c r="AA103" s="5" t="n">
        <v>45500</v>
      </c>
      <c r="AB103" t="inlineStr"/>
      <c r="AC103" s="6">
        <f>HYPERLINK("https://www.kleinanzeigen.de/s-anzeige/sailloft-traction-7-5-mit-mast/2822711415-230-1855", "Link")</f>
        <v/>
      </c>
      <c r="AD103" s="6">
        <f>HYPERLINK("C:\Projects\Kleinanzeigen-Scraper\offer_images\2822711415", "Link")</f>
        <v/>
      </c>
      <c r="AE103" t="inlineStr">
        <is>
          <t>Kuhlmann</t>
        </is>
      </c>
      <c r="AF103" s="6">
        <f>HYPERLINK("https://www.kleinanzeigen.de/s-bestandsliste.html?userId=50984913", "Link")</f>
        <v/>
      </c>
      <c r="AG103" s="7" t="n">
        <v>45549.57700231481</v>
      </c>
      <c r="AH103" s="3" t="inlineStr">
        <is>
          <t>72.34</t>
        </is>
      </c>
      <c r="AI103" t="inlineStr">
        <is>
          <t>Köln</t>
        </is>
      </c>
      <c r="AJ103" t="inlineStr"/>
      <c r="AK103" t="inlineStr"/>
      <c r="AL103" t="inlineStr"/>
      <c r="AM103" s="4" t="n">
        <v>100</v>
      </c>
      <c r="AN103" t="inlineStr"/>
      <c r="AO103" t="inlineStr">
        <is>
          <t>46539 Nordrhein-Westfalen - Dinslaken</t>
        </is>
      </c>
      <c r="AP103" s="5" t="n">
        <v>45500</v>
      </c>
      <c r="AQ103" t="inlineStr"/>
      <c r="AR103" s="6">
        <f>HYPERLINK("https://www.kleinanzeigen.de/s-anzeige/sailloft-traction-7-5-mit-mast/2822711415-230-1855", "Link")</f>
        <v/>
      </c>
      <c r="AS103" s="6">
        <f>HYPERLINK("C:\Projects\Kleinanzeigen-Scraper\offer_images\2822711415", "Link")</f>
        <v/>
      </c>
      <c r="AT103" t="inlineStr">
        <is>
          <t>Kuhlmann</t>
        </is>
      </c>
      <c r="AU103" s="6">
        <f>HYPERLINK("https://www.kleinanzeigen.de/s-bestandsliste.html?userId=50984913", "Link")</f>
        <v/>
      </c>
      <c r="AV103" s="7" t="n">
        <v>45549.57700231481</v>
      </c>
      <c r="AW103" s="3" t="inlineStr">
        <is>
          <t>72.34</t>
        </is>
      </c>
      <c r="AX103" t="inlineStr">
        <is>
          <t>Köln</t>
        </is>
      </c>
      <c r="AY103" s="4" t="n">
        <v>100</v>
      </c>
      <c r="AZ103" t="inlineStr"/>
      <c r="BA103" t="inlineStr">
        <is>
          <t>46539 Nordrhein-Westfalen - Dinslaken</t>
        </is>
      </c>
      <c r="BB103" s="5" t="n">
        <v>45500</v>
      </c>
      <c r="BC103" t="inlineStr"/>
      <c r="BD103" s="6">
        <f>HYPERLINK("https://www.kleinanzeigen.de/s-anzeige/sailloft-traction-7-5-mit-mast/2822711415-230-1855", "Link")</f>
        <v/>
      </c>
      <c r="BE103" s="6">
        <f>HYPERLINK("C:\Projects\Kleinanzeigen-Scraper\offer_images\2822711415", "Link")</f>
        <v/>
      </c>
      <c r="BF103" t="inlineStr">
        <is>
          <t>Kuhlmann</t>
        </is>
      </c>
      <c r="BG103" s="6">
        <f>HYPERLINK("https://www.kleinanzeigen.de/s-bestandsliste.html?userId=50984913", "Link")</f>
        <v/>
      </c>
      <c r="BH103" s="7" t="n">
        <v>45549.57700231481</v>
      </c>
      <c r="BI103" s="3" t="inlineStr">
        <is>
          <t>72.34</t>
        </is>
      </c>
      <c r="BJ103" t="inlineStr">
        <is>
          <t>Köln</t>
        </is>
      </c>
    </row>
    <row r="104">
      <c r="A104" s="2" t="n">
        <v>7.5</v>
      </c>
      <c r="B104" t="inlineStr">
        <is>
          <t>Gun Sails</t>
        </is>
      </c>
      <c r="C104" s="3" t="inlineStr"/>
      <c r="D104" s="3" t="inlineStr"/>
      <c r="E104" t="inlineStr"/>
      <c r="F104" t="inlineStr"/>
      <c r="G104" t="inlineStr">
        <is>
          <t>used</t>
        </is>
      </c>
      <c r="H104" s="4" t="n">
        <v>250</v>
      </c>
      <c r="I104" t="inlineStr">
        <is>
          <t>VB</t>
        </is>
      </c>
      <c r="J104" t="inlineStr">
        <is>
          <t>45359 Essen - Essen-Borbeck</t>
        </is>
      </c>
      <c r="K104" s="5" t="n">
        <v>45546</v>
      </c>
      <c r="L104" t="inlineStr">
        <is>
          <t>Sold</t>
        </is>
      </c>
      <c r="M104" s="6">
        <f>HYPERLINK("https://www.kleinanzeigen.de/s-anzeige/gun-sails-rigg-7-5-m2/2860774518-230-2034", "Link")</f>
        <v/>
      </c>
      <c r="N104" s="6">
        <f>HYPERLINK("C:\Projects\Kleinanzeigen-Scraper\offer_images\2860774518", "Link")</f>
        <v/>
      </c>
      <c r="O104" t="inlineStr">
        <is>
          <t>Kellmann</t>
        </is>
      </c>
      <c r="P104" s="6">
        <f>HYPERLINK("https://www.kleinanzeigen.de/s-bestandsliste.html?userId=3995074", "Link")</f>
        <v/>
      </c>
      <c r="Q104" s="7" t="n">
        <v>45549.57689814815</v>
      </c>
      <c r="R104" s="3" t="inlineStr">
        <is>
          <t>58.66</t>
        </is>
      </c>
      <c r="S104" t="inlineStr">
        <is>
          <t>Köln</t>
        </is>
      </c>
      <c r="T104" t="inlineStr">
        <is>
          <t>Gun Sails</t>
        </is>
      </c>
      <c r="U104" s="3" t="inlineStr"/>
      <c r="V104" s="8" t="inlineStr">
        <is>
          <t>50%</t>
        </is>
      </c>
      <c r="W104" t="inlineStr">
        <is>
          <t>SDM</t>
        </is>
      </c>
      <c r="X104" s="4" t="n">
        <v>250</v>
      </c>
      <c r="Y104" t="inlineStr">
        <is>
          <t>VB</t>
        </is>
      </c>
      <c r="Z104" t="inlineStr">
        <is>
          <t>45359 Essen - Essen-Borbeck</t>
        </is>
      </c>
      <c r="AA104" s="5" t="n">
        <v>45546</v>
      </c>
      <c r="AB104" t="inlineStr">
        <is>
          <t>Sold</t>
        </is>
      </c>
      <c r="AC104" s="6">
        <f>HYPERLINK("https://www.kleinanzeigen.de/s-anzeige/gun-sails-rigg-7-5-m2/2860774518-230-2034", "Link")</f>
        <v/>
      </c>
      <c r="AD104" s="6">
        <f>HYPERLINK("C:\Projects\Kleinanzeigen-Scraper\offer_images\2860774518", "Link")</f>
        <v/>
      </c>
      <c r="AE104" t="inlineStr">
        <is>
          <t>Kellmann</t>
        </is>
      </c>
      <c r="AF104" s="6">
        <f>HYPERLINK("https://www.kleinanzeigen.de/s-bestandsliste.html?userId=3995074", "Link")</f>
        <v/>
      </c>
      <c r="AG104" s="7" t="n">
        <v>45549.57689814815</v>
      </c>
      <c r="AH104" s="3" t="inlineStr">
        <is>
          <t>58.66</t>
        </is>
      </c>
      <c r="AI104" t="inlineStr">
        <is>
          <t>Köln</t>
        </is>
      </c>
      <c r="AJ104" t="inlineStr"/>
      <c r="AK104" t="inlineStr"/>
      <c r="AL104" t="inlineStr"/>
      <c r="AM104" s="4" t="n">
        <v>250</v>
      </c>
      <c r="AN104" t="inlineStr">
        <is>
          <t>VB</t>
        </is>
      </c>
      <c r="AO104" t="inlineStr">
        <is>
          <t>45359 Essen - Essen-Borbeck</t>
        </is>
      </c>
      <c r="AP104" s="5" t="n">
        <v>45546</v>
      </c>
      <c r="AQ104" t="inlineStr">
        <is>
          <t>Sold</t>
        </is>
      </c>
      <c r="AR104" s="6">
        <f>HYPERLINK("https://www.kleinanzeigen.de/s-anzeige/gun-sails-rigg-7-5-m2/2860774518-230-2034", "Link")</f>
        <v/>
      </c>
      <c r="AS104" s="6">
        <f>HYPERLINK("C:\Projects\Kleinanzeigen-Scraper\offer_images\2860774518", "Link")</f>
        <v/>
      </c>
      <c r="AT104" t="inlineStr">
        <is>
          <t>Kellmann</t>
        </is>
      </c>
      <c r="AU104" s="6">
        <f>HYPERLINK("https://www.kleinanzeigen.de/s-bestandsliste.html?userId=3995074", "Link")</f>
        <v/>
      </c>
      <c r="AV104" s="7" t="n">
        <v>45549.57689814815</v>
      </c>
      <c r="AW104" s="3" t="inlineStr">
        <is>
          <t>58.66</t>
        </is>
      </c>
      <c r="AX104" t="inlineStr">
        <is>
          <t>Köln</t>
        </is>
      </c>
      <c r="AY104" s="4" t="n">
        <v>250</v>
      </c>
      <c r="AZ104" t="inlineStr">
        <is>
          <t>VB</t>
        </is>
      </c>
      <c r="BA104" t="inlineStr">
        <is>
          <t>45359 Essen - Essen-Borbeck</t>
        </is>
      </c>
      <c r="BB104" s="5" t="n">
        <v>45546</v>
      </c>
      <c r="BC104" t="inlineStr">
        <is>
          <t>Sold</t>
        </is>
      </c>
      <c r="BD104" s="6">
        <f>HYPERLINK("https://www.kleinanzeigen.de/s-anzeige/gun-sails-rigg-7-5-m2/2860774518-230-2034", "Link")</f>
        <v/>
      </c>
      <c r="BE104" s="6">
        <f>HYPERLINK("C:\Projects\Kleinanzeigen-Scraper\offer_images\2860774518", "Link")</f>
        <v/>
      </c>
      <c r="BF104" t="inlineStr">
        <is>
          <t>Kellmann</t>
        </is>
      </c>
      <c r="BG104" s="6">
        <f>HYPERLINK("https://www.kleinanzeigen.de/s-bestandsliste.html?userId=3995074", "Link")</f>
        <v/>
      </c>
      <c r="BH104" s="7" t="n">
        <v>45549.57689814815</v>
      </c>
      <c r="BI104" s="3" t="inlineStr">
        <is>
          <t>58.66</t>
        </is>
      </c>
      <c r="BJ104" t="inlineStr">
        <is>
          <t>Köln</t>
        </is>
      </c>
    </row>
    <row r="105">
      <c r="A105" s="2" t="n">
        <v>8.6</v>
      </c>
      <c r="B105" t="inlineStr">
        <is>
          <t>Severne Overdrive</t>
        </is>
      </c>
      <c r="C105" s="3" t="inlineStr"/>
      <c r="D105" s="3" t="inlineStr"/>
      <c r="E105" t="inlineStr">
        <is>
          <t>Slalom</t>
        </is>
      </c>
      <c r="F105" t="inlineStr"/>
      <c r="G105" t="inlineStr">
        <is>
          <t>used</t>
        </is>
      </c>
      <c r="H105" s="4" t="n">
        <v>450</v>
      </c>
      <c r="I105" t="inlineStr"/>
      <c r="J105" t="inlineStr">
        <is>
          <t>91785 Bayern - Pleinfeld</t>
        </is>
      </c>
      <c r="K105" s="5" t="n">
        <v>45487</v>
      </c>
      <c r="L105" t="inlineStr"/>
      <c r="M105" s="6">
        <f>HYPERLINK("https://www.kleinanzeigen.de/s-anzeige/severne-overdrive-8-6qm-als-komplett-rigg-od-segel-einzelverk-/2811832425-230-5863", "Link")</f>
        <v/>
      </c>
      <c r="N105" s="6">
        <f>HYPERLINK("C:\Projects\Kleinanzeigen-Scraper\offer_images\2811832425", "Link")</f>
        <v/>
      </c>
      <c r="O105" t="inlineStr">
        <is>
          <t>karin</t>
        </is>
      </c>
      <c r="P105" s="6">
        <f>HYPERLINK("https://www.kleinanzeigen.de/s-bestandsliste.html?userId=141998902", "Link")</f>
        <v/>
      </c>
      <c r="Q105" s="7" t="n">
        <v>45549.57686342593</v>
      </c>
      <c r="R105" s="3" t="inlineStr">
        <is>
          <t>116.79</t>
        </is>
      </c>
      <c r="S105" t="inlineStr">
        <is>
          <t>München</t>
        </is>
      </c>
      <c r="T105" t="inlineStr">
        <is>
          <t>Severne Apex</t>
        </is>
      </c>
      <c r="U105" s="3" t="inlineStr"/>
      <c r="V105" s="8" t="inlineStr">
        <is>
          <t>75%</t>
        </is>
      </c>
      <c r="W105" t="inlineStr"/>
      <c r="X105" s="4" t="n">
        <v>450</v>
      </c>
      <c r="Y105" t="inlineStr"/>
      <c r="Z105" t="inlineStr">
        <is>
          <t>91785 Bayern - Pleinfeld</t>
        </is>
      </c>
      <c r="AA105" s="5" t="n">
        <v>45487</v>
      </c>
      <c r="AB105" t="inlineStr"/>
      <c r="AC105" s="6">
        <f>HYPERLINK("https://www.kleinanzeigen.de/s-anzeige/severne-overdrive-8-6qm-als-komplett-rigg-od-segel-einzelverk-/2811832425-230-5863", "Link")</f>
        <v/>
      </c>
      <c r="AD105" s="6">
        <f>HYPERLINK("C:\Projects\Kleinanzeigen-Scraper\offer_images\2811832425", "Link")</f>
        <v/>
      </c>
      <c r="AE105" t="inlineStr">
        <is>
          <t>karin</t>
        </is>
      </c>
      <c r="AF105" s="6">
        <f>HYPERLINK("https://www.kleinanzeigen.de/s-bestandsliste.html?userId=141998902", "Link")</f>
        <v/>
      </c>
      <c r="AG105" s="7" t="n">
        <v>45549.57686342593</v>
      </c>
      <c r="AH105" s="3" t="inlineStr">
        <is>
          <t>116.79</t>
        </is>
      </c>
      <c r="AI105" t="inlineStr">
        <is>
          <t>München</t>
        </is>
      </c>
      <c r="AJ105" t="inlineStr">
        <is>
          <t>North</t>
        </is>
      </c>
      <c r="AK105" t="inlineStr"/>
      <c r="AL105" t="inlineStr"/>
      <c r="AM105" s="4" t="n">
        <v>450</v>
      </c>
      <c r="AN105" t="inlineStr"/>
      <c r="AO105" t="inlineStr">
        <is>
          <t>91785 Bayern - Pleinfeld</t>
        </is>
      </c>
      <c r="AP105" s="5" t="n">
        <v>45487</v>
      </c>
      <c r="AQ105" t="inlineStr"/>
      <c r="AR105" s="6">
        <f>HYPERLINK("https://www.kleinanzeigen.de/s-anzeige/severne-overdrive-8-6qm-als-komplett-rigg-od-segel-einzelverk-/2811832425-230-5863", "Link")</f>
        <v/>
      </c>
      <c r="AS105" s="6">
        <f>HYPERLINK("C:\Projects\Kleinanzeigen-Scraper\offer_images\2811832425", "Link")</f>
        <v/>
      </c>
      <c r="AT105" t="inlineStr">
        <is>
          <t>karin</t>
        </is>
      </c>
      <c r="AU105" s="6">
        <f>HYPERLINK("https://www.kleinanzeigen.de/s-bestandsliste.html?userId=141998902", "Link")</f>
        <v/>
      </c>
      <c r="AV105" s="7" t="n">
        <v>45549.57686342593</v>
      </c>
      <c r="AW105" s="3" t="inlineStr">
        <is>
          <t>116.79</t>
        </is>
      </c>
      <c r="AX105" t="inlineStr">
        <is>
          <t>München</t>
        </is>
      </c>
      <c r="AY105" s="4" t="n">
        <v>450</v>
      </c>
      <c r="AZ105" t="inlineStr"/>
      <c r="BA105" t="inlineStr">
        <is>
          <t>91785 Bayern - Pleinfeld</t>
        </is>
      </c>
      <c r="BB105" s="5" t="n">
        <v>45487</v>
      </c>
      <c r="BC105" t="inlineStr"/>
      <c r="BD105" s="6">
        <f>HYPERLINK("https://www.kleinanzeigen.de/s-anzeige/severne-overdrive-8-6qm-als-komplett-rigg-od-segel-einzelverk-/2811832425-230-5863", "Link")</f>
        <v/>
      </c>
      <c r="BE105" s="6">
        <f>HYPERLINK("C:\Projects\Kleinanzeigen-Scraper\offer_images\2811832425", "Link")</f>
        <v/>
      </c>
      <c r="BF105" t="inlineStr">
        <is>
          <t>karin</t>
        </is>
      </c>
      <c r="BG105" s="6">
        <f>HYPERLINK("https://www.kleinanzeigen.de/s-bestandsliste.html?userId=141998902", "Link")</f>
        <v/>
      </c>
      <c r="BH105" s="7" t="n">
        <v>45549.57686342593</v>
      </c>
      <c r="BI105" s="3" t="inlineStr">
        <is>
          <t>116.79</t>
        </is>
      </c>
      <c r="BJ105" t="inlineStr">
        <is>
          <t>München</t>
        </is>
      </c>
    </row>
    <row r="106">
      <c r="A106" s="2" t="n">
        <v>6</v>
      </c>
      <c r="B106" t="inlineStr">
        <is>
          <t>Neilpryde Fusion</t>
        </is>
      </c>
      <c r="C106" s="3" t="n">
        <v>430</v>
      </c>
      <c r="D106" s="3" t="n">
        <v>195</v>
      </c>
      <c r="E106" t="inlineStr"/>
      <c r="F106" t="inlineStr">
        <is>
          <t>2016</t>
        </is>
      </c>
      <c r="G106" t="inlineStr">
        <is>
          <t>used</t>
        </is>
      </c>
      <c r="H106" s="4" t="n">
        <v>450</v>
      </c>
      <c r="I106" t="inlineStr">
        <is>
          <t>VB</t>
        </is>
      </c>
      <c r="J106" t="inlineStr">
        <is>
          <t>83024 Bayern - Rosenheim</t>
        </is>
      </c>
      <c r="K106" s="5" t="n">
        <v>45523</v>
      </c>
      <c r="L106" t="inlineStr"/>
      <c r="M106" s="6">
        <f>HYPERLINK("https://www.kleinanzeigen.de/s-anzeige/neilpryde-fusion-6-0-komplett-rig/2840713118-230-7582", "Link")</f>
        <v/>
      </c>
      <c r="N106" s="6">
        <f>HYPERLINK("C:\Projects\Kleinanzeigen-Scraper\offer_images\2840713118", "Link")</f>
        <v/>
      </c>
      <c r="O106" t="inlineStr">
        <is>
          <t>Michael Huber</t>
        </is>
      </c>
      <c r="P106" s="6">
        <f>HYPERLINK("https://www.kleinanzeigen.de/s-bestandsliste.html?userId=49263767", "Link")</f>
        <v/>
      </c>
      <c r="Q106" s="7" t="n">
        <v>45549.57578703704</v>
      </c>
      <c r="R106" s="3" t="inlineStr">
        <is>
          <t>49.51</t>
        </is>
      </c>
      <c r="S106" t="inlineStr">
        <is>
          <t>München</t>
        </is>
      </c>
      <c r="T106" t="inlineStr">
        <is>
          <t>Neilpryde SPX 65</t>
        </is>
      </c>
      <c r="U106" s="3" t="n">
        <v>430</v>
      </c>
      <c r="V106" s="8" t="inlineStr"/>
      <c r="W106" t="inlineStr">
        <is>
          <t>SDM</t>
        </is>
      </c>
      <c r="X106" s="4" t="n">
        <v>450</v>
      </c>
      <c r="Y106" t="inlineStr">
        <is>
          <t>VB</t>
        </is>
      </c>
      <c r="Z106" t="inlineStr">
        <is>
          <t>83024 Bayern - Rosenheim</t>
        </is>
      </c>
      <c r="AA106" s="5" t="n">
        <v>45523</v>
      </c>
      <c r="AB106" t="inlineStr"/>
      <c r="AC106" s="6">
        <f>HYPERLINK("https://www.kleinanzeigen.de/s-anzeige/neilpryde-fusion-6-0-komplett-rig/2840713118-230-7582", "Link")</f>
        <v/>
      </c>
      <c r="AD106" s="6">
        <f>HYPERLINK("C:\Projects\Kleinanzeigen-Scraper\offer_images\2840713118", "Link")</f>
        <v/>
      </c>
      <c r="AE106" t="inlineStr">
        <is>
          <t>Michael Huber</t>
        </is>
      </c>
      <c r="AF106" s="6">
        <f>HYPERLINK("https://www.kleinanzeigen.de/s-bestandsliste.html?userId=49263767", "Link")</f>
        <v/>
      </c>
      <c r="AG106" s="7" t="n">
        <v>45549.57578703704</v>
      </c>
      <c r="AH106" s="3" t="inlineStr">
        <is>
          <t>49.51</t>
        </is>
      </c>
      <c r="AI106" t="inlineStr">
        <is>
          <t>München</t>
        </is>
      </c>
      <c r="AJ106" t="inlineStr">
        <is>
          <t>Duotone Silver</t>
        </is>
      </c>
      <c r="AK106" t="inlineStr">
        <is>
          <t>180-230</t>
        </is>
      </c>
      <c r="AL106" t="inlineStr"/>
      <c r="AM106" s="4" t="n">
        <v>450</v>
      </c>
      <c r="AN106" t="inlineStr">
        <is>
          <t>VB</t>
        </is>
      </c>
      <c r="AO106" t="inlineStr">
        <is>
          <t>83024 Bayern - Rosenheim</t>
        </is>
      </c>
      <c r="AP106" s="5" t="n">
        <v>45523</v>
      </c>
      <c r="AQ106" t="inlineStr"/>
      <c r="AR106" s="6">
        <f>HYPERLINK("https://www.kleinanzeigen.de/s-anzeige/neilpryde-fusion-6-0-komplett-rig/2840713118-230-7582", "Link")</f>
        <v/>
      </c>
      <c r="AS106" s="6">
        <f>HYPERLINK("C:\Projects\Kleinanzeigen-Scraper\offer_images\2840713118", "Link")</f>
        <v/>
      </c>
      <c r="AT106" t="inlineStr">
        <is>
          <t>Michael Huber</t>
        </is>
      </c>
      <c r="AU106" s="6">
        <f>HYPERLINK("https://www.kleinanzeigen.de/s-bestandsliste.html?userId=49263767", "Link")</f>
        <v/>
      </c>
      <c r="AV106" s="7" t="n">
        <v>45549.57578703704</v>
      </c>
      <c r="AW106" s="3" t="inlineStr">
        <is>
          <t>49.51</t>
        </is>
      </c>
      <c r="AX106" t="inlineStr">
        <is>
          <t>München</t>
        </is>
      </c>
      <c r="AY106" s="4" t="n">
        <v>450</v>
      </c>
      <c r="AZ106" t="inlineStr">
        <is>
          <t>VB</t>
        </is>
      </c>
      <c r="BA106" t="inlineStr">
        <is>
          <t>83024 Bayern - Rosenheim</t>
        </is>
      </c>
      <c r="BB106" s="5" t="n">
        <v>45523</v>
      </c>
      <c r="BC106" t="inlineStr"/>
      <c r="BD106" s="6">
        <f>HYPERLINK("https://www.kleinanzeigen.de/s-anzeige/neilpryde-fusion-6-0-komplett-rig/2840713118-230-7582", "Link")</f>
        <v/>
      </c>
      <c r="BE106" s="6">
        <f>HYPERLINK("C:\Projects\Kleinanzeigen-Scraper\offer_images\2840713118", "Link")</f>
        <v/>
      </c>
      <c r="BF106" t="inlineStr">
        <is>
          <t>Michael Huber</t>
        </is>
      </c>
      <c r="BG106" s="6">
        <f>HYPERLINK("https://www.kleinanzeigen.de/s-bestandsliste.html?userId=49263767", "Link")</f>
        <v/>
      </c>
      <c r="BH106" s="7" t="n">
        <v>45549.57578703704</v>
      </c>
      <c r="BI106" s="3" t="inlineStr">
        <is>
          <t>49.51</t>
        </is>
      </c>
      <c r="BJ106" t="inlineStr">
        <is>
          <t>München</t>
        </is>
      </c>
    </row>
    <row r="107">
      <c r="A107" s="2" t="n">
        <v>8.699999999999999</v>
      </c>
      <c r="B107" t="inlineStr">
        <is>
          <t>Gun Sails Bow</t>
        </is>
      </c>
      <c r="C107" s="3" t="n">
        <v>519</v>
      </c>
      <c r="D107" s="3" t="inlineStr">
        <is>
          <t>230-237</t>
        </is>
      </c>
      <c r="E107" t="inlineStr">
        <is>
          <t>Freeride/Freerace</t>
        </is>
      </c>
      <c r="F107" t="inlineStr">
        <is>
          <t>2022</t>
        </is>
      </c>
      <c r="G107" t="inlineStr">
        <is>
          <t>used</t>
        </is>
      </c>
      <c r="H107" s="4" t="n">
        <v>320</v>
      </c>
      <c r="I107" t="inlineStr">
        <is>
          <t>VB</t>
        </is>
      </c>
      <c r="J107" t="inlineStr">
        <is>
          <t>23769 Fehmarn - Westfehmarn</t>
        </is>
      </c>
      <c r="K107" s="5" t="n">
        <v>45462</v>
      </c>
      <c r="L107" t="inlineStr"/>
      <c r="M107" s="6">
        <f>HYPERLINK("https://www.kleinanzeigen.de/s-anzeige/gun-sails-bow-8-7m2-inkl-490er-bow-mast/2792471428-230-430", "Link")</f>
        <v/>
      </c>
      <c r="N107" s="6">
        <f>HYPERLINK("C:\Projects\Kleinanzeigen-Scraper\offer_images\2792471428", "Link")</f>
        <v/>
      </c>
      <c r="O107" t="inlineStr">
        <is>
          <t>BD</t>
        </is>
      </c>
      <c r="P107" s="6">
        <f>HYPERLINK("https://www.kleinanzeigen.de/s-bestandsliste.html?userId=57572384", "Link")</f>
        <v/>
      </c>
      <c r="Q107" s="7" t="n">
        <v>45549.57563657407</v>
      </c>
      <c r="R107" s="3" t="inlineStr">
        <is>
          <t>483.01</t>
        </is>
      </c>
      <c r="S107" t="inlineStr">
        <is>
          <t>Köln</t>
        </is>
      </c>
      <c r="T107" t="inlineStr">
        <is>
          <t>Gun Sails Bow</t>
        </is>
      </c>
      <c r="U107" s="3" t="n">
        <v>490</v>
      </c>
      <c r="V107" s="8" t="inlineStr"/>
      <c r="W107" t="inlineStr"/>
      <c r="X107" s="4" t="n">
        <v>320</v>
      </c>
      <c r="Y107" t="inlineStr">
        <is>
          <t>VB</t>
        </is>
      </c>
      <c r="Z107" t="inlineStr">
        <is>
          <t>23769 Fehmarn - Westfehmarn</t>
        </is>
      </c>
      <c r="AA107" s="5" t="n">
        <v>45462</v>
      </c>
      <c r="AB107" t="inlineStr"/>
      <c r="AC107" s="6">
        <f>HYPERLINK("https://www.kleinanzeigen.de/s-anzeige/gun-sails-bow-8-7m2-inkl-490er-bow-mast/2792471428-230-430", "Link")</f>
        <v/>
      </c>
      <c r="AD107" s="6">
        <f>HYPERLINK("C:\Projects\Kleinanzeigen-Scraper\offer_images\2792471428", "Link")</f>
        <v/>
      </c>
      <c r="AE107" t="inlineStr">
        <is>
          <t>BD</t>
        </is>
      </c>
      <c r="AF107" s="6">
        <f>HYPERLINK("https://www.kleinanzeigen.de/s-bestandsliste.html?userId=57572384", "Link")</f>
        <v/>
      </c>
      <c r="AG107" s="7" t="n">
        <v>45549.57563657407</v>
      </c>
      <c r="AH107" s="3" t="inlineStr">
        <is>
          <t>483.01</t>
        </is>
      </c>
      <c r="AI107" t="inlineStr">
        <is>
          <t>Köln</t>
        </is>
      </c>
      <c r="AJ107" t="inlineStr"/>
      <c r="AK107" t="inlineStr"/>
      <c r="AL107" t="inlineStr"/>
      <c r="AM107" s="4" t="n">
        <v>320</v>
      </c>
      <c r="AN107" t="inlineStr">
        <is>
          <t>VB</t>
        </is>
      </c>
      <c r="AO107" t="inlineStr">
        <is>
          <t>23769 Fehmarn - Westfehmarn</t>
        </is>
      </c>
      <c r="AP107" s="5" t="n">
        <v>45462</v>
      </c>
      <c r="AQ107" t="inlineStr"/>
      <c r="AR107" s="6">
        <f>HYPERLINK("https://www.kleinanzeigen.de/s-anzeige/gun-sails-bow-8-7m2-inkl-490er-bow-mast/2792471428-230-430", "Link")</f>
        <v/>
      </c>
      <c r="AS107" s="6">
        <f>HYPERLINK("C:\Projects\Kleinanzeigen-Scraper\offer_images\2792471428", "Link")</f>
        <v/>
      </c>
      <c r="AT107" t="inlineStr">
        <is>
          <t>BD</t>
        </is>
      </c>
      <c r="AU107" s="6">
        <f>HYPERLINK("https://www.kleinanzeigen.de/s-bestandsliste.html?userId=57572384", "Link")</f>
        <v/>
      </c>
      <c r="AV107" s="7" t="n">
        <v>45549.57563657407</v>
      </c>
      <c r="AW107" s="3" t="inlineStr">
        <is>
          <t>483.01</t>
        </is>
      </c>
      <c r="AX107" t="inlineStr">
        <is>
          <t>Köln</t>
        </is>
      </c>
      <c r="AY107" s="4" t="n">
        <v>320</v>
      </c>
      <c r="AZ107" t="inlineStr">
        <is>
          <t>VB</t>
        </is>
      </c>
      <c r="BA107" t="inlineStr">
        <is>
          <t>23769 Fehmarn - Westfehmarn</t>
        </is>
      </c>
      <c r="BB107" s="5" t="n">
        <v>45462</v>
      </c>
      <c r="BC107" t="inlineStr"/>
      <c r="BD107" s="6">
        <f>HYPERLINK("https://www.kleinanzeigen.de/s-anzeige/gun-sails-bow-8-7m2-inkl-490er-bow-mast/2792471428-230-430", "Link")</f>
        <v/>
      </c>
      <c r="BE107" s="6">
        <f>HYPERLINK("C:\Projects\Kleinanzeigen-Scraper\offer_images\2792471428", "Link")</f>
        <v/>
      </c>
      <c r="BF107" t="inlineStr">
        <is>
          <t>BD</t>
        </is>
      </c>
      <c r="BG107" s="6">
        <f>HYPERLINK("https://www.kleinanzeigen.de/s-bestandsliste.html?userId=57572384", "Link")</f>
        <v/>
      </c>
      <c r="BH107" s="7" t="n">
        <v>45549.57563657407</v>
      </c>
      <c r="BI107" s="3" t="inlineStr">
        <is>
          <t>483.01</t>
        </is>
      </c>
      <c r="BJ107" t="inlineStr">
        <is>
          <t>Köln</t>
        </is>
      </c>
    </row>
    <row r="108">
      <c r="A108" s="2" t="n">
        <v>9.699999999999999</v>
      </c>
      <c r="B108" t="inlineStr">
        <is>
          <t>Severne Racing Reflex II</t>
        </is>
      </c>
      <c r="C108" s="3" t="inlineStr"/>
      <c r="D108" s="3" t="inlineStr"/>
      <c r="E108" t="inlineStr">
        <is>
          <t>Racing</t>
        </is>
      </c>
      <c r="F108" t="inlineStr"/>
      <c r="G108" t="inlineStr">
        <is>
          <t>used</t>
        </is>
      </c>
      <c r="H108" s="4" t="n">
        <v>499</v>
      </c>
      <c r="I108" t="inlineStr"/>
      <c r="J108" t="inlineStr">
        <is>
          <t>06242 Sachsen-Anhalt - Braunsbedra</t>
        </is>
      </c>
      <c r="K108" s="5" t="n">
        <v>45497</v>
      </c>
      <c r="L108" t="inlineStr">
        <is>
          <t>Sold</t>
        </is>
      </c>
      <c r="M108" s="6">
        <f>HYPERLINK("https://www.kleinanzeigen.de/s-anzeige/windsurfrigg-komplett-severne-racing-9-7m-/2819742460-230-2285", "Link")</f>
        <v/>
      </c>
      <c r="N108" s="6">
        <f>HYPERLINK("C:\Projects\Kleinanzeigen-Scraper\offer_images\2819742460", "Link")</f>
        <v/>
      </c>
      <c r="O108" t="inlineStr">
        <is>
          <t>Jens</t>
        </is>
      </c>
      <c r="P108" s="6">
        <f>HYPERLINK("https://www.kleinanzeigen.de/s-bestandsliste.html?userId=30300306", "Link")</f>
        <v/>
      </c>
      <c r="Q108" s="7" t="n">
        <v>45549.57520833334</v>
      </c>
      <c r="R108" s="3" t="inlineStr">
        <is>
          <t>346.48</t>
        </is>
      </c>
      <c r="S108" t="inlineStr">
        <is>
          <t>Köln</t>
        </is>
      </c>
      <c r="T108" t="inlineStr">
        <is>
          <t>Cheeky</t>
        </is>
      </c>
      <c r="U108" s="3" t="n">
        <v>490</v>
      </c>
      <c r="V108" s="8" t="inlineStr">
        <is>
          <t>100%</t>
        </is>
      </c>
      <c r="W108" t="inlineStr">
        <is>
          <t>RDM</t>
        </is>
      </c>
      <c r="X108" s="4" t="n">
        <v>499</v>
      </c>
      <c r="Y108" t="inlineStr"/>
      <c r="Z108" t="inlineStr">
        <is>
          <t>06242 Sachsen-Anhalt - Braunsbedra</t>
        </is>
      </c>
      <c r="AA108" s="5" t="n">
        <v>45497</v>
      </c>
      <c r="AB108" t="inlineStr">
        <is>
          <t>Sold</t>
        </is>
      </c>
      <c r="AC108" s="6">
        <f>HYPERLINK("https://www.kleinanzeigen.de/s-anzeige/windsurfrigg-komplett-severne-racing-9-7m-/2819742460-230-2285", "Link")</f>
        <v/>
      </c>
      <c r="AD108" s="6">
        <f>HYPERLINK("C:\Projects\Kleinanzeigen-Scraper\offer_images\2819742460", "Link")</f>
        <v/>
      </c>
      <c r="AE108" t="inlineStr">
        <is>
          <t>Jens</t>
        </is>
      </c>
      <c r="AF108" s="6">
        <f>HYPERLINK("https://www.kleinanzeigen.de/s-bestandsliste.html?userId=30300306", "Link")</f>
        <v/>
      </c>
      <c r="AG108" s="7" t="n">
        <v>45549.57520833334</v>
      </c>
      <c r="AH108" s="3" t="inlineStr">
        <is>
          <t>346.48</t>
        </is>
      </c>
      <c r="AI108" t="inlineStr">
        <is>
          <t>Köln</t>
        </is>
      </c>
      <c r="AJ108" t="inlineStr">
        <is>
          <t>Aeron</t>
        </is>
      </c>
      <c r="AK108" t="inlineStr"/>
      <c r="AL108" t="inlineStr"/>
      <c r="AM108" s="4" t="n">
        <v>499</v>
      </c>
      <c r="AN108" t="inlineStr"/>
      <c r="AO108" t="inlineStr">
        <is>
          <t>06242 Sachsen-Anhalt - Braunsbedra</t>
        </is>
      </c>
      <c r="AP108" s="5" t="n">
        <v>45497</v>
      </c>
      <c r="AQ108" t="inlineStr">
        <is>
          <t>Sold</t>
        </is>
      </c>
      <c r="AR108" s="6">
        <f>HYPERLINK("https://www.kleinanzeigen.de/s-anzeige/windsurfrigg-komplett-severne-racing-9-7m-/2819742460-230-2285", "Link")</f>
        <v/>
      </c>
      <c r="AS108" s="6">
        <f>HYPERLINK("C:\Projects\Kleinanzeigen-Scraper\offer_images\2819742460", "Link")</f>
        <v/>
      </c>
      <c r="AT108" t="inlineStr">
        <is>
          <t>Jens</t>
        </is>
      </c>
      <c r="AU108" s="6">
        <f>HYPERLINK("https://www.kleinanzeigen.de/s-bestandsliste.html?userId=30300306", "Link")</f>
        <v/>
      </c>
      <c r="AV108" s="7" t="n">
        <v>45549.57520833334</v>
      </c>
      <c r="AW108" s="3" t="inlineStr">
        <is>
          <t>346.48</t>
        </is>
      </c>
      <c r="AX108" t="inlineStr">
        <is>
          <t>Köln</t>
        </is>
      </c>
      <c r="AY108" s="4" t="n">
        <v>499</v>
      </c>
      <c r="AZ108" t="inlineStr"/>
      <c r="BA108" t="inlineStr">
        <is>
          <t>06242 Sachsen-Anhalt - Braunsbedra</t>
        </is>
      </c>
      <c r="BB108" s="5" t="n">
        <v>45497</v>
      </c>
      <c r="BC108" t="inlineStr">
        <is>
          <t>Sold</t>
        </is>
      </c>
      <c r="BD108" s="6">
        <f>HYPERLINK("https://www.kleinanzeigen.de/s-anzeige/windsurfrigg-komplett-severne-racing-9-7m-/2819742460-230-2285", "Link")</f>
        <v/>
      </c>
      <c r="BE108" s="6">
        <f>HYPERLINK("C:\Projects\Kleinanzeigen-Scraper\offer_images\2819742460", "Link")</f>
        <v/>
      </c>
      <c r="BF108" t="inlineStr">
        <is>
          <t>Jens</t>
        </is>
      </c>
      <c r="BG108" s="6">
        <f>HYPERLINK("https://www.kleinanzeigen.de/s-bestandsliste.html?userId=30300306", "Link")</f>
        <v/>
      </c>
      <c r="BH108" s="7" t="n">
        <v>45549.57520833334</v>
      </c>
      <c r="BI108" s="3" t="inlineStr">
        <is>
          <t>346.48</t>
        </is>
      </c>
      <c r="BJ108" t="inlineStr">
        <is>
          <t>Köln</t>
        </is>
      </c>
    </row>
    <row r="109">
      <c r="A109" s="2" t="n">
        <v>7.9</v>
      </c>
      <c r="B109" t="inlineStr">
        <is>
          <t>Point 7 ACX</t>
        </is>
      </c>
      <c r="C109" s="3" t="n">
        <v>460</v>
      </c>
      <c r="D109" s="3" t="inlineStr">
        <is>
          <t>200-250</t>
        </is>
      </c>
      <c r="E109" t="inlineStr">
        <is>
          <t>Freeride</t>
        </is>
      </c>
      <c r="F109" t="inlineStr">
        <is>
          <t>2019</t>
        </is>
      </c>
      <c r="G109" t="inlineStr">
        <is>
          <t>repaired</t>
        </is>
      </c>
      <c r="H109" s="4" t="n">
        <v>620</v>
      </c>
      <c r="I109" t="inlineStr">
        <is>
          <t>VB</t>
        </is>
      </c>
      <c r="J109" t="inlineStr">
        <is>
          <t>10317 Berlin - Lichtenberg</t>
        </is>
      </c>
      <c r="K109" s="5" t="n">
        <v>45515</v>
      </c>
      <c r="L109" t="inlineStr">
        <is>
          <t>Sold</t>
        </is>
      </c>
      <c r="M109" s="6">
        <f>HYPERLINK("https://www.kleinanzeigen.de/s-anzeige/point-7-acx-windsurf-segel-komplett-7-9-qm-gabelbaum-mast/2834871065-230-9684", "Link")</f>
        <v/>
      </c>
      <c r="N109" s="6">
        <f>HYPERLINK("C:\Projects\Kleinanzeigen-Scraper\offer_images\2834871065", "Link")</f>
        <v/>
      </c>
      <c r="O109" t="inlineStr">
        <is>
          <t>Christoph</t>
        </is>
      </c>
      <c r="P109" s="6">
        <f>HYPERLINK("https://www.kleinanzeigen.de/s-bestandsliste.html?userId=23649160", "Link")</f>
        <v/>
      </c>
      <c r="Q109" s="7" t="n">
        <v>45549.57517361111</v>
      </c>
      <c r="R109" s="3" t="inlineStr">
        <is>
          <t>481.96</t>
        </is>
      </c>
      <c r="S109" t="inlineStr">
        <is>
          <t>Köln</t>
        </is>
      </c>
      <c r="T109" t="inlineStr">
        <is>
          <t>Blackrock Point 7</t>
        </is>
      </c>
      <c r="U109" s="3" t="n">
        <v>460</v>
      </c>
      <c r="V109" s="8" t="inlineStr">
        <is>
          <t>80%</t>
        </is>
      </c>
      <c r="W109" t="inlineStr">
        <is>
          <t>SDM</t>
        </is>
      </c>
      <c r="X109" s="4" t="n">
        <v>620</v>
      </c>
      <c r="Y109" t="inlineStr">
        <is>
          <t>VB</t>
        </is>
      </c>
      <c r="Z109" t="inlineStr">
        <is>
          <t>10317 Berlin - Lichtenberg</t>
        </is>
      </c>
      <c r="AA109" s="5" t="n">
        <v>45515</v>
      </c>
      <c r="AB109" t="inlineStr">
        <is>
          <t>Sold</t>
        </is>
      </c>
      <c r="AC109" s="6">
        <f>HYPERLINK("https://www.kleinanzeigen.de/s-anzeige/point-7-acx-windsurf-segel-komplett-7-9-qm-gabelbaum-mast/2834871065-230-9684", "Link")</f>
        <v/>
      </c>
      <c r="AD109" s="6">
        <f>HYPERLINK("C:\Projects\Kleinanzeigen-Scraper\offer_images\2834871065", "Link")</f>
        <v/>
      </c>
      <c r="AE109" t="inlineStr">
        <is>
          <t>Christoph</t>
        </is>
      </c>
      <c r="AF109" s="6">
        <f>HYPERLINK("https://www.kleinanzeigen.de/s-bestandsliste.html?userId=23649160", "Link")</f>
        <v/>
      </c>
      <c r="AG109" s="7" t="n">
        <v>45549.57517361111</v>
      </c>
      <c r="AH109" s="3" t="inlineStr">
        <is>
          <t>481.96</t>
        </is>
      </c>
      <c r="AI109" t="inlineStr">
        <is>
          <t>Köln</t>
        </is>
      </c>
      <c r="AJ109" t="inlineStr">
        <is>
          <t>NEILPRYDE XF</t>
        </is>
      </c>
      <c r="AK109" t="inlineStr">
        <is>
          <t>200-250</t>
        </is>
      </c>
      <c r="AL109" t="inlineStr"/>
      <c r="AM109" s="4" t="n">
        <v>620</v>
      </c>
      <c r="AN109" t="inlineStr">
        <is>
          <t>VB</t>
        </is>
      </c>
      <c r="AO109" t="inlineStr">
        <is>
          <t>10317 Berlin - Lichtenberg</t>
        </is>
      </c>
      <c r="AP109" s="5" t="n">
        <v>45515</v>
      </c>
      <c r="AQ109" t="inlineStr">
        <is>
          <t>Sold</t>
        </is>
      </c>
      <c r="AR109" s="6">
        <f>HYPERLINK("https://www.kleinanzeigen.de/s-anzeige/point-7-acx-windsurf-segel-komplett-7-9-qm-gabelbaum-mast/2834871065-230-9684", "Link")</f>
        <v/>
      </c>
      <c r="AS109" s="6">
        <f>HYPERLINK("C:\Projects\Kleinanzeigen-Scraper\offer_images\2834871065", "Link")</f>
        <v/>
      </c>
      <c r="AT109" t="inlineStr">
        <is>
          <t>Christoph</t>
        </is>
      </c>
      <c r="AU109" s="6">
        <f>HYPERLINK("https://www.kleinanzeigen.de/s-bestandsliste.html?userId=23649160", "Link")</f>
        <v/>
      </c>
      <c r="AV109" s="7" t="n">
        <v>45549.57517361111</v>
      </c>
      <c r="AW109" s="3" t="inlineStr">
        <is>
          <t>481.96</t>
        </is>
      </c>
      <c r="AX109" t="inlineStr">
        <is>
          <t>Köln</t>
        </is>
      </c>
      <c r="AY109" s="4" t="n">
        <v>620</v>
      </c>
      <c r="AZ109" t="inlineStr">
        <is>
          <t>VB</t>
        </is>
      </c>
      <c r="BA109" t="inlineStr">
        <is>
          <t>10317 Berlin - Lichtenberg</t>
        </is>
      </c>
      <c r="BB109" s="5" t="n">
        <v>45515</v>
      </c>
      <c r="BC109" t="inlineStr">
        <is>
          <t>Sold</t>
        </is>
      </c>
      <c r="BD109" s="6">
        <f>HYPERLINK("https://www.kleinanzeigen.de/s-anzeige/point-7-acx-windsurf-segel-komplett-7-9-qm-gabelbaum-mast/2834871065-230-9684", "Link")</f>
        <v/>
      </c>
      <c r="BE109" s="6">
        <f>HYPERLINK("C:\Projects\Kleinanzeigen-Scraper\offer_images\2834871065", "Link")</f>
        <v/>
      </c>
      <c r="BF109" t="inlineStr">
        <is>
          <t>Christoph</t>
        </is>
      </c>
      <c r="BG109" s="6">
        <f>HYPERLINK("https://www.kleinanzeigen.de/s-bestandsliste.html?userId=23649160", "Link")</f>
        <v/>
      </c>
      <c r="BH109" s="7" t="n">
        <v>45549.57517361111</v>
      </c>
      <c r="BI109" s="3" t="inlineStr">
        <is>
          <t>481.96</t>
        </is>
      </c>
      <c r="BJ109" t="inlineStr">
        <is>
          <t>Köln</t>
        </is>
      </c>
    </row>
    <row r="110">
      <c r="A110" s="2" t="n">
        <v>8.300000000000001</v>
      </c>
      <c r="B110" t="inlineStr">
        <is>
          <t>Sailloft Ride</t>
        </is>
      </c>
      <c r="C110" s="3" t="n">
        <v>5.1</v>
      </c>
      <c r="D110" s="3" t="n">
        <v>2.77</v>
      </c>
      <c r="E110" t="inlineStr"/>
      <c r="F110" t="inlineStr"/>
      <c r="G110" t="inlineStr">
        <is>
          <t>used</t>
        </is>
      </c>
      <c r="H110" s="4" t="n">
        <v>50</v>
      </c>
      <c r="I110" t="inlineStr">
        <is>
          <t>VB</t>
        </is>
      </c>
      <c r="J110" t="inlineStr">
        <is>
          <t>50859 Köln - Widdersdorf</t>
        </is>
      </c>
      <c r="K110" s="5" t="n">
        <v>45531</v>
      </c>
      <c r="L110" t="inlineStr"/>
      <c r="M110" s="6">
        <f>HYPERLINK("https://www.kleinanzeigen.de/s-anzeige/sailloft-ride-8-3-inkl-mast-und-verlaengerung/2847927034-230-21232", "Link")</f>
        <v/>
      </c>
      <c r="N110" s="6">
        <f>HYPERLINK("C:\Projects\Kleinanzeigen-Scraper\offer_images\2847927034", "Link")</f>
        <v/>
      </c>
      <c r="O110" t="inlineStr">
        <is>
          <t>Lukas</t>
        </is>
      </c>
      <c r="P110" s="6">
        <f>HYPERLINK("https://www.kleinanzeigen.de/s-bestandsliste.html?userId=28318622", "Link")</f>
        <v/>
      </c>
      <c r="Q110" s="7" t="n">
        <v>45549.57506944444</v>
      </c>
      <c r="R110" s="3" t="inlineStr">
        <is>
          <t>8.43</t>
        </is>
      </c>
      <c r="S110" t="inlineStr">
        <is>
          <t>Köln</t>
        </is>
      </c>
      <c r="T110" t="inlineStr"/>
      <c r="U110" s="3" t="inlineStr"/>
      <c r="V110" s="8" t="inlineStr"/>
      <c r="W110" t="inlineStr"/>
      <c r="X110" s="4" t="n">
        <v>50</v>
      </c>
      <c r="Y110" t="inlineStr">
        <is>
          <t>VB</t>
        </is>
      </c>
      <c r="Z110" t="inlineStr">
        <is>
          <t>50859 Köln - Widdersdorf</t>
        </is>
      </c>
      <c r="AA110" s="5" t="n">
        <v>45531</v>
      </c>
      <c r="AB110" t="inlineStr"/>
      <c r="AC110" s="6">
        <f>HYPERLINK("https://www.kleinanzeigen.de/s-anzeige/sailloft-ride-8-3-inkl-mast-und-verlaengerung/2847927034-230-21232", "Link")</f>
        <v/>
      </c>
      <c r="AD110" s="6">
        <f>HYPERLINK("C:\Projects\Kleinanzeigen-Scraper\offer_images\2847927034", "Link")</f>
        <v/>
      </c>
      <c r="AE110" t="inlineStr">
        <is>
          <t>Lukas</t>
        </is>
      </c>
      <c r="AF110" s="6">
        <f>HYPERLINK("https://www.kleinanzeigen.de/s-bestandsliste.html?userId=28318622", "Link")</f>
        <v/>
      </c>
      <c r="AG110" s="7" t="n">
        <v>45549.57506944444</v>
      </c>
      <c r="AH110" s="3" t="inlineStr">
        <is>
          <t>8.43</t>
        </is>
      </c>
      <c r="AI110" t="inlineStr">
        <is>
          <t>Köln</t>
        </is>
      </c>
      <c r="AJ110" t="inlineStr"/>
      <c r="AK110" t="inlineStr"/>
      <c r="AL110" t="inlineStr"/>
      <c r="AM110" s="4" t="n">
        <v>50</v>
      </c>
      <c r="AN110" t="inlineStr">
        <is>
          <t>VB</t>
        </is>
      </c>
      <c r="AO110" t="inlineStr">
        <is>
          <t>50859 Köln - Widdersdorf</t>
        </is>
      </c>
      <c r="AP110" s="5" t="n">
        <v>45531</v>
      </c>
      <c r="AQ110" t="inlineStr"/>
      <c r="AR110" s="6">
        <f>HYPERLINK("https://www.kleinanzeigen.de/s-anzeige/sailloft-ride-8-3-inkl-mast-und-verlaengerung/2847927034-230-21232", "Link")</f>
        <v/>
      </c>
      <c r="AS110" s="6">
        <f>HYPERLINK("C:\Projects\Kleinanzeigen-Scraper\offer_images\2847927034", "Link")</f>
        <v/>
      </c>
      <c r="AT110" t="inlineStr">
        <is>
          <t>Lukas</t>
        </is>
      </c>
      <c r="AU110" s="6">
        <f>HYPERLINK("https://www.kleinanzeigen.de/s-bestandsliste.html?userId=28318622", "Link")</f>
        <v/>
      </c>
      <c r="AV110" s="7" t="n">
        <v>45549.57506944444</v>
      </c>
      <c r="AW110" s="3" t="inlineStr">
        <is>
          <t>8.43</t>
        </is>
      </c>
      <c r="AX110" t="inlineStr">
        <is>
          <t>Köln</t>
        </is>
      </c>
      <c r="AY110" s="4" t="n">
        <v>50</v>
      </c>
      <c r="AZ110" t="inlineStr">
        <is>
          <t>VB</t>
        </is>
      </c>
      <c r="BA110" t="inlineStr">
        <is>
          <t>50859 Köln - Widdersdorf</t>
        </is>
      </c>
      <c r="BB110" s="5" t="n">
        <v>45531</v>
      </c>
      <c r="BC110" t="inlineStr"/>
      <c r="BD110" s="6">
        <f>HYPERLINK("https://www.kleinanzeigen.de/s-anzeige/sailloft-ride-8-3-inkl-mast-und-verlaengerung/2847927034-230-21232", "Link")</f>
        <v/>
      </c>
      <c r="BE110" s="6">
        <f>HYPERLINK("C:\Projects\Kleinanzeigen-Scraper\offer_images\2847927034", "Link")</f>
        <v/>
      </c>
      <c r="BF110" t="inlineStr">
        <is>
          <t>Lukas</t>
        </is>
      </c>
      <c r="BG110" s="6">
        <f>HYPERLINK("https://www.kleinanzeigen.de/s-bestandsliste.html?userId=28318622", "Link")</f>
        <v/>
      </c>
      <c r="BH110" s="7" t="n">
        <v>45549.57506944444</v>
      </c>
      <c r="BI110" s="3" t="inlineStr">
        <is>
          <t>8.43</t>
        </is>
      </c>
      <c r="BJ110" t="inlineStr">
        <is>
          <t>Köln</t>
        </is>
      </c>
    </row>
    <row r="111">
      <c r="A111" s="2" t="n">
        <v>7.8</v>
      </c>
      <c r="B111" t="inlineStr">
        <is>
          <t>North Crossfire</t>
        </is>
      </c>
      <c r="C111" s="3" t="n">
        <v>500</v>
      </c>
      <c r="D111" s="3" t="n">
        <v>220</v>
      </c>
      <c r="E111" t="inlineStr"/>
      <c r="F111" t="inlineStr"/>
      <c r="G111" t="inlineStr">
        <is>
          <t>used</t>
        </is>
      </c>
      <c r="H111" s="4" t="n">
        <v>200</v>
      </c>
      <c r="I111" t="inlineStr"/>
      <c r="J111" t="inlineStr">
        <is>
          <t>79100 Freiburg im Breisgau - Wiehre</t>
        </is>
      </c>
      <c r="K111" s="5" t="n">
        <v>45546</v>
      </c>
      <c r="L111" t="inlineStr">
        <is>
          <t>Sold</t>
        </is>
      </c>
      <c r="M111" s="6">
        <f>HYPERLINK("https://www.kleinanzeigen.de/s-anzeige/verkaufe-north-crossfire-windsurfsegel-rigg-7-8m-/2860378921-230-9368", "Link")</f>
        <v/>
      </c>
      <c r="N111" s="6">
        <f>HYPERLINK("C:\Projects\Kleinanzeigen-Scraper\offer_images\2860378921", "Link")</f>
        <v/>
      </c>
      <c r="O111" t="inlineStr">
        <is>
          <t>MLF</t>
        </is>
      </c>
      <c r="P111" s="6">
        <f>HYPERLINK("https://www.kleinanzeigen.de/s-bestandsliste.html?userId=15574759", "Link")</f>
        <v/>
      </c>
      <c r="Q111" s="7" t="n">
        <v>45549.57476851852</v>
      </c>
      <c r="R111" s="3" t="inlineStr">
        <is>
          <t>39.95</t>
        </is>
      </c>
      <c r="S111" t="inlineStr">
        <is>
          <t>Bonndorf</t>
        </is>
      </c>
      <c r="T111" t="inlineStr"/>
      <c r="U111" s="3" t="inlineStr"/>
      <c r="V111" s="8" t="inlineStr">
        <is>
          <t>65%</t>
        </is>
      </c>
      <c r="W111" t="inlineStr"/>
      <c r="X111" s="4" t="n">
        <v>200</v>
      </c>
      <c r="Y111" t="inlineStr"/>
      <c r="Z111" t="inlineStr">
        <is>
          <t>79100 Freiburg im Breisgau - Wiehre</t>
        </is>
      </c>
      <c r="AA111" s="5" t="n">
        <v>45546</v>
      </c>
      <c r="AB111" t="inlineStr">
        <is>
          <t>Sold</t>
        </is>
      </c>
      <c r="AC111" s="6">
        <f>HYPERLINK("https://www.kleinanzeigen.de/s-anzeige/verkaufe-north-crossfire-windsurfsegel-rigg-7-8m-/2860378921-230-9368", "Link")</f>
        <v/>
      </c>
      <c r="AD111" s="6">
        <f>HYPERLINK("C:\Projects\Kleinanzeigen-Scraper\offer_images\2860378921", "Link")</f>
        <v/>
      </c>
      <c r="AE111" t="inlineStr">
        <is>
          <t>MLF</t>
        </is>
      </c>
      <c r="AF111" s="6">
        <f>HYPERLINK("https://www.kleinanzeigen.de/s-bestandsliste.html?userId=15574759", "Link")</f>
        <v/>
      </c>
      <c r="AG111" s="7" t="n">
        <v>45549.57476851852</v>
      </c>
      <c r="AH111" s="3" t="inlineStr">
        <is>
          <t>39.95</t>
        </is>
      </c>
      <c r="AI111" t="inlineStr">
        <is>
          <t>Bonndorf</t>
        </is>
      </c>
      <c r="AJ111" t="inlineStr">
        <is>
          <t>Gaastra</t>
        </is>
      </c>
      <c r="AK111" t="inlineStr">
        <is>
          <t>185-245</t>
        </is>
      </c>
      <c r="AL111" t="inlineStr"/>
      <c r="AM111" s="4" t="n">
        <v>200</v>
      </c>
      <c r="AN111" t="inlineStr"/>
      <c r="AO111" t="inlineStr">
        <is>
          <t>79100 Freiburg im Breisgau - Wiehre</t>
        </is>
      </c>
      <c r="AP111" s="5" t="n">
        <v>45546</v>
      </c>
      <c r="AQ111" t="inlineStr">
        <is>
          <t>Sold</t>
        </is>
      </c>
      <c r="AR111" s="6">
        <f>HYPERLINK("https://www.kleinanzeigen.de/s-anzeige/verkaufe-north-crossfire-windsurfsegel-rigg-7-8m-/2860378921-230-9368", "Link")</f>
        <v/>
      </c>
      <c r="AS111" s="6">
        <f>HYPERLINK("C:\Projects\Kleinanzeigen-Scraper\offer_images\2860378921", "Link")</f>
        <v/>
      </c>
      <c r="AT111" t="inlineStr">
        <is>
          <t>MLF</t>
        </is>
      </c>
      <c r="AU111" s="6">
        <f>HYPERLINK("https://www.kleinanzeigen.de/s-bestandsliste.html?userId=15574759", "Link")</f>
        <v/>
      </c>
      <c r="AV111" s="7" t="n">
        <v>45549.57476851852</v>
      </c>
      <c r="AW111" s="3" t="inlineStr">
        <is>
          <t>39.95</t>
        </is>
      </c>
      <c r="AX111" t="inlineStr">
        <is>
          <t>Bonndorf</t>
        </is>
      </c>
      <c r="AY111" s="4" t="n">
        <v>200</v>
      </c>
      <c r="AZ111" t="inlineStr"/>
      <c r="BA111" t="inlineStr">
        <is>
          <t>79100 Freiburg im Breisgau - Wiehre</t>
        </is>
      </c>
      <c r="BB111" s="5" t="n">
        <v>45546</v>
      </c>
      <c r="BC111" t="inlineStr">
        <is>
          <t>Sold</t>
        </is>
      </c>
      <c r="BD111" s="6">
        <f>HYPERLINK("https://www.kleinanzeigen.de/s-anzeige/verkaufe-north-crossfire-windsurfsegel-rigg-7-8m-/2860378921-230-9368", "Link")</f>
        <v/>
      </c>
      <c r="BE111" s="6">
        <f>HYPERLINK("C:\Projects\Kleinanzeigen-Scraper\offer_images\2860378921", "Link")</f>
        <v/>
      </c>
      <c r="BF111" t="inlineStr">
        <is>
          <t>MLF</t>
        </is>
      </c>
      <c r="BG111" s="6">
        <f>HYPERLINK("https://www.kleinanzeigen.de/s-bestandsliste.html?userId=15574759", "Link")</f>
        <v/>
      </c>
      <c r="BH111" s="7" t="n">
        <v>45549.57476851852</v>
      </c>
      <c r="BI111" s="3" t="inlineStr">
        <is>
          <t>39.95</t>
        </is>
      </c>
      <c r="BJ111" t="inlineStr">
        <is>
          <t>Bonndorf</t>
        </is>
      </c>
    </row>
    <row r="112">
      <c r="A112" s="2" t="n">
        <v>3.7</v>
      </c>
      <c r="B112" t="inlineStr">
        <is>
          <t>Neilpryde Combat HD</t>
        </is>
      </c>
      <c r="C112" s="3" t="n">
        <v>364</v>
      </c>
      <c r="D112" s="3" t="n">
        <v>144</v>
      </c>
      <c r="E112" t="inlineStr"/>
      <c r="F112" t="inlineStr"/>
      <c r="G112" t="inlineStr">
        <is>
          <t>repaired</t>
        </is>
      </c>
      <c r="H112" s="4" t="n">
        <v>200</v>
      </c>
      <c r="I112" t="inlineStr"/>
      <c r="J112" t="inlineStr">
        <is>
          <t>06869 Sachsen-Anhalt - Coswig (Anhalt)</t>
        </is>
      </c>
      <c r="K112" s="5" t="n">
        <v>45521</v>
      </c>
      <c r="L112" t="inlineStr">
        <is>
          <t>Sold</t>
        </is>
      </c>
      <c r="M112" s="6">
        <f>HYPERLINK("https://www.kleinanzeigen.de/s-anzeige/neilpryde-combat-hd-3-7-np-mast-matrix-340-rdm/2839005968-230-17038", "Link")</f>
        <v/>
      </c>
      <c r="N112" s="6">
        <f>HYPERLINK("C:\Projects\Kleinanzeigen-Scraper\offer_images\2839005968", "Link")</f>
        <v/>
      </c>
      <c r="O112" t="inlineStr">
        <is>
          <t>Jens</t>
        </is>
      </c>
      <c r="P112" s="6">
        <f>HYPERLINK("https://www.kleinanzeigen.de/s-bestandsliste.html?userId=12479775", "Link")</f>
        <v/>
      </c>
      <c r="Q112" s="7" t="n">
        <v>45549.57420138889</v>
      </c>
      <c r="R112" s="3" t="inlineStr">
        <is>
          <t>395.43</t>
        </is>
      </c>
      <c r="S112" t="inlineStr">
        <is>
          <t>Köln</t>
        </is>
      </c>
      <c r="T112" t="inlineStr">
        <is>
          <t>NP Mast Matrix</t>
        </is>
      </c>
      <c r="U112" s="3" t="n">
        <v>340</v>
      </c>
      <c r="V112" s="8" t="n">
        <v>65</v>
      </c>
      <c r="W112" t="inlineStr">
        <is>
          <t>RDM</t>
        </is>
      </c>
      <c r="X112" s="4" t="n">
        <v>200</v>
      </c>
      <c r="Y112" t="inlineStr"/>
      <c r="Z112" t="inlineStr">
        <is>
          <t>06869 Sachsen-Anhalt - Coswig (Anhalt)</t>
        </is>
      </c>
      <c r="AA112" s="5" t="n">
        <v>45521</v>
      </c>
      <c r="AB112" t="inlineStr">
        <is>
          <t>Sold</t>
        </is>
      </c>
      <c r="AC112" s="6">
        <f>HYPERLINK("https://www.kleinanzeigen.de/s-anzeige/neilpryde-combat-hd-3-7-np-mast-matrix-340-rdm/2839005968-230-17038", "Link")</f>
        <v/>
      </c>
      <c r="AD112" s="6">
        <f>HYPERLINK("C:\Projects\Kleinanzeigen-Scraper\offer_images\2839005968", "Link")</f>
        <v/>
      </c>
      <c r="AE112" t="inlineStr">
        <is>
          <t>Jens</t>
        </is>
      </c>
      <c r="AF112" s="6">
        <f>HYPERLINK("https://www.kleinanzeigen.de/s-bestandsliste.html?userId=12479775", "Link")</f>
        <v/>
      </c>
      <c r="AG112" s="7" t="n">
        <v>45549.57420138889</v>
      </c>
      <c r="AH112" s="3" t="inlineStr">
        <is>
          <t>395.43</t>
        </is>
      </c>
      <c r="AI112" t="inlineStr">
        <is>
          <t>Köln</t>
        </is>
      </c>
      <c r="AJ112" t="inlineStr"/>
      <c r="AK112" t="inlineStr"/>
      <c r="AL112" t="inlineStr"/>
      <c r="AM112" s="4" t="n">
        <v>200</v>
      </c>
      <c r="AN112" t="inlineStr"/>
      <c r="AO112" t="inlineStr">
        <is>
          <t>06869 Sachsen-Anhalt - Coswig (Anhalt)</t>
        </is>
      </c>
      <c r="AP112" s="5" t="n">
        <v>45521</v>
      </c>
      <c r="AQ112" t="inlineStr">
        <is>
          <t>Sold</t>
        </is>
      </c>
      <c r="AR112" s="6">
        <f>HYPERLINK("https://www.kleinanzeigen.de/s-anzeige/neilpryde-combat-hd-3-7-np-mast-matrix-340-rdm/2839005968-230-17038", "Link")</f>
        <v/>
      </c>
      <c r="AS112" s="6">
        <f>HYPERLINK("C:\Projects\Kleinanzeigen-Scraper\offer_images\2839005968", "Link")</f>
        <v/>
      </c>
      <c r="AT112" t="inlineStr">
        <is>
          <t>Jens</t>
        </is>
      </c>
      <c r="AU112" s="6">
        <f>HYPERLINK("https://www.kleinanzeigen.de/s-bestandsliste.html?userId=12479775", "Link")</f>
        <v/>
      </c>
      <c r="AV112" s="7" t="n">
        <v>45549.57420138889</v>
      </c>
      <c r="AW112" s="3" t="inlineStr">
        <is>
          <t>395.43</t>
        </is>
      </c>
      <c r="AX112" t="inlineStr">
        <is>
          <t>Köln</t>
        </is>
      </c>
      <c r="AY112" s="4" t="n">
        <v>200</v>
      </c>
      <c r="AZ112" t="inlineStr"/>
      <c r="BA112" t="inlineStr">
        <is>
          <t>06869 Sachsen-Anhalt - Coswig (Anhalt)</t>
        </is>
      </c>
      <c r="BB112" s="5" t="n">
        <v>45521</v>
      </c>
      <c r="BC112" t="inlineStr">
        <is>
          <t>Sold</t>
        </is>
      </c>
      <c r="BD112" s="6">
        <f>HYPERLINK("https://www.kleinanzeigen.de/s-anzeige/neilpryde-combat-hd-3-7-np-mast-matrix-340-rdm/2839005968-230-17038", "Link")</f>
        <v/>
      </c>
      <c r="BE112" s="6">
        <f>HYPERLINK("C:\Projects\Kleinanzeigen-Scraper\offer_images\2839005968", "Link")</f>
        <v/>
      </c>
      <c r="BF112" t="inlineStr">
        <is>
          <t>Jens</t>
        </is>
      </c>
      <c r="BG112" s="6">
        <f>HYPERLINK("https://www.kleinanzeigen.de/s-bestandsliste.html?userId=12479775", "Link")</f>
        <v/>
      </c>
      <c r="BH112" s="7" t="n">
        <v>45549.57420138889</v>
      </c>
      <c r="BI112" s="3" t="inlineStr">
        <is>
          <t>395.43</t>
        </is>
      </c>
      <c r="BJ112" t="inlineStr">
        <is>
          <t>Köln</t>
        </is>
      </c>
    </row>
    <row r="113">
      <c r="A113" s="2" t="n">
        <v>9.5</v>
      </c>
      <c r="B113" t="inlineStr">
        <is>
          <t>North Sails RAM F11</t>
        </is>
      </c>
      <c r="C113" s="3" t="inlineStr"/>
      <c r="D113" s="3" t="inlineStr"/>
      <c r="E113" t="inlineStr"/>
      <c r="F113" t="inlineStr"/>
      <c r="G113" t="inlineStr">
        <is>
          <t>used</t>
        </is>
      </c>
      <c r="H113" s="4" t="n">
        <v>295</v>
      </c>
      <c r="I113" t="inlineStr">
        <is>
          <t>VB</t>
        </is>
      </c>
      <c r="J113" t="inlineStr">
        <is>
          <t>78549 Baden-Württemberg - Spaichingen</t>
        </is>
      </c>
      <c r="K113" s="5" t="n">
        <v>45549</v>
      </c>
      <c r="L113" t="inlineStr">
        <is>
          <t>Sold</t>
        </is>
      </c>
      <c r="M113" s="6">
        <f>HYPERLINK("https://www.kleinanzeigen.de/s-anzeige/north-sails-ram-f11-9-5-m2-incl-100-carbon-mast-520/2862817151-230-8496", "Link")</f>
        <v/>
      </c>
      <c r="N113" s="6">
        <f>HYPERLINK("C:\Projects\Kleinanzeigen-Scraper\offer_images\2862817151", "Link")</f>
        <v/>
      </c>
      <c r="O113" t="inlineStr">
        <is>
          <t>HannaH</t>
        </is>
      </c>
      <c r="P113" s="6">
        <f>HYPERLINK("https://www.kleinanzeigen.de/s-bestandsliste.html?userId=34710039", "Link")</f>
        <v/>
      </c>
      <c r="Q113" s="7" t="n">
        <v>45549.57394675926</v>
      </c>
      <c r="R113" s="3" t="inlineStr">
        <is>
          <t>41.87</t>
        </is>
      </c>
      <c r="S113" t="inlineStr">
        <is>
          <t>Bonndorf</t>
        </is>
      </c>
      <c r="T113" t="inlineStr"/>
      <c r="U113" s="3" t="n">
        <v>520</v>
      </c>
      <c r="V113" s="8" t="inlineStr">
        <is>
          <t>100%</t>
        </is>
      </c>
      <c r="W113" t="inlineStr"/>
      <c r="X113" s="4" t="n">
        <v>295</v>
      </c>
      <c r="Y113" t="inlineStr">
        <is>
          <t>VB</t>
        </is>
      </c>
      <c r="Z113" t="inlineStr">
        <is>
          <t>78549 Baden-Württemberg - Spaichingen</t>
        </is>
      </c>
      <c r="AA113" s="5" t="n">
        <v>45549</v>
      </c>
      <c r="AB113" t="inlineStr">
        <is>
          <t>Sold</t>
        </is>
      </c>
      <c r="AC113" s="6">
        <f>HYPERLINK("https://www.kleinanzeigen.de/s-anzeige/north-sails-ram-f11-9-5-m2-incl-100-carbon-mast-520/2862817151-230-8496", "Link")</f>
        <v/>
      </c>
      <c r="AD113" s="6">
        <f>HYPERLINK("C:\Projects\Kleinanzeigen-Scraper\offer_images\2862817151", "Link")</f>
        <v/>
      </c>
      <c r="AE113" t="inlineStr">
        <is>
          <t>HannaH</t>
        </is>
      </c>
      <c r="AF113" s="6">
        <f>HYPERLINK("https://www.kleinanzeigen.de/s-bestandsliste.html?userId=34710039", "Link")</f>
        <v/>
      </c>
      <c r="AG113" s="7" t="n">
        <v>45549.57394675926</v>
      </c>
      <c r="AH113" s="3" t="inlineStr">
        <is>
          <t>41.87</t>
        </is>
      </c>
      <c r="AI113" t="inlineStr">
        <is>
          <t>Bonndorf</t>
        </is>
      </c>
      <c r="AJ113" t="inlineStr"/>
      <c r="AK113" t="inlineStr"/>
      <c r="AL113" t="inlineStr"/>
      <c r="AM113" s="4" t="n">
        <v>295</v>
      </c>
      <c r="AN113" t="inlineStr">
        <is>
          <t>VB</t>
        </is>
      </c>
      <c r="AO113" t="inlineStr">
        <is>
          <t>78549 Baden-Württemberg - Spaichingen</t>
        </is>
      </c>
      <c r="AP113" s="5" t="n">
        <v>45549</v>
      </c>
      <c r="AQ113" t="inlineStr">
        <is>
          <t>Sold</t>
        </is>
      </c>
      <c r="AR113" s="6">
        <f>HYPERLINK("https://www.kleinanzeigen.de/s-anzeige/north-sails-ram-f11-9-5-m2-incl-100-carbon-mast-520/2862817151-230-8496", "Link")</f>
        <v/>
      </c>
      <c r="AS113" s="6">
        <f>HYPERLINK("C:\Projects\Kleinanzeigen-Scraper\offer_images\2862817151", "Link")</f>
        <v/>
      </c>
      <c r="AT113" t="inlineStr">
        <is>
          <t>HannaH</t>
        </is>
      </c>
      <c r="AU113" s="6">
        <f>HYPERLINK("https://www.kleinanzeigen.de/s-bestandsliste.html?userId=34710039", "Link")</f>
        <v/>
      </c>
      <c r="AV113" s="7" t="n">
        <v>45549.57394675926</v>
      </c>
      <c r="AW113" s="3" t="inlineStr">
        <is>
          <t>41.87</t>
        </is>
      </c>
      <c r="AX113" t="inlineStr">
        <is>
          <t>Bonndorf</t>
        </is>
      </c>
      <c r="AY113" s="4" t="n">
        <v>295</v>
      </c>
      <c r="AZ113" t="inlineStr">
        <is>
          <t>VB</t>
        </is>
      </c>
      <c r="BA113" t="inlineStr">
        <is>
          <t>78549 Baden-Württemberg - Spaichingen</t>
        </is>
      </c>
      <c r="BB113" s="5" t="n">
        <v>45549</v>
      </c>
      <c r="BC113" t="inlineStr">
        <is>
          <t>Sold</t>
        </is>
      </c>
      <c r="BD113" s="6">
        <f>HYPERLINK("https://www.kleinanzeigen.de/s-anzeige/north-sails-ram-f11-9-5-m2-incl-100-carbon-mast-520/2862817151-230-8496", "Link")</f>
        <v/>
      </c>
      <c r="BE113" s="6">
        <f>HYPERLINK("C:\Projects\Kleinanzeigen-Scraper\offer_images\2862817151", "Link")</f>
        <v/>
      </c>
      <c r="BF113" t="inlineStr">
        <is>
          <t>HannaH</t>
        </is>
      </c>
      <c r="BG113" s="6">
        <f>HYPERLINK("https://www.kleinanzeigen.de/s-bestandsliste.html?userId=34710039", "Link")</f>
        <v/>
      </c>
      <c r="BH113" s="7" t="n">
        <v>45549.57394675926</v>
      </c>
      <c r="BI113" s="3" t="inlineStr">
        <is>
          <t>41.87</t>
        </is>
      </c>
      <c r="BJ113" t="inlineStr">
        <is>
          <t>Bonndorf</t>
        </is>
      </c>
    </row>
    <row r="114">
      <c r="A114" s="2" t="n">
        <v>4.4</v>
      </c>
      <c r="B114" t="inlineStr">
        <is>
          <t>F2 Arrow</t>
        </is>
      </c>
      <c r="C114" s="3" t="inlineStr"/>
      <c r="D114" s="3" t="n">
        <v>160</v>
      </c>
      <c r="E114" t="inlineStr"/>
      <c r="F114" t="inlineStr"/>
      <c r="G114" t="inlineStr">
        <is>
          <t>used</t>
        </is>
      </c>
      <c r="H114" s="4" t="n">
        <v>70</v>
      </c>
      <c r="I114" t="inlineStr">
        <is>
          <t>VB</t>
        </is>
      </c>
      <c r="J114" t="inlineStr">
        <is>
          <t>14165 Berlin - Zehlendorf</t>
        </is>
      </c>
      <c r="K114" s="5" t="n">
        <v>45547</v>
      </c>
      <c r="L114" t="inlineStr">
        <is>
          <t>Sold</t>
        </is>
      </c>
      <c r="M114" s="6">
        <f>HYPERLINK("https://www.kleinanzeigen.de/s-anzeige/f2-arrow-surfsegel-komplett-rigg-zum-windsurfen/2861641060-230-3528", "Link")</f>
        <v/>
      </c>
      <c r="N114" s="6">
        <f>HYPERLINK("C:\Projects\Kleinanzeigen-Scraper\offer_images\2861641060", "Link")</f>
        <v/>
      </c>
      <c r="O114" t="inlineStr">
        <is>
          <t>Felix Krüger</t>
        </is>
      </c>
      <c r="P114" s="6">
        <f>HYPERLINK("https://www.kleinanzeigen.de/s-bestandsliste.html?userId=26658175", "Link")</f>
        <v/>
      </c>
      <c r="Q114" s="7" t="n">
        <v>45549.57391203703</v>
      </c>
      <c r="R114" s="3" t="inlineStr">
        <is>
          <t>464.54</t>
        </is>
      </c>
      <c r="S114" t="inlineStr">
        <is>
          <t>Köln</t>
        </is>
      </c>
      <c r="T114" t="inlineStr">
        <is>
          <t>F2 Arrow</t>
        </is>
      </c>
      <c r="U114" s="3" t="inlineStr"/>
      <c r="V114" s="8" t="inlineStr"/>
      <c r="W114" t="inlineStr"/>
      <c r="X114" s="4" t="n">
        <v>70</v>
      </c>
      <c r="Y114" t="inlineStr">
        <is>
          <t>VB</t>
        </is>
      </c>
      <c r="Z114" t="inlineStr">
        <is>
          <t>14165 Berlin - Zehlendorf</t>
        </is>
      </c>
      <c r="AA114" s="5" t="n">
        <v>45547</v>
      </c>
      <c r="AB114" t="inlineStr">
        <is>
          <t>Sold</t>
        </is>
      </c>
      <c r="AC114" s="6">
        <f>HYPERLINK("https://www.kleinanzeigen.de/s-anzeige/f2-arrow-surfsegel-komplett-rigg-zum-windsurfen/2861641060-230-3528", "Link")</f>
        <v/>
      </c>
      <c r="AD114" s="6">
        <f>HYPERLINK("C:\Projects\Kleinanzeigen-Scraper\offer_images\2861641060", "Link")</f>
        <v/>
      </c>
      <c r="AE114" t="inlineStr">
        <is>
          <t>Felix Krüger</t>
        </is>
      </c>
      <c r="AF114" s="6">
        <f>HYPERLINK("https://www.kleinanzeigen.de/s-bestandsliste.html?userId=26658175", "Link")</f>
        <v/>
      </c>
      <c r="AG114" s="7" t="n">
        <v>45549.57391203703</v>
      </c>
      <c r="AH114" s="3" t="inlineStr">
        <is>
          <t>464.54</t>
        </is>
      </c>
      <c r="AI114" t="inlineStr">
        <is>
          <t>Köln</t>
        </is>
      </c>
      <c r="AJ114" t="inlineStr">
        <is>
          <t>F2 Arrow</t>
        </is>
      </c>
      <c r="AK114" t="inlineStr">
        <is>
          <t>160</t>
        </is>
      </c>
      <c r="AL114" t="inlineStr"/>
      <c r="AM114" s="4" t="n">
        <v>70</v>
      </c>
      <c r="AN114" t="inlineStr">
        <is>
          <t>VB</t>
        </is>
      </c>
      <c r="AO114" t="inlineStr">
        <is>
          <t>14165 Berlin - Zehlendorf</t>
        </is>
      </c>
      <c r="AP114" s="5" t="n">
        <v>45547</v>
      </c>
      <c r="AQ114" t="inlineStr">
        <is>
          <t>Sold</t>
        </is>
      </c>
      <c r="AR114" s="6">
        <f>HYPERLINK("https://www.kleinanzeigen.de/s-anzeige/f2-arrow-surfsegel-komplett-rigg-zum-windsurfen/2861641060-230-3528", "Link")</f>
        <v/>
      </c>
      <c r="AS114" s="6">
        <f>HYPERLINK("C:\Projects\Kleinanzeigen-Scraper\offer_images\2861641060", "Link")</f>
        <v/>
      </c>
      <c r="AT114" t="inlineStr">
        <is>
          <t>Felix Krüger</t>
        </is>
      </c>
      <c r="AU114" s="6">
        <f>HYPERLINK("https://www.kleinanzeigen.de/s-bestandsliste.html?userId=26658175", "Link")</f>
        <v/>
      </c>
      <c r="AV114" s="7" t="n">
        <v>45549.57391203703</v>
      </c>
      <c r="AW114" s="3" t="inlineStr">
        <is>
          <t>464.54</t>
        </is>
      </c>
      <c r="AX114" t="inlineStr">
        <is>
          <t>Köln</t>
        </is>
      </c>
      <c r="AY114" s="4" t="n">
        <v>70</v>
      </c>
      <c r="AZ114" t="inlineStr">
        <is>
          <t>VB</t>
        </is>
      </c>
      <c r="BA114" t="inlineStr">
        <is>
          <t>14165 Berlin - Zehlendorf</t>
        </is>
      </c>
      <c r="BB114" s="5" t="n">
        <v>45547</v>
      </c>
      <c r="BC114" t="inlineStr">
        <is>
          <t>Sold</t>
        </is>
      </c>
      <c r="BD114" s="6">
        <f>HYPERLINK("https://www.kleinanzeigen.de/s-anzeige/f2-arrow-surfsegel-komplett-rigg-zum-windsurfen/2861641060-230-3528", "Link")</f>
        <v/>
      </c>
      <c r="BE114" s="6">
        <f>HYPERLINK("C:\Projects\Kleinanzeigen-Scraper\offer_images\2861641060", "Link")</f>
        <v/>
      </c>
      <c r="BF114" t="inlineStr">
        <is>
          <t>Felix Krüger</t>
        </is>
      </c>
      <c r="BG114" s="6">
        <f>HYPERLINK("https://www.kleinanzeigen.de/s-bestandsliste.html?userId=26658175", "Link")</f>
        <v/>
      </c>
      <c r="BH114" s="7" t="n">
        <v>45549.57391203703</v>
      </c>
      <c r="BI114" s="3" t="inlineStr">
        <is>
          <t>464.54</t>
        </is>
      </c>
      <c r="BJ114" t="inlineStr">
        <is>
          <t>Köln</t>
        </is>
      </c>
    </row>
    <row r="115">
      <c r="A115" s="2" t="n">
        <v>7.3</v>
      </c>
      <c r="B115" t="inlineStr">
        <is>
          <t>Duotone E-Type</t>
        </is>
      </c>
      <c r="C115" s="3" t="n">
        <v>460</v>
      </c>
      <c r="D115" s="3" t="inlineStr"/>
      <c r="E115" t="inlineStr"/>
      <c r="F115" t="inlineStr"/>
      <c r="G115" t="inlineStr">
        <is>
          <t>new</t>
        </is>
      </c>
      <c r="H115" s="4" t="n">
        <v>780</v>
      </c>
      <c r="I115" t="inlineStr"/>
      <c r="J115" t="inlineStr">
        <is>
          <t>79117 Baden-Württemberg - Freiburg im Breisgau</t>
        </is>
      </c>
      <c r="K115" s="5" t="n">
        <v>45547</v>
      </c>
      <c r="L115" t="inlineStr">
        <is>
          <t>Sold</t>
        </is>
      </c>
      <c r="M115" s="6">
        <f>HYPERLINK("https://www.kleinanzeigen.de/s-anzeige/duotone-e-type-7-3-wie-neu-inkl-carbon-mast-boom-extension/2861101141-230-9365", "Link")</f>
        <v/>
      </c>
      <c r="N115" s="6">
        <f>HYPERLINK("C:\Projects\Kleinanzeigen-Scraper\offer_images\2861101141", "Link")</f>
        <v/>
      </c>
      <c r="O115" t="inlineStr">
        <is>
          <t>Boris Billing</t>
        </is>
      </c>
      <c r="P115" s="6">
        <f>HYPERLINK("https://www.kleinanzeigen.de/s-bestandsliste.html?userId=79869866", "Link")</f>
        <v/>
      </c>
      <c r="Q115" s="7" t="n">
        <v>45549.57365740741</v>
      </c>
      <c r="R115" s="3" t="inlineStr">
        <is>
          <t>36.56</t>
        </is>
      </c>
      <c r="S115" t="inlineStr">
        <is>
          <t>Bonndorf</t>
        </is>
      </c>
      <c r="T115" t="inlineStr">
        <is>
          <t>Duotone Platinium</t>
        </is>
      </c>
      <c r="U115" s="3" t="n">
        <v>460</v>
      </c>
      <c r="V115" s="8" t="inlineStr"/>
      <c r="W115" t="inlineStr"/>
      <c r="X115" s="4" t="n">
        <v>780</v>
      </c>
      <c r="Y115" t="inlineStr"/>
      <c r="Z115" t="inlineStr">
        <is>
          <t>79117 Baden-Württemberg - Freiburg im Breisgau</t>
        </is>
      </c>
      <c r="AA115" s="5" t="n">
        <v>45547</v>
      </c>
      <c r="AB115" t="inlineStr">
        <is>
          <t>Sold</t>
        </is>
      </c>
      <c r="AC115" s="6">
        <f>HYPERLINK("https://www.kleinanzeigen.de/s-anzeige/duotone-e-type-7-3-wie-neu-inkl-carbon-mast-boom-extension/2861101141-230-9365", "Link")</f>
        <v/>
      </c>
      <c r="AD115" s="6">
        <f>HYPERLINK("C:\Projects\Kleinanzeigen-Scraper\offer_images\2861101141", "Link")</f>
        <v/>
      </c>
      <c r="AE115" t="inlineStr">
        <is>
          <t>Boris Billing</t>
        </is>
      </c>
      <c r="AF115" s="6">
        <f>HYPERLINK("https://www.kleinanzeigen.de/s-bestandsliste.html?userId=79869866", "Link")</f>
        <v/>
      </c>
      <c r="AG115" s="7" t="n">
        <v>45549.57365740741</v>
      </c>
      <c r="AH115" s="3" t="inlineStr">
        <is>
          <t>36.56</t>
        </is>
      </c>
      <c r="AI115" t="inlineStr">
        <is>
          <t>Bonndorf</t>
        </is>
      </c>
      <c r="AJ115" t="inlineStr">
        <is>
          <t>Duotone</t>
        </is>
      </c>
      <c r="AK115" t="inlineStr"/>
      <c r="AL115" t="inlineStr"/>
      <c r="AM115" s="4" t="n">
        <v>780</v>
      </c>
      <c r="AN115" t="inlineStr"/>
      <c r="AO115" t="inlineStr">
        <is>
          <t>79117 Baden-Württemberg - Freiburg im Breisgau</t>
        </is>
      </c>
      <c r="AP115" s="5" t="n">
        <v>45547</v>
      </c>
      <c r="AQ115" t="inlineStr">
        <is>
          <t>Sold</t>
        </is>
      </c>
      <c r="AR115" s="6">
        <f>HYPERLINK("https://www.kleinanzeigen.de/s-anzeige/duotone-e-type-7-3-wie-neu-inkl-carbon-mast-boom-extension/2861101141-230-9365", "Link")</f>
        <v/>
      </c>
      <c r="AS115" s="6">
        <f>HYPERLINK("C:\Projects\Kleinanzeigen-Scraper\offer_images\2861101141", "Link")</f>
        <v/>
      </c>
      <c r="AT115" t="inlineStr">
        <is>
          <t>Boris Billing</t>
        </is>
      </c>
      <c r="AU115" s="6">
        <f>HYPERLINK("https://www.kleinanzeigen.de/s-bestandsliste.html?userId=79869866", "Link")</f>
        <v/>
      </c>
      <c r="AV115" s="7" t="n">
        <v>45549.57365740741</v>
      </c>
      <c r="AW115" s="3" t="inlineStr">
        <is>
          <t>36.56</t>
        </is>
      </c>
      <c r="AX115" t="inlineStr">
        <is>
          <t>Bonndorf</t>
        </is>
      </c>
      <c r="AY115" s="4" t="n">
        <v>780</v>
      </c>
      <c r="AZ115" t="inlineStr"/>
      <c r="BA115" t="inlineStr">
        <is>
          <t>79117 Baden-Württemberg - Freiburg im Breisgau</t>
        </is>
      </c>
      <c r="BB115" s="5" t="n">
        <v>45547</v>
      </c>
      <c r="BC115" t="inlineStr">
        <is>
          <t>Sold</t>
        </is>
      </c>
      <c r="BD115" s="6">
        <f>HYPERLINK("https://www.kleinanzeigen.de/s-anzeige/duotone-e-type-7-3-wie-neu-inkl-carbon-mast-boom-extension/2861101141-230-9365", "Link")</f>
        <v/>
      </c>
      <c r="BE115" s="6">
        <f>HYPERLINK("C:\Projects\Kleinanzeigen-Scraper\offer_images\2861101141", "Link")</f>
        <v/>
      </c>
      <c r="BF115" t="inlineStr">
        <is>
          <t>Boris Billing</t>
        </is>
      </c>
      <c r="BG115" s="6">
        <f>HYPERLINK("https://www.kleinanzeigen.de/s-bestandsliste.html?userId=79869866", "Link")</f>
        <v/>
      </c>
      <c r="BH115" s="7" t="n">
        <v>45549.57365740741</v>
      </c>
      <c r="BI115" s="3" t="inlineStr">
        <is>
          <t>36.56</t>
        </is>
      </c>
      <c r="BJ115" t="inlineStr">
        <is>
          <t>Bonndorf</t>
        </is>
      </c>
    </row>
    <row r="116">
      <c r="A116" s="2" t="n">
        <v>7.6</v>
      </c>
      <c r="B116" t="inlineStr">
        <is>
          <t>Naish Evolution</t>
        </is>
      </c>
      <c r="C116" s="3" t="n">
        <v>4.9</v>
      </c>
      <c r="D116" s="3" t="inlineStr">
        <is>
          <t>186-236</t>
        </is>
      </c>
      <c r="E116" t="inlineStr">
        <is>
          <t>Freeride</t>
        </is>
      </c>
      <c r="F116" t="inlineStr"/>
      <c r="G116" t="inlineStr">
        <is>
          <t>repaired</t>
        </is>
      </c>
      <c r="H116" s="4" t="n">
        <v>125</v>
      </c>
      <c r="I116" t="inlineStr"/>
      <c r="J116" t="inlineStr">
        <is>
          <t>79117 Baden-Württemberg - Freiburg im Breisgau</t>
        </is>
      </c>
      <c r="K116" s="5" t="n">
        <v>45543</v>
      </c>
      <c r="L116" t="inlineStr"/>
      <c r="M116" s="6">
        <f>HYPERLINK("https://www.kleinanzeigen.de/s-anzeige/surfsegel-7-6-naish-komplettrigg-/2857249056-230-9365", "Link")</f>
        <v/>
      </c>
      <c r="N116" s="6">
        <f>HYPERLINK("C:\Projects\Kleinanzeigen-Scraper\offer_images\2857249056", "Link")</f>
        <v/>
      </c>
      <c r="O116" t="inlineStr">
        <is>
          <t>Kurt Leistikow</t>
        </is>
      </c>
      <c r="P116" s="6">
        <f>HYPERLINK("https://www.kleinanzeigen.de/s-bestandsliste.html?userId=28069952", "Link")</f>
        <v/>
      </c>
      <c r="Q116" s="7" t="n">
        <v>45549.57361111111</v>
      </c>
      <c r="R116" s="3" t="inlineStr">
        <is>
          <t>36.56</t>
        </is>
      </c>
      <c r="S116" t="inlineStr">
        <is>
          <t>Bonndorf</t>
        </is>
      </c>
      <c r="T116" t="inlineStr">
        <is>
          <t>Neilpryde</t>
        </is>
      </c>
      <c r="U116" s="3" t="n">
        <v>490</v>
      </c>
      <c r="V116" s="8" t="inlineStr"/>
      <c r="W116" t="inlineStr"/>
      <c r="X116" s="4" t="n">
        <v>125</v>
      </c>
      <c r="Y116" t="inlineStr"/>
      <c r="Z116" t="inlineStr">
        <is>
          <t>79117 Baden-Württemberg - Freiburg im Breisgau</t>
        </is>
      </c>
      <c r="AA116" s="5" t="n">
        <v>45543</v>
      </c>
      <c r="AB116" t="inlineStr"/>
      <c r="AC116" s="6">
        <f>HYPERLINK("https://www.kleinanzeigen.de/s-anzeige/surfsegel-7-6-naish-komplettrigg-/2857249056-230-9365", "Link")</f>
        <v/>
      </c>
      <c r="AD116" s="6">
        <f>HYPERLINK("C:\Projects\Kleinanzeigen-Scraper\offer_images\2857249056", "Link")</f>
        <v/>
      </c>
      <c r="AE116" t="inlineStr">
        <is>
          <t>Kurt Leistikow</t>
        </is>
      </c>
      <c r="AF116" s="6">
        <f>HYPERLINK("https://www.kleinanzeigen.de/s-bestandsliste.html?userId=28069952", "Link")</f>
        <v/>
      </c>
      <c r="AG116" s="7" t="n">
        <v>45549.57361111111</v>
      </c>
      <c r="AH116" s="3" t="inlineStr">
        <is>
          <t>36.56</t>
        </is>
      </c>
      <c r="AI116" t="inlineStr">
        <is>
          <t>Bonndorf</t>
        </is>
      </c>
      <c r="AJ116" t="inlineStr">
        <is>
          <t>North Silver</t>
        </is>
      </c>
      <c r="AK116" t="inlineStr">
        <is>
          <t>186-236</t>
        </is>
      </c>
      <c r="AL116" t="inlineStr"/>
      <c r="AM116" s="4" t="n">
        <v>125</v>
      </c>
      <c r="AN116" t="inlineStr"/>
      <c r="AO116" t="inlineStr">
        <is>
          <t>79117 Baden-Württemberg - Freiburg im Breisgau</t>
        </is>
      </c>
      <c r="AP116" s="5" t="n">
        <v>45543</v>
      </c>
      <c r="AQ116" t="inlineStr"/>
      <c r="AR116" s="6">
        <f>HYPERLINK("https://www.kleinanzeigen.de/s-anzeige/surfsegel-7-6-naish-komplettrigg-/2857249056-230-9365", "Link")</f>
        <v/>
      </c>
      <c r="AS116" s="6">
        <f>HYPERLINK("C:\Projects\Kleinanzeigen-Scraper\offer_images\2857249056", "Link")</f>
        <v/>
      </c>
      <c r="AT116" t="inlineStr">
        <is>
          <t>Kurt Leistikow</t>
        </is>
      </c>
      <c r="AU116" s="6">
        <f>HYPERLINK("https://www.kleinanzeigen.de/s-bestandsliste.html?userId=28069952", "Link")</f>
        <v/>
      </c>
      <c r="AV116" s="7" t="n">
        <v>45549.57361111111</v>
      </c>
      <c r="AW116" s="3" t="inlineStr">
        <is>
          <t>36.56</t>
        </is>
      </c>
      <c r="AX116" t="inlineStr">
        <is>
          <t>Bonndorf</t>
        </is>
      </c>
      <c r="AY116" s="4" t="n">
        <v>125</v>
      </c>
      <c r="AZ116" t="inlineStr"/>
      <c r="BA116" t="inlineStr">
        <is>
          <t>79117 Baden-Württemberg - Freiburg im Breisgau</t>
        </is>
      </c>
      <c r="BB116" s="5" t="n">
        <v>45543</v>
      </c>
      <c r="BC116" t="inlineStr"/>
      <c r="BD116" s="6">
        <f>HYPERLINK("https://www.kleinanzeigen.de/s-anzeige/surfsegel-7-6-naish-komplettrigg-/2857249056-230-9365", "Link")</f>
        <v/>
      </c>
      <c r="BE116" s="6">
        <f>HYPERLINK("C:\Projects\Kleinanzeigen-Scraper\offer_images\2857249056", "Link")</f>
        <v/>
      </c>
      <c r="BF116" t="inlineStr">
        <is>
          <t>Kurt Leistikow</t>
        </is>
      </c>
      <c r="BG116" s="6">
        <f>HYPERLINK("https://www.kleinanzeigen.de/s-bestandsliste.html?userId=28069952", "Link")</f>
        <v/>
      </c>
      <c r="BH116" s="7" t="n">
        <v>45549.57361111111</v>
      </c>
      <c r="BI116" s="3" t="inlineStr">
        <is>
          <t>36.56</t>
        </is>
      </c>
      <c r="BJ116" t="inlineStr">
        <is>
          <t>Bonndorf</t>
        </is>
      </c>
    </row>
    <row r="117">
      <c r="A117" s="2" t="n">
        <v>7.5</v>
      </c>
      <c r="B117" t="inlineStr">
        <is>
          <t>SAILLOFT HAMBURG CROSS</t>
        </is>
      </c>
      <c r="C117" s="3" t="n">
        <v>474</v>
      </c>
      <c r="D117" s="3" t="n">
        <v>204</v>
      </c>
      <c r="E117" t="inlineStr">
        <is>
          <t>Freeride</t>
        </is>
      </c>
      <c r="F117" t="inlineStr"/>
      <c r="G117" t="inlineStr">
        <is>
          <t>new</t>
        </is>
      </c>
      <c r="H117" s="4" t="n">
        <v>490</v>
      </c>
      <c r="I117" t="inlineStr"/>
      <c r="J117" t="inlineStr">
        <is>
          <t>18146 Rostock - Dierkow</t>
        </is>
      </c>
      <c r="K117" s="5" t="n">
        <v>45530</v>
      </c>
      <c r="L117" t="inlineStr">
        <is>
          <t>Sold</t>
        </is>
      </c>
      <c r="M117" s="6">
        <f>HYPERLINK("https://www.kleinanzeigen.de/s-anzeige/-7-5m-segel-und-mast-von-sailloft-neuwertig-/2847088956-230-9537", "Link")</f>
        <v/>
      </c>
      <c r="N117" s="6">
        <f>HYPERLINK("C:\Projects\Kleinanzeigen-Scraper\offer_images\2847088956", "Link")</f>
        <v/>
      </c>
      <c r="O117" t="inlineStr">
        <is>
          <t>Ralf</t>
        </is>
      </c>
      <c r="P117" s="6">
        <f>HYPERLINK("https://www.kleinanzeigen.de/s-bestandsliste.html?userId=24676102", "Link")</f>
        <v/>
      </c>
      <c r="Q117" s="7" t="n">
        <v>45549.57357638889</v>
      </c>
      <c r="R117" s="3" t="inlineStr">
        <is>
          <t>497.86</t>
        </is>
      </c>
      <c r="S117" t="inlineStr">
        <is>
          <t>Köln</t>
        </is>
      </c>
      <c r="T117" t="inlineStr">
        <is>
          <t>SAILLOFT HAMBURG</t>
        </is>
      </c>
      <c r="U117" s="3" t="n">
        <v>460</v>
      </c>
      <c r="V117" s="8" t="inlineStr">
        <is>
          <t>100%</t>
        </is>
      </c>
      <c r="W117" t="inlineStr">
        <is>
          <t>RDM</t>
        </is>
      </c>
      <c r="X117" s="4" t="n">
        <v>490</v>
      </c>
      <c r="Y117" t="inlineStr"/>
      <c r="Z117" t="inlineStr">
        <is>
          <t>18146 Rostock - Dierkow</t>
        </is>
      </c>
      <c r="AA117" s="5" t="n">
        <v>45530</v>
      </c>
      <c r="AB117" t="inlineStr">
        <is>
          <t>Sold</t>
        </is>
      </c>
      <c r="AC117" s="6">
        <f>HYPERLINK("https://www.kleinanzeigen.de/s-anzeige/-7-5m-segel-und-mast-von-sailloft-neuwertig-/2847088956-230-9537", "Link")</f>
        <v/>
      </c>
      <c r="AD117" s="6">
        <f>HYPERLINK("C:\Projects\Kleinanzeigen-Scraper\offer_images\2847088956", "Link")</f>
        <v/>
      </c>
      <c r="AE117" t="inlineStr">
        <is>
          <t>Ralf</t>
        </is>
      </c>
      <c r="AF117" s="6">
        <f>HYPERLINK("https://www.kleinanzeigen.de/s-bestandsliste.html?userId=24676102", "Link")</f>
        <v/>
      </c>
      <c r="AG117" s="7" t="n">
        <v>45549.57357638889</v>
      </c>
      <c r="AH117" s="3" t="inlineStr">
        <is>
          <t>497.86</t>
        </is>
      </c>
      <c r="AI117" t="inlineStr">
        <is>
          <t>Köln</t>
        </is>
      </c>
      <c r="AJ117" t="inlineStr"/>
      <c r="AK117" t="inlineStr"/>
      <c r="AL117" t="inlineStr"/>
      <c r="AM117" s="4" t="n">
        <v>490</v>
      </c>
      <c r="AN117" t="inlineStr"/>
      <c r="AO117" t="inlineStr">
        <is>
          <t>18146 Rostock - Dierkow</t>
        </is>
      </c>
      <c r="AP117" s="5" t="n">
        <v>45530</v>
      </c>
      <c r="AQ117" t="inlineStr">
        <is>
          <t>Sold</t>
        </is>
      </c>
      <c r="AR117" s="6">
        <f>HYPERLINK("https://www.kleinanzeigen.de/s-anzeige/-7-5m-segel-und-mast-von-sailloft-neuwertig-/2847088956-230-9537", "Link")</f>
        <v/>
      </c>
      <c r="AS117" s="6">
        <f>HYPERLINK("C:\Projects\Kleinanzeigen-Scraper\offer_images\2847088956", "Link")</f>
        <v/>
      </c>
      <c r="AT117" t="inlineStr">
        <is>
          <t>Ralf</t>
        </is>
      </c>
      <c r="AU117" s="6">
        <f>HYPERLINK("https://www.kleinanzeigen.de/s-bestandsliste.html?userId=24676102", "Link")</f>
        <v/>
      </c>
      <c r="AV117" s="7" t="n">
        <v>45549.57357638889</v>
      </c>
      <c r="AW117" s="3" t="inlineStr">
        <is>
          <t>497.86</t>
        </is>
      </c>
      <c r="AX117" t="inlineStr">
        <is>
          <t>Köln</t>
        </is>
      </c>
      <c r="AY117" s="4" t="n">
        <v>490</v>
      </c>
      <c r="AZ117" t="inlineStr"/>
      <c r="BA117" t="inlineStr">
        <is>
          <t>18146 Rostock - Dierkow</t>
        </is>
      </c>
      <c r="BB117" s="5" t="n">
        <v>45530</v>
      </c>
      <c r="BC117" t="inlineStr">
        <is>
          <t>Sold</t>
        </is>
      </c>
      <c r="BD117" s="6">
        <f>HYPERLINK("https://www.kleinanzeigen.de/s-anzeige/-7-5m-segel-und-mast-von-sailloft-neuwertig-/2847088956-230-9537", "Link")</f>
        <v/>
      </c>
      <c r="BE117" s="6">
        <f>HYPERLINK("C:\Projects\Kleinanzeigen-Scraper\offer_images\2847088956", "Link")</f>
        <v/>
      </c>
      <c r="BF117" t="inlineStr">
        <is>
          <t>Ralf</t>
        </is>
      </c>
      <c r="BG117" s="6">
        <f>HYPERLINK("https://www.kleinanzeigen.de/s-bestandsliste.html?userId=24676102", "Link")</f>
        <v/>
      </c>
      <c r="BH117" s="7" t="n">
        <v>45549.57357638889</v>
      </c>
      <c r="BI117" s="3" t="inlineStr">
        <is>
          <t>497.86</t>
        </is>
      </c>
      <c r="BJ117" t="inlineStr">
        <is>
          <t>Köln</t>
        </is>
      </c>
    </row>
    <row r="118">
      <c r="A118" s="2" t="n">
        <v>8.199999999999999</v>
      </c>
      <c r="B118" t="inlineStr">
        <is>
          <t>Neilpryde Diablo</t>
        </is>
      </c>
      <c r="C118" s="3" t="n">
        <v>496</v>
      </c>
      <c r="D118" s="3" t="n">
        <v>225</v>
      </c>
      <c r="E118" t="inlineStr">
        <is>
          <t>Freeride</t>
        </is>
      </c>
      <c r="F118" t="inlineStr"/>
      <c r="G118" t="inlineStr">
        <is>
          <t>very good</t>
        </is>
      </c>
      <c r="H118" s="4" t="n">
        <v>135</v>
      </c>
      <c r="I118" t="inlineStr"/>
      <c r="J118" t="inlineStr">
        <is>
          <t>12527 Berlin - Köpenick</t>
        </is>
      </c>
      <c r="K118" s="5" t="n">
        <v>45524</v>
      </c>
      <c r="L118" t="inlineStr">
        <is>
          <t>Sold</t>
        </is>
      </c>
      <c r="M118" s="6">
        <f>HYPERLINK("https://www.kleinanzeigen.de/s-anzeige/8-2-neilpryde-diablo-segel-surfmaterial-surfausruestung-rigg-mast/2842130479-230-3370", "Link")</f>
        <v/>
      </c>
      <c r="N118" s="6">
        <f>HYPERLINK("C:\Projects\Kleinanzeigen-Scraper\offer_images\2842130479", "Link")</f>
        <v/>
      </c>
      <c r="O118" t="inlineStr">
        <is>
          <t>ste</t>
        </is>
      </c>
      <c r="P118" s="6">
        <f>HYPERLINK("https://www.kleinanzeigen.de/s-bestandsliste.html?userId=27311742", "Link")</f>
        <v/>
      </c>
      <c r="Q118" s="7" t="n">
        <v>45549.5734837963</v>
      </c>
      <c r="R118" s="3" t="inlineStr">
        <is>
          <t>487.71</t>
        </is>
      </c>
      <c r="S118" t="inlineStr">
        <is>
          <t>Köln</t>
        </is>
      </c>
      <c r="T118" t="inlineStr">
        <is>
          <t>Neilpryde</t>
        </is>
      </c>
      <c r="U118" s="3" t="n">
        <v>490</v>
      </c>
      <c r="V118" s="8" t="inlineStr">
        <is>
          <t>75%</t>
        </is>
      </c>
      <c r="W118" t="inlineStr"/>
      <c r="X118" s="4" t="n">
        <v>135</v>
      </c>
      <c r="Y118" t="inlineStr"/>
      <c r="Z118" t="inlineStr">
        <is>
          <t>12527 Berlin - Köpenick</t>
        </is>
      </c>
      <c r="AA118" s="5" t="n">
        <v>45524</v>
      </c>
      <c r="AB118" t="inlineStr">
        <is>
          <t>Sold</t>
        </is>
      </c>
      <c r="AC118" s="6">
        <f>HYPERLINK("https://www.kleinanzeigen.de/s-anzeige/8-2-neilpryde-diablo-segel-surfmaterial-surfausruestung-rigg-mast/2842130479-230-3370", "Link")</f>
        <v/>
      </c>
      <c r="AD118" s="6">
        <f>HYPERLINK("C:\Projects\Kleinanzeigen-Scraper\offer_images\2842130479", "Link")</f>
        <v/>
      </c>
      <c r="AE118" t="inlineStr">
        <is>
          <t>ste</t>
        </is>
      </c>
      <c r="AF118" s="6">
        <f>HYPERLINK("https://www.kleinanzeigen.de/s-bestandsliste.html?userId=27311742", "Link")</f>
        <v/>
      </c>
      <c r="AG118" s="7" t="n">
        <v>45549.5734837963</v>
      </c>
      <c r="AH118" s="3" t="inlineStr">
        <is>
          <t>487.71</t>
        </is>
      </c>
      <c r="AI118" t="inlineStr">
        <is>
          <t>Köln</t>
        </is>
      </c>
      <c r="AJ118" t="inlineStr">
        <is>
          <t>Neilpryde or Naish</t>
        </is>
      </c>
      <c r="AK118" t="inlineStr">
        <is>
          <t>180-230 or 200-250</t>
        </is>
      </c>
      <c r="AL118" t="inlineStr"/>
      <c r="AM118" s="4" t="n">
        <v>135</v>
      </c>
      <c r="AN118" t="inlineStr"/>
      <c r="AO118" t="inlineStr">
        <is>
          <t>12527 Berlin - Köpenick</t>
        </is>
      </c>
      <c r="AP118" s="5" t="n">
        <v>45524</v>
      </c>
      <c r="AQ118" t="inlineStr">
        <is>
          <t>Sold</t>
        </is>
      </c>
      <c r="AR118" s="6">
        <f>HYPERLINK("https://www.kleinanzeigen.de/s-anzeige/8-2-neilpryde-diablo-segel-surfmaterial-surfausruestung-rigg-mast/2842130479-230-3370", "Link")</f>
        <v/>
      </c>
      <c r="AS118" s="6">
        <f>HYPERLINK("C:\Projects\Kleinanzeigen-Scraper\offer_images\2842130479", "Link")</f>
        <v/>
      </c>
      <c r="AT118" t="inlineStr">
        <is>
          <t>ste</t>
        </is>
      </c>
      <c r="AU118" s="6">
        <f>HYPERLINK("https://www.kleinanzeigen.de/s-bestandsliste.html?userId=27311742", "Link")</f>
        <v/>
      </c>
      <c r="AV118" s="7" t="n">
        <v>45549.5734837963</v>
      </c>
      <c r="AW118" s="3" t="inlineStr">
        <is>
          <t>487.71</t>
        </is>
      </c>
      <c r="AX118" t="inlineStr">
        <is>
          <t>Köln</t>
        </is>
      </c>
      <c r="AY118" s="4" t="n">
        <v>135</v>
      </c>
      <c r="AZ118" t="inlineStr"/>
      <c r="BA118" t="inlineStr">
        <is>
          <t>12527 Berlin - Köpenick</t>
        </is>
      </c>
      <c r="BB118" s="5" t="n">
        <v>45524</v>
      </c>
      <c r="BC118" t="inlineStr">
        <is>
          <t>Sold</t>
        </is>
      </c>
      <c r="BD118" s="6">
        <f>HYPERLINK("https://www.kleinanzeigen.de/s-anzeige/8-2-neilpryde-diablo-segel-surfmaterial-surfausruestung-rigg-mast/2842130479-230-3370", "Link")</f>
        <v/>
      </c>
      <c r="BE118" s="6">
        <f>HYPERLINK("C:\Projects\Kleinanzeigen-Scraper\offer_images\2842130479", "Link")</f>
        <v/>
      </c>
      <c r="BF118" t="inlineStr">
        <is>
          <t>ste</t>
        </is>
      </c>
      <c r="BG118" s="6">
        <f>HYPERLINK("https://www.kleinanzeigen.de/s-bestandsliste.html?userId=27311742", "Link")</f>
        <v/>
      </c>
      <c r="BH118" s="7" t="n">
        <v>45549.5734837963</v>
      </c>
      <c r="BI118" s="3" t="inlineStr">
        <is>
          <t>487.71</t>
        </is>
      </c>
      <c r="BJ118" t="inlineStr">
        <is>
          <t>Köln</t>
        </is>
      </c>
    </row>
    <row r="119">
      <c r="A119" s="2" t="n">
        <v>4.8</v>
      </c>
      <c r="B119" t="inlineStr">
        <is>
          <t>Severne</t>
        </is>
      </c>
      <c r="C119" s="3" t="inlineStr"/>
      <c r="D119" s="3" t="inlineStr"/>
      <c r="E119" t="inlineStr"/>
      <c r="F119" t="inlineStr"/>
      <c r="G119" t="inlineStr">
        <is>
          <t>used</t>
        </is>
      </c>
      <c r="H119" s="4" t="n">
        <v>650</v>
      </c>
      <c r="I119" t="inlineStr">
        <is>
          <t>VB</t>
        </is>
      </c>
      <c r="J119" t="inlineStr">
        <is>
          <t>81667 München - Au-Haidhausen</t>
        </is>
      </c>
      <c r="K119" s="5" t="n">
        <v>45537</v>
      </c>
      <c r="L119" t="inlineStr">
        <is>
          <t>Sold</t>
        </is>
      </c>
      <c r="M119" s="6">
        <f>HYPERLINK("https://www.kleinanzeigen.de/s-anzeige/severne-freek-windsurfsegel-und-mast/2852512629-230-6454", "Link")</f>
        <v/>
      </c>
      <c r="N119" s="6">
        <f>HYPERLINK("C:\Projects\Kleinanzeigen-Scraper\offer_images\2852512629", "Link")</f>
        <v/>
      </c>
      <c r="O119" t="inlineStr">
        <is>
          <t>Privater Verkauf</t>
        </is>
      </c>
      <c r="P119" s="6">
        <f>HYPERLINK("https://www.kleinanzeigen.de/s-bestandsliste.html?userId=142231276", "Link")</f>
        <v/>
      </c>
      <c r="Q119" s="7" t="n">
        <v>45549.57266203704</v>
      </c>
      <c r="R119" s="3" t="inlineStr">
        <is>
          <t>2.06</t>
        </is>
      </c>
      <c r="S119" t="inlineStr">
        <is>
          <t>München</t>
        </is>
      </c>
      <c r="T119" t="inlineStr">
        <is>
          <t>Severne</t>
        </is>
      </c>
      <c r="U119" s="3" t="n">
        <v>400</v>
      </c>
      <c r="V119" s="8" t="inlineStr"/>
      <c r="W119" t="inlineStr">
        <is>
          <t>RDM</t>
        </is>
      </c>
      <c r="X119" s="4" t="n">
        <v>650</v>
      </c>
      <c r="Y119" t="inlineStr">
        <is>
          <t>VB</t>
        </is>
      </c>
      <c r="Z119" t="inlineStr">
        <is>
          <t>81667 München - Au-Haidhausen</t>
        </is>
      </c>
      <c r="AA119" s="5" t="n">
        <v>45537</v>
      </c>
      <c r="AB119" t="inlineStr">
        <is>
          <t>Sold</t>
        </is>
      </c>
      <c r="AC119" s="6">
        <f>HYPERLINK("https://www.kleinanzeigen.de/s-anzeige/severne-freek-windsurfsegel-und-mast/2852512629-230-6454", "Link")</f>
        <v/>
      </c>
      <c r="AD119" s="6">
        <f>HYPERLINK("C:\Projects\Kleinanzeigen-Scraper\offer_images\2852512629", "Link")</f>
        <v/>
      </c>
      <c r="AE119" t="inlineStr">
        <is>
          <t>Privater Verkauf</t>
        </is>
      </c>
      <c r="AF119" s="6">
        <f>HYPERLINK("https://www.kleinanzeigen.de/s-bestandsliste.html?userId=142231276", "Link")</f>
        <v/>
      </c>
      <c r="AG119" s="7" t="n">
        <v>45549.57266203704</v>
      </c>
      <c r="AH119" s="3" t="inlineStr">
        <is>
          <t>2.06</t>
        </is>
      </c>
      <c r="AI119" t="inlineStr">
        <is>
          <t>München</t>
        </is>
      </c>
      <c r="AJ119" t="inlineStr"/>
      <c r="AK119" t="inlineStr"/>
      <c r="AL119" t="inlineStr"/>
      <c r="AM119" s="4" t="n">
        <v>650</v>
      </c>
      <c r="AN119" t="inlineStr">
        <is>
          <t>VB</t>
        </is>
      </c>
      <c r="AO119" t="inlineStr">
        <is>
          <t>81667 München - Au-Haidhausen</t>
        </is>
      </c>
      <c r="AP119" s="5" t="n">
        <v>45537</v>
      </c>
      <c r="AQ119" t="inlineStr">
        <is>
          <t>Sold</t>
        </is>
      </c>
      <c r="AR119" s="6">
        <f>HYPERLINK("https://www.kleinanzeigen.de/s-anzeige/severne-freek-windsurfsegel-und-mast/2852512629-230-6454", "Link")</f>
        <v/>
      </c>
      <c r="AS119" s="6">
        <f>HYPERLINK("C:\Projects\Kleinanzeigen-Scraper\offer_images\2852512629", "Link")</f>
        <v/>
      </c>
      <c r="AT119" t="inlineStr">
        <is>
          <t>Privater Verkauf</t>
        </is>
      </c>
      <c r="AU119" s="6">
        <f>HYPERLINK("https://www.kleinanzeigen.de/s-bestandsliste.html?userId=142231276", "Link")</f>
        <v/>
      </c>
      <c r="AV119" s="7" t="n">
        <v>45549.57266203704</v>
      </c>
      <c r="AW119" s="3" t="inlineStr">
        <is>
          <t>2.06</t>
        </is>
      </c>
      <c r="AX119" t="inlineStr">
        <is>
          <t>München</t>
        </is>
      </c>
      <c r="AY119" s="4" t="n">
        <v>650</v>
      </c>
      <c r="AZ119" t="inlineStr">
        <is>
          <t>VB</t>
        </is>
      </c>
      <c r="BA119" t="inlineStr">
        <is>
          <t>81667 München - Au-Haidhausen</t>
        </is>
      </c>
      <c r="BB119" s="5" t="n">
        <v>45537</v>
      </c>
      <c r="BC119" t="inlineStr">
        <is>
          <t>Sold</t>
        </is>
      </c>
      <c r="BD119" s="6">
        <f>HYPERLINK("https://www.kleinanzeigen.de/s-anzeige/severne-freek-windsurfsegel-und-mast/2852512629-230-6454", "Link")</f>
        <v/>
      </c>
      <c r="BE119" s="6">
        <f>HYPERLINK("C:\Projects\Kleinanzeigen-Scraper\offer_images\2852512629", "Link")</f>
        <v/>
      </c>
      <c r="BF119" t="inlineStr">
        <is>
          <t>Privater Verkauf</t>
        </is>
      </c>
      <c r="BG119" s="6">
        <f>HYPERLINK("https://www.kleinanzeigen.de/s-bestandsliste.html?userId=142231276", "Link")</f>
        <v/>
      </c>
      <c r="BH119" s="7" t="n">
        <v>45549.57266203704</v>
      </c>
      <c r="BI119" s="3" t="inlineStr">
        <is>
          <t>2.06</t>
        </is>
      </c>
      <c r="BJ119" t="inlineStr">
        <is>
          <t>München</t>
        </is>
      </c>
    </row>
    <row r="120">
      <c r="A120" s="2" t="n">
        <v>8.5</v>
      </c>
      <c r="B120" t="inlineStr">
        <is>
          <t>Severne Overdrive</t>
        </is>
      </c>
      <c r="C120" s="3" t="inlineStr"/>
      <c r="D120" s="3" t="inlineStr"/>
      <c r="E120" t="inlineStr"/>
      <c r="F120" t="inlineStr"/>
      <c r="G120" t="inlineStr">
        <is>
          <t>used</t>
        </is>
      </c>
      <c r="H120" s="4" t="n">
        <v>90</v>
      </c>
      <c r="I120" t="inlineStr">
        <is>
          <t>VB</t>
        </is>
      </c>
      <c r="J120" t="inlineStr">
        <is>
          <t>23795 Schleswig-Holstein - Bad Segeberg</t>
        </is>
      </c>
      <c r="K120" s="5" t="n">
        <v>45462</v>
      </c>
      <c r="L120" t="inlineStr">
        <is>
          <t>Sold</t>
        </is>
      </c>
      <c r="M120" s="6">
        <f>HYPERLINK("https://www.kleinanzeigen.de/s-anzeige/segel-komplettrigg-severne-overdrive-8-5/2792321207-230-13372", "Link")</f>
        <v/>
      </c>
      <c r="N120" s="6">
        <f>HYPERLINK("C:\Projects\Kleinanzeigen-Scraper\offer_images\2792321207", "Link")</f>
        <v/>
      </c>
      <c r="O120" t="inlineStr">
        <is>
          <t>Hendrik</t>
        </is>
      </c>
      <c r="P120" s="6">
        <f>HYPERLINK("https://www.kleinanzeigen.de/s-bestandsliste.html?userId=60734495", "Link")</f>
        <v/>
      </c>
      <c r="Q120" s="7" t="n">
        <v>45549.57262731482</v>
      </c>
      <c r="R120" s="3" t="inlineStr">
        <is>
          <t>402.01</t>
        </is>
      </c>
      <c r="S120" t="inlineStr">
        <is>
          <t>Köln</t>
        </is>
      </c>
      <c r="T120" t="inlineStr">
        <is>
          <t>Gun Sails Cross</t>
        </is>
      </c>
      <c r="U120" s="3" t="n">
        <v>490</v>
      </c>
      <c r="V120" s="8" t="inlineStr">
        <is>
          <t>55%</t>
        </is>
      </c>
      <c r="W120" t="inlineStr">
        <is>
          <t>SDM</t>
        </is>
      </c>
      <c r="X120" s="4" t="n">
        <v>90</v>
      </c>
      <c r="Y120" t="inlineStr">
        <is>
          <t>VB</t>
        </is>
      </c>
      <c r="Z120" t="inlineStr">
        <is>
          <t>23795 Schleswig-Holstein - Bad Segeberg</t>
        </is>
      </c>
      <c r="AA120" s="5" t="n">
        <v>45462</v>
      </c>
      <c r="AB120" t="inlineStr">
        <is>
          <t>Sold</t>
        </is>
      </c>
      <c r="AC120" s="6">
        <f>HYPERLINK("https://www.kleinanzeigen.de/s-anzeige/segel-komplettrigg-severne-overdrive-8-5/2792321207-230-13372", "Link")</f>
        <v/>
      </c>
      <c r="AD120" s="6">
        <f>HYPERLINK("C:\Projects\Kleinanzeigen-Scraper\offer_images\2792321207", "Link")</f>
        <v/>
      </c>
      <c r="AE120" t="inlineStr">
        <is>
          <t>Hendrik</t>
        </is>
      </c>
      <c r="AF120" s="6">
        <f>HYPERLINK("https://www.kleinanzeigen.de/s-bestandsliste.html?userId=60734495", "Link")</f>
        <v/>
      </c>
      <c r="AG120" s="7" t="n">
        <v>45549.57262731482</v>
      </c>
      <c r="AH120" s="3" t="inlineStr">
        <is>
          <t>402.01</t>
        </is>
      </c>
      <c r="AI120" t="inlineStr">
        <is>
          <t>Köln</t>
        </is>
      </c>
      <c r="AJ120" t="inlineStr">
        <is>
          <t>North Progression C</t>
        </is>
      </c>
      <c r="AK120" t="inlineStr">
        <is>
          <t>210-255</t>
        </is>
      </c>
      <c r="AL120" t="inlineStr"/>
      <c r="AM120" s="4" t="n">
        <v>90</v>
      </c>
      <c r="AN120" t="inlineStr">
        <is>
          <t>VB</t>
        </is>
      </c>
      <c r="AO120" t="inlineStr">
        <is>
          <t>23795 Schleswig-Holstein - Bad Segeberg</t>
        </is>
      </c>
      <c r="AP120" s="5" t="n">
        <v>45462</v>
      </c>
      <c r="AQ120" t="inlineStr">
        <is>
          <t>Sold</t>
        </is>
      </c>
      <c r="AR120" s="6">
        <f>HYPERLINK("https://www.kleinanzeigen.de/s-anzeige/segel-komplettrigg-severne-overdrive-8-5/2792321207-230-13372", "Link")</f>
        <v/>
      </c>
      <c r="AS120" s="6">
        <f>HYPERLINK("C:\Projects\Kleinanzeigen-Scraper\offer_images\2792321207", "Link")</f>
        <v/>
      </c>
      <c r="AT120" t="inlineStr">
        <is>
          <t>Hendrik</t>
        </is>
      </c>
      <c r="AU120" s="6">
        <f>HYPERLINK("https://www.kleinanzeigen.de/s-bestandsliste.html?userId=60734495", "Link")</f>
        <v/>
      </c>
      <c r="AV120" s="7" t="n">
        <v>45549.57262731482</v>
      </c>
      <c r="AW120" s="3" t="inlineStr">
        <is>
          <t>402.01</t>
        </is>
      </c>
      <c r="AX120" t="inlineStr">
        <is>
          <t>Köln</t>
        </is>
      </c>
      <c r="AY120" s="4" t="n">
        <v>90</v>
      </c>
      <c r="AZ120" t="inlineStr">
        <is>
          <t>VB</t>
        </is>
      </c>
      <c r="BA120" t="inlineStr">
        <is>
          <t>23795 Schleswig-Holstein - Bad Segeberg</t>
        </is>
      </c>
      <c r="BB120" s="5" t="n">
        <v>45462</v>
      </c>
      <c r="BC120" t="inlineStr">
        <is>
          <t>Sold</t>
        </is>
      </c>
      <c r="BD120" s="6">
        <f>HYPERLINK("https://www.kleinanzeigen.de/s-anzeige/segel-komplettrigg-severne-overdrive-8-5/2792321207-230-13372", "Link")</f>
        <v/>
      </c>
      <c r="BE120" s="6">
        <f>HYPERLINK("C:\Projects\Kleinanzeigen-Scraper\offer_images\2792321207", "Link")</f>
        <v/>
      </c>
      <c r="BF120" t="inlineStr">
        <is>
          <t>Hendrik</t>
        </is>
      </c>
      <c r="BG120" s="6">
        <f>HYPERLINK("https://www.kleinanzeigen.de/s-bestandsliste.html?userId=60734495", "Link")</f>
        <v/>
      </c>
      <c r="BH120" s="7" t="n">
        <v>45549.57262731482</v>
      </c>
      <c r="BI120" s="3" t="inlineStr">
        <is>
          <t>402.01</t>
        </is>
      </c>
      <c r="BJ120" t="inlineStr">
        <is>
          <t>Köln</t>
        </is>
      </c>
    </row>
    <row r="121">
      <c r="A121" s="2" t="n">
        <v>7.5</v>
      </c>
      <c r="B121" t="inlineStr">
        <is>
          <t>SAILLOFT HAMBURG CROSS</t>
        </is>
      </c>
      <c r="C121" s="3" t="n">
        <v>474</v>
      </c>
      <c r="D121" s="3" t="n">
        <v>204</v>
      </c>
      <c r="E121" t="inlineStr">
        <is>
          <t>Freeride</t>
        </is>
      </c>
      <c r="F121" t="inlineStr"/>
      <c r="G121" t="inlineStr">
        <is>
          <t>new</t>
        </is>
      </c>
      <c r="H121" s="4" t="n">
        <v>490</v>
      </c>
      <c r="I121" t="inlineStr"/>
      <c r="J121" t="inlineStr">
        <is>
          <t>19067 Parchim - Landkreis - Dobin am See</t>
        </is>
      </c>
      <c r="K121" s="5" t="n">
        <v>45537</v>
      </c>
      <c r="L121" t="inlineStr">
        <is>
          <t>Sold</t>
        </is>
      </c>
      <c r="M121" s="6">
        <f>HYPERLINK("https://www.kleinanzeigen.de/s-anzeige/sailloft-surf-segel-7-5-m-mit-ideal-carbonmast-neuzustand/2852319374-230-16542", "Link")</f>
        <v/>
      </c>
      <c r="N121" s="6">
        <f>HYPERLINK("C:\Projects\Kleinanzeigen-Scraper\offer_images\2852319374", "Link")</f>
        <v/>
      </c>
      <c r="O121" t="inlineStr">
        <is>
          <t>Ralf</t>
        </is>
      </c>
      <c r="P121" s="6">
        <f>HYPERLINK("https://www.kleinanzeigen.de/s-bestandsliste.html?userId=24676102", "Link")</f>
        <v/>
      </c>
      <c r="Q121" s="7" t="n">
        <v>45549.57195601852</v>
      </c>
      <c r="R121" s="3" t="inlineStr">
        <is>
          <t>436.46</t>
        </is>
      </c>
      <c r="S121" t="inlineStr">
        <is>
          <t>Köln</t>
        </is>
      </c>
      <c r="T121" t="inlineStr">
        <is>
          <t>SAILLOFT RDM Carbon</t>
        </is>
      </c>
      <c r="U121" s="3" t="n">
        <v>460</v>
      </c>
      <c r="V121" s="8" t="inlineStr">
        <is>
          <t>100%</t>
        </is>
      </c>
      <c r="W121" t="inlineStr">
        <is>
          <t>RDM</t>
        </is>
      </c>
      <c r="X121" s="4" t="n">
        <v>490</v>
      </c>
      <c r="Y121" t="inlineStr"/>
      <c r="Z121" t="inlineStr">
        <is>
          <t>19067 Parchim - Landkreis - Dobin am See</t>
        </is>
      </c>
      <c r="AA121" s="5" t="n">
        <v>45537</v>
      </c>
      <c r="AB121" t="inlineStr">
        <is>
          <t>Sold</t>
        </is>
      </c>
      <c r="AC121" s="6">
        <f>HYPERLINK("https://www.kleinanzeigen.de/s-anzeige/sailloft-surf-segel-7-5-m-mit-ideal-carbonmast-neuzustand/2852319374-230-16542", "Link")</f>
        <v/>
      </c>
      <c r="AD121" s="6">
        <f>HYPERLINK("C:\Projects\Kleinanzeigen-Scraper\offer_images\2852319374", "Link")</f>
        <v/>
      </c>
      <c r="AE121" t="inlineStr">
        <is>
          <t>Ralf</t>
        </is>
      </c>
      <c r="AF121" s="6">
        <f>HYPERLINK("https://www.kleinanzeigen.de/s-bestandsliste.html?userId=24676102", "Link")</f>
        <v/>
      </c>
      <c r="AG121" s="7" t="n">
        <v>45549.57195601852</v>
      </c>
      <c r="AH121" s="3" t="inlineStr">
        <is>
          <t>436.46</t>
        </is>
      </c>
      <c r="AI121" t="inlineStr">
        <is>
          <t>Köln</t>
        </is>
      </c>
      <c r="AJ121" t="inlineStr"/>
      <c r="AK121" t="inlineStr">
        <is>
          <t>204</t>
        </is>
      </c>
      <c r="AL121" t="inlineStr"/>
      <c r="AM121" s="4" t="n">
        <v>490</v>
      </c>
      <c r="AN121" t="inlineStr"/>
      <c r="AO121" t="inlineStr">
        <is>
          <t>19067 Parchim - Landkreis - Dobin am See</t>
        </is>
      </c>
      <c r="AP121" s="5" t="n">
        <v>45537</v>
      </c>
      <c r="AQ121" t="inlineStr">
        <is>
          <t>Sold</t>
        </is>
      </c>
      <c r="AR121" s="6">
        <f>HYPERLINK("https://www.kleinanzeigen.de/s-anzeige/sailloft-surf-segel-7-5-m-mit-ideal-carbonmast-neuzustand/2852319374-230-16542", "Link")</f>
        <v/>
      </c>
      <c r="AS121" s="6">
        <f>HYPERLINK("C:\Projects\Kleinanzeigen-Scraper\offer_images\2852319374", "Link")</f>
        <v/>
      </c>
      <c r="AT121" t="inlineStr">
        <is>
          <t>Ralf</t>
        </is>
      </c>
      <c r="AU121" s="6">
        <f>HYPERLINK("https://www.kleinanzeigen.de/s-bestandsliste.html?userId=24676102", "Link")</f>
        <v/>
      </c>
      <c r="AV121" s="7" t="n">
        <v>45549.57195601852</v>
      </c>
      <c r="AW121" s="3" t="inlineStr">
        <is>
          <t>436.46</t>
        </is>
      </c>
      <c r="AX121" t="inlineStr">
        <is>
          <t>Köln</t>
        </is>
      </c>
      <c r="AY121" s="4" t="n">
        <v>490</v>
      </c>
      <c r="AZ121" t="inlineStr"/>
      <c r="BA121" t="inlineStr">
        <is>
          <t>19067 Parchim - Landkreis - Dobin am See</t>
        </is>
      </c>
      <c r="BB121" s="5" t="n">
        <v>45537</v>
      </c>
      <c r="BC121" t="inlineStr">
        <is>
          <t>Sold</t>
        </is>
      </c>
      <c r="BD121" s="6">
        <f>HYPERLINK("https://www.kleinanzeigen.de/s-anzeige/sailloft-surf-segel-7-5-m-mit-ideal-carbonmast-neuzustand/2852319374-230-16542", "Link")</f>
        <v/>
      </c>
      <c r="BE121" s="6">
        <f>HYPERLINK("C:\Projects\Kleinanzeigen-Scraper\offer_images\2852319374", "Link")</f>
        <v/>
      </c>
      <c r="BF121" t="inlineStr">
        <is>
          <t>Ralf</t>
        </is>
      </c>
      <c r="BG121" s="6">
        <f>HYPERLINK("https://www.kleinanzeigen.de/s-bestandsliste.html?userId=24676102", "Link")</f>
        <v/>
      </c>
      <c r="BH121" s="7" t="n">
        <v>45549.57195601852</v>
      </c>
      <c r="BI121" s="3" t="inlineStr">
        <is>
          <t>436.46</t>
        </is>
      </c>
      <c r="BJ121" t="inlineStr">
        <is>
          <t>Köln</t>
        </is>
      </c>
    </row>
    <row r="122">
      <c r="A122" s="2" t="n">
        <v>8.5</v>
      </c>
      <c r="B122" t="inlineStr">
        <is>
          <t>Simmer Sails 2XC</t>
        </is>
      </c>
      <c r="C122" s="3" t="n">
        <v>500</v>
      </c>
      <c r="D122" s="3" t="n">
        <v>227</v>
      </c>
      <c r="E122" t="inlineStr"/>
      <c r="F122" t="inlineStr">
        <is>
          <t>2017</t>
        </is>
      </c>
      <c r="G122" t="inlineStr">
        <is>
          <t>used</t>
        </is>
      </c>
      <c r="H122" s="4" t="n">
        <v>500</v>
      </c>
      <c r="I122" t="inlineStr">
        <is>
          <t>VB</t>
        </is>
      </c>
      <c r="J122" t="inlineStr">
        <is>
          <t>47559 Nordrhein-Westfalen - Kranenburg</t>
        </is>
      </c>
      <c r="K122" s="5" t="n">
        <v>45518</v>
      </c>
      <c r="L122" t="inlineStr"/>
      <c r="M122" s="6">
        <f>HYPERLINK("https://www.kleinanzeigen.de/s-anzeige/windsurfsegel-komplett-8-5m-simmer-sails-2xc-2017/2836999612-230-1124", "Link")</f>
        <v/>
      </c>
      <c r="N122" s="6">
        <f>HYPERLINK("C:\Projects\Kleinanzeigen-Scraper\offer_images\2836999612", "Link")</f>
        <v/>
      </c>
      <c r="O122" t="inlineStr">
        <is>
          <t>Jacqueline und Jens Protzek</t>
        </is>
      </c>
      <c r="P122" s="6">
        <f>HYPERLINK("https://www.kleinanzeigen.de/s-bestandsliste.html?userId=43214846", "Link")</f>
        <v/>
      </c>
      <c r="Q122" s="7" t="n">
        <v>45549.57194444445</v>
      </c>
      <c r="R122" s="3" t="inlineStr">
        <is>
          <t>115.15</t>
        </is>
      </c>
      <c r="S122" t="inlineStr">
        <is>
          <t>Köln</t>
        </is>
      </c>
      <c r="T122" t="inlineStr">
        <is>
          <t>Simmer Sails SC8</t>
        </is>
      </c>
      <c r="U122" s="3" t="n">
        <v>490</v>
      </c>
      <c r="V122" s="8" t="inlineStr">
        <is>
          <t>80%</t>
        </is>
      </c>
      <c r="W122" t="inlineStr">
        <is>
          <t>SDM</t>
        </is>
      </c>
      <c r="X122" s="4" t="n">
        <v>500</v>
      </c>
      <c r="Y122" t="inlineStr">
        <is>
          <t>VB</t>
        </is>
      </c>
      <c r="Z122" t="inlineStr">
        <is>
          <t>47559 Nordrhein-Westfalen - Kranenburg</t>
        </is>
      </c>
      <c r="AA122" s="5" t="n">
        <v>45518</v>
      </c>
      <c r="AB122" t="inlineStr"/>
      <c r="AC122" s="6">
        <f>HYPERLINK("https://www.kleinanzeigen.de/s-anzeige/windsurfsegel-komplett-8-5m-simmer-sails-2xc-2017/2836999612-230-1124", "Link")</f>
        <v/>
      </c>
      <c r="AD122" s="6">
        <f>HYPERLINK("C:\Projects\Kleinanzeigen-Scraper\offer_images\2836999612", "Link")</f>
        <v/>
      </c>
      <c r="AE122" t="inlineStr">
        <is>
          <t>Jacqueline und Jens Protzek</t>
        </is>
      </c>
      <c r="AF122" s="6">
        <f>HYPERLINK("https://www.kleinanzeigen.de/s-bestandsliste.html?userId=43214846", "Link")</f>
        <v/>
      </c>
      <c r="AG122" s="7" t="n">
        <v>45549.57194444445</v>
      </c>
      <c r="AH122" s="3" t="inlineStr">
        <is>
          <t>115.15</t>
        </is>
      </c>
      <c r="AI122" t="inlineStr">
        <is>
          <t>Köln</t>
        </is>
      </c>
      <c r="AJ122" t="inlineStr">
        <is>
          <t>ProLimit STX40</t>
        </is>
      </c>
      <c r="AK122" t="inlineStr">
        <is>
          <t>183-244</t>
        </is>
      </c>
      <c r="AL122" t="inlineStr"/>
      <c r="AM122" s="4" t="n">
        <v>500</v>
      </c>
      <c r="AN122" t="inlineStr">
        <is>
          <t>VB</t>
        </is>
      </c>
      <c r="AO122" t="inlineStr">
        <is>
          <t>47559 Nordrhein-Westfalen - Kranenburg</t>
        </is>
      </c>
      <c r="AP122" s="5" t="n">
        <v>45518</v>
      </c>
      <c r="AQ122" t="inlineStr"/>
      <c r="AR122" s="6">
        <f>HYPERLINK("https://www.kleinanzeigen.de/s-anzeige/windsurfsegel-komplett-8-5m-simmer-sails-2xc-2017/2836999612-230-1124", "Link")</f>
        <v/>
      </c>
      <c r="AS122" s="6">
        <f>HYPERLINK("C:\Projects\Kleinanzeigen-Scraper\offer_images\2836999612", "Link")</f>
        <v/>
      </c>
      <c r="AT122" t="inlineStr">
        <is>
          <t>Jacqueline und Jens Protzek</t>
        </is>
      </c>
      <c r="AU122" s="6">
        <f>HYPERLINK("https://www.kleinanzeigen.de/s-bestandsliste.html?userId=43214846", "Link")</f>
        <v/>
      </c>
      <c r="AV122" s="7" t="n">
        <v>45549.57194444445</v>
      </c>
      <c r="AW122" s="3" t="inlineStr">
        <is>
          <t>115.15</t>
        </is>
      </c>
      <c r="AX122" t="inlineStr">
        <is>
          <t>Köln</t>
        </is>
      </c>
      <c r="AY122" s="4" t="n">
        <v>500</v>
      </c>
      <c r="AZ122" t="inlineStr">
        <is>
          <t>VB</t>
        </is>
      </c>
      <c r="BA122" t="inlineStr">
        <is>
          <t>47559 Nordrhein-Westfalen - Kranenburg</t>
        </is>
      </c>
      <c r="BB122" s="5" t="n">
        <v>45518</v>
      </c>
      <c r="BC122" t="inlineStr"/>
      <c r="BD122" s="6">
        <f>HYPERLINK("https://www.kleinanzeigen.de/s-anzeige/windsurfsegel-komplett-8-5m-simmer-sails-2xc-2017/2836999612-230-1124", "Link")</f>
        <v/>
      </c>
      <c r="BE122" s="6">
        <f>HYPERLINK("C:\Projects\Kleinanzeigen-Scraper\offer_images\2836999612", "Link")</f>
        <v/>
      </c>
      <c r="BF122" t="inlineStr">
        <is>
          <t>Jacqueline und Jens Protzek</t>
        </is>
      </c>
      <c r="BG122" s="6">
        <f>HYPERLINK("https://www.kleinanzeigen.de/s-bestandsliste.html?userId=43214846", "Link")</f>
        <v/>
      </c>
      <c r="BH122" s="7" t="n">
        <v>45549.57194444445</v>
      </c>
      <c r="BI122" s="3" t="inlineStr">
        <is>
          <t>115.15</t>
        </is>
      </c>
      <c r="BJ122" t="inlineStr">
        <is>
          <t>Köln</t>
        </is>
      </c>
    </row>
    <row r="123">
      <c r="A123" s="2" t="n">
        <v>8.5</v>
      </c>
      <c r="B123" t="inlineStr">
        <is>
          <t>Loftsails Switchblade</t>
        </is>
      </c>
      <c r="C123" s="3" t="inlineStr"/>
      <c r="D123" s="3" t="inlineStr"/>
      <c r="E123" t="inlineStr"/>
      <c r="F123" t="inlineStr"/>
      <c r="G123" t="inlineStr">
        <is>
          <t>new</t>
        </is>
      </c>
      <c r="H123" s="4" t="n">
        <v>330</v>
      </c>
      <c r="I123" t="inlineStr"/>
      <c r="J123" t="inlineStr">
        <is>
          <t>73342 Baden-Württemberg - Bad Ditzenbach</t>
        </is>
      </c>
      <c r="K123" s="5" t="n">
        <v>45541</v>
      </c>
      <c r="L123" t="inlineStr">
        <is>
          <t>Sold</t>
        </is>
      </c>
      <c r="M123" s="6">
        <f>HYPERLINK("https://www.kleinanzeigen.de/s-anzeige/lpsegel-loftsails-switchblade-8-5m/2855740459-230-8945", "Link")</f>
        <v/>
      </c>
      <c r="N123" s="6">
        <f>HYPERLINK("C:\Projects\Kleinanzeigen-Scraper\offer_images\2855740459", "Link")</f>
        <v/>
      </c>
      <c r="O123" t="inlineStr">
        <is>
          <t>Alwin</t>
        </is>
      </c>
      <c r="P123" s="6">
        <f>HYPERLINK("https://www.kleinanzeigen.de/s-bestandsliste.html?userId=27075632", "Link")</f>
        <v/>
      </c>
      <c r="Q123" s="7" t="n">
        <v>45549.57173611111</v>
      </c>
      <c r="R123" s="3" t="inlineStr">
        <is>
          <t>53.86</t>
        </is>
      </c>
      <c r="S123" t="inlineStr">
        <is>
          <t>Böblingen</t>
        </is>
      </c>
      <c r="T123" t="inlineStr"/>
      <c r="U123" s="3" t="inlineStr"/>
      <c r="V123" s="8" t="inlineStr">
        <is>
          <t>80%</t>
        </is>
      </c>
      <c r="W123" t="inlineStr"/>
      <c r="X123" s="4" t="n">
        <v>330</v>
      </c>
      <c r="Y123" t="inlineStr"/>
      <c r="Z123" t="inlineStr">
        <is>
          <t>73342 Baden-Württemberg - Bad Ditzenbach</t>
        </is>
      </c>
      <c r="AA123" s="5" t="n">
        <v>45541</v>
      </c>
      <c r="AB123" t="inlineStr">
        <is>
          <t>Sold</t>
        </is>
      </c>
      <c r="AC123" s="6">
        <f>HYPERLINK("https://www.kleinanzeigen.de/s-anzeige/lpsegel-loftsails-switchblade-8-5m/2855740459-230-8945", "Link")</f>
        <v/>
      </c>
      <c r="AD123" s="6">
        <f>HYPERLINK("C:\Projects\Kleinanzeigen-Scraper\offer_images\2855740459", "Link")</f>
        <v/>
      </c>
      <c r="AE123" t="inlineStr">
        <is>
          <t>Alwin</t>
        </is>
      </c>
      <c r="AF123" s="6">
        <f>HYPERLINK("https://www.kleinanzeigen.de/s-bestandsliste.html?userId=27075632", "Link")</f>
        <v/>
      </c>
      <c r="AG123" s="7" t="n">
        <v>45549.57173611111</v>
      </c>
      <c r="AH123" s="3" t="inlineStr">
        <is>
          <t>53.86</t>
        </is>
      </c>
      <c r="AI123" t="inlineStr">
        <is>
          <t>Böblingen</t>
        </is>
      </c>
      <c r="AJ123" t="inlineStr"/>
      <c r="AK123" t="inlineStr"/>
      <c r="AL123" t="inlineStr"/>
      <c r="AM123" s="4" t="n">
        <v>330</v>
      </c>
      <c r="AN123" t="inlineStr"/>
      <c r="AO123" t="inlineStr">
        <is>
          <t>73342 Baden-Württemberg - Bad Ditzenbach</t>
        </is>
      </c>
      <c r="AP123" s="5" t="n">
        <v>45541</v>
      </c>
      <c r="AQ123" t="inlineStr">
        <is>
          <t>Sold</t>
        </is>
      </c>
      <c r="AR123" s="6">
        <f>HYPERLINK("https://www.kleinanzeigen.de/s-anzeige/lpsegel-loftsails-switchblade-8-5m/2855740459-230-8945", "Link")</f>
        <v/>
      </c>
      <c r="AS123" s="6">
        <f>HYPERLINK("C:\Projects\Kleinanzeigen-Scraper\offer_images\2855740459", "Link")</f>
        <v/>
      </c>
      <c r="AT123" t="inlineStr">
        <is>
          <t>Alwin</t>
        </is>
      </c>
      <c r="AU123" s="6">
        <f>HYPERLINK("https://www.kleinanzeigen.de/s-bestandsliste.html?userId=27075632", "Link")</f>
        <v/>
      </c>
      <c r="AV123" s="7" t="n">
        <v>45549.57173611111</v>
      </c>
      <c r="AW123" s="3" t="inlineStr">
        <is>
          <t>53.86</t>
        </is>
      </c>
      <c r="AX123" t="inlineStr">
        <is>
          <t>Böblingen</t>
        </is>
      </c>
      <c r="AY123" s="4" t="n">
        <v>330</v>
      </c>
      <c r="AZ123" t="inlineStr"/>
      <c r="BA123" t="inlineStr">
        <is>
          <t>73342 Baden-Württemberg - Bad Ditzenbach</t>
        </is>
      </c>
      <c r="BB123" s="5" t="n">
        <v>45541</v>
      </c>
      <c r="BC123" t="inlineStr">
        <is>
          <t>Sold</t>
        </is>
      </c>
      <c r="BD123" s="6">
        <f>HYPERLINK("https://www.kleinanzeigen.de/s-anzeige/lpsegel-loftsails-switchblade-8-5m/2855740459-230-8945", "Link")</f>
        <v/>
      </c>
      <c r="BE123" s="6">
        <f>HYPERLINK("C:\Projects\Kleinanzeigen-Scraper\offer_images\2855740459", "Link")</f>
        <v/>
      </c>
      <c r="BF123" t="inlineStr">
        <is>
          <t>Alwin</t>
        </is>
      </c>
      <c r="BG123" s="6">
        <f>HYPERLINK("https://www.kleinanzeigen.de/s-bestandsliste.html?userId=27075632", "Link")</f>
        <v/>
      </c>
      <c r="BH123" s="7" t="n">
        <v>45549.57173611111</v>
      </c>
      <c r="BI123" s="3" t="inlineStr">
        <is>
          <t>53.86</t>
        </is>
      </c>
      <c r="BJ123" t="inlineStr">
        <is>
          <t>Böblingen</t>
        </is>
      </c>
    </row>
    <row r="124">
      <c r="A124" s="2" t="n">
        <v>4.8</v>
      </c>
      <c r="B124" t="inlineStr">
        <is>
          <t>Severne Convert</t>
        </is>
      </c>
      <c r="C124" s="3" t="n">
        <v>400</v>
      </c>
      <c r="D124" s="3" t="inlineStr">
        <is>
          <t>150-200</t>
        </is>
      </c>
      <c r="E124" t="inlineStr"/>
      <c r="F124" t="inlineStr">
        <is>
          <t>2019</t>
        </is>
      </c>
      <c r="G124" t="inlineStr">
        <is>
          <t>new</t>
        </is>
      </c>
      <c r="H124" s="4" t="n">
        <v>580</v>
      </c>
      <c r="I124" t="inlineStr">
        <is>
          <t>VB</t>
        </is>
      </c>
      <c r="J124" t="inlineStr">
        <is>
          <t>31608 Niedersachsen - Marklohe</t>
        </is>
      </c>
      <c r="K124" s="5" t="n">
        <v>45502</v>
      </c>
      <c r="L124" t="inlineStr">
        <is>
          <t>Sold</t>
        </is>
      </c>
      <c r="M124" s="6">
        <f>HYPERLINK("https://www.kleinanzeigen.de/s-anzeige/severne-convert-4-8-segel-rigg-komplettset-neu-/2824556819-230-2530", "Link")</f>
        <v/>
      </c>
      <c r="N124" s="6">
        <f>HYPERLINK("C:\Projects\Kleinanzeigen-Scraper\offer_images\2824556819", "Link")</f>
        <v/>
      </c>
      <c r="O124" t="inlineStr">
        <is>
          <t>Müller</t>
        </is>
      </c>
      <c r="P124" s="6">
        <f>HYPERLINK("https://www.kleinanzeigen.de/s-bestandsliste.html?userId=20380001", "Link")</f>
        <v/>
      </c>
      <c r="Q124" s="7" t="n">
        <v>45549.57168981482</v>
      </c>
      <c r="R124" s="3" t="inlineStr">
        <is>
          <t>243.74</t>
        </is>
      </c>
      <c r="S124" t="inlineStr">
        <is>
          <t>Köln</t>
        </is>
      </c>
      <c r="T124" t="inlineStr">
        <is>
          <t>Severne White 40 RDM</t>
        </is>
      </c>
      <c r="U124" s="3" t="n">
        <v>400</v>
      </c>
      <c r="V124" s="8" t="inlineStr"/>
      <c r="W124" t="inlineStr">
        <is>
          <t>RDM</t>
        </is>
      </c>
      <c r="X124" s="4" t="n">
        <v>580</v>
      </c>
      <c r="Y124" t="inlineStr">
        <is>
          <t>VB</t>
        </is>
      </c>
      <c r="Z124" t="inlineStr">
        <is>
          <t>31608 Niedersachsen - Marklohe</t>
        </is>
      </c>
      <c r="AA124" s="5" t="n">
        <v>45502</v>
      </c>
      <c r="AB124" t="inlineStr">
        <is>
          <t>Sold</t>
        </is>
      </c>
      <c r="AC124" s="6">
        <f>HYPERLINK("https://www.kleinanzeigen.de/s-anzeige/severne-convert-4-8-segel-rigg-komplettset-neu-/2824556819-230-2530", "Link")</f>
        <v/>
      </c>
      <c r="AD124" s="6">
        <f>HYPERLINK("C:\Projects\Kleinanzeigen-Scraper\offer_images\2824556819", "Link")</f>
        <v/>
      </c>
      <c r="AE124" t="inlineStr">
        <is>
          <t>Müller</t>
        </is>
      </c>
      <c r="AF124" s="6">
        <f>HYPERLINK("https://www.kleinanzeigen.de/s-bestandsliste.html?userId=20380001", "Link")</f>
        <v/>
      </c>
      <c r="AG124" s="7" t="n">
        <v>45549.57168981482</v>
      </c>
      <c r="AH124" s="3" t="inlineStr">
        <is>
          <t>243.74</t>
        </is>
      </c>
      <c r="AI124" t="inlineStr">
        <is>
          <t>Köln</t>
        </is>
      </c>
      <c r="AJ124" t="inlineStr">
        <is>
          <t>Severne Metal Wave</t>
        </is>
      </c>
      <c r="AK124" t="inlineStr">
        <is>
          <t>150-200</t>
        </is>
      </c>
      <c r="AL124" t="inlineStr"/>
      <c r="AM124" s="4" t="n">
        <v>580</v>
      </c>
      <c r="AN124" t="inlineStr">
        <is>
          <t>VB</t>
        </is>
      </c>
      <c r="AO124" t="inlineStr">
        <is>
          <t>31608 Niedersachsen - Marklohe</t>
        </is>
      </c>
      <c r="AP124" s="5" t="n">
        <v>45502</v>
      </c>
      <c r="AQ124" t="inlineStr">
        <is>
          <t>Sold</t>
        </is>
      </c>
      <c r="AR124" s="6">
        <f>HYPERLINK("https://www.kleinanzeigen.de/s-anzeige/severne-convert-4-8-segel-rigg-komplettset-neu-/2824556819-230-2530", "Link")</f>
        <v/>
      </c>
      <c r="AS124" s="6">
        <f>HYPERLINK("C:\Projects\Kleinanzeigen-Scraper\offer_images\2824556819", "Link")</f>
        <v/>
      </c>
      <c r="AT124" t="inlineStr">
        <is>
          <t>Müller</t>
        </is>
      </c>
      <c r="AU124" s="6">
        <f>HYPERLINK("https://www.kleinanzeigen.de/s-bestandsliste.html?userId=20380001", "Link")</f>
        <v/>
      </c>
      <c r="AV124" s="7" t="n">
        <v>45549.57168981482</v>
      </c>
      <c r="AW124" s="3" t="inlineStr">
        <is>
          <t>243.74</t>
        </is>
      </c>
      <c r="AX124" t="inlineStr">
        <is>
          <t>Köln</t>
        </is>
      </c>
      <c r="AY124" s="4" t="n">
        <v>580</v>
      </c>
      <c r="AZ124" t="inlineStr">
        <is>
          <t>VB</t>
        </is>
      </c>
      <c r="BA124" t="inlineStr">
        <is>
          <t>31608 Niedersachsen - Marklohe</t>
        </is>
      </c>
      <c r="BB124" s="5" t="n">
        <v>45502</v>
      </c>
      <c r="BC124" t="inlineStr">
        <is>
          <t>Sold</t>
        </is>
      </c>
      <c r="BD124" s="6">
        <f>HYPERLINK("https://www.kleinanzeigen.de/s-anzeige/severne-convert-4-8-segel-rigg-komplettset-neu-/2824556819-230-2530", "Link")</f>
        <v/>
      </c>
      <c r="BE124" s="6">
        <f>HYPERLINK("C:\Projects\Kleinanzeigen-Scraper\offer_images\2824556819", "Link")</f>
        <v/>
      </c>
      <c r="BF124" t="inlineStr">
        <is>
          <t>Müller</t>
        </is>
      </c>
      <c r="BG124" s="6">
        <f>HYPERLINK("https://www.kleinanzeigen.de/s-bestandsliste.html?userId=20380001", "Link")</f>
        <v/>
      </c>
      <c r="BH124" s="7" t="n">
        <v>45549.57168981482</v>
      </c>
      <c r="BI124" s="3" t="inlineStr">
        <is>
          <t>243.74</t>
        </is>
      </c>
      <c r="BJ124" t="inlineStr">
        <is>
          <t>Köln</t>
        </is>
      </c>
    </row>
    <row r="125">
      <c r="A125" s="2" t="n">
        <v>7</v>
      </c>
      <c r="B125" t="inlineStr">
        <is>
          <t>Gunsails X-Race</t>
        </is>
      </c>
      <c r="C125" s="3" t="n">
        <v>4.92</v>
      </c>
      <c r="D125" s="3" t="n">
        <v>205</v>
      </c>
      <c r="E125" t="inlineStr">
        <is>
          <t>Freeride Foil</t>
        </is>
      </c>
      <c r="F125" t="inlineStr"/>
      <c r="G125" t="inlineStr">
        <is>
          <t>used</t>
        </is>
      </c>
      <c r="H125" s="4" t="n">
        <v>65</v>
      </c>
      <c r="I125" t="inlineStr">
        <is>
          <t>VB</t>
        </is>
      </c>
      <c r="J125" t="inlineStr">
        <is>
          <t>55291 Rheinland-Pfalz - Saulheim</t>
        </is>
      </c>
      <c r="K125" s="5" t="n">
        <v>45534</v>
      </c>
      <c r="L125" t="inlineStr"/>
      <c r="M125" s="6">
        <f>HYPERLINK("https://www.kleinanzeigen.de/s-anzeige/gunsails-7-0-m-x-race-mit-mast-gun-sails-foilsegel-windfoil/2849989819-230-5332", "Link")</f>
        <v/>
      </c>
      <c r="N125" s="6">
        <f>HYPERLINK("C:\Projects\Kleinanzeigen-Scraper\offer_images\2849989819", "Link")</f>
        <v/>
      </c>
      <c r="O125" t="inlineStr">
        <is>
          <t>Michael</t>
        </is>
      </c>
      <c r="P125" s="6">
        <f>HYPERLINK("https://www.kleinanzeigen.de/s-bestandsliste.html?userId=120338761", "Link")</f>
        <v/>
      </c>
      <c r="Q125" s="7" t="n">
        <v>45549.57146990741</v>
      </c>
      <c r="R125" s="3" t="inlineStr">
        <is>
          <t>97.88</t>
        </is>
      </c>
      <c r="S125" t="inlineStr">
        <is>
          <t>Karlsruhe</t>
        </is>
      </c>
      <c r="T125" t="inlineStr">
        <is>
          <t>Gun Sails</t>
        </is>
      </c>
      <c r="U125" s="3" t="inlineStr"/>
      <c r="V125" s="8" t="inlineStr"/>
      <c r="W125" t="inlineStr"/>
      <c r="X125" s="4" t="n">
        <v>65</v>
      </c>
      <c r="Y125" t="inlineStr">
        <is>
          <t>VB</t>
        </is>
      </c>
      <c r="Z125" t="inlineStr">
        <is>
          <t>55291 Rheinland-Pfalz - Saulheim</t>
        </is>
      </c>
      <c r="AA125" s="5" t="n">
        <v>45534</v>
      </c>
      <c r="AB125" t="inlineStr"/>
      <c r="AC125" s="6">
        <f>HYPERLINK("https://www.kleinanzeigen.de/s-anzeige/gunsails-7-0-m-x-race-mit-mast-gun-sails-foilsegel-windfoil/2849989819-230-5332", "Link")</f>
        <v/>
      </c>
      <c r="AD125" s="6">
        <f>HYPERLINK("C:\Projects\Kleinanzeigen-Scraper\offer_images\2849989819", "Link")</f>
        <v/>
      </c>
      <c r="AE125" t="inlineStr">
        <is>
          <t>Michael</t>
        </is>
      </c>
      <c r="AF125" s="6">
        <f>HYPERLINK("https://www.kleinanzeigen.de/s-bestandsliste.html?userId=120338761", "Link")</f>
        <v/>
      </c>
      <c r="AG125" s="7" t="n">
        <v>45549.57146990741</v>
      </c>
      <c r="AH125" s="3" t="inlineStr">
        <is>
          <t>97.88</t>
        </is>
      </c>
      <c r="AI125" t="inlineStr">
        <is>
          <t>Karlsruhe</t>
        </is>
      </c>
      <c r="AJ125" t="inlineStr"/>
      <c r="AK125" t="inlineStr"/>
      <c r="AL125" t="inlineStr"/>
      <c r="AM125" s="4" t="n">
        <v>65</v>
      </c>
      <c r="AN125" t="inlineStr">
        <is>
          <t>VB</t>
        </is>
      </c>
      <c r="AO125" t="inlineStr">
        <is>
          <t>55291 Rheinland-Pfalz - Saulheim</t>
        </is>
      </c>
      <c r="AP125" s="5" t="n">
        <v>45534</v>
      </c>
      <c r="AQ125" t="inlineStr"/>
      <c r="AR125" s="6">
        <f>HYPERLINK("https://www.kleinanzeigen.de/s-anzeige/gunsails-7-0-m-x-race-mit-mast-gun-sails-foilsegel-windfoil/2849989819-230-5332", "Link")</f>
        <v/>
      </c>
      <c r="AS125" s="6">
        <f>HYPERLINK("C:\Projects\Kleinanzeigen-Scraper\offer_images\2849989819", "Link")</f>
        <v/>
      </c>
      <c r="AT125" t="inlineStr">
        <is>
          <t>Michael</t>
        </is>
      </c>
      <c r="AU125" s="6">
        <f>HYPERLINK("https://www.kleinanzeigen.de/s-bestandsliste.html?userId=120338761", "Link")</f>
        <v/>
      </c>
      <c r="AV125" s="7" t="n">
        <v>45549.57146990741</v>
      </c>
      <c r="AW125" s="3" t="inlineStr">
        <is>
          <t>97.88</t>
        </is>
      </c>
      <c r="AX125" t="inlineStr">
        <is>
          <t>Karlsruhe</t>
        </is>
      </c>
      <c r="AY125" s="4" t="n">
        <v>65</v>
      </c>
      <c r="AZ125" t="inlineStr">
        <is>
          <t>VB</t>
        </is>
      </c>
      <c r="BA125" t="inlineStr">
        <is>
          <t>55291 Rheinland-Pfalz - Saulheim</t>
        </is>
      </c>
      <c r="BB125" s="5" t="n">
        <v>45534</v>
      </c>
      <c r="BC125" t="inlineStr"/>
      <c r="BD125" s="6">
        <f>HYPERLINK("https://www.kleinanzeigen.de/s-anzeige/gunsails-7-0-m-x-race-mit-mast-gun-sails-foilsegel-windfoil/2849989819-230-5332", "Link")</f>
        <v/>
      </c>
      <c r="BE125" s="6">
        <f>HYPERLINK("C:\Projects\Kleinanzeigen-Scraper\offer_images\2849989819", "Link")</f>
        <v/>
      </c>
      <c r="BF125" t="inlineStr">
        <is>
          <t>Michael</t>
        </is>
      </c>
      <c r="BG125" s="6">
        <f>HYPERLINK("https://www.kleinanzeigen.de/s-bestandsliste.html?userId=120338761", "Link")</f>
        <v/>
      </c>
      <c r="BH125" s="7" t="n">
        <v>45549.57146990741</v>
      </c>
      <c r="BI125" s="3" t="inlineStr">
        <is>
          <t>97.88</t>
        </is>
      </c>
      <c r="BJ125" t="inlineStr">
        <is>
          <t>Karlsruhe</t>
        </is>
      </c>
    </row>
    <row r="126">
      <c r="A126" s="2" t="n">
        <v>3.3</v>
      </c>
      <c r="B126" t="inlineStr">
        <is>
          <t>Neilpryde Dragonfly</t>
        </is>
      </c>
      <c r="C126" s="3" t="n">
        <v>270</v>
      </c>
      <c r="D126" s="3" t="n">
        <v>150</v>
      </c>
      <c r="E126" t="inlineStr"/>
      <c r="F126" t="inlineStr">
        <is>
          <t>2020</t>
        </is>
      </c>
      <c r="G126" t="inlineStr">
        <is>
          <t>very good</t>
        </is>
      </c>
      <c r="H126" s="4" t="n">
        <v>249</v>
      </c>
      <c r="I126" t="inlineStr"/>
      <c r="J126" t="inlineStr">
        <is>
          <t>82178 Bayern - Puchheim</t>
        </is>
      </c>
      <c r="K126" s="5" t="n">
        <v>45459</v>
      </c>
      <c r="L126" t="inlineStr">
        <is>
          <t>Sold</t>
        </is>
      </c>
      <c r="M126" s="6">
        <f>HYPERLINK("https://www.kleinanzeigen.de/s-anzeige/neilpryde-segel-dragonfly-3-3m-komplettrigg-m-mast-und-gabelbaum/2789868194-230-5599", "Link")</f>
        <v/>
      </c>
      <c r="N126" s="6">
        <f>HYPERLINK("C:\Projects\Kleinanzeigen-Scraper\offer_images\2789868194", "Link")</f>
        <v/>
      </c>
      <c r="O126" t="inlineStr">
        <is>
          <t>Patrick</t>
        </is>
      </c>
      <c r="P126" s="6">
        <f>HYPERLINK("https://www.kleinanzeigen.de/s-bestandsliste.html?userId=17814692", "Link")</f>
        <v/>
      </c>
      <c r="Q126" s="7" t="n">
        <v>45549.57125</v>
      </c>
      <c r="R126" s="3" t="inlineStr">
        <is>
          <t>17.38</t>
        </is>
      </c>
      <c r="S126" t="inlineStr">
        <is>
          <t>München</t>
        </is>
      </c>
      <c r="T126" t="inlineStr">
        <is>
          <t>Neilpryde Dragonfly</t>
        </is>
      </c>
      <c r="U126" s="3" t="n">
        <v>290</v>
      </c>
      <c r="V126" s="8" t="inlineStr"/>
      <c r="W126" t="inlineStr"/>
      <c r="X126" s="4" t="n">
        <v>249</v>
      </c>
      <c r="Y126" t="inlineStr"/>
      <c r="Z126" t="inlineStr">
        <is>
          <t>82178 Bayern - Puchheim</t>
        </is>
      </c>
      <c r="AA126" s="5" t="n">
        <v>45459</v>
      </c>
      <c r="AB126" t="inlineStr">
        <is>
          <t>Sold</t>
        </is>
      </c>
      <c r="AC126" s="6">
        <f>HYPERLINK("https://www.kleinanzeigen.de/s-anzeige/neilpryde-segel-dragonfly-3-3m-komplettrigg-m-mast-und-gabelbaum/2789868194-230-5599", "Link")</f>
        <v/>
      </c>
      <c r="AD126" s="6">
        <f>HYPERLINK("C:\Projects\Kleinanzeigen-Scraper\offer_images\2789868194", "Link")</f>
        <v/>
      </c>
      <c r="AE126" t="inlineStr">
        <is>
          <t>Patrick</t>
        </is>
      </c>
      <c r="AF126" s="6">
        <f>HYPERLINK("https://www.kleinanzeigen.de/s-bestandsliste.html?userId=17814692", "Link")</f>
        <v/>
      </c>
      <c r="AG126" s="7" t="n">
        <v>45549.57125</v>
      </c>
      <c r="AH126" s="3" t="inlineStr">
        <is>
          <t>17.38</t>
        </is>
      </c>
      <c r="AI126" t="inlineStr">
        <is>
          <t>München</t>
        </is>
      </c>
      <c r="AJ126" t="inlineStr">
        <is>
          <t>Neilpryde Dragonfly</t>
        </is>
      </c>
      <c r="AK126" t="inlineStr"/>
      <c r="AL126" t="inlineStr"/>
      <c r="AM126" s="4" t="n">
        <v>249</v>
      </c>
      <c r="AN126" t="inlineStr"/>
      <c r="AO126" t="inlineStr">
        <is>
          <t>82178 Bayern - Puchheim</t>
        </is>
      </c>
      <c r="AP126" s="5" t="n">
        <v>45459</v>
      </c>
      <c r="AQ126" t="inlineStr">
        <is>
          <t>Sold</t>
        </is>
      </c>
      <c r="AR126" s="6">
        <f>HYPERLINK("https://www.kleinanzeigen.de/s-anzeige/neilpryde-segel-dragonfly-3-3m-komplettrigg-m-mast-und-gabelbaum/2789868194-230-5599", "Link")</f>
        <v/>
      </c>
      <c r="AS126" s="6">
        <f>HYPERLINK("C:\Projects\Kleinanzeigen-Scraper\offer_images\2789868194", "Link")</f>
        <v/>
      </c>
      <c r="AT126" t="inlineStr">
        <is>
          <t>Patrick</t>
        </is>
      </c>
      <c r="AU126" s="6">
        <f>HYPERLINK("https://www.kleinanzeigen.de/s-bestandsliste.html?userId=17814692", "Link")</f>
        <v/>
      </c>
      <c r="AV126" s="7" t="n">
        <v>45549.57125</v>
      </c>
      <c r="AW126" s="3" t="inlineStr">
        <is>
          <t>17.38</t>
        </is>
      </c>
      <c r="AX126" t="inlineStr">
        <is>
          <t>München</t>
        </is>
      </c>
      <c r="AY126" s="4" t="n">
        <v>249</v>
      </c>
      <c r="AZ126" t="inlineStr"/>
      <c r="BA126" t="inlineStr">
        <is>
          <t>82178 Bayern - Puchheim</t>
        </is>
      </c>
      <c r="BB126" s="5" t="n">
        <v>45459</v>
      </c>
      <c r="BC126" t="inlineStr">
        <is>
          <t>Sold</t>
        </is>
      </c>
      <c r="BD126" s="6">
        <f>HYPERLINK("https://www.kleinanzeigen.de/s-anzeige/neilpryde-segel-dragonfly-3-3m-komplettrigg-m-mast-und-gabelbaum/2789868194-230-5599", "Link")</f>
        <v/>
      </c>
      <c r="BE126" s="6">
        <f>HYPERLINK("C:\Projects\Kleinanzeigen-Scraper\offer_images\2789868194", "Link")</f>
        <v/>
      </c>
      <c r="BF126" t="inlineStr">
        <is>
          <t>Patrick</t>
        </is>
      </c>
      <c r="BG126" s="6">
        <f>HYPERLINK("https://www.kleinanzeigen.de/s-bestandsliste.html?userId=17814692", "Link")</f>
        <v/>
      </c>
      <c r="BH126" s="7" t="n">
        <v>45549.57125</v>
      </c>
      <c r="BI126" s="3" t="inlineStr">
        <is>
          <t>17.38</t>
        </is>
      </c>
      <c r="BJ126" t="inlineStr">
        <is>
          <t>München</t>
        </is>
      </c>
    </row>
    <row r="127">
      <c r="A127" s="2" t="n">
        <v>8</v>
      </c>
      <c r="B127" t="inlineStr">
        <is>
          <t>Sailloft Cross</t>
        </is>
      </c>
      <c r="C127" s="3" t="n">
        <v>5.02</v>
      </c>
      <c r="D127" s="3" t="inlineStr"/>
      <c r="E127" t="inlineStr"/>
      <c r="F127" t="inlineStr"/>
      <c r="G127" t="inlineStr">
        <is>
          <t>used</t>
        </is>
      </c>
      <c r="H127" s="4" t="n">
        <v>50</v>
      </c>
      <c r="I127" t="inlineStr"/>
      <c r="J127" t="inlineStr">
        <is>
          <t>14169 Berlin - Zehlendorf</t>
        </is>
      </c>
      <c r="K127" s="5" t="n">
        <v>45422</v>
      </c>
      <c r="L127" t="inlineStr"/>
      <c r="M127" s="6">
        <f>HYPERLINK("https://www.kleinanzeigen.de/s-anzeige/sailloft-cross-8-0-north-sails-sdm-490/2757655497-230-3529", "Link")</f>
        <v/>
      </c>
      <c r="N127" s="6">
        <f>HYPERLINK("C:\Projects\Kleinanzeigen-Scraper\offer_images\2757655497", "Link")</f>
        <v/>
      </c>
      <c r="O127" t="inlineStr">
        <is>
          <t>Laß</t>
        </is>
      </c>
      <c r="P127" s="6">
        <f>HYPERLINK("https://www.kleinanzeigen.de/s-bestandsliste.html?userId=37611846", "Link")</f>
        <v/>
      </c>
      <c r="Q127" s="7" t="n">
        <v>45549.57104166667</v>
      </c>
      <c r="R127" s="3" t="inlineStr">
        <is>
          <t>465.88</t>
        </is>
      </c>
      <c r="S127" t="inlineStr">
        <is>
          <t>Köln</t>
        </is>
      </c>
      <c r="T127" t="inlineStr">
        <is>
          <t>North Sails SDM</t>
        </is>
      </c>
      <c r="U127" s="3" t="n">
        <v>490</v>
      </c>
      <c r="V127" s="8" t="inlineStr"/>
      <c r="W127" t="inlineStr">
        <is>
          <t>SDM</t>
        </is>
      </c>
      <c r="X127" s="4" t="n">
        <v>50</v>
      </c>
      <c r="Y127" t="inlineStr"/>
      <c r="Z127" t="inlineStr">
        <is>
          <t>14169 Berlin - Zehlendorf</t>
        </is>
      </c>
      <c r="AA127" s="5" t="n">
        <v>45422</v>
      </c>
      <c r="AB127" t="inlineStr"/>
      <c r="AC127" s="6">
        <f>HYPERLINK("https://www.kleinanzeigen.de/s-anzeige/sailloft-cross-8-0-north-sails-sdm-490/2757655497-230-3529", "Link")</f>
        <v/>
      </c>
      <c r="AD127" s="6">
        <f>HYPERLINK("C:\Projects\Kleinanzeigen-Scraper\offer_images\2757655497", "Link")</f>
        <v/>
      </c>
      <c r="AE127" t="inlineStr">
        <is>
          <t>Laß</t>
        </is>
      </c>
      <c r="AF127" s="6">
        <f>HYPERLINK("https://www.kleinanzeigen.de/s-bestandsliste.html?userId=37611846", "Link")</f>
        <v/>
      </c>
      <c r="AG127" s="7" t="n">
        <v>45549.57104166667</v>
      </c>
      <c r="AH127" s="3" t="inlineStr">
        <is>
          <t>465.88</t>
        </is>
      </c>
      <c r="AI127" t="inlineStr">
        <is>
          <t>Köln</t>
        </is>
      </c>
      <c r="AJ127" t="inlineStr"/>
      <c r="AK127" t="inlineStr"/>
      <c r="AL127" t="inlineStr"/>
      <c r="AM127" s="4" t="n">
        <v>50</v>
      </c>
      <c r="AN127" t="inlineStr"/>
      <c r="AO127" t="inlineStr">
        <is>
          <t>14169 Berlin - Zehlendorf</t>
        </is>
      </c>
      <c r="AP127" s="5" t="n">
        <v>45422</v>
      </c>
      <c r="AQ127" t="inlineStr"/>
      <c r="AR127" s="6">
        <f>HYPERLINK("https://www.kleinanzeigen.de/s-anzeige/sailloft-cross-8-0-north-sails-sdm-490/2757655497-230-3529", "Link")</f>
        <v/>
      </c>
      <c r="AS127" s="6">
        <f>HYPERLINK("C:\Projects\Kleinanzeigen-Scraper\offer_images\2757655497", "Link")</f>
        <v/>
      </c>
      <c r="AT127" t="inlineStr">
        <is>
          <t>Laß</t>
        </is>
      </c>
      <c r="AU127" s="6">
        <f>HYPERLINK("https://www.kleinanzeigen.de/s-bestandsliste.html?userId=37611846", "Link")</f>
        <v/>
      </c>
      <c r="AV127" s="7" t="n">
        <v>45549.57104166667</v>
      </c>
      <c r="AW127" s="3" t="inlineStr">
        <is>
          <t>465.88</t>
        </is>
      </c>
      <c r="AX127" t="inlineStr">
        <is>
          <t>Köln</t>
        </is>
      </c>
      <c r="AY127" s="4" t="n">
        <v>50</v>
      </c>
      <c r="AZ127" t="inlineStr"/>
      <c r="BA127" t="inlineStr">
        <is>
          <t>14169 Berlin - Zehlendorf</t>
        </is>
      </c>
      <c r="BB127" s="5" t="n">
        <v>45422</v>
      </c>
      <c r="BC127" t="inlineStr"/>
      <c r="BD127" s="6">
        <f>HYPERLINK("https://www.kleinanzeigen.de/s-anzeige/sailloft-cross-8-0-north-sails-sdm-490/2757655497-230-3529", "Link")</f>
        <v/>
      </c>
      <c r="BE127" s="6">
        <f>HYPERLINK("C:\Projects\Kleinanzeigen-Scraper\offer_images\2757655497", "Link")</f>
        <v/>
      </c>
      <c r="BF127" t="inlineStr">
        <is>
          <t>Laß</t>
        </is>
      </c>
      <c r="BG127" s="6">
        <f>HYPERLINK("https://www.kleinanzeigen.de/s-bestandsliste.html?userId=37611846", "Link")</f>
        <v/>
      </c>
      <c r="BH127" s="7" t="n">
        <v>45549.57104166667</v>
      </c>
      <c r="BI127" s="3" t="inlineStr">
        <is>
          <t>465.88</t>
        </is>
      </c>
      <c r="BJ127" t="inlineStr">
        <is>
          <t>Köln</t>
        </is>
      </c>
    </row>
    <row r="128">
      <c r="A128" s="2" t="n">
        <v>3.5</v>
      </c>
      <c r="B128" t="inlineStr">
        <is>
          <t>Neil Pryde Zone</t>
        </is>
      </c>
      <c r="C128" s="3" t="n">
        <v>364</v>
      </c>
      <c r="D128" s="3" t="inlineStr"/>
      <c r="E128" t="inlineStr"/>
      <c r="F128" t="inlineStr"/>
      <c r="G128" t="inlineStr">
        <is>
          <t>used</t>
        </is>
      </c>
      <c r="H128" s="4" t="n">
        <v>119</v>
      </c>
      <c r="I128" t="inlineStr"/>
      <c r="J128" t="inlineStr">
        <is>
          <t>82223 Bayern - Eichenau</t>
        </is>
      </c>
      <c r="K128" s="5" t="n">
        <v>45537</v>
      </c>
      <c r="L128" t="inlineStr"/>
      <c r="M128" s="6">
        <f>HYPERLINK("https://www.kleinanzeigen.de/s-anzeige/neilpryde-neil-pryde-surfsegel-zone-3-5qm/2852481181-230-16921", "Link")</f>
        <v/>
      </c>
      <c r="N128" s="6">
        <f>HYPERLINK("C:\Projects\Kleinanzeigen-Scraper\offer_images\2852481181", "Link")</f>
        <v/>
      </c>
      <c r="O128" t="inlineStr">
        <is>
          <t>Norbert</t>
        </is>
      </c>
      <c r="P128" s="6">
        <f>HYPERLINK("https://www.kleinanzeigen.de/s-bestandsliste.html?userId=15950319", "Link")</f>
        <v/>
      </c>
      <c r="Q128" s="7" t="n">
        <v>45549.57083333333</v>
      </c>
      <c r="R128" s="3" t="inlineStr">
        <is>
          <t>19.02</t>
        </is>
      </c>
      <c r="S128" t="inlineStr">
        <is>
          <t>München</t>
        </is>
      </c>
      <c r="T128" t="inlineStr">
        <is>
          <t>Neilpryde Matrix X65</t>
        </is>
      </c>
      <c r="U128" s="3" t="n">
        <v>370</v>
      </c>
      <c r="V128" s="8" t="inlineStr"/>
      <c r="W128" t="inlineStr">
        <is>
          <t>RDM</t>
        </is>
      </c>
      <c r="X128" s="4" t="n">
        <v>119</v>
      </c>
      <c r="Y128" t="inlineStr"/>
      <c r="Z128" t="inlineStr">
        <is>
          <t>82223 Bayern - Eichenau</t>
        </is>
      </c>
      <c r="AA128" s="5" t="n">
        <v>45537</v>
      </c>
      <c r="AB128" t="inlineStr"/>
      <c r="AC128" s="6">
        <f>HYPERLINK("https://www.kleinanzeigen.de/s-anzeige/neilpryde-neil-pryde-surfsegel-zone-3-5qm/2852481181-230-16921", "Link")</f>
        <v/>
      </c>
      <c r="AD128" s="6">
        <f>HYPERLINK("C:\Projects\Kleinanzeigen-Scraper\offer_images\2852481181", "Link")</f>
        <v/>
      </c>
      <c r="AE128" t="inlineStr">
        <is>
          <t>Norbert</t>
        </is>
      </c>
      <c r="AF128" s="6">
        <f>HYPERLINK("https://www.kleinanzeigen.de/s-bestandsliste.html?userId=15950319", "Link")</f>
        <v/>
      </c>
      <c r="AG128" s="7" t="n">
        <v>45549.57083333333</v>
      </c>
      <c r="AH128" s="3" t="inlineStr">
        <is>
          <t>19.02</t>
        </is>
      </c>
      <c r="AI128" t="inlineStr">
        <is>
          <t>München</t>
        </is>
      </c>
      <c r="AJ128" t="inlineStr"/>
      <c r="AK128" t="inlineStr"/>
      <c r="AL128" t="inlineStr"/>
      <c r="AM128" s="4" t="n">
        <v>119</v>
      </c>
      <c r="AN128" t="inlineStr"/>
      <c r="AO128" t="inlineStr">
        <is>
          <t>82223 Bayern - Eichenau</t>
        </is>
      </c>
      <c r="AP128" s="5" t="n">
        <v>45537</v>
      </c>
      <c r="AQ128" t="inlineStr"/>
      <c r="AR128" s="6">
        <f>HYPERLINK("https://www.kleinanzeigen.de/s-anzeige/neilpryde-neil-pryde-surfsegel-zone-3-5qm/2852481181-230-16921", "Link")</f>
        <v/>
      </c>
      <c r="AS128" s="6">
        <f>HYPERLINK("C:\Projects\Kleinanzeigen-Scraper\offer_images\2852481181", "Link")</f>
        <v/>
      </c>
      <c r="AT128" t="inlineStr">
        <is>
          <t>Norbert</t>
        </is>
      </c>
      <c r="AU128" s="6">
        <f>HYPERLINK("https://www.kleinanzeigen.de/s-bestandsliste.html?userId=15950319", "Link")</f>
        <v/>
      </c>
      <c r="AV128" s="7" t="n">
        <v>45549.57083333333</v>
      </c>
      <c r="AW128" s="3" t="inlineStr">
        <is>
          <t>19.02</t>
        </is>
      </c>
      <c r="AX128" t="inlineStr">
        <is>
          <t>München</t>
        </is>
      </c>
      <c r="AY128" s="4" t="n">
        <v>119</v>
      </c>
      <c r="AZ128" t="inlineStr"/>
      <c r="BA128" t="inlineStr">
        <is>
          <t>82223 Bayern - Eichenau</t>
        </is>
      </c>
      <c r="BB128" s="5" t="n">
        <v>45537</v>
      </c>
      <c r="BC128" t="inlineStr"/>
      <c r="BD128" s="6">
        <f>HYPERLINK("https://www.kleinanzeigen.de/s-anzeige/neilpryde-neil-pryde-surfsegel-zone-3-5qm/2852481181-230-16921", "Link")</f>
        <v/>
      </c>
      <c r="BE128" s="6">
        <f>HYPERLINK("C:\Projects\Kleinanzeigen-Scraper\offer_images\2852481181", "Link")</f>
        <v/>
      </c>
      <c r="BF128" t="inlineStr">
        <is>
          <t>Norbert</t>
        </is>
      </c>
      <c r="BG128" s="6">
        <f>HYPERLINK("https://www.kleinanzeigen.de/s-bestandsliste.html?userId=15950319", "Link")</f>
        <v/>
      </c>
      <c r="BH128" s="7" t="n">
        <v>45549.57083333333</v>
      </c>
      <c r="BI128" s="3" t="inlineStr">
        <is>
          <t>19.02</t>
        </is>
      </c>
      <c r="BJ128" t="inlineStr">
        <is>
          <t>München</t>
        </is>
      </c>
    </row>
    <row r="129">
      <c r="A129" s="2" t="n">
        <v>6.2</v>
      </c>
      <c r="B129" t="inlineStr">
        <is>
          <t>Point 7 AC1</t>
        </is>
      </c>
      <c r="C129" s="3" t="n">
        <v>400</v>
      </c>
      <c r="D129" s="3" t="n">
        <v>190</v>
      </c>
      <c r="E129" t="inlineStr"/>
      <c r="F129" t="inlineStr"/>
      <c r="G129" t="inlineStr">
        <is>
          <t>used</t>
        </is>
      </c>
      <c r="H129" s="4" t="n">
        <v>450</v>
      </c>
      <c r="I129" t="inlineStr"/>
      <c r="J129" t="inlineStr">
        <is>
          <t>Salzburg/Linz</t>
        </is>
      </c>
      <c r="K129" s="5" t="n">
        <v>45548</v>
      </c>
      <c r="L129" t="inlineStr">
        <is>
          <t>Sold</t>
        </is>
      </c>
      <c r="M129" s="6">
        <f>HYPERLINK("https://www.dailydose.de/kleinanzeigen/detail.htm?ai=422497&amp;cf=kk&amp;pg=5&amp;ci=5", "Link")</f>
        <v/>
      </c>
      <c r="N129" s="6">
        <f>HYPERLINK("C:\Projects\Kleinanzeigen-Scraper\offer_images\422497", "Link")</f>
        <v/>
      </c>
      <c r="O129" t="inlineStr">
        <is>
          <t>Alex_109</t>
        </is>
      </c>
      <c r="P129" s="6">
        <f>HYPERLINK("https://www.dailydose.de/kleinanzeigen/user/21202", "Link")</f>
        <v/>
      </c>
      <c r="Q129" s="7" t="n">
        <v>45548.55303240741</v>
      </c>
      <c r="R129" s="3" t="inlineStr">
        <is>
          <t>260.33</t>
        </is>
      </c>
      <c r="S129" t="inlineStr">
        <is>
          <t>Köln</t>
        </is>
      </c>
      <c r="T129" t="inlineStr">
        <is>
          <t>Point 7 C100</t>
        </is>
      </c>
      <c r="U129" s="3" t="n">
        <v>400</v>
      </c>
      <c r="V129" s="8" t="inlineStr"/>
      <c r="W129" t="inlineStr">
        <is>
          <t>SDM</t>
        </is>
      </c>
      <c r="X129" s="4" t="n">
        <v>450</v>
      </c>
      <c r="Y129" t="inlineStr"/>
      <c r="Z129" t="inlineStr">
        <is>
          <t>Salzburg/Linz</t>
        </is>
      </c>
      <c r="AA129" s="5" t="n">
        <v>45548</v>
      </c>
      <c r="AB129" t="inlineStr">
        <is>
          <t>Sold</t>
        </is>
      </c>
      <c r="AC129" s="6">
        <f>HYPERLINK("https://www.dailydose.de/kleinanzeigen/detail.htm?ai=422497&amp;cf=kk&amp;pg=5&amp;ci=5", "Link")</f>
        <v/>
      </c>
      <c r="AD129" s="6">
        <f>HYPERLINK("C:\Projects\Kleinanzeigen-Scraper\offer_images\422497", "Link")</f>
        <v/>
      </c>
      <c r="AE129" t="inlineStr">
        <is>
          <t>Alex_109</t>
        </is>
      </c>
      <c r="AF129" s="6">
        <f>HYPERLINK("https://www.dailydose.de/kleinanzeigen/user/21202", "Link")</f>
        <v/>
      </c>
      <c r="AG129" s="7" t="n">
        <v>45548.55303240741</v>
      </c>
      <c r="AH129" s="3" t="inlineStr">
        <is>
          <t>260.33</t>
        </is>
      </c>
      <c r="AI129" t="inlineStr">
        <is>
          <t>Köln</t>
        </is>
      </c>
      <c r="AJ129" t="inlineStr"/>
      <c r="AK129" t="inlineStr"/>
      <c r="AL129" t="inlineStr"/>
      <c r="AM129" s="4" t="n">
        <v>450</v>
      </c>
      <c r="AN129" t="inlineStr"/>
      <c r="AO129" t="inlineStr">
        <is>
          <t>Salzburg/Linz</t>
        </is>
      </c>
      <c r="AP129" s="5" t="n">
        <v>45548</v>
      </c>
      <c r="AQ129" t="inlineStr">
        <is>
          <t>Sold</t>
        </is>
      </c>
      <c r="AR129" s="6">
        <f>HYPERLINK("https://www.dailydose.de/kleinanzeigen/detail.htm?ai=422497&amp;cf=kk&amp;pg=5&amp;ci=5", "Link")</f>
        <v/>
      </c>
      <c r="AS129" s="6">
        <f>HYPERLINK("C:\Projects\Kleinanzeigen-Scraper\offer_images\422497", "Link")</f>
        <v/>
      </c>
      <c r="AT129" t="inlineStr">
        <is>
          <t>Alex_109</t>
        </is>
      </c>
      <c r="AU129" s="6">
        <f>HYPERLINK("https://www.dailydose.de/kleinanzeigen/user/21202", "Link")</f>
        <v/>
      </c>
      <c r="AV129" s="7" t="n">
        <v>45548.55303240741</v>
      </c>
      <c r="AW129" s="3" t="inlineStr">
        <is>
          <t>260.33</t>
        </is>
      </c>
      <c r="AX129" t="inlineStr">
        <is>
          <t>Köln</t>
        </is>
      </c>
      <c r="AY129" s="4" t="n">
        <v>450</v>
      </c>
      <c r="AZ129" t="inlineStr"/>
      <c r="BA129" t="inlineStr">
        <is>
          <t>Salzburg/Linz</t>
        </is>
      </c>
      <c r="BB129" s="5" t="n">
        <v>45548</v>
      </c>
      <c r="BC129" t="inlineStr">
        <is>
          <t>Sold</t>
        </is>
      </c>
      <c r="BD129" s="6">
        <f>HYPERLINK("https://www.dailydose.de/kleinanzeigen/detail.htm?ai=422497&amp;cf=kk&amp;pg=5&amp;ci=5", "Link")</f>
        <v/>
      </c>
      <c r="BE129" s="6">
        <f>HYPERLINK("C:\Projects\Kleinanzeigen-Scraper\offer_images\422497", "Link")</f>
        <v/>
      </c>
      <c r="BF129" t="inlineStr">
        <is>
          <t>Alex_109</t>
        </is>
      </c>
      <c r="BG129" s="6">
        <f>HYPERLINK("https://www.dailydose.de/kleinanzeigen/user/21202", "Link")</f>
        <v/>
      </c>
      <c r="BH129" s="7" t="n">
        <v>45548.55303240741</v>
      </c>
      <c r="BI129" s="3" t="inlineStr">
        <is>
          <t>260.33</t>
        </is>
      </c>
      <c r="BJ129" t="inlineStr">
        <is>
          <t>Köln</t>
        </is>
      </c>
    </row>
    <row r="130">
      <c r="A130" s="2" t="n">
        <v>9.4</v>
      </c>
      <c r="B130" t="inlineStr">
        <is>
          <t>Sailloft Ultimate</t>
        </is>
      </c>
      <c r="C130" s="3" t="n">
        <v>520</v>
      </c>
      <c r="D130" s="3" t="inlineStr"/>
      <c r="E130" t="inlineStr"/>
      <c r="F130" t="inlineStr"/>
      <c r="G130" t="inlineStr">
        <is>
          <t>new</t>
        </is>
      </c>
      <c r="H130" s="4" t="n">
        <v>480</v>
      </c>
      <c r="I130" t="inlineStr"/>
      <c r="J130" t="inlineStr">
        <is>
          <t>47803 Krefeld &amp; Holland</t>
        </is>
      </c>
      <c r="K130" s="5" t="n">
        <v>45547</v>
      </c>
      <c r="L130" t="inlineStr">
        <is>
          <t>Sold</t>
        </is>
      </c>
      <c r="M130" s="6">
        <f>HYPERLINK("https://www.dailydose.de/kleinanzeigen/detail.htm?ai=422483&amp;cf=kk&amp;pg=1&amp;ci=5", "Link")</f>
        <v/>
      </c>
      <c r="N130" s="6">
        <f>HYPERLINK("C:\Projects\Kleinanzeigen-Scraper\offer_images\422483", "Link")</f>
        <v/>
      </c>
      <c r="O130" t="inlineStr">
        <is>
          <t>Matthias_4</t>
        </is>
      </c>
      <c r="P130" s="6">
        <f>HYPERLINK("https://www.dailydose.de/kleinanzeigen/user/25579", "Link")</f>
        <v/>
      </c>
      <c r="Q130" s="7" t="n">
        <v>45548.55299768518</v>
      </c>
      <c r="R130" s="3" t="inlineStr">
        <is>
          <t>53.61</t>
        </is>
      </c>
      <c r="S130" t="inlineStr">
        <is>
          <t>Köln</t>
        </is>
      </c>
      <c r="T130" t="inlineStr">
        <is>
          <t>Sailloft</t>
        </is>
      </c>
      <c r="U130" s="3" t="n">
        <v>520</v>
      </c>
      <c r="V130" s="8" t="inlineStr">
        <is>
          <t>100%</t>
        </is>
      </c>
      <c r="W130" t="inlineStr"/>
      <c r="X130" s="4" t="n">
        <v>480</v>
      </c>
      <c r="Y130" t="inlineStr"/>
      <c r="Z130" t="inlineStr">
        <is>
          <t>47803 Krefeld &amp; Holland</t>
        </is>
      </c>
      <c r="AA130" s="5" t="n">
        <v>45547</v>
      </c>
      <c r="AB130" t="inlineStr">
        <is>
          <t>Sold</t>
        </is>
      </c>
      <c r="AC130" s="6">
        <f>HYPERLINK("https://www.dailydose.de/kleinanzeigen/detail.htm?ai=422483&amp;cf=kk&amp;pg=1&amp;ci=5", "Link")</f>
        <v/>
      </c>
      <c r="AD130" s="6">
        <f>HYPERLINK("C:\Projects\Kleinanzeigen-Scraper\offer_images\422483", "Link")</f>
        <v/>
      </c>
      <c r="AE130" t="inlineStr">
        <is>
          <t>Matthias_4</t>
        </is>
      </c>
      <c r="AF130" s="6">
        <f>HYPERLINK("https://www.dailydose.de/kleinanzeigen/user/25579", "Link")</f>
        <v/>
      </c>
      <c r="AG130" s="7" t="n">
        <v>45548.55299768518</v>
      </c>
      <c r="AH130" s="3" t="inlineStr">
        <is>
          <t>53.61</t>
        </is>
      </c>
      <c r="AI130" t="inlineStr">
        <is>
          <t>Köln</t>
        </is>
      </c>
      <c r="AJ130" t="inlineStr"/>
      <c r="AK130" t="inlineStr"/>
      <c r="AL130" t="inlineStr"/>
      <c r="AM130" s="4" t="n">
        <v>480</v>
      </c>
      <c r="AN130" t="inlineStr"/>
      <c r="AO130" t="inlineStr">
        <is>
          <t>47803 Krefeld &amp; Holland</t>
        </is>
      </c>
      <c r="AP130" s="5" t="n">
        <v>45547</v>
      </c>
      <c r="AQ130" t="inlineStr">
        <is>
          <t>Sold</t>
        </is>
      </c>
      <c r="AR130" s="6">
        <f>HYPERLINK("https://www.dailydose.de/kleinanzeigen/detail.htm?ai=422483&amp;cf=kk&amp;pg=1&amp;ci=5", "Link")</f>
        <v/>
      </c>
      <c r="AS130" s="6">
        <f>HYPERLINK("C:\Projects\Kleinanzeigen-Scraper\offer_images\422483", "Link")</f>
        <v/>
      </c>
      <c r="AT130" t="inlineStr">
        <is>
          <t>Matthias_4</t>
        </is>
      </c>
      <c r="AU130" s="6">
        <f>HYPERLINK("https://www.dailydose.de/kleinanzeigen/user/25579", "Link")</f>
        <v/>
      </c>
      <c r="AV130" s="7" t="n">
        <v>45548.55299768518</v>
      </c>
      <c r="AW130" s="3" t="inlineStr">
        <is>
          <t>53.61</t>
        </is>
      </c>
      <c r="AX130" t="inlineStr">
        <is>
          <t>Köln</t>
        </is>
      </c>
      <c r="AY130" s="4" t="n">
        <v>480</v>
      </c>
      <c r="AZ130" t="inlineStr"/>
      <c r="BA130" t="inlineStr">
        <is>
          <t>47803 Krefeld &amp; Holland</t>
        </is>
      </c>
      <c r="BB130" s="5" t="n">
        <v>45547</v>
      </c>
      <c r="BC130" t="inlineStr">
        <is>
          <t>Sold</t>
        </is>
      </c>
      <c r="BD130" s="6">
        <f>HYPERLINK("https://www.dailydose.de/kleinanzeigen/detail.htm?ai=422483&amp;cf=kk&amp;pg=1&amp;ci=5", "Link")</f>
        <v/>
      </c>
      <c r="BE130" s="6">
        <f>HYPERLINK("C:\Projects\Kleinanzeigen-Scraper\offer_images\422483", "Link")</f>
        <v/>
      </c>
      <c r="BF130" t="inlineStr">
        <is>
          <t>Matthias_4</t>
        </is>
      </c>
      <c r="BG130" s="6">
        <f>HYPERLINK("https://www.dailydose.de/kleinanzeigen/user/25579", "Link")</f>
        <v/>
      </c>
      <c r="BH130" s="7" t="n">
        <v>45548.55299768518</v>
      </c>
      <c r="BI130" s="3" t="inlineStr">
        <is>
          <t>53.61</t>
        </is>
      </c>
      <c r="BJ130" t="inlineStr">
        <is>
          <t>Köln</t>
        </is>
      </c>
    </row>
    <row r="131">
      <c r="A131" s="2" t="n">
        <v>4.5</v>
      </c>
      <c r="B131" t="inlineStr">
        <is>
          <t>Gaastra Poison</t>
        </is>
      </c>
      <c r="C131" s="3" t="n">
        <v>400</v>
      </c>
      <c r="D131" s="3" t="inlineStr"/>
      <c r="E131" t="inlineStr"/>
      <c r="F131" t="inlineStr">
        <is>
          <t>2015</t>
        </is>
      </c>
      <c r="G131" t="inlineStr">
        <is>
          <t>used</t>
        </is>
      </c>
      <c r="H131" s="4" t="inlineStr">
        <is>
          <t>sh. Beschreibung</t>
        </is>
      </c>
      <c r="I131" t="inlineStr"/>
      <c r="J131" t="inlineStr">
        <is>
          <t>Kreta + Füssen</t>
        </is>
      </c>
      <c r="K131" s="5" t="n">
        <v>45547</v>
      </c>
      <c r="L131" t="inlineStr">
        <is>
          <t>Sold</t>
        </is>
      </c>
      <c r="M131" s="6">
        <f>HYPERLINK("https://www.dailydose.de/kleinanzeigen/detail.htm?ai=422472&amp;cf=kk&amp;pg=5&amp;ci=5", "Link")</f>
        <v/>
      </c>
      <c r="N131" s="6">
        <f>HYPERLINK("C:\Projects\Kleinanzeigen-Scraper\offer_images\422472", "Link")</f>
        <v/>
      </c>
      <c r="O131" t="inlineStr">
        <is>
          <t>J_198</t>
        </is>
      </c>
      <c r="P131" s="6">
        <f>HYPERLINK("https://www.dailydose.de/kleinanzeigen/user/12670", "Link")</f>
        <v/>
      </c>
      <c r="Q131" s="7" t="n">
        <v>45548.55228009259</v>
      </c>
      <c r="R131" s="3" t="inlineStr">
        <is>
          <t>195.39</t>
        </is>
      </c>
      <c r="S131" t="inlineStr">
        <is>
          <t>Köln</t>
        </is>
      </c>
      <c r="T131" t="inlineStr">
        <is>
          <t>Gaastra RDM</t>
        </is>
      </c>
      <c r="U131" s="3" t="n">
        <v>400</v>
      </c>
      <c r="V131" s="8" t="inlineStr">
        <is>
          <t>100%</t>
        </is>
      </c>
      <c r="W131" t="inlineStr">
        <is>
          <t>RDM</t>
        </is>
      </c>
      <c r="X131" s="4" t="inlineStr">
        <is>
          <t>sh. Beschreibung</t>
        </is>
      </c>
      <c r="Y131" t="inlineStr"/>
      <c r="Z131" t="inlineStr">
        <is>
          <t>Kreta + Füssen</t>
        </is>
      </c>
      <c r="AA131" s="5" t="n">
        <v>45547</v>
      </c>
      <c r="AB131" t="inlineStr">
        <is>
          <t>Sold</t>
        </is>
      </c>
      <c r="AC131" s="6">
        <f>HYPERLINK("https://www.dailydose.de/kleinanzeigen/detail.htm?ai=422472&amp;cf=kk&amp;pg=5&amp;ci=5", "Link")</f>
        <v/>
      </c>
      <c r="AD131" s="6">
        <f>HYPERLINK("C:\Projects\Kleinanzeigen-Scraper\offer_images\422472", "Link")</f>
        <v/>
      </c>
      <c r="AE131" t="inlineStr">
        <is>
          <t>J_198</t>
        </is>
      </c>
      <c r="AF131" s="6">
        <f>HYPERLINK("https://www.dailydose.de/kleinanzeigen/user/12670", "Link")</f>
        <v/>
      </c>
      <c r="AG131" s="7" t="n">
        <v>45548.55228009259</v>
      </c>
      <c r="AH131" s="3" t="inlineStr">
        <is>
          <t>195.39</t>
        </is>
      </c>
      <c r="AI131" t="inlineStr">
        <is>
          <t>Köln</t>
        </is>
      </c>
      <c r="AJ131" t="inlineStr"/>
      <c r="AK131" t="inlineStr"/>
      <c r="AL131" t="inlineStr"/>
      <c r="AM131" s="4" t="inlineStr">
        <is>
          <t>sh. Beschreibung</t>
        </is>
      </c>
      <c r="AN131" t="inlineStr"/>
      <c r="AO131" t="inlineStr">
        <is>
          <t>Kreta + Füssen</t>
        </is>
      </c>
      <c r="AP131" s="5" t="n">
        <v>45547</v>
      </c>
      <c r="AQ131" t="inlineStr">
        <is>
          <t>Sold</t>
        </is>
      </c>
      <c r="AR131" s="6">
        <f>HYPERLINK("https://www.dailydose.de/kleinanzeigen/detail.htm?ai=422472&amp;cf=kk&amp;pg=5&amp;ci=5", "Link")</f>
        <v/>
      </c>
      <c r="AS131" s="6">
        <f>HYPERLINK("C:\Projects\Kleinanzeigen-Scraper\offer_images\422472", "Link")</f>
        <v/>
      </c>
      <c r="AT131" t="inlineStr">
        <is>
          <t>J_198</t>
        </is>
      </c>
      <c r="AU131" s="6">
        <f>HYPERLINK("https://www.dailydose.de/kleinanzeigen/user/12670", "Link")</f>
        <v/>
      </c>
      <c r="AV131" s="7" t="n">
        <v>45548.55228009259</v>
      </c>
      <c r="AW131" s="3" t="inlineStr">
        <is>
          <t>195.39</t>
        </is>
      </c>
      <c r="AX131" t="inlineStr">
        <is>
          <t>Köln</t>
        </is>
      </c>
      <c r="AY131" s="4" t="inlineStr">
        <is>
          <t>sh. Beschreibung</t>
        </is>
      </c>
      <c r="AZ131" t="inlineStr"/>
      <c r="BA131" t="inlineStr">
        <is>
          <t>Kreta + Füssen</t>
        </is>
      </c>
      <c r="BB131" s="5" t="n">
        <v>45547</v>
      </c>
      <c r="BC131" t="inlineStr">
        <is>
          <t>Sold</t>
        </is>
      </c>
      <c r="BD131" s="6">
        <f>HYPERLINK("https://www.dailydose.de/kleinanzeigen/detail.htm?ai=422472&amp;cf=kk&amp;pg=5&amp;ci=5", "Link")</f>
        <v/>
      </c>
      <c r="BE131" s="6">
        <f>HYPERLINK("C:\Projects\Kleinanzeigen-Scraper\offer_images\422472", "Link")</f>
        <v/>
      </c>
      <c r="BF131" t="inlineStr">
        <is>
          <t>J_198</t>
        </is>
      </c>
      <c r="BG131" s="6">
        <f>HYPERLINK("https://www.dailydose.de/kleinanzeigen/user/12670", "Link")</f>
        <v/>
      </c>
      <c r="BH131" s="7" t="n">
        <v>45548.55228009259</v>
      </c>
      <c r="BI131" s="3" t="inlineStr">
        <is>
          <t>195.39</t>
        </is>
      </c>
      <c r="BJ131" t="inlineStr">
        <is>
          <t>Köln</t>
        </is>
      </c>
    </row>
    <row r="132">
      <c r="A132" s="2" t="n">
        <v>7.7</v>
      </c>
      <c r="B132" t="inlineStr">
        <is>
          <t>Neilpryde H2 Racing</t>
        </is>
      </c>
      <c r="C132" s="3" t="n">
        <v>460</v>
      </c>
      <c r="D132" s="3" t="n">
        <v>400</v>
      </c>
      <c r="E132" t="inlineStr">
        <is>
          <t>Racing</t>
        </is>
      </c>
      <c r="F132" t="inlineStr"/>
      <c r="G132" t="inlineStr">
        <is>
          <t>used</t>
        </is>
      </c>
      <c r="H132" s="4" t="n">
        <v>380</v>
      </c>
      <c r="I132" t="inlineStr"/>
      <c r="J132" t="inlineStr">
        <is>
          <t>52249 Nordrhein-Westfalen - Eschweiler</t>
        </is>
      </c>
      <c r="K132" s="5" t="n">
        <v>45547</v>
      </c>
      <c r="L132" t="inlineStr"/>
      <c r="M132" s="6">
        <f>HYPERLINK("https://www.kleinanzeigen.de/s-anzeige/windsurf-segel-neilpryde-h2-racing-7-7-mit-mast/2861330732-230-1908", "Link")</f>
        <v/>
      </c>
      <c r="N132" s="6">
        <f>HYPERLINK("C:\Projects\Kleinanzeigen-Scraper\offer_images\2861330732", "Link")</f>
        <v/>
      </c>
      <c r="O132" t="inlineStr">
        <is>
          <t>Klüttermann</t>
        </is>
      </c>
      <c r="P132" s="6">
        <f>HYPERLINK("https://www.kleinanzeigen.de/s-bestandsliste.html?userId=4047999", "Link")</f>
        <v/>
      </c>
      <c r="Q132" s="7" t="n">
        <v>45548.54891203704</v>
      </c>
      <c r="R132" s="3" t="inlineStr">
        <is>
          <t>50.09</t>
        </is>
      </c>
      <c r="S132" t="inlineStr">
        <is>
          <t>Köln</t>
        </is>
      </c>
      <c r="T132" t="inlineStr">
        <is>
          <t>Neilpryde</t>
        </is>
      </c>
      <c r="U132" s="3" t="n">
        <v>460</v>
      </c>
      <c r="V132" s="8" t="inlineStr"/>
      <c r="W132" t="inlineStr"/>
      <c r="X132" s="4" t="n">
        <v>380</v>
      </c>
      <c r="Y132" t="inlineStr"/>
      <c r="Z132" t="inlineStr">
        <is>
          <t>52249 Nordrhein-Westfalen - Eschweiler</t>
        </is>
      </c>
      <c r="AA132" s="5" t="n">
        <v>45547</v>
      </c>
      <c r="AB132" t="inlineStr"/>
      <c r="AC132" s="6">
        <f>HYPERLINK("https://www.kleinanzeigen.de/s-anzeige/windsurf-segel-neilpryde-h2-racing-7-7-mit-mast/2861330732-230-1908", "Link")</f>
        <v/>
      </c>
      <c r="AD132" s="6">
        <f>HYPERLINK("C:\Projects\Kleinanzeigen-Scraper\offer_images\2861330732", "Link")</f>
        <v/>
      </c>
      <c r="AE132" t="inlineStr">
        <is>
          <t>Klüttermann</t>
        </is>
      </c>
      <c r="AF132" s="6">
        <f>HYPERLINK("https://www.kleinanzeigen.de/s-bestandsliste.html?userId=4047999", "Link")</f>
        <v/>
      </c>
      <c r="AG132" s="7" t="n">
        <v>45548.54891203704</v>
      </c>
      <c r="AH132" s="3" t="inlineStr">
        <is>
          <t>50.09</t>
        </is>
      </c>
      <c r="AI132" t="inlineStr">
        <is>
          <t>Köln</t>
        </is>
      </c>
      <c r="AJ132" t="inlineStr"/>
      <c r="AK132" t="inlineStr"/>
      <c r="AL132" t="inlineStr"/>
      <c r="AM132" s="4" t="n">
        <v>380</v>
      </c>
      <c r="AN132" t="inlineStr"/>
      <c r="AO132" t="inlineStr">
        <is>
          <t>52249 Nordrhein-Westfalen - Eschweiler</t>
        </is>
      </c>
      <c r="AP132" s="5" t="n">
        <v>45547</v>
      </c>
      <c r="AQ132" t="inlineStr"/>
      <c r="AR132" s="6">
        <f>HYPERLINK("https://www.kleinanzeigen.de/s-anzeige/windsurf-segel-neilpryde-h2-racing-7-7-mit-mast/2861330732-230-1908", "Link")</f>
        <v/>
      </c>
      <c r="AS132" s="6">
        <f>HYPERLINK("C:\Projects\Kleinanzeigen-Scraper\offer_images\2861330732", "Link")</f>
        <v/>
      </c>
      <c r="AT132" t="inlineStr">
        <is>
          <t>Klüttermann</t>
        </is>
      </c>
      <c r="AU132" s="6">
        <f>HYPERLINK("https://www.kleinanzeigen.de/s-bestandsliste.html?userId=4047999", "Link")</f>
        <v/>
      </c>
      <c r="AV132" s="7" t="n">
        <v>45548.54891203704</v>
      </c>
      <c r="AW132" s="3" t="inlineStr">
        <is>
          <t>50.09</t>
        </is>
      </c>
      <c r="AX132" t="inlineStr">
        <is>
          <t>Köln</t>
        </is>
      </c>
      <c r="AY132" s="4" t="n">
        <v>380</v>
      </c>
      <c r="AZ132" t="inlineStr"/>
      <c r="BA132" t="inlineStr">
        <is>
          <t>52249 Nordrhein-Westfalen - Eschweiler</t>
        </is>
      </c>
      <c r="BB132" s="5" t="n">
        <v>45547</v>
      </c>
      <c r="BC132" t="inlineStr"/>
      <c r="BD132" s="6">
        <f>HYPERLINK("https://www.kleinanzeigen.de/s-anzeige/windsurf-segel-neilpryde-h2-racing-7-7-mit-mast/2861330732-230-1908", "Link")</f>
        <v/>
      </c>
      <c r="BE132" s="6">
        <f>HYPERLINK("C:\Projects\Kleinanzeigen-Scraper\offer_images\2861330732", "Link")</f>
        <v/>
      </c>
      <c r="BF132" t="inlineStr">
        <is>
          <t>Klüttermann</t>
        </is>
      </c>
      <c r="BG132" s="6">
        <f>HYPERLINK("https://www.kleinanzeigen.de/s-bestandsliste.html?userId=4047999", "Link")</f>
        <v/>
      </c>
      <c r="BH132" s="7" t="n">
        <v>45548.54891203704</v>
      </c>
      <c r="BI132" s="3" t="inlineStr">
        <is>
          <t>50.09</t>
        </is>
      </c>
      <c r="BJ132" t="inlineStr">
        <is>
          <t>Köln</t>
        </is>
      </c>
    </row>
    <row r="133">
      <c r="A133" s="2" t="n">
        <v>9</v>
      </c>
      <c r="B133" t="inlineStr">
        <is>
          <t>Severne Reflex 6</t>
        </is>
      </c>
      <c r="C133" s="3" t="n">
        <v>490</v>
      </c>
      <c r="D133" s="3" t="n">
        <v>234</v>
      </c>
      <c r="E133" t="inlineStr">
        <is>
          <t>Slalom</t>
        </is>
      </c>
      <c r="F133" t="inlineStr"/>
      <c r="G133" t="inlineStr">
        <is>
          <t>used</t>
        </is>
      </c>
      <c r="H133" s="4" t="n">
        <v>500</v>
      </c>
      <c r="I133" t="inlineStr"/>
      <c r="J133" t="inlineStr">
        <is>
          <t>59846 Sundern</t>
        </is>
      </c>
      <c r="K133" s="5" t="n">
        <v>45546</v>
      </c>
      <c r="L133" t="inlineStr">
        <is>
          <t>Sold</t>
        </is>
      </c>
      <c r="M133" s="6">
        <f>HYPERLINK("https://www.dailydose.de/kleinanzeigen/detail.htm?ai=422419&amp;cf=kk&amp;pg=5&amp;ci=5", "Link")</f>
        <v/>
      </c>
      <c r="N133" s="6">
        <f>HYPERLINK("C:\Projects\Kleinanzeigen-Scraper\offer_images\422419", "Link")</f>
        <v/>
      </c>
      <c r="O133" t="inlineStr">
        <is>
          <t>Lucas G</t>
        </is>
      </c>
      <c r="P133" s="6">
        <f>HYPERLINK("https://www.dailydose.de/kleinanzeigen/user/9510", "Link")</f>
        <v/>
      </c>
      <c r="Q133" s="7" t="n">
        <v>45547.55221064815</v>
      </c>
      <c r="R133" s="3" t="inlineStr">
        <is>
          <t>82.38</t>
        </is>
      </c>
      <c r="S133" t="inlineStr">
        <is>
          <t>Köln</t>
        </is>
      </c>
      <c r="T133" t="inlineStr">
        <is>
          <t>Severne</t>
        </is>
      </c>
      <c r="U133" s="3" t="n">
        <v>490</v>
      </c>
      <c r="V133" s="8" t="inlineStr">
        <is>
          <t>75%</t>
        </is>
      </c>
      <c r="W133" t="inlineStr"/>
      <c r="X133" s="4" t="n">
        <v>500</v>
      </c>
      <c r="Y133" t="inlineStr"/>
      <c r="Z133" t="inlineStr">
        <is>
          <t>59846 Sundern</t>
        </is>
      </c>
      <c r="AA133" s="5" t="n">
        <v>45546</v>
      </c>
      <c r="AB133" t="inlineStr">
        <is>
          <t>Sold</t>
        </is>
      </c>
      <c r="AC133" s="6">
        <f>HYPERLINK("https://www.dailydose.de/kleinanzeigen/detail.htm?ai=422419&amp;cf=kk&amp;pg=5&amp;ci=5", "Link")</f>
        <v/>
      </c>
      <c r="AD133" s="6">
        <f>HYPERLINK("C:\Projects\Kleinanzeigen-Scraper\offer_images\422419", "Link")</f>
        <v/>
      </c>
      <c r="AE133" t="inlineStr">
        <is>
          <t>Lucas G</t>
        </is>
      </c>
      <c r="AF133" s="6">
        <f>HYPERLINK("https://www.dailydose.de/kleinanzeigen/user/9510", "Link")</f>
        <v/>
      </c>
      <c r="AG133" s="7" t="n">
        <v>45547.55221064815</v>
      </c>
      <c r="AH133" s="3" t="inlineStr">
        <is>
          <t>82.38</t>
        </is>
      </c>
      <c r="AI133" t="inlineStr">
        <is>
          <t>Köln</t>
        </is>
      </c>
      <c r="AJ133" t="inlineStr"/>
      <c r="AK133" t="inlineStr"/>
      <c r="AL133" t="inlineStr"/>
      <c r="AM133" s="4" t="n">
        <v>500</v>
      </c>
      <c r="AN133" t="inlineStr"/>
      <c r="AO133" t="inlineStr">
        <is>
          <t>59846 Sundern</t>
        </is>
      </c>
      <c r="AP133" s="5" t="n">
        <v>45546</v>
      </c>
      <c r="AQ133" t="inlineStr">
        <is>
          <t>Sold</t>
        </is>
      </c>
      <c r="AR133" s="6">
        <f>HYPERLINK("https://www.dailydose.de/kleinanzeigen/detail.htm?ai=422419&amp;cf=kk&amp;pg=5&amp;ci=5", "Link")</f>
        <v/>
      </c>
      <c r="AS133" s="6">
        <f>HYPERLINK("C:\Projects\Kleinanzeigen-Scraper\offer_images\422419", "Link")</f>
        <v/>
      </c>
      <c r="AT133" t="inlineStr">
        <is>
          <t>Lucas G</t>
        </is>
      </c>
      <c r="AU133" s="6">
        <f>HYPERLINK("https://www.dailydose.de/kleinanzeigen/user/9510", "Link")</f>
        <v/>
      </c>
      <c r="AV133" s="7" t="n">
        <v>45547.55221064815</v>
      </c>
      <c r="AW133" s="3" t="inlineStr">
        <is>
          <t>82.38</t>
        </is>
      </c>
      <c r="AX133" t="inlineStr">
        <is>
          <t>Köln</t>
        </is>
      </c>
      <c r="AY133" s="4" t="n">
        <v>500</v>
      </c>
      <c r="AZ133" t="inlineStr"/>
      <c r="BA133" t="inlineStr">
        <is>
          <t>59846 Sundern</t>
        </is>
      </c>
      <c r="BB133" s="5" t="n">
        <v>45546</v>
      </c>
      <c r="BC133" t="inlineStr">
        <is>
          <t>Sold</t>
        </is>
      </c>
      <c r="BD133" s="6">
        <f>HYPERLINK("https://www.dailydose.de/kleinanzeigen/detail.htm?ai=422419&amp;cf=kk&amp;pg=5&amp;ci=5", "Link")</f>
        <v/>
      </c>
      <c r="BE133" s="6">
        <f>HYPERLINK("C:\Projects\Kleinanzeigen-Scraper\offer_images\422419", "Link")</f>
        <v/>
      </c>
      <c r="BF133" t="inlineStr">
        <is>
          <t>Lucas G</t>
        </is>
      </c>
      <c r="BG133" s="6">
        <f>HYPERLINK("https://www.dailydose.de/kleinanzeigen/user/9510", "Link")</f>
        <v/>
      </c>
      <c r="BH133" s="7" t="n">
        <v>45547.55221064815</v>
      </c>
      <c r="BI133" s="3" t="inlineStr">
        <is>
          <t>82.38</t>
        </is>
      </c>
      <c r="BJ133" t="inlineStr">
        <is>
          <t>Köln</t>
        </is>
      </c>
    </row>
    <row r="134">
      <c r="A134" s="2" t="n">
        <v>4.5</v>
      </c>
      <c r="B134" t="inlineStr">
        <is>
          <t>STX HD2</t>
        </is>
      </c>
      <c r="C134" s="3" t="inlineStr"/>
      <c r="D134" s="3" t="inlineStr"/>
      <c r="E134" t="inlineStr">
        <is>
          <t>Freeride</t>
        </is>
      </c>
      <c r="F134" t="inlineStr">
        <is>
          <t>2024</t>
        </is>
      </c>
      <c r="G134" t="inlineStr">
        <is>
          <t>new</t>
        </is>
      </c>
      <c r="H134" s="4" t="n">
        <v>499</v>
      </c>
      <c r="I134" t="inlineStr"/>
      <c r="J134" t="inlineStr">
        <is>
          <t>82319 Bayern - Starnberg</t>
        </is>
      </c>
      <c r="K134" s="5" t="n">
        <v>45543</v>
      </c>
      <c r="L134" t="inlineStr">
        <is>
          <t>Sold</t>
        </is>
      </c>
      <c r="M134" s="6">
        <f>HYPERLINK("https://www.kleinanzeigen.de/s-anzeige/stx-hd2-4-5qm-monofilm-rig-complete-2024-windsurf-segel/2704465513-230-5525", "Link")</f>
        <v/>
      </c>
      <c r="N134" s="6">
        <f>HYPERLINK("C:\Projects\Kleinanzeigen-Scraper\offer_images\2704465513", "Link")</f>
        <v/>
      </c>
      <c r="O134" t="inlineStr">
        <is>
          <t>No user name</t>
        </is>
      </c>
      <c r="P134" s="6">
        <f>HYPERLINK("https://www.kleinanzeigen.deNo user link", "Link")</f>
        <v/>
      </c>
      <c r="Q134" s="7" t="n">
        <v>45546.57571759259</v>
      </c>
      <c r="R134" s="3" t="inlineStr">
        <is>
          <t>23.17</t>
        </is>
      </c>
      <c r="S134" t="inlineStr">
        <is>
          <t>München</t>
        </is>
      </c>
      <c r="T134" t="inlineStr"/>
      <c r="U134" s="3" t="inlineStr"/>
      <c r="V134" s="8" t="inlineStr"/>
      <c r="W134" t="inlineStr"/>
      <c r="X134" s="4" t="n">
        <v>499</v>
      </c>
      <c r="Y134" t="inlineStr"/>
      <c r="Z134" t="inlineStr">
        <is>
          <t>82319 Bayern - Starnberg</t>
        </is>
      </c>
      <c r="AA134" s="5" t="n">
        <v>45543</v>
      </c>
      <c r="AB134" t="inlineStr">
        <is>
          <t>Sold</t>
        </is>
      </c>
      <c r="AC134" s="6">
        <f>HYPERLINK("https://www.kleinanzeigen.de/s-anzeige/stx-hd2-4-5qm-monofilm-rig-complete-2024-windsurf-segel/2704465513-230-5525", "Link")</f>
        <v/>
      </c>
      <c r="AD134" s="6">
        <f>HYPERLINK("C:\Projects\Kleinanzeigen-Scraper\offer_images\2704465513", "Link")</f>
        <v/>
      </c>
      <c r="AE134" t="inlineStr">
        <is>
          <t>No user name</t>
        </is>
      </c>
      <c r="AF134" s="6">
        <f>HYPERLINK("https://www.kleinanzeigen.deNo user link", "Link")</f>
        <v/>
      </c>
      <c r="AG134" s="7" t="n">
        <v>45546.57571759259</v>
      </c>
      <c r="AH134" s="3" t="inlineStr">
        <is>
          <t>23.17</t>
        </is>
      </c>
      <c r="AI134" t="inlineStr">
        <is>
          <t>München</t>
        </is>
      </c>
      <c r="AJ134" t="inlineStr"/>
      <c r="AK134" t="inlineStr"/>
      <c r="AL134" t="inlineStr"/>
      <c r="AM134" s="4" t="n">
        <v>499</v>
      </c>
      <c r="AN134" t="inlineStr"/>
      <c r="AO134" t="inlineStr">
        <is>
          <t>82319 Bayern - Starnberg</t>
        </is>
      </c>
      <c r="AP134" s="5" t="n">
        <v>45543</v>
      </c>
      <c r="AQ134" t="inlineStr">
        <is>
          <t>Sold</t>
        </is>
      </c>
      <c r="AR134" s="6">
        <f>HYPERLINK("https://www.kleinanzeigen.de/s-anzeige/stx-hd2-4-5qm-monofilm-rig-complete-2024-windsurf-segel/2704465513-230-5525", "Link")</f>
        <v/>
      </c>
      <c r="AS134" s="6">
        <f>HYPERLINK("C:\Projects\Kleinanzeigen-Scraper\offer_images\2704465513", "Link")</f>
        <v/>
      </c>
      <c r="AT134" t="inlineStr">
        <is>
          <t>No user name</t>
        </is>
      </c>
      <c r="AU134" s="6">
        <f>HYPERLINK("https://www.kleinanzeigen.deNo user link", "Link")</f>
        <v/>
      </c>
      <c r="AV134" s="7" t="n">
        <v>45546.57571759259</v>
      </c>
      <c r="AW134" s="3" t="inlineStr">
        <is>
          <t>23.17</t>
        </is>
      </c>
      <c r="AX134" t="inlineStr">
        <is>
          <t>München</t>
        </is>
      </c>
      <c r="AY134" s="4" t="n">
        <v>499</v>
      </c>
      <c r="AZ134" t="inlineStr"/>
      <c r="BA134" t="inlineStr">
        <is>
          <t>82319 Bayern - Starnberg</t>
        </is>
      </c>
      <c r="BB134" s="5" t="n">
        <v>45543</v>
      </c>
      <c r="BC134" t="inlineStr">
        <is>
          <t>Sold</t>
        </is>
      </c>
      <c r="BD134" s="6">
        <f>HYPERLINK("https://www.kleinanzeigen.de/s-anzeige/stx-hd2-4-5qm-monofilm-rig-complete-2024-windsurf-segel/2704465513-230-5525", "Link")</f>
        <v/>
      </c>
      <c r="BE134" s="6">
        <f>HYPERLINK("C:\Projects\Kleinanzeigen-Scraper\offer_images\2704465513", "Link")</f>
        <v/>
      </c>
      <c r="BF134" t="inlineStr">
        <is>
          <t>No user name</t>
        </is>
      </c>
      <c r="BG134" s="6">
        <f>HYPERLINK("https://www.kleinanzeigen.deNo user link", "Link")</f>
        <v/>
      </c>
      <c r="BH134" s="7" t="n">
        <v>45546.57571759259</v>
      </c>
      <c r="BI134" s="3" t="inlineStr">
        <is>
          <t>23.17</t>
        </is>
      </c>
      <c r="BJ134" t="inlineStr">
        <is>
          <t>München</t>
        </is>
      </c>
    </row>
    <row r="135">
      <c r="A135" s="2" t="n">
        <v>5.9</v>
      </c>
      <c r="B135" t="inlineStr">
        <is>
          <t>North Sails Volt</t>
        </is>
      </c>
      <c r="C135" s="3" t="inlineStr"/>
      <c r="D135" s="3" t="inlineStr"/>
      <c r="E135" t="inlineStr"/>
      <c r="F135" t="inlineStr"/>
      <c r="G135" t="inlineStr">
        <is>
          <t>new</t>
        </is>
      </c>
      <c r="H135" s="4" t="n">
        <v>250</v>
      </c>
      <c r="I135" t="inlineStr"/>
      <c r="J135" t="inlineStr">
        <is>
          <t>41751 Nordrhein-Westfalen - Viersen</t>
        </is>
      </c>
      <c r="K135" s="5" t="n">
        <v>45538</v>
      </c>
      <c r="L135" t="inlineStr">
        <is>
          <t>Sold</t>
        </is>
      </c>
      <c r="M135" s="6">
        <f>HYPERLINK("https://www.kleinanzeigen.de/s-anzeige/north-sails-segel-windsurfen/2853392749-230-1788", "Link")</f>
        <v/>
      </c>
      <c r="N135" s="6">
        <f>HYPERLINK("C:\Projects\Kleinanzeigen-Scraper\offer_images\2853392749", "Link")</f>
        <v/>
      </c>
      <c r="O135" t="inlineStr">
        <is>
          <t>JL</t>
        </is>
      </c>
      <c r="P135" s="6">
        <f>HYPERLINK("https://www.kleinanzeigen.de/s-bestandsliste.html?userId=8369959", "Link")</f>
        <v/>
      </c>
      <c r="Q135" s="7" t="n">
        <v>45545.86146990741</v>
      </c>
      <c r="R135" s="3" t="inlineStr">
        <is>
          <t>56.16</t>
        </is>
      </c>
      <c r="S135" t="inlineStr">
        <is>
          <t>Köln</t>
        </is>
      </c>
      <c r="T135" t="inlineStr">
        <is>
          <t>Unifiber</t>
        </is>
      </c>
      <c r="U135" s="3" t="n">
        <v>430</v>
      </c>
      <c r="V135" s="8" t="inlineStr">
        <is>
          <t>65%</t>
        </is>
      </c>
      <c r="W135" t="inlineStr">
        <is>
          <t>RDM</t>
        </is>
      </c>
      <c r="X135" s="4" t="n">
        <v>250</v>
      </c>
      <c r="Y135" t="inlineStr"/>
      <c r="Z135" t="inlineStr">
        <is>
          <t>41751 Nordrhein-Westfalen - Viersen</t>
        </is>
      </c>
      <c r="AA135" s="5" t="n">
        <v>45538</v>
      </c>
      <c r="AB135" t="inlineStr">
        <is>
          <t>Sold</t>
        </is>
      </c>
      <c r="AC135" s="6">
        <f>HYPERLINK("https://www.kleinanzeigen.de/s-anzeige/north-sails-segel-windsurfen/2853392749-230-1788", "Link")</f>
        <v/>
      </c>
      <c r="AD135" s="6">
        <f>HYPERLINK("C:\Projects\Kleinanzeigen-Scraper\offer_images\2853392749", "Link")</f>
        <v/>
      </c>
      <c r="AE135" t="inlineStr">
        <is>
          <t>JL</t>
        </is>
      </c>
      <c r="AF135" s="6">
        <f>HYPERLINK("https://www.kleinanzeigen.de/s-bestandsliste.html?userId=8369959", "Link")</f>
        <v/>
      </c>
      <c r="AG135" s="7" t="n">
        <v>45545.86146990741</v>
      </c>
      <c r="AH135" s="3" t="inlineStr">
        <is>
          <t>56.16</t>
        </is>
      </c>
      <c r="AI135" t="inlineStr">
        <is>
          <t>Köln</t>
        </is>
      </c>
      <c r="AJ135" t="inlineStr"/>
      <c r="AK135" t="inlineStr"/>
      <c r="AL135" t="inlineStr"/>
      <c r="AM135" s="4" t="n">
        <v>250</v>
      </c>
      <c r="AN135" t="inlineStr"/>
      <c r="AO135" t="inlineStr">
        <is>
          <t>41751 Nordrhein-Westfalen - Viersen</t>
        </is>
      </c>
      <c r="AP135" s="5" t="n">
        <v>45538</v>
      </c>
      <c r="AQ135" t="inlineStr">
        <is>
          <t>Sold</t>
        </is>
      </c>
      <c r="AR135" s="6">
        <f>HYPERLINK("https://www.kleinanzeigen.de/s-anzeige/north-sails-segel-windsurfen/2853392749-230-1788", "Link")</f>
        <v/>
      </c>
      <c r="AS135" s="6">
        <f>HYPERLINK("C:\Projects\Kleinanzeigen-Scraper\offer_images\2853392749", "Link")</f>
        <v/>
      </c>
      <c r="AT135" t="inlineStr">
        <is>
          <t>JL</t>
        </is>
      </c>
      <c r="AU135" s="6">
        <f>HYPERLINK("https://www.kleinanzeigen.de/s-bestandsliste.html?userId=8369959", "Link")</f>
        <v/>
      </c>
      <c r="AV135" s="7" t="n">
        <v>45545.86146990741</v>
      </c>
      <c r="AW135" s="3" t="inlineStr">
        <is>
          <t>56.16</t>
        </is>
      </c>
      <c r="AX135" t="inlineStr">
        <is>
          <t>Köln</t>
        </is>
      </c>
      <c r="AY135" s="4" t="n">
        <v>250</v>
      </c>
      <c r="AZ135" t="inlineStr"/>
      <c r="BA135" t="inlineStr">
        <is>
          <t>41751 Nordrhein-Westfalen - Viersen</t>
        </is>
      </c>
      <c r="BB135" s="5" t="n">
        <v>45538</v>
      </c>
      <c r="BC135" t="inlineStr">
        <is>
          <t>Sold</t>
        </is>
      </c>
      <c r="BD135" s="6">
        <f>HYPERLINK("https://www.kleinanzeigen.de/s-anzeige/north-sails-segel-windsurfen/2853392749-230-1788", "Link")</f>
        <v/>
      </c>
      <c r="BE135" s="6">
        <f>HYPERLINK("C:\Projects\Kleinanzeigen-Scraper\offer_images\2853392749", "Link")</f>
        <v/>
      </c>
      <c r="BF135" t="inlineStr">
        <is>
          <t>JL</t>
        </is>
      </c>
      <c r="BG135" s="6">
        <f>HYPERLINK("https://www.kleinanzeigen.de/s-bestandsliste.html?userId=8369959", "Link")</f>
        <v/>
      </c>
      <c r="BH135" s="7" t="n">
        <v>45545.86146990741</v>
      </c>
      <c r="BI135" s="3" t="inlineStr">
        <is>
          <t>56.16</t>
        </is>
      </c>
      <c r="BJ135" t="inlineStr">
        <is>
          <t>Köln</t>
        </is>
      </c>
    </row>
    <row r="136">
      <c r="A136" s="2" t="n">
        <v>5.5</v>
      </c>
      <c r="B136" t="inlineStr">
        <is>
          <t>Starboard</t>
        </is>
      </c>
      <c r="C136" s="3" t="n">
        <v>430</v>
      </c>
      <c r="D136" s="3" t="n">
        <v>186</v>
      </c>
      <c r="E136" t="inlineStr"/>
      <c r="F136" t="inlineStr">
        <is>
          <t>2023</t>
        </is>
      </c>
      <c r="G136" t="inlineStr">
        <is>
          <t>used</t>
        </is>
      </c>
      <c r="H136" s="4" t="n">
        <v>500</v>
      </c>
      <c r="I136" t="inlineStr">
        <is>
          <t>VB</t>
        </is>
      </c>
      <c r="J136" t="inlineStr">
        <is>
          <t>37213 Hessen - Witzenhausen</t>
        </is>
      </c>
      <c r="K136" s="5" t="n">
        <v>45534</v>
      </c>
      <c r="L136" t="inlineStr"/>
      <c r="M136" s="6">
        <f>HYPERLINK("https://www.kleinanzeigen.de/s-anzeige/starboard-compact-windsurf-rig-5-5-wind-sup-sail/2849817490-230-4589", "Link")</f>
        <v/>
      </c>
      <c r="N136" s="6">
        <f>HYPERLINK("C:\Projects\Kleinanzeigen-Scraper\offer_images\2849817490", "Link")</f>
        <v/>
      </c>
      <c r="O136" t="inlineStr">
        <is>
          <t>Jonas Pätel</t>
        </is>
      </c>
      <c r="P136" s="6">
        <f>HYPERLINK("https://www.kleinanzeigen.de/s-bestandsliste.html?userId=10079489", "Link")</f>
        <v/>
      </c>
      <c r="Q136" s="7" t="n">
        <v>45544.74862268518</v>
      </c>
      <c r="R136" s="3" t="inlineStr">
        <is>
          <t>207.30</t>
        </is>
      </c>
      <c r="S136" t="inlineStr">
        <is>
          <t>Köln</t>
        </is>
      </c>
      <c r="T136" t="inlineStr">
        <is>
          <t>Starboard</t>
        </is>
      </c>
      <c r="U136" s="3" t="n">
        <v>430</v>
      </c>
      <c r="V136" s="8" t="inlineStr"/>
      <c r="W136" t="inlineStr">
        <is>
          <t>RDM</t>
        </is>
      </c>
      <c r="X136" s="4" t="n">
        <v>500</v>
      </c>
      <c r="Y136" t="inlineStr">
        <is>
          <t>VB</t>
        </is>
      </c>
      <c r="Z136" t="inlineStr">
        <is>
          <t>37213 Hessen - Witzenhausen</t>
        </is>
      </c>
      <c r="AA136" s="5" t="n">
        <v>45534</v>
      </c>
      <c r="AB136" t="inlineStr"/>
      <c r="AC136" s="6">
        <f>HYPERLINK("https://www.kleinanzeigen.de/s-anzeige/starboard-compact-windsurf-rig-5-5-wind-sup-sail/2849817490-230-4589", "Link")</f>
        <v/>
      </c>
      <c r="AD136" s="6">
        <f>HYPERLINK("C:\Projects\Kleinanzeigen-Scraper\offer_images\2849817490", "Link")</f>
        <v/>
      </c>
      <c r="AE136" t="inlineStr">
        <is>
          <t>Jonas Pätel</t>
        </is>
      </c>
      <c r="AF136" s="6">
        <f>HYPERLINK("https://www.kleinanzeigen.de/s-bestandsliste.html?userId=10079489", "Link")</f>
        <v/>
      </c>
      <c r="AG136" s="7" t="n">
        <v>45544.74862268518</v>
      </c>
      <c r="AH136" s="3" t="inlineStr">
        <is>
          <t>207.30</t>
        </is>
      </c>
      <c r="AI136" t="inlineStr">
        <is>
          <t>Köln</t>
        </is>
      </c>
      <c r="AJ136" t="inlineStr">
        <is>
          <t>Starboard</t>
        </is>
      </c>
      <c r="AK136" t="inlineStr"/>
      <c r="AL136" t="inlineStr">
        <is>
          <t>2023</t>
        </is>
      </c>
      <c r="AM136" s="4" t="n">
        <v>500</v>
      </c>
      <c r="AN136" t="inlineStr">
        <is>
          <t>VB</t>
        </is>
      </c>
      <c r="AO136" t="inlineStr">
        <is>
          <t>37213 Hessen - Witzenhausen</t>
        </is>
      </c>
      <c r="AP136" s="5" t="n">
        <v>45534</v>
      </c>
      <c r="AQ136" t="inlineStr"/>
      <c r="AR136" s="6">
        <f>HYPERLINK("https://www.kleinanzeigen.de/s-anzeige/starboard-compact-windsurf-rig-5-5-wind-sup-sail/2849817490-230-4589", "Link")</f>
        <v/>
      </c>
      <c r="AS136" s="6">
        <f>HYPERLINK("C:\Projects\Kleinanzeigen-Scraper\offer_images\2849817490", "Link")</f>
        <v/>
      </c>
      <c r="AT136" t="inlineStr">
        <is>
          <t>Jonas Pätel</t>
        </is>
      </c>
      <c r="AU136" s="6">
        <f>HYPERLINK("https://www.kleinanzeigen.de/s-bestandsliste.html?userId=10079489", "Link")</f>
        <v/>
      </c>
      <c r="AV136" s="7" t="n">
        <v>45544.74862268518</v>
      </c>
      <c r="AW136" s="3" t="inlineStr">
        <is>
          <t>207.30</t>
        </is>
      </c>
      <c r="AX136" t="inlineStr">
        <is>
          <t>Köln</t>
        </is>
      </c>
      <c r="AY136" s="4" t="n">
        <v>500</v>
      </c>
      <c r="AZ136" t="inlineStr">
        <is>
          <t>VB</t>
        </is>
      </c>
      <c r="BA136" t="inlineStr">
        <is>
          <t>37213 Hessen - Witzenhausen</t>
        </is>
      </c>
      <c r="BB136" s="5" t="n">
        <v>45534</v>
      </c>
      <c r="BC136" t="inlineStr"/>
      <c r="BD136" s="6">
        <f>HYPERLINK("https://www.kleinanzeigen.de/s-anzeige/starboard-compact-windsurf-rig-5-5-wind-sup-sail/2849817490-230-4589", "Link")</f>
        <v/>
      </c>
      <c r="BE136" s="6">
        <f>HYPERLINK("C:\Projects\Kleinanzeigen-Scraper\offer_images\2849817490", "Link")</f>
        <v/>
      </c>
      <c r="BF136" t="inlineStr">
        <is>
          <t>Jonas Pätel</t>
        </is>
      </c>
      <c r="BG136" s="6">
        <f>HYPERLINK("https://www.kleinanzeigen.de/s-bestandsliste.html?userId=10079489", "Link")</f>
        <v/>
      </c>
      <c r="BH136" s="7" t="n">
        <v>45544.74862268518</v>
      </c>
      <c r="BI136" s="3" t="inlineStr">
        <is>
          <t>207.30</t>
        </is>
      </c>
      <c r="BJ136" t="inlineStr">
        <is>
          <t>Köln</t>
        </is>
      </c>
    </row>
    <row r="137">
      <c r="A137" s="2" t="n">
        <v>5.5</v>
      </c>
      <c r="B137" t="inlineStr">
        <is>
          <t>NP Fusion</t>
        </is>
      </c>
      <c r="C137" s="3" t="n">
        <v>431</v>
      </c>
      <c r="D137" s="3" t="n">
        <v>179</v>
      </c>
      <c r="E137" t="inlineStr"/>
      <c r="F137" t="inlineStr"/>
      <c r="G137" t="inlineStr">
        <is>
          <t>used</t>
        </is>
      </c>
      <c r="H137" s="4" t="n">
        <v>349</v>
      </c>
      <c r="I137" t="inlineStr"/>
      <c r="J137" t="inlineStr">
        <is>
          <t>45772 Marl</t>
        </is>
      </c>
      <c r="K137" s="5" t="n">
        <v>45543</v>
      </c>
      <c r="L137" t="inlineStr">
        <is>
          <t>Sold</t>
        </is>
      </c>
      <c r="M137" s="6">
        <f>HYPERLINK("https://www.dailydose.de/kleinanzeigen/detail.htm?ai=422203&amp;cf=kk&amp;pg=5&amp;ci=5", "Link")</f>
        <v/>
      </c>
      <c r="N137" s="6">
        <f>HYPERLINK("C:\Projects\Kleinanzeigen-Scraper\offer_images\422203", "Link")</f>
        <v/>
      </c>
      <c r="O137" t="inlineStr">
        <is>
          <t>margarethe_22</t>
        </is>
      </c>
      <c r="P137" s="6">
        <f>HYPERLINK("https://www.dailydose.de/kleinanzeigen/user/15510", "Link")</f>
        <v/>
      </c>
      <c r="Q137" s="7" t="n">
        <v>45543.55236111111</v>
      </c>
      <c r="R137" s="3" t="inlineStr">
        <is>
          <t>84.29</t>
        </is>
      </c>
      <c r="S137" t="inlineStr">
        <is>
          <t>Köln</t>
        </is>
      </c>
      <c r="T137" t="inlineStr"/>
      <c r="U137" s="3" t="n">
        <v>430</v>
      </c>
      <c r="V137" s="8" t="inlineStr">
        <is>
          <t>100%</t>
        </is>
      </c>
      <c r="W137" t="inlineStr">
        <is>
          <t>RDM</t>
        </is>
      </c>
      <c r="X137" s="4" t="n">
        <v>349</v>
      </c>
      <c r="Y137" t="inlineStr"/>
      <c r="Z137" t="inlineStr">
        <is>
          <t>45772 Marl</t>
        </is>
      </c>
      <c r="AA137" s="5" t="n">
        <v>45543</v>
      </c>
      <c r="AB137" t="inlineStr">
        <is>
          <t>Sold</t>
        </is>
      </c>
      <c r="AC137" s="6">
        <f>HYPERLINK("https://www.dailydose.de/kleinanzeigen/detail.htm?ai=422203&amp;cf=kk&amp;pg=5&amp;ci=5", "Link")</f>
        <v/>
      </c>
      <c r="AD137" s="6">
        <f>HYPERLINK("C:\Projects\Kleinanzeigen-Scraper\offer_images\422203", "Link")</f>
        <v/>
      </c>
      <c r="AE137" t="inlineStr">
        <is>
          <t>margarethe_22</t>
        </is>
      </c>
      <c r="AF137" s="6">
        <f>HYPERLINK("https://www.dailydose.de/kleinanzeigen/user/15510", "Link")</f>
        <v/>
      </c>
      <c r="AG137" s="7" t="n">
        <v>45543.55236111111</v>
      </c>
      <c r="AH137" s="3" t="inlineStr">
        <is>
          <t>84.29</t>
        </is>
      </c>
      <c r="AI137" t="inlineStr">
        <is>
          <t>Köln</t>
        </is>
      </c>
      <c r="AJ137" t="inlineStr"/>
      <c r="AK137" t="inlineStr"/>
      <c r="AL137" t="inlineStr"/>
      <c r="AM137" s="4" t="n">
        <v>349</v>
      </c>
      <c r="AN137" t="inlineStr"/>
      <c r="AO137" t="inlineStr">
        <is>
          <t>45772 Marl</t>
        </is>
      </c>
      <c r="AP137" s="5" t="n">
        <v>45543</v>
      </c>
      <c r="AQ137" t="inlineStr">
        <is>
          <t>Sold</t>
        </is>
      </c>
      <c r="AR137" s="6">
        <f>HYPERLINK("https://www.dailydose.de/kleinanzeigen/detail.htm?ai=422203&amp;cf=kk&amp;pg=5&amp;ci=5", "Link")</f>
        <v/>
      </c>
      <c r="AS137" s="6">
        <f>HYPERLINK("C:\Projects\Kleinanzeigen-Scraper\offer_images\422203", "Link")</f>
        <v/>
      </c>
      <c r="AT137" t="inlineStr">
        <is>
          <t>margarethe_22</t>
        </is>
      </c>
      <c r="AU137" s="6">
        <f>HYPERLINK("https://www.dailydose.de/kleinanzeigen/user/15510", "Link")</f>
        <v/>
      </c>
      <c r="AV137" s="7" t="n">
        <v>45543.55236111111</v>
      </c>
      <c r="AW137" s="3" t="inlineStr">
        <is>
          <t>84.29</t>
        </is>
      </c>
      <c r="AX137" t="inlineStr">
        <is>
          <t>Köln</t>
        </is>
      </c>
      <c r="AY137" s="4" t="n">
        <v>349</v>
      </c>
      <c r="AZ137" t="inlineStr"/>
      <c r="BA137" t="inlineStr">
        <is>
          <t>45772 Marl</t>
        </is>
      </c>
      <c r="BB137" s="5" t="n">
        <v>45543</v>
      </c>
      <c r="BC137" t="inlineStr">
        <is>
          <t>Sold</t>
        </is>
      </c>
      <c r="BD137" s="6">
        <f>HYPERLINK("https://www.dailydose.de/kleinanzeigen/detail.htm?ai=422203&amp;cf=kk&amp;pg=5&amp;ci=5", "Link")</f>
        <v/>
      </c>
      <c r="BE137" s="6">
        <f>HYPERLINK("C:\Projects\Kleinanzeigen-Scraper\offer_images\422203", "Link")</f>
        <v/>
      </c>
      <c r="BF137" t="inlineStr">
        <is>
          <t>margarethe_22</t>
        </is>
      </c>
      <c r="BG137" s="6">
        <f>HYPERLINK("https://www.dailydose.de/kleinanzeigen/user/15510", "Link")</f>
        <v/>
      </c>
      <c r="BH137" s="7" t="n">
        <v>45543.55236111111</v>
      </c>
      <c r="BI137" s="3" t="inlineStr">
        <is>
          <t>84.29</t>
        </is>
      </c>
      <c r="BJ137" t="inlineStr">
        <is>
          <t>Köln</t>
        </is>
      </c>
    </row>
    <row r="138">
      <c r="A138" s="2" t="n">
        <v>5.5</v>
      </c>
      <c r="B138" t="inlineStr">
        <is>
          <t>Neil Pryde Fusion</t>
        </is>
      </c>
      <c r="C138" s="3" t="n">
        <v>430</v>
      </c>
      <c r="D138" s="3" t="n">
        <v>179</v>
      </c>
      <c r="E138" t="inlineStr"/>
      <c r="F138" t="inlineStr"/>
      <c r="G138" t="inlineStr">
        <is>
          <t>used</t>
        </is>
      </c>
      <c r="H138" s="4" t="n">
        <v>349</v>
      </c>
      <c r="I138" t="inlineStr"/>
      <c r="J138" t="inlineStr">
        <is>
          <t>45772 Nordrhein-Westfalen - Marl</t>
        </is>
      </c>
      <c r="K138" s="5" t="n">
        <v>45543</v>
      </c>
      <c r="L138" t="inlineStr">
        <is>
          <t>Sold</t>
        </is>
      </c>
      <c r="M138" s="6">
        <f>HYPERLINK("https://www.kleinanzeigen.de/s-anzeige/neil-pryde-fusion-5-5-komplettrigg-windsurfen-fanatic-segel/2857213767-230-1772", "Link")</f>
        <v/>
      </c>
      <c r="N138" s="6">
        <f>HYPERLINK("C:\Projects\Kleinanzeigen-Scraper\offer_images\2857213767", "Link")</f>
        <v/>
      </c>
      <c r="O138" t="inlineStr">
        <is>
          <t>RRD</t>
        </is>
      </c>
      <c r="P138" s="6">
        <f>HYPERLINK("https://www.kleinanzeigen.de/s-bestandsliste.html?userId=13661901", "Link")</f>
        <v/>
      </c>
      <c r="Q138" s="7" t="n">
        <v>45543.54876157407</v>
      </c>
      <c r="R138" s="3" t="inlineStr">
        <is>
          <t>84.29</t>
        </is>
      </c>
      <c r="S138" t="inlineStr">
        <is>
          <t>Köln</t>
        </is>
      </c>
      <c r="T138" t="inlineStr"/>
      <c r="U138" s="3" t="n">
        <v>400</v>
      </c>
      <c r="V138" s="8" t="inlineStr">
        <is>
          <t>100%</t>
        </is>
      </c>
      <c r="W138" t="inlineStr">
        <is>
          <t>RDM</t>
        </is>
      </c>
      <c r="X138" s="4" t="n">
        <v>349</v>
      </c>
      <c r="Y138" t="inlineStr"/>
      <c r="Z138" t="inlineStr">
        <is>
          <t>45772 Nordrhein-Westfalen - Marl</t>
        </is>
      </c>
      <c r="AA138" s="5" t="n">
        <v>45543</v>
      </c>
      <c r="AB138" t="inlineStr">
        <is>
          <t>Sold</t>
        </is>
      </c>
      <c r="AC138" s="6">
        <f>HYPERLINK("https://www.kleinanzeigen.de/s-anzeige/neil-pryde-fusion-5-5-komplettrigg-windsurfen-fanatic-segel/2857213767-230-1772", "Link")</f>
        <v/>
      </c>
      <c r="AD138" s="6">
        <f>HYPERLINK("C:\Projects\Kleinanzeigen-Scraper\offer_images\2857213767", "Link")</f>
        <v/>
      </c>
      <c r="AE138" t="inlineStr">
        <is>
          <t>RRD</t>
        </is>
      </c>
      <c r="AF138" s="6">
        <f>HYPERLINK("https://www.kleinanzeigen.de/s-bestandsliste.html?userId=13661901", "Link")</f>
        <v/>
      </c>
      <c r="AG138" s="7" t="n">
        <v>45543.54876157407</v>
      </c>
      <c r="AH138" s="3" t="inlineStr">
        <is>
          <t>84.29</t>
        </is>
      </c>
      <c r="AI138" t="inlineStr">
        <is>
          <t>Köln</t>
        </is>
      </c>
      <c r="AJ138" t="inlineStr"/>
      <c r="AK138" t="inlineStr"/>
      <c r="AL138" t="inlineStr"/>
      <c r="AM138" s="4" t="n">
        <v>349</v>
      </c>
      <c r="AN138" t="inlineStr"/>
      <c r="AO138" t="inlineStr">
        <is>
          <t>45772 Nordrhein-Westfalen - Marl</t>
        </is>
      </c>
      <c r="AP138" s="5" t="n">
        <v>45543</v>
      </c>
      <c r="AQ138" t="inlineStr">
        <is>
          <t>Sold</t>
        </is>
      </c>
      <c r="AR138" s="6">
        <f>HYPERLINK("https://www.kleinanzeigen.de/s-anzeige/neil-pryde-fusion-5-5-komplettrigg-windsurfen-fanatic-segel/2857213767-230-1772", "Link")</f>
        <v/>
      </c>
      <c r="AS138" s="6">
        <f>HYPERLINK("C:\Projects\Kleinanzeigen-Scraper\offer_images\2857213767", "Link")</f>
        <v/>
      </c>
      <c r="AT138" t="inlineStr">
        <is>
          <t>RRD</t>
        </is>
      </c>
      <c r="AU138" s="6">
        <f>HYPERLINK("https://www.kleinanzeigen.de/s-bestandsliste.html?userId=13661901", "Link")</f>
        <v/>
      </c>
      <c r="AV138" s="7" t="n">
        <v>45543.54876157407</v>
      </c>
      <c r="AW138" s="3" t="inlineStr">
        <is>
          <t>84.29</t>
        </is>
      </c>
      <c r="AX138" t="inlineStr">
        <is>
          <t>Köln</t>
        </is>
      </c>
      <c r="AY138" s="4" t="n">
        <v>349</v>
      </c>
      <c r="AZ138" t="inlineStr"/>
      <c r="BA138" t="inlineStr">
        <is>
          <t>45772 Nordrhein-Westfalen - Marl</t>
        </is>
      </c>
      <c r="BB138" s="5" t="n">
        <v>45543</v>
      </c>
      <c r="BC138" t="inlineStr">
        <is>
          <t>Sold</t>
        </is>
      </c>
      <c r="BD138" s="6">
        <f>HYPERLINK("https://www.kleinanzeigen.de/s-anzeige/neil-pryde-fusion-5-5-komplettrigg-windsurfen-fanatic-segel/2857213767-230-1772", "Link")</f>
        <v/>
      </c>
      <c r="BE138" s="6">
        <f>HYPERLINK("C:\Projects\Kleinanzeigen-Scraper\offer_images\2857213767", "Link")</f>
        <v/>
      </c>
      <c r="BF138" t="inlineStr">
        <is>
          <t>RRD</t>
        </is>
      </c>
      <c r="BG138" s="6">
        <f>HYPERLINK("https://www.kleinanzeigen.de/s-bestandsliste.html?userId=13661901", "Link")</f>
        <v/>
      </c>
      <c r="BH138" s="7" t="n">
        <v>45543.54876157407</v>
      </c>
      <c r="BI138" s="3" t="inlineStr">
        <is>
          <t>84.29</t>
        </is>
      </c>
      <c r="BJ138" t="inlineStr">
        <is>
          <t>Köln</t>
        </is>
      </c>
    </row>
    <row r="139">
      <c r="A139" s="2" t="n">
        <v>9.4</v>
      </c>
      <c r="B139" t="inlineStr">
        <is>
          <t>Sailloft Ultimate</t>
        </is>
      </c>
      <c r="C139" s="3" t="n">
        <v>520</v>
      </c>
      <c r="D139" s="3" t="inlineStr"/>
      <c r="E139" t="inlineStr"/>
      <c r="F139" t="inlineStr"/>
      <c r="G139" t="inlineStr">
        <is>
          <t>new</t>
        </is>
      </c>
      <c r="H139" s="4" t="n">
        <v>480</v>
      </c>
      <c r="I139" t="inlineStr"/>
      <c r="J139" t="inlineStr">
        <is>
          <t>47803 Krefeld &amp; Brouwersdam</t>
        </is>
      </c>
      <c r="K139" s="5" t="n">
        <v>45541</v>
      </c>
      <c r="L139" t="inlineStr">
        <is>
          <t>Sold</t>
        </is>
      </c>
      <c r="M139" s="6">
        <f>HYPERLINK("https://www.dailydose.de/kleinanzeigen/detail.htm?ai=422140&amp;cf=kk&amp;pg=1&amp;ci=5", "Link")</f>
        <v/>
      </c>
      <c r="N139" s="6">
        <f>HYPERLINK("C:\Projects\Kleinanzeigen-Scraper\offer_images\422140", "Link")</f>
        <v/>
      </c>
      <c r="O139" t="inlineStr">
        <is>
          <t>Matthias_4</t>
        </is>
      </c>
      <c r="P139" s="6">
        <f>HYPERLINK("https://www.dailydose.de/kleinanzeigen/user/25579", "Link")</f>
        <v/>
      </c>
      <c r="Q139" s="7" t="n">
        <v>45542.7844212963</v>
      </c>
      <c r="R139" s="3" t="inlineStr">
        <is>
          <t>53.61</t>
        </is>
      </c>
      <c r="S139" t="inlineStr">
        <is>
          <t>Köln</t>
        </is>
      </c>
      <c r="T139" t="inlineStr">
        <is>
          <t>Sailloft</t>
        </is>
      </c>
      <c r="U139" s="3" t="n">
        <v>520</v>
      </c>
      <c r="V139" s="8" t="inlineStr">
        <is>
          <t>100%</t>
        </is>
      </c>
      <c r="W139" t="inlineStr"/>
      <c r="X139" s="4" t="n">
        <v>480</v>
      </c>
      <c r="Y139" t="inlineStr"/>
      <c r="Z139" t="inlineStr">
        <is>
          <t>47803 Krefeld &amp; Brouwersdam</t>
        </is>
      </c>
      <c r="AA139" s="5" t="n">
        <v>45541</v>
      </c>
      <c r="AB139" t="inlineStr">
        <is>
          <t>Sold</t>
        </is>
      </c>
      <c r="AC139" s="6">
        <f>HYPERLINK("https://www.dailydose.de/kleinanzeigen/detail.htm?ai=422140&amp;cf=kk&amp;pg=1&amp;ci=5", "Link")</f>
        <v/>
      </c>
      <c r="AD139" s="6">
        <f>HYPERLINK("C:\Projects\Kleinanzeigen-Scraper\offer_images\422140", "Link")</f>
        <v/>
      </c>
      <c r="AE139" t="inlineStr">
        <is>
          <t>Matthias_4</t>
        </is>
      </c>
      <c r="AF139" s="6">
        <f>HYPERLINK("https://www.dailydose.de/kleinanzeigen/user/25579", "Link")</f>
        <v/>
      </c>
      <c r="AG139" s="7" t="n">
        <v>45542.7844212963</v>
      </c>
      <c r="AH139" s="3" t="inlineStr">
        <is>
          <t>53.61</t>
        </is>
      </c>
      <c r="AI139" t="inlineStr">
        <is>
          <t>Köln</t>
        </is>
      </c>
      <c r="AJ139" t="inlineStr"/>
      <c r="AK139" t="inlineStr"/>
      <c r="AL139" t="inlineStr"/>
      <c r="AM139" s="4" t="n">
        <v>480</v>
      </c>
      <c r="AN139" t="inlineStr"/>
      <c r="AO139" t="inlineStr">
        <is>
          <t>47803 Krefeld &amp; Brouwersdam</t>
        </is>
      </c>
      <c r="AP139" s="5" t="n">
        <v>45541</v>
      </c>
      <c r="AQ139" t="inlineStr">
        <is>
          <t>Sold</t>
        </is>
      </c>
      <c r="AR139" s="6">
        <f>HYPERLINK("https://www.dailydose.de/kleinanzeigen/detail.htm?ai=422140&amp;cf=kk&amp;pg=1&amp;ci=5", "Link")</f>
        <v/>
      </c>
      <c r="AS139" s="6">
        <f>HYPERLINK("C:\Projects\Kleinanzeigen-Scraper\offer_images\422140", "Link")</f>
        <v/>
      </c>
      <c r="AT139" t="inlineStr">
        <is>
          <t>Matthias_4</t>
        </is>
      </c>
      <c r="AU139" s="6">
        <f>HYPERLINK("https://www.dailydose.de/kleinanzeigen/user/25579", "Link")</f>
        <v/>
      </c>
      <c r="AV139" s="7" t="n">
        <v>45542.7844212963</v>
      </c>
      <c r="AW139" s="3" t="inlineStr">
        <is>
          <t>53.61</t>
        </is>
      </c>
      <c r="AX139" t="inlineStr">
        <is>
          <t>Köln</t>
        </is>
      </c>
      <c r="AY139" s="4" t="n">
        <v>480</v>
      </c>
      <c r="AZ139" t="inlineStr"/>
      <c r="BA139" t="inlineStr">
        <is>
          <t>47803 Krefeld &amp; Brouwersdam</t>
        </is>
      </c>
      <c r="BB139" s="5" t="n">
        <v>45541</v>
      </c>
      <c r="BC139" t="inlineStr">
        <is>
          <t>Sold</t>
        </is>
      </c>
      <c r="BD139" s="6">
        <f>HYPERLINK("https://www.dailydose.de/kleinanzeigen/detail.htm?ai=422140&amp;cf=kk&amp;pg=1&amp;ci=5", "Link")</f>
        <v/>
      </c>
      <c r="BE139" s="6">
        <f>HYPERLINK("C:\Projects\Kleinanzeigen-Scraper\offer_images\422140", "Link")</f>
        <v/>
      </c>
      <c r="BF139" t="inlineStr">
        <is>
          <t>Matthias_4</t>
        </is>
      </c>
      <c r="BG139" s="6">
        <f>HYPERLINK("https://www.dailydose.de/kleinanzeigen/user/25579", "Link")</f>
        <v/>
      </c>
      <c r="BH139" s="7" t="n">
        <v>45542.7844212963</v>
      </c>
      <c r="BI139" s="3" t="inlineStr">
        <is>
          <t>53.61</t>
        </is>
      </c>
      <c r="BJ139" t="inlineStr">
        <is>
          <t>Köln</t>
        </is>
      </c>
    </row>
    <row r="140">
      <c r="A140" s="2" t="n">
        <v>7.7</v>
      </c>
      <c r="B140" t="inlineStr">
        <is>
          <t>Neilpryde Speedster</t>
        </is>
      </c>
      <c r="C140" s="3" t="inlineStr"/>
      <c r="D140" s="3" t="inlineStr"/>
      <c r="E140" t="inlineStr">
        <is>
          <t>Freerace</t>
        </is>
      </c>
      <c r="F140" t="inlineStr">
        <is>
          <t>2020</t>
        </is>
      </c>
      <c r="G140" t="inlineStr">
        <is>
          <t>used</t>
        </is>
      </c>
      <c r="H140" s="4" t="inlineStr">
        <is>
          <t>750.00 FP</t>
        </is>
      </c>
      <c r="I140" t="inlineStr"/>
      <c r="J140" t="inlineStr">
        <is>
          <t>58706 Menden</t>
        </is>
      </c>
      <c r="K140" s="5" t="n">
        <v>45541</v>
      </c>
      <c r="L140" t="inlineStr">
        <is>
          <t>Sold</t>
        </is>
      </c>
      <c r="M140" s="6">
        <f>HYPERLINK("https://www.dailydose.de/kleinanzeigen/detail.htm?ai=422138&amp;cf=kk&amp;pg=2&amp;ci=5", "Link")</f>
        <v/>
      </c>
      <c r="N140" s="6">
        <f>HYPERLINK("C:\Projects\Kleinanzeigen-Scraper\offer_images\422138", "Link")</f>
        <v/>
      </c>
      <c r="O140" t="inlineStr">
        <is>
          <t>Peter_86</t>
        </is>
      </c>
      <c r="P140" s="6">
        <f>HYPERLINK("https://www.dailydose.de/kleinanzeigen/user/8903", "Link")</f>
        <v/>
      </c>
      <c r="Q140" s="7" t="n">
        <v>45542.78298611111</v>
      </c>
      <c r="R140" s="3" t="inlineStr">
        <is>
          <t>79.87</t>
        </is>
      </c>
      <c r="S140" t="inlineStr">
        <is>
          <t>Köln</t>
        </is>
      </c>
      <c r="T140" t="inlineStr">
        <is>
          <t>Neilpryde SPX 65</t>
        </is>
      </c>
      <c r="U140" s="3" t="n">
        <v>460</v>
      </c>
      <c r="V140" s="8" t="inlineStr"/>
      <c r="W140" t="inlineStr">
        <is>
          <t>SDM</t>
        </is>
      </c>
      <c r="X140" s="4" t="inlineStr">
        <is>
          <t>750.00 FP</t>
        </is>
      </c>
      <c r="Y140" t="inlineStr"/>
      <c r="Z140" t="inlineStr">
        <is>
          <t>58706 Menden</t>
        </is>
      </c>
      <c r="AA140" s="5" t="n">
        <v>45541</v>
      </c>
      <c r="AB140" t="inlineStr">
        <is>
          <t>Sold</t>
        </is>
      </c>
      <c r="AC140" s="6">
        <f>HYPERLINK("https://www.dailydose.de/kleinanzeigen/detail.htm?ai=422138&amp;cf=kk&amp;pg=2&amp;ci=5", "Link")</f>
        <v/>
      </c>
      <c r="AD140" s="6">
        <f>HYPERLINK("C:\Projects\Kleinanzeigen-Scraper\offer_images\422138", "Link")</f>
        <v/>
      </c>
      <c r="AE140" t="inlineStr">
        <is>
          <t>Peter_86</t>
        </is>
      </c>
      <c r="AF140" s="6">
        <f>HYPERLINK("https://www.dailydose.de/kleinanzeigen/user/8903", "Link")</f>
        <v/>
      </c>
      <c r="AG140" s="7" t="n">
        <v>45542.78298611111</v>
      </c>
      <c r="AH140" s="3" t="inlineStr">
        <is>
          <t>79.87</t>
        </is>
      </c>
      <c r="AI140" t="inlineStr">
        <is>
          <t>Köln</t>
        </is>
      </c>
      <c r="AJ140" t="inlineStr">
        <is>
          <t>Neilpryde XF Freeride</t>
        </is>
      </c>
      <c r="AK140" t="inlineStr">
        <is>
          <t>175-220</t>
        </is>
      </c>
      <c r="AL140" t="inlineStr">
        <is>
          <t>2020</t>
        </is>
      </c>
      <c r="AM140" s="4" t="inlineStr">
        <is>
          <t>750.00 FP</t>
        </is>
      </c>
      <c r="AN140" t="inlineStr"/>
      <c r="AO140" t="inlineStr">
        <is>
          <t>58706 Menden</t>
        </is>
      </c>
      <c r="AP140" s="5" t="n">
        <v>45541</v>
      </c>
      <c r="AQ140" t="inlineStr">
        <is>
          <t>Sold</t>
        </is>
      </c>
      <c r="AR140" s="6">
        <f>HYPERLINK("https://www.dailydose.de/kleinanzeigen/detail.htm?ai=422138&amp;cf=kk&amp;pg=2&amp;ci=5", "Link")</f>
        <v/>
      </c>
      <c r="AS140" s="6">
        <f>HYPERLINK("C:\Projects\Kleinanzeigen-Scraper\offer_images\422138", "Link")</f>
        <v/>
      </c>
      <c r="AT140" t="inlineStr">
        <is>
          <t>Peter_86</t>
        </is>
      </c>
      <c r="AU140" s="6">
        <f>HYPERLINK("https://www.dailydose.de/kleinanzeigen/user/8903", "Link")</f>
        <v/>
      </c>
      <c r="AV140" s="7" t="n">
        <v>45542.78298611111</v>
      </c>
      <c r="AW140" s="3" t="inlineStr">
        <is>
          <t>79.87</t>
        </is>
      </c>
      <c r="AX140" t="inlineStr">
        <is>
          <t>Köln</t>
        </is>
      </c>
      <c r="AY140" s="4" t="inlineStr">
        <is>
          <t>750.00 FP</t>
        </is>
      </c>
      <c r="AZ140" t="inlineStr"/>
      <c r="BA140" t="inlineStr">
        <is>
          <t>58706 Menden</t>
        </is>
      </c>
      <c r="BB140" s="5" t="n">
        <v>45541</v>
      </c>
      <c r="BC140" t="inlineStr">
        <is>
          <t>Sold</t>
        </is>
      </c>
      <c r="BD140" s="6">
        <f>HYPERLINK("https://www.dailydose.de/kleinanzeigen/detail.htm?ai=422138&amp;cf=kk&amp;pg=2&amp;ci=5", "Link")</f>
        <v/>
      </c>
      <c r="BE140" s="6">
        <f>HYPERLINK("C:\Projects\Kleinanzeigen-Scraper\offer_images\422138", "Link")</f>
        <v/>
      </c>
      <c r="BF140" t="inlineStr">
        <is>
          <t>Peter_86</t>
        </is>
      </c>
      <c r="BG140" s="6">
        <f>HYPERLINK("https://www.dailydose.de/kleinanzeigen/user/8903", "Link")</f>
        <v/>
      </c>
      <c r="BH140" s="7" t="n">
        <v>45542.78298611111</v>
      </c>
      <c r="BI140" s="3" t="inlineStr">
        <is>
          <t>79.87</t>
        </is>
      </c>
      <c r="BJ140" t="inlineStr">
        <is>
          <t>Köln</t>
        </is>
      </c>
    </row>
    <row r="141">
      <c r="A141" s="2" t="n">
        <v>9.5</v>
      </c>
      <c r="B141" t="inlineStr">
        <is>
          <t>Gunsails EXCEED</t>
        </is>
      </c>
      <c r="C141" s="3" t="n">
        <v>519</v>
      </c>
      <c r="D141" s="3" t="inlineStr">
        <is>
          <t>227-235</t>
        </is>
      </c>
      <c r="E141" t="inlineStr">
        <is>
          <t>Power Freeride</t>
        </is>
      </c>
      <c r="F141" t="inlineStr">
        <is>
          <t>2021</t>
        </is>
      </c>
      <c r="G141" t="inlineStr">
        <is>
          <t>used</t>
        </is>
      </c>
      <c r="H141" s="4" t="n">
        <v>500</v>
      </c>
      <c r="I141" t="inlineStr"/>
      <c r="J141" t="inlineStr">
        <is>
          <t>21465 Reinbek</t>
        </is>
      </c>
      <c r="K141" s="5" t="n">
        <v>45542</v>
      </c>
      <c r="L141" t="inlineStr">
        <is>
          <t>Sold</t>
        </is>
      </c>
      <c r="M141" s="6">
        <f>HYPERLINK("https://www.dailydose.de/kleinanzeigen/detail.htm?ai=422163&amp;cf=kk&amp;pg=5&amp;ci=5", "Link")</f>
        <v/>
      </c>
      <c r="N141" s="6">
        <f>HYPERLINK("C:\Projects\Kleinanzeigen-Scraper\offer_images\422163", "Link")</f>
        <v/>
      </c>
      <c r="O141" t="inlineStr">
        <is>
          <t>jens_38</t>
        </is>
      </c>
      <c r="P141" s="6">
        <f>HYPERLINK("https://www.dailydose.de/kleinanzeigen/user/12055", "Link")</f>
        <v/>
      </c>
      <c r="Q141" s="7" t="n">
        <v>45542.78270833333</v>
      </c>
      <c r="R141" s="3" t="inlineStr">
        <is>
          <t>366.85</t>
        </is>
      </c>
      <c r="S141" t="inlineStr">
        <is>
          <t>Köln</t>
        </is>
      </c>
      <c r="T141" t="inlineStr">
        <is>
          <t>Sailloft IMCS 32 CC</t>
        </is>
      </c>
      <c r="U141" s="3" t="n">
        <v>520</v>
      </c>
      <c r="V141" s="8" t="inlineStr">
        <is>
          <t>100%</t>
        </is>
      </c>
      <c r="W141" t="inlineStr">
        <is>
          <t>SDM</t>
        </is>
      </c>
      <c r="X141" s="4" t="n">
        <v>500</v>
      </c>
      <c r="Y141" t="inlineStr"/>
      <c r="Z141" t="inlineStr">
        <is>
          <t>21465 Reinbek</t>
        </is>
      </c>
      <c r="AA141" s="5" t="n">
        <v>45542</v>
      </c>
      <c r="AB141" t="inlineStr">
        <is>
          <t>Sold</t>
        </is>
      </c>
      <c r="AC141" s="6">
        <f>HYPERLINK("https://www.dailydose.de/kleinanzeigen/detail.htm?ai=422163&amp;cf=kk&amp;pg=5&amp;ci=5", "Link")</f>
        <v/>
      </c>
      <c r="AD141" s="6">
        <f>HYPERLINK("C:\Projects\Kleinanzeigen-Scraper\offer_images\422163", "Link")</f>
        <v/>
      </c>
      <c r="AE141" t="inlineStr">
        <is>
          <t>jens_38</t>
        </is>
      </c>
      <c r="AF141" s="6">
        <f>HYPERLINK("https://www.dailydose.de/kleinanzeigen/user/12055", "Link")</f>
        <v/>
      </c>
      <c r="AG141" s="7" t="n">
        <v>45542.78270833333</v>
      </c>
      <c r="AH141" s="3" t="inlineStr">
        <is>
          <t>366.85</t>
        </is>
      </c>
      <c r="AI141" t="inlineStr">
        <is>
          <t>Köln</t>
        </is>
      </c>
      <c r="AJ141" t="inlineStr">
        <is>
          <t>Ascan Monocoque</t>
        </is>
      </c>
      <c r="AK141" t="inlineStr">
        <is>
          <t>180-240</t>
        </is>
      </c>
      <c r="AL141" t="inlineStr">
        <is>
          <t>2021</t>
        </is>
      </c>
      <c r="AM141" s="4" t="n">
        <v>500</v>
      </c>
      <c r="AN141" t="inlineStr"/>
      <c r="AO141" t="inlineStr">
        <is>
          <t>21465 Reinbek</t>
        </is>
      </c>
      <c r="AP141" s="5" t="n">
        <v>45542</v>
      </c>
      <c r="AQ141" t="inlineStr">
        <is>
          <t>Sold</t>
        </is>
      </c>
      <c r="AR141" s="6">
        <f>HYPERLINK("https://www.dailydose.de/kleinanzeigen/detail.htm?ai=422163&amp;cf=kk&amp;pg=5&amp;ci=5", "Link")</f>
        <v/>
      </c>
      <c r="AS141" s="6">
        <f>HYPERLINK("C:\Projects\Kleinanzeigen-Scraper\offer_images\422163", "Link")</f>
        <v/>
      </c>
      <c r="AT141" t="inlineStr">
        <is>
          <t>jens_38</t>
        </is>
      </c>
      <c r="AU141" s="6">
        <f>HYPERLINK("https://www.dailydose.de/kleinanzeigen/user/12055", "Link")</f>
        <v/>
      </c>
      <c r="AV141" s="7" t="n">
        <v>45542.78270833333</v>
      </c>
      <c r="AW141" s="3" t="inlineStr">
        <is>
          <t>366.85</t>
        </is>
      </c>
      <c r="AX141" t="inlineStr">
        <is>
          <t>Köln</t>
        </is>
      </c>
      <c r="AY141" s="4" t="n">
        <v>500</v>
      </c>
      <c r="AZ141" t="inlineStr"/>
      <c r="BA141" t="inlineStr">
        <is>
          <t>21465 Reinbek</t>
        </is>
      </c>
      <c r="BB141" s="5" t="n">
        <v>45542</v>
      </c>
      <c r="BC141" t="inlineStr">
        <is>
          <t>Sold</t>
        </is>
      </c>
      <c r="BD141" s="6">
        <f>HYPERLINK("https://www.dailydose.de/kleinanzeigen/detail.htm?ai=422163&amp;cf=kk&amp;pg=5&amp;ci=5", "Link")</f>
        <v/>
      </c>
      <c r="BE141" s="6">
        <f>HYPERLINK("C:\Projects\Kleinanzeigen-Scraper\offer_images\422163", "Link")</f>
        <v/>
      </c>
      <c r="BF141" t="inlineStr">
        <is>
          <t>jens_38</t>
        </is>
      </c>
      <c r="BG141" s="6">
        <f>HYPERLINK("https://www.dailydose.de/kleinanzeigen/user/12055", "Link")</f>
        <v/>
      </c>
      <c r="BH141" s="7" t="n">
        <v>45542.78270833333</v>
      </c>
      <c r="BI141" s="3" t="inlineStr">
        <is>
          <t>366.85</t>
        </is>
      </c>
      <c r="BJ141" t="inlineStr">
        <is>
          <t>Köln</t>
        </is>
      </c>
    </row>
    <row r="142">
      <c r="A142" s="2" t="n">
        <v>10.7</v>
      </c>
      <c r="B142" t="inlineStr">
        <is>
          <t>NP Racing Evo II</t>
        </is>
      </c>
      <c r="C142" s="3" t="n">
        <v>530</v>
      </c>
      <c r="D142" s="3" t="inlineStr"/>
      <c r="E142" t="inlineStr">
        <is>
          <t>Racing</t>
        </is>
      </c>
      <c r="F142" t="inlineStr"/>
      <c r="G142" t="inlineStr">
        <is>
          <t>new</t>
        </is>
      </c>
      <c r="H142" s="4" t="inlineStr"/>
      <c r="I142" t="inlineStr"/>
      <c r="J142" t="inlineStr">
        <is>
          <t>31535 Neustadt</t>
        </is>
      </c>
      <c r="K142" s="5" t="n">
        <v>45541</v>
      </c>
      <c r="L142" t="inlineStr">
        <is>
          <t>Sold</t>
        </is>
      </c>
      <c r="M142" s="6">
        <f>HYPERLINK("https://www.dailydose.de/kleinanzeigen/detail.htm?ai=422142&amp;cf=kk&amp;pg=5&amp;ci=5", "Link")</f>
        <v/>
      </c>
      <c r="N142" s="6">
        <f>HYPERLINK("C:\Projects\Kleinanzeigen-Scraper\offer_images\422142", "Link")</f>
        <v/>
      </c>
      <c r="O142" t="inlineStr">
        <is>
          <t>Helle_162</t>
        </is>
      </c>
      <c r="P142" s="6">
        <f>HYPERLINK("https://www.dailydose.de/kleinanzeigen/user/13403", "Link")</f>
        <v/>
      </c>
      <c r="Q142" s="7" t="n">
        <v>45542.78127314815</v>
      </c>
      <c r="R142" s="3" t="inlineStr">
        <is>
          <t>248.74</t>
        </is>
      </c>
      <c r="S142" t="inlineStr">
        <is>
          <t>Köln</t>
        </is>
      </c>
      <c r="T142" t="inlineStr">
        <is>
          <t>NP X9</t>
        </is>
      </c>
      <c r="U142" s="3" t="n">
        <v>530</v>
      </c>
      <c r="V142" s="8" t="inlineStr">
        <is>
          <t>100%</t>
        </is>
      </c>
      <c r="W142" t="inlineStr">
        <is>
          <t>SDM</t>
        </is>
      </c>
      <c r="X142" s="4" t="inlineStr"/>
      <c r="Y142" t="inlineStr"/>
      <c r="Z142" t="inlineStr">
        <is>
          <t>31535 Neustadt</t>
        </is>
      </c>
      <c r="AA142" s="5" t="n">
        <v>45541</v>
      </c>
      <c r="AB142" t="inlineStr">
        <is>
          <t>Sold</t>
        </is>
      </c>
      <c r="AC142" s="6">
        <f>HYPERLINK("https://www.dailydose.de/kleinanzeigen/detail.htm?ai=422142&amp;cf=kk&amp;pg=5&amp;ci=5", "Link")</f>
        <v/>
      </c>
      <c r="AD142" s="6">
        <f>HYPERLINK("C:\Projects\Kleinanzeigen-Scraper\offer_images\422142", "Link")</f>
        <v/>
      </c>
      <c r="AE142" t="inlineStr">
        <is>
          <t>Helle_162</t>
        </is>
      </c>
      <c r="AF142" s="6">
        <f>HYPERLINK("https://www.dailydose.de/kleinanzeigen/user/13403", "Link")</f>
        <v/>
      </c>
      <c r="AG142" s="7" t="n">
        <v>45542.78127314815</v>
      </c>
      <c r="AH142" s="3" t="inlineStr">
        <is>
          <t>248.74</t>
        </is>
      </c>
      <c r="AI142" t="inlineStr">
        <is>
          <t>Köln</t>
        </is>
      </c>
      <c r="AJ142" t="inlineStr"/>
      <c r="AK142" t="inlineStr"/>
      <c r="AL142" t="inlineStr"/>
      <c r="AM142" s="4" t="inlineStr"/>
      <c r="AN142" t="inlineStr"/>
      <c r="AO142" t="inlineStr">
        <is>
          <t>31535 Neustadt</t>
        </is>
      </c>
      <c r="AP142" s="5" t="n">
        <v>45541</v>
      </c>
      <c r="AQ142" t="inlineStr">
        <is>
          <t>Sold</t>
        </is>
      </c>
      <c r="AR142" s="6">
        <f>HYPERLINK("https://www.dailydose.de/kleinanzeigen/detail.htm?ai=422142&amp;cf=kk&amp;pg=5&amp;ci=5", "Link")</f>
        <v/>
      </c>
      <c r="AS142" s="6">
        <f>HYPERLINK("C:\Projects\Kleinanzeigen-Scraper\offer_images\422142", "Link")</f>
        <v/>
      </c>
      <c r="AT142" t="inlineStr">
        <is>
          <t>Helle_162</t>
        </is>
      </c>
      <c r="AU142" s="6">
        <f>HYPERLINK("https://www.dailydose.de/kleinanzeigen/user/13403", "Link")</f>
        <v/>
      </c>
      <c r="AV142" s="7" t="n">
        <v>45542.78127314815</v>
      </c>
      <c r="AW142" s="3" t="inlineStr">
        <is>
          <t>248.74</t>
        </is>
      </c>
      <c r="AX142" t="inlineStr">
        <is>
          <t>Köln</t>
        </is>
      </c>
      <c r="AY142" s="4" t="inlineStr"/>
      <c r="AZ142" t="inlineStr"/>
      <c r="BA142" t="inlineStr">
        <is>
          <t>31535 Neustadt</t>
        </is>
      </c>
      <c r="BB142" s="5" t="n">
        <v>45541</v>
      </c>
      <c r="BC142" t="inlineStr">
        <is>
          <t>Sold</t>
        </is>
      </c>
      <c r="BD142" s="6">
        <f>HYPERLINK("https://www.dailydose.de/kleinanzeigen/detail.htm?ai=422142&amp;cf=kk&amp;pg=5&amp;ci=5", "Link")</f>
        <v/>
      </c>
      <c r="BE142" s="6">
        <f>HYPERLINK("C:\Projects\Kleinanzeigen-Scraper\offer_images\422142", "Link")</f>
        <v/>
      </c>
      <c r="BF142" t="inlineStr">
        <is>
          <t>Helle_162</t>
        </is>
      </c>
      <c r="BG142" s="6">
        <f>HYPERLINK("https://www.dailydose.de/kleinanzeigen/user/13403", "Link")</f>
        <v/>
      </c>
      <c r="BH142" s="7" t="n">
        <v>45542.78127314815</v>
      </c>
      <c r="BI142" s="3" t="inlineStr">
        <is>
          <t>248.74</t>
        </is>
      </c>
      <c r="BJ142" t="inlineStr">
        <is>
          <t>Köln</t>
        </is>
      </c>
    </row>
    <row r="143">
      <c r="A143" s="2" t="n">
        <v>9.4</v>
      </c>
      <c r="B143" t="inlineStr">
        <is>
          <t>Sailloft Ultimate</t>
        </is>
      </c>
      <c r="C143" s="3" t="n">
        <v>520</v>
      </c>
      <c r="D143" s="3" t="inlineStr"/>
      <c r="E143" t="inlineStr"/>
      <c r="F143" t="inlineStr"/>
      <c r="G143" t="inlineStr">
        <is>
          <t>new</t>
        </is>
      </c>
      <c r="H143" s="4" t="n">
        <v>480</v>
      </c>
      <c r="I143" t="inlineStr"/>
      <c r="J143" t="inlineStr">
        <is>
          <t>47803 Nordrhein-Westfalen - Krefeld</t>
        </is>
      </c>
      <c r="K143" s="5" t="n">
        <v>45541</v>
      </c>
      <c r="L143" t="inlineStr">
        <is>
          <t>Sold</t>
        </is>
      </c>
      <c r="M143" s="6">
        <f>HYPERLINK("https://www.kleinanzeigen.de/s-anzeige/sailloft-ultimate-9-4-100-mast-windsurf-segel-neuwertig-/2855987802-230-1978", "Link")</f>
        <v/>
      </c>
      <c r="N143" s="6">
        <f>HYPERLINK("C:\Projects\Kleinanzeigen-Scraper\offer_images\2855987802", "Link")</f>
        <v/>
      </c>
      <c r="O143" t="inlineStr">
        <is>
          <t>Zeitgeist.82</t>
        </is>
      </c>
      <c r="P143" s="6">
        <f>HYPERLINK("https://www.kleinanzeigen.de/s-bestandsliste.html?userId=47357640", "Link")</f>
        <v/>
      </c>
      <c r="Q143" s="7" t="n">
        <v>45542.7796875</v>
      </c>
      <c r="R143" s="3" t="inlineStr">
        <is>
          <t>53.61</t>
        </is>
      </c>
      <c r="S143" t="inlineStr">
        <is>
          <t>Köln</t>
        </is>
      </c>
      <c r="T143" t="inlineStr">
        <is>
          <t>Sailloft</t>
        </is>
      </c>
      <c r="U143" s="3" t="n">
        <v>520</v>
      </c>
      <c r="V143" s="8" t="inlineStr">
        <is>
          <t>100%</t>
        </is>
      </c>
      <c r="W143" t="inlineStr"/>
      <c r="X143" s="4" t="n">
        <v>480</v>
      </c>
      <c r="Y143" t="inlineStr"/>
      <c r="Z143" t="inlineStr">
        <is>
          <t>47803 Nordrhein-Westfalen - Krefeld</t>
        </is>
      </c>
      <c r="AA143" s="5" t="n">
        <v>45541</v>
      </c>
      <c r="AB143" t="inlineStr">
        <is>
          <t>Sold</t>
        </is>
      </c>
      <c r="AC143" s="6">
        <f>HYPERLINK("https://www.kleinanzeigen.de/s-anzeige/sailloft-ultimate-9-4-100-mast-windsurf-segel-neuwertig-/2855987802-230-1978", "Link")</f>
        <v/>
      </c>
      <c r="AD143" s="6">
        <f>HYPERLINK("C:\Projects\Kleinanzeigen-Scraper\offer_images\2855987802", "Link")</f>
        <v/>
      </c>
      <c r="AE143" t="inlineStr">
        <is>
          <t>Zeitgeist.82</t>
        </is>
      </c>
      <c r="AF143" s="6">
        <f>HYPERLINK("https://www.kleinanzeigen.de/s-bestandsliste.html?userId=47357640", "Link")</f>
        <v/>
      </c>
      <c r="AG143" s="7" t="n">
        <v>45542.7796875</v>
      </c>
      <c r="AH143" s="3" t="inlineStr">
        <is>
          <t>53.61</t>
        </is>
      </c>
      <c r="AI143" t="inlineStr">
        <is>
          <t>Köln</t>
        </is>
      </c>
      <c r="AJ143" t="inlineStr"/>
      <c r="AK143" t="inlineStr"/>
      <c r="AL143" t="inlineStr"/>
      <c r="AM143" s="4" t="n">
        <v>480</v>
      </c>
      <c r="AN143" t="inlineStr"/>
      <c r="AO143" t="inlineStr">
        <is>
          <t>47803 Nordrhein-Westfalen - Krefeld</t>
        </is>
      </c>
      <c r="AP143" s="5" t="n">
        <v>45541</v>
      </c>
      <c r="AQ143" t="inlineStr">
        <is>
          <t>Sold</t>
        </is>
      </c>
      <c r="AR143" s="6">
        <f>HYPERLINK("https://www.kleinanzeigen.de/s-anzeige/sailloft-ultimate-9-4-100-mast-windsurf-segel-neuwertig-/2855987802-230-1978", "Link")</f>
        <v/>
      </c>
      <c r="AS143" s="6">
        <f>HYPERLINK("C:\Projects\Kleinanzeigen-Scraper\offer_images\2855987802", "Link")</f>
        <v/>
      </c>
      <c r="AT143" t="inlineStr">
        <is>
          <t>Zeitgeist.82</t>
        </is>
      </c>
      <c r="AU143" s="6">
        <f>HYPERLINK("https://www.kleinanzeigen.de/s-bestandsliste.html?userId=47357640", "Link")</f>
        <v/>
      </c>
      <c r="AV143" s="7" t="n">
        <v>45542.7796875</v>
      </c>
      <c r="AW143" s="3" t="inlineStr">
        <is>
          <t>53.61</t>
        </is>
      </c>
      <c r="AX143" t="inlineStr">
        <is>
          <t>Köln</t>
        </is>
      </c>
      <c r="AY143" s="4" t="n">
        <v>480</v>
      </c>
      <c r="AZ143" t="inlineStr"/>
      <c r="BA143" t="inlineStr">
        <is>
          <t>47803 Nordrhein-Westfalen - Krefeld</t>
        </is>
      </c>
      <c r="BB143" s="5" t="n">
        <v>45541</v>
      </c>
      <c r="BC143" t="inlineStr">
        <is>
          <t>Sold</t>
        </is>
      </c>
      <c r="BD143" s="6">
        <f>HYPERLINK("https://www.kleinanzeigen.de/s-anzeige/sailloft-ultimate-9-4-100-mast-windsurf-segel-neuwertig-/2855987802-230-1978", "Link")</f>
        <v/>
      </c>
      <c r="BE143" s="6">
        <f>HYPERLINK("C:\Projects\Kleinanzeigen-Scraper\offer_images\2855987802", "Link")</f>
        <v/>
      </c>
      <c r="BF143" t="inlineStr">
        <is>
          <t>Zeitgeist.82</t>
        </is>
      </c>
      <c r="BG143" s="6">
        <f>HYPERLINK("https://www.kleinanzeigen.de/s-bestandsliste.html?userId=47357640", "Link")</f>
        <v/>
      </c>
      <c r="BH143" s="7" t="n">
        <v>45542.7796875</v>
      </c>
      <c r="BI143" s="3" t="inlineStr">
        <is>
          <t>53.61</t>
        </is>
      </c>
      <c r="BJ143" t="inlineStr">
        <is>
          <t>Köln</t>
        </is>
      </c>
    </row>
    <row r="144">
      <c r="A144" s="2" t="n">
        <v>4.7</v>
      </c>
      <c r="B144" t="inlineStr">
        <is>
          <t>Neilpryde Search</t>
        </is>
      </c>
      <c r="C144" s="3" t="n">
        <v>400</v>
      </c>
      <c r="D144" s="3" t="n">
        <v>167</v>
      </c>
      <c r="E144" t="inlineStr">
        <is>
          <t>Wave</t>
        </is>
      </c>
      <c r="F144" t="inlineStr"/>
      <c r="G144" t="inlineStr">
        <is>
          <t>used</t>
        </is>
      </c>
      <c r="H144" s="4" t="n">
        <v>50</v>
      </c>
      <c r="I144" t="inlineStr"/>
      <c r="J144" t="inlineStr">
        <is>
          <t>61231 Hessen - Bad Nauheim</t>
        </is>
      </c>
      <c r="K144" s="5" t="n">
        <v>45541</v>
      </c>
      <c r="L144" t="inlineStr"/>
      <c r="M144" s="6">
        <f>HYPERLINK("https://www.kleinanzeigen.de/s-anzeige/neilpryde-search-4-7-wave-windsurf-mast-400-sdm-cj-66/2855693384-230-4348", "Link")</f>
        <v/>
      </c>
      <c r="N144" s="6">
        <f>HYPERLINK("C:\Projects\Kleinanzeigen-Scraper\offer_images\2855693384", "Link")</f>
        <v/>
      </c>
      <c r="O144" t="inlineStr">
        <is>
          <t>Dr Spinout</t>
        </is>
      </c>
      <c r="P144" s="6">
        <f>HYPERLINK("https://www.kleinanzeigen.de/s-bestandsliste.html?userId=5381565", "Link")</f>
        <v/>
      </c>
      <c r="Q144" s="7" t="n">
        <v>45542.77958333334</v>
      </c>
      <c r="R144" s="3" t="inlineStr">
        <is>
          <t>140.20</t>
        </is>
      </c>
      <c r="S144" t="inlineStr">
        <is>
          <t>Köln</t>
        </is>
      </c>
      <c r="T144" t="inlineStr">
        <is>
          <t>Neilpryde Search</t>
        </is>
      </c>
      <c r="U144" s="3" t="n">
        <v>400</v>
      </c>
      <c r="V144" s="8" t="inlineStr"/>
      <c r="W144" t="inlineStr">
        <is>
          <t>SDM</t>
        </is>
      </c>
      <c r="X144" s="4" t="n">
        <v>50</v>
      </c>
      <c r="Y144" t="inlineStr"/>
      <c r="Z144" t="inlineStr">
        <is>
          <t>61231 Hessen - Bad Nauheim</t>
        </is>
      </c>
      <c r="AA144" s="5" t="n">
        <v>45541</v>
      </c>
      <c r="AB144" t="inlineStr"/>
      <c r="AC144" s="6">
        <f>HYPERLINK("https://www.kleinanzeigen.de/s-anzeige/neilpryde-search-4-7-wave-windsurf-mast-400-sdm-cj-66/2855693384-230-4348", "Link")</f>
        <v/>
      </c>
      <c r="AD144" s="6">
        <f>HYPERLINK("C:\Projects\Kleinanzeigen-Scraper\offer_images\2855693384", "Link")</f>
        <v/>
      </c>
      <c r="AE144" t="inlineStr">
        <is>
          <t>Dr Spinout</t>
        </is>
      </c>
      <c r="AF144" s="6">
        <f>HYPERLINK("https://www.kleinanzeigen.de/s-bestandsliste.html?userId=5381565", "Link")</f>
        <v/>
      </c>
      <c r="AG144" s="7" t="n">
        <v>45542.77958333334</v>
      </c>
      <c r="AH144" s="3" t="inlineStr">
        <is>
          <t>140.20</t>
        </is>
      </c>
      <c r="AI144" t="inlineStr">
        <is>
          <t>Köln</t>
        </is>
      </c>
      <c r="AJ144" t="inlineStr"/>
      <c r="AK144" t="inlineStr"/>
      <c r="AL144" t="inlineStr"/>
      <c r="AM144" s="4" t="n">
        <v>50</v>
      </c>
      <c r="AN144" t="inlineStr"/>
      <c r="AO144" t="inlineStr">
        <is>
          <t>61231 Hessen - Bad Nauheim</t>
        </is>
      </c>
      <c r="AP144" s="5" t="n">
        <v>45541</v>
      </c>
      <c r="AQ144" t="inlineStr"/>
      <c r="AR144" s="6">
        <f>HYPERLINK("https://www.kleinanzeigen.de/s-anzeige/neilpryde-search-4-7-wave-windsurf-mast-400-sdm-cj-66/2855693384-230-4348", "Link")</f>
        <v/>
      </c>
      <c r="AS144" s="6">
        <f>HYPERLINK("C:\Projects\Kleinanzeigen-Scraper\offer_images\2855693384", "Link")</f>
        <v/>
      </c>
      <c r="AT144" t="inlineStr">
        <is>
          <t>Dr Spinout</t>
        </is>
      </c>
      <c r="AU144" s="6">
        <f>HYPERLINK("https://www.kleinanzeigen.de/s-bestandsliste.html?userId=5381565", "Link")</f>
        <v/>
      </c>
      <c r="AV144" s="7" t="n">
        <v>45542.77958333334</v>
      </c>
      <c r="AW144" s="3" t="inlineStr">
        <is>
          <t>140.20</t>
        </is>
      </c>
      <c r="AX144" t="inlineStr">
        <is>
          <t>Köln</t>
        </is>
      </c>
      <c r="AY144" s="4" t="n">
        <v>50</v>
      </c>
      <c r="AZ144" t="inlineStr"/>
      <c r="BA144" t="inlineStr">
        <is>
          <t>61231 Hessen - Bad Nauheim</t>
        </is>
      </c>
      <c r="BB144" s="5" t="n">
        <v>45541</v>
      </c>
      <c r="BC144" t="inlineStr"/>
      <c r="BD144" s="6">
        <f>HYPERLINK("https://www.kleinanzeigen.de/s-anzeige/neilpryde-search-4-7-wave-windsurf-mast-400-sdm-cj-66/2855693384-230-4348", "Link")</f>
        <v/>
      </c>
      <c r="BE144" s="6">
        <f>HYPERLINK("C:\Projects\Kleinanzeigen-Scraper\offer_images\2855693384", "Link")</f>
        <v/>
      </c>
      <c r="BF144" t="inlineStr">
        <is>
          <t>Dr Spinout</t>
        </is>
      </c>
      <c r="BG144" s="6">
        <f>HYPERLINK("https://www.kleinanzeigen.de/s-bestandsliste.html?userId=5381565", "Link")</f>
        <v/>
      </c>
      <c r="BH144" s="7" t="n">
        <v>45542.77958333334</v>
      </c>
      <c r="BI144" s="3" t="inlineStr">
        <is>
          <t>140.20</t>
        </is>
      </c>
      <c r="BJ144" t="inlineStr">
        <is>
          <t>Köln</t>
        </is>
      </c>
    </row>
    <row r="145">
      <c r="A145" s="2" t="n">
        <v>6.7</v>
      </c>
      <c r="B145" t="inlineStr">
        <is>
          <t>Neil Pryde Hellcat</t>
        </is>
      </c>
      <c r="C145" s="3" t="n">
        <v>430</v>
      </c>
      <c r="D145" s="3" t="n">
        <v>189</v>
      </c>
      <c r="E145" t="inlineStr"/>
      <c r="F145" t="inlineStr"/>
      <c r="G145" t="inlineStr">
        <is>
          <t>used</t>
        </is>
      </c>
      <c r="H145" s="4" t="n">
        <v>290</v>
      </c>
      <c r="I145" t="inlineStr"/>
      <c r="J145" t="inlineStr">
        <is>
          <t>45772 Nordrhein-Westfalen - Marl</t>
        </is>
      </c>
      <c r="K145" s="5" t="n">
        <v>45540</v>
      </c>
      <c r="L145" t="inlineStr">
        <is>
          <t>Sold</t>
        </is>
      </c>
      <c r="M145" s="6">
        <f>HYPERLINK("https://www.kleinanzeigen.de/s-anzeige/np-hellcat-6-7-komplettrigg-windsurfen-tabou-fanatic-segel/2854940183-230-1772", "Link")</f>
        <v/>
      </c>
      <c r="N145" s="6">
        <f>HYPERLINK("C:\Projects\Kleinanzeigen-Scraper\offer_images\2854940183", "Link")</f>
        <v/>
      </c>
      <c r="O145" t="inlineStr">
        <is>
          <t>RRD</t>
        </is>
      </c>
      <c r="P145" s="6">
        <f>HYPERLINK("https://www.kleinanzeigen.de/s-bestandsliste.html?userId=13661901", "Link")</f>
        <v/>
      </c>
      <c r="Q145" s="7" t="n">
        <v>45541.56688657407</v>
      </c>
      <c r="R145" s="3" t="inlineStr">
        <is>
          <t>84.29</t>
        </is>
      </c>
      <c r="S145" t="inlineStr">
        <is>
          <t>Köln</t>
        </is>
      </c>
      <c r="T145" t="inlineStr">
        <is>
          <t>NP Matrix X6</t>
        </is>
      </c>
      <c r="U145" s="3" t="n">
        <v>430</v>
      </c>
      <c r="V145" s="8" t="inlineStr"/>
      <c r="W145" t="inlineStr"/>
      <c r="X145" s="4" t="n">
        <v>290</v>
      </c>
      <c r="Y145" t="inlineStr"/>
      <c r="Z145" t="inlineStr">
        <is>
          <t>45772 Nordrhein-Westfalen - Marl</t>
        </is>
      </c>
      <c r="AA145" s="5" t="n">
        <v>45540</v>
      </c>
      <c r="AB145" t="inlineStr">
        <is>
          <t>Sold</t>
        </is>
      </c>
      <c r="AC145" s="6">
        <f>HYPERLINK("https://www.kleinanzeigen.de/s-anzeige/np-hellcat-6-7-komplettrigg-windsurfen-tabou-fanatic-segel/2854940183-230-1772", "Link")</f>
        <v/>
      </c>
      <c r="AD145" s="6">
        <f>HYPERLINK("C:\Projects\Kleinanzeigen-Scraper\offer_images\2854940183", "Link")</f>
        <v/>
      </c>
      <c r="AE145" t="inlineStr">
        <is>
          <t>RRD</t>
        </is>
      </c>
      <c r="AF145" s="6">
        <f>HYPERLINK("https://www.kleinanzeigen.de/s-bestandsliste.html?userId=13661901", "Link")</f>
        <v/>
      </c>
      <c r="AG145" s="7" t="n">
        <v>45541.56688657407</v>
      </c>
      <c r="AH145" s="3" t="inlineStr">
        <is>
          <t>84.29</t>
        </is>
      </c>
      <c r="AI145" t="inlineStr">
        <is>
          <t>Köln</t>
        </is>
      </c>
      <c r="AJ145" t="inlineStr">
        <is>
          <t>NP X3</t>
        </is>
      </c>
      <c r="AK145" t="inlineStr"/>
      <c r="AL145" t="inlineStr"/>
      <c r="AM145" s="4" t="n">
        <v>290</v>
      </c>
      <c r="AN145" t="inlineStr"/>
      <c r="AO145" t="inlineStr">
        <is>
          <t>45772 Nordrhein-Westfalen - Marl</t>
        </is>
      </c>
      <c r="AP145" s="5" t="n">
        <v>45540</v>
      </c>
      <c r="AQ145" t="inlineStr">
        <is>
          <t>Sold</t>
        </is>
      </c>
      <c r="AR145" s="6">
        <f>HYPERLINK("https://www.kleinanzeigen.de/s-anzeige/np-hellcat-6-7-komplettrigg-windsurfen-tabou-fanatic-segel/2854940183-230-1772", "Link")</f>
        <v/>
      </c>
      <c r="AS145" s="6">
        <f>HYPERLINK("C:\Projects\Kleinanzeigen-Scraper\offer_images\2854940183", "Link")</f>
        <v/>
      </c>
      <c r="AT145" t="inlineStr">
        <is>
          <t>RRD</t>
        </is>
      </c>
      <c r="AU145" s="6">
        <f>HYPERLINK("https://www.kleinanzeigen.de/s-bestandsliste.html?userId=13661901", "Link")</f>
        <v/>
      </c>
      <c r="AV145" s="7" t="n">
        <v>45541.56688657407</v>
      </c>
      <c r="AW145" s="3" t="inlineStr">
        <is>
          <t>84.29</t>
        </is>
      </c>
      <c r="AX145" t="inlineStr">
        <is>
          <t>Köln</t>
        </is>
      </c>
      <c r="AY145" s="4" t="n">
        <v>290</v>
      </c>
      <c r="AZ145" t="inlineStr"/>
      <c r="BA145" t="inlineStr">
        <is>
          <t>45772 Nordrhein-Westfalen - Marl</t>
        </is>
      </c>
      <c r="BB145" s="5" t="n">
        <v>45540</v>
      </c>
      <c r="BC145" t="inlineStr">
        <is>
          <t>Sold</t>
        </is>
      </c>
      <c r="BD145" s="6">
        <f>HYPERLINK("https://www.kleinanzeigen.de/s-anzeige/np-hellcat-6-7-komplettrigg-windsurfen-tabou-fanatic-segel/2854940183-230-1772", "Link")</f>
        <v/>
      </c>
      <c r="BE145" s="6">
        <f>HYPERLINK("C:\Projects\Kleinanzeigen-Scraper\offer_images\2854940183", "Link")</f>
        <v/>
      </c>
      <c r="BF145" t="inlineStr">
        <is>
          <t>RRD</t>
        </is>
      </c>
      <c r="BG145" s="6">
        <f>HYPERLINK("https://www.kleinanzeigen.de/s-bestandsliste.html?userId=13661901", "Link")</f>
        <v/>
      </c>
      <c r="BH145" s="7" t="n">
        <v>45541.56688657407</v>
      </c>
      <c r="BI145" s="3" t="inlineStr">
        <is>
          <t>84.29</t>
        </is>
      </c>
      <c r="BJ145" t="inlineStr">
        <is>
          <t>Köln</t>
        </is>
      </c>
    </row>
    <row r="146">
      <c r="A146" s="2" t="n">
        <v>6.1</v>
      </c>
      <c r="B146" t="inlineStr">
        <is>
          <t>Neil Pryde Expression</t>
        </is>
      </c>
      <c r="C146" s="3" t="inlineStr"/>
      <c r="D146" s="3" t="inlineStr"/>
      <c r="E146" t="inlineStr"/>
      <c r="F146" t="inlineStr"/>
      <c r="G146" t="inlineStr">
        <is>
          <t>used</t>
        </is>
      </c>
      <c r="H146" s="4" t="n">
        <v>279</v>
      </c>
      <c r="I146" t="inlineStr"/>
      <c r="J146" t="inlineStr">
        <is>
          <t>45772 Nordrhein-Westfalen - Marl</t>
        </is>
      </c>
      <c r="K146" s="5" t="n">
        <v>45540</v>
      </c>
      <c r="L146" t="inlineStr">
        <is>
          <t>Sold</t>
        </is>
      </c>
      <c r="M146" s="6">
        <f>HYPERLINK("https://www.kleinanzeigen.de/s-anzeige/6-1-neil-pryde-expression-komplettrigg-windsurfen-segel/2854943664-230-1772", "Link")</f>
        <v/>
      </c>
      <c r="N146" s="6">
        <f>HYPERLINK("C:\Projects\Kleinanzeigen-Scraper\offer_images\2854943664", "Link")</f>
        <v/>
      </c>
      <c r="O146" t="inlineStr">
        <is>
          <t>RRD</t>
        </is>
      </c>
      <c r="P146" s="6">
        <f>HYPERLINK("https://www.kleinanzeigen.de/s-bestandsliste.html?userId=13661901", "Link")</f>
        <v/>
      </c>
      <c r="Q146" s="7" t="n">
        <v>45541.5664699074</v>
      </c>
      <c r="R146" s="3" t="inlineStr">
        <is>
          <t>84.29</t>
        </is>
      </c>
      <c r="S146" t="inlineStr">
        <is>
          <t>Köln</t>
        </is>
      </c>
      <c r="T146" t="inlineStr">
        <is>
          <t>North Red Mast</t>
        </is>
      </c>
      <c r="U146" s="3" t="n">
        <v>460</v>
      </c>
      <c r="V146" s="8" t="inlineStr"/>
      <c r="W146" t="inlineStr"/>
      <c r="X146" s="4" t="n">
        <v>279</v>
      </c>
      <c r="Y146" t="inlineStr"/>
      <c r="Z146" t="inlineStr">
        <is>
          <t>45772 Nordrhein-Westfalen - Marl</t>
        </is>
      </c>
      <c r="AA146" s="5" t="n">
        <v>45540</v>
      </c>
      <c r="AB146" t="inlineStr">
        <is>
          <t>Sold</t>
        </is>
      </c>
      <c r="AC146" s="6">
        <f>HYPERLINK("https://www.kleinanzeigen.de/s-anzeige/6-1-neil-pryde-expression-komplettrigg-windsurfen-segel/2854943664-230-1772", "Link")</f>
        <v/>
      </c>
      <c r="AD146" s="6">
        <f>HYPERLINK("C:\Projects\Kleinanzeigen-Scraper\offer_images\2854943664", "Link")</f>
        <v/>
      </c>
      <c r="AE146" t="inlineStr">
        <is>
          <t>RRD</t>
        </is>
      </c>
      <c r="AF146" s="6">
        <f>HYPERLINK("https://www.kleinanzeigen.de/s-bestandsliste.html?userId=13661901", "Link")</f>
        <v/>
      </c>
      <c r="AG146" s="7" t="n">
        <v>45541.5664699074</v>
      </c>
      <c r="AH146" s="3" t="inlineStr">
        <is>
          <t>84.29</t>
        </is>
      </c>
      <c r="AI146" t="inlineStr">
        <is>
          <t>Köln</t>
        </is>
      </c>
      <c r="AJ146" t="inlineStr">
        <is>
          <t>Aerongabelbaum MTC26</t>
        </is>
      </c>
      <c r="AK146" t="inlineStr"/>
      <c r="AL146" t="inlineStr"/>
      <c r="AM146" s="4" t="n">
        <v>279</v>
      </c>
      <c r="AN146" t="inlineStr"/>
      <c r="AO146" t="inlineStr">
        <is>
          <t>45772 Nordrhein-Westfalen - Marl</t>
        </is>
      </c>
      <c r="AP146" s="5" t="n">
        <v>45540</v>
      </c>
      <c r="AQ146" t="inlineStr">
        <is>
          <t>Sold</t>
        </is>
      </c>
      <c r="AR146" s="6">
        <f>HYPERLINK("https://www.kleinanzeigen.de/s-anzeige/6-1-neil-pryde-expression-komplettrigg-windsurfen-segel/2854943664-230-1772", "Link")</f>
        <v/>
      </c>
      <c r="AS146" s="6">
        <f>HYPERLINK("C:\Projects\Kleinanzeigen-Scraper\offer_images\2854943664", "Link")</f>
        <v/>
      </c>
      <c r="AT146" t="inlineStr">
        <is>
          <t>RRD</t>
        </is>
      </c>
      <c r="AU146" s="6">
        <f>HYPERLINK("https://www.kleinanzeigen.de/s-bestandsliste.html?userId=13661901", "Link")</f>
        <v/>
      </c>
      <c r="AV146" s="7" t="n">
        <v>45541.5664699074</v>
      </c>
      <c r="AW146" s="3" t="inlineStr">
        <is>
          <t>84.29</t>
        </is>
      </c>
      <c r="AX146" t="inlineStr">
        <is>
          <t>Köln</t>
        </is>
      </c>
      <c r="AY146" s="4" t="n">
        <v>279</v>
      </c>
      <c r="AZ146" t="inlineStr"/>
      <c r="BA146" t="inlineStr">
        <is>
          <t>45772 Nordrhein-Westfalen - Marl</t>
        </is>
      </c>
      <c r="BB146" s="5" t="n">
        <v>45540</v>
      </c>
      <c r="BC146" t="inlineStr">
        <is>
          <t>Sold</t>
        </is>
      </c>
      <c r="BD146" s="6">
        <f>HYPERLINK("https://www.kleinanzeigen.de/s-anzeige/6-1-neil-pryde-expression-komplettrigg-windsurfen-segel/2854943664-230-1772", "Link")</f>
        <v/>
      </c>
      <c r="BE146" s="6">
        <f>HYPERLINK("C:\Projects\Kleinanzeigen-Scraper\offer_images\2854943664", "Link")</f>
        <v/>
      </c>
      <c r="BF146" t="inlineStr">
        <is>
          <t>RRD</t>
        </is>
      </c>
      <c r="BG146" s="6">
        <f>HYPERLINK("https://www.kleinanzeigen.de/s-bestandsliste.html?userId=13661901", "Link")</f>
        <v/>
      </c>
      <c r="BH146" s="7" t="n">
        <v>45541.5664699074</v>
      </c>
      <c r="BI146" s="3" t="inlineStr">
        <is>
          <t>84.29</t>
        </is>
      </c>
      <c r="BJ146" t="inlineStr">
        <is>
          <t>Köln</t>
        </is>
      </c>
    </row>
    <row r="147">
      <c r="A147" s="2" t="n">
        <v>4.2</v>
      </c>
      <c r="B147" t="inlineStr">
        <is>
          <t>Point 7 Sado</t>
        </is>
      </c>
      <c r="C147" s="3" t="inlineStr"/>
      <c r="D147" s="3" t="inlineStr"/>
      <c r="E147" t="inlineStr">
        <is>
          <t>Power Wave</t>
        </is>
      </c>
      <c r="F147" t="inlineStr"/>
      <c r="G147" t="inlineStr">
        <is>
          <t>used</t>
        </is>
      </c>
      <c r="H147" s="4" t="n">
        <v>290</v>
      </c>
      <c r="I147" t="inlineStr"/>
      <c r="J147" t="inlineStr">
        <is>
          <t>76275 Baden-Württemberg - Ettlingen</t>
        </is>
      </c>
      <c r="K147" s="5" t="n">
        <v>45538</v>
      </c>
      <c r="L147" t="inlineStr">
        <is>
          <t>Sold</t>
        </is>
      </c>
      <c r="M147" s="6">
        <f>HYPERLINK("https://www.kleinanzeigen.de/s-anzeige/point-7-sado-4-2-power-wave-segel-spy-inkl-mast-windsurf/2853335417-230-8929", "Link")</f>
        <v/>
      </c>
      <c r="N147" s="6">
        <f>HYPERLINK("C:\Projects\Kleinanzeigen-Scraper\offer_images\2853335417", "Link")</f>
        <v/>
      </c>
      <c r="O147" t="inlineStr">
        <is>
          <t>Markus</t>
        </is>
      </c>
      <c r="P147" s="6">
        <f>HYPERLINK("https://www.kleinanzeigen.de/s-bestandsliste.html?userId=15703486", "Link")</f>
        <v/>
      </c>
      <c r="Q147" s="7" t="n">
        <v>45539.58587962963</v>
      </c>
      <c r="R147" s="3" t="inlineStr">
        <is>
          <t>8.80</t>
        </is>
      </c>
      <c r="S147" t="inlineStr">
        <is>
          <t>Karlsruhe</t>
        </is>
      </c>
      <c r="T147" t="inlineStr">
        <is>
          <t>Point 7 C80</t>
        </is>
      </c>
      <c r="U147" s="3" t="n">
        <v>370</v>
      </c>
      <c r="V147" s="8" t="inlineStr"/>
      <c r="W147" t="inlineStr"/>
      <c r="X147" s="4" t="n">
        <v>290</v>
      </c>
      <c r="Y147" t="inlineStr"/>
      <c r="Z147" t="inlineStr">
        <is>
          <t>76275 Baden-Württemberg - Ettlingen</t>
        </is>
      </c>
      <c r="AA147" s="5" t="n">
        <v>45538</v>
      </c>
      <c r="AB147" t="inlineStr">
        <is>
          <t>Sold</t>
        </is>
      </c>
      <c r="AC147" s="6">
        <f>HYPERLINK("https://www.kleinanzeigen.de/s-anzeige/point-7-sado-4-2-power-wave-segel-spy-inkl-mast-windsurf/2853335417-230-8929", "Link")</f>
        <v/>
      </c>
      <c r="AD147" s="6">
        <f>HYPERLINK("C:\Projects\Kleinanzeigen-Scraper\offer_images\2853335417", "Link")</f>
        <v/>
      </c>
      <c r="AE147" t="inlineStr">
        <is>
          <t>Markus</t>
        </is>
      </c>
      <c r="AF147" s="6">
        <f>HYPERLINK("https://www.kleinanzeigen.de/s-bestandsliste.html?userId=15703486", "Link")</f>
        <v/>
      </c>
      <c r="AG147" s="7" t="n">
        <v>45539.58587962963</v>
      </c>
      <c r="AH147" s="3" t="inlineStr">
        <is>
          <t>8.80</t>
        </is>
      </c>
      <c r="AI147" t="inlineStr">
        <is>
          <t>Karlsruhe</t>
        </is>
      </c>
      <c r="AJ147" t="inlineStr"/>
      <c r="AK147" t="inlineStr"/>
      <c r="AL147" t="inlineStr"/>
      <c r="AM147" s="4" t="n">
        <v>290</v>
      </c>
      <c r="AN147" t="inlineStr"/>
      <c r="AO147" t="inlineStr">
        <is>
          <t>76275 Baden-Württemberg - Ettlingen</t>
        </is>
      </c>
      <c r="AP147" s="5" t="n">
        <v>45538</v>
      </c>
      <c r="AQ147" t="inlineStr">
        <is>
          <t>Sold</t>
        </is>
      </c>
      <c r="AR147" s="6">
        <f>HYPERLINK("https://www.kleinanzeigen.de/s-anzeige/point-7-sado-4-2-power-wave-segel-spy-inkl-mast-windsurf/2853335417-230-8929", "Link")</f>
        <v/>
      </c>
      <c r="AS147" s="6">
        <f>HYPERLINK("C:\Projects\Kleinanzeigen-Scraper\offer_images\2853335417", "Link")</f>
        <v/>
      </c>
      <c r="AT147" t="inlineStr">
        <is>
          <t>Markus</t>
        </is>
      </c>
      <c r="AU147" s="6">
        <f>HYPERLINK("https://www.kleinanzeigen.de/s-bestandsliste.html?userId=15703486", "Link")</f>
        <v/>
      </c>
      <c r="AV147" s="7" t="n">
        <v>45539.58587962963</v>
      </c>
      <c r="AW147" s="3" t="inlineStr">
        <is>
          <t>8.80</t>
        </is>
      </c>
      <c r="AX147" t="inlineStr">
        <is>
          <t>Karlsruhe</t>
        </is>
      </c>
      <c r="AY147" s="4" t="n">
        <v>290</v>
      </c>
      <c r="AZ147" t="inlineStr"/>
      <c r="BA147" t="inlineStr">
        <is>
          <t>76275 Baden-Württemberg - Ettlingen</t>
        </is>
      </c>
      <c r="BB147" s="5" t="n">
        <v>45538</v>
      </c>
      <c r="BC147" t="inlineStr">
        <is>
          <t>Sold</t>
        </is>
      </c>
      <c r="BD147" s="6">
        <f>HYPERLINK("https://www.kleinanzeigen.de/s-anzeige/point-7-sado-4-2-power-wave-segel-spy-inkl-mast-windsurf/2853335417-230-8929", "Link")</f>
        <v/>
      </c>
      <c r="BE147" s="6">
        <f>HYPERLINK("C:\Projects\Kleinanzeigen-Scraper\offer_images\2853335417", "Link")</f>
        <v/>
      </c>
      <c r="BF147" t="inlineStr">
        <is>
          <t>Markus</t>
        </is>
      </c>
      <c r="BG147" s="6">
        <f>HYPERLINK("https://www.kleinanzeigen.de/s-bestandsliste.html?userId=15703486", "Link")</f>
        <v/>
      </c>
      <c r="BH147" s="7" t="n">
        <v>45539.58587962963</v>
      </c>
      <c r="BI147" s="3" t="inlineStr">
        <is>
          <t>8.80</t>
        </is>
      </c>
      <c r="BJ147" t="inlineStr">
        <is>
          <t>Karlsruhe</t>
        </is>
      </c>
    </row>
    <row r="148">
      <c r="A148" s="2" t="n">
        <v>8.5</v>
      </c>
      <c r="B148" t="inlineStr">
        <is>
          <t>NeilPryde RS:X</t>
        </is>
      </c>
      <c r="C148" s="3" t="n">
        <v>519</v>
      </c>
      <c r="D148" s="3" t="n">
        <v>233</v>
      </c>
      <c r="E148" t="inlineStr"/>
      <c r="F148" t="inlineStr"/>
      <c r="G148" t="inlineStr">
        <is>
          <t>used</t>
        </is>
      </c>
      <c r="H148" s="4" t="n">
        <v>600</v>
      </c>
      <c r="I148" t="inlineStr"/>
      <c r="J148" t="inlineStr">
        <is>
          <t>82467 Bayern - Garmisch-Partenkirchen</t>
        </is>
      </c>
      <c r="K148" s="5" t="n">
        <v>45539</v>
      </c>
      <c r="L148" t="inlineStr">
        <is>
          <t>Sold</t>
        </is>
      </c>
      <c r="M148" s="6">
        <f>HYPERLINK("https://www.kleinanzeigen.de/s-anzeige/komplettsegel-rigg-rs-x-8-5-qm-gebraucht-surfen-windsurfen/2853826551-230-6338", "Link")</f>
        <v/>
      </c>
      <c r="N148" s="6">
        <f>HYPERLINK("C:\Projects\Kleinanzeigen-Scraper\offer_images\2853826551", "Link")</f>
        <v/>
      </c>
      <c r="O148" t="inlineStr">
        <is>
          <t>Stephan</t>
        </is>
      </c>
      <c r="P148" s="6">
        <f>HYPERLINK("https://www.kleinanzeigen.de/s-bestandsliste.html?userId=24549656", "Link")</f>
        <v/>
      </c>
      <c r="Q148" s="7" t="n">
        <v>45539.58439814814</v>
      </c>
      <c r="R148" s="3" t="inlineStr">
        <is>
          <t>80.76</t>
        </is>
      </c>
      <c r="S148" t="inlineStr">
        <is>
          <t>München</t>
        </is>
      </c>
      <c r="T148" t="inlineStr">
        <is>
          <t>NeilPryde RS:X</t>
        </is>
      </c>
      <c r="U148" s="3" t="n">
        <v>490</v>
      </c>
      <c r="V148" s="8" t="inlineStr"/>
      <c r="W148" t="inlineStr">
        <is>
          <t>SDM</t>
        </is>
      </c>
      <c r="X148" s="4" t="n">
        <v>600</v>
      </c>
      <c r="Y148" t="inlineStr"/>
      <c r="Z148" t="inlineStr">
        <is>
          <t>82467 Bayern - Garmisch-Partenkirchen</t>
        </is>
      </c>
      <c r="AA148" s="5" t="n">
        <v>45539</v>
      </c>
      <c r="AB148" t="inlineStr">
        <is>
          <t>Sold</t>
        </is>
      </c>
      <c r="AC148" s="6">
        <f>HYPERLINK("https://www.kleinanzeigen.de/s-anzeige/komplettsegel-rigg-rs-x-8-5-qm-gebraucht-surfen-windsurfen/2853826551-230-6338", "Link")</f>
        <v/>
      </c>
      <c r="AD148" s="6">
        <f>HYPERLINK("C:\Projects\Kleinanzeigen-Scraper\offer_images\2853826551", "Link")</f>
        <v/>
      </c>
      <c r="AE148" t="inlineStr">
        <is>
          <t>Stephan</t>
        </is>
      </c>
      <c r="AF148" s="6">
        <f>HYPERLINK("https://www.kleinanzeigen.de/s-bestandsliste.html?userId=24549656", "Link")</f>
        <v/>
      </c>
      <c r="AG148" s="7" t="n">
        <v>45539.58439814814</v>
      </c>
      <c r="AH148" s="3" t="inlineStr">
        <is>
          <t>80.76</t>
        </is>
      </c>
      <c r="AI148" t="inlineStr">
        <is>
          <t>München</t>
        </is>
      </c>
      <c r="AJ148" t="inlineStr">
        <is>
          <t>NeilPryde RS:X</t>
        </is>
      </c>
      <c r="AK148" t="inlineStr">
        <is>
          <t>225-265</t>
        </is>
      </c>
      <c r="AL148" t="inlineStr"/>
      <c r="AM148" s="4" t="n">
        <v>600</v>
      </c>
      <c r="AN148" t="inlineStr"/>
      <c r="AO148" t="inlineStr">
        <is>
          <t>82467 Bayern - Garmisch-Partenkirchen</t>
        </is>
      </c>
      <c r="AP148" s="5" t="n">
        <v>45539</v>
      </c>
      <c r="AQ148" t="inlineStr">
        <is>
          <t>Sold</t>
        </is>
      </c>
      <c r="AR148" s="6">
        <f>HYPERLINK("https://www.kleinanzeigen.de/s-anzeige/komplettsegel-rigg-rs-x-8-5-qm-gebraucht-surfen-windsurfen/2853826551-230-6338", "Link")</f>
        <v/>
      </c>
      <c r="AS148" s="6">
        <f>HYPERLINK("C:\Projects\Kleinanzeigen-Scraper\offer_images\2853826551", "Link")</f>
        <v/>
      </c>
      <c r="AT148" t="inlineStr">
        <is>
          <t>Stephan</t>
        </is>
      </c>
      <c r="AU148" s="6">
        <f>HYPERLINK("https://www.kleinanzeigen.de/s-bestandsliste.html?userId=24549656", "Link")</f>
        <v/>
      </c>
      <c r="AV148" s="7" t="n">
        <v>45539.58439814814</v>
      </c>
      <c r="AW148" s="3" t="inlineStr">
        <is>
          <t>80.76</t>
        </is>
      </c>
      <c r="AX148" t="inlineStr">
        <is>
          <t>München</t>
        </is>
      </c>
      <c r="AY148" s="4" t="n">
        <v>600</v>
      </c>
      <c r="AZ148" t="inlineStr"/>
      <c r="BA148" t="inlineStr">
        <is>
          <t>82467 Bayern - Garmisch-Partenkirchen</t>
        </is>
      </c>
      <c r="BB148" s="5" t="n">
        <v>45539</v>
      </c>
      <c r="BC148" t="inlineStr">
        <is>
          <t>Sold</t>
        </is>
      </c>
      <c r="BD148" s="6">
        <f>HYPERLINK("https://www.kleinanzeigen.de/s-anzeige/komplettsegel-rigg-rs-x-8-5-qm-gebraucht-surfen-windsurfen/2853826551-230-6338", "Link")</f>
        <v/>
      </c>
      <c r="BE148" s="6">
        <f>HYPERLINK("C:\Projects\Kleinanzeigen-Scraper\offer_images\2853826551", "Link")</f>
        <v/>
      </c>
      <c r="BF148" t="inlineStr">
        <is>
          <t>Stephan</t>
        </is>
      </c>
      <c r="BG148" s="6">
        <f>HYPERLINK("https://www.kleinanzeigen.de/s-bestandsliste.html?userId=24549656", "Link")</f>
        <v/>
      </c>
      <c r="BH148" s="7" t="n">
        <v>45539.58439814814</v>
      </c>
      <c r="BI148" s="3" t="inlineStr">
        <is>
          <t>80.76</t>
        </is>
      </c>
      <c r="BJ148" t="inlineStr">
        <is>
          <t>München</t>
        </is>
      </c>
    </row>
    <row r="149">
      <c r="A149" s="2" t="n">
        <v>4.5</v>
      </c>
      <c r="B149" t="inlineStr">
        <is>
          <t>Gaastra Pilot</t>
        </is>
      </c>
      <c r="C149" s="3" t="n">
        <v>400</v>
      </c>
      <c r="D149" s="3" t="n">
        <v>160</v>
      </c>
      <c r="E149" t="inlineStr"/>
      <c r="F149" t="inlineStr">
        <is>
          <t>2024</t>
        </is>
      </c>
      <c r="G149" t="inlineStr"/>
      <c r="H149" s="4" t="n">
        <v>140</v>
      </c>
      <c r="I149" t="inlineStr"/>
      <c r="J149" t="inlineStr">
        <is>
          <t>53175 Bonn - Bad Godesberg</t>
        </is>
      </c>
      <c r="K149" s="5" t="n">
        <v>45537</v>
      </c>
      <c r="L149" t="inlineStr">
        <is>
          <t>Sold</t>
        </is>
      </c>
      <c r="M149" s="6">
        <f>HYPERLINK("https://www.kleinanzeigen.de/s-anzeige/windsurf-rigg-segel-4-5m-/2852839010-230-1040", "Link")</f>
        <v/>
      </c>
      <c r="N149" s="6">
        <f>HYPERLINK("C:\Projects\Kleinanzeigen-Scraper\offer_images\2852839010", "Link")</f>
        <v/>
      </c>
      <c r="O149" t="inlineStr">
        <is>
          <t>Hans - Peter Petschow</t>
        </is>
      </c>
      <c r="P149" s="6">
        <f>HYPERLINK("https://www.kleinanzeigen.de/s-bestandsliste.html?userId=41150323", "Link")</f>
        <v/>
      </c>
      <c r="Q149" s="7" t="n">
        <v>45538.56652777778</v>
      </c>
      <c r="R149" s="3" t="inlineStr">
        <is>
          <t>30.05</t>
        </is>
      </c>
      <c r="S149" t="inlineStr">
        <is>
          <t>Köln</t>
        </is>
      </c>
      <c r="T149" t="inlineStr"/>
      <c r="U149" s="3" t="n">
        <v>400</v>
      </c>
      <c r="V149" s="8" t="inlineStr"/>
      <c r="W149" t="inlineStr"/>
      <c r="X149" s="4" t="n">
        <v>140</v>
      </c>
      <c r="Y149" t="inlineStr"/>
      <c r="Z149" t="inlineStr">
        <is>
          <t>53175 Bonn - Bad Godesberg</t>
        </is>
      </c>
      <c r="AA149" s="5" t="n">
        <v>45537</v>
      </c>
      <c r="AB149" t="inlineStr">
        <is>
          <t>Sold</t>
        </is>
      </c>
      <c r="AC149" s="6">
        <f>HYPERLINK("https://www.kleinanzeigen.de/s-anzeige/windsurf-rigg-segel-4-5m-/2852839010-230-1040", "Link")</f>
        <v/>
      </c>
      <c r="AD149" s="6">
        <f>HYPERLINK("C:\Projects\Kleinanzeigen-Scraper\offer_images\2852839010", "Link")</f>
        <v/>
      </c>
      <c r="AE149" t="inlineStr">
        <is>
          <t>Hans - Peter Petschow</t>
        </is>
      </c>
      <c r="AF149" s="6">
        <f>HYPERLINK("https://www.kleinanzeigen.de/s-bestandsliste.html?userId=41150323", "Link")</f>
        <v/>
      </c>
      <c r="AG149" s="7" t="n">
        <v>45538.56652777778</v>
      </c>
      <c r="AH149" s="3" t="inlineStr">
        <is>
          <t>30.05</t>
        </is>
      </c>
      <c r="AI149" t="inlineStr">
        <is>
          <t>Köln</t>
        </is>
      </c>
      <c r="AJ149" t="inlineStr"/>
      <c r="AK149" t="inlineStr"/>
      <c r="AL149" t="inlineStr"/>
      <c r="AM149" s="4" t="n">
        <v>140</v>
      </c>
      <c r="AN149" t="inlineStr"/>
      <c r="AO149" t="inlineStr">
        <is>
          <t>53175 Bonn - Bad Godesberg</t>
        </is>
      </c>
      <c r="AP149" s="5" t="n">
        <v>45537</v>
      </c>
      <c r="AQ149" t="inlineStr">
        <is>
          <t>Sold</t>
        </is>
      </c>
      <c r="AR149" s="6">
        <f>HYPERLINK("https://www.kleinanzeigen.de/s-anzeige/windsurf-rigg-segel-4-5m-/2852839010-230-1040", "Link")</f>
        <v/>
      </c>
      <c r="AS149" s="6">
        <f>HYPERLINK("C:\Projects\Kleinanzeigen-Scraper\offer_images\2852839010", "Link")</f>
        <v/>
      </c>
      <c r="AT149" t="inlineStr">
        <is>
          <t>Hans - Peter Petschow</t>
        </is>
      </c>
      <c r="AU149" s="6">
        <f>HYPERLINK("https://www.kleinanzeigen.de/s-bestandsliste.html?userId=41150323", "Link")</f>
        <v/>
      </c>
      <c r="AV149" s="7" t="n">
        <v>45538.56652777778</v>
      </c>
      <c r="AW149" s="3" t="inlineStr">
        <is>
          <t>30.05</t>
        </is>
      </c>
      <c r="AX149" t="inlineStr">
        <is>
          <t>Köln</t>
        </is>
      </c>
      <c r="AY149" s="4" t="n">
        <v>140</v>
      </c>
      <c r="AZ149" t="inlineStr"/>
      <c r="BA149" t="inlineStr">
        <is>
          <t>53175 Bonn - Bad Godesberg</t>
        </is>
      </c>
      <c r="BB149" s="5" t="n">
        <v>45537</v>
      </c>
      <c r="BC149" t="inlineStr">
        <is>
          <t>Sold</t>
        </is>
      </c>
      <c r="BD149" s="6">
        <f>HYPERLINK("https://www.kleinanzeigen.de/s-anzeige/windsurf-rigg-segel-4-5m-/2852839010-230-1040", "Link")</f>
        <v/>
      </c>
      <c r="BE149" s="6">
        <f>HYPERLINK("C:\Projects\Kleinanzeigen-Scraper\offer_images\2852839010", "Link")</f>
        <v/>
      </c>
      <c r="BF149" t="inlineStr">
        <is>
          <t>Hans - Peter Petschow</t>
        </is>
      </c>
      <c r="BG149" s="6">
        <f>HYPERLINK("https://www.kleinanzeigen.de/s-bestandsliste.html?userId=41150323", "Link")</f>
        <v/>
      </c>
      <c r="BH149" s="7" t="n">
        <v>45538.56652777778</v>
      </c>
      <c r="BI149" s="3" t="inlineStr">
        <is>
          <t>30.05</t>
        </is>
      </c>
      <c r="BJ149" t="inlineStr">
        <is>
          <t>Köln</t>
        </is>
      </c>
    </row>
    <row r="150">
      <c r="A150" s="2" t="n">
        <v>7</v>
      </c>
      <c r="B150" t="inlineStr">
        <is>
          <t>Sailloft Ultimate 2.0</t>
        </is>
      </c>
      <c r="C150" s="3" t="inlineStr"/>
      <c r="D150" s="3" t="inlineStr"/>
      <c r="E150" t="inlineStr"/>
      <c r="F150" t="inlineStr"/>
      <c r="G150" t="inlineStr">
        <is>
          <t>used</t>
        </is>
      </c>
      <c r="H150" s="4" t="n">
        <v>429</v>
      </c>
      <c r="I150" t="inlineStr">
        <is>
          <t>VB</t>
        </is>
      </c>
      <c r="J150" t="inlineStr">
        <is>
          <t>27777 Niedersachsen - Ganderkesee</t>
        </is>
      </c>
      <c r="K150" s="5" t="n">
        <v>45530</v>
      </c>
      <c r="L150" t="inlineStr"/>
      <c r="M150" s="6">
        <f>HYPERLINK("https://www.kleinanzeigen.de/s-anzeige/sailloft-ultimate-2-0-100-carbon-mast-windsurf-segel-7-0/2835511824-230-2472", "Link")</f>
        <v/>
      </c>
      <c r="N150" s="6">
        <f>HYPERLINK("C:\Projects\Kleinanzeigen-Scraper\offer_images\2835511824", "Link")</f>
        <v/>
      </c>
      <c r="O150" t="inlineStr">
        <is>
          <t>A. Wollenberg</t>
        </is>
      </c>
      <c r="P150" s="6">
        <f>HYPERLINK("https://www.kleinanzeigen.de/s-bestandsliste.html?userId=9342893", "Link")</f>
        <v/>
      </c>
      <c r="Q150" s="7" t="n">
        <v>45536.97872685185</v>
      </c>
      <c r="R150" s="3" t="inlineStr">
        <is>
          <t>258.92</t>
        </is>
      </c>
      <c r="S150" t="inlineStr">
        <is>
          <t>Köln</t>
        </is>
      </c>
      <c r="T150" t="inlineStr">
        <is>
          <t>Sailloft RED DRS</t>
        </is>
      </c>
      <c r="U150" s="3" t="n">
        <v>430</v>
      </c>
      <c r="V150" s="8" t="inlineStr">
        <is>
          <t>100%</t>
        </is>
      </c>
      <c r="W150" t="inlineStr">
        <is>
          <t>SDM</t>
        </is>
      </c>
      <c r="X150" s="4" t="n">
        <v>429</v>
      </c>
      <c r="Y150" t="inlineStr">
        <is>
          <t>VB</t>
        </is>
      </c>
      <c r="Z150" t="inlineStr">
        <is>
          <t>27777 Niedersachsen - Ganderkesee</t>
        </is>
      </c>
      <c r="AA150" s="5" t="n">
        <v>45530</v>
      </c>
      <c r="AB150" t="inlineStr"/>
      <c r="AC150" s="6">
        <f>HYPERLINK("https://www.kleinanzeigen.de/s-anzeige/sailloft-ultimate-2-0-100-carbon-mast-windsurf-segel-7-0/2835511824-230-2472", "Link")</f>
        <v/>
      </c>
      <c r="AD150" s="6">
        <f>HYPERLINK("C:\Projects\Kleinanzeigen-Scraper\offer_images\2835511824", "Link")</f>
        <v/>
      </c>
      <c r="AE150" t="inlineStr">
        <is>
          <t>A. Wollenberg</t>
        </is>
      </c>
      <c r="AF150" s="6">
        <f>HYPERLINK("https://www.kleinanzeigen.de/s-bestandsliste.html?userId=9342893", "Link")</f>
        <v/>
      </c>
      <c r="AG150" s="7" t="n">
        <v>45536.97872685185</v>
      </c>
      <c r="AH150" s="3" t="inlineStr">
        <is>
          <t>258.92</t>
        </is>
      </c>
      <c r="AI150" t="inlineStr">
        <is>
          <t>Köln</t>
        </is>
      </c>
      <c r="AJ150" t="inlineStr"/>
      <c r="AK150" t="inlineStr"/>
      <c r="AL150" t="inlineStr"/>
      <c r="AM150" s="4" t="n">
        <v>429</v>
      </c>
      <c r="AN150" t="inlineStr">
        <is>
          <t>VB</t>
        </is>
      </c>
      <c r="AO150" t="inlineStr">
        <is>
          <t>27777 Niedersachsen - Ganderkesee</t>
        </is>
      </c>
      <c r="AP150" s="5" t="n">
        <v>45530</v>
      </c>
      <c r="AQ150" t="inlineStr"/>
      <c r="AR150" s="6">
        <f>HYPERLINK("https://www.kleinanzeigen.de/s-anzeige/sailloft-ultimate-2-0-100-carbon-mast-windsurf-segel-7-0/2835511824-230-2472", "Link")</f>
        <v/>
      </c>
      <c r="AS150" s="6">
        <f>HYPERLINK("C:\Projects\Kleinanzeigen-Scraper\offer_images\2835511824", "Link")</f>
        <v/>
      </c>
      <c r="AT150" t="inlineStr">
        <is>
          <t>A. Wollenberg</t>
        </is>
      </c>
      <c r="AU150" s="6">
        <f>HYPERLINK("https://www.kleinanzeigen.de/s-bestandsliste.html?userId=9342893", "Link")</f>
        <v/>
      </c>
      <c r="AV150" s="7" t="n">
        <v>45536.97872685185</v>
      </c>
      <c r="AW150" s="3" t="inlineStr">
        <is>
          <t>258.92</t>
        </is>
      </c>
      <c r="AX150" t="inlineStr">
        <is>
          <t>Köln</t>
        </is>
      </c>
      <c r="AY150" s="4" t="n">
        <v>429</v>
      </c>
      <c r="AZ150" t="inlineStr">
        <is>
          <t>VB</t>
        </is>
      </c>
      <c r="BA150" t="inlineStr">
        <is>
          <t>27777 Niedersachsen - Ganderkesee</t>
        </is>
      </c>
      <c r="BB150" s="5" t="n">
        <v>45530</v>
      </c>
      <c r="BC150" t="inlineStr"/>
      <c r="BD150" s="6">
        <f>HYPERLINK("https://www.kleinanzeigen.de/s-anzeige/sailloft-ultimate-2-0-100-carbon-mast-windsurf-segel-7-0/2835511824-230-2472", "Link")</f>
        <v/>
      </c>
      <c r="BE150" s="6">
        <f>HYPERLINK("C:\Projects\Kleinanzeigen-Scraper\offer_images\2835511824", "Link")</f>
        <v/>
      </c>
      <c r="BF150" t="inlineStr">
        <is>
          <t>A. Wollenberg</t>
        </is>
      </c>
      <c r="BG150" s="6">
        <f>HYPERLINK("https://www.kleinanzeigen.de/s-bestandsliste.html?userId=9342893", "Link")</f>
        <v/>
      </c>
      <c r="BH150" s="7" t="n">
        <v>45536.97872685185</v>
      </c>
      <c r="BI150" s="3" t="inlineStr">
        <is>
          <t>258.92</t>
        </is>
      </c>
      <c r="BJ150" t="inlineStr">
        <is>
          <t>Köln</t>
        </is>
      </c>
    </row>
    <row r="151">
      <c r="A151" s="2" t="n">
        <v>4.7</v>
      </c>
      <c r="B151" t="inlineStr">
        <is>
          <t>Naish Sails Lift 2019</t>
        </is>
      </c>
      <c r="C151" s="3" t="inlineStr"/>
      <c r="D151" s="3" t="inlineStr"/>
      <c r="E151" t="inlineStr"/>
      <c r="F151" t="inlineStr">
        <is>
          <t>2019</t>
        </is>
      </c>
      <c r="G151" t="inlineStr">
        <is>
          <t>new</t>
        </is>
      </c>
      <c r="H151" s="4" t="n">
        <v>499</v>
      </c>
      <c r="I151" t="inlineStr"/>
      <c r="J151" t="inlineStr">
        <is>
          <t>33659 Bielefeld - Senne</t>
        </is>
      </c>
      <c r="K151" s="5" t="n">
        <v>45530</v>
      </c>
      <c r="L151" t="inlineStr">
        <is>
          <t>Sold</t>
        </is>
      </c>
      <c r="M151" s="6">
        <f>HYPERLINK("https://www.kleinanzeigen.de/s-anzeige/windsurf-wind-foil-surffoiling-rigg-mit-segel-4-7qm-wie-neu/2847098201-230-1057", "Link")</f>
        <v/>
      </c>
      <c r="N151" s="6">
        <f>HYPERLINK("C:\Projects\Kleinanzeigen-Scraper\offer_images\2847098201", "Link")</f>
        <v/>
      </c>
      <c r="O151" t="inlineStr">
        <is>
          <t>Friederike Kley</t>
        </is>
      </c>
      <c r="P151" s="6">
        <f>HYPERLINK("https://www.kleinanzeigen.de/s-bestandsliste.html?userId=134594820", "Link")</f>
        <v/>
      </c>
      <c r="Q151" s="7" t="n">
        <v>45536.96826388889</v>
      </c>
      <c r="R151" s="3" t="inlineStr">
        <is>
          <t>156.75</t>
        </is>
      </c>
      <c r="S151" t="inlineStr">
        <is>
          <t>Köln</t>
        </is>
      </c>
      <c r="T151" t="inlineStr">
        <is>
          <t>STX Mast C60 RDM</t>
        </is>
      </c>
      <c r="U151" s="3" t="n">
        <v>370</v>
      </c>
      <c r="V151" s="8" t="inlineStr"/>
      <c r="W151" t="inlineStr">
        <is>
          <t>RDM</t>
        </is>
      </c>
      <c r="X151" s="4" t="n">
        <v>499</v>
      </c>
      <c r="Y151" t="inlineStr"/>
      <c r="Z151" t="inlineStr">
        <is>
          <t>33659 Bielefeld - Senne</t>
        </is>
      </c>
      <c r="AA151" s="5" t="n">
        <v>45530</v>
      </c>
      <c r="AB151" t="inlineStr">
        <is>
          <t>Sold</t>
        </is>
      </c>
      <c r="AC151" s="6">
        <f>HYPERLINK("https://www.kleinanzeigen.de/s-anzeige/windsurf-wind-foil-surffoiling-rigg-mit-segel-4-7qm-wie-neu/2847098201-230-1057", "Link")</f>
        <v/>
      </c>
      <c r="AD151" s="6">
        <f>HYPERLINK("C:\Projects\Kleinanzeigen-Scraper\offer_images\2847098201", "Link")</f>
        <v/>
      </c>
      <c r="AE151" t="inlineStr">
        <is>
          <t>Friederike Kley</t>
        </is>
      </c>
      <c r="AF151" s="6">
        <f>HYPERLINK("https://www.kleinanzeigen.de/s-bestandsliste.html?userId=134594820", "Link")</f>
        <v/>
      </c>
      <c r="AG151" s="7" t="n">
        <v>45536.96826388889</v>
      </c>
      <c r="AH151" s="3" t="inlineStr">
        <is>
          <t>156.75</t>
        </is>
      </c>
      <c r="AI151" t="inlineStr">
        <is>
          <t>Köln</t>
        </is>
      </c>
      <c r="AJ151" t="inlineStr">
        <is>
          <t>Gaastra Windsurf Gabelbaum Black Line Mono Tapered</t>
        </is>
      </c>
      <c r="AK151" t="inlineStr"/>
      <c r="AL151" t="inlineStr"/>
      <c r="AM151" s="4" t="n">
        <v>499</v>
      </c>
      <c r="AN151" t="inlineStr"/>
      <c r="AO151" t="inlineStr">
        <is>
          <t>33659 Bielefeld - Senne</t>
        </is>
      </c>
      <c r="AP151" s="5" t="n">
        <v>45530</v>
      </c>
      <c r="AQ151" t="inlineStr">
        <is>
          <t>Sold</t>
        </is>
      </c>
      <c r="AR151" s="6">
        <f>HYPERLINK("https://www.kleinanzeigen.de/s-anzeige/windsurf-wind-foil-surffoiling-rigg-mit-segel-4-7qm-wie-neu/2847098201-230-1057", "Link")</f>
        <v/>
      </c>
      <c r="AS151" s="6">
        <f>HYPERLINK("C:\Projects\Kleinanzeigen-Scraper\offer_images\2847098201", "Link")</f>
        <v/>
      </c>
      <c r="AT151" t="inlineStr">
        <is>
          <t>Friederike Kley</t>
        </is>
      </c>
      <c r="AU151" s="6">
        <f>HYPERLINK("https://www.kleinanzeigen.de/s-bestandsliste.html?userId=134594820", "Link")</f>
        <v/>
      </c>
      <c r="AV151" s="7" t="n">
        <v>45536.96826388889</v>
      </c>
      <c r="AW151" s="3" t="inlineStr">
        <is>
          <t>156.75</t>
        </is>
      </c>
      <c r="AX151" t="inlineStr">
        <is>
          <t>Köln</t>
        </is>
      </c>
      <c r="AY151" s="4" t="n">
        <v>499</v>
      </c>
      <c r="AZ151" t="inlineStr"/>
      <c r="BA151" t="inlineStr">
        <is>
          <t>33659 Bielefeld - Senne</t>
        </is>
      </c>
      <c r="BB151" s="5" t="n">
        <v>45530</v>
      </c>
      <c r="BC151" t="inlineStr">
        <is>
          <t>Sold</t>
        </is>
      </c>
      <c r="BD151" s="6">
        <f>HYPERLINK("https://www.kleinanzeigen.de/s-anzeige/windsurf-wind-foil-surffoiling-rigg-mit-segel-4-7qm-wie-neu/2847098201-230-1057", "Link")</f>
        <v/>
      </c>
      <c r="BE151" s="6">
        <f>HYPERLINK("C:\Projects\Kleinanzeigen-Scraper\offer_images\2847098201", "Link")</f>
        <v/>
      </c>
      <c r="BF151" t="inlineStr">
        <is>
          <t>Friederike Kley</t>
        </is>
      </c>
      <c r="BG151" s="6">
        <f>HYPERLINK("https://www.kleinanzeigen.de/s-bestandsliste.html?userId=134594820", "Link")</f>
        <v/>
      </c>
      <c r="BH151" s="7" t="n">
        <v>45536.96826388889</v>
      </c>
      <c r="BI151" s="3" t="inlineStr">
        <is>
          <t>156.75</t>
        </is>
      </c>
      <c r="BJ151" t="inlineStr">
        <is>
          <t>Köln</t>
        </is>
      </c>
    </row>
    <row r="152">
      <c r="A152" s="2" t="n">
        <v>4</v>
      </c>
      <c r="B152" t="inlineStr">
        <is>
          <t>GunSails Hammer</t>
        </is>
      </c>
      <c r="C152" s="3" t="inlineStr"/>
      <c r="D152" s="3" t="inlineStr"/>
      <c r="E152" t="inlineStr"/>
      <c r="F152" t="inlineStr"/>
      <c r="G152" t="inlineStr">
        <is>
          <t>used</t>
        </is>
      </c>
      <c r="H152" s="4" t="n">
        <v>190</v>
      </c>
      <c r="I152" t="inlineStr">
        <is>
          <t>VB</t>
        </is>
      </c>
      <c r="J152" t="inlineStr">
        <is>
          <t>14513 Brandenburg - Teltow</t>
        </is>
      </c>
      <c r="K152" s="5" t="n">
        <v>45532</v>
      </c>
      <c r="L152" t="inlineStr">
        <is>
          <t>Sold</t>
        </is>
      </c>
      <c r="M152" s="6">
        <f>HYPERLINK("https://www.kleinanzeigen.de/s-anzeige/gun-sails-hammer-4-0-komplettrigg-mast-gabel-windsurfen-segel/2848405133-230-7939", "Link")</f>
        <v/>
      </c>
      <c r="N152" s="6">
        <f>HYPERLINK("C:\Projects\Kleinanzeigen-Scraper\offer_images\2848405133", "Link")</f>
        <v/>
      </c>
      <c r="O152" t="inlineStr">
        <is>
          <t>Thomas</t>
        </is>
      </c>
      <c r="P152" s="6">
        <f>HYPERLINK("https://www.kleinanzeigen.de/s-bestandsliste.html?userId=25517038", "Link")</f>
        <v/>
      </c>
      <c r="Q152" s="7" t="n">
        <v>45536.96799768518</v>
      </c>
      <c r="R152" s="3" t="inlineStr">
        <is>
          <t>464.56</t>
        </is>
      </c>
      <c r="S152" t="inlineStr">
        <is>
          <t>Köln</t>
        </is>
      </c>
      <c r="T152" t="inlineStr">
        <is>
          <t>GunSails</t>
        </is>
      </c>
      <c r="U152" s="3" t="inlineStr"/>
      <c r="V152" s="8" t="inlineStr">
        <is>
          <t>55%</t>
        </is>
      </c>
      <c r="W152" t="inlineStr">
        <is>
          <t>SDM</t>
        </is>
      </c>
      <c r="X152" s="4" t="n">
        <v>190</v>
      </c>
      <c r="Y152" t="inlineStr">
        <is>
          <t>VB</t>
        </is>
      </c>
      <c r="Z152" t="inlineStr">
        <is>
          <t>14513 Brandenburg - Teltow</t>
        </is>
      </c>
      <c r="AA152" s="5" t="n">
        <v>45532</v>
      </c>
      <c r="AB152" t="inlineStr">
        <is>
          <t>Sold</t>
        </is>
      </c>
      <c r="AC152" s="6">
        <f>HYPERLINK("https://www.kleinanzeigen.de/s-anzeige/gun-sails-hammer-4-0-komplettrigg-mast-gabel-windsurfen-segel/2848405133-230-7939", "Link")</f>
        <v/>
      </c>
      <c r="AD152" s="6">
        <f>HYPERLINK("C:\Projects\Kleinanzeigen-Scraper\offer_images\2848405133", "Link")</f>
        <v/>
      </c>
      <c r="AE152" t="inlineStr">
        <is>
          <t>Thomas</t>
        </is>
      </c>
      <c r="AF152" s="6">
        <f>HYPERLINK("https://www.kleinanzeigen.de/s-bestandsliste.html?userId=25517038", "Link")</f>
        <v/>
      </c>
      <c r="AG152" s="7" t="n">
        <v>45536.96799768518</v>
      </c>
      <c r="AH152" s="3" t="inlineStr">
        <is>
          <t>464.56</t>
        </is>
      </c>
      <c r="AI152" t="inlineStr">
        <is>
          <t>Köln</t>
        </is>
      </c>
      <c r="AJ152" t="inlineStr">
        <is>
          <t>North</t>
        </is>
      </c>
      <c r="AK152" t="inlineStr"/>
      <c r="AL152" t="inlineStr"/>
      <c r="AM152" s="4" t="n">
        <v>190</v>
      </c>
      <c r="AN152" t="inlineStr">
        <is>
          <t>VB</t>
        </is>
      </c>
      <c r="AO152" t="inlineStr">
        <is>
          <t>14513 Brandenburg - Teltow</t>
        </is>
      </c>
      <c r="AP152" s="5" t="n">
        <v>45532</v>
      </c>
      <c r="AQ152" t="inlineStr">
        <is>
          <t>Sold</t>
        </is>
      </c>
      <c r="AR152" s="6">
        <f>HYPERLINK("https://www.kleinanzeigen.de/s-anzeige/gun-sails-hammer-4-0-komplettrigg-mast-gabel-windsurfen-segel/2848405133-230-7939", "Link")</f>
        <v/>
      </c>
      <c r="AS152" s="6">
        <f>HYPERLINK("C:\Projects\Kleinanzeigen-Scraper\offer_images\2848405133", "Link")</f>
        <v/>
      </c>
      <c r="AT152" t="inlineStr">
        <is>
          <t>Thomas</t>
        </is>
      </c>
      <c r="AU152" s="6">
        <f>HYPERLINK("https://www.kleinanzeigen.de/s-bestandsliste.html?userId=25517038", "Link")</f>
        <v/>
      </c>
      <c r="AV152" s="7" t="n">
        <v>45536.96799768518</v>
      </c>
      <c r="AW152" s="3" t="inlineStr">
        <is>
          <t>464.56</t>
        </is>
      </c>
      <c r="AX152" t="inlineStr">
        <is>
          <t>Köln</t>
        </is>
      </c>
      <c r="AY152" s="4" t="n">
        <v>190</v>
      </c>
      <c r="AZ152" t="inlineStr">
        <is>
          <t>VB</t>
        </is>
      </c>
      <c r="BA152" t="inlineStr">
        <is>
          <t>14513 Brandenburg - Teltow</t>
        </is>
      </c>
      <c r="BB152" s="5" t="n">
        <v>45532</v>
      </c>
      <c r="BC152" t="inlineStr">
        <is>
          <t>Sold</t>
        </is>
      </c>
      <c r="BD152" s="6">
        <f>HYPERLINK("https://www.kleinanzeigen.de/s-anzeige/gun-sails-hammer-4-0-komplettrigg-mast-gabel-windsurfen-segel/2848405133-230-7939", "Link")</f>
        <v/>
      </c>
      <c r="BE152" s="6">
        <f>HYPERLINK("C:\Projects\Kleinanzeigen-Scraper\offer_images\2848405133", "Link")</f>
        <v/>
      </c>
      <c r="BF152" t="inlineStr">
        <is>
          <t>Thomas</t>
        </is>
      </c>
      <c r="BG152" s="6">
        <f>HYPERLINK("https://www.kleinanzeigen.de/s-bestandsliste.html?userId=25517038", "Link")</f>
        <v/>
      </c>
      <c r="BH152" s="7" t="n">
        <v>45536.96799768518</v>
      </c>
      <c r="BI152" s="3" t="inlineStr">
        <is>
          <t>464.56</t>
        </is>
      </c>
      <c r="BJ152" t="inlineStr">
        <is>
          <t>Köln</t>
        </is>
      </c>
    </row>
    <row r="153">
      <c r="A153" s="2" t="n">
        <v>8.4</v>
      </c>
      <c r="B153" t="inlineStr">
        <is>
          <t>Duotone Warp</t>
        </is>
      </c>
      <c r="C153" s="3" t="inlineStr"/>
      <c r="D153" s="3" t="inlineStr"/>
      <c r="E153" t="inlineStr">
        <is>
          <t>Slalom</t>
        </is>
      </c>
      <c r="F153" t="inlineStr">
        <is>
          <t>2022</t>
        </is>
      </c>
      <c r="G153" t="inlineStr">
        <is>
          <t>used</t>
        </is>
      </c>
      <c r="H153" s="4" t="n">
        <v>1290</v>
      </c>
      <c r="I153" t="inlineStr"/>
      <c r="J153" t="inlineStr">
        <is>
          <t>13467 Berlin</t>
        </is>
      </c>
      <c r="K153" s="5" t="n">
        <v>45530</v>
      </c>
      <c r="L153" t="inlineStr">
        <is>
          <t>Sold</t>
        </is>
      </c>
      <c r="M153" s="6">
        <f>HYPERLINK("https://www.dailydose.de/kleinanzeigen/detail.htm?ai=421474&amp;cf=kk&amp;pg=5&amp;ci=5", "Link")</f>
        <v/>
      </c>
      <c r="N153" s="6">
        <f>HYPERLINK("C:\Projects\Kleinanzeigen-Scraper\offer_images\421474", "Link")</f>
        <v/>
      </c>
      <c r="O153" t="inlineStr">
        <is>
          <t>Dirk S.</t>
        </is>
      </c>
      <c r="P153" s="6">
        <f>HYPERLINK("https://www.dailydose.de/kleinanzeigen/user/7036", "Link")</f>
        <v/>
      </c>
      <c r="Q153" s="7" t="n">
        <v>45536.91415509259</v>
      </c>
      <c r="R153" s="3" t="inlineStr">
        <is>
          <t>474.84</t>
        </is>
      </c>
      <c r="S153" t="inlineStr">
        <is>
          <t>Köln</t>
        </is>
      </c>
      <c r="T153" t="inlineStr">
        <is>
          <t>Platinum Mast</t>
        </is>
      </c>
      <c r="U153" s="3" t="n">
        <v>490</v>
      </c>
      <c r="V153" s="8" t="inlineStr"/>
      <c r="W153" t="inlineStr"/>
      <c r="X153" s="4" t="n">
        <v>1290</v>
      </c>
      <c r="Y153" t="inlineStr"/>
      <c r="Z153" t="inlineStr">
        <is>
          <t>13467 Berlin</t>
        </is>
      </c>
      <c r="AA153" s="5" t="n">
        <v>45530</v>
      </c>
      <c r="AB153" t="inlineStr">
        <is>
          <t>Sold</t>
        </is>
      </c>
      <c r="AC153" s="6">
        <f>HYPERLINK("https://www.dailydose.de/kleinanzeigen/detail.htm?ai=421474&amp;cf=kk&amp;pg=5&amp;ci=5", "Link")</f>
        <v/>
      </c>
      <c r="AD153" s="6">
        <f>HYPERLINK("C:\Projects\Kleinanzeigen-Scraper\offer_images\421474", "Link")</f>
        <v/>
      </c>
      <c r="AE153" t="inlineStr">
        <is>
          <t>Dirk S.</t>
        </is>
      </c>
      <c r="AF153" s="6">
        <f>HYPERLINK("https://www.dailydose.de/kleinanzeigen/user/7036", "Link")</f>
        <v/>
      </c>
      <c r="AG153" s="7" t="n">
        <v>45536.91415509259</v>
      </c>
      <c r="AH153" s="3" t="inlineStr">
        <is>
          <t>474.84</t>
        </is>
      </c>
      <c r="AI153" t="inlineStr">
        <is>
          <t>Köln</t>
        </is>
      </c>
      <c r="AJ153" t="inlineStr"/>
      <c r="AK153" t="inlineStr"/>
      <c r="AL153" t="inlineStr"/>
      <c r="AM153" s="4" t="n">
        <v>1290</v>
      </c>
      <c r="AN153" t="inlineStr"/>
      <c r="AO153" t="inlineStr">
        <is>
          <t>13467 Berlin</t>
        </is>
      </c>
      <c r="AP153" s="5" t="n">
        <v>45530</v>
      </c>
      <c r="AQ153" t="inlineStr">
        <is>
          <t>Sold</t>
        </is>
      </c>
      <c r="AR153" s="6">
        <f>HYPERLINK("https://www.dailydose.de/kleinanzeigen/detail.htm?ai=421474&amp;cf=kk&amp;pg=5&amp;ci=5", "Link")</f>
        <v/>
      </c>
      <c r="AS153" s="6">
        <f>HYPERLINK("C:\Projects\Kleinanzeigen-Scraper\offer_images\421474", "Link")</f>
        <v/>
      </c>
      <c r="AT153" t="inlineStr">
        <is>
          <t>Dirk S.</t>
        </is>
      </c>
      <c r="AU153" s="6">
        <f>HYPERLINK("https://www.dailydose.de/kleinanzeigen/user/7036", "Link")</f>
        <v/>
      </c>
      <c r="AV153" s="7" t="n">
        <v>45536.91415509259</v>
      </c>
      <c r="AW153" s="3" t="inlineStr">
        <is>
          <t>474.84</t>
        </is>
      </c>
      <c r="AX153" t="inlineStr">
        <is>
          <t>Köln</t>
        </is>
      </c>
      <c r="AY153" s="4" t="n">
        <v>1290</v>
      </c>
      <c r="AZ153" t="inlineStr"/>
      <c r="BA153" t="inlineStr">
        <is>
          <t>13467 Berlin</t>
        </is>
      </c>
      <c r="BB153" s="5" t="n">
        <v>45530</v>
      </c>
      <c r="BC153" t="inlineStr">
        <is>
          <t>Sold</t>
        </is>
      </c>
      <c r="BD153" s="6">
        <f>HYPERLINK("https://www.dailydose.de/kleinanzeigen/detail.htm?ai=421474&amp;cf=kk&amp;pg=5&amp;ci=5", "Link")</f>
        <v/>
      </c>
      <c r="BE153" s="6">
        <f>HYPERLINK("C:\Projects\Kleinanzeigen-Scraper\offer_images\421474", "Link")</f>
        <v/>
      </c>
      <c r="BF153" t="inlineStr">
        <is>
          <t>Dirk S.</t>
        </is>
      </c>
      <c r="BG153" s="6">
        <f>HYPERLINK("https://www.dailydose.de/kleinanzeigen/user/7036", "Link")</f>
        <v/>
      </c>
      <c r="BH153" s="7" t="n">
        <v>45536.91415509259</v>
      </c>
      <c r="BI153" s="3" t="inlineStr">
        <is>
          <t>474.84</t>
        </is>
      </c>
      <c r="BJ153" t="inlineStr">
        <is>
          <t>Köln</t>
        </is>
      </c>
    </row>
    <row r="154">
      <c r="A154" s="2" t="n">
        <v>3.6</v>
      </c>
      <c r="B154" t="inlineStr">
        <is>
          <t>Gun Sails Loop</t>
        </is>
      </c>
      <c r="C154" s="3" t="inlineStr"/>
      <c r="D154" s="3" t="inlineStr"/>
      <c r="E154" t="inlineStr"/>
      <c r="F154" t="inlineStr"/>
      <c r="G154" t="inlineStr">
        <is>
          <t>used</t>
        </is>
      </c>
      <c r="H154" s="4" t="n">
        <v>420</v>
      </c>
      <c r="I154" t="inlineStr"/>
      <c r="J154" t="inlineStr">
        <is>
          <t>21423 Winsen (Luhe)</t>
        </is>
      </c>
      <c r="K154" s="5" t="n">
        <v>45536</v>
      </c>
      <c r="L154" t="inlineStr">
        <is>
          <t>Sold</t>
        </is>
      </c>
      <c r="M154" s="6">
        <f>HYPERLINK("https://www.dailydose.de/kleinanzeigen/detail.htm?ai=421891&amp;cf=kk&amp;pg=5&amp;ci=5", "Link")</f>
        <v/>
      </c>
      <c r="N154" s="6">
        <f>HYPERLINK("C:\Projects\Kleinanzeigen-Scraper\offer_images\421891", "Link")</f>
        <v/>
      </c>
      <c r="O154" t="inlineStr">
        <is>
          <t>Torsten_281</t>
        </is>
      </c>
      <c r="P154" s="6">
        <f>HYPERLINK("https://www.dailydose.de/kleinanzeigen/user/24189", "Link")</f>
        <v/>
      </c>
      <c r="Q154" s="7" t="n">
        <v>45536.91383101852</v>
      </c>
      <c r="R154" s="3" t="inlineStr">
        <is>
          <t>349.14</t>
        </is>
      </c>
      <c r="S154" t="inlineStr">
        <is>
          <t>Köln</t>
        </is>
      </c>
      <c r="T154" t="inlineStr"/>
      <c r="U154" s="3" t="inlineStr"/>
      <c r="V154" s="8" t="inlineStr"/>
      <c r="W154" t="inlineStr"/>
      <c r="X154" s="4" t="n">
        <v>420</v>
      </c>
      <c r="Y154" t="inlineStr"/>
      <c r="Z154" t="inlineStr">
        <is>
          <t>21423 Winsen (Luhe)</t>
        </is>
      </c>
      <c r="AA154" s="5" t="n">
        <v>45536</v>
      </c>
      <c r="AB154" t="inlineStr">
        <is>
          <t>Sold</t>
        </is>
      </c>
      <c r="AC154" s="6">
        <f>HYPERLINK("https://www.dailydose.de/kleinanzeigen/detail.htm?ai=421891&amp;cf=kk&amp;pg=5&amp;ci=5", "Link")</f>
        <v/>
      </c>
      <c r="AD154" s="6">
        <f>HYPERLINK("C:\Projects\Kleinanzeigen-Scraper\offer_images\421891", "Link")</f>
        <v/>
      </c>
      <c r="AE154" t="inlineStr">
        <is>
          <t>Torsten_281</t>
        </is>
      </c>
      <c r="AF154" s="6">
        <f>HYPERLINK("https://www.dailydose.de/kleinanzeigen/user/24189", "Link")</f>
        <v/>
      </c>
      <c r="AG154" s="7" t="n">
        <v>45536.91383101852</v>
      </c>
      <c r="AH154" s="3" t="inlineStr">
        <is>
          <t>349.14</t>
        </is>
      </c>
      <c r="AI154" t="inlineStr">
        <is>
          <t>Köln</t>
        </is>
      </c>
      <c r="AJ154" t="inlineStr"/>
      <c r="AK154" t="inlineStr"/>
      <c r="AL154" t="inlineStr"/>
      <c r="AM154" s="4" t="n">
        <v>420</v>
      </c>
      <c r="AN154" t="inlineStr"/>
      <c r="AO154" t="inlineStr">
        <is>
          <t>21423 Winsen (Luhe)</t>
        </is>
      </c>
      <c r="AP154" s="5" t="n">
        <v>45536</v>
      </c>
      <c r="AQ154" t="inlineStr">
        <is>
          <t>Sold</t>
        </is>
      </c>
      <c r="AR154" s="6">
        <f>HYPERLINK("https://www.dailydose.de/kleinanzeigen/detail.htm?ai=421891&amp;cf=kk&amp;pg=5&amp;ci=5", "Link")</f>
        <v/>
      </c>
      <c r="AS154" s="6">
        <f>HYPERLINK("C:\Projects\Kleinanzeigen-Scraper\offer_images\421891", "Link")</f>
        <v/>
      </c>
      <c r="AT154" t="inlineStr">
        <is>
          <t>Torsten_281</t>
        </is>
      </c>
      <c r="AU154" s="6">
        <f>HYPERLINK("https://www.dailydose.de/kleinanzeigen/user/24189", "Link")</f>
        <v/>
      </c>
      <c r="AV154" s="7" t="n">
        <v>45536.91383101852</v>
      </c>
      <c r="AW154" s="3" t="inlineStr">
        <is>
          <t>349.14</t>
        </is>
      </c>
      <c r="AX154" t="inlineStr">
        <is>
          <t>Köln</t>
        </is>
      </c>
      <c r="AY154" s="4" t="n">
        <v>420</v>
      </c>
      <c r="AZ154" t="inlineStr"/>
      <c r="BA154" t="inlineStr">
        <is>
          <t>21423 Winsen (Luhe)</t>
        </is>
      </c>
      <c r="BB154" s="5" t="n">
        <v>45536</v>
      </c>
      <c r="BC154" t="inlineStr">
        <is>
          <t>Sold</t>
        </is>
      </c>
      <c r="BD154" s="6">
        <f>HYPERLINK("https://www.dailydose.de/kleinanzeigen/detail.htm?ai=421891&amp;cf=kk&amp;pg=5&amp;ci=5", "Link")</f>
        <v/>
      </c>
      <c r="BE154" s="6">
        <f>HYPERLINK("C:\Projects\Kleinanzeigen-Scraper\offer_images\421891", "Link")</f>
        <v/>
      </c>
      <c r="BF154" t="inlineStr">
        <is>
          <t>Torsten_281</t>
        </is>
      </c>
      <c r="BG154" s="6">
        <f>HYPERLINK("https://www.dailydose.de/kleinanzeigen/user/24189", "Link")</f>
        <v/>
      </c>
      <c r="BH154" s="7" t="n">
        <v>45536.91383101852</v>
      </c>
      <c r="BI154" s="3" t="inlineStr">
        <is>
          <t>349.14</t>
        </is>
      </c>
      <c r="BJ154" t="inlineStr">
        <is>
          <t>Köln</t>
        </is>
      </c>
    </row>
    <row r="155">
      <c r="A155" s="2" t="n">
        <v>8.199999999999999</v>
      </c>
      <c r="B155" t="inlineStr">
        <is>
          <t>S2Maui Wicked</t>
        </is>
      </c>
      <c r="C155" s="3" t="n">
        <v>489</v>
      </c>
      <c r="D155" s="3" t="n">
        <v>224</v>
      </c>
      <c r="E155" t="inlineStr">
        <is>
          <t>Freerace</t>
        </is>
      </c>
      <c r="F155" t="inlineStr"/>
      <c r="G155" t="inlineStr">
        <is>
          <t>used</t>
        </is>
      </c>
      <c r="H155" s="4" t="n">
        <v>390</v>
      </c>
      <c r="I155" t="inlineStr"/>
      <c r="J155" t="inlineStr">
        <is>
          <t>86551 Aichach</t>
        </is>
      </c>
      <c r="K155" s="5" t="n">
        <v>45529</v>
      </c>
      <c r="L155" t="inlineStr">
        <is>
          <t>Sold</t>
        </is>
      </c>
      <c r="M155" s="6">
        <f>HYPERLINK("https://www.dailydose.de/kleinanzeigen/detail.htm?ai=421389&amp;cf=kk&amp;pg=5&amp;ci=5", "Link")</f>
        <v/>
      </c>
      <c r="N155" s="6">
        <f>HYPERLINK("C:\Projects\Kleinanzeigen-Scraper\offer_images\421389", "Link")</f>
        <v/>
      </c>
      <c r="O155" t="inlineStr">
        <is>
          <t>Jürgen</t>
        </is>
      </c>
      <c r="P155" s="6">
        <f>HYPERLINK("https://www.dailydose.de/kleinanzeigen/user/25672", "Link")</f>
        <v/>
      </c>
      <c r="Q155" s="7" t="n">
        <v>45536.91354166667</v>
      </c>
      <c r="R155" s="3" t="inlineStr">
        <is>
          <t>47.87</t>
        </is>
      </c>
      <c r="S155" t="inlineStr">
        <is>
          <t>München</t>
        </is>
      </c>
      <c r="T155" t="inlineStr">
        <is>
          <t>Neil Pryde CK95 and X9</t>
        </is>
      </c>
      <c r="U155" s="3" t="inlineStr">
        <is>
          <t>460 and 490</t>
        </is>
      </c>
      <c r="V155" s="8" t="inlineStr"/>
      <c r="W155" t="inlineStr"/>
      <c r="X155" s="4" t="n">
        <v>390</v>
      </c>
      <c r="Y155" t="inlineStr"/>
      <c r="Z155" t="inlineStr">
        <is>
          <t>86551 Aichach</t>
        </is>
      </c>
      <c r="AA155" s="5" t="n">
        <v>45529</v>
      </c>
      <c r="AB155" t="inlineStr">
        <is>
          <t>Sold</t>
        </is>
      </c>
      <c r="AC155" s="6">
        <f>HYPERLINK("https://www.dailydose.de/kleinanzeigen/detail.htm?ai=421389&amp;cf=kk&amp;pg=5&amp;ci=5", "Link")</f>
        <v/>
      </c>
      <c r="AD155" s="6">
        <f>HYPERLINK("C:\Projects\Kleinanzeigen-Scraper\offer_images\421389", "Link")</f>
        <v/>
      </c>
      <c r="AE155" t="inlineStr">
        <is>
          <t>Jürgen</t>
        </is>
      </c>
      <c r="AF155" s="6">
        <f>HYPERLINK("https://www.dailydose.de/kleinanzeigen/user/25672", "Link")</f>
        <v/>
      </c>
      <c r="AG155" s="7" t="n">
        <v>45536.91354166667</v>
      </c>
      <c r="AH155" s="3" t="inlineStr">
        <is>
          <t>47.87</t>
        </is>
      </c>
      <c r="AI155" t="inlineStr">
        <is>
          <t>München</t>
        </is>
      </c>
      <c r="AJ155" t="inlineStr">
        <is>
          <t>North Power XT</t>
        </is>
      </c>
      <c r="AK155" t="inlineStr"/>
      <c r="AL155" t="inlineStr"/>
      <c r="AM155" s="4" t="n">
        <v>390</v>
      </c>
      <c r="AN155" t="inlineStr"/>
      <c r="AO155" t="inlineStr">
        <is>
          <t>86551 Aichach</t>
        </is>
      </c>
      <c r="AP155" s="5" t="n">
        <v>45529</v>
      </c>
      <c r="AQ155" t="inlineStr">
        <is>
          <t>Sold</t>
        </is>
      </c>
      <c r="AR155" s="6">
        <f>HYPERLINK("https://www.dailydose.de/kleinanzeigen/detail.htm?ai=421389&amp;cf=kk&amp;pg=5&amp;ci=5", "Link")</f>
        <v/>
      </c>
      <c r="AS155" s="6">
        <f>HYPERLINK("C:\Projects\Kleinanzeigen-Scraper\offer_images\421389", "Link")</f>
        <v/>
      </c>
      <c r="AT155" t="inlineStr">
        <is>
          <t>Jürgen</t>
        </is>
      </c>
      <c r="AU155" s="6">
        <f>HYPERLINK("https://www.dailydose.de/kleinanzeigen/user/25672", "Link")</f>
        <v/>
      </c>
      <c r="AV155" s="7" t="n">
        <v>45536.91354166667</v>
      </c>
      <c r="AW155" s="3" t="inlineStr">
        <is>
          <t>47.87</t>
        </is>
      </c>
      <c r="AX155" t="inlineStr">
        <is>
          <t>München</t>
        </is>
      </c>
      <c r="AY155" s="4" t="n">
        <v>390</v>
      </c>
      <c r="AZ155" t="inlineStr"/>
      <c r="BA155" t="inlineStr">
        <is>
          <t>86551 Aichach</t>
        </is>
      </c>
      <c r="BB155" s="5" t="n">
        <v>45529</v>
      </c>
      <c r="BC155" t="inlineStr">
        <is>
          <t>Sold</t>
        </is>
      </c>
      <c r="BD155" s="6">
        <f>HYPERLINK("https://www.dailydose.de/kleinanzeigen/detail.htm?ai=421389&amp;cf=kk&amp;pg=5&amp;ci=5", "Link")</f>
        <v/>
      </c>
      <c r="BE155" s="6">
        <f>HYPERLINK("C:\Projects\Kleinanzeigen-Scraper\offer_images\421389", "Link")</f>
        <v/>
      </c>
      <c r="BF155" t="inlineStr">
        <is>
          <t>Jürgen</t>
        </is>
      </c>
      <c r="BG155" s="6">
        <f>HYPERLINK("https://www.dailydose.de/kleinanzeigen/user/25672", "Link")</f>
        <v/>
      </c>
      <c r="BH155" s="7" t="n">
        <v>45536.91354166667</v>
      </c>
      <c r="BI155" s="3" t="inlineStr">
        <is>
          <t>47.87</t>
        </is>
      </c>
      <c r="BJ155" t="inlineStr">
        <is>
          <t>München</t>
        </is>
      </c>
    </row>
    <row r="156">
      <c r="A156" s="2" t="n">
        <v>6</v>
      </c>
      <c r="B156" t="inlineStr">
        <is>
          <t>Gaastra CHARGER</t>
        </is>
      </c>
      <c r="C156" s="3" t="inlineStr"/>
      <c r="D156" s="3" t="inlineStr"/>
      <c r="E156" t="inlineStr">
        <is>
          <t>Freeride</t>
        </is>
      </c>
      <c r="F156" t="inlineStr"/>
      <c r="G156" t="inlineStr">
        <is>
          <t>used</t>
        </is>
      </c>
      <c r="H156" s="4" t="n">
        <v>150</v>
      </c>
      <c r="I156" t="inlineStr">
        <is>
          <t>VB</t>
        </is>
      </c>
      <c r="J156" t="inlineStr">
        <is>
          <t>23769 Fehmarn</t>
        </is>
      </c>
      <c r="K156" s="5" t="n">
        <v>45528</v>
      </c>
      <c r="L156" t="inlineStr">
        <is>
          <t>Sold</t>
        </is>
      </c>
      <c r="M156" s="6">
        <f>HYPERLINK("https://www.dailydose.de/kleinanzeigen/detail.htm?ai=421339&amp;cf=kk&amp;pg=5&amp;ci=5", "Link")</f>
        <v/>
      </c>
      <c r="N156" s="6">
        <f>HYPERLINK("C:\Projects\Kleinanzeigen-Scraper\offer_images\421339", "Link")</f>
        <v/>
      </c>
      <c r="O156" t="inlineStr">
        <is>
          <t>Insider</t>
        </is>
      </c>
      <c r="P156" s="6">
        <f>HYPERLINK("https://www.dailydose.de/kleinanzeigen/user/20603", "Link")</f>
        <v/>
      </c>
      <c r="Q156" s="7" t="n">
        <v>45536.91350694445</v>
      </c>
      <c r="R156" s="3" t="inlineStr">
        <is>
          <t>483.01</t>
        </is>
      </c>
      <c r="S156" t="inlineStr">
        <is>
          <t>Köln</t>
        </is>
      </c>
      <c r="T156" t="inlineStr">
        <is>
          <t>North XC 40</t>
        </is>
      </c>
      <c r="U156" s="3" t="inlineStr"/>
      <c r="V156" s="8" t="inlineStr">
        <is>
          <t>40%</t>
        </is>
      </c>
      <c r="W156" t="inlineStr">
        <is>
          <t>SDM</t>
        </is>
      </c>
      <c r="X156" s="4" t="n">
        <v>150</v>
      </c>
      <c r="Y156" t="inlineStr">
        <is>
          <t>VB</t>
        </is>
      </c>
      <c r="Z156" t="inlineStr">
        <is>
          <t>23769 Fehmarn</t>
        </is>
      </c>
      <c r="AA156" s="5" t="n">
        <v>45528</v>
      </c>
      <c r="AB156" t="inlineStr">
        <is>
          <t>Sold</t>
        </is>
      </c>
      <c r="AC156" s="6">
        <f>HYPERLINK("https://www.dailydose.de/kleinanzeigen/detail.htm?ai=421339&amp;cf=kk&amp;pg=5&amp;ci=5", "Link")</f>
        <v/>
      </c>
      <c r="AD156" s="6">
        <f>HYPERLINK("C:\Projects\Kleinanzeigen-Scraper\offer_images\421339", "Link")</f>
        <v/>
      </c>
      <c r="AE156" t="inlineStr">
        <is>
          <t>Insider</t>
        </is>
      </c>
      <c r="AF156" s="6">
        <f>HYPERLINK("https://www.dailydose.de/kleinanzeigen/user/20603", "Link")</f>
        <v/>
      </c>
      <c r="AG156" s="7" t="n">
        <v>45536.91350694445</v>
      </c>
      <c r="AH156" s="3" t="inlineStr">
        <is>
          <t>483.01</t>
        </is>
      </c>
      <c r="AI156" t="inlineStr">
        <is>
          <t>Köln</t>
        </is>
      </c>
      <c r="AJ156" t="inlineStr">
        <is>
          <t>Pro Limit</t>
        </is>
      </c>
      <c r="AK156" t="inlineStr">
        <is>
          <t>137-198</t>
        </is>
      </c>
      <c r="AL156" t="inlineStr"/>
      <c r="AM156" s="4" t="n">
        <v>150</v>
      </c>
      <c r="AN156" t="inlineStr">
        <is>
          <t>VB</t>
        </is>
      </c>
      <c r="AO156" t="inlineStr">
        <is>
          <t>23769 Fehmarn</t>
        </is>
      </c>
      <c r="AP156" s="5" t="n">
        <v>45528</v>
      </c>
      <c r="AQ156" t="inlineStr">
        <is>
          <t>Sold</t>
        </is>
      </c>
      <c r="AR156" s="6">
        <f>HYPERLINK("https://www.dailydose.de/kleinanzeigen/detail.htm?ai=421339&amp;cf=kk&amp;pg=5&amp;ci=5", "Link")</f>
        <v/>
      </c>
      <c r="AS156" s="6">
        <f>HYPERLINK("C:\Projects\Kleinanzeigen-Scraper\offer_images\421339", "Link")</f>
        <v/>
      </c>
      <c r="AT156" t="inlineStr">
        <is>
          <t>Insider</t>
        </is>
      </c>
      <c r="AU156" s="6">
        <f>HYPERLINK("https://www.dailydose.de/kleinanzeigen/user/20603", "Link")</f>
        <v/>
      </c>
      <c r="AV156" s="7" t="n">
        <v>45536.91350694445</v>
      </c>
      <c r="AW156" s="3" t="inlineStr">
        <is>
          <t>483.01</t>
        </is>
      </c>
      <c r="AX156" t="inlineStr">
        <is>
          <t>Köln</t>
        </is>
      </c>
      <c r="AY156" s="4" t="n">
        <v>150</v>
      </c>
      <c r="AZ156" t="inlineStr">
        <is>
          <t>VB</t>
        </is>
      </c>
      <c r="BA156" t="inlineStr">
        <is>
          <t>23769 Fehmarn</t>
        </is>
      </c>
      <c r="BB156" s="5" t="n">
        <v>45528</v>
      </c>
      <c r="BC156" t="inlineStr">
        <is>
          <t>Sold</t>
        </is>
      </c>
      <c r="BD156" s="6">
        <f>HYPERLINK("https://www.dailydose.de/kleinanzeigen/detail.htm?ai=421339&amp;cf=kk&amp;pg=5&amp;ci=5", "Link")</f>
        <v/>
      </c>
      <c r="BE156" s="6">
        <f>HYPERLINK("C:\Projects\Kleinanzeigen-Scraper\offer_images\421339", "Link")</f>
        <v/>
      </c>
      <c r="BF156" t="inlineStr">
        <is>
          <t>Insider</t>
        </is>
      </c>
      <c r="BG156" s="6">
        <f>HYPERLINK("https://www.dailydose.de/kleinanzeigen/user/20603", "Link")</f>
        <v/>
      </c>
      <c r="BH156" s="7" t="n">
        <v>45536.91350694445</v>
      </c>
      <c r="BI156" s="3" t="inlineStr">
        <is>
          <t>483.01</t>
        </is>
      </c>
      <c r="BJ156" t="inlineStr">
        <is>
          <t>Köln</t>
        </is>
      </c>
    </row>
    <row r="157">
      <c r="A157" s="2" t="n">
        <v>6.7</v>
      </c>
      <c r="B157" t="inlineStr">
        <is>
          <t>Neil Pryde Hellcat</t>
        </is>
      </c>
      <c r="C157" s="3" t="n">
        <v>430</v>
      </c>
      <c r="D157" s="3" t="n">
        <v>189</v>
      </c>
      <c r="E157" t="inlineStr"/>
      <c r="F157" t="inlineStr"/>
      <c r="G157" t="inlineStr">
        <is>
          <t>used</t>
        </is>
      </c>
      <c r="H157" s="4" t="n">
        <v>290</v>
      </c>
      <c r="I157" t="inlineStr"/>
      <c r="J157" t="inlineStr">
        <is>
          <t>45772 Nordrhein-Westfalen - Marl</t>
        </is>
      </c>
      <c r="K157" s="5" t="n">
        <v>45531</v>
      </c>
      <c r="L157" t="inlineStr">
        <is>
          <t>Sold</t>
        </is>
      </c>
      <c r="M157" s="6">
        <f>HYPERLINK("https://www.dailydose.de/kleinanzeigen/detail.htm?ai=421617&amp;cf=kk&amp;pg=5&amp;ci=5", "Link")</f>
        <v/>
      </c>
      <c r="N157" s="6">
        <f>HYPERLINK("C:\Projects\Kleinanzeigen-Scraper\offer_images\421617", "Link")</f>
        <v/>
      </c>
      <c r="O157" t="inlineStr">
        <is>
          <t>margarethe_22</t>
        </is>
      </c>
      <c r="P157" s="6">
        <f>HYPERLINK("https://www.dailydose.de/kleinanzeigen/user/15510", "Link")</f>
        <v/>
      </c>
      <c r="Q157" s="7" t="n">
        <v>45536.91201388889</v>
      </c>
      <c r="R157" s="3" t="inlineStr">
        <is>
          <t>84.29</t>
        </is>
      </c>
      <c r="S157" t="inlineStr">
        <is>
          <t>Köln</t>
        </is>
      </c>
      <c r="T157" t="inlineStr">
        <is>
          <t>NP Matrix X6</t>
        </is>
      </c>
      <c r="U157" s="3" t="n">
        <v>430</v>
      </c>
      <c r="V157" s="8" t="inlineStr"/>
      <c r="W157" t="inlineStr"/>
      <c r="X157" s="4" t="n">
        <v>290</v>
      </c>
      <c r="Y157" t="inlineStr"/>
      <c r="Z157" t="inlineStr">
        <is>
          <t>45772 Nordrhein-Westfalen - Marl</t>
        </is>
      </c>
      <c r="AA157" s="5" t="n">
        <v>45531</v>
      </c>
      <c r="AB157" t="inlineStr">
        <is>
          <t>Sold</t>
        </is>
      </c>
      <c r="AC157" s="6">
        <f>HYPERLINK("https://www.dailydose.de/kleinanzeigen/detail.htm?ai=421617&amp;cf=kk&amp;pg=5&amp;ci=5", "Link")</f>
        <v/>
      </c>
      <c r="AD157" s="6">
        <f>HYPERLINK("C:\Projects\Kleinanzeigen-Scraper\offer_images\421617", "Link")</f>
        <v/>
      </c>
      <c r="AE157" t="inlineStr">
        <is>
          <t>margarethe_22</t>
        </is>
      </c>
      <c r="AF157" s="6">
        <f>HYPERLINK("https://www.dailydose.de/kleinanzeigen/user/15510", "Link")</f>
        <v/>
      </c>
      <c r="AG157" s="7" t="n">
        <v>45536.91201388889</v>
      </c>
      <c r="AH157" s="3" t="inlineStr">
        <is>
          <t>84.29</t>
        </is>
      </c>
      <c r="AI157" t="inlineStr">
        <is>
          <t>Köln</t>
        </is>
      </c>
      <c r="AJ157" t="inlineStr">
        <is>
          <t>NP X3</t>
        </is>
      </c>
      <c r="AK157" t="inlineStr"/>
      <c r="AL157" t="inlineStr"/>
      <c r="AM157" s="4" t="n">
        <v>290</v>
      </c>
      <c r="AN157" t="inlineStr"/>
      <c r="AO157" t="inlineStr">
        <is>
          <t>45772 Nordrhein-Westfalen - Marl</t>
        </is>
      </c>
      <c r="AP157" s="5" t="n">
        <v>45531</v>
      </c>
      <c r="AQ157" t="inlineStr">
        <is>
          <t>Sold</t>
        </is>
      </c>
      <c r="AR157" s="6">
        <f>HYPERLINK("https://www.dailydose.de/kleinanzeigen/detail.htm?ai=421617&amp;cf=kk&amp;pg=5&amp;ci=5", "Link")</f>
        <v/>
      </c>
      <c r="AS157" s="6">
        <f>HYPERLINK("C:\Projects\Kleinanzeigen-Scraper\offer_images\421617", "Link")</f>
        <v/>
      </c>
      <c r="AT157" t="inlineStr">
        <is>
          <t>margarethe_22</t>
        </is>
      </c>
      <c r="AU157" s="6">
        <f>HYPERLINK("https://www.dailydose.de/kleinanzeigen/user/15510", "Link")</f>
        <v/>
      </c>
      <c r="AV157" s="7" t="n">
        <v>45536.91201388889</v>
      </c>
      <c r="AW157" s="3" t="inlineStr">
        <is>
          <t>84.29</t>
        </is>
      </c>
      <c r="AX157" t="inlineStr">
        <is>
          <t>Köln</t>
        </is>
      </c>
      <c r="AY157" s="4" t="n">
        <v>290</v>
      </c>
      <c r="AZ157" t="inlineStr"/>
      <c r="BA157" t="inlineStr">
        <is>
          <t>45772 Nordrhein-Westfalen - Marl</t>
        </is>
      </c>
      <c r="BB157" s="5" t="n">
        <v>45531</v>
      </c>
      <c r="BC157" t="inlineStr">
        <is>
          <t>Sold</t>
        </is>
      </c>
      <c r="BD157" s="6">
        <f>HYPERLINK("https://www.dailydose.de/kleinanzeigen/detail.htm?ai=421617&amp;cf=kk&amp;pg=5&amp;ci=5", "Link")</f>
        <v/>
      </c>
      <c r="BE157" s="6">
        <f>HYPERLINK("C:\Projects\Kleinanzeigen-Scraper\offer_images\421617", "Link")</f>
        <v/>
      </c>
      <c r="BF157" t="inlineStr">
        <is>
          <t>margarethe_22</t>
        </is>
      </c>
      <c r="BG157" s="6">
        <f>HYPERLINK("https://www.dailydose.de/kleinanzeigen/user/15510", "Link")</f>
        <v/>
      </c>
      <c r="BH157" s="7" t="n">
        <v>45536.91201388889</v>
      </c>
      <c r="BI157" s="3" t="inlineStr">
        <is>
          <t>84.29</t>
        </is>
      </c>
      <c r="BJ157" t="inlineStr">
        <is>
          <t>Köln</t>
        </is>
      </c>
    </row>
    <row r="158">
      <c r="A158" s="2" t="n">
        <v>8.6</v>
      </c>
      <c r="B158" t="inlineStr">
        <is>
          <t>Severne Mach 4</t>
        </is>
      </c>
      <c r="C158" s="3" t="inlineStr"/>
      <c r="D158" s="3" t="inlineStr"/>
      <c r="E158" t="inlineStr"/>
      <c r="F158" t="inlineStr"/>
      <c r="G158" t="inlineStr">
        <is>
          <t>used</t>
        </is>
      </c>
      <c r="H158" s="4" t="n">
        <v>123</v>
      </c>
      <c r="I158" t="inlineStr"/>
      <c r="J158" t="inlineStr">
        <is>
          <t>59519 Möhnesee</t>
        </is>
      </c>
      <c r="K158" s="5" t="n">
        <v>45530</v>
      </c>
      <c r="L158" t="inlineStr">
        <is>
          <t>Sold</t>
        </is>
      </c>
      <c r="M158" s="6">
        <f>HYPERLINK("https://www.dailydose.de/kleinanzeigen/detail.htm?ai=421500&amp;cf=kk&amp;pg=5&amp;ci=5", "Link")</f>
        <v/>
      </c>
      <c r="N158" s="6">
        <f>HYPERLINK("C:\Projects\Kleinanzeigen-Scraper\offer_images\421500", "Link")</f>
        <v/>
      </c>
      <c r="O158" t="inlineStr">
        <is>
          <t>Ralf_59</t>
        </is>
      </c>
      <c r="P158" s="6">
        <f>HYPERLINK("https://www.dailydose.de/kleinanzeigen/user/19504", "Link")</f>
        <v/>
      </c>
      <c r="Q158" s="7" t="n">
        <v>45536.91182870371</v>
      </c>
      <c r="R158" s="3" t="inlineStr">
        <is>
          <t>101.02</t>
        </is>
      </c>
      <c r="S158" t="inlineStr">
        <is>
          <t>Köln</t>
        </is>
      </c>
      <c r="T158" t="inlineStr">
        <is>
          <t>Severne Apex Pro</t>
        </is>
      </c>
      <c r="U158" s="3" t="n">
        <v>490</v>
      </c>
      <c r="V158" s="8" t="inlineStr"/>
      <c r="W158" t="inlineStr"/>
      <c r="X158" s="4" t="n">
        <v>123</v>
      </c>
      <c r="Y158" t="inlineStr"/>
      <c r="Z158" t="inlineStr">
        <is>
          <t>59519 Möhnesee</t>
        </is>
      </c>
      <c r="AA158" s="5" t="n">
        <v>45530</v>
      </c>
      <c r="AB158" t="inlineStr">
        <is>
          <t>Sold</t>
        </is>
      </c>
      <c r="AC158" s="6">
        <f>HYPERLINK("https://www.dailydose.de/kleinanzeigen/detail.htm?ai=421500&amp;cf=kk&amp;pg=5&amp;ci=5", "Link")</f>
        <v/>
      </c>
      <c r="AD158" s="6">
        <f>HYPERLINK("C:\Projects\Kleinanzeigen-Scraper\offer_images\421500", "Link")</f>
        <v/>
      </c>
      <c r="AE158" t="inlineStr">
        <is>
          <t>Ralf_59</t>
        </is>
      </c>
      <c r="AF158" s="6">
        <f>HYPERLINK("https://www.dailydose.de/kleinanzeigen/user/19504", "Link")</f>
        <v/>
      </c>
      <c r="AG158" s="7" t="n">
        <v>45536.91182870371</v>
      </c>
      <c r="AH158" s="3" t="inlineStr">
        <is>
          <t>101.02</t>
        </is>
      </c>
      <c r="AI158" t="inlineStr">
        <is>
          <t>Köln</t>
        </is>
      </c>
      <c r="AJ158" t="inlineStr"/>
      <c r="AK158" t="inlineStr"/>
      <c r="AL158" t="inlineStr"/>
      <c r="AM158" s="4" t="n">
        <v>123</v>
      </c>
      <c r="AN158" t="inlineStr"/>
      <c r="AO158" t="inlineStr">
        <is>
          <t>59519 Möhnesee</t>
        </is>
      </c>
      <c r="AP158" s="5" t="n">
        <v>45530</v>
      </c>
      <c r="AQ158" t="inlineStr">
        <is>
          <t>Sold</t>
        </is>
      </c>
      <c r="AR158" s="6">
        <f>HYPERLINK("https://www.dailydose.de/kleinanzeigen/detail.htm?ai=421500&amp;cf=kk&amp;pg=5&amp;ci=5", "Link")</f>
        <v/>
      </c>
      <c r="AS158" s="6">
        <f>HYPERLINK("C:\Projects\Kleinanzeigen-Scraper\offer_images\421500", "Link")</f>
        <v/>
      </c>
      <c r="AT158" t="inlineStr">
        <is>
          <t>Ralf_59</t>
        </is>
      </c>
      <c r="AU158" s="6">
        <f>HYPERLINK("https://www.dailydose.de/kleinanzeigen/user/19504", "Link")</f>
        <v/>
      </c>
      <c r="AV158" s="7" t="n">
        <v>45536.91182870371</v>
      </c>
      <c r="AW158" s="3" t="inlineStr">
        <is>
          <t>101.02</t>
        </is>
      </c>
      <c r="AX158" t="inlineStr">
        <is>
          <t>Köln</t>
        </is>
      </c>
      <c r="AY158" s="4" t="n">
        <v>123</v>
      </c>
      <c r="AZ158" t="inlineStr"/>
      <c r="BA158" t="inlineStr">
        <is>
          <t>59519 Möhnesee</t>
        </is>
      </c>
      <c r="BB158" s="5" t="n">
        <v>45530</v>
      </c>
      <c r="BC158" t="inlineStr">
        <is>
          <t>Sold</t>
        </is>
      </c>
      <c r="BD158" s="6">
        <f>HYPERLINK("https://www.dailydose.de/kleinanzeigen/detail.htm?ai=421500&amp;cf=kk&amp;pg=5&amp;ci=5", "Link")</f>
        <v/>
      </c>
      <c r="BE158" s="6">
        <f>HYPERLINK("C:\Projects\Kleinanzeigen-Scraper\offer_images\421500", "Link")</f>
        <v/>
      </c>
      <c r="BF158" t="inlineStr">
        <is>
          <t>Ralf_59</t>
        </is>
      </c>
      <c r="BG158" s="6">
        <f>HYPERLINK("https://www.dailydose.de/kleinanzeigen/user/19504", "Link")</f>
        <v/>
      </c>
      <c r="BH158" s="7" t="n">
        <v>45536.91182870371</v>
      </c>
      <c r="BI158" s="3" t="inlineStr">
        <is>
          <t>101.02</t>
        </is>
      </c>
      <c r="BJ158" t="inlineStr">
        <is>
          <t>Köln</t>
        </is>
      </c>
    </row>
    <row r="159">
      <c r="A159" s="2" t="n">
        <v>7.8</v>
      </c>
      <c r="B159" t="inlineStr">
        <is>
          <t>Duotone Warp</t>
        </is>
      </c>
      <c r="C159" s="3" t="n">
        <v>460</v>
      </c>
      <c r="D159" s="3" t="inlineStr"/>
      <c r="E159" t="inlineStr">
        <is>
          <t>Slalom</t>
        </is>
      </c>
      <c r="F159" t="inlineStr">
        <is>
          <t>2022</t>
        </is>
      </c>
      <c r="G159" t="inlineStr">
        <is>
          <t>new</t>
        </is>
      </c>
      <c r="H159" s="4" t="n">
        <v>1390</v>
      </c>
      <c r="I159" t="inlineStr"/>
      <c r="J159" t="inlineStr">
        <is>
          <t>13467 Berlin</t>
        </is>
      </c>
      <c r="K159" s="5" t="n">
        <v>45530</v>
      </c>
      <c r="L159" t="inlineStr">
        <is>
          <t>Sold</t>
        </is>
      </c>
      <c r="M159" s="6">
        <f>HYPERLINK("https://www.dailydose.de/kleinanzeigen/detail.htm?ai=421473&amp;cf=kk&amp;pg=5&amp;ci=5", "Link")</f>
        <v/>
      </c>
      <c r="N159" s="6">
        <f>HYPERLINK("C:\Projects\Kleinanzeigen-Scraper\offer_images\421473", "Link")</f>
        <v/>
      </c>
      <c r="O159" t="inlineStr">
        <is>
          <t>Dirk S.</t>
        </is>
      </c>
      <c r="P159" s="6">
        <f>HYPERLINK("https://www.dailydose.de/kleinanzeigen/user/7036", "Link")</f>
        <v/>
      </c>
      <c r="Q159" s="7" t="n">
        <v>45536.91164351852</v>
      </c>
      <c r="R159" s="3" t="inlineStr">
        <is>
          <t>474.84</t>
        </is>
      </c>
      <c r="S159" t="inlineStr">
        <is>
          <t>Köln</t>
        </is>
      </c>
      <c r="T159" t="inlineStr">
        <is>
          <t>Platinum</t>
        </is>
      </c>
      <c r="U159" s="3" t="n">
        <v>460</v>
      </c>
      <c r="V159" s="8" t="inlineStr"/>
      <c r="W159" t="inlineStr"/>
      <c r="X159" s="4" t="n">
        <v>1390</v>
      </c>
      <c r="Y159" t="inlineStr"/>
      <c r="Z159" t="inlineStr">
        <is>
          <t>13467 Berlin</t>
        </is>
      </c>
      <c r="AA159" s="5" t="n">
        <v>45530</v>
      </c>
      <c r="AB159" t="inlineStr">
        <is>
          <t>Sold</t>
        </is>
      </c>
      <c r="AC159" s="6">
        <f>HYPERLINK("https://www.dailydose.de/kleinanzeigen/detail.htm?ai=421473&amp;cf=kk&amp;pg=5&amp;ci=5", "Link")</f>
        <v/>
      </c>
      <c r="AD159" s="6">
        <f>HYPERLINK("C:\Projects\Kleinanzeigen-Scraper\offer_images\421473", "Link")</f>
        <v/>
      </c>
      <c r="AE159" t="inlineStr">
        <is>
          <t>Dirk S.</t>
        </is>
      </c>
      <c r="AF159" s="6">
        <f>HYPERLINK("https://www.dailydose.de/kleinanzeigen/user/7036", "Link")</f>
        <v/>
      </c>
      <c r="AG159" s="7" t="n">
        <v>45536.91164351852</v>
      </c>
      <c r="AH159" s="3" t="inlineStr">
        <is>
          <t>474.84</t>
        </is>
      </c>
      <c r="AI159" t="inlineStr">
        <is>
          <t>Köln</t>
        </is>
      </c>
      <c r="AJ159" t="inlineStr"/>
      <c r="AK159" t="inlineStr"/>
      <c r="AL159" t="inlineStr"/>
      <c r="AM159" s="4" t="n">
        <v>1390</v>
      </c>
      <c r="AN159" t="inlineStr"/>
      <c r="AO159" t="inlineStr">
        <is>
          <t>13467 Berlin</t>
        </is>
      </c>
      <c r="AP159" s="5" t="n">
        <v>45530</v>
      </c>
      <c r="AQ159" t="inlineStr">
        <is>
          <t>Sold</t>
        </is>
      </c>
      <c r="AR159" s="6">
        <f>HYPERLINK("https://www.dailydose.de/kleinanzeigen/detail.htm?ai=421473&amp;cf=kk&amp;pg=5&amp;ci=5", "Link")</f>
        <v/>
      </c>
      <c r="AS159" s="6">
        <f>HYPERLINK("C:\Projects\Kleinanzeigen-Scraper\offer_images\421473", "Link")</f>
        <v/>
      </c>
      <c r="AT159" t="inlineStr">
        <is>
          <t>Dirk S.</t>
        </is>
      </c>
      <c r="AU159" s="6">
        <f>HYPERLINK("https://www.dailydose.de/kleinanzeigen/user/7036", "Link")</f>
        <v/>
      </c>
      <c r="AV159" s="7" t="n">
        <v>45536.91164351852</v>
      </c>
      <c r="AW159" s="3" t="inlineStr">
        <is>
          <t>474.84</t>
        </is>
      </c>
      <c r="AX159" t="inlineStr">
        <is>
          <t>Köln</t>
        </is>
      </c>
      <c r="AY159" s="4" t="n">
        <v>1390</v>
      </c>
      <c r="AZ159" t="inlineStr"/>
      <c r="BA159" t="inlineStr">
        <is>
          <t>13467 Berlin</t>
        </is>
      </c>
      <c r="BB159" s="5" t="n">
        <v>45530</v>
      </c>
      <c r="BC159" t="inlineStr">
        <is>
          <t>Sold</t>
        </is>
      </c>
      <c r="BD159" s="6">
        <f>HYPERLINK("https://www.dailydose.de/kleinanzeigen/detail.htm?ai=421473&amp;cf=kk&amp;pg=5&amp;ci=5", "Link")</f>
        <v/>
      </c>
      <c r="BE159" s="6">
        <f>HYPERLINK("C:\Projects\Kleinanzeigen-Scraper\offer_images\421473", "Link")</f>
        <v/>
      </c>
      <c r="BF159" t="inlineStr">
        <is>
          <t>Dirk S.</t>
        </is>
      </c>
      <c r="BG159" s="6">
        <f>HYPERLINK("https://www.dailydose.de/kleinanzeigen/user/7036", "Link")</f>
        <v/>
      </c>
      <c r="BH159" s="7" t="n">
        <v>45536.91164351852</v>
      </c>
      <c r="BI159" s="3" t="inlineStr">
        <is>
          <t>474.84</t>
        </is>
      </c>
      <c r="BJ159" t="inlineStr">
        <is>
          <t>Köln</t>
        </is>
      </c>
    </row>
    <row r="160">
      <c r="A160" s="2" t="n">
        <v>4.5</v>
      </c>
      <c r="B160" t="inlineStr">
        <is>
          <t>JP Vision</t>
        </is>
      </c>
      <c r="C160" s="3" t="inlineStr"/>
      <c r="D160" s="3" t="inlineStr"/>
      <c r="E160" t="inlineStr"/>
      <c r="F160" t="inlineStr"/>
      <c r="G160" t="inlineStr">
        <is>
          <t>new</t>
        </is>
      </c>
      <c r="H160" s="4" t="n">
        <v>495</v>
      </c>
      <c r="I160" t="inlineStr"/>
      <c r="J160" t="inlineStr">
        <is>
          <t>82319 Bayern - Starnberg</t>
        </is>
      </c>
      <c r="K160" s="5" t="n">
        <v>45564</v>
      </c>
      <c r="L160" t="inlineStr"/>
      <c r="M160" s="6">
        <f>HYPERLINK("https://www.kleinanzeigen.de/s-anzeige/jp-vision-set-windsurf-segel-komplett-rigg-4-5qm/2351934489-230-5525", "Link")</f>
        <v/>
      </c>
      <c r="N160" s="6">
        <f>HYPERLINK("C:\Projects\Kleinanzeigen-Scraper\offer_images\2351934489", "Link")</f>
        <v/>
      </c>
      <c r="O160" t="inlineStr">
        <is>
          <t>No user name</t>
        </is>
      </c>
      <c r="P160" s="6">
        <f>HYPERLINK("https://www.kleinanzeigen.deNo user link", "Link")</f>
        <v/>
      </c>
      <c r="Q160" s="7" t="n">
        <v>45536.91048611111</v>
      </c>
      <c r="R160" s="3" t="inlineStr">
        <is>
          <t>23.17</t>
        </is>
      </c>
      <c r="S160" t="inlineStr">
        <is>
          <t>München</t>
        </is>
      </c>
      <c r="T160" t="inlineStr"/>
      <c r="U160" s="3" t="inlineStr"/>
      <c r="V160" s="8" t="inlineStr"/>
      <c r="W160" t="inlineStr"/>
      <c r="X160" s="4" t="n">
        <v>495</v>
      </c>
      <c r="Y160" t="inlineStr"/>
      <c r="Z160" t="inlineStr">
        <is>
          <t>82319 Bayern - Starnberg</t>
        </is>
      </c>
      <c r="AA160" s="5" t="n">
        <v>45564</v>
      </c>
      <c r="AB160" t="inlineStr"/>
      <c r="AC160" s="6">
        <f>HYPERLINK("https://www.kleinanzeigen.de/s-anzeige/jp-vision-set-windsurf-segel-komplett-rigg-4-5qm/2351934489-230-5525", "Link")</f>
        <v/>
      </c>
      <c r="AD160" s="6">
        <f>HYPERLINK("C:\Projects\Kleinanzeigen-Scraper\offer_images\2351934489", "Link")</f>
        <v/>
      </c>
      <c r="AE160" t="inlineStr">
        <is>
          <t>No user name</t>
        </is>
      </c>
      <c r="AF160" s="6">
        <f>HYPERLINK("https://www.kleinanzeigen.deNo user link", "Link")</f>
        <v/>
      </c>
      <c r="AG160" s="7" t="n">
        <v>45536.91048611111</v>
      </c>
      <c r="AH160" s="3" t="inlineStr">
        <is>
          <t>23.17</t>
        </is>
      </c>
      <c r="AI160" t="inlineStr">
        <is>
          <t>München</t>
        </is>
      </c>
      <c r="AJ160" t="inlineStr"/>
      <c r="AK160" t="inlineStr"/>
      <c r="AL160" t="inlineStr"/>
      <c r="AM160" s="4" t="n">
        <v>495</v>
      </c>
      <c r="AN160" t="inlineStr"/>
      <c r="AO160" t="inlineStr">
        <is>
          <t>82319 Bayern - Starnberg</t>
        </is>
      </c>
      <c r="AP160" s="5" t="n">
        <v>45564</v>
      </c>
      <c r="AQ160" t="inlineStr"/>
      <c r="AR160" s="6">
        <f>HYPERLINK("https://www.kleinanzeigen.de/s-anzeige/jp-vision-set-windsurf-segel-komplett-rigg-4-5qm/2351934489-230-5525", "Link")</f>
        <v/>
      </c>
      <c r="AS160" s="6">
        <f>HYPERLINK("C:\Projects\Kleinanzeigen-Scraper\offer_images\2351934489", "Link")</f>
        <v/>
      </c>
      <c r="AT160" t="inlineStr">
        <is>
          <t>No user name</t>
        </is>
      </c>
      <c r="AU160" s="6">
        <f>HYPERLINK("https://www.kleinanzeigen.deNo user link", "Link")</f>
        <v/>
      </c>
      <c r="AV160" s="7" t="n">
        <v>45536.91048611111</v>
      </c>
      <c r="AW160" s="3" t="inlineStr">
        <is>
          <t>23.17</t>
        </is>
      </c>
      <c r="AX160" t="inlineStr">
        <is>
          <t>München</t>
        </is>
      </c>
      <c r="AY160" s="4" t="n">
        <v>495</v>
      </c>
      <c r="AZ160" t="inlineStr"/>
      <c r="BA160" t="inlineStr">
        <is>
          <t>82319 Bayern - Starnberg</t>
        </is>
      </c>
      <c r="BB160" s="5" t="n">
        <v>45564</v>
      </c>
      <c r="BC160" t="inlineStr"/>
      <c r="BD160" s="6">
        <f>HYPERLINK("https://www.kleinanzeigen.de/s-anzeige/jp-vision-set-windsurf-segel-komplett-rigg-4-5qm/2351934489-230-5525", "Link")</f>
        <v/>
      </c>
      <c r="BE160" s="6">
        <f>HYPERLINK("C:\Projects\Kleinanzeigen-Scraper\offer_images\2351934489", "Link")</f>
        <v/>
      </c>
      <c r="BF160" t="inlineStr">
        <is>
          <t>No user name</t>
        </is>
      </c>
      <c r="BG160" s="6">
        <f>HYPERLINK("https://www.kleinanzeigen.deNo user link", "Link")</f>
        <v/>
      </c>
      <c r="BH160" s="7" t="n">
        <v>45536.91048611111</v>
      </c>
      <c r="BI160" s="3" t="inlineStr">
        <is>
          <t>23.17</t>
        </is>
      </c>
      <c r="BJ160" t="inlineStr">
        <is>
          <t>München</t>
        </is>
      </c>
    </row>
    <row r="161">
      <c r="A161" s="2" t="n">
        <v>7.4</v>
      </c>
      <c r="B161" t="inlineStr">
        <is>
          <t>Neilpryde Supernova</t>
        </is>
      </c>
      <c r="C161" s="3" t="inlineStr"/>
      <c r="D161" s="3" t="inlineStr"/>
      <c r="E161" t="inlineStr"/>
      <c r="F161" t="inlineStr"/>
      <c r="G161" t="inlineStr">
        <is>
          <t>used</t>
        </is>
      </c>
      <c r="H161" s="4" t="n">
        <v>180</v>
      </c>
      <c r="I161" t="inlineStr"/>
      <c r="J161" t="inlineStr">
        <is>
          <t>10437 Pankow - Prenzlauer Berg</t>
        </is>
      </c>
      <c r="K161" s="5" t="n">
        <v>45539</v>
      </c>
      <c r="L161" t="inlineStr"/>
      <c r="M161" s="6">
        <f>HYPERLINK("https://www.kleinanzeigen.de/s-anzeige/neilpryde-komplett-rigg-mit-mast-und-gabel-windsurfen/2850155273-230-3491", "Link")</f>
        <v/>
      </c>
      <c r="N161" s="6">
        <f>HYPERLINK("C:\Projects\Kleinanzeigen-Scraper\offer_images\2850155273", "Link")</f>
        <v/>
      </c>
      <c r="O161" t="inlineStr">
        <is>
          <t>Alexander Stein</t>
        </is>
      </c>
      <c r="P161" s="6">
        <f>HYPERLINK("https://www.kleinanzeigen.de/s-bestandsliste.html?userId=21797721", "Link")</f>
        <v/>
      </c>
      <c r="Q161" s="7" t="n">
        <v>45536.91038194444</v>
      </c>
      <c r="R161" s="3" t="inlineStr">
        <is>
          <t>478.70</t>
        </is>
      </c>
      <c r="S161" t="inlineStr">
        <is>
          <t>Köln</t>
        </is>
      </c>
      <c r="T161" t="inlineStr">
        <is>
          <t>Arrows</t>
        </is>
      </c>
      <c r="U161" s="3" t="inlineStr"/>
      <c r="V161" s="8" t="inlineStr"/>
      <c r="W161" t="inlineStr"/>
      <c r="X161" s="4" t="n">
        <v>180</v>
      </c>
      <c r="Y161" t="inlineStr"/>
      <c r="Z161" t="inlineStr">
        <is>
          <t>10437 Pankow - Prenzlauer Berg</t>
        </is>
      </c>
      <c r="AA161" s="5" t="n">
        <v>45539</v>
      </c>
      <c r="AB161" t="inlineStr"/>
      <c r="AC161" s="6">
        <f>HYPERLINK("https://www.kleinanzeigen.de/s-anzeige/neilpryde-komplett-rigg-mit-mast-und-gabel-windsurfen/2850155273-230-3491", "Link")</f>
        <v/>
      </c>
      <c r="AD161" s="6">
        <f>HYPERLINK("C:\Projects\Kleinanzeigen-Scraper\offer_images\2850155273", "Link")</f>
        <v/>
      </c>
      <c r="AE161" t="inlineStr">
        <is>
          <t>Alexander Stein</t>
        </is>
      </c>
      <c r="AF161" s="6">
        <f>HYPERLINK("https://www.kleinanzeigen.de/s-bestandsliste.html?userId=21797721", "Link")</f>
        <v/>
      </c>
      <c r="AG161" s="7" t="n">
        <v>45536.91038194444</v>
      </c>
      <c r="AH161" s="3" t="inlineStr">
        <is>
          <t>478.70</t>
        </is>
      </c>
      <c r="AI161" t="inlineStr">
        <is>
          <t>Köln</t>
        </is>
      </c>
      <c r="AJ161" t="inlineStr"/>
      <c r="AK161" t="inlineStr"/>
      <c r="AL161" t="inlineStr"/>
      <c r="AM161" s="4" t="n">
        <v>180</v>
      </c>
      <c r="AN161" t="inlineStr"/>
      <c r="AO161" t="inlineStr">
        <is>
          <t>10437 Pankow - Prenzlauer Berg</t>
        </is>
      </c>
      <c r="AP161" s="5" t="n">
        <v>45539</v>
      </c>
      <c r="AQ161" t="inlineStr"/>
      <c r="AR161" s="6">
        <f>HYPERLINK("https://www.kleinanzeigen.de/s-anzeige/neilpryde-komplett-rigg-mit-mast-und-gabel-windsurfen/2850155273-230-3491", "Link")</f>
        <v/>
      </c>
      <c r="AS161" s="6">
        <f>HYPERLINK("C:\Projects\Kleinanzeigen-Scraper\offer_images\2850155273", "Link")</f>
        <v/>
      </c>
      <c r="AT161" t="inlineStr">
        <is>
          <t>Alexander Stein</t>
        </is>
      </c>
      <c r="AU161" s="6">
        <f>HYPERLINK("https://www.kleinanzeigen.de/s-bestandsliste.html?userId=21797721", "Link")</f>
        <v/>
      </c>
      <c r="AV161" s="7" t="n">
        <v>45536.91038194444</v>
      </c>
      <c r="AW161" s="3" t="inlineStr">
        <is>
          <t>478.70</t>
        </is>
      </c>
      <c r="AX161" t="inlineStr">
        <is>
          <t>Köln</t>
        </is>
      </c>
      <c r="AY161" s="4" t="n">
        <v>180</v>
      </c>
      <c r="AZ161" t="inlineStr"/>
      <c r="BA161" t="inlineStr">
        <is>
          <t>10437 Pankow - Prenzlauer Berg</t>
        </is>
      </c>
      <c r="BB161" s="5" t="n">
        <v>45539</v>
      </c>
      <c r="BC161" t="inlineStr"/>
      <c r="BD161" s="6">
        <f>HYPERLINK("https://www.kleinanzeigen.de/s-anzeige/neilpryde-komplett-rigg-mit-mast-und-gabel-windsurfen/2850155273-230-3491", "Link")</f>
        <v/>
      </c>
      <c r="BE161" s="6">
        <f>HYPERLINK("C:\Projects\Kleinanzeigen-Scraper\offer_images\2850155273", "Link")</f>
        <v/>
      </c>
      <c r="BF161" t="inlineStr">
        <is>
          <t>Alexander Stein</t>
        </is>
      </c>
      <c r="BG161" s="6">
        <f>HYPERLINK("https://www.kleinanzeigen.de/s-bestandsliste.html?userId=21797721", "Link")</f>
        <v/>
      </c>
      <c r="BH161" s="7" t="n">
        <v>45536.91038194444</v>
      </c>
      <c r="BI161" s="3" t="inlineStr">
        <is>
          <t>478.70</t>
        </is>
      </c>
      <c r="BJ161" t="inlineStr">
        <is>
          <t>Köln</t>
        </is>
      </c>
    </row>
    <row r="162">
      <c r="A162" s="2" t="n">
        <v>12</v>
      </c>
      <c r="B162" t="inlineStr">
        <is>
          <t>Neilpryde GS-R</t>
        </is>
      </c>
      <c r="C162" s="3" t="inlineStr"/>
      <c r="D162" s="3" t="inlineStr"/>
      <c r="E162" t="inlineStr">
        <is>
          <t>Formula</t>
        </is>
      </c>
      <c r="F162" t="inlineStr"/>
      <c r="G162" t="inlineStr">
        <is>
          <t>used</t>
        </is>
      </c>
      <c r="H162" s="4" t="n">
        <v>690</v>
      </c>
      <c r="I162" t="inlineStr">
        <is>
          <t>VB</t>
        </is>
      </c>
      <c r="J162" t="inlineStr">
        <is>
          <t>36041 Hessen - Fulda</t>
        </is>
      </c>
      <c r="K162" s="5" t="n">
        <v>45526</v>
      </c>
      <c r="L162" t="inlineStr"/>
      <c r="M162" s="6">
        <f>HYPERLINK("https://www.kleinanzeigen.de/s-anzeige/windsurf-formula-leichtwind-segel-gsr-12-rigg-neilpryde-x9-/2843382573-230-4887", "Link")</f>
        <v/>
      </c>
      <c r="N162" s="6">
        <f>HYPERLINK("C:\Projects\Kleinanzeigen-Scraper\offer_images\2843382573", "Link")</f>
        <v/>
      </c>
      <c r="O162" t="inlineStr">
        <is>
          <t>Hegi´s</t>
        </is>
      </c>
      <c r="P162" s="6">
        <f>HYPERLINK("https://www.kleinanzeigen.de/s-bestandsliste.html?userId=15844565", "Link")</f>
        <v/>
      </c>
      <c r="Q162" s="7" t="n">
        <v>45536.9103125</v>
      </c>
      <c r="R162" s="3" t="inlineStr">
        <is>
          <t>192.28</t>
        </is>
      </c>
      <c r="S162" t="inlineStr">
        <is>
          <t>Karlsruhe</t>
        </is>
      </c>
      <c r="T162" t="inlineStr">
        <is>
          <t>Guns Sails Select</t>
        </is>
      </c>
      <c r="U162" s="3" t="n">
        <v>550</v>
      </c>
      <c r="V162" s="8" t="inlineStr">
        <is>
          <t>C100</t>
        </is>
      </c>
      <c r="W162" t="inlineStr">
        <is>
          <t>SDM</t>
        </is>
      </c>
      <c r="X162" s="4" t="n">
        <v>690</v>
      </c>
      <c r="Y162" t="inlineStr">
        <is>
          <t>VB</t>
        </is>
      </c>
      <c r="Z162" t="inlineStr">
        <is>
          <t>36041 Hessen - Fulda</t>
        </is>
      </c>
      <c r="AA162" s="5" t="n">
        <v>45526</v>
      </c>
      <c r="AB162" t="inlineStr"/>
      <c r="AC162" s="6">
        <f>HYPERLINK("https://www.kleinanzeigen.de/s-anzeige/windsurf-formula-leichtwind-segel-gsr-12-rigg-neilpryde-x9-/2843382573-230-4887", "Link")</f>
        <v/>
      </c>
      <c r="AD162" s="6">
        <f>HYPERLINK("C:\Projects\Kleinanzeigen-Scraper\offer_images\2843382573", "Link")</f>
        <v/>
      </c>
      <c r="AE162" t="inlineStr">
        <is>
          <t>Hegi´s</t>
        </is>
      </c>
      <c r="AF162" s="6">
        <f>HYPERLINK("https://www.kleinanzeigen.de/s-bestandsliste.html?userId=15844565", "Link")</f>
        <v/>
      </c>
      <c r="AG162" s="7" t="n">
        <v>45536.9103125</v>
      </c>
      <c r="AH162" s="3" t="inlineStr">
        <is>
          <t>192.28</t>
        </is>
      </c>
      <c r="AI162" t="inlineStr">
        <is>
          <t>Karlsruhe</t>
        </is>
      </c>
      <c r="AJ162" t="inlineStr">
        <is>
          <t>Neilpryde X9</t>
        </is>
      </c>
      <c r="AK162" t="inlineStr">
        <is>
          <t>260-330</t>
        </is>
      </c>
      <c r="AL162" t="inlineStr"/>
      <c r="AM162" s="4" t="n">
        <v>690</v>
      </c>
      <c r="AN162" t="inlineStr">
        <is>
          <t>VB</t>
        </is>
      </c>
      <c r="AO162" t="inlineStr">
        <is>
          <t>36041 Hessen - Fulda</t>
        </is>
      </c>
      <c r="AP162" s="5" t="n">
        <v>45526</v>
      </c>
      <c r="AQ162" t="inlineStr"/>
      <c r="AR162" s="6">
        <f>HYPERLINK("https://www.kleinanzeigen.de/s-anzeige/windsurf-formula-leichtwind-segel-gsr-12-rigg-neilpryde-x9-/2843382573-230-4887", "Link")</f>
        <v/>
      </c>
      <c r="AS162" s="6">
        <f>HYPERLINK("C:\Projects\Kleinanzeigen-Scraper\offer_images\2843382573", "Link")</f>
        <v/>
      </c>
      <c r="AT162" t="inlineStr">
        <is>
          <t>Hegi´s</t>
        </is>
      </c>
      <c r="AU162" s="6">
        <f>HYPERLINK("https://www.kleinanzeigen.de/s-bestandsliste.html?userId=15844565", "Link")</f>
        <v/>
      </c>
      <c r="AV162" s="7" t="n">
        <v>45536.9103125</v>
      </c>
      <c r="AW162" s="3" t="inlineStr">
        <is>
          <t>192.28</t>
        </is>
      </c>
      <c r="AX162" t="inlineStr">
        <is>
          <t>Karlsruhe</t>
        </is>
      </c>
      <c r="AY162" s="4" t="n">
        <v>690</v>
      </c>
      <c r="AZ162" t="inlineStr">
        <is>
          <t>VB</t>
        </is>
      </c>
      <c r="BA162" t="inlineStr">
        <is>
          <t>36041 Hessen - Fulda</t>
        </is>
      </c>
      <c r="BB162" s="5" t="n">
        <v>45526</v>
      </c>
      <c r="BC162" t="inlineStr"/>
      <c r="BD162" s="6">
        <f>HYPERLINK("https://www.kleinanzeigen.de/s-anzeige/windsurf-formula-leichtwind-segel-gsr-12-rigg-neilpryde-x9-/2843382573-230-4887", "Link")</f>
        <v/>
      </c>
      <c r="BE162" s="6">
        <f>HYPERLINK("C:\Projects\Kleinanzeigen-Scraper\offer_images\2843382573", "Link")</f>
        <v/>
      </c>
      <c r="BF162" t="inlineStr">
        <is>
          <t>Hegi´s</t>
        </is>
      </c>
      <c r="BG162" s="6">
        <f>HYPERLINK("https://www.kleinanzeigen.de/s-bestandsliste.html?userId=15844565", "Link")</f>
        <v/>
      </c>
      <c r="BH162" s="7" t="n">
        <v>45536.9103125</v>
      </c>
      <c r="BI162" s="3" t="inlineStr">
        <is>
          <t>192.28</t>
        </is>
      </c>
      <c r="BJ162" t="inlineStr">
        <is>
          <t>Karlsruhe</t>
        </is>
      </c>
    </row>
    <row r="163">
      <c r="A163" s="2" t="n">
        <v>8.800000000000001</v>
      </c>
      <c r="B163" t="inlineStr">
        <is>
          <t>Rushwind</t>
        </is>
      </c>
      <c r="C163" s="3" t="n">
        <v>515</v>
      </c>
      <c r="D163" s="3" t="n">
        <v>239</v>
      </c>
      <c r="E163" t="inlineStr"/>
      <c r="F163" t="inlineStr"/>
      <c r="G163" t="inlineStr">
        <is>
          <t>used</t>
        </is>
      </c>
      <c r="H163" s="4" t="n">
        <v>190</v>
      </c>
      <c r="I163" t="inlineStr">
        <is>
          <t>VB</t>
        </is>
      </c>
      <c r="J163" t="inlineStr">
        <is>
          <t>17034 Mecklenburg-Vorpommern - Neubrandenburg</t>
        </is>
      </c>
      <c r="K163" s="5" t="n">
        <v>45531</v>
      </c>
      <c r="L163" t="inlineStr">
        <is>
          <t>Sold</t>
        </is>
      </c>
      <c r="M163" s="6">
        <f>HYPERLINK("https://www.kleinanzeigen.de/s-anzeige/windsurfen-rigg-8-8-rush/2847352920-230-254", "Link")</f>
        <v/>
      </c>
      <c r="N163" s="6">
        <f>HYPERLINK("C:\Projects\Kleinanzeigen-Scraper\offer_images\2847352920", "Link")</f>
        <v/>
      </c>
      <c r="O163" t="inlineStr">
        <is>
          <t>Willi</t>
        </is>
      </c>
      <c r="P163" s="6">
        <f>HYPERLINK("https://www.kleinanzeigen.de/s-bestandsliste.html?userId=27736637", "Link")</f>
        <v/>
      </c>
      <c r="Q163" s="7" t="n">
        <v>45536.9102662037</v>
      </c>
      <c r="R163" s="3" t="inlineStr">
        <is>
          <t>520.75</t>
        </is>
      </c>
      <c r="S163" t="inlineStr">
        <is>
          <t>Köln</t>
        </is>
      </c>
      <c r="T163" t="inlineStr"/>
      <c r="U163" s="3" t="inlineStr"/>
      <c r="V163" s="8" t="inlineStr"/>
      <c r="W163" t="inlineStr"/>
      <c r="X163" s="4" t="n">
        <v>190</v>
      </c>
      <c r="Y163" t="inlineStr">
        <is>
          <t>VB</t>
        </is>
      </c>
      <c r="Z163" t="inlineStr">
        <is>
          <t>17034 Mecklenburg-Vorpommern - Neubrandenburg</t>
        </is>
      </c>
      <c r="AA163" s="5" t="n">
        <v>45531</v>
      </c>
      <c r="AB163" t="inlineStr">
        <is>
          <t>Sold</t>
        </is>
      </c>
      <c r="AC163" s="6">
        <f>HYPERLINK("https://www.kleinanzeigen.de/s-anzeige/windsurfen-rigg-8-8-rush/2847352920-230-254", "Link")</f>
        <v/>
      </c>
      <c r="AD163" s="6">
        <f>HYPERLINK("C:\Projects\Kleinanzeigen-Scraper\offer_images\2847352920", "Link")</f>
        <v/>
      </c>
      <c r="AE163" t="inlineStr">
        <is>
          <t>Willi</t>
        </is>
      </c>
      <c r="AF163" s="6">
        <f>HYPERLINK("https://www.kleinanzeigen.de/s-bestandsliste.html?userId=27736637", "Link")</f>
        <v/>
      </c>
      <c r="AG163" s="7" t="n">
        <v>45536.9102662037</v>
      </c>
      <c r="AH163" s="3" t="inlineStr">
        <is>
          <t>520.75</t>
        </is>
      </c>
      <c r="AI163" t="inlineStr">
        <is>
          <t>Köln</t>
        </is>
      </c>
      <c r="AJ163" t="inlineStr"/>
      <c r="AK163" t="inlineStr"/>
      <c r="AL163" t="inlineStr"/>
      <c r="AM163" s="4" t="n">
        <v>190</v>
      </c>
      <c r="AN163" t="inlineStr">
        <is>
          <t>VB</t>
        </is>
      </c>
      <c r="AO163" t="inlineStr">
        <is>
          <t>17034 Mecklenburg-Vorpommern - Neubrandenburg</t>
        </is>
      </c>
      <c r="AP163" s="5" t="n">
        <v>45531</v>
      </c>
      <c r="AQ163" t="inlineStr">
        <is>
          <t>Sold</t>
        </is>
      </c>
      <c r="AR163" s="6">
        <f>HYPERLINK("https://www.kleinanzeigen.de/s-anzeige/windsurfen-rigg-8-8-rush/2847352920-230-254", "Link")</f>
        <v/>
      </c>
      <c r="AS163" s="6">
        <f>HYPERLINK("C:\Projects\Kleinanzeigen-Scraper\offer_images\2847352920", "Link")</f>
        <v/>
      </c>
      <c r="AT163" t="inlineStr">
        <is>
          <t>Willi</t>
        </is>
      </c>
      <c r="AU163" s="6">
        <f>HYPERLINK("https://www.kleinanzeigen.de/s-bestandsliste.html?userId=27736637", "Link")</f>
        <v/>
      </c>
      <c r="AV163" s="7" t="n">
        <v>45536.9102662037</v>
      </c>
      <c r="AW163" s="3" t="inlineStr">
        <is>
          <t>520.75</t>
        </is>
      </c>
      <c r="AX163" t="inlineStr">
        <is>
          <t>Köln</t>
        </is>
      </c>
      <c r="AY163" s="4" t="n">
        <v>190</v>
      </c>
      <c r="AZ163" t="inlineStr">
        <is>
          <t>VB</t>
        </is>
      </c>
      <c r="BA163" t="inlineStr">
        <is>
          <t>17034 Mecklenburg-Vorpommern - Neubrandenburg</t>
        </is>
      </c>
      <c r="BB163" s="5" t="n">
        <v>45531</v>
      </c>
      <c r="BC163" t="inlineStr">
        <is>
          <t>Sold</t>
        </is>
      </c>
      <c r="BD163" s="6">
        <f>HYPERLINK("https://www.kleinanzeigen.de/s-anzeige/windsurfen-rigg-8-8-rush/2847352920-230-254", "Link")</f>
        <v/>
      </c>
      <c r="BE163" s="6">
        <f>HYPERLINK("C:\Projects\Kleinanzeigen-Scraper\offer_images\2847352920", "Link")</f>
        <v/>
      </c>
      <c r="BF163" t="inlineStr">
        <is>
          <t>Willi</t>
        </is>
      </c>
      <c r="BG163" s="6">
        <f>HYPERLINK("https://www.kleinanzeigen.de/s-bestandsliste.html?userId=27736637", "Link")</f>
        <v/>
      </c>
      <c r="BH163" s="7" t="n">
        <v>45536.9102662037</v>
      </c>
      <c r="BI163" s="3" t="inlineStr">
        <is>
          <t>520.75</t>
        </is>
      </c>
      <c r="BJ163" t="inlineStr">
        <is>
          <t>Köln</t>
        </is>
      </c>
    </row>
    <row r="164">
      <c r="A164" s="2" t="n">
        <v>6.1</v>
      </c>
      <c r="B164" t="inlineStr">
        <is>
          <t>Neil Pryde Expression</t>
        </is>
      </c>
      <c r="C164" s="3" t="inlineStr"/>
      <c r="D164" s="3" t="inlineStr"/>
      <c r="E164" t="inlineStr"/>
      <c r="F164" t="inlineStr"/>
      <c r="G164" t="inlineStr">
        <is>
          <t>used</t>
        </is>
      </c>
      <c r="H164" s="4" t="n">
        <v>299</v>
      </c>
      <c r="I164" t="inlineStr"/>
      <c r="J164" t="inlineStr">
        <is>
          <t>45772 Nordrhein-Westfalen - Marl</t>
        </is>
      </c>
      <c r="K164" s="5" t="n">
        <v>45532</v>
      </c>
      <c r="L164" t="inlineStr">
        <is>
          <t>Sold</t>
        </is>
      </c>
      <c r="M164" s="6">
        <f>HYPERLINK("https://www.kleinanzeigen.de/s-anzeige/6-1-neil-pryde-rigg-windsurfen-segel/2848750990-230-1772", "Link")</f>
        <v/>
      </c>
      <c r="N164" s="6">
        <f>HYPERLINK("C:\Projects\Kleinanzeigen-Scraper\offer_images\2848750990", "Link")</f>
        <v/>
      </c>
      <c r="O164" t="inlineStr">
        <is>
          <t>RRD</t>
        </is>
      </c>
      <c r="P164" s="6">
        <f>HYPERLINK("https://www.kleinanzeigen.de/s-bestandsliste.html?userId=13661901", "Link")</f>
        <v/>
      </c>
      <c r="Q164" s="7" t="n">
        <v>45536.91024305556</v>
      </c>
      <c r="R164" s="3" t="inlineStr">
        <is>
          <t>84.29</t>
        </is>
      </c>
      <c r="S164" t="inlineStr">
        <is>
          <t>Köln</t>
        </is>
      </c>
      <c r="T164" t="inlineStr">
        <is>
          <t>North Red Mast</t>
        </is>
      </c>
      <c r="U164" s="3" t="n">
        <v>460</v>
      </c>
      <c r="V164" s="8" t="inlineStr"/>
      <c r="W164" t="inlineStr"/>
      <c r="X164" s="4" t="n">
        <v>299</v>
      </c>
      <c r="Y164" t="inlineStr"/>
      <c r="Z164" t="inlineStr">
        <is>
          <t>45772 Nordrhein-Westfalen - Marl</t>
        </is>
      </c>
      <c r="AA164" s="5" t="n">
        <v>45532</v>
      </c>
      <c r="AB164" t="inlineStr">
        <is>
          <t>Sold</t>
        </is>
      </c>
      <c r="AC164" s="6">
        <f>HYPERLINK("https://www.kleinanzeigen.de/s-anzeige/6-1-neil-pryde-rigg-windsurfen-segel/2848750990-230-1772", "Link")</f>
        <v/>
      </c>
      <c r="AD164" s="6">
        <f>HYPERLINK("C:\Projects\Kleinanzeigen-Scraper\offer_images\2848750990", "Link")</f>
        <v/>
      </c>
      <c r="AE164" t="inlineStr">
        <is>
          <t>RRD</t>
        </is>
      </c>
      <c r="AF164" s="6">
        <f>HYPERLINK("https://www.kleinanzeigen.de/s-bestandsliste.html?userId=13661901", "Link")</f>
        <v/>
      </c>
      <c r="AG164" s="7" t="n">
        <v>45536.91024305556</v>
      </c>
      <c r="AH164" s="3" t="inlineStr">
        <is>
          <t>84.29</t>
        </is>
      </c>
      <c r="AI164" t="inlineStr">
        <is>
          <t>Köln</t>
        </is>
      </c>
      <c r="AJ164" t="inlineStr">
        <is>
          <t>Aerongabelbaum MTC26</t>
        </is>
      </c>
      <c r="AK164" t="inlineStr"/>
      <c r="AL164" t="inlineStr"/>
      <c r="AM164" s="4" t="n">
        <v>299</v>
      </c>
      <c r="AN164" t="inlineStr"/>
      <c r="AO164" t="inlineStr">
        <is>
          <t>45772 Nordrhein-Westfalen - Marl</t>
        </is>
      </c>
      <c r="AP164" s="5" t="n">
        <v>45532</v>
      </c>
      <c r="AQ164" t="inlineStr">
        <is>
          <t>Sold</t>
        </is>
      </c>
      <c r="AR164" s="6">
        <f>HYPERLINK("https://www.kleinanzeigen.de/s-anzeige/6-1-neil-pryde-rigg-windsurfen-segel/2848750990-230-1772", "Link")</f>
        <v/>
      </c>
      <c r="AS164" s="6">
        <f>HYPERLINK("C:\Projects\Kleinanzeigen-Scraper\offer_images\2848750990", "Link")</f>
        <v/>
      </c>
      <c r="AT164" t="inlineStr">
        <is>
          <t>RRD</t>
        </is>
      </c>
      <c r="AU164" s="6">
        <f>HYPERLINK("https://www.kleinanzeigen.de/s-bestandsliste.html?userId=13661901", "Link")</f>
        <v/>
      </c>
      <c r="AV164" s="7" t="n">
        <v>45536.91024305556</v>
      </c>
      <c r="AW164" s="3" t="inlineStr">
        <is>
          <t>84.29</t>
        </is>
      </c>
      <c r="AX164" t="inlineStr">
        <is>
          <t>Köln</t>
        </is>
      </c>
      <c r="AY164" s="4" t="n">
        <v>299</v>
      </c>
      <c r="AZ164" t="inlineStr"/>
      <c r="BA164" t="inlineStr">
        <is>
          <t>45772 Nordrhein-Westfalen - Marl</t>
        </is>
      </c>
      <c r="BB164" s="5" t="n">
        <v>45532</v>
      </c>
      <c r="BC164" t="inlineStr">
        <is>
          <t>Sold</t>
        </is>
      </c>
      <c r="BD164" s="6">
        <f>HYPERLINK("https://www.kleinanzeigen.de/s-anzeige/6-1-neil-pryde-rigg-windsurfen-segel/2848750990-230-1772", "Link")</f>
        <v/>
      </c>
      <c r="BE164" s="6">
        <f>HYPERLINK("C:\Projects\Kleinanzeigen-Scraper\offer_images\2848750990", "Link")</f>
        <v/>
      </c>
      <c r="BF164" t="inlineStr">
        <is>
          <t>RRD</t>
        </is>
      </c>
      <c r="BG164" s="6">
        <f>HYPERLINK("https://www.kleinanzeigen.de/s-bestandsliste.html?userId=13661901", "Link")</f>
        <v/>
      </c>
      <c r="BH164" s="7" t="n">
        <v>45536.91024305556</v>
      </c>
      <c r="BI164" s="3" t="inlineStr">
        <is>
          <t>84.29</t>
        </is>
      </c>
      <c r="BJ164" t="inlineStr">
        <is>
          <t>Köln</t>
        </is>
      </c>
    </row>
    <row r="165">
      <c r="A165" s="2" t="n">
        <v>7</v>
      </c>
      <c r="B165" t="inlineStr">
        <is>
          <t>Neil Pryde V8</t>
        </is>
      </c>
      <c r="C165" s="3" t="inlineStr"/>
      <c r="D165" s="3" t="inlineStr"/>
      <c r="E165" t="inlineStr"/>
      <c r="F165" t="inlineStr"/>
      <c r="G165" t="inlineStr">
        <is>
          <t>repaired</t>
        </is>
      </c>
      <c r="H165" s="4" t="n">
        <v>80</v>
      </c>
      <c r="I165" t="inlineStr"/>
      <c r="J165" t="inlineStr">
        <is>
          <t>22043 Wandsbek - Hamburg Jenfeld</t>
        </is>
      </c>
      <c r="K165" s="5" t="n">
        <v>45527</v>
      </c>
      <c r="L165" t="inlineStr">
        <is>
          <t>Sold</t>
        </is>
      </c>
      <c r="M165" s="6">
        <f>HYPERLINK("https://www.kleinanzeigen.de/s-anzeige/np-v8-7-0-komplettrigg-mast-ck-55-segel-windsurf/2844469617-230-9465", "Link")</f>
        <v/>
      </c>
      <c r="N165" s="6">
        <f>HYPERLINK("C:\Projects\Kleinanzeigen-Scraper\offer_images\2844469617", "Link")</f>
        <v/>
      </c>
      <c r="O165" t="inlineStr">
        <is>
          <t>Chris</t>
        </is>
      </c>
      <c r="P165" s="6">
        <f>HYPERLINK("https://www.kleinanzeigen.de/s-bestandsliste.html?userId=629302", "Link")</f>
        <v/>
      </c>
      <c r="Q165" s="7" t="n">
        <v>45536.91016203703</v>
      </c>
      <c r="R165" s="3" t="inlineStr">
        <is>
          <t>362.40</t>
        </is>
      </c>
      <c r="S165" t="inlineStr">
        <is>
          <t>Köln</t>
        </is>
      </c>
      <c r="T165" t="inlineStr">
        <is>
          <t>Neil Pryde CK 55</t>
        </is>
      </c>
      <c r="U165" s="3" t="inlineStr"/>
      <c r="V165" s="8" t="inlineStr">
        <is>
          <t>Carbon Kevlar</t>
        </is>
      </c>
      <c r="W165" t="inlineStr"/>
      <c r="X165" s="4" t="n">
        <v>80</v>
      </c>
      <c r="Y165" t="inlineStr"/>
      <c r="Z165" t="inlineStr">
        <is>
          <t>22043 Wandsbek - Hamburg Jenfeld</t>
        </is>
      </c>
      <c r="AA165" s="5" t="n">
        <v>45527</v>
      </c>
      <c r="AB165" t="inlineStr">
        <is>
          <t>Sold</t>
        </is>
      </c>
      <c r="AC165" s="6">
        <f>HYPERLINK("https://www.kleinanzeigen.de/s-anzeige/np-v8-7-0-komplettrigg-mast-ck-55-segel-windsurf/2844469617-230-9465", "Link")</f>
        <v/>
      </c>
      <c r="AD165" s="6">
        <f>HYPERLINK("C:\Projects\Kleinanzeigen-Scraper\offer_images\2844469617", "Link")</f>
        <v/>
      </c>
      <c r="AE165" t="inlineStr">
        <is>
          <t>Chris</t>
        </is>
      </c>
      <c r="AF165" s="6">
        <f>HYPERLINK("https://www.kleinanzeigen.de/s-bestandsliste.html?userId=629302", "Link")</f>
        <v/>
      </c>
      <c r="AG165" s="7" t="n">
        <v>45536.91016203703</v>
      </c>
      <c r="AH165" s="3" t="inlineStr">
        <is>
          <t>362.40</t>
        </is>
      </c>
      <c r="AI165" t="inlineStr">
        <is>
          <t>Köln</t>
        </is>
      </c>
      <c r="AJ165" t="inlineStr">
        <is>
          <t>North Progression HD</t>
        </is>
      </c>
      <c r="AK165" t="inlineStr"/>
      <c r="AL165" t="inlineStr"/>
      <c r="AM165" s="4" t="n">
        <v>80</v>
      </c>
      <c r="AN165" t="inlineStr"/>
      <c r="AO165" t="inlineStr">
        <is>
          <t>22043 Wandsbek - Hamburg Jenfeld</t>
        </is>
      </c>
      <c r="AP165" s="5" t="n">
        <v>45527</v>
      </c>
      <c r="AQ165" t="inlineStr">
        <is>
          <t>Sold</t>
        </is>
      </c>
      <c r="AR165" s="6">
        <f>HYPERLINK("https://www.kleinanzeigen.de/s-anzeige/np-v8-7-0-komplettrigg-mast-ck-55-segel-windsurf/2844469617-230-9465", "Link")</f>
        <v/>
      </c>
      <c r="AS165" s="6">
        <f>HYPERLINK("C:\Projects\Kleinanzeigen-Scraper\offer_images\2844469617", "Link")</f>
        <v/>
      </c>
      <c r="AT165" t="inlineStr">
        <is>
          <t>Chris</t>
        </is>
      </c>
      <c r="AU165" s="6">
        <f>HYPERLINK("https://www.kleinanzeigen.de/s-bestandsliste.html?userId=629302", "Link")</f>
        <v/>
      </c>
      <c r="AV165" s="7" t="n">
        <v>45536.91016203703</v>
      </c>
      <c r="AW165" s="3" t="inlineStr">
        <is>
          <t>362.40</t>
        </is>
      </c>
      <c r="AX165" t="inlineStr">
        <is>
          <t>Köln</t>
        </is>
      </c>
      <c r="AY165" s="4" t="n">
        <v>80</v>
      </c>
      <c r="AZ165" t="inlineStr"/>
      <c r="BA165" t="inlineStr">
        <is>
          <t>22043 Wandsbek - Hamburg Jenfeld</t>
        </is>
      </c>
      <c r="BB165" s="5" t="n">
        <v>45527</v>
      </c>
      <c r="BC165" t="inlineStr">
        <is>
          <t>Sold</t>
        </is>
      </c>
      <c r="BD165" s="6">
        <f>HYPERLINK("https://www.kleinanzeigen.de/s-anzeige/np-v8-7-0-komplettrigg-mast-ck-55-segel-windsurf/2844469617-230-9465", "Link")</f>
        <v/>
      </c>
      <c r="BE165" s="6">
        <f>HYPERLINK("C:\Projects\Kleinanzeigen-Scraper\offer_images\2844469617", "Link")</f>
        <v/>
      </c>
      <c r="BF165" t="inlineStr">
        <is>
          <t>Chris</t>
        </is>
      </c>
      <c r="BG165" s="6">
        <f>HYPERLINK("https://www.kleinanzeigen.de/s-bestandsliste.html?userId=629302", "Link")</f>
        <v/>
      </c>
      <c r="BH165" s="7" t="n">
        <v>45536.91016203703</v>
      </c>
      <c r="BI165" s="3" t="inlineStr">
        <is>
          <t>362.40</t>
        </is>
      </c>
      <c r="BJ165" t="inlineStr">
        <is>
          <t>Köln</t>
        </is>
      </c>
    </row>
    <row r="166">
      <c r="A166" s="2" t="n">
        <v>5.8</v>
      </c>
      <c r="B166" t="inlineStr">
        <is>
          <t>North Sails Volcano</t>
        </is>
      </c>
      <c r="C166" s="3" t="inlineStr"/>
      <c r="D166" s="3" t="inlineStr"/>
      <c r="E166" t="inlineStr">
        <is>
          <t>Freestyle</t>
        </is>
      </c>
      <c r="F166" t="inlineStr"/>
      <c r="G166" t="inlineStr">
        <is>
          <t>repaired</t>
        </is>
      </c>
      <c r="H166" s="4" t="n">
        <v>149</v>
      </c>
      <c r="I166" t="inlineStr"/>
      <c r="J166" t="inlineStr">
        <is>
          <t>82229 Bayern - Seefeld</t>
        </is>
      </c>
      <c r="K166" s="5" t="n">
        <v>45535</v>
      </c>
      <c r="L166" t="inlineStr">
        <is>
          <t>Sold</t>
        </is>
      </c>
      <c r="M166" s="6">
        <f>HYPERLINK("https://www.kleinanzeigen.de/s-anzeige/windsurf-komplett-rigg-north-sails-volcano-5-8qm-100-carbon-mast/2850502200-230-5519", "Link")</f>
        <v/>
      </c>
      <c r="N166" s="6">
        <f>HYPERLINK("C:\Projects\Kleinanzeigen-Scraper\offer_images\2850502200", "Link")</f>
        <v/>
      </c>
      <c r="O166" t="inlineStr">
        <is>
          <t>Tobias</t>
        </is>
      </c>
      <c r="P166" s="6">
        <f>HYPERLINK("https://www.kleinanzeigen.de/s-bestandsliste.html?userId=26072985", "Link")</f>
        <v/>
      </c>
      <c r="Q166" s="7" t="n">
        <v>45536.91011574074</v>
      </c>
      <c r="R166" s="3" t="inlineStr">
        <is>
          <t>27.49</t>
        </is>
      </c>
      <c r="S166" t="inlineStr">
        <is>
          <t>München</t>
        </is>
      </c>
      <c r="T166" t="inlineStr">
        <is>
          <t>North Sails Xcellerator Viper Wave</t>
        </is>
      </c>
      <c r="U166" s="3" t="n">
        <v>430</v>
      </c>
      <c r="V166" s="8" t="inlineStr">
        <is>
          <t>100%</t>
        </is>
      </c>
      <c r="W166" t="inlineStr"/>
      <c r="X166" s="4" t="n">
        <v>149</v>
      </c>
      <c r="Y166" t="inlineStr"/>
      <c r="Z166" t="inlineStr">
        <is>
          <t>82229 Bayern - Seefeld</t>
        </is>
      </c>
      <c r="AA166" s="5" t="n">
        <v>45535</v>
      </c>
      <c r="AB166" t="inlineStr">
        <is>
          <t>Sold</t>
        </is>
      </c>
      <c r="AC166" s="6">
        <f>HYPERLINK("https://www.kleinanzeigen.de/s-anzeige/windsurf-komplett-rigg-north-sails-volcano-5-8qm-100-carbon-mast/2850502200-230-5519", "Link")</f>
        <v/>
      </c>
      <c r="AD166" s="6">
        <f>HYPERLINK("C:\Projects\Kleinanzeigen-Scraper\offer_images\2850502200", "Link")</f>
        <v/>
      </c>
      <c r="AE166" t="inlineStr">
        <is>
          <t>Tobias</t>
        </is>
      </c>
      <c r="AF166" s="6">
        <f>HYPERLINK("https://www.kleinanzeigen.de/s-bestandsliste.html?userId=26072985", "Link")</f>
        <v/>
      </c>
      <c r="AG166" s="7" t="n">
        <v>45536.91011574074</v>
      </c>
      <c r="AH166" s="3" t="inlineStr">
        <is>
          <t>27.49</t>
        </is>
      </c>
      <c r="AI166" t="inlineStr">
        <is>
          <t>München</t>
        </is>
      </c>
      <c r="AJ166" t="inlineStr">
        <is>
          <t>North Sails Progression Comp</t>
        </is>
      </c>
      <c r="AK166" t="inlineStr">
        <is>
          <t>150-200</t>
        </is>
      </c>
      <c r="AL166" t="inlineStr"/>
      <c r="AM166" s="4" t="n">
        <v>149</v>
      </c>
      <c r="AN166" t="inlineStr"/>
      <c r="AO166" t="inlineStr">
        <is>
          <t>82229 Bayern - Seefeld</t>
        </is>
      </c>
      <c r="AP166" s="5" t="n">
        <v>45535</v>
      </c>
      <c r="AQ166" t="inlineStr">
        <is>
          <t>Sold</t>
        </is>
      </c>
      <c r="AR166" s="6">
        <f>HYPERLINK("https://www.kleinanzeigen.de/s-anzeige/windsurf-komplett-rigg-north-sails-volcano-5-8qm-100-carbon-mast/2850502200-230-5519", "Link")</f>
        <v/>
      </c>
      <c r="AS166" s="6">
        <f>HYPERLINK("C:\Projects\Kleinanzeigen-Scraper\offer_images\2850502200", "Link")</f>
        <v/>
      </c>
      <c r="AT166" t="inlineStr">
        <is>
          <t>Tobias</t>
        </is>
      </c>
      <c r="AU166" s="6">
        <f>HYPERLINK("https://www.kleinanzeigen.de/s-bestandsliste.html?userId=26072985", "Link")</f>
        <v/>
      </c>
      <c r="AV166" s="7" t="n">
        <v>45536.91011574074</v>
      </c>
      <c r="AW166" s="3" t="inlineStr">
        <is>
          <t>27.49</t>
        </is>
      </c>
      <c r="AX166" t="inlineStr">
        <is>
          <t>München</t>
        </is>
      </c>
      <c r="AY166" s="4" t="n">
        <v>149</v>
      </c>
      <c r="AZ166" t="inlineStr"/>
      <c r="BA166" t="inlineStr">
        <is>
          <t>82229 Bayern - Seefeld</t>
        </is>
      </c>
      <c r="BB166" s="5" t="n">
        <v>45535</v>
      </c>
      <c r="BC166" t="inlineStr">
        <is>
          <t>Sold</t>
        </is>
      </c>
      <c r="BD166" s="6">
        <f>HYPERLINK("https://www.kleinanzeigen.de/s-anzeige/windsurf-komplett-rigg-north-sails-volcano-5-8qm-100-carbon-mast/2850502200-230-5519", "Link")</f>
        <v/>
      </c>
      <c r="BE166" s="6">
        <f>HYPERLINK("C:\Projects\Kleinanzeigen-Scraper\offer_images\2850502200", "Link")</f>
        <v/>
      </c>
      <c r="BF166" t="inlineStr">
        <is>
          <t>Tobias</t>
        </is>
      </c>
      <c r="BG166" s="6">
        <f>HYPERLINK("https://www.kleinanzeigen.de/s-bestandsliste.html?userId=26072985", "Link")</f>
        <v/>
      </c>
      <c r="BH166" s="7" t="n">
        <v>45536.91011574074</v>
      </c>
      <c r="BI166" s="3" t="inlineStr">
        <is>
          <t>27.49</t>
        </is>
      </c>
      <c r="BJ166" t="inlineStr">
        <is>
          <t>München</t>
        </is>
      </c>
    </row>
    <row r="167">
      <c r="A167" s="2" t="n">
        <v>5.5</v>
      </c>
      <c r="B167" t="inlineStr">
        <is>
          <t>Gaastra Pilot</t>
        </is>
      </c>
      <c r="C167" s="3" t="n">
        <v>430</v>
      </c>
      <c r="D167" s="3" t="n">
        <v>180</v>
      </c>
      <c r="E167" t="inlineStr"/>
      <c r="F167" t="inlineStr"/>
      <c r="G167" t="inlineStr"/>
      <c r="H167" s="4" t="n">
        <v>150</v>
      </c>
      <c r="I167" t="inlineStr"/>
      <c r="J167" t="inlineStr">
        <is>
          <t>53175 Bonn - Bad Godesberg</t>
        </is>
      </c>
      <c r="K167" s="5" t="n">
        <v>45533</v>
      </c>
      <c r="L167" t="inlineStr">
        <is>
          <t>Sold</t>
        </is>
      </c>
      <c r="M167" s="6">
        <f>HYPERLINK("https://www.kleinanzeigen.de/s-anzeige/windsurf-rigg/2849499591-230-1040", "Link")</f>
        <v/>
      </c>
      <c r="N167" s="6">
        <f>HYPERLINK("C:\Projects\Kleinanzeigen-Scraper\offer_images\2849499591", "Link")</f>
        <v/>
      </c>
      <c r="O167" t="inlineStr">
        <is>
          <t>Hans - Peter Petschow</t>
        </is>
      </c>
      <c r="P167" s="6">
        <f>HYPERLINK("https://www.kleinanzeigen.de/s-bestandsliste.html?userId=41150323", "Link")</f>
        <v/>
      </c>
      <c r="Q167" s="7" t="n">
        <v>45536.91010416667</v>
      </c>
      <c r="R167" s="3" t="inlineStr">
        <is>
          <t>30.05</t>
        </is>
      </c>
      <c r="S167" t="inlineStr">
        <is>
          <t>Köln</t>
        </is>
      </c>
      <c r="T167" t="inlineStr"/>
      <c r="U167" s="3" t="n">
        <v>430</v>
      </c>
      <c r="V167" s="8" t="inlineStr"/>
      <c r="W167" t="inlineStr"/>
      <c r="X167" s="4" t="n">
        <v>150</v>
      </c>
      <c r="Y167" t="inlineStr"/>
      <c r="Z167" t="inlineStr">
        <is>
          <t>53175 Bonn - Bad Godesberg</t>
        </is>
      </c>
      <c r="AA167" s="5" t="n">
        <v>45533</v>
      </c>
      <c r="AB167" t="inlineStr">
        <is>
          <t>Sold</t>
        </is>
      </c>
      <c r="AC167" s="6">
        <f>HYPERLINK("https://www.kleinanzeigen.de/s-anzeige/windsurf-rigg/2849499591-230-1040", "Link")</f>
        <v/>
      </c>
      <c r="AD167" s="6">
        <f>HYPERLINK("C:\Projects\Kleinanzeigen-Scraper\offer_images\2849499591", "Link")</f>
        <v/>
      </c>
      <c r="AE167" t="inlineStr">
        <is>
          <t>Hans - Peter Petschow</t>
        </is>
      </c>
      <c r="AF167" s="6">
        <f>HYPERLINK("https://www.kleinanzeigen.de/s-bestandsliste.html?userId=41150323", "Link")</f>
        <v/>
      </c>
      <c r="AG167" s="7" t="n">
        <v>45536.91010416667</v>
      </c>
      <c r="AH167" s="3" t="inlineStr">
        <is>
          <t>30.05</t>
        </is>
      </c>
      <c r="AI167" t="inlineStr">
        <is>
          <t>Köln</t>
        </is>
      </c>
      <c r="AJ167" t="inlineStr"/>
      <c r="AK167" t="inlineStr"/>
      <c r="AL167" t="inlineStr"/>
      <c r="AM167" s="4" t="n">
        <v>150</v>
      </c>
      <c r="AN167" t="inlineStr"/>
      <c r="AO167" t="inlineStr">
        <is>
          <t>53175 Bonn - Bad Godesberg</t>
        </is>
      </c>
      <c r="AP167" s="5" t="n">
        <v>45533</v>
      </c>
      <c r="AQ167" t="inlineStr">
        <is>
          <t>Sold</t>
        </is>
      </c>
      <c r="AR167" s="6">
        <f>HYPERLINK("https://www.kleinanzeigen.de/s-anzeige/windsurf-rigg/2849499591-230-1040", "Link")</f>
        <v/>
      </c>
      <c r="AS167" s="6">
        <f>HYPERLINK("C:\Projects\Kleinanzeigen-Scraper\offer_images\2849499591", "Link")</f>
        <v/>
      </c>
      <c r="AT167" t="inlineStr">
        <is>
          <t>Hans - Peter Petschow</t>
        </is>
      </c>
      <c r="AU167" s="6">
        <f>HYPERLINK("https://www.kleinanzeigen.de/s-bestandsliste.html?userId=41150323", "Link")</f>
        <v/>
      </c>
      <c r="AV167" s="7" t="n">
        <v>45536.91010416667</v>
      </c>
      <c r="AW167" s="3" t="inlineStr">
        <is>
          <t>30.05</t>
        </is>
      </c>
      <c r="AX167" t="inlineStr">
        <is>
          <t>Köln</t>
        </is>
      </c>
      <c r="AY167" s="4" t="n">
        <v>150</v>
      </c>
      <c r="AZ167" t="inlineStr"/>
      <c r="BA167" t="inlineStr">
        <is>
          <t>53175 Bonn - Bad Godesberg</t>
        </is>
      </c>
      <c r="BB167" s="5" t="n">
        <v>45533</v>
      </c>
      <c r="BC167" t="inlineStr">
        <is>
          <t>Sold</t>
        </is>
      </c>
      <c r="BD167" s="6">
        <f>HYPERLINK("https://www.kleinanzeigen.de/s-anzeige/windsurf-rigg/2849499591-230-1040", "Link")</f>
        <v/>
      </c>
      <c r="BE167" s="6">
        <f>HYPERLINK("C:\Projects\Kleinanzeigen-Scraper\offer_images\2849499591", "Link")</f>
        <v/>
      </c>
      <c r="BF167" t="inlineStr">
        <is>
          <t>Hans - Peter Petschow</t>
        </is>
      </c>
      <c r="BG167" s="6">
        <f>HYPERLINK("https://www.kleinanzeigen.de/s-bestandsliste.html?userId=41150323", "Link")</f>
        <v/>
      </c>
      <c r="BH167" s="7" t="n">
        <v>45536.91010416667</v>
      </c>
      <c r="BI167" s="3" t="inlineStr">
        <is>
          <t>30.05</t>
        </is>
      </c>
      <c r="BJ167" t="inlineStr">
        <is>
          <t>Köln</t>
        </is>
      </c>
    </row>
    <row r="168">
      <c r="A168" s="2" t="n">
        <v>6.4</v>
      </c>
      <c r="B168" t="inlineStr">
        <is>
          <t>North Sails Duke</t>
        </is>
      </c>
      <c r="C168" s="3" t="n">
        <v>460</v>
      </c>
      <c r="D168" s="3" t="inlineStr"/>
      <c r="E168" t="inlineStr"/>
      <c r="F168" t="inlineStr"/>
      <c r="G168" t="inlineStr">
        <is>
          <t>used</t>
        </is>
      </c>
      <c r="H168" s="4" t="n">
        <v>250</v>
      </c>
      <c r="I168" t="inlineStr"/>
      <c r="J168" t="inlineStr">
        <is>
          <t>96149 Bayern - Breitengüßbach</t>
        </is>
      </c>
      <c r="K168" s="5" t="n">
        <v>45536</v>
      </c>
      <c r="L168" t="inlineStr">
        <is>
          <t>Sold</t>
        </is>
      </c>
      <c r="M168" s="6">
        <f>HYPERLINK("https://www.kleinanzeigen.de/s-anzeige/north-sails-duke-6-4-rigg-windsurf-segel-surf/2851937607-230-6906", "Link")</f>
        <v/>
      </c>
      <c r="N168" s="6">
        <f>HYPERLINK("C:\Projects\Kleinanzeigen-Scraper\offer_images\2851937607", "Link")</f>
        <v/>
      </c>
      <c r="O168" t="inlineStr">
        <is>
          <t>stefan</t>
        </is>
      </c>
      <c r="P168" s="6">
        <f>HYPERLINK("https://www.kleinanzeigen.de/s-bestandsliste.html?userId=28091401", "Link")</f>
        <v/>
      </c>
      <c r="Q168" s="7" t="n">
        <v>45536.91001157407</v>
      </c>
      <c r="R168" s="3" t="inlineStr">
        <is>
          <t>200.94</t>
        </is>
      </c>
      <c r="S168" t="inlineStr">
        <is>
          <t>Böblingen</t>
        </is>
      </c>
      <c r="T168" t="inlineStr">
        <is>
          <t>North Sails</t>
        </is>
      </c>
      <c r="U168" s="3" t="n">
        <v>460</v>
      </c>
      <c r="V168" s="8" t="inlineStr">
        <is>
          <t>50%</t>
        </is>
      </c>
      <c r="W168" t="inlineStr"/>
      <c r="X168" s="4" t="n">
        <v>250</v>
      </c>
      <c r="Y168" t="inlineStr"/>
      <c r="Z168" t="inlineStr">
        <is>
          <t>96149 Bayern - Breitengüßbach</t>
        </is>
      </c>
      <c r="AA168" s="5" t="n">
        <v>45536</v>
      </c>
      <c r="AB168" t="inlineStr">
        <is>
          <t>Sold</t>
        </is>
      </c>
      <c r="AC168" s="6">
        <f>HYPERLINK("https://www.kleinanzeigen.de/s-anzeige/north-sails-duke-6-4-rigg-windsurf-segel-surf/2851937607-230-6906", "Link")</f>
        <v/>
      </c>
      <c r="AD168" s="6">
        <f>HYPERLINK("C:\Projects\Kleinanzeigen-Scraper\offer_images\2851937607", "Link")</f>
        <v/>
      </c>
      <c r="AE168" t="inlineStr">
        <is>
          <t>stefan</t>
        </is>
      </c>
      <c r="AF168" s="6">
        <f>HYPERLINK("https://www.kleinanzeigen.de/s-bestandsliste.html?userId=28091401", "Link")</f>
        <v/>
      </c>
      <c r="AG168" s="7" t="n">
        <v>45536.91001157407</v>
      </c>
      <c r="AH168" s="3" t="inlineStr">
        <is>
          <t>200.94</t>
        </is>
      </c>
      <c r="AI168" t="inlineStr">
        <is>
          <t>Böblingen</t>
        </is>
      </c>
      <c r="AJ168" t="inlineStr">
        <is>
          <t>North Sails</t>
        </is>
      </c>
      <c r="AK168" t="inlineStr"/>
      <c r="AL168" t="inlineStr"/>
      <c r="AM168" s="4" t="n">
        <v>250</v>
      </c>
      <c r="AN168" t="inlineStr"/>
      <c r="AO168" t="inlineStr">
        <is>
          <t>96149 Bayern - Breitengüßbach</t>
        </is>
      </c>
      <c r="AP168" s="5" t="n">
        <v>45536</v>
      </c>
      <c r="AQ168" t="inlineStr">
        <is>
          <t>Sold</t>
        </is>
      </c>
      <c r="AR168" s="6">
        <f>HYPERLINK("https://www.kleinanzeigen.de/s-anzeige/north-sails-duke-6-4-rigg-windsurf-segel-surf/2851937607-230-6906", "Link")</f>
        <v/>
      </c>
      <c r="AS168" s="6">
        <f>HYPERLINK("C:\Projects\Kleinanzeigen-Scraper\offer_images\2851937607", "Link")</f>
        <v/>
      </c>
      <c r="AT168" t="inlineStr">
        <is>
          <t>stefan</t>
        </is>
      </c>
      <c r="AU168" s="6">
        <f>HYPERLINK("https://www.kleinanzeigen.de/s-bestandsliste.html?userId=28091401", "Link")</f>
        <v/>
      </c>
      <c r="AV168" s="7" t="n">
        <v>45536.91001157407</v>
      </c>
      <c r="AW168" s="3" t="inlineStr">
        <is>
          <t>200.94</t>
        </is>
      </c>
      <c r="AX168" t="inlineStr">
        <is>
          <t>Böblingen</t>
        </is>
      </c>
      <c r="AY168" s="4" t="n">
        <v>250</v>
      </c>
      <c r="AZ168" t="inlineStr"/>
      <c r="BA168" t="inlineStr">
        <is>
          <t>96149 Bayern - Breitengüßbach</t>
        </is>
      </c>
      <c r="BB168" s="5" t="n">
        <v>45536</v>
      </c>
      <c r="BC168" t="inlineStr">
        <is>
          <t>Sold</t>
        </is>
      </c>
      <c r="BD168" s="6">
        <f>HYPERLINK("https://www.kleinanzeigen.de/s-anzeige/north-sails-duke-6-4-rigg-windsurf-segel-surf/2851937607-230-6906", "Link")</f>
        <v/>
      </c>
      <c r="BE168" s="6">
        <f>HYPERLINK("C:\Projects\Kleinanzeigen-Scraper\offer_images\2851937607", "Link")</f>
        <v/>
      </c>
      <c r="BF168" t="inlineStr">
        <is>
          <t>stefan</t>
        </is>
      </c>
      <c r="BG168" s="6">
        <f>HYPERLINK("https://www.kleinanzeigen.de/s-bestandsliste.html?userId=28091401", "Link")</f>
        <v/>
      </c>
      <c r="BH168" s="7" t="n">
        <v>45536.91001157407</v>
      </c>
      <c r="BI168" s="3" t="inlineStr">
        <is>
          <t>200.94</t>
        </is>
      </c>
      <c r="BJ168" t="inlineStr">
        <is>
          <t>Böblingen</t>
        </is>
      </c>
    </row>
    <row r="169">
      <c r="A169" s="2" t="n">
        <v>10.5</v>
      </c>
      <c r="B169" t="inlineStr">
        <is>
          <t>Neilpryde Streetracer</t>
        </is>
      </c>
      <c r="C169" s="3" t="n">
        <v>520</v>
      </c>
      <c r="D169" s="3" t="inlineStr">
        <is>
          <t>225-275</t>
        </is>
      </c>
      <c r="E169" t="inlineStr">
        <is>
          <t>Freeride</t>
        </is>
      </c>
      <c r="F169" t="inlineStr"/>
      <c r="G169" t="inlineStr">
        <is>
          <t>used</t>
        </is>
      </c>
      <c r="H169" s="4" t="n">
        <v>325</v>
      </c>
      <c r="I169" t="inlineStr"/>
      <c r="J169" t="inlineStr">
        <is>
          <t>10437 Pankow - Prenzlauer Berg</t>
        </is>
      </c>
      <c r="K169" s="5" t="n">
        <v>45539</v>
      </c>
      <c r="L169" t="inlineStr"/>
      <c r="M169" s="6">
        <f>HYPERLINK("https://www.kleinanzeigen.de/s-anzeige/komplett-rigg-neilpryde-10-5-520-carbon-mast-gabel-windsurfen/2850147643-230-3491", "Link")</f>
        <v/>
      </c>
      <c r="N169" s="6">
        <f>HYPERLINK("C:\Projects\Kleinanzeigen-Scraper\offer_images\2850147643", "Link")</f>
        <v/>
      </c>
      <c r="O169" t="inlineStr">
        <is>
          <t>Alexander Stein</t>
        </is>
      </c>
      <c r="P169" s="6">
        <f>HYPERLINK("https://www.kleinanzeigen.de/s-bestandsliste.html?userId=21797721", "Link")</f>
        <v/>
      </c>
      <c r="Q169" s="7" t="n">
        <v>45536.90987268519</v>
      </c>
      <c r="R169" s="3" t="inlineStr">
        <is>
          <t>478.70</t>
        </is>
      </c>
      <c r="S169" t="inlineStr">
        <is>
          <t>Köln</t>
        </is>
      </c>
      <c r="T169" t="inlineStr">
        <is>
          <t>Neilpryde</t>
        </is>
      </c>
      <c r="U169" s="3" t="n">
        <v>520</v>
      </c>
      <c r="V169" s="8" t="inlineStr">
        <is>
          <t>100%</t>
        </is>
      </c>
      <c r="W169" t="inlineStr">
        <is>
          <t>SDM</t>
        </is>
      </c>
      <c r="X169" s="4" t="n">
        <v>325</v>
      </c>
      <c r="Y169" t="inlineStr"/>
      <c r="Z169" t="inlineStr">
        <is>
          <t>10437 Pankow - Prenzlauer Berg</t>
        </is>
      </c>
      <c r="AA169" s="5" t="n">
        <v>45539</v>
      </c>
      <c r="AB169" t="inlineStr"/>
      <c r="AC169" s="6">
        <f>HYPERLINK("https://www.kleinanzeigen.de/s-anzeige/komplett-rigg-neilpryde-10-5-520-carbon-mast-gabel-windsurfen/2850147643-230-3491", "Link")</f>
        <v/>
      </c>
      <c r="AD169" s="6">
        <f>HYPERLINK("C:\Projects\Kleinanzeigen-Scraper\offer_images\2850147643", "Link")</f>
        <v/>
      </c>
      <c r="AE169" t="inlineStr">
        <is>
          <t>Alexander Stein</t>
        </is>
      </c>
      <c r="AF169" s="6">
        <f>HYPERLINK("https://www.kleinanzeigen.de/s-bestandsliste.html?userId=21797721", "Link")</f>
        <v/>
      </c>
      <c r="AG169" s="7" t="n">
        <v>45536.90987268519</v>
      </c>
      <c r="AH169" s="3" t="inlineStr">
        <is>
          <t>478.70</t>
        </is>
      </c>
      <c r="AI169" t="inlineStr">
        <is>
          <t>Köln</t>
        </is>
      </c>
      <c r="AJ169" t="inlineStr">
        <is>
          <t>Gaastra</t>
        </is>
      </c>
      <c r="AK169" t="inlineStr">
        <is>
          <t>225-275</t>
        </is>
      </c>
      <c r="AL169" t="inlineStr"/>
      <c r="AM169" s="4" t="n">
        <v>325</v>
      </c>
      <c r="AN169" t="inlineStr"/>
      <c r="AO169" t="inlineStr">
        <is>
          <t>10437 Pankow - Prenzlauer Berg</t>
        </is>
      </c>
      <c r="AP169" s="5" t="n">
        <v>45539</v>
      </c>
      <c r="AQ169" t="inlineStr"/>
      <c r="AR169" s="6">
        <f>HYPERLINK("https://www.kleinanzeigen.de/s-anzeige/komplett-rigg-neilpryde-10-5-520-carbon-mast-gabel-windsurfen/2850147643-230-3491", "Link")</f>
        <v/>
      </c>
      <c r="AS169" s="6">
        <f>HYPERLINK("C:\Projects\Kleinanzeigen-Scraper\offer_images\2850147643", "Link")</f>
        <v/>
      </c>
      <c r="AT169" t="inlineStr">
        <is>
          <t>Alexander Stein</t>
        </is>
      </c>
      <c r="AU169" s="6">
        <f>HYPERLINK("https://www.kleinanzeigen.de/s-bestandsliste.html?userId=21797721", "Link")</f>
        <v/>
      </c>
      <c r="AV169" s="7" t="n">
        <v>45536.90987268519</v>
      </c>
      <c r="AW169" s="3" t="inlineStr">
        <is>
          <t>478.70</t>
        </is>
      </c>
      <c r="AX169" t="inlineStr">
        <is>
          <t>Köln</t>
        </is>
      </c>
      <c r="AY169" s="4" t="n">
        <v>325</v>
      </c>
      <c r="AZ169" t="inlineStr"/>
      <c r="BA169" t="inlineStr">
        <is>
          <t>10437 Pankow - Prenzlauer Berg</t>
        </is>
      </c>
      <c r="BB169" s="5" t="n">
        <v>45539</v>
      </c>
      <c r="BC169" t="inlineStr"/>
      <c r="BD169" s="6">
        <f>HYPERLINK("https://www.kleinanzeigen.de/s-anzeige/komplett-rigg-neilpryde-10-5-520-carbon-mast-gabel-windsurfen/2850147643-230-3491", "Link")</f>
        <v/>
      </c>
      <c r="BE169" s="6">
        <f>HYPERLINK("C:\Projects\Kleinanzeigen-Scraper\offer_images\2850147643", "Link")</f>
        <v/>
      </c>
      <c r="BF169" t="inlineStr">
        <is>
          <t>Alexander Stein</t>
        </is>
      </c>
      <c r="BG169" s="6">
        <f>HYPERLINK("https://www.kleinanzeigen.de/s-bestandsliste.html?userId=21797721", "Link")</f>
        <v/>
      </c>
      <c r="BH169" s="7" t="n">
        <v>45536.90987268519</v>
      </c>
      <c r="BI169" s="3" t="inlineStr">
        <is>
          <t>478.70</t>
        </is>
      </c>
      <c r="BJ169" t="inlineStr">
        <is>
          <t>Köln</t>
        </is>
      </c>
    </row>
    <row r="170">
      <c r="A170" s="2" t="n">
        <v>6.7</v>
      </c>
      <c r="B170" t="inlineStr">
        <is>
          <t>Neil Pryde Hellcat</t>
        </is>
      </c>
      <c r="C170" s="3" t="n">
        <v>430</v>
      </c>
      <c r="D170" s="3" t="n">
        <v>189</v>
      </c>
      <c r="E170" t="inlineStr"/>
      <c r="F170" t="inlineStr"/>
      <c r="G170" t="inlineStr">
        <is>
          <t>used</t>
        </is>
      </c>
      <c r="H170" s="4" t="n">
        <v>290</v>
      </c>
      <c r="I170" t="inlineStr"/>
      <c r="J170" t="inlineStr">
        <is>
          <t>45772 Nordrhein-Westfalen - Marl</t>
        </is>
      </c>
      <c r="K170" s="5" t="n">
        <v>45531</v>
      </c>
      <c r="L170" t="inlineStr">
        <is>
          <t>Sold</t>
        </is>
      </c>
      <c r="M170" s="6">
        <f>HYPERLINK("https://www.kleinanzeigen.de/s-anzeige/neil-pryde-hellcat-6-7-rigg-windsurfen-segel/2848054030-230-1772", "Link")</f>
        <v/>
      </c>
      <c r="N170" s="6">
        <f>HYPERLINK("C:\Projects\Kleinanzeigen-Scraper\offer_images\2848054030", "Link")</f>
        <v/>
      </c>
      <c r="O170" t="inlineStr">
        <is>
          <t>RRD</t>
        </is>
      </c>
      <c r="P170" s="6">
        <f>HYPERLINK("https://www.kleinanzeigen.de/s-bestandsliste.html?userId=13661901", "Link")</f>
        <v/>
      </c>
      <c r="Q170" s="7" t="n">
        <v>45536.90980324074</v>
      </c>
      <c r="R170" s="3" t="inlineStr">
        <is>
          <t>84.29</t>
        </is>
      </c>
      <c r="S170" t="inlineStr">
        <is>
          <t>Köln</t>
        </is>
      </c>
      <c r="T170" t="inlineStr">
        <is>
          <t>NP Matrix X6</t>
        </is>
      </c>
      <c r="U170" s="3" t="n">
        <v>430</v>
      </c>
      <c r="V170" s="8" t="inlineStr"/>
      <c r="W170" t="inlineStr"/>
      <c r="X170" s="4" t="n">
        <v>290</v>
      </c>
      <c r="Y170" t="inlineStr"/>
      <c r="Z170" t="inlineStr">
        <is>
          <t>45772 Nordrhein-Westfalen - Marl</t>
        </is>
      </c>
      <c r="AA170" s="5" t="n">
        <v>45531</v>
      </c>
      <c r="AB170" t="inlineStr">
        <is>
          <t>Sold</t>
        </is>
      </c>
      <c r="AC170" s="6">
        <f>HYPERLINK("https://www.kleinanzeigen.de/s-anzeige/neil-pryde-hellcat-6-7-rigg-windsurfen-segel/2848054030-230-1772", "Link")</f>
        <v/>
      </c>
      <c r="AD170" s="6">
        <f>HYPERLINK("C:\Projects\Kleinanzeigen-Scraper\offer_images\2848054030", "Link")</f>
        <v/>
      </c>
      <c r="AE170" t="inlineStr">
        <is>
          <t>RRD</t>
        </is>
      </c>
      <c r="AF170" s="6">
        <f>HYPERLINK("https://www.kleinanzeigen.de/s-bestandsliste.html?userId=13661901", "Link")</f>
        <v/>
      </c>
      <c r="AG170" s="7" t="n">
        <v>45536.90980324074</v>
      </c>
      <c r="AH170" s="3" t="inlineStr">
        <is>
          <t>84.29</t>
        </is>
      </c>
      <c r="AI170" t="inlineStr">
        <is>
          <t>Köln</t>
        </is>
      </c>
      <c r="AJ170" t="inlineStr">
        <is>
          <t>NP X3</t>
        </is>
      </c>
      <c r="AK170" t="inlineStr"/>
      <c r="AL170" t="inlineStr"/>
      <c r="AM170" s="4" t="n">
        <v>290</v>
      </c>
      <c r="AN170" t="inlineStr"/>
      <c r="AO170" t="inlineStr">
        <is>
          <t>45772 Nordrhein-Westfalen - Marl</t>
        </is>
      </c>
      <c r="AP170" s="5" t="n">
        <v>45531</v>
      </c>
      <c r="AQ170" t="inlineStr">
        <is>
          <t>Sold</t>
        </is>
      </c>
      <c r="AR170" s="6">
        <f>HYPERLINK("https://www.kleinanzeigen.de/s-anzeige/neil-pryde-hellcat-6-7-rigg-windsurfen-segel/2848054030-230-1772", "Link")</f>
        <v/>
      </c>
      <c r="AS170" s="6">
        <f>HYPERLINK("C:\Projects\Kleinanzeigen-Scraper\offer_images\2848054030", "Link")</f>
        <v/>
      </c>
      <c r="AT170" t="inlineStr">
        <is>
          <t>RRD</t>
        </is>
      </c>
      <c r="AU170" s="6">
        <f>HYPERLINK("https://www.kleinanzeigen.de/s-bestandsliste.html?userId=13661901", "Link")</f>
        <v/>
      </c>
      <c r="AV170" s="7" t="n">
        <v>45536.90980324074</v>
      </c>
      <c r="AW170" s="3" t="inlineStr">
        <is>
          <t>84.29</t>
        </is>
      </c>
      <c r="AX170" t="inlineStr">
        <is>
          <t>Köln</t>
        </is>
      </c>
      <c r="AY170" s="4" t="n">
        <v>290</v>
      </c>
      <c r="AZ170" t="inlineStr"/>
      <c r="BA170" t="inlineStr">
        <is>
          <t>45772 Nordrhein-Westfalen - Marl</t>
        </is>
      </c>
      <c r="BB170" s="5" t="n">
        <v>45531</v>
      </c>
      <c r="BC170" t="inlineStr">
        <is>
          <t>Sold</t>
        </is>
      </c>
      <c r="BD170" s="6">
        <f>HYPERLINK("https://www.kleinanzeigen.de/s-anzeige/neil-pryde-hellcat-6-7-rigg-windsurfen-segel/2848054030-230-1772", "Link")</f>
        <v/>
      </c>
      <c r="BE170" s="6">
        <f>HYPERLINK("C:\Projects\Kleinanzeigen-Scraper\offer_images\2848054030", "Link")</f>
        <v/>
      </c>
      <c r="BF170" t="inlineStr">
        <is>
          <t>RRD</t>
        </is>
      </c>
      <c r="BG170" s="6">
        <f>HYPERLINK("https://www.kleinanzeigen.de/s-bestandsliste.html?userId=13661901", "Link")</f>
        <v/>
      </c>
      <c r="BH170" s="7" t="n">
        <v>45536.90980324074</v>
      </c>
      <c r="BI170" s="3" t="inlineStr">
        <is>
          <t>84.29</t>
        </is>
      </c>
      <c r="BJ170" t="inlineStr">
        <is>
          <t>Köln</t>
        </is>
      </c>
    </row>
    <row r="171">
      <c r="A171" s="2" t="n">
        <v>8.800000000000001</v>
      </c>
      <c r="B171" t="inlineStr"/>
      <c r="C171" s="3" t="n">
        <v>544</v>
      </c>
      <c r="D171" s="3" t="n">
        <v>225</v>
      </c>
      <c r="E171" t="inlineStr"/>
      <c r="F171" t="inlineStr"/>
      <c r="G171" t="inlineStr">
        <is>
          <t>repaired</t>
        </is>
      </c>
      <c r="H171" s="4" t="n">
        <v>120</v>
      </c>
      <c r="I171" t="inlineStr">
        <is>
          <t>VB</t>
        </is>
      </c>
      <c r="J171" t="inlineStr">
        <is>
          <t>04229 Leipzig - Schleußig</t>
        </is>
      </c>
      <c r="K171" s="5" t="n">
        <v>45531</v>
      </c>
      <c r="L171" t="inlineStr">
        <is>
          <t>Sold</t>
        </is>
      </c>
      <c r="M171" s="6">
        <f>HYPERLINK("https://www.kleinanzeigen.de/s-anzeige/8-8-windsurf-segel-inkl-c60-mast/2847414124-230-30155", "Link")</f>
        <v/>
      </c>
      <c r="N171" s="6">
        <f>HYPERLINK("C:\Projects\Kleinanzeigen-Scraper\offer_images\2847414124", "Link")</f>
        <v/>
      </c>
      <c r="O171" t="inlineStr">
        <is>
          <t>Martin</t>
        </is>
      </c>
      <c r="P171" s="6">
        <f>HYPERLINK("https://www.kleinanzeigen.de/s-bestandsliste.html?userId=8472979", "Link")</f>
        <v/>
      </c>
      <c r="Q171" s="7" t="n">
        <v>45536.90961805556</v>
      </c>
      <c r="R171" s="3" t="inlineStr">
        <is>
          <t>358.53</t>
        </is>
      </c>
      <c r="S171" t="inlineStr">
        <is>
          <t>München</t>
        </is>
      </c>
      <c r="T171" t="inlineStr"/>
      <c r="U171" s="3" t="n">
        <v>520</v>
      </c>
      <c r="V171" s="8" t="inlineStr">
        <is>
          <t>60%</t>
        </is>
      </c>
      <c r="W171" t="inlineStr"/>
      <c r="X171" s="4" t="n">
        <v>120</v>
      </c>
      <c r="Y171" t="inlineStr">
        <is>
          <t>VB</t>
        </is>
      </c>
      <c r="Z171" t="inlineStr">
        <is>
          <t>04229 Leipzig - Schleußig</t>
        </is>
      </c>
      <c r="AA171" s="5" t="n">
        <v>45531</v>
      </c>
      <c r="AB171" t="inlineStr">
        <is>
          <t>Sold</t>
        </is>
      </c>
      <c r="AC171" s="6">
        <f>HYPERLINK("https://www.kleinanzeigen.de/s-anzeige/8-8-windsurf-segel-inkl-c60-mast/2847414124-230-30155", "Link")</f>
        <v/>
      </c>
      <c r="AD171" s="6">
        <f>HYPERLINK("C:\Projects\Kleinanzeigen-Scraper\offer_images\2847414124", "Link")</f>
        <v/>
      </c>
      <c r="AE171" t="inlineStr">
        <is>
          <t>Martin</t>
        </is>
      </c>
      <c r="AF171" s="6">
        <f>HYPERLINK("https://www.kleinanzeigen.de/s-bestandsliste.html?userId=8472979", "Link")</f>
        <v/>
      </c>
      <c r="AG171" s="7" t="n">
        <v>45536.90961805556</v>
      </c>
      <c r="AH171" s="3" t="inlineStr">
        <is>
          <t>358.53</t>
        </is>
      </c>
      <c r="AI171" t="inlineStr">
        <is>
          <t>München</t>
        </is>
      </c>
      <c r="AJ171" t="inlineStr"/>
      <c r="AK171" t="inlineStr"/>
      <c r="AL171" t="inlineStr"/>
      <c r="AM171" s="4" t="n">
        <v>120</v>
      </c>
      <c r="AN171" t="inlineStr">
        <is>
          <t>VB</t>
        </is>
      </c>
      <c r="AO171" t="inlineStr">
        <is>
          <t>04229 Leipzig - Schleußig</t>
        </is>
      </c>
      <c r="AP171" s="5" t="n">
        <v>45531</v>
      </c>
      <c r="AQ171" t="inlineStr">
        <is>
          <t>Sold</t>
        </is>
      </c>
      <c r="AR171" s="6">
        <f>HYPERLINK("https://www.kleinanzeigen.de/s-anzeige/8-8-windsurf-segel-inkl-c60-mast/2847414124-230-30155", "Link")</f>
        <v/>
      </c>
      <c r="AS171" s="6">
        <f>HYPERLINK("C:\Projects\Kleinanzeigen-Scraper\offer_images\2847414124", "Link")</f>
        <v/>
      </c>
      <c r="AT171" t="inlineStr">
        <is>
          <t>Martin</t>
        </is>
      </c>
      <c r="AU171" s="6">
        <f>HYPERLINK("https://www.kleinanzeigen.de/s-bestandsliste.html?userId=8472979", "Link")</f>
        <v/>
      </c>
      <c r="AV171" s="7" t="n">
        <v>45536.90961805556</v>
      </c>
      <c r="AW171" s="3" t="inlineStr">
        <is>
          <t>358.53</t>
        </is>
      </c>
      <c r="AX171" t="inlineStr">
        <is>
          <t>München</t>
        </is>
      </c>
      <c r="AY171" s="4" t="n">
        <v>120</v>
      </c>
      <c r="AZ171" t="inlineStr">
        <is>
          <t>VB</t>
        </is>
      </c>
      <c r="BA171" t="inlineStr">
        <is>
          <t>04229 Leipzig - Schleußig</t>
        </is>
      </c>
      <c r="BB171" s="5" t="n">
        <v>45531</v>
      </c>
      <c r="BC171" t="inlineStr">
        <is>
          <t>Sold</t>
        </is>
      </c>
      <c r="BD171" s="6">
        <f>HYPERLINK("https://www.kleinanzeigen.de/s-anzeige/8-8-windsurf-segel-inkl-c60-mast/2847414124-230-30155", "Link")</f>
        <v/>
      </c>
      <c r="BE171" s="6">
        <f>HYPERLINK("C:\Projects\Kleinanzeigen-Scraper\offer_images\2847414124", "Link")</f>
        <v/>
      </c>
      <c r="BF171" t="inlineStr">
        <is>
          <t>Martin</t>
        </is>
      </c>
      <c r="BG171" s="6">
        <f>HYPERLINK("https://www.kleinanzeigen.de/s-bestandsliste.html?userId=8472979", "Link")</f>
        <v/>
      </c>
      <c r="BH171" s="7" t="n">
        <v>45536.90961805556</v>
      </c>
      <c r="BI171" s="3" t="inlineStr">
        <is>
          <t>358.53</t>
        </is>
      </c>
      <c r="BJ171" t="inlineStr">
        <is>
          <t>München</t>
        </is>
      </c>
    </row>
    <row r="172">
      <c r="A172" s="2" t="n">
        <v>4.7</v>
      </c>
      <c r="B172" t="inlineStr">
        <is>
          <t>NEILPRYDE</t>
        </is>
      </c>
      <c r="C172" s="3" t="inlineStr"/>
      <c r="D172" s="3" t="inlineStr"/>
      <c r="E172" t="inlineStr"/>
      <c r="F172" t="inlineStr"/>
      <c r="G172" t="inlineStr">
        <is>
          <t>good</t>
        </is>
      </c>
      <c r="H172" s="4" t="n">
        <v>395</v>
      </c>
      <c r="I172" t="inlineStr">
        <is>
          <t>VB</t>
        </is>
      </c>
      <c r="J172" t="inlineStr">
        <is>
          <t>14558 Brandenburg - Bergholz Rehbrücke</t>
        </is>
      </c>
      <c r="K172" s="5" t="n">
        <v>45526</v>
      </c>
      <c r="L172" t="inlineStr"/>
      <c r="M172" s="6">
        <f>HYPERLINK("https://www.kleinanzeigen.de/s-anzeige/neilpryde-windsurf-komplett-rigg-4-7qm-surfsegel-mast-gabelbaum/2843678114-230-7791", "Link")</f>
        <v/>
      </c>
      <c r="N172" s="6">
        <f>HYPERLINK("C:\Projects\Kleinanzeigen-Scraper\offer_images\2843678114", "Link")</f>
        <v/>
      </c>
      <c r="O172" t="inlineStr">
        <is>
          <t>Sebastian</t>
        </is>
      </c>
      <c r="P172" s="6">
        <f>HYPERLINK("https://www.kleinanzeigen.de/s-bestandsliste.html?userId=12606146", "Link")</f>
        <v/>
      </c>
      <c r="Q172" s="7" t="n">
        <v>45536.90957175926</v>
      </c>
      <c r="R172" s="3" t="inlineStr">
        <is>
          <t>453.79</t>
        </is>
      </c>
      <c r="S172" t="inlineStr">
        <is>
          <t>Köln</t>
        </is>
      </c>
      <c r="T172" t="inlineStr"/>
      <c r="U172" s="3" t="inlineStr"/>
      <c r="V172" s="8" t="inlineStr"/>
      <c r="W172" t="inlineStr"/>
      <c r="X172" s="4" t="n">
        <v>395</v>
      </c>
      <c r="Y172" t="inlineStr">
        <is>
          <t>VB</t>
        </is>
      </c>
      <c r="Z172" t="inlineStr">
        <is>
          <t>14558 Brandenburg - Bergholz Rehbrücke</t>
        </is>
      </c>
      <c r="AA172" s="5" t="n">
        <v>45526</v>
      </c>
      <c r="AB172" t="inlineStr"/>
      <c r="AC172" s="6">
        <f>HYPERLINK("https://www.kleinanzeigen.de/s-anzeige/neilpryde-windsurf-komplett-rigg-4-7qm-surfsegel-mast-gabelbaum/2843678114-230-7791", "Link")</f>
        <v/>
      </c>
      <c r="AD172" s="6">
        <f>HYPERLINK("C:\Projects\Kleinanzeigen-Scraper\offer_images\2843678114", "Link")</f>
        <v/>
      </c>
      <c r="AE172" t="inlineStr">
        <is>
          <t>Sebastian</t>
        </is>
      </c>
      <c r="AF172" s="6">
        <f>HYPERLINK("https://www.kleinanzeigen.de/s-bestandsliste.html?userId=12606146", "Link")</f>
        <v/>
      </c>
      <c r="AG172" s="7" t="n">
        <v>45536.90957175926</v>
      </c>
      <c r="AH172" s="3" t="inlineStr">
        <is>
          <t>453.79</t>
        </is>
      </c>
      <c r="AI172" t="inlineStr">
        <is>
          <t>Köln</t>
        </is>
      </c>
      <c r="AJ172" t="inlineStr"/>
      <c r="AK172" t="inlineStr"/>
      <c r="AL172" t="inlineStr"/>
      <c r="AM172" s="4" t="n">
        <v>395</v>
      </c>
      <c r="AN172" t="inlineStr">
        <is>
          <t>VB</t>
        </is>
      </c>
      <c r="AO172" t="inlineStr">
        <is>
          <t>14558 Brandenburg - Bergholz Rehbrücke</t>
        </is>
      </c>
      <c r="AP172" s="5" t="n">
        <v>45526</v>
      </c>
      <c r="AQ172" t="inlineStr"/>
      <c r="AR172" s="6">
        <f>HYPERLINK("https://www.kleinanzeigen.de/s-anzeige/neilpryde-windsurf-komplett-rigg-4-7qm-surfsegel-mast-gabelbaum/2843678114-230-7791", "Link")</f>
        <v/>
      </c>
      <c r="AS172" s="6">
        <f>HYPERLINK("C:\Projects\Kleinanzeigen-Scraper\offer_images\2843678114", "Link")</f>
        <v/>
      </c>
      <c r="AT172" t="inlineStr">
        <is>
          <t>Sebastian</t>
        </is>
      </c>
      <c r="AU172" s="6">
        <f>HYPERLINK("https://www.kleinanzeigen.de/s-bestandsliste.html?userId=12606146", "Link")</f>
        <v/>
      </c>
      <c r="AV172" s="7" t="n">
        <v>45536.90957175926</v>
      </c>
      <c r="AW172" s="3" t="inlineStr">
        <is>
          <t>453.79</t>
        </is>
      </c>
      <c r="AX172" t="inlineStr">
        <is>
          <t>Köln</t>
        </is>
      </c>
      <c r="AY172" s="4" t="n">
        <v>395</v>
      </c>
      <c r="AZ172" t="inlineStr">
        <is>
          <t>VB</t>
        </is>
      </c>
      <c r="BA172" t="inlineStr">
        <is>
          <t>14558 Brandenburg - Bergholz Rehbrücke</t>
        </is>
      </c>
      <c r="BB172" s="5" t="n">
        <v>45526</v>
      </c>
      <c r="BC172" t="inlineStr"/>
      <c r="BD172" s="6">
        <f>HYPERLINK("https://www.kleinanzeigen.de/s-anzeige/neilpryde-windsurf-komplett-rigg-4-7qm-surfsegel-mast-gabelbaum/2843678114-230-7791", "Link")</f>
        <v/>
      </c>
      <c r="BE172" s="6">
        <f>HYPERLINK("C:\Projects\Kleinanzeigen-Scraper\offer_images\2843678114", "Link")</f>
        <v/>
      </c>
      <c r="BF172" t="inlineStr">
        <is>
          <t>Sebastian</t>
        </is>
      </c>
      <c r="BG172" s="6">
        <f>HYPERLINK("https://www.kleinanzeigen.de/s-bestandsliste.html?userId=12606146", "Link")</f>
        <v/>
      </c>
      <c r="BH172" s="7" t="n">
        <v>45536.90957175926</v>
      </c>
      <c r="BI172" s="3" t="inlineStr">
        <is>
          <t>453.79</t>
        </is>
      </c>
      <c r="BJ172" t="inlineStr">
        <is>
          <t>Köln</t>
        </is>
      </c>
    </row>
    <row r="173">
      <c r="A173" s="2" t="n">
        <v>9.800000000000001</v>
      </c>
      <c r="B173" t="inlineStr">
        <is>
          <t>NeilPryde V8</t>
        </is>
      </c>
      <c r="C173" s="3" t="n">
        <v>520</v>
      </c>
      <c r="D173" s="3" t="inlineStr"/>
      <c r="E173" t="inlineStr"/>
      <c r="F173" t="inlineStr"/>
      <c r="G173" t="inlineStr">
        <is>
          <t>used, repaired</t>
        </is>
      </c>
      <c r="H173" s="4" t="n">
        <v>195</v>
      </c>
      <c r="I173" t="inlineStr">
        <is>
          <t>VB</t>
        </is>
      </c>
      <c r="J173" t="inlineStr">
        <is>
          <t>24975 Schleswig-Holstein - Maasbüll</t>
        </is>
      </c>
      <c r="K173" s="5" t="n">
        <v>45533</v>
      </c>
      <c r="L173" t="inlineStr">
        <is>
          <t>Sold</t>
        </is>
      </c>
      <c r="M173" s="6">
        <f>HYPERLINK("https://www.kleinanzeigen.de/s-anzeige/neilpryde-v8-9-8m2-windsurf-segel-incl-mast-gabel/2849082084-230-725", "Link")</f>
        <v/>
      </c>
      <c r="N173" s="6">
        <f>HYPERLINK("C:\Projects\Kleinanzeigen-Scraper\offer_images\2849082084", "Link")</f>
        <v/>
      </c>
      <c r="O173" t="inlineStr">
        <is>
          <t>Mo</t>
        </is>
      </c>
      <c r="P173" s="6">
        <f>HYPERLINK("https://www.kleinanzeigen.de/s-bestandsliste.html?userId=9081421", "Link")</f>
        <v/>
      </c>
      <c r="Q173" s="7" t="n">
        <v>45536.90953703703</v>
      </c>
      <c r="R173" s="3" t="inlineStr">
        <is>
          <t>458.46</t>
        </is>
      </c>
      <c r="S173" t="inlineStr">
        <is>
          <t>Köln</t>
        </is>
      </c>
      <c r="T173" t="inlineStr">
        <is>
          <t>NeilPryde</t>
        </is>
      </c>
      <c r="U173" s="3" t="n">
        <v>520</v>
      </c>
      <c r="V173" s="8" t="inlineStr"/>
      <c r="W173" t="inlineStr"/>
      <c r="X173" s="4" t="n">
        <v>195</v>
      </c>
      <c r="Y173" t="inlineStr">
        <is>
          <t>VB</t>
        </is>
      </c>
      <c r="Z173" t="inlineStr">
        <is>
          <t>24975 Schleswig-Holstein - Maasbüll</t>
        </is>
      </c>
      <c r="AA173" s="5" t="n">
        <v>45533</v>
      </c>
      <c r="AB173" t="inlineStr">
        <is>
          <t>Sold</t>
        </is>
      </c>
      <c r="AC173" s="6">
        <f>HYPERLINK("https://www.kleinanzeigen.de/s-anzeige/neilpryde-v8-9-8m2-windsurf-segel-incl-mast-gabel/2849082084-230-725", "Link")</f>
        <v/>
      </c>
      <c r="AD173" s="6">
        <f>HYPERLINK("C:\Projects\Kleinanzeigen-Scraper\offer_images\2849082084", "Link")</f>
        <v/>
      </c>
      <c r="AE173" t="inlineStr">
        <is>
          <t>Mo</t>
        </is>
      </c>
      <c r="AF173" s="6">
        <f>HYPERLINK("https://www.kleinanzeigen.de/s-bestandsliste.html?userId=9081421", "Link")</f>
        <v/>
      </c>
      <c r="AG173" s="7" t="n">
        <v>45536.90953703703</v>
      </c>
      <c r="AH173" s="3" t="inlineStr">
        <is>
          <t>458.46</t>
        </is>
      </c>
      <c r="AI173" t="inlineStr">
        <is>
          <t>Köln</t>
        </is>
      </c>
      <c r="AJ173" t="inlineStr">
        <is>
          <t>Ascan</t>
        </is>
      </c>
      <c r="AK173" t="inlineStr"/>
      <c r="AL173" t="inlineStr"/>
      <c r="AM173" s="4" t="n">
        <v>195</v>
      </c>
      <c r="AN173" t="inlineStr">
        <is>
          <t>VB</t>
        </is>
      </c>
      <c r="AO173" t="inlineStr">
        <is>
          <t>24975 Schleswig-Holstein - Maasbüll</t>
        </is>
      </c>
      <c r="AP173" s="5" t="n">
        <v>45533</v>
      </c>
      <c r="AQ173" t="inlineStr">
        <is>
          <t>Sold</t>
        </is>
      </c>
      <c r="AR173" s="6">
        <f>HYPERLINK("https://www.kleinanzeigen.de/s-anzeige/neilpryde-v8-9-8m2-windsurf-segel-incl-mast-gabel/2849082084-230-725", "Link")</f>
        <v/>
      </c>
      <c r="AS173" s="6">
        <f>HYPERLINK("C:\Projects\Kleinanzeigen-Scraper\offer_images\2849082084", "Link")</f>
        <v/>
      </c>
      <c r="AT173" t="inlineStr">
        <is>
          <t>Mo</t>
        </is>
      </c>
      <c r="AU173" s="6">
        <f>HYPERLINK("https://www.kleinanzeigen.de/s-bestandsliste.html?userId=9081421", "Link")</f>
        <v/>
      </c>
      <c r="AV173" s="7" t="n">
        <v>45536.90953703703</v>
      </c>
      <c r="AW173" s="3" t="inlineStr">
        <is>
          <t>458.46</t>
        </is>
      </c>
      <c r="AX173" t="inlineStr">
        <is>
          <t>Köln</t>
        </is>
      </c>
      <c r="AY173" s="4" t="n">
        <v>195</v>
      </c>
      <c r="AZ173" t="inlineStr">
        <is>
          <t>VB</t>
        </is>
      </c>
      <c r="BA173" t="inlineStr">
        <is>
          <t>24975 Schleswig-Holstein - Maasbüll</t>
        </is>
      </c>
      <c r="BB173" s="5" t="n">
        <v>45533</v>
      </c>
      <c r="BC173" t="inlineStr">
        <is>
          <t>Sold</t>
        </is>
      </c>
      <c r="BD173" s="6">
        <f>HYPERLINK("https://www.kleinanzeigen.de/s-anzeige/neilpryde-v8-9-8m2-windsurf-segel-incl-mast-gabel/2849082084-230-725", "Link")</f>
        <v/>
      </c>
      <c r="BE173" s="6">
        <f>HYPERLINK("C:\Projects\Kleinanzeigen-Scraper\offer_images\2849082084", "Link")</f>
        <v/>
      </c>
      <c r="BF173" t="inlineStr">
        <is>
          <t>Mo</t>
        </is>
      </c>
      <c r="BG173" s="6">
        <f>HYPERLINK("https://www.kleinanzeigen.de/s-bestandsliste.html?userId=9081421", "Link")</f>
        <v/>
      </c>
      <c r="BH173" s="7" t="n">
        <v>45536.90953703703</v>
      </c>
      <c r="BI173" s="3" t="inlineStr">
        <is>
          <t>458.46</t>
        </is>
      </c>
      <c r="BJ173" t="inlineStr">
        <is>
          <t>Köln</t>
        </is>
      </c>
    </row>
    <row r="174">
      <c r="A174" s="2" t="n">
        <v>7.4</v>
      </c>
      <c r="B174" t="inlineStr">
        <is>
          <t>Neilpryde RAF Supersonic</t>
        </is>
      </c>
      <c r="C174" s="3" t="n">
        <v>460</v>
      </c>
      <c r="D174" s="3" t="n">
        <v>185</v>
      </c>
      <c r="E174" t="inlineStr">
        <is>
          <t>Freeride</t>
        </is>
      </c>
      <c r="F174" t="inlineStr"/>
      <c r="G174" t="inlineStr">
        <is>
          <t>new</t>
        </is>
      </c>
      <c r="H174" s="4" t="n">
        <v>199</v>
      </c>
      <c r="I174" t="inlineStr"/>
      <c r="J174" t="inlineStr">
        <is>
          <t>82229 Bayern - Seefeld</t>
        </is>
      </c>
      <c r="K174" s="5" t="n">
        <v>45535</v>
      </c>
      <c r="L174" t="inlineStr">
        <is>
          <t>Sold</t>
        </is>
      </c>
      <c r="M174" s="6">
        <f>HYPERLINK("https://www.kleinanzeigen.de/s-anzeige/windsurf-komplett-rigg-neilpryde-7-4qm-raf-supersonic-freeride/2850497393-230-5519", "Link")</f>
        <v/>
      </c>
      <c r="N174" s="6">
        <f>HYPERLINK("C:\Projects\Kleinanzeigen-Scraper\offer_images\2850497393", "Link")</f>
        <v/>
      </c>
      <c r="O174" t="inlineStr">
        <is>
          <t>Tobias</t>
        </is>
      </c>
      <c r="P174" s="6">
        <f>HYPERLINK("https://www.kleinanzeigen.de/s-bestandsliste.html?userId=26072985", "Link")</f>
        <v/>
      </c>
      <c r="Q174" s="7" t="n">
        <v>45536.90952546296</v>
      </c>
      <c r="R174" s="3" t="inlineStr">
        <is>
          <t>27.49</t>
        </is>
      </c>
      <c r="S174" t="inlineStr">
        <is>
          <t>München</t>
        </is>
      </c>
      <c r="T174" t="inlineStr">
        <is>
          <t>Neilpryde Freeride Pro</t>
        </is>
      </c>
      <c r="U174" s="3" t="n">
        <v>460</v>
      </c>
      <c r="V174" s="8" t="inlineStr"/>
      <c r="W174" t="inlineStr"/>
      <c r="X174" s="4" t="n">
        <v>199</v>
      </c>
      <c r="Y174" t="inlineStr"/>
      <c r="Z174" t="inlineStr">
        <is>
          <t>82229 Bayern - Seefeld</t>
        </is>
      </c>
      <c r="AA174" s="5" t="n">
        <v>45535</v>
      </c>
      <c r="AB174" t="inlineStr">
        <is>
          <t>Sold</t>
        </is>
      </c>
      <c r="AC174" s="6">
        <f>HYPERLINK("https://www.kleinanzeigen.de/s-anzeige/windsurf-komplett-rigg-neilpryde-7-4qm-raf-supersonic-freeride/2850497393-230-5519", "Link")</f>
        <v/>
      </c>
      <c r="AD174" s="6">
        <f>HYPERLINK("C:\Projects\Kleinanzeigen-Scraper\offer_images\2850497393", "Link")</f>
        <v/>
      </c>
      <c r="AE174" t="inlineStr">
        <is>
          <t>Tobias</t>
        </is>
      </c>
      <c r="AF174" s="6">
        <f>HYPERLINK("https://www.kleinanzeigen.de/s-bestandsliste.html?userId=26072985", "Link")</f>
        <v/>
      </c>
      <c r="AG174" s="7" t="n">
        <v>45536.90952546296</v>
      </c>
      <c r="AH174" s="3" t="inlineStr">
        <is>
          <t>27.49</t>
        </is>
      </c>
      <c r="AI174" t="inlineStr">
        <is>
          <t>München</t>
        </is>
      </c>
      <c r="AJ174" t="inlineStr">
        <is>
          <t>Neilpryde Freeride</t>
        </is>
      </c>
      <c r="AK174" t="inlineStr">
        <is>
          <t>185</t>
        </is>
      </c>
      <c r="AL174" t="inlineStr"/>
      <c r="AM174" s="4" t="n">
        <v>199</v>
      </c>
      <c r="AN174" t="inlineStr"/>
      <c r="AO174" t="inlineStr">
        <is>
          <t>82229 Bayern - Seefeld</t>
        </is>
      </c>
      <c r="AP174" s="5" t="n">
        <v>45535</v>
      </c>
      <c r="AQ174" t="inlineStr">
        <is>
          <t>Sold</t>
        </is>
      </c>
      <c r="AR174" s="6">
        <f>HYPERLINK("https://www.kleinanzeigen.de/s-anzeige/windsurf-komplett-rigg-neilpryde-7-4qm-raf-supersonic-freeride/2850497393-230-5519", "Link")</f>
        <v/>
      </c>
      <c r="AS174" s="6">
        <f>HYPERLINK("C:\Projects\Kleinanzeigen-Scraper\offer_images\2850497393", "Link")</f>
        <v/>
      </c>
      <c r="AT174" t="inlineStr">
        <is>
          <t>Tobias</t>
        </is>
      </c>
      <c r="AU174" s="6">
        <f>HYPERLINK("https://www.kleinanzeigen.de/s-bestandsliste.html?userId=26072985", "Link")</f>
        <v/>
      </c>
      <c r="AV174" s="7" t="n">
        <v>45536.90952546296</v>
      </c>
      <c r="AW174" s="3" t="inlineStr">
        <is>
          <t>27.49</t>
        </is>
      </c>
      <c r="AX174" t="inlineStr">
        <is>
          <t>München</t>
        </is>
      </c>
      <c r="AY174" s="4" t="n">
        <v>199</v>
      </c>
      <c r="AZ174" t="inlineStr"/>
      <c r="BA174" t="inlineStr">
        <is>
          <t>82229 Bayern - Seefeld</t>
        </is>
      </c>
      <c r="BB174" s="5" t="n">
        <v>45535</v>
      </c>
      <c r="BC174" t="inlineStr">
        <is>
          <t>Sold</t>
        </is>
      </c>
      <c r="BD174" s="6">
        <f>HYPERLINK("https://www.kleinanzeigen.de/s-anzeige/windsurf-komplett-rigg-neilpryde-7-4qm-raf-supersonic-freeride/2850497393-230-5519", "Link")</f>
        <v/>
      </c>
      <c r="BE174" s="6">
        <f>HYPERLINK("C:\Projects\Kleinanzeigen-Scraper\offer_images\2850497393", "Link")</f>
        <v/>
      </c>
      <c r="BF174" t="inlineStr">
        <is>
          <t>Tobias</t>
        </is>
      </c>
      <c r="BG174" s="6">
        <f>HYPERLINK("https://www.kleinanzeigen.de/s-bestandsliste.html?userId=26072985", "Link")</f>
        <v/>
      </c>
      <c r="BH174" s="7" t="n">
        <v>45536.90952546296</v>
      </c>
      <c r="BI174" s="3" t="inlineStr">
        <is>
          <t>27.49</t>
        </is>
      </c>
      <c r="BJ174" t="inlineStr">
        <is>
          <t>München</t>
        </is>
      </c>
    </row>
    <row r="175">
      <c r="A175" s="2" t="n">
        <v>9.6</v>
      </c>
      <c r="B175" t="inlineStr">
        <is>
          <t>Gunsails Vector</t>
        </is>
      </c>
      <c r="C175" s="3" t="n">
        <v>520</v>
      </c>
      <c r="D175" s="3" t="n">
        <v>236</v>
      </c>
      <c r="E175" t="inlineStr"/>
      <c r="F175" t="inlineStr"/>
      <c r="G175" t="inlineStr">
        <is>
          <t>used</t>
        </is>
      </c>
      <c r="H175" s="4" t="n">
        <v>470</v>
      </c>
      <c r="I175" t="inlineStr"/>
      <c r="J175" t="inlineStr">
        <is>
          <t>26129 Niedersachsen - Oldenburg</t>
        </is>
      </c>
      <c r="K175" s="5" t="n">
        <v>45533</v>
      </c>
      <c r="L175" t="inlineStr">
        <is>
          <t>Sold</t>
        </is>
      </c>
      <c r="M175" s="6">
        <f>HYPERLINK("https://www.kleinanzeigen.de/s-anzeige/gunsails-vector-9-6qm-mit-gunsails-expert-carbonmast-windsurf/2849149804-230-3113", "Link")</f>
        <v/>
      </c>
      <c r="N175" s="6">
        <f>HYPERLINK("C:\Projects\Kleinanzeigen-Scraper\offer_images\2849149804", "Link")</f>
        <v/>
      </c>
      <c r="O175" t="inlineStr">
        <is>
          <t>Stefan</t>
        </is>
      </c>
      <c r="P175" s="6">
        <f>HYPERLINK("https://www.kleinanzeigen.de/s-bestandsliste.html?userId=4116163", "Link")</f>
        <v/>
      </c>
      <c r="Q175" s="7" t="n">
        <v>45536.9094675926</v>
      </c>
      <c r="R175" s="3" t="inlineStr">
        <is>
          <t>259.47</t>
        </is>
      </c>
      <c r="S175" t="inlineStr">
        <is>
          <t>Köln</t>
        </is>
      </c>
      <c r="T175" t="inlineStr">
        <is>
          <t>Gunsails Expert</t>
        </is>
      </c>
      <c r="U175" s="3" t="n">
        <v>490</v>
      </c>
      <c r="V175" s="8" t="inlineStr">
        <is>
          <t>79-75 %</t>
        </is>
      </c>
      <c r="W175" t="inlineStr">
        <is>
          <t>SDM</t>
        </is>
      </c>
      <c r="X175" s="4" t="n">
        <v>470</v>
      </c>
      <c r="Y175" t="inlineStr"/>
      <c r="Z175" t="inlineStr">
        <is>
          <t>26129 Niedersachsen - Oldenburg</t>
        </is>
      </c>
      <c r="AA175" s="5" t="n">
        <v>45533</v>
      </c>
      <c r="AB175" t="inlineStr">
        <is>
          <t>Sold</t>
        </is>
      </c>
      <c r="AC175" s="6">
        <f>HYPERLINK("https://www.kleinanzeigen.de/s-anzeige/gunsails-vector-9-6qm-mit-gunsails-expert-carbonmast-windsurf/2849149804-230-3113", "Link")</f>
        <v/>
      </c>
      <c r="AD175" s="6">
        <f>HYPERLINK("C:\Projects\Kleinanzeigen-Scraper\offer_images\2849149804", "Link")</f>
        <v/>
      </c>
      <c r="AE175" t="inlineStr">
        <is>
          <t>Stefan</t>
        </is>
      </c>
      <c r="AF175" s="6">
        <f>HYPERLINK("https://www.kleinanzeigen.de/s-bestandsliste.html?userId=4116163", "Link")</f>
        <v/>
      </c>
      <c r="AG175" s="7" t="n">
        <v>45536.9094675926</v>
      </c>
      <c r="AH175" s="3" t="inlineStr">
        <is>
          <t>259.47</t>
        </is>
      </c>
      <c r="AI175" t="inlineStr">
        <is>
          <t>Köln</t>
        </is>
      </c>
      <c r="AJ175" t="inlineStr"/>
      <c r="AK175" t="inlineStr"/>
      <c r="AL175" t="inlineStr"/>
      <c r="AM175" s="4" t="n">
        <v>470</v>
      </c>
      <c r="AN175" t="inlineStr"/>
      <c r="AO175" t="inlineStr">
        <is>
          <t>26129 Niedersachsen - Oldenburg</t>
        </is>
      </c>
      <c r="AP175" s="5" t="n">
        <v>45533</v>
      </c>
      <c r="AQ175" t="inlineStr">
        <is>
          <t>Sold</t>
        </is>
      </c>
      <c r="AR175" s="6">
        <f>HYPERLINK("https://www.kleinanzeigen.de/s-anzeige/gunsails-vector-9-6qm-mit-gunsails-expert-carbonmast-windsurf/2849149804-230-3113", "Link")</f>
        <v/>
      </c>
      <c r="AS175" s="6">
        <f>HYPERLINK("C:\Projects\Kleinanzeigen-Scraper\offer_images\2849149804", "Link")</f>
        <v/>
      </c>
      <c r="AT175" t="inlineStr">
        <is>
          <t>Stefan</t>
        </is>
      </c>
      <c r="AU175" s="6">
        <f>HYPERLINK("https://www.kleinanzeigen.de/s-bestandsliste.html?userId=4116163", "Link")</f>
        <v/>
      </c>
      <c r="AV175" s="7" t="n">
        <v>45536.9094675926</v>
      </c>
      <c r="AW175" s="3" t="inlineStr">
        <is>
          <t>259.47</t>
        </is>
      </c>
      <c r="AX175" t="inlineStr">
        <is>
          <t>Köln</t>
        </is>
      </c>
      <c r="AY175" s="4" t="n">
        <v>470</v>
      </c>
      <c r="AZ175" t="inlineStr"/>
      <c r="BA175" t="inlineStr">
        <is>
          <t>26129 Niedersachsen - Oldenburg</t>
        </is>
      </c>
      <c r="BB175" s="5" t="n">
        <v>45533</v>
      </c>
      <c r="BC175" t="inlineStr">
        <is>
          <t>Sold</t>
        </is>
      </c>
      <c r="BD175" s="6">
        <f>HYPERLINK("https://www.kleinanzeigen.de/s-anzeige/gunsails-vector-9-6qm-mit-gunsails-expert-carbonmast-windsurf/2849149804-230-3113", "Link")</f>
        <v/>
      </c>
      <c r="BE175" s="6">
        <f>HYPERLINK("C:\Projects\Kleinanzeigen-Scraper\offer_images\2849149804", "Link")</f>
        <v/>
      </c>
      <c r="BF175" t="inlineStr">
        <is>
          <t>Stefan</t>
        </is>
      </c>
      <c r="BG175" s="6">
        <f>HYPERLINK("https://www.kleinanzeigen.de/s-bestandsliste.html?userId=4116163", "Link")</f>
        <v/>
      </c>
      <c r="BH175" s="7" t="n">
        <v>45536.9094675926</v>
      </c>
      <c r="BI175" s="3" t="inlineStr">
        <is>
          <t>259.47</t>
        </is>
      </c>
      <c r="BJ175" t="inlineStr">
        <is>
          <t>Köln</t>
        </is>
      </c>
    </row>
    <row r="176">
      <c r="A176" s="2" t="n">
        <v>7.5</v>
      </c>
      <c r="B176" t="inlineStr">
        <is>
          <t>Neil Pryde Helium V8</t>
        </is>
      </c>
      <c r="C176" s="3" t="n">
        <v>460</v>
      </c>
      <c r="D176" s="3" t="n">
        <v>212</v>
      </c>
      <c r="E176" t="inlineStr">
        <is>
          <t>Leichtwind</t>
        </is>
      </c>
      <c r="F176" t="inlineStr"/>
      <c r="G176" t="inlineStr">
        <is>
          <t>used</t>
        </is>
      </c>
      <c r="H176" s="4" t="n">
        <v>200</v>
      </c>
      <c r="I176" t="inlineStr">
        <is>
          <t>VB</t>
        </is>
      </c>
      <c r="J176" t="inlineStr">
        <is>
          <t>72250 Freudenstadt</t>
        </is>
      </c>
      <c r="K176" s="5" t="n">
        <v>45534</v>
      </c>
      <c r="L176" t="inlineStr">
        <is>
          <t>Sold</t>
        </is>
      </c>
      <c r="M176" s="6">
        <f>HYPERLINK("https://www.dailydose.de/kleinanzeigen/detail.htm?ai=421814&amp;cf=kk&amp;pg=5&amp;ci=5", "Link")</f>
        <v/>
      </c>
      <c r="N176" s="6">
        <f>HYPERLINK("C:\Projects\Kleinanzeigen-Scraper\offer_images\421814", "Link")</f>
        <v/>
      </c>
      <c r="O176" t="inlineStr">
        <is>
          <t>Roman_66</t>
        </is>
      </c>
      <c r="P176" s="6">
        <f>HYPERLINK("https://www.dailydose.de/kleinanzeigen/user/20303", "Link")</f>
        <v/>
      </c>
      <c r="Q176" s="7" t="n">
        <v>45535.59357638889</v>
      </c>
      <c r="R176" s="3" t="inlineStr">
        <is>
          <t>47.96</t>
        </is>
      </c>
      <c r="S176" t="inlineStr">
        <is>
          <t>Böblingen</t>
        </is>
      </c>
      <c r="T176" t="inlineStr">
        <is>
          <t>Neil Pryde 460 X3</t>
        </is>
      </c>
      <c r="U176" s="3" t="n">
        <v>460</v>
      </c>
      <c r="V176" s="8" t="inlineStr"/>
      <c r="W176" t="inlineStr">
        <is>
          <t>SDM</t>
        </is>
      </c>
      <c r="X176" s="4" t="n">
        <v>200</v>
      </c>
      <c r="Y176" t="inlineStr">
        <is>
          <t>VB</t>
        </is>
      </c>
      <c r="Z176" t="inlineStr">
        <is>
          <t>72250 Freudenstadt</t>
        </is>
      </c>
      <c r="AA176" s="5" t="n">
        <v>45534</v>
      </c>
      <c r="AB176" t="inlineStr">
        <is>
          <t>Sold</t>
        </is>
      </c>
      <c r="AC176" s="6">
        <f>HYPERLINK("https://www.dailydose.de/kleinanzeigen/detail.htm?ai=421814&amp;cf=kk&amp;pg=5&amp;ci=5", "Link")</f>
        <v/>
      </c>
      <c r="AD176" s="6">
        <f>HYPERLINK("C:\Projects\Kleinanzeigen-Scraper\offer_images\421814", "Link")</f>
        <v/>
      </c>
      <c r="AE176" t="inlineStr">
        <is>
          <t>Roman_66</t>
        </is>
      </c>
      <c r="AF176" s="6">
        <f>HYPERLINK("https://www.dailydose.de/kleinanzeigen/user/20303", "Link")</f>
        <v/>
      </c>
      <c r="AG176" s="7" t="n">
        <v>45535.59357638889</v>
      </c>
      <c r="AH176" s="3" t="inlineStr">
        <is>
          <t>47.96</t>
        </is>
      </c>
      <c r="AI176" t="inlineStr">
        <is>
          <t>Böblingen</t>
        </is>
      </c>
      <c r="AJ176" t="inlineStr">
        <is>
          <t>Chinook Pro 1 alloy</t>
        </is>
      </c>
      <c r="AK176" t="inlineStr">
        <is>
          <t>165-227</t>
        </is>
      </c>
      <c r="AL176" t="inlineStr"/>
      <c r="AM176" s="4" t="n">
        <v>200</v>
      </c>
      <c r="AN176" t="inlineStr">
        <is>
          <t>VB</t>
        </is>
      </c>
      <c r="AO176" t="inlineStr">
        <is>
          <t>72250 Freudenstadt</t>
        </is>
      </c>
      <c r="AP176" s="5" t="n">
        <v>45534</v>
      </c>
      <c r="AQ176" t="inlineStr">
        <is>
          <t>Sold</t>
        </is>
      </c>
      <c r="AR176" s="6">
        <f>HYPERLINK("https://www.dailydose.de/kleinanzeigen/detail.htm?ai=421814&amp;cf=kk&amp;pg=5&amp;ci=5", "Link")</f>
        <v/>
      </c>
      <c r="AS176" s="6">
        <f>HYPERLINK("C:\Projects\Kleinanzeigen-Scraper\offer_images\421814", "Link")</f>
        <v/>
      </c>
      <c r="AT176" t="inlineStr">
        <is>
          <t>Roman_66</t>
        </is>
      </c>
      <c r="AU176" s="6">
        <f>HYPERLINK("https://www.dailydose.de/kleinanzeigen/user/20303", "Link")</f>
        <v/>
      </c>
      <c r="AV176" s="7" t="n">
        <v>45535.59357638889</v>
      </c>
      <c r="AW176" s="3" t="inlineStr">
        <is>
          <t>47.96</t>
        </is>
      </c>
      <c r="AX176" t="inlineStr">
        <is>
          <t>Böblingen</t>
        </is>
      </c>
      <c r="AY176" s="4" t="n">
        <v>200</v>
      </c>
      <c r="AZ176" t="inlineStr">
        <is>
          <t>VB</t>
        </is>
      </c>
      <c r="BA176" t="inlineStr">
        <is>
          <t>72250 Freudenstadt</t>
        </is>
      </c>
      <c r="BB176" s="5" t="n">
        <v>45534</v>
      </c>
      <c r="BC176" t="inlineStr">
        <is>
          <t>Sold</t>
        </is>
      </c>
      <c r="BD176" s="6">
        <f>HYPERLINK("https://www.dailydose.de/kleinanzeigen/detail.htm?ai=421814&amp;cf=kk&amp;pg=5&amp;ci=5", "Link")</f>
        <v/>
      </c>
      <c r="BE176" s="6">
        <f>HYPERLINK("C:\Projects\Kleinanzeigen-Scraper\offer_images\421814", "Link")</f>
        <v/>
      </c>
      <c r="BF176" t="inlineStr">
        <is>
          <t>Roman_66</t>
        </is>
      </c>
      <c r="BG176" s="6">
        <f>HYPERLINK("https://www.dailydose.de/kleinanzeigen/user/20303", "Link")</f>
        <v/>
      </c>
      <c r="BH176" s="7" t="n">
        <v>45535.59357638889</v>
      </c>
      <c r="BI176" s="3" t="inlineStr">
        <is>
          <t>47.96</t>
        </is>
      </c>
      <c r="BJ176" t="inlineStr">
        <is>
          <t>Böblingen</t>
        </is>
      </c>
    </row>
    <row r="177">
      <c r="A177" s="2" t="n">
        <v>7.5</v>
      </c>
      <c r="B177" t="inlineStr">
        <is>
          <t>Neil Pryde Helium V8</t>
        </is>
      </c>
      <c r="C177" s="3" t="n">
        <v>460</v>
      </c>
      <c r="D177" s="3" t="n">
        <v>212</v>
      </c>
      <c r="E177" t="inlineStr">
        <is>
          <t>Leichtwind</t>
        </is>
      </c>
      <c r="F177" t="inlineStr"/>
      <c r="G177" t="inlineStr">
        <is>
          <t>used</t>
        </is>
      </c>
      <c r="H177" s="4" t="n">
        <v>200</v>
      </c>
      <c r="I177" t="inlineStr">
        <is>
          <t>VB</t>
        </is>
      </c>
      <c r="J177" t="inlineStr">
        <is>
          <t>72250 Baden-Württemberg - Freudenstadt</t>
        </is>
      </c>
      <c r="K177" s="5" t="n">
        <v>45534</v>
      </c>
      <c r="L177" t="inlineStr">
        <is>
          <t>Sold</t>
        </is>
      </c>
      <c r="M177" s="6">
        <f>HYPERLINK("https://www.kleinanzeigen.de/s-anzeige/neil-pryde-helium-v8-7-5-leichtwind-segel-windsurfen-rigg/2850203602-230-8980", "Link")</f>
        <v/>
      </c>
      <c r="N177" s="6">
        <f>HYPERLINK("C:\Projects\Kleinanzeigen-Scraper\offer_images\2850203602", "Link")</f>
        <v/>
      </c>
      <c r="O177" t="inlineStr">
        <is>
          <t>Roman</t>
        </is>
      </c>
      <c r="P177" s="6">
        <f>HYPERLINK("https://www.kleinanzeigen.de/s-bestandsliste.html?userId=31311741", "Link")</f>
        <v/>
      </c>
      <c r="Q177" s="7" t="n">
        <v>45535.5934375</v>
      </c>
      <c r="R177" s="3" t="inlineStr">
        <is>
          <t>47.96</t>
        </is>
      </c>
      <c r="S177" t="inlineStr">
        <is>
          <t>Böblingen</t>
        </is>
      </c>
      <c r="T177" t="inlineStr">
        <is>
          <t>Neil Pryde 460 X3 IMCS 25</t>
        </is>
      </c>
      <c r="U177" s="3" t="n">
        <v>460</v>
      </c>
      <c r="V177" s="8" t="inlineStr"/>
      <c r="W177" t="inlineStr">
        <is>
          <t>SDM</t>
        </is>
      </c>
      <c r="X177" s="4" t="n">
        <v>200</v>
      </c>
      <c r="Y177" t="inlineStr">
        <is>
          <t>VB</t>
        </is>
      </c>
      <c r="Z177" t="inlineStr">
        <is>
          <t>72250 Baden-Württemberg - Freudenstadt</t>
        </is>
      </c>
      <c r="AA177" s="5" t="n">
        <v>45534</v>
      </c>
      <c r="AB177" t="inlineStr">
        <is>
          <t>Sold</t>
        </is>
      </c>
      <c r="AC177" s="6">
        <f>HYPERLINK("https://www.kleinanzeigen.de/s-anzeige/neil-pryde-helium-v8-7-5-leichtwind-segel-windsurfen-rigg/2850203602-230-8980", "Link")</f>
        <v/>
      </c>
      <c r="AD177" s="6">
        <f>HYPERLINK("C:\Projects\Kleinanzeigen-Scraper\offer_images\2850203602", "Link")</f>
        <v/>
      </c>
      <c r="AE177" t="inlineStr">
        <is>
          <t>Roman</t>
        </is>
      </c>
      <c r="AF177" s="6">
        <f>HYPERLINK("https://www.kleinanzeigen.de/s-bestandsliste.html?userId=31311741", "Link")</f>
        <v/>
      </c>
      <c r="AG177" s="7" t="n">
        <v>45535.5934375</v>
      </c>
      <c r="AH177" s="3" t="inlineStr">
        <is>
          <t>47.96</t>
        </is>
      </c>
      <c r="AI177" t="inlineStr">
        <is>
          <t>Böblingen</t>
        </is>
      </c>
      <c r="AJ177" t="inlineStr">
        <is>
          <t>Chinook Pro 1 alloy</t>
        </is>
      </c>
      <c r="AK177" t="inlineStr">
        <is>
          <t>165-227</t>
        </is>
      </c>
      <c r="AL177" t="inlineStr"/>
      <c r="AM177" s="4" t="n">
        <v>200</v>
      </c>
      <c r="AN177" t="inlineStr">
        <is>
          <t>VB</t>
        </is>
      </c>
      <c r="AO177" t="inlineStr">
        <is>
          <t>72250 Baden-Württemberg - Freudenstadt</t>
        </is>
      </c>
      <c r="AP177" s="5" t="n">
        <v>45534</v>
      </c>
      <c r="AQ177" t="inlineStr">
        <is>
          <t>Sold</t>
        </is>
      </c>
      <c r="AR177" s="6">
        <f>HYPERLINK("https://www.kleinanzeigen.de/s-anzeige/neil-pryde-helium-v8-7-5-leichtwind-segel-windsurfen-rigg/2850203602-230-8980", "Link")</f>
        <v/>
      </c>
      <c r="AS177" s="6">
        <f>HYPERLINK("C:\Projects\Kleinanzeigen-Scraper\offer_images\2850203602", "Link")</f>
        <v/>
      </c>
      <c r="AT177" t="inlineStr">
        <is>
          <t>Roman</t>
        </is>
      </c>
      <c r="AU177" s="6">
        <f>HYPERLINK("https://www.kleinanzeigen.de/s-bestandsliste.html?userId=31311741", "Link")</f>
        <v/>
      </c>
      <c r="AV177" s="7" t="n">
        <v>45535.5934375</v>
      </c>
      <c r="AW177" s="3" t="inlineStr">
        <is>
          <t>47.96</t>
        </is>
      </c>
      <c r="AX177" t="inlineStr">
        <is>
          <t>Böblingen</t>
        </is>
      </c>
      <c r="AY177" s="4" t="n">
        <v>200</v>
      </c>
      <c r="AZ177" t="inlineStr">
        <is>
          <t>VB</t>
        </is>
      </c>
      <c r="BA177" t="inlineStr">
        <is>
          <t>72250 Baden-Württemberg - Freudenstadt</t>
        </is>
      </c>
      <c r="BB177" s="5" t="n">
        <v>45534</v>
      </c>
      <c r="BC177" t="inlineStr">
        <is>
          <t>Sold</t>
        </is>
      </c>
      <c r="BD177" s="6">
        <f>HYPERLINK("https://www.kleinanzeigen.de/s-anzeige/neil-pryde-helium-v8-7-5-leichtwind-segel-windsurfen-rigg/2850203602-230-8980", "Link")</f>
        <v/>
      </c>
      <c r="BE177" s="6">
        <f>HYPERLINK("C:\Projects\Kleinanzeigen-Scraper\offer_images\2850203602", "Link")</f>
        <v/>
      </c>
      <c r="BF177" t="inlineStr">
        <is>
          <t>Roman</t>
        </is>
      </c>
      <c r="BG177" s="6">
        <f>HYPERLINK("https://www.kleinanzeigen.de/s-bestandsliste.html?userId=31311741", "Link")</f>
        <v/>
      </c>
      <c r="BH177" s="7" t="n">
        <v>45535.5934375</v>
      </c>
      <c r="BI177" s="3" t="inlineStr">
        <is>
          <t>47.96</t>
        </is>
      </c>
      <c r="BJ177" t="inlineStr">
        <is>
          <t>Böblingen</t>
        </is>
      </c>
    </row>
    <row r="178">
      <c r="A178" s="2" t="n">
        <v>4</v>
      </c>
      <c r="B178" t="inlineStr">
        <is>
          <t>Gun Sails</t>
        </is>
      </c>
      <c r="C178" s="3" t="n">
        <v>370</v>
      </c>
      <c r="D178" s="3" t="n">
        <v>155</v>
      </c>
      <c r="E178" t="inlineStr"/>
      <c r="F178" t="inlineStr"/>
      <c r="G178" t="inlineStr">
        <is>
          <t>used</t>
        </is>
      </c>
      <c r="H178" s="4" t="n">
        <v>420</v>
      </c>
      <c r="I178" t="inlineStr">
        <is>
          <t>VB</t>
        </is>
      </c>
      <c r="J178" t="inlineStr">
        <is>
          <t>67269 Rheinland-Pfalz - Grünstadt</t>
        </is>
      </c>
      <c r="K178" s="5" t="n">
        <v>45530</v>
      </c>
      <c r="L178" t="inlineStr">
        <is>
          <t>Sold</t>
        </is>
      </c>
      <c r="M178" s="6">
        <f>HYPERLINK("https://www.kleinanzeigen.de/s-anzeige/windsurf-komplett-rigg-4-0qm/2846823603-230-5347", "Link")</f>
        <v/>
      </c>
      <c r="N178" s="6">
        <f>HYPERLINK("C:\Projects\Kleinanzeigen-Scraper\offer_images\2846823603", "Link")</f>
        <v/>
      </c>
      <c r="O178" t="inlineStr">
        <is>
          <t>Rainer Maurer</t>
        </is>
      </c>
      <c r="P178" s="6">
        <f>HYPERLINK("https://www.kleinanzeigen.de/s-bestandsliste.html?userId=46725725", "Link")</f>
        <v/>
      </c>
      <c r="Q178" s="7" t="n">
        <v>45531.3790162037</v>
      </c>
      <c r="R178" s="3" t="inlineStr">
        <is>
          <t>64.12</t>
        </is>
      </c>
      <c r="S178" t="inlineStr">
        <is>
          <t>Karlsruhe</t>
        </is>
      </c>
      <c r="T178" t="inlineStr">
        <is>
          <t>Gun Sails</t>
        </is>
      </c>
      <c r="U178" s="3" t="n">
        <v>370</v>
      </c>
      <c r="V178" s="8" t="inlineStr">
        <is>
          <t>50%</t>
        </is>
      </c>
      <c r="W178" t="inlineStr">
        <is>
          <t>RDM</t>
        </is>
      </c>
      <c r="X178" s="4" t="n">
        <v>420</v>
      </c>
      <c r="Y178" t="inlineStr">
        <is>
          <t>VB</t>
        </is>
      </c>
      <c r="Z178" t="inlineStr">
        <is>
          <t>67269 Rheinland-Pfalz - Grünstadt</t>
        </is>
      </c>
      <c r="AA178" s="5" t="n">
        <v>45530</v>
      </c>
      <c r="AB178" t="inlineStr">
        <is>
          <t>Sold</t>
        </is>
      </c>
      <c r="AC178" s="6">
        <f>HYPERLINK("https://www.kleinanzeigen.de/s-anzeige/windsurf-komplett-rigg-4-0qm/2846823603-230-5347", "Link")</f>
        <v/>
      </c>
      <c r="AD178" s="6">
        <f>HYPERLINK("C:\Projects\Kleinanzeigen-Scraper\offer_images\2846823603", "Link")</f>
        <v/>
      </c>
      <c r="AE178" t="inlineStr">
        <is>
          <t>Rainer Maurer</t>
        </is>
      </c>
      <c r="AF178" s="6">
        <f>HYPERLINK("https://www.kleinanzeigen.de/s-bestandsliste.html?userId=46725725", "Link")</f>
        <v/>
      </c>
      <c r="AG178" s="7" t="n">
        <v>45531.3790162037</v>
      </c>
      <c r="AH178" s="3" t="inlineStr">
        <is>
          <t>64.12</t>
        </is>
      </c>
      <c r="AI178" t="inlineStr">
        <is>
          <t>Karlsruhe</t>
        </is>
      </c>
      <c r="AJ178" t="inlineStr">
        <is>
          <t>Gun Sails</t>
        </is>
      </c>
      <c r="AK178" t="inlineStr">
        <is>
          <t>155</t>
        </is>
      </c>
      <c r="AL178" t="inlineStr"/>
      <c r="AM178" s="4" t="n">
        <v>420</v>
      </c>
      <c r="AN178" t="inlineStr">
        <is>
          <t>VB</t>
        </is>
      </c>
      <c r="AO178" t="inlineStr">
        <is>
          <t>67269 Rheinland-Pfalz - Grünstadt</t>
        </is>
      </c>
      <c r="AP178" s="5" t="n">
        <v>45530</v>
      </c>
      <c r="AQ178" t="inlineStr">
        <is>
          <t>Sold</t>
        </is>
      </c>
      <c r="AR178" s="6">
        <f>HYPERLINK("https://www.kleinanzeigen.de/s-anzeige/windsurf-komplett-rigg-4-0qm/2846823603-230-5347", "Link")</f>
        <v/>
      </c>
      <c r="AS178" s="6">
        <f>HYPERLINK("C:\Projects\Kleinanzeigen-Scraper\offer_images\2846823603", "Link")</f>
        <v/>
      </c>
      <c r="AT178" t="inlineStr">
        <is>
          <t>Rainer Maurer</t>
        </is>
      </c>
      <c r="AU178" s="6">
        <f>HYPERLINK("https://www.kleinanzeigen.de/s-bestandsliste.html?userId=46725725", "Link")</f>
        <v/>
      </c>
      <c r="AV178" s="7" t="n">
        <v>45531.3790162037</v>
      </c>
      <c r="AW178" s="3" t="inlineStr">
        <is>
          <t>64.12</t>
        </is>
      </c>
      <c r="AX178" t="inlineStr">
        <is>
          <t>Karlsruhe</t>
        </is>
      </c>
      <c r="AY178" s="4" t="n">
        <v>420</v>
      </c>
      <c r="AZ178" t="inlineStr">
        <is>
          <t>VB</t>
        </is>
      </c>
      <c r="BA178" t="inlineStr">
        <is>
          <t>67269 Rheinland-Pfalz - Grünstadt</t>
        </is>
      </c>
      <c r="BB178" s="5" t="n">
        <v>45530</v>
      </c>
      <c r="BC178" t="inlineStr">
        <is>
          <t>Sold</t>
        </is>
      </c>
      <c r="BD178" s="6">
        <f>HYPERLINK("https://www.kleinanzeigen.de/s-anzeige/windsurf-komplett-rigg-4-0qm/2846823603-230-5347", "Link")</f>
        <v/>
      </c>
      <c r="BE178" s="6">
        <f>HYPERLINK("C:\Projects\Kleinanzeigen-Scraper\offer_images\2846823603", "Link")</f>
        <v/>
      </c>
      <c r="BF178" t="inlineStr">
        <is>
          <t>Rainer Maurer</t>
        </is>
      </c>
      <c r="BG178" s="6">
        <f>HYPERLINK("https://www.kleinanzeigen.de/s-bestandsliste.html?userId=46725725", "Link")</f>
        <v/>
      </c>
      <c r="BH178" s="7" t="n">
        <v>45531.3790162037</v>
      </c>
      <c r="BI178" s="3" t="inlineStr">
        <is>
          <t>64.12</t>
        </is>
      </c>
      <c r="BJ178" t="inlineStr">
        <is>
          <t>Karlsruhe</t>
        </is>
      </c>
    </row>
    <row r="179">
      <c r="A179" s="2" t="n">
        <v>2</v>
      </c>
      <c r="B179" t="inlineStr"/>
      <c r="C179" s="3" t="inlineStr"/>
      <c r="D179" s="3" t="inlineStr"/>
      <c r="E179" t="inlineStr"/>
      <c r="F179" t="inlineStr"/>
      <c r="G179" t="inlineStr">
        <is>
          <t>used</t>
        </is>
      </c>
      <c r="H179" s="4" t="n">
        <v>120</v>
      </c>
      <c r="I179" t="inlineStr"/>
      <c r="J179" t="inlineStr">
        <is>
          <t>71336  Waiblingen</t>
        </is>
      </c>
      <c r="K179" s="5" t="n">
        <v>45511</v>
      </c>
      <c r="L179" t="inlineStr">
        <is>
          <t>Sold</t>
        </is>
      </c>
      <c r="M179" s="6">
        <f>HYPERLINK("https://www.dailydose.de/kleinanzeigen/detail.htm?ai=420572&amp;cf=kk&amp;pg=4&amp;ci=5", "Link")</f>
        <v/>
      </c>
      <c r="N179" s="6">
        <f>HYPERLINK("C:\Projects\Kleinanzeigen-Scraper\offer_images\420572", "Link")</f>
        <v/>
      </c>
      <c r="O179" t="inlineStr">
        <is>
          <t>Thomas L.</t>
        </is>
      </c>
      <c r="P179" s="6">
        <f>HYPERLINK("https://www.dailydose.de/kleinanzeigen/user/14138", "Link")</f>
        <v/>
      </c>
      <c r="Q179" s="7" t="n">
        <v>45512.64847222222</v>
      </c>
      <c r="R179" s="3" t="inlineStr">
        <is>
          <t>33.67</t>
        </is>
      </c>
      <c r="S179" t="inlineStr">
        <is>
          <t>Böblingen</t>
        </is>
      </c>
      <c r="T179" t="inlineStr"/>
      <c r="U179" s="3" t="inlineStr"/>
      <c r="V179" s="8" t="inlineStr"/>
      <c r="W179" t="inlineStr"/>
      <c r="X179" s="4" t="n">
        <v>120</v>
      </c>
      <c r="Y179" t="inlineStr"/>
      <c r="Z179" t="inlineStr">
        <is>
          <t>71336  Waiblingen</t>
        </is>
      </c>
      <c r="AA179" s="5" t="n">
        <v>45511</v>
      </c>
      <c r="AB179" t="inlineStr">
        <is>
          <t>Sold</t>
        </is>
      </c>
      <c r="AC179" s="6">
        <f>HYPERLINK("https://www.dailydose.de/kleinanzeigen/detail.htm?ai=420572&amp;cf=kk&amp;pg=4&amp;ci=5", "Link")</f>
        <v/>
      </c>
      <c r="AD179" s="6">
        <f>HYPERLINK("C:\Projects\Kleinanzeigen-Scraper\offer_images\420572", "Link")</f>
        <v/>
      </c>
      <c r="AE179" t="inlineStr">
        <is>
          <t>Thomas L.</t>
        </is>
      </c>
      <c r="AF179" s="6">
        <f>HYPERLINK("https://www.dailydose.de/kleinanzeigen/user/14138", "Link")</f>
        <v/>
      </c>
      <c r="AG179" s="7" t="n">
        <v>45512.64847222222</v>
      </c>
      <c r="AH179" s="3" t="inlineStr">
        <is>
          <t>33.67</t>
        </is>
      </c>
      <c r="AI179" t="inlineStr">
        <is>
          <t>Böblingen</t>
        </is>
      </c>
      <c r="AJ179" t="inlineStr"/>
      <c r="AK179" t="inlineStr"/>
      <c r="AL179" t="inlineStr"/>
      <c r="AM179" s="4" t="n">
        <v>120</v>
      </c>
      <c r="AN179" t="inlineStr"/>
      <c r="AO179" t="inlineStr">
        <is>
          <t>71336  Waiblingen</t>
        </is>
      </c>
      <c r="AP179" s="5" t="n">
        <v>45511</v>
      </c>
      <c r="AQ179" t="inlineStr">
        <is>
          <t>Sold</t>
        </is>
      </c>
      <c r="AR179" s="6">
        <f>HYPERLINK("https://www.dailydose.de/kleinanzeigen/detail.htm?ai=420572&amp;cf=kk&amp;pg=4&amp;ci=5", "Link")</f>
        <v/>
      </c>
      <c r="AS179" s="6">
        <f>HYPERLINK("C:\Projects\Kleinanzeigen-Scraper\offer_images\420572", "Link")</f>
        <v/>
      </c>
      <c r="AT179" t="inlineStr">
        <is>
          <t>Thomas L.</t>
        </is>
      </c>
      <c r="AU179" s="6">
        <f>HYPERLINK("https://www.dailydose.de/kleinanzeigen/user/14138", "Link")</f>
        <v/>
      </c>
      <c r="AV179" s="7" t="n">
        <v>45512.64847222222</v>
      </c>
      <c r="AW179" s="3" t="inlineStr">
        <is>
          <t>33.67</t>
        </is>
      </c>
      <c r="AX179" t="inlineStr">
        <is>
          <t>Böblingen</t>
        </is>
      </c>
      <c r="AY179" s="4" t="n">
        <v>120</v>
      </c>
      <c r="AZ179" t="inlineStr"/>
      <c r="BA179" t="inlineStr">
        <is>
          <t>71336  Waiblingen</t>
        </is>
      </c>
      <c r="BB179" s="5" t="n">
        <v>45511</v>
      </c>
      <c r="BC179" t="inlineStr">
        <is>
          <t>Sold</t>
        </is>
      </c>
      <c r="BD179" s="6">
        <f>HYPERLINK("https://www.dailydose.de/kleinanzeigen/detail.htm?ai=420572&amp;cf=kk&amp;pg=4&amp;ci=5", "Link")</f>
        <v/>
      </c>
      <c r="BE179" s="6">
        <f>HYPERLINK("C:\Projects\Kleinanzeigen-Scraper\offer_images\420572", "Link")</f>
        <v/>
      </c>
      <c r="BF179" t="inlineStr">
        <is>
          <t>Thomas L.</t>
        </is>
      </c>
      <c r="BG179" s="6">
        <f>HYPERLINK("https://www.dailydose.de/kleinanzeigen/user/14138", "Link")</f>
        <v/>
      </c>
      <c r="BH179" s="7" t="n">
        <v>45512.64847222222</v>
      </c>
      <c r="BI179" s="3" t="inlineStr">
        <is>
          <t>33.67</t>
        </is>
      </c>
      <c r="BJ179" t="inlineStr">
        <is>
          <t>Böblingen</t>
        </is>
      </c>
    </row>
    <row r="180">
      <c r="A180" s="2" t="n">
        <v>5</v>
      </c>
      <c r="B180" t="inlineStr">
        <is>
          <t>Loftsails Racingblade</t>
        </is>
      </c>
      <c r="C180" s="3" t="n">
        <v>4</v>
      </c>
      <c r="D180" s="3" t="inlineStr"/>
      <c r="E180" t="inlineStr"/>
      <c r="F180" t="inlineStr"/>
      <c r="G180" t="inlineStr">
        <is>
          <t>used</t>
        </is>
      </c>
      <c r="H180" s="4" t="n">
        <v>180</v>
      </c>
      <c r="I180" t="inlineStr"/>
      <c r="J180" t="inlineStr">
        <is>
          <t>Stuttgart</t>
        </is>
      </c>
      <c r="K180" s="5" t="n">
        <v>45509</v>
      </c>
      <c r="L180" t="inlineStr">
        <is>
          <t>Sold</t>
        </is>
      </c>
      <c r="M180" s="6">
        <f>HYPERLINK("https://www.dailydose.de/kleinanzeigen/detail.htm?ai=420480&amp;cf=kk&amp;pg=3&amp;ci=5", "Link")</f>
        <v/>
      </c>
      <c r="N180" s="6">
        <f>HYPERLINK("C:\Projects\Kleinanzeigen-Scraper\offer_images\420480", "Link")</f>
        <v/>
      </c>
      <c r="O180" t="inlineStr">
        <is>
          <t>Roman_96</t>
        </is>
      </c>
      <c r="P180" s="6">
        <f>HYPERLINK("https://www.dailydose.de/kleinanzeigen/user/20905", "Link")</f>
        <v/>
      </c>
      <c r="Q180" s="7" t="n">
        <v>45510.63069444444</v>
      </c>
      <c r="R180" s="3" t="inlineStr">
        <is>
          <t>18.71</t>
        </is>
      </c>
      <c r="S180" t="inlineStr">
        <is>
          <t>Böblingen</t>
        </is>
      </c>
      <c r="T180" t="inlineStr">
        <is>
          <t>Loftsails</t>
        </is>
      </c>
      <c r="U180" s="3" t="n">
        <v>400</v>
      </c>
      <c r="V180" s="8" t="inlineStr">
        <is>
          <t>100%</t>
        </is>
      </c>
      <c r="W180" t="inlineStr">
        <is>
          <t>SDM</t>
        </is>
      </c>
      <c r="X180" s="4" t="n">
        <v>180</v>
      </c>
      <c r="Y180" t="inlineStr"/>
      <c r="Z180" t="inlineStr">
        <is>
          <t>Stuttgart</t>
        </is>
      </c>
      <c r="AA180" s="5" t="n">
        <v>45509</v>
      </c>
      <c r="AB180" t="inlineStr">
        <is>
          <t>Sold</t>
        </is>
      </c>
      <c r="AC180" s="6">
        <f>HYPERLINK("https://www.dailydose.de/kleinanzeigen/detail.htm?ai=420480&amp;cf=kk&amp;pg=3&amp;ci=5", "Link")</f>
        <v/>
      </c>
      <c r="AD180" s="6">
        <f>HYPERLINK("C:\Projects\Kleinanzeigen-Scraper\offer_images\420480", "Link")</f>
        <v/>
      </c>
      <c r="AE180" t="inlineStr">
        <is>
          <t>Roman_96</t>
        </is>
      </c>
      <c r="AF180" s="6">
        <f>HYPERLINK("https://www.dailydose.de/kleinanzeigen/user/20905", "Link")</f>
        <v/>
      </c>
      <c r="AG180" s="7" t="n">
        <v>45510.63069444444</v>
      </c>
      <c r="AH180" s="3" t="inlineStr">
        <is>
          <t>18.71</t>
        </is>
      </c>
      <c r="AI180" t="inlineStr">
        <is>
          <t>Böblingen</t>
        </is>
      </c>
      <c r="AJ180" t="inlineStr"/>
      <c r="AK180" t="inlineStr"/>
      <c r="AL180" t="inlineStr"/>
      <c r="AM180" s="4" t="n">
        <v>180</v>
      </c>
      <c r="AN180" t="inlineStr"/>
      <c r="AO180" t="inlineStr">
        <is>
          <t>Stuttgart</t>
        </is>
      </c>
      <c r="AP180" s="5" t="n">
        <v>45509</v>
      </c>
      <c r="AQ180" t="inlineStr">
        <is>
          <t>Sold</t>
        </is>
      </c>
      <c r="AR180" s="6">
        <f>HYPERLINK("https://www.dailydose.de/kleinanzeigen/detail.htm?ai=420480&amp;cf=kk&amp;pg=3&amp;ci=5", "Link")</f>
        <v/>
      </c>
      <c r="AS180" s="6">
        <f>HYPERLINK("C:\Projects\Kleinanzeigen-Scraper\offer_images\420480", "Link")</f>
        <v/>
      </c>
      <c r="AT180" t="inlineStr">
        <is>
          <t>Roman_96</t>
        </is>
      </c>
      <c r="AU180" s="6">
        <f>HYPERLINK("https://www.dailydose.de/kleinanzeigen/user/20905", "Link")</f>
        <v/>
      </c>
      <c r="AV180" s="7" t="n">
        <v>45510.63069444444</v>
      </c>
      <c r="AW180" s="3" t="inlineStr">
        <is>
          <t>18.71</t>
        </is>
      </c>
      <c r="AX180" t="inlineStr">
        <is>
          <t>Böblingen</t>
        </is>
      </c>
      <c r="AY180" s="4" t="n">
        <v>180</v>
      </c>
      <c r="AZ180" t="inlineStr"/>
      <c r="BA180" t="inlineStr">
        <is>
          <t>Stuttgart</t>
        </is>
      </c>
      <c r="BB180" s="5" t="n">
        <v>45509</v>
      </c>
      <c r="BC180" t="inlineStr">
        <is>
          <t>Sold</t>
        </is>
      </c>
      <c r="BD180" s="6">
        <f>HYPERLINK("https://www.dailydose.de/kleinanzeigen/detail.htm?ai=420480&amp;cf=kk&amp;pg=3&amp;ci=5", "Link")</f>
        <v/>
      </c>
      <c r="BE180" s="6">
        <f>HYPERLINK("C:\Projects\Kleinanzeigen-Scraper\offer_images\420480", "Link")</f>
        <v/>
      </c>
      <c r="BF180" t="inlineStr">
        <is>
          <t>Roman_96</t>
        </is>
      </c>
      <c r="BG180" s="6">
        <f>HYPERLINK("https://www.dailydose.de/kleinanzeigen/user/20905", "Link")</f>
        <v/>
      </c>
      <c r="BH180" s="7" t="n">
        <v>45510.63069444444</v>
      </c>
      <c r="BI180" s="3" t="inlineStr">
        <is>
          <t>18.71</t>
        </is>
      </c>
      <c r="BJ180" t="inlineStr">
        <is>
          <t>Böblingen</t>
        </is>
      </c>
    </row>
    <row r="181">
      <c r="A181" s="2" t="n">
        <v>6.3</v>
      </c>
      <c r="B181" t="inlineStr">
        <is>
          <t>Gun Sails Target</t>
        </is>
      </c>
      <c r="C181" s="3" t="inlineStr"/>
      <c r="D181" s="3" t="inlineStr"/>
      <c r="E181" t="inlineStr"/>
      <c r="F181" t="inlineStr"/>
      <c r="G181" t="inlineStr">
        <is>
          <t>used</t>
        </is>
      </c>
      <c r="H181" s="4" t="n">
        <v>120</v>
      </c>
      <c r="I181" t="inlineStr">
        <is>
          <t>VB</t>
        </is>
      </c>
      <c r="J181" t="inlineStr">
        <is>
          <t>79110 Baden-Württemberg - Freiburg im Breisgau</t>
        </is>
      </c>
      <c r="K181" s="5" t="n">
        <v>45505</v>
      </c>
      <c r="L181" t="inlineStr">
        <is>
          <t>Sold</t>
        </is>
      </c>
      <c r="M181" s="6">
        <f>HYPERLINK("https://www.kleinanzeigen.de/s-anzeige/windsurf-komplettrig-gun-sails-6-3-segel-mast-gabel-board/2826479642-230-9359", "Link")</f>
        <v/>
      </c>
      <c r="N181" s="6">
        <f>HYPERLINK("C:\Projects\Kleinanzeigen-Scraper\offer_images\2826479642", "Link")</f>
        <v/>
      </c>
      <c r="O181" t="inlineStr">
        <is>
          <t>Robin</t>
        </is>
      </c>
      <c r="P181" s="6">
        <f>HYPERLINK("https://www.kleinanzeigen.de/s-bestandsliste.html?userId=2663713", "Link")</f>
        <v/>
      </c>
      <c r="Q181" s="7" t="n">
        <v>45505.83614583333</v>
      </c>
      <c r="R181" s="3" t="inlineStr">
        <is>
          <t>45.32</t>
        </is>
      </c>
      <c r="S181" t="inlineStr">
        <is>
          <t>Bonndorf</t>
        </is>
      </c>
      <c r="T181" t="inlineStr">
        <is>
          <t>Gun Sails IQ Tech C75</t>
        </is>
      </c>
      <c r="U181" s="3" t="inlineStr"/>
      <c r="V181" s="8" t="inlineStr"/>
      <c r="W181" t="inlineStr"/>
      <c r="X181" s="4" t="n">
        <v>120</v>
      </c>
      <c r="Y181" t="inlineStr">
        <is>
          <t>VB</t>
        </is>
      </c>
      <c r="Z181" t="inlineStr">
        <is>
          <t>79110 Baden-Württemberg - Freiburg im Breisgau</t>
        </is>
      </c>
      <c r="AA181" s="5" t="n">
        <v>45505</v>
      </c>
      <c r="AB181" t="inlineStr">
        <is>
          <t>Sold</t>
        </is>
      </c>
      <c r="AC181" s="6">
        <f>HYPERLINK("https://www.kleinanzeigen.de/s-anzeige/windsurf-komplettrig-gun-sails-6-3-segel-mast-gabel-board/2826479642-230-9359", "Link")</f>
        <v/>
      </c>
      <c r="AD181" s="6">
        <f>HYPERLINK("C:\Projects\Kleinanzeigen-Scraper\offer_images\2826479642", "Link")</f>
        <v/>
      </c>
      <c r="AE181" t="inlineStr">
        <is>
          <t>Robin</t>
        </is>
      </c>
      <c r="AF181" s="6">
        <f>HYPERLINK("https://www.kleinanzeigen.de/s-bestandsliste.html?userId=2663713", "Link")</f>
        <v/>
      </c>
      <c r="AG181" s="7" t="n">
        <v>45505.83614583333</v>
      </c>
      <c r="AH181" s="3" t="inlineStr">
        <is>
          <t>45.32</t>
        </is>
      </c>
      <c r="AI181" t="inlineStr">
        <is>
          <t>Bonndorf</t>
        </is>
      </c>
      <c r="AJ181" t="inlineStr"/>
      <c r="AK181" t="inlineStr"/>
      <c r="AL181" t="inlineStr"/>
      <c r="AM181" s="4" t="n">
        <v>120</v>
      </c>
      <c r="AN181" t="inlineStr">
        <is>
          <t>VB</t>
        </is>
      </c>
      <c r="AO181" t="inlineStr">
        <is>
          <t>79110 Baden-Württemberg - Freiburg im Breisgau</t>
        </is>
      </c>
      <c r="AP181" s="5" t="n">
        <v>45505</v>
      </c>
      <c r="AQ181" t="inlineStr">
        <is>
          <t>Sold</t>
        </is>
      </c>
      <c r="AR181" s="6">
        <f>HYPERLINK("https://www.kleinanzeigen.de/s-anzeige/windsurf-komplettrig-gun-sails-6-3-segel-mast-gabel-board/2826479642-230-9359", "Link")</f>
        <v/>
      </c>
      <c r="AS181" s="6">
        <f>HYPERLINK("C:\Projects\Kleinanzeigen-Scraper\offer_images\2826479642", "Link")</f>
        <v/>
      </c>
      <c r="AT181" t="inlineStr">
        <is>
          <t>Robin</t>
        </is>
      </c>
      <c r="AU181" s="6">
        <f>HYPERLINK("https://www.kleinanzeigen.de/s-bestandsliste.html?userId=2663713", "Link")</f>
        <v/>
      </c>
      <c r="AV181" s="7" t="n">
        <v>45505.83614583333</v>
      </c>
      <c r="AW181" s="3" t="inlineStr">
        <is>
          <t>45.32</t>
        </is>
      </c>
      <c r="AX181" t="inlineStr">
        <is>
          <t>Bonndorf</t>
        </is>
      </c>
      <c r="AY181" s="4" t="n">
        <v>120</v>
      </c>
      <c r="AZ181" t="inlineStr">
        <is>
          <t>VB</t>
        </is>
      </c>
      <c r="BA181" t="inlineStr">
        <is>
          <t>79110 Baden-Württemberg - Freiburg im Breisgau</t>
        </is>
      </c>
      <c r="BB181" s="5" t="n">
        <v>45505</v>
      </c>
      <c r="BC181" t="inlineStr">
        <is>
          <t>Sold</t>
        </is>
      </c>
      <c r="BD181" s="6">
        <f>HYPERLINK("https://www.kleinanzeigen.de/s-anzeige/windsurf-komplettrig-gun-sails-6-3-segel-mast-gabel-board/2826479642-230-9359", "Link")</f>
        <v/>
      </c>
      <c r="BE181" s="6">
        <f>HYPERLINK("C:\Projects\Kleinanzeigen-Scraper\offer_images\2826479642", "Link")</f>
        <v/>
      </c>
      <c r="BF181" t="inlineStr">
        <is>
          <t>Robin</t>
        </is>
      </c>
      <c r="BG181" s="6">
        <f>HYPERLINK("https://www.kleinanzeigen.de/s-bestandsliste.html?userId=2663713", "Link")</f>
        <v/>
      </c>
      <c r="BH181" s="7" t="n">
        <v>45505.83614583333</v>
      </c>
      <c r="BI181" s="3" t="inlineStr">
        <is>
          <t>45.32</t>
        </is>
      </c>
      <c r="BJ181" t="inlineStr">
        <is>
          <t>Bonndorf</t>
        </is>
      </c>
    </row>
    <row r="182">
      <c r="A182" s="2" t="n">
        <v>9</v>
      </c>
      <c r="B182" t="inlineStr">
        <is>
          <t>Sailloft Traction</t>
        </is>
      </c>
      <c r="C182" s="3" t="inlineStr"/>
      <c r="D182" s="3" t="inlineStr"/>
      <c r="E182" t="inlineStr"/>
      <c r="F182" t="inlineStr"/>
      <c r="G182" t="inlineStr">
        <is>
          <t>used</t>
        </is>
      </c>
      <c r="H182" s="4" t="n">
        <v>220</v>
      </c>
      <c r="I182" t="inlineStr"/>
      <c r="J182" t="inlineStr">
        <is>
          <t>79114 Freiburg</t>
        </is>
      </c>
      <c r="K182" s="5" t="n">
        <v>45483</v>
      </c>
      <c r="L182" t="inlineStr">
        <is>
          <t>Sold</t>
        </is>
      </c>
      <c r="M182" s="6">
        <f>HYPERLINK("https://www.dailydose.de/kleinanzeigen/detail.htm?ai=419123&amp;cf=kk&amp;pg=7&amp;ci=5", "Link")</f>
        <v/>
      </c>
      <c r="N182" s="6">
        <f>HYPERLINK("C:\Projects\Kleinanzeigen-Scraper\offer_images\419123", "Link")</f>
        <v/>
      </c>
      <c r="O182" t="inlineStr">
        <is>
          <t>wenigwind_104</t>
        </is>
      </c>
      <c r="P182" s="6">
        <f>HYPERLINK("https://www.dailydose.de/kleinanzeigen/user/20460", "Link")</f>
        <v/>
      </c>
      <c r="Q182" s="7" t="n">
        <v>45501.41568287037</v>
      </c>
      <c r="R182" s="3" t="inlineStr">
        <is>
          <t>44.06</t>
        </is>
      </c>
      <c r="S182" t="inlineStr">
        <is>
          <t>Bonndorf</t>
        </is>
      </c>
      <c r="T182" t="inlineStr">
        <is>
          <t>North Silver</t>
        </is>
      </c>
      <c r="U182" s="3" t="inlineStr"/>
      <c r="V182" s="8" t="inlineStr">
        <is>
          <t>70%</t>
        </is>
      </c>
      <c r="W182" t="inlineStr"/>
      <c r="X182" s="4" t="n">
        <v>220</v>
      </c>
      <c r="Y182" t="inlineStr"/>
      <c r="Z182" t="inlineStr">
        <is>
          <t>79114 Freiburg</t>
        </is>
      </c>
      <c r="AA182" s="5" t="n">
        <v>45483</v>
      </c>
      <c r="AB182" t="inlineStr">
        <is>
          <t>Sold</t>
        </is>
      </c>
      <c r="AC182" s="6">
        <f>HYPERLINK("https://www.dailydose.de/kleinanzeigen/detail.htm?ai=419123&amp;cf=kk&amp;pg=7&amp;ci=5", "Link")</f>
        <v/>
      </c>
      <c r="AD182" s="6">
        <f>HYPERLINK("C:\Projects\Kleinanzeigen-Scraper\offer_images\419123", "Link")</f>
        <v/>
      </c>
      <c r="AE182" t="inlineStr">
        <is>
          <t>wenigwind_104</t>
        </is>
      </c>
      <c r="AF182" s="6">
        <f>HYPERLINK("https://www.dailydose.de/kleinanzeigen/user/20460", "Link")</f>
        <v/>
      </c>
      <c r="AG182" s="7" t="n">
        <v>45501.41568287037</v>
      </c>
      <c r="AH182" s="3" t="inlineStr">
        <is>
          <t>44.06</t>
        </is>
      </c>
      <c r="AI182" t="inlineStr">
        <is>
          <t>Bonndorf</t>
        </is>
      </c>
      <c r="AJ182" t="inlineStr">
        <is>
          <t>Prolimit V-Grip</t>
        </is>
      </c>
      <c r="AK182" t="inlineStr"/>
      <c r="AL182" t="inlineStr"/>
      <c r="AM182" s="4" t="n">
        <v>220</v>
      </c>
      <c r="AN182" t="inlineStr"/>
      <c r="AO182" t="inlineStr">
        <is>
          <t>79114 Freiburg</t>
        </is>
      </c>
      <c r="AP182" s="5" t="n">
        <v>45483</v>
      </c>
      <c r="AQ182" t="inlineStr">
        <is>
          <t>Sold</t>
        </is>
      </c>
      <c r="AR182" s="6">
        <f>HYPERLINK("https://www.dailydose.de/kleinanzeigen/detail.htm?ai=419123&amp;cf=kk&amp;pg=7&amp;ci=5", "Link")</f>
        <v/>
      </c>
      <c r="AS182" s="6">
        <f>HYPERLINK("C:\Projects\Kleinanzeigen-Scraper\offer_images\419123", "Link")</f>
        <v/>
      </c>
      <c r="AT182" t="inlineStr">
        <is>
          <t>wenigwind_104</t>
        </is>
      </c>
      <c r="AU182" s="6">
        <f>HYPERLINK("https://www.dailydose.de/kleinanzeigen/user/20460", "Link")</f>
        <v/>
      </c>
      <c r="AV182" s="7" t="n">
        <v>45501.41568287037</v>
      </c>
      <c r="AW182" s="3" t="inlineStr">
        <is>
          <t>44.06</t>
        </is>
      </c>
      <c r="AX182" t="inlineStr">
        <is>
          <t>Bonndorf</t>
        </is>
      </c>
      <c r="AY182" s="4" t="n">
        <v>220</v>
      </c>
      <c r="AZ182" t="inlineStr"/>
      <c r="BA182" t="inlineStr">
        <is>
          <t>79114 Freiburg</t>
        </is>
      </c>
      <c r="BB182" s="5" t="n">
        <v>45483</v>
      </c>
      <c r="BC182" t="inlineStr">
        <is>
          <t>Sold</t>
        </is>
      </c>
      <c r="BD182" s="6">
        <f>HYPERLINK("https://www.dailydose.de/kleinanzeigen/detail.htm?ai=419123&amp;cf=kk&amp;pg=7&amp;ci=5", "Link")</f>
        <v/>
      </c>
      <c r="BE182" s="6">
        <f>HYPERLINK("C:\Projects\Kleinanzeigen-Scraper\offer_images\419123", "Link")</f>
        <v/>
      </c>
      <c r="BF182" t="inlineStr">
        <is>
          <t>wenigwind_104</t>
        </is>
      </c>
      <c r="BG182" s="6">
        <f>HYPERLINK("https://www.dailydose.de/kleinanzeigen/user/20460", "Link")</f>
        <v/>
      </c>
      <c r="BH182" s="7" t="n">
        <v>45501.41568287037</v>
      </c>
      <c r="BI182" s="3" t="inlineStr">
        <is>
          <t>44.06</t>
        </is>
      </c>
      <c r="BJ182" t="inlineStr">
        <is>
          <t>Bonndorf</t>
        </is>
      </c>
    </row>
    <row r="183">
      <c r="A183" s="2" t="n">
        <v>7.5</v>
      </c>
      <c r="B183" t="inlineStr">
        <is>
          <t>Neil Pryde V6</t>
        </is>
      </c>
      <c r="C183" s="3" t="inlineStr"/>
      <c r="D183" s="3" t="inlineStr"/>
      <c r="E183" t="inlineStr"/>
      <c r="F183" t="inlineStr"/>
      <c r="G183" t="inlineStr">
        <is>
          <t>used</t>
        </is>
      </c>
      <c r="H183" s="4" t="n">
        <v>180</v>
      </c>
      <c r="I183" t="inlineStr">
        <is>
          <t>VB</t>
        </is>
      </c>
      <c r="J183" t="inlineStr">
        <is>
          <t>64295 Hessen - Darmstadt</t>
        </is>
      </c>
      <c r="K183" s="5" t="n">
        <v>45427</v>
      </c>
      <c r="L183" t="inlineStr">
        <is>
          <t>Sold</t>
        </is>
      </c>
      <c r="M183" s="6">
        <f>HYPERLINK("https://www.kleinanzeigen.de/s-anzeige/windsurf-segel-surfsegel-neil-pryde-v6-7-5m-rigg-mit-mast-gabel/2761753219-230-4889", "Link")</f>
        <v/>
      </c>
      <c r="N183" s="6">
        <f>HYPERLINK("C:\Projects\Kleinanzeigen-Scraper\offer_images\2761753219", "Link")</f>
        <v/>
      </c>
      <c r="O183" t="inlineStr">
        <is>
          <t>bert8811</t>
        </is>
      </c>
      <c r="P183" s="6">
        <f>HYPERLINK("https://www.kleinanzeigen.de/s-bestandsliste.html?userId=19749391", "Link")</f>
        <v/>
      </c>
      <c r="Q183" s="7" t="n">
        <v>45500.72402777777</v>
      </c>
      <c r="R183" s="3" t="inlineStr">
        <is>
          <t>94.84</t>
        </is>
      </c>
      <c r="S183" t="inlineStr">
        <is>
          <t>Karlsruhe</t>
        </is>
      </c>
      <c r="T183" t="inlineStr">
        <is>
          <t>Neil Pryde</t>
        </is>
      </c>
      <c r="U183" s="3" t="inlineStr"/>
      <c r="V183" s="8" t="inlineStr"/>
      <c r="W183" t="inlineStr"/>
      <c r="X183" s="4" t="n">
        <v>180</v>
      </c>
      <c r="Y183" t="inlineStr">
        <is>
          <t>VB</t>
        </is>
      </c>
      <c r="Z183" t="inlineStr">
        <is>
          <t>64295 Hessen - Darmstadt</t>
        </is>
      </c>
      <c r="AA183" s="5" t="n">
        <v>45427</v>
      </c>
      <c r="AB183" t="inlineStr">
        <is>
          <t>Sold</t>
        </is>
      </c>
      <c r="AC183" s="6">
        <f>HYPERLINK("https://www.kleinanzeigen.de/s-anzeige/windsurf-segel-surfsegel-neil-pryde-v6-7-5m-rigg-mit-mast-gabel/2761753219-230-4889", "Link")</f>
        <v/>
      </c>
      <c r="AD183" s="6">
        <f>HYPERLINK("C:\Projects\Kleinanzeigen-Scraper\offer_images\2761753219", "Link")</f>
        <v/>
      </c>
      <c r="AE183" t="inlineStr">
        <is>
          <t>bert8811</t>
        </is>
      </c>
      <c r="AF183" s="6">
        <f>HYPERLINK("https://www.kleinanzeigen.de/s-bestandsliste.html?userId=19749391", "Link")</f>
        <v/>
      </c>
      <c r="AG183" s="7" t="n">
        <v>45500.72402777777</v>
      </c>
      <c r="AH183" s="3" t="inlineStr">
        <is>
          <t>94.84</t>
        </is>
      </c>
      <c r="AI183" t="inlineStr">
        <is>
          <t>Karlsruhe</t>
        </is>
      </c>
      <c r="AJ183" t="inlineStr">
        <is>
          <t>Neil Pryde</t>
        </is>
      </c>
      <c r="AK183" t="inlineStr"/>
      <c r="AL183" t="inlineStr"/>
      <c r="AM183" s="4" t="n">
        <v>180</v>
      </c>
      <c r="AN183" t="inlineStr">
        <is>
          <t>VB</t>
        </is>
      </c>
      <c r="AO183" t="inlineStr">
        <is>
          <t>64295 Hessen - Darmstadt</t>
        </is>
      </c>
      <c r="AP183" s="5" t="n">
        <v>45427</v>
      </c>
      <c r="AQ183" t="inlineStr">
        <is>
          <t>Sold</t>
        </is>
      </c>
      <c r="AR183" s="6">
        <f>HYPERLINK("https://www.kleinanzeigen.de/s-anzeige/windsurf-segel-surfsegel-neil-pryde-v6-7-5m-rigg-mit-mast-gabel/2761753219-230-4889", "Link")</f>
        <v/>
      </c>
      <c r="AS183" s="6">
        <f>HYPERLINK("C:\Projects\Kleinanzeigen-Scraper\offer_images\2761753219", "Link")</f>
        <v/>
      </c>
      <c r="AT183" t="inlineStr">
        <is>
          <t>bert8811</t>
        </is>
      </c>
      <c r="AU183" s="6">
        <f>HYPERLINK("https://www.kleinanzeigen.de/s-bestandsliste.html?userId=19749391", "Link")</f>
        <v/>
      </c>
      <c r="AV183" s="7" t="n">
        <v>45500.72402777777</v>
      </c>
      <c r="AW183" s="3" t="inlineStr">
        <is>
          <t>94.84</t>
        </is>
      </c>
      <c r="AX183" t="inlineStr">
        <is>
          <t>Karlsruhe</t>
        </is>
      </c>
      <c r="AY183" s="4" t="n">
        <v>180</v>
      </c>
      <c r="AZ183" t="inlineStr">
        <is>
          <t>VB</t>
        </is>
      </c>
      <c r="BA183" t="inlineStr">
        <is>
          <t>64295 Hessen - Darmstadt</t>
        </is>
      </c>
      <c r="BB183" s="5" t="n">
        <v>45427</v>
      </c>
      <c r="BC183" t="inlineStr">
        <is>
          <t>Sold</t>
        </is>
      </c>
      <c r="BD183" s="6">
        <f>HYPERLINK("https://www.kleinanzeigen.de/s-anzeige/windsurf-segel-surfsegel-neil-pryde-v6-7-5m-rigg-mit-mast-gabel/2761753219-230-4889", "Link")</f>
        <v/>
      </c>
      <c r="BE183" s="6">
        <f>HYPERLINK("C:\Projects\Kleinanzeigen-Scraper\offer_images\2761753219", "Link")</f>
        <v/>
      </c>
      <c r="BF183" t="inlineStr">
        <is>
          <t>bert8811</t>
        </is>
      </c>
      <c r="BG183" s="6">
        <f>HYPERLINK("https://www.kleinanzeigen.de/s-bestandsliste.html?userId=19749391", "Link")</f>
        <v/>
      </c>
      <c r="BH183" s="7" t="n">
        <v>45500.72402777777</v>
      </c>
      <c r="BI183" s="3" t="inlineStr">
        <is>
          <t>94.84</t>
        </is>
      </c>
      <c r="BJ183" t="inlineStr">
        <is>
          <t>Karlsruhe</t>
        </is>
      </c>
    </row>
    <row r="184">
      <c r="A184" s="2" t="inlineStr"/>
      <c r="B184" t="inlineStr"/>
      <c r="C184" s="3" t="inlineStr"/>
      <c r="D184" s="3" t="inlineStr"/>
      <c r="E184" t="inlineStr"/>
      <c r="F184" t="inlineStr"/>
      <c r="G184" t="inlineStr">
        <is>
          <t>used</t>
        </is>
      </c>
      <c r="H184" s="4" t="inlineStr">
        <is>
          <t>Zu verschenken</t>
        </is>
      </c>
      <c r="I184" t="inlineStr"/>
      <c r="J184" t="inlineStr">
        <is>
          <t>68309 Baden-Württemberg - Mannheim</t>
        </is>
      </c>
      <c r="K184" s="5" t="n">
        <v>44654</v>
      </c>
      <c r="L184" t="inlineStr">
        <is>
          <t>Sold</t>
        </is>
      </c>
      <c r="M184" s="6">
        <f>HYPERLINK("https://www.kleinanzeigen.de/s-anzeige/windsurf-rigg/2068659535-230-7973", "Link")</f>
        <v/>
      </c>
      <c r="N184" s="6">
        <f>HYPERLINK("C:\Projects\Kleinanzeigen-Scraper\offer_images\2068659535", "Link")</f>
        <v/>
      </c>
      <c r="O184" t="inlineStr">
        <is>
          <t>W.E.</t>
        </is>
      </c>
      <c r="P184" s="6">
        <f>HYPERLINK("https://www.kleinanzeigen.de/s-bestandsliste.html?userId=20729978", "Link")</f>
        <v/>
      </c>
      <c r="Q184" s="7" t="n">
        <v>45500.72393518518</v>
      </c>
      <c r="R184" s="3" t="inlineStr">
        <is>
          <t>57.34</t>
        </is>
      </c>
      <c r="S184" t="inlineStr">
        <is>
          <t>Karlsruhe</t>
        </is>
      </c>
      <c r="T184" t="inlineStr"/>
      <c r="U184" s="3" t="inlineStr"/>
      <c r="V184" s="8" t="inlineStr"/>
      <c r="W184" t="inlineStr"/>
      <c r="X184" s="4" t="inlineStr">
        <is>
          <t>Zu verschenken</t>
        </is>
      </c>
      <c r="Y184" t="inlineStr"/>
      <c r="Z184" t="inlineStr">
        <is>
          <t>68309 Baden-Württemberg - Mannheim</t>
        </is>
      </c>
      <c r="AA184" s="5" t="n">
        <v>44654</v>
      </c>
      <c r="AB184" t="inlineStr">
        <is>
          <t>Sold</t>
        </is>
      </c>
      <c r="AC184" s="6">
        <f>HYPERLINK("https://www.kleinanzeigen.de/s-anzeige/windsurf-rigg/2068659535-230-7973", "Link")</f>
        <v/>
      </c>
      <c r="AD184" s="6">
        <f>HYPERLINK("C:\Projects\Kleinanzeigen-Scraper\offer_images\2068659535", "Link")</f>
        <v/>
      </c>
      <c r="AE184" t="inlineStr">
        <is>
          <t>W.E.</t>
        </is>
      </c>
      <c r="AF184" s="6">
        <f>HYPERLINK("https://www.kleinanzeigen.de/s-bestandsliste.html?userId=20729978", "Link")</f>
        <v/>
      </c>
      <c r="AG184" s="7" t="n">
        <v>45500.72393518518</v>
      </c>
      <c r="AH184" s="3" t="inlineStr">
        <is>
          <t>57.34</t>
        </is>
      </c>
      <c r="AI184" t="inlineStr">
        <is>
          <t>Karlsruhe</t>
        </is>
      </c>
      <c r="AJ184" t="inlineStr"/>
      <c r="AK184" t="inlineStr"/>
      <c r="AL184" t="inlineStr"/>
      <c r="AM184" s="4" t="inlineStr">
        <is>
          <t>Zu verschenken</t>
        </is>
      </c>
      <c r="AN184" t="inlineStr"/>
      <c r="AO184" t="inlineStr">
        <is>
          <t>68309 Baden-Württemberg - Mannheim</t>
        </is>
      </c>
      <c r="AP184" s="5" t="n">
        <v>44654</v>
      </c>
      <c r="AQ184" t="inlineStr">
        <is>
          <t>Sold</t>
        </is>
      </c>
      <c r="AR184" s="6">
        <f>HYPERLINK("https://www.kleinanzeigen.de/s-anzeige/windsurf-rigg/2068659535-230-7973", "Link")</f>
        <v/>
      </c>
      <c r="AS184" s="6">
        <f>HYPERLINK("C:\Projects\Kleinanzeigen-Scraper\offer_images\2068659535", "Link")</f>
        <v/>
      </c>
      <c r="AT184" t="inlineStr">
        <is>
          <t>W.E.</t>
        </is>
      </c>
      <c r="AU184" s="6">
        <f>HYPERLINK("https://www.kleinanzeigen.de/s-bestandsliste.html?userId=20729978", "Link")</f>
        <v/>
      </c>
      <c r="AV184" s="7" t="n">
        <v>45500.72393518518</v>
      </c>
      <c r="AW184" s="3" t="inlineStr">
        <is>
          <t>57.34</t>
        </is>
      </c>
      <c r="AX184" t="inlineStr">
        <is>
          <t>Karlsruhe</t>
        </is>
      </c>
      <c r="AY184" s="4" t="inlineStr">
        <is>
          <t>Zu verschenken</t>
        </is>
      </c>
      <c r="AZ184" t="inlineStr"/>
      <c r="BA184" t="inlineStr">
        <is>
          <t>68309 Baden-Württemberg - Mannheim</t>
        </is>
      </c>
      <c r="BB184" s="5" t="n">
        <v>44654</v>
      </c>
      <c r="BC184" t="inlineStr">
        <is>
          <t>Sold</t>
        </is>
      </c>
      <c r="BD184" s="6">
        <f>HYPERLINK("https://www.kleinanzeigen.de/s-anzeige/windsurf-rigg/2068659535-230-7973", "Link")</f>
        <v/>
      </c>
      <c r="BE184" s="6">
        <f>HYPERLINK("C:\Projects\Kleinanzeigen-Scraper\offer_images\2068659535", "Link")</f>
        <v/>
      </c>
      <c r="BF184" t="inlineStr">
        <is>
          <t>W.E.</t>
        </is>
      </c>
      <c r="BG184" s="6">
        <f>HYPERLINK("https://www.kleinanzeigen.de/s-bestandsliste.html?userId=20729978", "Link")</f>
        <v/>
      </c>
      <c r="BH184" s="7" t="n">
        <v>45500.72393518518</v>
      </c>
      <c r="BI184" s="3" t="inlineStr">
        <is>
          <t>57.34</t>
        </is>
      </c>
      <c r="BJ184" t="inlineStr">
        <is>
          <t>Karlsruhe</t>
        </is>
      </c>
    </row>
    <row r="185">
      <c r="A185" s="2" t="n">
        <v>8.5</v>
      </c>
      <c r="B185" t="inlineStr">
        <is>
          <t>Neil Pryde V8</t>
        </is>
      </c>
      <c r="C185" s="3" t="n">
        <v>506</v>
      </c>
      <c r="D185" s="3" t="n">
        <v>229</v>
      </c>
      <c r="E185" t="inlineStr"/>
      <c r="F185" t="inlineStr"/>
      <c r="G185" t="inlineStr">
        <is>
          <t>used</t>
        </is>
      </c>
      <c r="H185" s="4" t="n">
        <v>25</v>
      </c>
      <c r="I185" t="inlineStr">
        <is>
          <t>VB</t>
        </is>
      </c>
      <c r="J185" t="inlineStr">
        <is>
          <t>79350 Baden-Württemberg - Sexau</t>
        </is>
      </c>
      <c r="K185" s="5" t="n">
        <v>45489</v>
      </c>
      <c r="L185" t="inlineStr">
        <is>
          <t>Sold</t>
        </is>
      </c>
      <c r="M185" s="6">
        <f>HYPERLINK("https://www.kleinanzeigen.de/s-anzeige/windsurf-segel-neil-pryde-8-5-qm-beschaedigt/2813988171-230-8288", "Link")</f>
        <v/>
      </c>
      <c r="N185" s="6">
        <f>HYPERLINK("C:\Projects\Kleinanzeigen-Scraper\offer_images\2813988171", "Link")</f>
        <v/>
      </c>
      <c r="O185" t="inlineStr">
        <is>
          <t>Robert</t>
        </is>
      </c>
      <c r="P185" s="6">
        <f>HYPERLINK("https://www.kleinanzeigen.de/s-bestandsliste.html?userId=18951209", "Link")</f>
        <v/>
      </c>
      <c r="Q185" s="7" t="n">
        <v>45500.72375</v>
      </c>
      <c r="R185" s="3" t="inlineStr">
        <is>
          <t>45.20</t>
        </is>
      </c>
      <c r="S185" t="inlineStr">
        <is>
          <t>Bonndorf</t>
        </is>
      </c>
      <c r="T185" t="inlineStr">
        <is>
          <t>Arrows Magic Stix 7</t>
        </is>
      </c>
      <c r="U185" s="3" t="n">
        <v>490</v>
      </c>
      <c r="V185" s="8" t="inlineStr">
        <is>
          <t>65%</t>
        </is>
      </c>
      <c r="W185" t="inlineStr"/>
      <c r="X185" s="4" t="n">
        <v>25</v>
      </c>
      <c r="Y185" t="inlineStr">
        <is>
          <t>VB</t>
        </is>
      </c>
      <c r="Z185" t="inlineStr">
        <is>
          <t>79350 Baden-Württemberg - Sexau</t>
        </is>
      </c>
      <c r="AA185" s="5" t="n">
        <v>45489</v>
      </c>
      <c r="AB185" t="inlineStr">
        <is>
          <t>Sold</t>
        </is>
      </c>
      <c r="AC185" s="6">
        <f>HYPERLINK("https://www.kleinanzeigen.de/s-anzeige/windsurf-segel-neil-pryde-8-5-qm-beschaedigt/2813988171-230-8288", "Link")</f>
        <v/>
      </c>
      <c r="AD185" s="6">
        <f>HYPERLINK("C:\Projects\Kleinanzeigen-Scraper\offer_images\2813988171", "Link")</f>
        <v/>
      </c>
      <c r="AE185" t="inlineStr">
        <is>
          <t>Robert</t>
        </is>
      </c>
      <c r="AF185" s="6">
        <f>HYPERLINK("https://www.kleinanzeigen.de/s-bestandsliste.html?userId=18951209", "Link")</f>
        <v/>
      </c>
      <c r="AG185" s="7" t="n">
        <v>45500.72375</v>
      </c>
      <c r="AH185" s="3" t="inlineStr">
        <is>
          <t>45.20</t>
        </is>
      </c>
      <c r="AI185" t="inlineStr">
        <is>
          <t>Bonndorf</t>
        </is>
      </c>
      <c r="AJ185" t="inlineStr">
        <is>
          <t>Arrows</t>
        </is>
      </c>
      <c r="AK185" t="inlineStr">
        <is>
          <t>200-250</t>
        </is>
      </c>
      <c r="AL185" t="inlineStr"/>
      <c r="AM185" s="4" t="n">
        <v>25</v>
      </c>
      <c r="AN185" t="inlineStr">
        <is>
          <t>VB</t>
        </is>
      </c>
      <c r="AO185" t="inlineStr">
        <is>
          <t>79350 Baden-Württemberg - Sexau</t>
        </is>
      </c>
      <c r="AP185" s="5" t="n">
        <v>45489</v>
      </c>
      <c r="AQ185" t="inlineStr">
        <is>
          <t>Sold</t>
        </is>
      </c>
      <c r="AR185" s="6">
        <f>HYPERLINK("https://www.kleinanzeigen.de/s-anzeige/windsurf-segel-neil-pryde-8-5-qm-beschaedigt/2813988171-230-8288", "Link")</f>
        <v/>
      </c>
      <c r="AS185" s="6">
        <f>HYPERLINK("C:\Projects\Kleinanzeigen-Scraper\offer_images\2813988171", "Link")</f>
        <v/>
      </c>
      <c r="AT185" t="inlineStr">
        <is>
          <t>Robert</t>
        </is>
      </c>
      <c r="AU185" s="6">
        <f>HYPERLINK("https://www.kleinanzeigen.de/s-bestandsliste.html?userId=18951209", "Link")</f>
        <v/>
      </c>
      <c r="AV185" s="7" t="n">
        <v>45500.72375</v>
      </c>
      <c r="AW185" s="3" t="inlineStr">
        <is>
          <t>45.20</t>
        </is>
      </c>
      <c r="AX185" t="inlineStr">
        <is>
          <t>Bonndorf</t>
        </is>
      </c>
      <c r="AY185" s="4" t="n">
        <v>25</v>
      </c>
      <c r="AZ185" t="inlineStr">
        <is>
          <t>VB</t>
        </is>
      </c>
      <c r="BA185" t="inlineStr">
        <is>
          <t>79350 Baden-Württemberg - Sexau</t>
        </is>
      </c>
      <c r="BB185" s="5" t="n">
        <v>45489</v>
      </c>
      <c r="BC185" t="inlineStr">
        <is>
          <t>Sold</t>
        </is>
      </c>
      <c r="BD185" s="6">
        <f>HYPERLINK("https://www.kleinanzeigen.de/s-anzeige/windsurf-segel-neil-pryde-8-5-qm-beschaedigt/2813988171-230-8288", "Link")</f>
        <v/>
      </c>
      <c r="BE185" s="6">
        <f>HYPERLINK("C:\Projects\Kleinanzeigen-Scraper\offer_images\2813988171", "Link")</f>
        <v/>
      </c>
      <c r="BF185" t="inlineStr">
        <is>
          <t>Robert</t>
        </is>
      </c>
      <c r="BG185" s="6">
        <f>HYPERLINK("https://www.kleinanzeigen.de/s-bestandsliste.html?userId=18951209", "Link")</f>
        <v/>
      </c>
      <c r="BH185" s="7" t="n">
        <v>45500.72375</v>
      </c>
      <c r="BI185" s="3" t="inlineStr">
        <is>
          <t>45.20</t>
        </is>
      </c>
      <c r="BJ185" t="inlineStr">
        <is>
          <t>Bonndorf</t>
        </is>
      </c>
    </row>
    <row r="186">
      <c r="A186" s="2" t="n">
        <v>7.5</v>
      </c>
      <c r="B186" t="inlineStr">
        <is>
          <t>Neilpride Solo</t>
        </is>
      </c>
      <c r="C186" s="3" t="n">
        <v>460</v>
      </c>
      <c r="D186" s="3" t="n">
        <v>211</v>
      </c>
      <c r="E186" t="inlineStr"/>
      <c r="F186" t="inlineStr"/>
      <c r="G186" t="inlineStr">
        <is>
          <t>used</t>
        </is>
      </c>
      <c r="H186" s="4" t="n">
        <v>140</v>
      </c>
      <c r="I186" t="inlineStr"/>
      <c r="J186" t="inlineStr">
        <is>
          <t>79111 Baden-Württemberg - Freiburg im Breisgau</t>
        </is>
      </c>
      <c r="K186" s="5" t="n">
        <v>45419</v>
      </c>
      <c r="L186" t="inlineStr">
        <is>
          <t>Sold</t>
        </is>
      </c>
      <c r="M186" s="6">
        <f>HYPERLINK("https://www.kleinanzeigen.de/s-anzeige/segel-neilpride-solo-7-5-rigg-windsurfen/2755708470-230-9361", "Link")</f>
        <v/>
      </c>
      <c r="N186" s="6">
        <f>HYPERLINK("C:\Projects\Kleinanzeigen-Scraper\offer_images\2755708470", "Link")</f>
        <v/>
      </c>
      <c r="O186" t="inlineStr">
        <is>
          <t>78dSigns</t>
        </is>
      </c>
      <c r="P186" s="6">
        <f>HYPERLINK("https://www.kleinanzeigen.de/s-bestandsliste.html?userId=139091034", "Link")</f>
        <v/>
      </c>
      <c r="Q186" s="7" t="n">
        <v>45500.72341435185</v>
      </c>
      <c r="R186" s="3" t="inlineStr">
        <is>
          <t>46.18</t>
        </is>
      </c>
      <c r="S186" t="inlineStr">
        <is>
          <t>Bonndorf</t>
        </is>
      </c>
      <c r="T186" t="inlineStr">
        <is>
          <t>Neil Pryde Matrix</t>
        </is>
      </c>
      <c r="U186" s="3" t="n">
        <v>460</v>
      </c>
      <c r="V186" s="8" t="inlineStr">
        <is>
          <t>30%</t>
        </is>
      </c>
      <c r="W186" t="inlineStr">
        <is>
          <t>SDM</t>
        </is>
      </c>
      <c r="X186" s="4" t="n">
        <v>140</v>
      </c>
      <c r="Y186" t="inlineStr"/>
      <c r="Z186" t="inlineStr">
        <is>
          <t>79111 Baden-Württemberg - Freiburg im Breisgau</t>
        </is>
      </c>
      <c r="AA186" s="5" t="n">
        <v>45419</v>
      </c>
      <c r="AB186" t="inlineStr">
        <is>
          <t>Sold</t>
        </is>
      </c>
      <c r="AC186" s="6">
        <f>HYPERLINK("https://www.kleinanzeigen.de/s-anzeige/segel-neilpride-solo-7-5-rigg-windsurfen/2755708470-230-9361", "Link")</f>
        <v/>
      </c>
      <c r="AD186" s="6">
        <f>HYPERLINK("C:\Projects\Kleinanzeigen-Scraper\offer_images\2755708470", "Link")</f>
        <v/>
      </c>
      <c r="AE186" t="inlineStr">
        <is>
          <t>78dSigns</t>
        </is>
      </c>
      <c r="AF186" s="6">
        <f>HYPERLINK("https://www.kleinanzeigen.de/s-bestandsliste.html?userId=139091034", "Link")</f>
        <v/>
      </c>
      <c r="AG186" s="7" t="n">
        <v>45500.72341435185</v>
      </c>
      <c r="AH186" s="3" t="inlineStr">
        <is>
          <t>46.18</t>
        </is>
      </c>
      <c r="AI186" t="inlineStr">
        <is>
          <t>Bonndorf</t>
        </is>
      </c>
      <c r="AJ186" t="inlineStr"/>
      <c r="AK186" t="inlineStr">
        <is>
          <t>185-235</t>
        </is>
      </c>
      <c r="AL186" t="inlineStr"/>
      <c r="AM186" s="4" t="n">
        <v>140</v>
      </c>
      <c r="AN186" t="inlineStr"/>
      <c r="AO186" t="inlineStr">
        <is>
          <t>79111 Baden-Württemberg - Freiburg im Breisgau</t>
        </is>
      </c>
      <c r="AP186" s="5" t="n">
        <v>45419</v>
      </c>
      <c r="AQ186" t="inlineStr">
        <is>
          <t>Sold</t>
        </is>
      </c>
      <c r="AR186" s="6">
        <f>HYPERLINK("https://www.kleinanzeigen.de/s-anzeige/segel-neilpride-solo-7-5-rigg-windsurfen/2755708470-230-9361", "Link")</f>
        <v/>
      </c>
      <c r="AS186" s="6">
        <f>HYPERLINK("C:\Projects\Kleinanzeigen-Scraper\offer_images\2755708470", "Link")</f>
        <v/>
      </c>
      <c r="AT186" t="inlineStr">
        <is>
          <t>78dSigns</t>
        </is>
      </c>
      <c r="AU186" s="6">
        <f>HYPERLINK("https://www.kleinanzeigen.de/s-bestandsliste.html?userId=139091034", "Link")</f>
        <v/>
      </c>
      <c r="AV186" s="7" t="n">
        <v>45500.72341435185</v>
      </c>
      <c r="AW186" s="3" t="inlineStr">
        <is>
          <t>46.18</t>
        </is>
      </c>
      <c r="AX186" t="inlineStr">
        <is>
          <t>Bonndorf</t>
        </is>
      </c>
      <c r="AY186" s="4" t="n">
        <v>140</v>
      </c>
      <c r="AZ186" t="inlineStr"/>
      <c r="BA186" t="inlineStr">
        <is>
          <t>79111 Baden-Württemberg - Freiburg im Breisgau</t>
        </is>
      </c>
      <c r="BB186" s="5" t="n">
        <v>45419</v>
      </c>
      <c r="BC186" t="inlineStr">
        <is>
          <t>Sold</t>
        </is>
      </c>
      <c r="BD186" s="6">
        <f>HYPERLINK("https://www.kleinanzeigen.de/s-anzeige/segel-neilpride-solo-7-5-rigg-windsurfen/2755708470-230-9361", "Link")</f>
        <v/>
      </c>
      <c r="BE186" s="6">
        <f>HYPERLINK("C:\Projects\Kleinanzeigen-Scraper\offer_images\2755708470", "Link")</f>
        <v/>
      </c>
      <c r="BF186" t="inlineStr">
        <is>
          <t>78dSigns</t>
        </is>
      </c>
      <c r="BG186" s="6">
        <f>HYPERLINK("https://www.kleinanzeigen.de/s-bestandsliste.html?userId=139091034", "Link")</f>
        <v/>
      </c>
      <c r="BH186" s="7" t="n">
        <v>45500.72341435185</v>
      </c>
      <c r="BI186" s="3" t="inlineStr">
        <is>
          <t>46.18</t>
        </is>
      </c>
      <c r="BJ186" t="inlineStr">
        <is>
          <t>Bonndorf</t>
        </is>
      </c>
    </row>
  </sheetData>
  <autoFilter ref="A1:BJ186"/>
  <pageMargins left="0.75" right="0.75" top="1" bottom="1" header="0.5" footer="0.5"/>
</worksheet>
</file>

<file path=xl/worksheets/sheet7.xml><?xml version="1.0" encoding="utf-8"?>
<worksheet xmlns="http://schemas.openxmlformats.org/spreadsheetml/2006/main">
  <sheetPr>
    <outlinePr summaryBelow="1" summaryRight="1"/>
    <pageSetUpPr/>
  </sheetPr>
  <dimension ref="A1:M883"/>
  <sheetViews>
    <sheetView workbookViewId="0">
      <selection activeCell="A1" sqref="A1"/>
    </sheetView>
  </sheetViews>
  <sheetFormatPr baseColWidth="8" defaultRowHeight="15"/>
  <cols>
    <col width="301" customWidth="1" min="1" max="1"/>
    <col width="18" customWidth="1" min="2" max="2"/>
    <col width="6" customWidth="1" min="3" max="3"/>
    <col width="60" customWidth="1" min="4" max="4"/>
    <col width="10" customWidth="1" min="5" max="5"/>
    <col width="8" customWidth="1" min="6" max="6"/>
    <col width="10" customWidth="1" min="7" max="7"/>
    <col width="10" customWidth="1" min="8" max="8"/>
    <col width="33" customWidth="1" min="9" max="9"/>
    <col width="20" customWidth="1" min="10" max="10"/>
    <col width="23" customWidth="1" min="11" max="11"/>
    <col width="21" customWidth="1" min="12" max="12"/>
    <col width="17" customWidth="1" min="13" max="13"/>
  </cols>
  <sheetData>
    <row r="1">
      <c r="A1" s="1" t="inlineStr">
        <is>
          <t>Accessory Type</t>
        </is>
      </c>
      <c r="B1" s="1" t="inlineStr">
        <is>
          <t>Price</t>
        </is>
      </c>
      <c r="C1" s="1" t="inlineStr">
        <is>
          <t>VB</t>
        </is>
      </c>
      <c r="D1" s="1" t="inlineStr">
        <is>
          <t>Location</t>
        </is>
      </c>
      <c r="E1" s="1" t="inlineStr">
        <is>
          <t>Date</t>
        </is>
      </c>
      <c r="F1" s="1" t="inlineStr">
        <is>
          <t>Sold</t>
        </is>
      </c>
      <c r="G1" s="1" t="inlineStr">
        <is>
          <t>Link</t>
        </is>
      </c>
      <c r="H1" s="1" t="inlineStr">
        <is>
          <t>Images</t>
        </is>
      </c>
      <c r="I1" s="1" t="inlineStr">
        <is>
          <t>User name</t>
        </is>
      </c>
      <c r="J1" s="1" t="inlineStr">
        <is>
          <t>All other offers</t>
        </is>
      </c>
      <c r="K1" s="1" t="inlineStr">
        <is>
          <t>Scraped on</t>
        </is>
      </c>
      <c r="L1" s="1" t="inlineStr">
        <is>
          <t>Min Distance (km)</t>
        </is>
      </c>
      <c r="M1" s="1" t="inlineStr">
        <is>
          <t>Closest place</t>
        </is>
      </c>
    </row>
    <row r="2">
      <c r="A2" t="inlineStr">
        <is>
          <t>Harness: Prolimit Windsurf-Hüfttrapez in Größe L, individuell einstellbar über Neoprengurte und Klettverschlüsse</t>
        </is>
      </c>
      <c r="B2" s="4" t="n">
        <v>40</v>
      </c>
      <c r="C2" t="inlineStr">
        <is>
          <t>VB</t>
        </is>
      </c>
      <c r="D2" t="inlineStr">
        <is>
          <t>22297 Hamburg-Nord - Hamburg Winterhude</t>
        </is>
      </c>
      <c r="E2" s="5" t="n">
        <v>45568</v>
      </c>
      <c r="F2" t="inlineStr"/>
      <c r="G2" s="6">
        <f>HYPERLINK("https://www.kleinanzeigen.de/s-anzeige/prolimit-windsurf-huefttrapez-groesse-l/2805689546-230-9480", "Link")</f>
        <v/>
      </c>
      <c r="H2" s="6">
        <f>HYPERLINK("C:\Projects\Kleinanzeigen-Scraper\offer_images\2805689546", "Link")</f>
        <v/>
      </c>
      <c r="I2" t="inlineStr">
        <is>
          <t>Sören Woitack</t>
        </is>
      </c>
      <c r="J2" s="6">
        <f>HYPERLINK("https://www.kleinanzeigen.de/s-bestandsliste.html?userId=17436238", "Link")</f>
        <v/>
      </c>
      <c r="K2" s="7" t="n">
        <v>45568.75302083333</v>
      </c>
      <c r="L2" s="3" t="inlineStr">
        <is>
          <t>362.41</t>
        </is>
      </c>
      <c r="M2" t="inlineStr">
        <is>
          <t>Köln</t>
        </is>
      </c>
    </row>
    <row r="3">
      <c r="A3" t="inlineStr">
        <is>
          <t>Protector: Ascan Mast und Gabelbaum Protector, made of Nylon, new and unused.</t>
        </is>
      </c>
      <c r="B3" s="4" t="n">
        <v>15</v>
      </c>
      <c r="C3" t="inlineStr"/>
      <c r="D3" t="inlineStr">
        <is>
          <t>19417 Mecklenburg-Vorpommern - Warin</t>
        </is>
      </c>
      <c r="E3" s="5" t="n">
        <v>45562</v>
      </c>
      <c r="F3" t="inlineStr"/>
      <c r="G3" s="6">
        <f>HYPERLINK("https://www.kleinanzeigen.de/s-anzeige/ascan-mast-und-gabelbaum-protector-windsurfen-prallschutz-nylon/2875664856-230-22310", "Link")</f>
        <v/>
      </c>
      <c r="H3" s="6">
        <f>HYPERLINK("C:\Projects\Kleinanzeigen-Scraper\offer_images\2875664856", "Link")</f>
        <v/>
      </c>
      <c r="I3" t="inlineStr">
        <is>
          <t>Mike</t>
        </is>
      </c>
      <c r="J3" s="6">
        <f>HYPERLINK("https://www.kleinanzeigen.de/s-bestandsliste.html?userId=14627495", "Link")</f>
        <v/>
      </c>
      <c r="K3" s="7" t="n">
        <v>45568.75234953704</v>
      </c>
      <c r="L3" s="3" t="inlineStr">
        <is>
          <t>449.43</t>
        </is>
      </c>
      <c r="M3" t="inlineStr">
        <is>
          <t>Köln</t>
        </is>
      </c>
    </row>
    <row r="4">
      <c r="A4" t="inlineStr">
        <is>
          <t>Mastfoot: New mast foot with Powerjoint</t>
        </is>
      </c>
      <c r="B4" s="4" t="n">
        <v>15</v>
      </c>
      <c r="C4" t="inlineStr"/>
      <c r="D4" t="inlineStr">
        <is>
          <t>85395 Bayern - Wolfersdorf</t>
        </is>
      </c>
      <c r="E4" s="5" t="n">
        <v>45567</v>
      </c>
      <c r="F4" t="inlineStr"/>
      <c r="G4" s="6">
        <f>HYPERLINK("https://www.kleinanzeigen.de/s-anzeige/windsurfen-mastfuss-mit-powerjoint/2880544145-230-6266", "Link")</f>
        <v/>
      </c>
      <c r="H4" s="6">
        <f>HYPERLINK("C:\Projects\Kleinanzeigen-Scraper\offer_images\2880544145", "Link")</f>
        <v/>
      </c>
      <c r="I4" t="inlineStr">
        <is>
          <t>Ludwig Funk</t>
        </is>
      </c>
      <c r="J4" s="6">
        <f>HYPERLINK("https://www.kleinanzeigen.de/s-bestandsliste.html?userId=27070405", "Link")</f>
        <v/>
      </c>
      <c r="K4" s="7" t="n">
        <v>45568.75210648148</v>
      </c>
      <c r="L4" s="3" t="inlineStr">
        <is>
          <t>41.34</t>
        </is>
      </c>
      <c r="M4" t="inlineStr">
        <is>
          <t>München</t>
        </is>
      </c>
    </row>
    <row r="5">
      <c r="A5" t="inlineStr">
        <is>
          <t>Mast extension: Adjustable from 10cm to 45cm, total length 60cm, standard diameter (SDM), three pulleys included.</t>
        </is>
      </c>
      <c r="B5" s="4" t="n">
        <v>25</v>
      </c>
      <c r="C5" t="inlineStr"/>
      <c r="D5" t="inlineStr">
        <is>
          <t>13597 Berlin - Spandau</t>
        </is>
      </c>
      <c r="E5" s="5" t="n">
        <v>45568</v>
      </c>
      <c r="F5" t="inlineStr"/>
      <c r="G5" s="6">
        <f>HYPERLINK("https://www.kleinanzeigen.de/s-anzeige/windsurf-mastfussverlaengerung-ascan-10cm-bis-45cm/2881385700-230-3431", "Link")</f>
        <v/>
      </c>
      <c r="H5" s="6">
        <f>HYPERLINK("C:\Projects\Kleinanzeigen-Scraper\offer_images\2881385700", "Link")</f>
        <v/>
      </c>
      <c r="I5" t="inlineStr">
        <is>
          <t>Tobias</t>
        </is>
      </c>
      <c r="J5" s="6">
        <f>HYPERLINK("https://www.kleinanzeigen.de/s-bestandsliste.html?userId=33453558", "Link")</f>
        <v/>
      </c>
      <c r="K5" s="7" t="n">
        <v>45568.7515625</v>
      </c>
      <c r="L5" s="3" t="inlineStr">
        <is>
          <t>465.78</t>
        </is>
      </c>
      <c r="M5" t="inlineStr">
        <is>
          <t>Köln</t>
        </is>
      </c>
    </row>
    <row r="6">
      <c r="A6" t="inlineStr">
        <is>
          <t>Fin: Fanatic Finne Trimbox, 33 cm, includes cover and quick-release screw</t>
        </is>
      </c>
      <c r="B6" s="4" t="n">
        <v>12</v>
      </c>
      <c r="C6" t="inlineStr">
        <is>
          <t>VB</t>
        </is>
      </c>
      <c r="D6" t="inlineStr">
        <is>
          <t>47239 Duisburg - Rumeln-Kaldenhausen</t>
        </is>
      </c>
      <c r="E6" s="5" t="n">
        <v>45568</v>
      </c>
      <c r="F6" t="inlineStr"/>
      <c r="G6" s="6">
        <f>HYPERLINK("https://www.kleinanzeigen.de/s-anzeige/fanatic-finne-trimbox-33-cm/2881524783-230-2137", "Link")</f>
        <v/>
      </c>
      <c r="H6" s="6">
        <f>HYPERLINK("C:\Projects\Kleinanzeigen-Scraper\offer_images\2881524783", "Link")</f>
        <v/>
      </c>
      <c r="I6" t="inlineStr">
        <is>
          <t>MB</t>
        </is>
      </c>
      <c r="J6" s="6">
        <f>HYPERLINK("https://www.kleinanzeigen.de/s-bestandsliste.html?userId=1864376", "Link")</f>
        <v/>
      </c>
      <c r="K6" s="7" t="n">
        <v>45568.75127314815</v>
      </c>
      <c r="L6" s="3" t="inlineStr">
        <is>
          <t>54.92</t>
        </is>
      </c>
      <c r="M6" t="inlineStr">
        <is>
          <t>Köln</t>
        </is>
      </c>
    </row>
    <row r="7">
      <c r="A7" t="inlineStr">
        <is>
          <t>Fin: Windsurfing Hawaii Angulo Wave 25, US Box, GFK, length 25cm, area 290cm²</t>
        </is>
      </c>
      <c r="B7" s="4" t="n">
        <v>35</v>
      </c>
      <c r="C7" t="inlineStr">
        <is>
          <t>VB</t>
        </is>
      </c>
      <c r="D7" t="inlineStr">
        <is>
          <t>88250 Baden-Württemberg - Weingarten</t>
        </is>
      </c>
      <c r="E7" s="5" t="n">
        <v>45568</v>
      </c>
      <c r="F7" t="inlineStr"/>
      <c r="G7" s="6">
        <f>HYPERLINK("https://www.kleinanzeigen.de/s-anzeige/windsurfing-hawaii-angulo-wave-25-finne-us-box-gfk-top-windsurf-s/2881423831-230-15340", "Link")</f>
        <v/>
      </c>
      <c r="H7" s="6">
        <f>HYPERLINK("C:\Projects\Kleinanzeigen-Scraper\offer_images\2881423831", "Link")</f>
        <v/>
      </c>
      <c r="I7" t="inlineStr">
        <is>
          <t>VSI</t>
        </is>
      </c>
      <c r="J7" s="6">
        <f>HYPERLINK("https://www.kleinanzeigen.de/s-bestandsliste.html?userId=23034641", "Link")</f>
        <v/>
      </c>
      <c r="K7" s="7" t="n">
        <v>45568.75125</v>
      </c>
      <c r="L7" s="3" t="inlineStr">
        <is>
          <t>97.39</t>
        </is>
      </c>
      <c r="M7" t="inlineStr">
        <is>
          <t>Bonndorf</t>
        </is>
      </c>
    </row>
    <row r="8">
      <c r="A8" t="inlineStr">
        <is>
          <t>Footstraps: Quick release, very good condition, sold individually or as a set.</t>
        </is>
      </c>
      <c r="B8" s="4" t="n">
        <v>6</v>
      </c>
      <c r="C8" t="inlineStr">
        <is>
          <t>VB</t>
        </is>
      </c>
      <c r="D8" t="inlineStr">
        <is>
          <t>47239 Duisburg - Rumeln-Kaldenhausen</t>
        </is>
      </c>
      <c r="E8" s="5" t="n">
        <v>45568</v>
      </c>
      <c r="F8" t="inlineStr"/>
      <c r="G8" s="6">
        <f>HYPERLINK("https://www.kleinanzeigen.de/s-anzeige/fanatic-fussschlaufen-art-schnellverschluss-wie-neu/2881534900-230-2137", "Link")</f>
        <v/>
      </c>
      <c r="H8" s="6">
        <f>HYPERLINK("C:\Projects\Kleinanzeigen-Scraper\offer_images\2881534900", "Link")</f>
        <v/>
      </c>
      <c r="I8" t="inlineStr">
        <is>
          <t>MB</t>
        </is>
      </c>
      <c r="J8" s="6">
        <f>HYPERLINK("https://www.kleinanzeigen.de/s-bestandsliste.html?userId=1864376", "Link")</f>
        <v/>
      </c>
      <c r="K8" s="7" t="n">
        <v>45568.75104166667</v>
      </c>
      <c r="L8" s="3" t="inlineStr">
        <is>
          <t>54.92</t>
        </is>
      </c>
      <c r="M8" t="inlineStr">
        <is>
          <t>Köln</t>
        </is>
      </c>
    </row>
    <row r="9">
      <c r="A9" t="inlineStr">
        <is>
          <t>Fin: Fanatic SUP fin, available for 10€ each</t>
        </is>
      </c>
      <c r="B9" s="4" t="n">
        <v>10</v>
      </c>
      <c r="C9" t="inlineStr"/>
      <c r="D9" t="inlineStr">
        <is>
          <t>81377 München - Sendling-Westpark</t>
        </is>
      </c>
      <c r="E9" s="5" t="n">
        <v>45568</v>
      </c>
      <c r="F9" t="inlineStr"/>
      <c r="G9" s="6">
        <f>HYPERLINK("https://www.kleinanzeigen.de/s-anzeige/fanatic-sup-finne/2881592716-230-16392", "Link")</f>
        <v/>
      </c>
      <c r="H9" s="6">
        <f>HYPERLINK("C:\Projects\Kleinanzeigen-Scraper\offer_images\2881592716", "Link")</f>
        <v/>
      </c>
      <c r="I9" t="inlineStr">
        <is>
          <t>Simon</t>
        </is>
      </c>
      <c r="J9" s="6">
        <f>HYPERLINK("https://www.kleinanzeigen.de/s-bestandsliste.html?userId=23581214", "Link")</f>
        <v/>
      </c>
      <c r="K9" s="7" t="n">
        <v>45568.75078703704</v>
      </c>
      <c r="L9" s="3" t="inlineStr">
        <is>
          <t>7.24</t>
        </is>
      </c>
      <c r="M9" t="inlineStr">
        <is>
          <t>München</t>
        </is>
      </c>
    </row>
    <row r="10">
      <c r="A10" t="inlineStr">
        <is>
          <t>Fin: Tekkno Freeride G10 310 Finne US Box Top</t>
        </is>
      </c>
      <c r="B10" s="4" t="n">
        <v>35</v>
      </c>
      <c r="C10" t="inlineStr">
        <is>
          <t>VB</t>
        </is>
      </c>
      <c r="D10" t="inlineStr">
        <is>
          <t>88250 Baden-Württemberg - Weingarten</t>
        </is>
      </c>
      <c r="E10" s="5" t="n">
        <v>45568</v>
      </c>
      <c r="F10" t="inlineStr"/>
      <c r="G10" s="6">
        <f>HYPERLINK("https://www.kleinanzeigen.de/s-anzeige/finne-tekkno-freeride-g10-310-finne-us-box-top-windsurf-sur/2881426744-230-15340", "Link")</f>
        <v/>
      </c>
      <c r="H10" s="6">
        <f>HYPERLINK("C:\Projects\Kleinanzeigen-Scraper\offer_images\2881426744", "Link")</f>
        <v/>
      </c>
      <c r="I10" t="inlineStr">
        <is>
          <t>VSI</t>
        </is>
      </c>
      <c r="J10" s="6">
        <f>HYPERLINK("https://www.kleinanzeigen.de/s-bestandsliste.html?userId=23034641", "Link")</f>
        <v/>
      </c>
      <c r="K10" s="7" t="n">
        <v>45568.75053240741</v>
      </c>
      <c r="L10" s="3" t="inlineStr">
        <is>
          <t>97.39</t>
        </is>
      </c>
      <c r="M10" t="inlineStr">
        <is>
          <t>Bonndorf</t>
        </is>
      </c>
    </row>
    <row r="11">
      <c r="A11" t="inlineStr">
        <is>
          <t>Trapeztampen: Severne Rot 28 in sehr guten Zustand</t>
        </is>
      </c>
      <c r="B11" s="4" t="n">
        <v>22</v>
      </c>
      <c r="C11" t="inlineStr">
        <is>
          <t>VB</t>
        </is>
      </c>
      <c r="D11" t="inlineStr">
        <is>
          <t>23858 Schleswig-Holstein - Reinfeld</t>
        </is>
      </c>
      <c r="E11" s="5" t="n">
        <v>45568</v>
      </c>
      <c r="F11" t="inlineStr"/>
      <c r="G11" s="6">
        <f>HYPERLINK("https://www.kleinanzeigen.de/s-anzeige/trapeztampen-severne-rot-28-windsurfen/2881335696-230-764", "Link")</f>
        <v/>
      </c>
      <c r="H11" s="6">
        <f>HYPERLINK("C:\Projects\Kleinanzeigen-Scraper\offer_images\2881335696", "Link")</f>
        <v/>
      </c>
      <c r="I11" t="inlineStr">
        <is>
          <t>Annika</t>
        </is>
      </c>
      <c r="J11" s="6">
        <f>HYPERLINK("https://www.kleinanzeigen.de/s-bestandsliste.html?userId=33381382", "Link")</f>
        <v/>
      </c>
      <c r="K11" s="7" t="n">
        <v>45568.75050925926</v>
      </c>
      <c r="L11" s="3" t="inlineStr">
        <is>
          <t>401.28</t>
        </is>
      </c>
      <c r="M11" t="inlineStr">
        <is>
          <t>Köln</t>
        </is>
      </c>
    </row>
    <row r="12">
      <c r="A12" t="inlineStr">
        <is>
          <t>Harness: Mystic Battlebelt Clickerbar, Size L, neuwertig</t>
        </is>
      </c>
      <c r="B12" s="4" t="n">
        <v>115</v>
      </c>
      <c r="C12" t="inlineStr">
        <is>
          <t>VB</t>
        </is>
      </c>
      <c r="D12" t="inlineStr">
        <is>
          <t>19417 Mecklenburg-Vorpommern - Warin</t>
        </is>
      </c>
      <c r="E12" s="5" t="n">
        <v>45562</v>
      </c>
      <c r="F12" t="inlineStr"/>
      <c r="G12" s="6">
        <f>HYPERLINK("https://www.kleinanzeigen.de/s-anzeige/mystic-battlebelt-clickerbar-hueft-trapez-groesse-l-windsurfen/2875643986-230-22310", "Link")</f>
        <v/>
      </c>
      <c r="H12" s="6">
        <f>HYPERLINK("C:\Projects\Kleinanzeigen-Scraper\offer_images\2875643986", "Link")</f>
        <v/>
      </c>
      <c r="I12" t="inlineStr">
        <is>
          <t>Mike</t>
        </is>
      </c>
      <c r="J12" s="6">
        <f>HYPERLINK("https://www.kleinanzeigen.de/s-bestandsliste.html?userId=14627495", "Link")</f>
        <v/>
      </c>
      <c r="K12" s="7" t="n">
        <v>45568.75025462963</v>
      </c>
      <c r="L12" s="3" t="inlineStr">
        <is>
          <t>449.43</t>
        </is>
      </c>
      <c r="M12" t="inlineStr">
        <is>
          <t>Köln</t>
        </is>
      </c>
    </row>
    <row r="13">
      <c r="A13" t="inlineStr">
        <is>
          <t>Fins: 2 fins for US-Box system, one reinforced with Carbon-Kevlar</t>
        </is>
      </c>
      <c r="B13" s="4" t="n">
        <v>20</v>
      </c>
      <c r="C13" t="inlineStr"/>
      <c r="D13" t="inlineStr">
        <is>
          <t>85395 Bayern - Wolfersdorf</t>
        </is>
      </c>
      <c r="E13" s="5" t="n">
        <v>45567</v>
      </c>
      <c r="F13" t="inlineStr"/>
      <c r="G13" s="6">
        <f>HYPERLINK("https://www.kleinanzeigen.de/s-anzeige/windsurfen-2-finnen-us-box/2880709714-230-6266", "Link")</f>
        <v/>
      </c>
      <c r="H13" s="6">
        <f>HYPERLINK("C:\Projects\Kleinanzeigen-Scraper\offer_images\2880709714", "Link")</f>
        <v/>
      </c>
      <c r="I13" t="inlineStr">
        <is>
          <t>Ludwig Funk</t>
        </is>
      </c>
      <c r="J13" s="6">
        <f>HYPERLINK("https://www.kleinanzeigen.de/s-bestandsliste.html?userId=27070405", "Link")</f>
        <v/>
      </c>
      <c r="K13" s="7" t="n">
        <v>45568.75008101852</v>
      </c>
      <c r="L13" s="3" t="inlineStr">
        <is>
          <t>41.34</t>
        </is>
      </c>
      <c r="M13" t="inlineStr">
        <is>
          <t>München</t>
        </is>
      </c>
    </row>
    <row r="14">
      <c r="A14" t="inlineStr">
        <is>
          <t>Fin: Tekkno G10 Crossover 310 Powerbox</t>
        </is>
      </c>
      <c r="B14" s="4" t="n">
        <v>45</v>
      </c>
      <c r="C14" t="inlineStr">
        <is>
          <t>VB</t>
        </is>
      </c>
      <c r="D14" t="inlineStr">
        <is>
          <t>88250 Baden-Württemberg - Weingarten</t>
        </is>
      </c>
      <c r="E14" s="5" t="n">
        <v>45568</v>
      </c>
      <c r="F14" t="inlineStr"/>
      <c r="G14" s="6">
        <f>HYPERLINK("https://www.kleinanzeigen.de/s-anzeige/finne-tekkno-g10-crossover-310-finne-powerbox-top-windsurf-surf/2881428830-230-15340", "Link")</f>
        <v/>
      </c>
      <c r="H14" s="6">
        <f>HYPERLINK("C:\Projects\Kleinanzeigen-Scraper\offer_images\2881428830", "Link")</f>
        <v/>
      </c>
      <c r="I14" t="inlineStr">
        <is>
          <t>VSI</t>
        </is>
      </c>
      <c r="J14" s="6">
        <f>HYPERLINK("https://www.kleinanzeigen.de/s-bestandsliste.html?userId=23034641", "Link")</f>
        <v/>
      </c>
      <c r="K14" s="7" t="n">
        <v>45568.74980324074</v>
      </c>
      <c r="L14" s="3" t="inlineStr">
        <is>
          <t>97.39</t>
        </is>
      </c>
      <c r="M14" t="inlineStr">
        <is>
          <t>Bonndorf</t>
        </is>
      </c>
    </row>
    <row r="15">
      <c r="A15" t="inlineStr">
        <is>
          <t>Harness: Windsurf trapez in size XL, very good used condition</t>
        </is>
      </c>
      <c r="B15" s="4" t="n">
        <v>55</v>
      </c>
      <c r="C15" t="inlineStr">
        <is>
          <t>VB</t>
        </is>
      </c>
      <c r="D15" t="inlineStr">
        <is>
          <t>83043 Bayern - Bad Aibling</t>
        </is>
      </c>
      <c r="E15" s="5" t="n">
        <v>45563</v>
      </c>
      <c r="F15" t="inlineStr"/>
      <c r="G15" s="6">
        <f>HYPERLINK("https://www.kleinanzeigen.de/s-anzeige/windsurfen-trapez-xl/2875941179-230-6134", "Link")</f>
        <v/>
      </c>
      <c r="H15" s="6">
        <f>HYPERLINK("C:\Projects\Kleinanzeigen-Scraper\offer_images\2875941179", "Link")</f>
        <v/>
      </c>
      <c r="I15" t="inlineStr">
        <is>
          <t>Markus</t>
        </is>
      </c>
      <c r="J15" s="6">
        <f>HYPERLINK("https://www.kleinanzeigen.de/s-bestandsliste.html?userId=10162543", "Link")</f>
        <v/>
      </c>
      <c r="K15" s="7" t="n">
        <v>45568.74804398148</v>
      </c>
      <c r="L15" s="3" t="inlineStr">
        <is>
          <t>43.15</t>
        </is>
      </c>
      <c r="M15" t="inlineStr">
        <is>
          <t>München</t>
        </is>
      </c>
    </row>
    <row r="16">
      <c r="A16" t="inlineStr">
        <is>
          <t>Mastfoot: Mastfuss mit Powerjoint</t>
        </is>
      </c>
      <c r="B16" s="4" t="n">
        <v>15</v>
      </c>
      <c r="C16" t="inlineStr"/>
      <c r="D16" t="inlineStr">
        <is>
          <t>85395 Bayern - Wolfersdorf</t>
        </is>
      </c>
      <c r="E16" s="5" t="n">
        <v>45567</v>
      </c>
      <c r="F16" t="inlineStr"/>
      <c r="G16" s="6">
        <f>HYPERLINK("https://www.kleinanzeigen.de/s-anzeige/windsurfen-mastfuss-mit-powerjoint/2880548804-230-6266", "Link")</f>
        <v/>
      </c>
      <c r="H16" s="6">
        <f>HYPERLINK("C:\Projects\Kleinanzeigen-Scraper\offer_images\2880548804", "Link")</f>
        <v/>
      </c>
      <c r="I16" t="inlineStr">
        <is>
          <t>Ludwig Funk</t>
        </is>
      </c>
      <c r="J16" s="6">
        <f>HYPERLINK("https://www.kleinanzeigen.de/s-bestandsliste.html?userId=27070405", "Link")</f>
        <v/>
      </c>
      <c r="K16" s="7" t="n">
        <v>45568.74715277777</v>
      </c>
      <c r="L16" s="3" t="inlineStr">
        <is>
          <t>41.34</t>
        </is>
      </c>
      <c r="M16" t="inlineStr">
        <is>
          <t>München</t>
        </is>
      </c>
    </row>
    <row r="17">
      <c r="A17" t="inlineStr">
        <is>
          <t>Harness: ION Carbon Windsurf Waist Radium L</t>
        </is>
      </c>
      <c r="B17" s="4" t="n">
        <v>120</v>
      </c>
      <c r="C17" t="inlineStr"/>
      <c r="D17" t="inlineStr">
        <is>
          <t>88400 Baden-Württemberg - Biberach an der Riß</t>
        </is>
      </c>
      <c r="E17" s="5" t="n">
        <v>45568</v>
      </c>
      <c r="F17" t="inlineStr"/>
      <c r="G17" s="6">
        <f>HYPERLINK("https://www.kleinanzeigen.de/s-anzeige/ion-carbon-harness-windsurf-waist-radium-l/2880920772-230-8706", "Link")</f>
        <v/>
      </c>
      <c r="H17" s="6">
        <f>HYPERLINK("C:\Projects\Kleinanzeigen-Scraper\offer_images\2880920772", "Link")</f>
        <v/>
      </c>
      <c r="I17" t="inlineStr">
        <is>
          <t>Schneider</t>
        </is>
      </c>
      <c r="J17" s="6">
        <f>HYPERLINK("https://www.kleinanzeigen.de/s-bestandsliste.html?userId=3638597", "Link")</f>
        <v/>
      </c>
      <c r="K17" s="7" t="n">
        <v>45568.74645833333</v>
      </c>
      <c r="L17" s="3" t="inlineStr">
        <is>
          <t>89.53</t>
        </is>
      </c>
      <c r="M17" t="inlineStr">
        <is>
          <t>Böblingen</t>
        </is>
      </c>
    </row>
    <row r="18">
      <c r="A18" t="inlineStr">
        <is>
          <t>Mastfoot Plate: A component for attaching the mast to the board.</t>
        </is>
      </c>
      <c r="B18" s="4" t="n">
        <v>10</v>
      </c>
      <c r="C18" t="inlineStr"/>
      <c r="D18" t="inlineStr">
        <is>
          <t>85395 Bayern - Wolfersdorf</t>
        </is>
      </c>
      <c r="E18" s="5" t="n">
        <v>45567</v>
      </c>
      <c r="F18" t="inlineStr"/>
      <c r="G18" s="6">
        <f>HYPERLINK("https://www.kleinanzeigen.de/s-anzeige/windsurfen-mastfuss-platte/2880547398-230-6266", "Link")</f>
        <v/>
      </c>
      <c r="H18" s="6">
        <f>HYPERLINK("C:\Projects\Kleinanzeigen-Scraper\offer_images\2880547398", "Link")</f>
        <v/>
      </c>
      <c r="I18" t="inlineStr">
        <is>
          <t>Ludwig Funk</t>
        </is>
      </c>
      <c r="J18" s="6">
        <f>HYPERLINK("https://www.kleinanzeigen.de/s-bestandsliste.html?userId=27070405", "Link")</f>
        <v/>
      </c>
      <c r="K18" s="7" t="n">
        <v>45568.74622685185</v>
      </c>
      <c r="L18" s="3" t="inlineStr">
        <is>
          <t>41.34</t>
        </is>
      </c>
      <c r="M18" t="inlineStr">
        <is>
          <t>München</t>
        </is>
      </c>
    </row>
    <row r="19">
      <c r="A19" t="inlineStr">
        <is>
          <t>Harness Lines: 32" fixed harness lines, like new, used only once</t>
        </is>
      </c>
      <c r="B19" s="4" t="n">
        <v>29</v>
      </c>
      <c r="C19" t="inlineStr"/>
      <c r="D19" t="inlineStr">
        <is>
          <t>80997 München - Allach-Untermenzing</t>
        </is>
      </c>
      <c r="E19" s="5" t="n">
        <v>45568</v>
      </c>
      <c r="F19" t="inlineStr"/>
      <c r="G19" s="6">
        <f>HYPERLINK("https://www.kleinanzeigen.de/s-anzeige/32-severne-fixed-harness-lines-trapeztampen-wie-neu-1x-benutzt/2881621667-230-6449", "Link")</f>
        <v/>
      </c>
      <c r="H19" s="6">
        <f>HYPERLINK("C:\Projects\Kleinanzeigen-Scraper\offer_images\2881621667", "Link")</f>
        <v/>
      </c>
      <c r="I19" t="inlineStr">
        <is>
          <t>Markus Schröder</t>
        </is>
      </c>
      <c r="J19" s="6">
        <f>HYPERLINK("https://www.kleinanzeigen.de/s-bestandsliste.html?userId=18093815", "Link")</f>
        <v/>
      </c>
      <c r="K19" s="7" t="n">
        <v>45568.74539351852</v>
      </c>
      <c r="L19" s="3" t="inlineStr">
        <is>
          <t>8.83</t>
        </is>
      </c>
      <c r="M19" t="inlineStr">
        <is>
          <t>München</t>
        </is>
      </c>
    </row>
    <row r="20">
      <c r="A20" t="inlineStr">
        <is>
          <t>Powerjoint: Windsurfing joint accessory for connecting components</t>
        </is>
      </c>
      <c r="B20" s="4" t="n">
        <v>10</v>
      </c>
      <c r="C20" t="inlineStr"/>
      <c r="D20" t="inlineStr">
        <is>
          <t>85395 Bayern - Wolfersdorf</t>
        </is>
      </c>
      <c r="E20" s="5" t="n">
        <v>45567</v>
      </c>
      <c r="F20" t="inlineStr"/>
      <c r="G20" s="6">
        <f>HYPERLINK("https://www.kleinanzeigen.de/s-anzeige/windsurfen-powerjoint/2880542710-230-6266", "Link")</f>
        <v/>
      </c>
      <c r="H20" s="6">
        <f>HYPERLINK("C:\Projects\Kleinanzeigen-Scraper\offer_images\2880542710", "Link")</f>
        <v/>
      </c>
      <c r="I20" t="inlineStr">
        <is>
          <t>Ludwig Funk</t>
        </is>
      </c>
      <c r="J20" s="6">
        <f>HYPERLINK("https://www.kleinanzeigen.de/s-bestandsliste.html?userId=27070405", "Link")</f>
        <v/>
      </c>
      <c r="K20" s="7" t="n">
        <v>45568.7453125</v>
      </c>
      <c r="L20" s="3" t="inlineStr">
        <is>
          <t>41.34</t>
        </is>
      </c>
      <c r="M20" t="inlineStr">
        <is>
          <t>München</t>
        </is>
      </c>
    </row>
    <row r="21">
      <c r="A21" t="inlineStr">
        <is>
          <t>Mastfoot: Mastfuss mit Powerjoint</t>
        </is>
      </c>
      <c r="B21" s="4" t="n">
        <v>15</v>
      </c>
      <c r="C21" t="inlineStr"/>
      <c r="D21" t="inlineStr">
        <is>
          <t>85395 Bayern - Wolfersdorf</t>
        </is>
      </c>
      <c r="E21" s="5" t="n">
        <v>45567</v>
      </c>
      <c r="F21" t="inlineStr"/>
      <c r="G21" s="6">
        <f>HYPERLINK("https://www.kleinanzeigen.de/s-anzeige/windsurfen-mastfuss-mit-powerjoint/2880550965-230-6266", "Link")</f>
        <v/>
      </c>
      <c r="H21" s="6">
        <f>HYPERLINK("C:\Projects\Kleinanzeigen-Scraper\offer_images\2880550965", "Link")</f>
        <v/>
      </c>
      <c r="I21" t="inlineStr">
        <is>
          <t>Ludwig Funk</t>
        </is>
      </c>
      <c r="J21" s="6">
        <f>HYPERLINK("https://www.kleinanzeigen.de/s-bestandsliste.html?userId=27070405", "Link")</f>
        <v/>
      </c>
      <c r="K21" s="7" t="n">
        <v>45568.74512731482</v>
      </c>
      <c r="L21" s="3" t="inlineStr">
        <is>
          <t>41.34</t>
        </is>
      </c>
      <c r="M21" t="inlineStr">
        <is>
          <t>München</t>
        </is>
      </c>
    </row>
    <row r="22">
      <c r="A22" t="inlineStr">
        <is>
          <t>Leash: Long safety leash from North, used a few times</t>
        </is>
      </c>
      <c r="B22" s="4" t="n">
        <v>40</v>
      </c>
      <c r="C22" t="inlineStr"/>
      <c r="D22" t="inlineStr">
        <is>
          <t>26382 Niedersachsen - Wilhelmshaven</t>
        </is>
      </c>
      <c r="E22" s="5" t="n">
        <v>45561</v>
      </c>
      <c r="F22" t="inlineStr">
        <is>
          <t>Sold</t>
        </is>
      </c>
      <c r="G22" s="6">
        <f>HYPERLINK("https://www.kleinanzeigen.de/s-anzeige/seafty-leash-long-north/2874597372-230-3099", "Link")</f>
        <v/>
      </c>
      <c r="H22" s="6">
        <f>HYPERLINK("C:\Projects\Kleinanzeigen-Scraper\offer_images\2874597372", "Link")</f>
        <v/>
      </c>
      <c r="I22" t="inlineStr">
        <is>
          <t>Herrwerth</t>
        </is>
      </c>
      <c r="J22" s="6">
        <f>HYPERLINK("https://www.kleinanzeigen.de/s-bestandsliste.html?userId=57401660", "Link")</f>
        <v/>
      </c>
      <c r="K22" s="7" t="n">
        <v>45567.75334490741</v>
      </c>
      <c r="L22" s="3" t="inlineStr">
        <is>
          <t>297.88</t>
        </is>
      </c>
      <c r="M22" t="inlineStr">
        <is>
          <t>Köln</t>
        </is>
      </c>
    </row>
    <row r="23">
      <c r="A23" t="inlineStr">
        <is>
          <t>Harness: ION Windsurf Hüfttrapez Pearl</t>
        </is>
      </c>
      <c r="B23" s="4" t="n">
        <v>60</v>
      </c>
      <c r="C23" t="inlineStr"/>
      <c r="D23" t="inlineStr">
        <is>
          <t>82467 Bayern - Garmisch-Partenkirchen</t>
        </is>
      </c>
      <c r="E23" s="5" t="n">
        <v>45567</v>
      </c>
      <c r="F23" t="inlineStr"/>
      <c r="G23" s="6">
        <f>HYPERLINK("https://www.kleinanzeigen.de/s-anzeige/ion-windsurf-trapez/2880287101-230-6338", "Link")</f>
        <v/>
      </c>
      <c r="H23" s="6">
        <f>HYPERLINK("C:\Projects\Kleinanzeigen-Scraper\offer_images\2880287101", "Link")</f>
        <v/>
      </c>
      <c r="I23" t="inlineStr">
        <is>
          <t>Stephan</t>
        </is>
      </c>
      <c r="J23" s="6">
        <f>HYPERLINK("https://www.kleinanzeigen.de/s-bestandsliste.html?userId=24549656", "Link")</f>
        <v/>
      </c>
      <c r="K23" s="7" t="n">
        <v>45567.75209490741</v>
      </c>
      <c r="L23" s="3" t="inlineStr">
        <is>
          <t>80.76</t>
        </is>
      </c>
      <c r="M23" t="inlineStr">
        <is>
          <t>München</t>
        </is>
      </c>
    </row>
    <row r="24">
      <c r="A24" t="inlineStr">
        <is>
          <t>Fin: 40cm - Trimmboxsystem in super Zustand</t>
        </is>
      </c>
      <c r="B24" s="4" t="n">
        <v>30</v>
      </c>
      <c r="C24" t="inlineStr"/>
      <c r="D24" t="inlineStr">
        <is>
          <t>22303 Hamburg-Nord - Hamburg Winterhude</t>
        </is>
      </c>
      <c r="E24" s="5" t="n">
        <v>45566</v>
      </c>
      <c r="F24" t="inlineStr"/>
      <c r="G24" s="6">
        <f>HYPERLINK("https://www.kleinanzeigen.de/s-anzeige/finne-trimmbox-windsurfen-40cm/2879873415-230-9482", "Link")</f>
        <v/>
      </c>
      <c r="H24" s="6">
        <f>HYPERLINK("C:\Projects\Kleinanzeigen-Scraper\offer_images\2879873415", "Link")</f>
        <v/>
      </c>
      <c r="I24" t="inlineStr">
        <is>
          <t>Daniel</t>
        </is>
      </c>
      <c r="J24" s="6">
        <f>HYPERLINK("https://www.kleinanzeigen.de/s-bestandsliste.html?userId=33396736", "Link")</f>
        <v/>
      </c>
      <c r="K24" s="7" t="n">
        <v>45567.75170138889</v>
      </c>
      <c r="L24" s="3" t="inlineStr">
        <is>
          <t>361.45</t>
        </is>
      </c>
      <c r="M24" t="inlineStr">
        <is>
          <t>Köln</t>
        </is>
      </c>
    </row>
    <row r="25">
      <c r="A25" t="inlineStr">
        <is>
          <t>Nose Protector: Protects the nose of the windsurf board from damage caused by the mast.</t>
        </is>
      </c>
      <c r="B25" s="4" t="n">
        <v>15</v>
      </c>
      <c r="C25" t="inlineStr"/>
      <c r="D25" t="inlineStr">
        <is>
          <t>10317 Berlin - Lichtenberg</t>
        </is>
      </c>
      <c r="E25" s="5" t="n">
        <v>45566</v>
      </c>
      <c r="F25" t="inlineStr"/>
      <c r="G25" s="6">
        <f>HYPERLINK("https://www.kleinanzeigen.de/s-anzeige/the-deviator-nose-protector-fuer-windsurf-board/2879713681-230-9684", "Link")</f>
        <v/>
      </c>
      <c r="H25" s="6">
        <f>HYPERLINK("C:\Projects\Kleinanzeigen-Scraper\offer_images\2879713681", "Link")</f>
        <v/>
      </c>
      <c r="I25" t="inlineStr">
        <is>
          <t>Christoph</t>
        </is>
      </c>
      <c r="J25" s="6">
        <f>HYPERLINK("https://www.kleinanzeigen.de/s-bestandsliste.html?userId=23649160", "Link")</f>
        <v/>
      </c>
      <c r="K25" s="7" t="n">
        <v>45567.7515625</v>
      </c>
      <c r="L25" s="3" t="inlineStr">
        <is>
          <t>481.96</t>
        </is>
      </c>
      <c r="M25" t="inlineStr">
        <is>
          <t>Köln</t>
        </is>
      </c>
    </row>
    <row r="26">
      <c r="A26" t="inlineStr">
        <is>
          <t>Mastfoot: US-System, guter Zustand (ca. 3 Jahre alt)</t>
        </is>
      </c>
      <c r="B26" s="4" t="n">
        <v>20</v>
      </c>
      <c r="C26" t="inlineStr"/>
      <c r="D26" t="inlineStr">
        <is>
          <t>10557 Mitte - Tiergarten</t>
        </is>
      </c>
      <c r="E26" s="5" t="n">
        <v>45567</v>
      </c>
      <c r="F26" t="inlineStr"/>
      <c r="G26" s="6">
        <f>HYPERLINK("https://www.kleinanzeigen.de/s-anzeige/mastfuss-us-system-windsurfen/2880286180-230-3502", "Link")</f>
        <v/>
      </c>
      <c r="H26" s="6">
        <f>HYPERLINK("C:\Projects\Kleinanzeigen-Scraper\offer_images\2880286180", "Link")</f>
        <v/>
      </c>
      <c r="I26" t="inlineStr">
        <is>
          <t>Fabian Becher</t>
        </is>
      </c>
      <c r="J26" s="6">
        <f>HYPERLINK("https://www.kleinanzeigen.de/s-bestandsliste.html?userId=14821328", "Link")</f>
        <v/>
      </c>
      <c r="K26" s="7" t="n">
        <v>45567.75109953704</v>
      </c>
      <c r="L26" s="3" t="inlineStr">
        <is>
          <t>475.20</t>
        </is>
      </c>
      <c r="M26" t="inlineStr">
        <is>
          <t>Köln</t>
        </is>
      </c>
    </row>
    <row r="27">
      <c r="A27" t="inlineStr">
        <is>
          <t>Fin: Weed fin (25cm) for Trimmbox system in excellent condition</t>
        </is>
      </c>
      <c r="B27" s="4" t="n">
        <v>30</v>
      </c>
      <c r="C27" t="inlineStr"/>
      <c r="D27" t="inlineStr">
        <is>
          <t>22303 Hamburg-Nord - Hamburg Winterhude</t>
        </is>
      </c>
      <c r="E27" s="5" t="n">
        <v>45566</v>
      </c>
      <c r="F27" t="inlineStr"/>
      <c r="G27" s="6">
        <f>HYPERLINK("https://www.kleinanzeigen.de/s-anzeige/weed-finne-seegrasfinne-trimmbox-windsurfen-25cm/2879872600-230-9482", "Link")</f>
        <v/>
      </c>
      <c r="H27" s="6">
        <f>HYPERLINK("C:\Projects\Kleinanzeigen-Scraper\offer_images\2879872600", "Link")</f>
        <v/>
      </c>
      <c r="I27" t="inlineStr">
        <is>
          <t>Daniel</t>
        </is>
      </c>
      <c r="J27" s="6">
        <f>HYPERLINK("https://www.kleinanzeigen.de/s-bestandsliste.html?userId=33396736", "Link")</f>
        <v/>
      </c>
      <c r="K27" s="7" t="n">
        <v>45567.75034722222</v>
      </c>
      <c r="L27" s="3" t="inlineStr">
        <is>
          <t>361.45</t>
        </is>
      </c>
      <c r="M27" t="inlineStr">
        <is>
          <t>Köln</t>
        </is>
      </c>
    </row>
    <row r="28">
      <c r="A28" t="inlineStr">
        <is>
          <t>Harness Lines: TOP VARIO Trapetztampen, Zustand wie NEU, nur Süßwasser</t>
        </is>
      </c>
      <c r="B28" s="4" t="n">
        <v>30</v>
      </c>
      <c r="C28" t="inlineStr">
        <is>
          <t>VB</t>
        </is>
      </c>
      <c r="D28" t="inlineStr">
        <is>
          <t>30419 Hannover - Herrenhausen-Stöcken</t>
        </is>
      </c>
      <c r="E28" s="5" t="n">
        <v>45566</v>
      </c>
      <c r="F28" t="inlineStr"/>
      <c r="G28" s="6">
        <f>HYPERLINK("https://www.kleinanzeigen.de/s-anzeige/duotone-harness-vario-2-0-race-slalom-trapetztampen-windsurfen/2879633248-230-3178", "Link")</f>
        <v/>
      </c>
      <c r="H28" s="6">
        <f>HYPERLINK("C:\Projects\Kleinanzeigen-Scraper\offer_images\2879633248", "Link")</f>
        <v/>
      </c>
      <c r="I28" t="inlineStr">
        <is>
          <t>Roxy</t>
        </is>
      </c>
      <c r="J28" s="6">
        <f>HYPERLINK("https://www.kleinanzeigen.de/s-bestandsliste.html?userId=83974897", "Link")</f>
        <v/>
      </c>
      <c r="K28" s="7" t="n">
        <v>45567.74982638889</v>
      </c>
      <c r="L28" s="3" t="inlineStr">
        <is>
          <t>248.55</t>
        </is>
      </c>
      <c r="M28" t="inlineStr">
        <is>
          <t>Köln</t>
        </is>
      </c>
    </row>
    <row r="29">
      <c r="A29" t="inlineStr">
        <is>
          <t>Trapeztampen: 66cm / 26" fixed, neuwertig mit leichten Gebrauchsspuren</t>
        </is>
      </c>
      <c r="B29" s="4" t="n">
        <v>12</v>
      </c>
      <c r="C29" t="inlineStr"/>
      <c r="D29" t="inlineStr">
        <is>
          <t>24116 Kiel - Schreventeich-Hasseldieksdamm</t>
        </is>
      </c>
      <c r="E29" s="5" t="n">
        <v>45566</v>
      </c>
      <c r="F29" t="inlineStr"/>
      <c r="G29" s="6">
        <f>HYPERLINK("https://www.kleinanzeigen.de/s-anzeige/neilpryde-trapeztampen-66cm-26-fixed/2879669355-230-703", "Link")</f>
        <v/>
      </c>
      <c r="H29" s="6">
        <f>HYPERLINK("C:\Projects\Kleinanzeigen-Scraper\offer_images\2879669355", "Link")</f>
        <v/>
      </c>
      <c r="I29" t="inlineStr">
        <is>
          <t>AB</t>
        </is>
      </c>
      <c r="J29" s="6">
        <f>HYPERLINK("https://www.kleinanzeigen.de/s-bestandsliste.html?userId=7838379", "Link")</f>
        <v/>
      </c>
      <c r="K29" s="7" t="n">
        <v>45567.74868055555</v>
      </c>
      <c r="L29" s="3" t="inlineStr">
        <is>
          <t>432.62</t>
        </is>
      </c>
      <c r="M29" t="inlineStr">
        <is>
          <t>Köln</t>
        </is>
      </c>
    </row>
    <row r="30">
      <c r="A30" t="inlineStr">
        <is>
          <t>Mastfoot: Einteilige Mastbase mit Zentralverschraubung für werkzeuglose Montage und Verstellung</t>
        </is>
      </c>
      <c r="B30" s="4" t="n">
        <v>46</v>
      </c>
      <c r="C30" t="inlineStr">
        <is>
          <t>VB</t>
        </is>
      </c>
      <c r="D30" t="inlineStr">
        <is>
          <t>31234 Niedersachsen - Edemissen</t>
        </is>
      </c>
      <c r="E30" s="5" t="n">
        <v>45566</v>
      </c>
      <c r="F30" t="inlineStr">
        <is>
          <t>Sold</t>
        </is>
      </c>
      <c r="G30" s="6">
        <f>HYPERLINK("https://www.kleinanzeigen.de/s-anzeige/north-sails-epx-base-tendon-short-pin-duotone-mastfuss/2879554701-230-2673", "Link")</f>
        <v/>
      </c>
      <c r="H30" s="6">
        <f>HYPERLINK("C:\Projects\Kleinanzeigen-Scraper\offer_images\2879554701", "Link")</f>
        <v/>
      </c>
      <c r="I30" t="inlineStr">
        <is>
          <t>Holger</t>
        </is>
      </c>
      <c r="J30" s="6">
        <f>HYPERLINK("https://www.kleinanzeigen.de/s-bestandsliste.html?userId=5557638", "Link")</f>
        <v/>
      </c>
      <c r="K30" s="7" t="n">
        <v>45566.74071759259</v>
      </c>
      <c r="L30" s="3" t="inlineStr">
        <is>
          <t>283.16</t>
        </is>
      </c>
      <c r="M30" t="inlineStr">
        <is>
          <t>Köln</t>
        </is>
      </c>
    </row>
    <row r="31">
      <c r="A31" t="inlineStr">
        <is>
          <t>Fin: Surfboard fin in good condition, includes a matching bag</t>
        </is>
      </c>
      <c r="B31" s="4" t="n">
        <v>15</v>
      </c>
      <c r="C31" t="inlineStr"/>
      <c r="D31" t="inlineStr">
        <is>
          <t>99734 Thüringen - Nordhausen</t>
        </is>
      </c>
      <c r="E31" s="5" t="n">
        <v>45566</v>
      </c>
      <c r="F31" t="inlineStr"/>
      <c r="G31" s="6">
        <f>HYPERLINK("https://www.kleinanzeigen.de/s-anzeige/surfboard-finne-windsurf-guter-zustand/2879479727-230-3582", "Link")</f>
        <v/>
      </c>
      <c r="H31" s="6">
        <f>HYPERLINK("C:\Projects\Kleinanzeigen-Scraper\offer_images\2879479727", "Link")</f>
        <v/>
      </c>
      <c r="I31" t="inlineStr">
        <is>
          <t>Familie.D98</t>
        </is>
      </c>
      <c r="J31" s="6">
        <f>HYPERLINK("https://www.kleinanzeigen.de/s-bestandsliste.html?userId=129989463", "Link")</f>
        <v/>
      </c>
      <c r="K31" s="7" t="n">
        <v>45566.73987268518</v>
      </c>
      <c r="L31" s="3" t="inlineStr">
        <is>
          <t>277.51</t>
        </is>
      </c>
      <c r="M31" t="inlineStr">
        <is>
          <t>Köln</t>
        </is>
      </c>
    </row>
    <row r="32">
      <c r="A32" t="inlineStr">
        <is>
          <t>Harness: Dakine NRG trapeze for windsurfing</t>
        </is>
      </c>
      <c r="B32" s="4" t="n">
        <v>120</v>
      </c>
      <c r="C32" t="inlineStr">
        <is>
          <t>VB</t>
        </is>
      </c>
      <c r="D32" t="inlineStr">
        <is>
          <t>86150 Bayern - Augsburg</t>
        </is>
      </c>
      <c r="E32" s="5" t="n">
        <v>45565</v>
      </c>
      <c r="F32" t="inlineStr"/>
      <c r="G32" s="6">
        <f>HYPERLINK("https://www.kleinanzeigen.de/s-anzeige/dakine-nrg-trapez-windsurfen/2878755723-230-7522", "Link")</f>
        <v/>
      </c>
      <c r="H32" s="6">
        <f>HYPERLINK("C:\Projects\Kleinanzeigen-Scraper\offer_images\2878755723", "Link")</f>
        <v/>
      </c>
      <c r="I32" t="inlineStr">
        <is>
          <t>Jakob Stoll</t>
        </is>
      </c>
      <c r="J32" s="6">
        <f>HYPERLINK("https://www.kleinanzeigen.de/s-bestandsliste.html?userId=29342089", "Link")</f>
        <v/>
      </c>
      <c r="K32" s="7" t="n">
        <v>45566.73983796296</v>
      </c>
      <c r="L32" s="3" t="inlineStr">
        <is>
          <t>56.35</t>
        </is>
      </c>
      <c r="M32" t="inlineStr">
        <is>
          <t>München</t>
        </is>
      </c>
    </row>
    <row r="33">
      <c r="A33" t="inlineStr">
        <is>
          <t>Various Accessories: Includes boom, poles, holders, and other surf accessories.</t>
        </is>
      </c>
      <c r="B33" s="4" t="inlineStr"/>
      <c r="C33" t="inlineStr">
        <is>
          <t>VB</t>
        </is>
      </c>
      <c r="D33" t="inlineStr">
        <is>
          <t>68649 Hessen - Groß-Rohrheim</t>
        </is>
      </c>
      <c r="E33" s="5" t="n">
        <v>45565</v>
      </c>
      <c r="F33" t="inlineStr"/>
      <c r="G33" s="6">
        <f>HYPERLINK("https://www.kleinanzeigen.de/s-anzeige/surfen-surf-zubehoer-gabelbaum-stangen-halter-usw-windsurfen/2878720266-230-4758", "Link")</f>
        <v/>
      </c>
      <c r="H33" s="6">
        <f>HYPERLINK("C:\Projects\Kleinanzeigen-Scraper\offer_images\2878720266", "Link")</f>
        <v/>
      </c>
      <c r="I33" t="inlineStr">
        <is>
          <t>Daniel</t>
        </is>
      </c>
      <c r="J33" s="6">
        <f>HYPERLINK("https://www.kleinanzeigen.de/s-bestandsliste.html?userId=15416374", "Link")</f>
        <v/>
      </c>
      <c r="K33" s="7" t="n">
        <v>45566.73813657407</v>
      </c>
      <c r="L33" s="3" t="inlineStr">
        <is>
          <t>78.85</t>
        </is>
      </c>
      <c r="M33" t="inlineStr">
        <is>
          <t>Karlsruhe</t>
        </is>
      </c>
    </row>
    <row r="34">
      <c r="A34" t="inlineStr">
        <is>
          <t>Harness: Size 38, Brand North</t>
        </is>
      </c>
      <c r="B34" s="4" t="n">
        <v>25</v>
      </c>
      <c r="C34" t="inlineStr">
        <is>
          <t>VB</t>
        </is>
      </c>
      <c r="D34" t="inlineStr">
        <is>
          <t>45699 Nordrhein-Westfalen - Herten</t>
        </is>
      </c>
      <c r="E34" s="5" t="n">
        <v>45566</v>
      </c>
      <c r="F34" t="inlineStr"/>
      <c r="G34" s="6">
        <f>HYPERLINK("https://www.kleinanzeigen.de/s-anzeige/windsurf-trapez-gr-38-north/2879529073-230-1832", "Link")</f>
        <v/>
      </c>
      <c r="H34" s="6">
        <f>HYPERLINK("C:\Projects\Kleinanzeigen-Scraper\offer_images\2879529073", "Link")</f>
        <v/>
      </c>
      <c r="I34" t="inlineStr">
        <is>
          <t>Wolfgang</t>
        </is>
      </c>
      <c r="J34" s="6">
        <f>HYPERLINK("https://www.kleinanzeigen.de/s-bestandsliste.html?userId=19314552", "Link")</f>
        <v/>
      </c>
      <c r="K34" s="7" t="n">
        <v>45566.73586805556</v>
      </c>
      <c r="L34" s="3" t="inlineStr">
        <is>
          <t>73.42</t>
        </is>
      </c>
      <c r="M34" t="inlineStr">
        <is>
          <t>Köln</t>
        </is>
      </c>
    </row>
    <row r="35">
      <c r="A35" t="inlineStr">
        <is>
          <t>Fin: Surfboard fin in very good condition, includes a matching bag</t>
        </is>
      </c>
      <c r="B35" s="4" t="n">
        <v>20</v>
      </c>
      <c r="C35" t="inlineStr">
        <is>
          <t>VB</t>
        </is>
      </c>
      <c r="D35" t="inlineStr">
        <is>
          <t>99734 Thüringen - Nordhausen</t>
        </is>
      </c>
      <c r="E35" s="5" t="n">
        <v>45566</v>
      </c>
      <c r="F35" t="inlineStr">
        <is>
          <t>Sold</t>
        </is>
      </c>
      <c r="G35" s="6">
        <f>HYPERLINK("https://www.kleinanzeigen.de/s-anzeige/surfboard-finne-windsurf-sehr-guter-zustand/2879481300-230-3582", "Link")</f>
        <v/>
      </c>
      <c r="H35" s="6">
        <f>HYPERLINK("C:\Projects\Kleinanzeigen-Scraper\offer_images\2879481300", "Link")</f>
        <v/>
      </c>
      <c r="I35" t="inlineStr">
        <is>
          <t>Familie.D98</t>
        </is>
      </c>
      <c r="J35" s="6">
        <f>HYPERLINK("https://www.kleinanzeigen.de/s-bestandsliste.html?userId=129989463", "Link")</f>
        <v/>
      </c>
      <c r="K35" s="7" t="n">
        <v>45566.73585648148</v>
      </c>
      <c r="L35" s="3" t="inlineStr">
        <is>
          <t>277.51</t>
        </is>
      </c>
      <c r="M35" t="inlineStr">
        <is>
          <t>Köln</t>
        </is>
      </c>
    </row>
    <row r="36">
      <c r="A36" t="inlineStr">
        <is>
          <t>Mast extension: NeilPryde Carbon MXT RDM, 34cm, Model 2023, 2 x new, 1 x used; Mast extension: NeilPryde Carbon MXT SDM, 34cm, Model 2023, new; Mast base: NeilPryde Power MXT Base, Model 2023, 2 x new</t>
        </is>
      </c>
      <c r="B36" s="4" t="n">
        <v>300</v>
      </c>
      <c r="C36" t="inlineStr"/>
      <c r="D36" t="inlineStr">
        <is>
          <t>82211 Bayern - Herrsching</t>
        </is>
      </c>
      <c r="E36" s="5" t="n">
        <v>45566</v>
      </c>
      <c r="F36" t="inlineStr">
        <is>
          <t>Sold</t>
        </is>
      </c>
      <c r="G36" s="6">
        <f>HYPERLINK("https://www.kleinanzeigen.de/s-anzeige/windsurf-neilpryde-carbon-mastfussverlaengerungn-und-mastfuesse/2879557225-230-5520", "Link")</f>
        <v/>
      </c>
      <c r="H36" s="6">
        <f>HYPERLINK("C:\Projects\Kleinanzeigen-Scraper\offer_images\2879557225", "Link")</f>
        <v/>
      </c>
      <c r="I36" t="inlineStr">
        <is>
          <t>Thomas</t>
        </is>
      </c>
      <c r="J36" s="6">
        <f>HYPERLINK("https://www.kleinanzeigen.de/s-bestandsliste.html?userId=47570105", "Link")</f>
        <v/>
      </c>
      <c r="K36" s="7" t="n">
        <v>45566.73329861111</v>
      </c>
      <c r="L36" s="3" t="inlineStr">
        <is>
          <t>32.73</t>
        </is>
      </c>
      <c r="M36" t="inlineStr">
        <is>
          <t>München</t>
        </is>
      </c>
    </row>
    <row r="37">
      <c r="A37" t="inlineStr">
        <is>
          <t>Accessory Set: Includes a bag, pump, fin, and repair kit for RRD SUP Board.</t>
        </is>
      </c>
      <c r="B37" s="4" t="n">
        <v>20</v>
      </c>
      <c r="C37" t="inlineStr"/>
      <c r="D37" t="inlineStr">
        <is>
          <t>71032 Baden-Württemberg - Böblingen</t>
        </is>
      </c>
      <c r="E37" s="5" t="n">
        <v>45565</v>
      </c>
      <c r="F37" t="inlineStr"/>
      <c r="G37" s="6">
        <f>HYPERLINK("https://www.kleinanzeigen.de/s-anzeige/rrd-sup-stand-up-paddle-board-zubehoer/2878454739-187-8784", "Link")</f>
        <v/>
      </c>
      <c r="H37" s="6">
        <f>HYPERLINK("C:\Projects\Kleinanzeigen-Scraper\offer_images\2878454739", "Link")</f>
        <v/>
      </c>
      <c r="I37" t="inlineStr">
        <is>
          <t>Ralf</t>
        </is>
      </c>
      <c r="J37" s="6">
        <f>HYPERLINK("https://www.kleinanzeigen.de/s-bestandsliste.html?userId=50423041", "Link")</f>
        <v/>
      </c>
      <c r="K37" s="7" t="n">
        <v>45565.74408564815</v>
      </c>
      <c r="L37" s="3" t="inlineStr">
        <is>
          <t>5.74</t>
        </is>
      </c>
      <c r="M37" t="inlineStr">
        <is>
          <t>Böblingen</t>
        </is>
      </c>
    </row>
    <row r="38">
      <c r="A38" t="inlineStr">
        <is>
          <t>Mast extension: Prolimit 48cm SDM</t>
        </is>
      </c>
      <c r="B38" s="4" t="n">
        <v>20</v>
      </c>
      <c r="C38" t="inlineStr"/>
      <c r="D38" t="inlineStr">
        <is>
          <t>22303 Hamburg-Nord - Hamburg Winterhude</t>
        </is>
      </c>
      <c r="E38" s="5" t="n">
        <v>45565</v>
      </c>
      <c r="F38" t="inlineStr"/>
      <c r="G38" s="6">
        <f>HYPERLINK("https://www.kleinanzeigen.de/s-anzeige/mastfuss-verlaengerung-extension-prolimit-48cm-sdm-windsurfen/2878617722-230-9482", "Link")</f>
        <v/>
      </c>
      <c r="H38" s="6">
        <f>HYPERLINK("C:\Projects\Kleinanzeigen-Scraper\offer_images\2878617722", "Link")</f>
        <v/>
      </c>
      <c r="I38" t="inlineStr">
        <is>
          <t>Daniel</t>
        </is>
      </c>
      <c r="J38" s="6">
        <f>HYPERLINK("https://www.kleinanzeigen.de/s-bestandsliste.html?userId=33396736", "Link")</f>
        <v/>
      </c>
      <c r="K38" s="7" t="n">
        <v>45565.74320601852</v>
      </c>
      <c r="L38" s="3" t="inlineStr">
        <is>
          <t>361.45</t>
        </is>
      </c>
      <c r="M38" t="inlineStr">
        <is>
          <t>Köln</t>
        </is>
      </c>
    </row>
    <row r="39">
      <c r="A39" t="inlineStr">
        <is>
          <t>Fin: Hurricane Formula Finne, 68.5 cm, good used condition</t>
        </is>
      </c>
      <c r="B39" s="4" t="n">
        <v>120</v>
      </c>
      <c r="C39" t="inlineStr"/>
      <c r="D39" t="inlineStr">
        <is>
          <t>47803 Nordrhein-Westfalen - Krefeld</t>
        </is>
      </c>
      <c r="E39" s="5" t="n">
        <v>45565</v>
      </c>
      <c r="F39" t="inlineStr">
        <is>
          <t>Sold</t>
        </is>
      </c>
      <c r="G39" s="6">
        <f>HYPERLINK("https://www.kleinanzeigen.de/s-anzeige/hurricane-carbon-windsurf-finne-formula/2878682736-230-1978", "Link")</f>
        <v/>
      </c>
      <c r="H39" s="6">
        <f>HYPERLINK("C:\Projects\Kleinanzeigen-Scraper\offer_images\2878682736", "Link")</f>
        <v/>
      </c>
      <c r="I39" t="inlineStr">
        <is>
          <t>Zeitgeist.82</t>
        </is>
      </c>
      <c r="J39" s="6">
        <f>HYPERLINK("https://www.kleinanzeigen.de/s-bestandsliste.html?userId=47357640", "Link")</f>
        <v/>
      </c>
      <c r="K39" s="7" t="n">
        <v>45565.74252314815</v>
      </c>
      <c r="L39" s="3" t="inlineStr">
        <is>
          <t>53.61</t>
        </is>
      </c>
      <c r="M39" t="inlineStr">
        <is>
          <t>Köln</t>
        </is>
      </c>
    </row>
    <row r="40">
      <c r="A40" t="inlineStr">
        <is>
          <t>Mast extension: SDM extension up to 42 cm</t>
        </is>
      </c>
      <c r="B40" s="4" t="n">
        <v>20</v>
      </c>
      <c r="C40" t="inlineStr">
        <is>
          <t>VB</t>
        </is>
      </c>
      <c r="D40" t="inlineStr">
        <is>
          <t>24114 Schleswig-Holstein - Kiel</t>
        </is>
      </c>
      <c r="E40" s="5" t="n">
        <v>45565</v>
      </c>
      <c r="F40" t="inlineStr"/>
      <c r="G40" s="6">
        <f>HYPERLINK("https://www.kleinanzeigen.de/s-anzeige/windsurf-mastverlaengerung-sdm/2878405561-230-697", "Link")</f>
        <v/>
      </c>
      <c r="H40" s="6">
        <f>HYPERLINK("C:\Projects\Kleinanzeigen-Scraper\offer_images\2878405561", "Link")</f>
        <v/>
      </c>
      <c r="I40" t="inlineStr">
        <is>
          <t>Andreas Osteresch</t>
        </is>
      </c>
      <c r="J40" s="6">
        <f>HYPERLINK("https://www.kleinanzeigen.de/s-bestandsliste.html?userId=18974139", "Link")</f>
        <v/>
      </c>
      <c r="K40" s="7" t="n">
        <v>45565.74185185185</v>
      </c>
      <c r="L40" s="3" t="inlineStr">
        <is>
          <t>431.59</t>
        </is>
      </c>
      <c r="M40" t="inlineStr">
        <is>
          <t>Köln</t>
        </is>
      </c>
    </row>
    <row r="41">
      <c r="A41" t="inlineStr">
        <is>
          <t>Harness: Neilpryde 3D in size XS, used but in good condition</t>
        </is>
      </c>
      <c r="B41" s="4" t="n">
        <v>30</v>
      </c>
      <c r="C41" t="inlineStr">
        <is>
          <t>VB</t>
        </is>
      </c>
      <c r="D41" t="inlineStr">
        <is>
          <t>53332 Nordrhein-Westfalen - Bornheim</t>
        </is>
      </c>
      <c r="E41" s="5" t="n">
        <v>45565</v>
      </c>
      <c r="F41" t="inlineStr"/>
      <c r="G41" s="6">
        <f>HYPERLINK("https://www.kleinanzeigen.de/s-anzeige/trapez-neilpryde-3d-in-xs/2878346839-230-1606", "Link")</f>
        <v/>
      </c>
      <c r="H41" s="6">
        <f>HYPERLINK("C:\Projects\Kleinanzeigen-Scraper\offer_images\2878346839", "Link")</f>
        <v/>
      </c>
      <c r="I41" t="inlineStr">
        <is>
          <t>Silvia  Horst</t>
        </is>
      </c>
      <c r="J41" s="6">
        <f>HYPERLINK("https://www.kleinanzeigen.de/s-bestandsliste.html?userId=69997264", "Link")</f>
        <v/>
      </c>
      <c r="K41" s="7" t="n">
        <v>45565.74170138889</v>
      </c>
      <c r="L41" s="3" t="inlineStr">
        <is>
          <t>18.44</t>
        </is>
      </c>
      <c r="M41" t="inlineStr">
        <is>
          <t>Köln</t>
        </is>
      </c>
    </row>
    <row r="42">
      <c r="A42" t="inlineStr">
        <is>
          <t>Harness: Gebrauchtes North Sitztrapez Gr.S mit Edelstahlhaken und Schnellverschluss</t>
        </is>
      </c>
      <c r="B42" s="4" t="n">
        <v>25</v>
      </c>
      <c r="C42" t="inlineStr">
        <is>
          <t>VB</t>
        </is>
      </c>
      <c r="D42" t="inlineStr">
        <is>
          <t>35096 Hessen - Weimar (Lahn)</t>
        </is>
      </c>
      <c r="E42" s="5" t="n">
        <v>45565</v>
      </c>
      <c r="F42" t="inlineStr"/>
      <c r="G42" s="6">
        <f>HYPERLINK("https://www.kleinanzeigen.de/s-anzeige/north-trapez-gr-s/2878190248-230-4828", "Link")</f>
        <v/>
      </c>
      <c r="H42" s="6">
        <f>HYPERLINK("C:\Projects\Kleinanzeigen-Scraper\offer_images\2878190248", "Link")</f>
        <v/>
      </c>
      <c r="I42" t="inlineStr">
        <is>
          <t>Marc Zeppel</t>
        </is>
      </c>
      <c r="J42" s="6">
        <f>HYPERLINK("https://www.kleinanzeigen.de/s-bestandsliste.html?userId=20961983", "Link")</f>
        <v/>
      </c>
      <c r="K42" s="7" t="n">
        <v>45565.74063657408</v>
      </c>
      <c r="L42" s="3" t="inlineStr">
        <is>
          <t>124.91</t>
        </is>
      </c>
      <c r="M42" t="inlineStr">
        <is>
          <t>Köln</t>
        </is>
      </c>
    </row>
    <row r="43">
      <c r="A43" t="inlineStr">
        <is>
          <t>Fin: C-Fins 6.0, 36 cm Tuttle, with minor hairline cracks, sold as defective</t>
        </is>
      </c>
      <c r="B43" s="4" t="n">
        <v>20</v>
      </c>
      <c r="C43" t="inlineStr">
        <is>
          <t>VB</t>
        </is>
      </c>
      <c r="D43" t="inlineStr">
        <is>
          <t>77654 Baden-Württemberg - Offenburg</t>
        </is>
      </c>
      <c r="E43" s="5" t="n">
        <v>45565</v>
      </c>
      <c r="F43" t="inlineStr">
        <is>
          <t>Sold</t>
        </is>
      </c>
      <c r="G43" s="6">
        <f>HYPERLINK("https://www.kleinanzeigen.de/s-anzeige/windsurf-finne-c-fins-6-0-36/2878577916-230-9038", "Link")</f>
        <v/>
      </c>
      <c r="H43" s="6">
        <f>HYPERLINK("C:\Projects\Kleinanzeigen-Scraper\offer_images\2878577916", "Link")</f>
        <v/>
      </c>
      <c r="I43" t="inlineStr">
        <is>
          <t>Christian</t>
        </is>
      </c>
      <c r="J43" s="6">
        <f>HYPERLINK("https://www.kleinanzeigen.de/s-bestandsliste.html?userId=15934602", "Link")</f>
        <v/>
      </c>
      <c r="K43" s="7" t="n">
        <v>45565.73931712963</v>
      </c>
      <c r="L43" s="3" t="inlineStr">
        <is>
          <t>66.05</t>
        </is>
      </c>
      <c r="M43" t="inlineStr">
        <is>
          <t>Karlsruhe</t>
        </is>
      </c>
    </row>
    <row r="44">
      <c r="A44" t="inlineStr">
        <is>
          <t>Harness: North Sails Surfer, size M, fully functional, good used condition</t>
        </is>
      </c>
      <c r="B44" s="4" t="n">
        <v>20</v>
      </c>
      <c r="C44" t="inlineStr"/>
      <c r="D44" t="inlineStr">
        <is>
          <t>14055 Berlin - Westend</t>
        </is>
      </c>
      <c r="E44" s="5" t="n">
        <v>45565</v>
      </c>
      <c r="F44" t="inlineStr"/>
      <c r="G44" s="6">
        <f>HYPERLINK("https://www.kleinanzeigen.de/s-anzeige/north-sails-surfer-windsurfer-trapez-gr-m/2878679958-230-25909", "Link")</f>
        <v/>
      </c>
      <c r="H44" s="6">
        <f>HYPERLINK("C:\Projects\Kleinanzeigen-Scraper\offer_images\2878679958", "Link")</f>
        <v/>
      </c>
      <c r="I44" t="inlineStr">
        <is>
          <t>Kruse</t>
        </is>
      </c>
      <c r="J44" s="6">
        <f>HYPERLINK("https://www.kleinanzeigen.de/s-bestandsliste.html?userId=17140955", "Link")</f>
        <v/>
      </c>
      <c r="K44" s="7" t="n">
        <v>45565.73797453703</v>
      </c>
      <c r="L44" s="3" t="inlineStr">
        <is>
          <t>466.16</t>
        </is>
      </c>
      <c r="M44" t="inlineStr">
        <is>
          <t>Köln</t>
        </is>
      </c>
    </row>
    <row r="45">
      <c r="A45" t="inlineStr">
        <is>
          <t>Fin: C-Fin 6.0, 38 cm length, Tuttlebox, defective</t>
        </is>
      </c>
      <c r="B45" s="4" t="n">
        <v>25</v>
      </c>
      <c r="C45" t="inlineStr">
        <is>
          <t>VB</t>
        </is>
      </c>
      <c r="D45" t="inlineStr">
        <is>
          <t>77654 Baden-Württemberg - Offenburg</t>
        </is>
      </c>
      <c r="E45" s="5" t="n">
        <v>45565</v>
      </c>
      <c r="F45" t="inlineStr">
        <is>
          <t>Sold</t>
        </is>
      </c>
      <c r="G45" s="6">
        <f>HYPERLINK("https://www.kleinanzeigen.de/s-anzeige/windsurf-finne-c-fin-6-0-38/2878574436-230-9038", "Link")</f>
        <v/>
      </c>
      <c r="H45" s="6">
        <f>HYPERLINK("C:\Projects\Kleinanzeigen-Scraper\offer_images\2878574436", "Link")</f>
        <v/>
      </c>
      <c r="I45" t="inlineStr">
        <is>
          <t>Christian</t>
        </is>
      </c>
      <c r="J45" s="6">
        <f>HYPERLINK("https://www.kleinanzeigen.de/s-bestandsliste.html?userId=15934602", "Link")</f>
        <v/>
      </c>
      <c r="K45" s="7" t="n">
        <v>45565.7378587963</v>
      </c>
      <c r="L45" s="3" t="inlineStr">
        <is>
          <t>66.05</t>
        </is>
      </c>
      <c r="M45" t="inlineStr">
        <is>
          <t>Karlsruhe</t>
        </is>
      </c>
    </row>
    <row r="46">
      <c r="A46" t="inlineStr">
        <is>
          <t>Harness: Prolimit Envy, Damen, neu und unbenutzt</t>
        </is>
      </c>
      <c r="B46" s="4" t="n">
        <v>99</v>
      </c>
      <c r="C46" t="inlineStr">
        <is>
          <t>VB</t>
        </is>
      </c>
      <c r="D46" t="inlineStr">
        <is>
          <t>50733 Köln - Nippes</t>
        </is>
      </c>
      <c r="E46" s="5" t="n">
        <v>45565</v>
      </c>
      <c r="F46" t="inlineStr"/>
      <c r="G46" s="6">
        <f>HYPERLINK("https://www.kleinanzeigen.de/s-anzeige/windsurf-trapez-prolimit-envy-damen-m-neu-und-unbenutzt/2835934148-230-993", "Link")</f>
        <v/>
      </c>
      <c r="H46" s="6">
        <f>HYPERLINK("C:\Projects\Kleinanzeigen-Scraper\offer_images\2835934148", "Link")</f>
        <v/>
      </c>
      <c r="I46" t="inlineStr">
        <is>
          <t>Promick</t>
        </is>
      </c>
      <c r="J46" s="6">
        <f>HYPERLINK("https://www.kleinanzeigen.de/s-bestandsliste.html?userId=140890799", "Link")</f>
        <v/>
      </c>
      <c r="K46" s="7" t="n">
        <v>45565.73753472222</v>
      </c>
      <c r="L46" s="3" t="inlineStr">
        <is>
          <t>2.91</t>
        </is>
      </c>
      <c r="M46" t="inlineStr">
        <is>
          <t>Köln</t>
        </is>
      </c>
    </row>
    <row r="47">
      <c r="A47" t="inlineStr">
        <is>
          <t>Nose Protector: New windsurf nose protector for sale.</t>
        </is>
      </c>
      <c r="B47" s="4" t="n">
        <v>5</v>
      </c>
      <c r="C47" t="inlineStr"/>
      <c r="D47" t="inlineStr">
        <is>
          <t>63826 Bayern - Geiselbach</t>
        </is>
      </c>
      <c r="E47" s="5" t="n">
        <v>45564</v>
      </c>
      <c r="F47" t="inlineStr"/>
      <c r="G47" s="6">
        <f>HYPERLINK("https://www.kleinanzeigen.de/s-anzeige/windsurf-nose-protector-neu/2877064333-223-4859", "Link")</f>
        <v/>
      </c>
      <c r="H47" s="6">
        <f>HYPERLINK("C:\Projects\Kleinanzeigen-Scraper\offer_images\2877064333", "Link")</f>
        <v/>
      </c>
      <c r="I47" t="inlineStr">
        <is>
          <t>Lars</t>
        </is>
      </c>
      <c r="J47" s="6">
        <f>HYPERLINK("https://www.kleinanzeigen.de/s-bestandsliste.html?userId=26162235", "Link")</f>
        <v/>
      </c>
      <c r="K47" s="7" t="n">
        <v>45564.87190972222</v>
      </c>
      <c r="L47" s="3" t="inlineStr">
        <is>
          <t>137.02</t>
        </is>
      </c>
      <c r="M47" t="inlineStr">
        <is>
          <t>Karlsruhe</t>
        </is>
      </c>
    </row>
    <row r="48">
      <c r="A48" t="inlineStr">
        <is>
          <t>Fin: Wavefinne Tekknosport G10 for US Box, very well maintained</t>
        </is>
      </c>
      <c r="B48" s="4" t="n">
        <v>40</v>
      </c>
      <c r="C48" t="inlineStr"/>
      <c r="D48" t="inlineStr">
        <is>
          <t>24113 Kiel - Hassee-Vieburg</t>
        </is>
      </c>
      <c r="E48" s="5" t="n">
        <v>45564</v>
      </c>
      <c r="F48" t="inlineStr"/>
      <c r="G48" s="6">
        <f>HYPERLINK("https://www.kleinanzeigen.de/s-anzeige/wavefinne-tekknosport-g10-us-box-260-top-windsurfen/2876878436-230-698", "Link")</f>
        <v/>
      </c>
      <c r="H48" s="6">
        <f>HYPERLINK("C:\Projects\Kleinanzeigen-Scraper\offer_images\2876878436", "Link")</f>
        <v/>
      </c>
      <c r="I48" t="inlineStr">
        <is>
          <t>Nico</t>
        </is>
      </c>
      <c r="J48" s="6">
        <f>HYPERLINK("https://www.kleinanzeigen.de/s-bestandsliste.html?userId=364237", "Link")</f>
        <v/>
      </c>
      <c r="K48" s="7" t="n">
        <v>45564.87170138889</v>
      </c>
      <c r="L48" s="3" t="inlineStr">
        <is>
          <t>427.37</t>
        </is>
      </c>
      <c r="M48" t="inlineStr">
        <is>
          <t>Köln</t>
        </is>
      </c>
    </row>
    <row r="49">
      <c r="A49" t="inlineStr">
        <is>
          <t>Fin: Choco Fins Star Fish 24 (MUF / Fanatic)</t>
        </is>
      </c>
      <c r="B49" s="4" t="n">
        <v>45</v>
      </c>
      <c r="C49" t="inlineStr">
        <is>
          <t>VB</t>
        </is>
      </c>
      <c r="D49" t="inlineStr">
        <is>
          <t>49074 Niedersachsen - Osnabrück</t>
        </is>
      </c>
      <c r="E49" s="5" t="n">
        <v>45564</v>
      </c>
      <c r="F49" t="inlineStr"/>
      <c r="G49" s="6">
        <f>HYPERLINK("https://www.kleinanzeigen.de/s-anzeige/choco-fins-star-fish-24-muf-fanatic-/2877291501-230-3120", "Link")</f>
        <v/>
      </c>
      <c r="H49" s="6">
        <f>HYPERLINK("C:\Projects\Kleinanzeigen-Scraper\offer_images\2877291501", "Link")</f>
        <v/>
      </c>
      <c r="I49" t="inlineStr">
        <is>
          <t>FL</t>
        </is>
      </c>
      <c r="J49" s="6">
        <f>HYPERLINK("https://www.kleinanzeigen.de/s-bestandsliste.html?userId=10421792", "Link")</f>
        <v/>
      </c>
      <c r="K49" s="7" t="n">
        <v>45564.8715162037</v>
      </c>
      <c r="L49" s="3" t="inlineStr">
        <is>
          <t>167.04</t>
        </is>
      </c>
      <c r="M49" t="inlineStr">
        <is>
          <t>Köln</t>
        </is>
      </c>
    </row>
    <row r="50">
      <c r="A50" t="inlineStr">
        <is>
          <t>Fin: Teamwave US Box G10 Wavefinne, 220 cm, very well maintained</t>
        </is>
      </c>
      <c r="B50" s="4" t="n">
        <v>30</v>
      </c>
      <c r="C50" t="inlineStr"/>
      <c r="D50" t="inlineStr">
        <is>
          <t>24113 Kiel - Hassee-Vieburg</t>
        </is>
      </c>
      <c r="E50" s="5" t="n">
        <v>45564</v>
      </c>
      <c r="F50" t="inlineStr"/>
      <c r="G50" s="6">
        <f>HYPERLINK("https://www.kleinanzeigen.de/s-anzeige/teamwave-us-box-g10-wavefinne-windsurfen-220/2876879141-230-698", "Link")</f>
        <v/>
      </c>
      <c r="H50" s="6">
        <f>HYPERLINK("C:\Projects\Kleinanzeigen-Scraper\offer_images\2876879141", "Link")</f>
        <v/>
      </c>
      <c r="I50" t="inlineStr">
        <is>
          <t>Nico</t>
        </is>
      </c>
      <c r="J50" s="6">
        <f>HYPERLINK("https://www.kleinanzeigen.de/s-bestandsliste.html?userId=364237", "Link")</f>
        <v/>
      </c>
      <c r="K50" s="7" t="n">
        <v>45564.87148148148</v>
      </c>
      <c r="L50" s="3" t="inlineStr">
        <is>
          <t>427.37</t>
        </is>
      </c>
      <c r="M50" t="inlineStr">
        <is>
          <t>Köln</t>
        </is>
      </c>
    </row>
    <row r="51">
      <c r="A51" t="inlineStr">
        <is>
          <t>Fin: G10 Drake Wavefinne for US Box, used</t>
        </is>
      </c>
      <c r="B51" s="4" t="n">
        <v>30</v>
      </c>
      <c r="C51" t="inlineStr"/>
      <c r="D51" t="inlineStr">
        <is>
          <t>24113 Kiel - Hassee-Vieburg</t>
        </is>
      </c>
      <c r="E51" s="5" t="n">
        <v>45564</v>
      </c>
      <c r="F51" t="inlineStr"/>
      <c r="G51" s="6">
        <f>HYPERLINK("https://www.kleinanzeigen.de/s-anzeige/g10-drake-wavefinne-windsurfen-us-box/2876882242-230-698", "Link")</f>
        <v/>
      </c>
      <c r="H51" s="6">
        <f>HYPERLINK("C:\Projects\Kleinanzeigen-Scraper\offer_images\2876882242", "Link")</f>
        <v/>
      </c>
      <c r="I51" t="inlineStr">
        <is>
          <t>Nico</t>
        </is>
      </c>
      <c r="J51" s="6">
        <f>HYPERLINK("https://www.kleinanzeigen.de/s-bestandsliste.html?userId=364237", "Link")</f>
        <v/>
      </c>
      <c r="K51" s="7" t="n">
        <v>45564.87145833333</v>
      </c>
      <c r="L51" s="3" t="inlineStr">
        <is>
          <t>427.37</t>
        </is>
      </c>
      <c r="M51" t="inlineStr">
        <is>
          <t>Köln</t>
        </is>
      </c>
    </row>
    <row r="52">
      <c r="A52" t="inlineStr">
        <is>
          <t>Mast extension: 50 cm and 25 cm</t>
        </is>
      </c>
      <c r="B52" s="4" t="n">
        <v>30</v>
      </c>
      <c r="C52" t="inlineStr">
        <is>
          <t>VB</t>
        </is>
      </c>
      <c r="D52" t="inlineStr">
        <is>
          <t>77654 Baden-Württemberg - Offenburg</t>
        </is>
      </c>
      <c r="E52" s="5" t="n">
        <v>45564</v>
      </c>
      <c r="F52" t="inlineStr"/>
      <c r="G52" s="6">
        <f>HYPERLINK("https://www.kleinanzeigen.de/s-anzeige/windsurf-mastverlaengerungen/2877164255-230-9038", "Link")</f>
        <v/>
      </c>
      <c r="H52" s="6">
        <f>HYPERLINK("C:\Projects\Kleinanzeigen-Scraper\offer_images\2877164255", "Link")</f>
        <v/>
      </c>
      <c r="I52" t="inlineStr">
        <is>
          <t>Christian</t>
        </is>
      </c>
      <c r="J52" s="6">
        <f>HYPERLINK("https://www.kleinanzeigen.de/s-bestandsliste.html?userId=15934602", "Link")</f>
        <v/>
      </c>
      <c r="K52" s="7" t="n">
        <v>45564.87135416667</v>
      </c>
      <c r="L52" s="3" t="inlineStr">
        <is>
          <t>66.05</t>
        </is>
      </c>
      <c r="M52" t="inlineStr">
        <is>
          <t>Karlsruhe</t>
        </is>
      </c>
    </row>
    <row r="53">
      <c r="A53" t="inlineStr">
        <is>
          <t>Fin: Power Box Finne G10 25cm in very good condition</t>
        </is>
      </c>
      <c r="B53" s="4" t="n">
        <v>28</v>
      </c>
      <c r="C53" t="inlineStr">
        <is>
          <t>VB</t>
        </is>
      </c>
      <c r="D53" t="inlineStr">
        <is>
          <t>20251 Hamburg-Nord - Hamburg Eppendorf</t>
        </is>
      </c>
      <c r="E53" s="5" t="n">
        <v>45564</v>
      </c>
      <c r="F53" t="inlineStr"/>
      <c r="G53" s="6">
        <f>HYPERLINK("https://www.kleinanzeigen.de/s-anzeige/fanatic-freewave-finne-25-power-box/2877368955-230-9475", "Link")</f>
        <v/>
      </c>
      <c r="H53" s="6">
        <f>HYPERLINK("C:\Projects\Kleinanzeigen-Scraper\offer_images\2877368955", "Link")</f>
        <v/>
      </c>
      <c r="I53" t="inlineStr">
        <is>
          <t>Philian Hole</t>
        </is>
      </c>
      <c r="J53" s="6">
        <f>HYPERLINK("https://www.kleinanzeigen.de/s-bestandsliste.html?userId=24747454", "Link")</f>
        <v/>
      </c>
      <c r="K53" s="7" t="n">
        <v>45564.87096064815</v>
      </c>
      <c r="L53" s="3" t="inlineStr">
        <is>
          <t>360.06</t>
        </is>
      </c>
      <c r="M53" t="inlineStr">
        <is>
          <t>Köln</t>
        </is>
      </c>
    </row>
    <row r="54">
      <c r="A54" t="inlineStr">
        <is>
          <t>Fins: Set of three carbon fins (25cm, 30cm, 32cm) with light signs of use</t>
        </is>
      </c>
      <c r="B54" s="4" t="n">
        <v>25</v>
      </c>
      <c r="C54" t="inlineStr"/>
      <c r="D54" t="inlineStr">
        <is>
          <t>85301 Bayern - Schweitenkirchen</t>
        </is>
      </c>
      <c r="E54" s="5" t="n">
        <v>45564</v>
      </c>
      <c r="F54" t="inlineStr"/>
      <c r="G54" s="6">
        <f>HYPERLINK("https://www.kleinanzeigen.de/s-anzeige/windsurf-finne-25-30-32-carbon-drops-maui-dunkerbeck-wave-freerid/2876996360-230-5847", "Link")</f>
        <v/>
      </c>
      <c r="H54" s="6">
        <f>HYPERLINK("C:\Projects\Kleinanzeigen-Scraper\offer_images\2876996360", "Link")</f>
        <v/>
      </c>
      <c r="I54" t="inlineStr">
        <is>
          <t>Michael Laußer</t>
        </is>
      </c>
      <c r="J54" s="6">
        <f>HYPERLINK("https://www.kleinanzeigen.de/s-bestandsliste.html?userId=6669985", "Link")</f>
        <v/>
      </c>
      <c r="K54" s="7" t="n">
        <v>45564.8708449074</v>
      </c>
      <c r="L54" s="3" t="inlineStr">
        <is>
          <t>43.29</t>
        </is>
      </c>
      <c r="M54" t="inlineStr">
        <is>
          <t>München</t>
        </is>
      </c>
    </row>
    <row r="55">
      <c r="A55" t="inlineStr">
        <is>
          <t>Trimmrollen: Two new trimming rollers</t>
        </is>
      </c>
      <c r="B55" s="4" t="n">
        <v>5</v>
      </c>
      <c r="C55" t="inlineStr"/>
      <c r="D55" t="inlineStr">
        <is>
          <t>63826 Bayern - Geiselbach</t>
        </is>
      </c>
      <c r="E55" s="5" t="n">
        <v>45564</v>
      </c>
      <c r="F55" t="inlineStr"/>
      <c r="G55" s="6">
        <f>HYPERLINK("https://www.kleinanzeigen.de/s-anzeige/windsurf-trimmrollen-neu/2877062597-230-4859", "Link")</f>
        <v/>
      </c>
      <c r="H55" s="6">
        <f>HYPERLINK("C:\Projects\Kleinanzeigen-Scraper\offer_images\2877062597", "Link")</f>
        <v/>
      </c>
      <c r="I55" t="inlineStr">
        <is>
          <t>Lars</t>
        </is>
      </c>
      <c r="J55" s="6">
        <f>HYPERLINK("https://www.kleinanzeigen.de/s-bestandsliste.html?userId=26162235", "Link")</f>
        <v/>
      </c>
      <c r="K55" s="7" t="n">
        <v>45564.87076388889</v>
      </c>
      <c r="L55" s="3" t="inlineStr">
        <is>
          <t>137.02</t>
        </is>
      </c>
      <c r="M55" t="inlineStr">
        <is>
          <t>Karlsruhe</t>
        </is>
      </c>
    </row>
    <row r="56">
      <c r="A56" t="inlineStr">
        <is>
          <t>Fin: Tekknosport Crossover Finne 330, G10, US Box</t>
        </is>
      </c>
      <c r="B56" s="4" t="n">
        <v>40</v>
      </c>
      <c r="C56" t="inlineStr"/>
      <c r="D56" t="inlineStr">
        <is>
          <t>24113 Kiel - Hassee-Vieburg</t>
        </is>
      </c>
      <c r="E56" s="5" t="n">
        <v>45564</v>
      </c>
      <c r="F56" t="inlineStr"/>
      <c r="G56" s="6">
        <f>HYPERLINK("https://www.kleinanzeigen.de/s-anzeige/tekknosport-crossover-finne-330-windsurfen-g10-us-box/2876877460-230-698", "Link")</f>
        <v/>
      </c>
      <c r="H56" s="6">
        <f>HYPERLINK("C:\Projects\Kleinanzeigen-Scraper\offer_images\2876877460", "Link")</f>
        <v/>
      </c>
      <c r="I56" t="inlineStr">
        <is>
          <t>Nico</t>
        </is>
      </c>
      <c r="J56" s="6">
        <f>HYPERLINK("https://www.kleinanzeigen.de/s-bestandsliste.html?userId=364237", "Link")</f>
        <v/>
      </c>
      <c r="K56" s="7" t="n">
        <v>45564.87045138889</v>
      </c>
      <c r="L56" s="3" t="inlineStr">
        <is>
          <t>427.37</t>
        </is>
      </c>
      <c r="M56" t="inlineStr">
        <is>
          <t>Köln</t>
        </is>
      </c>
    </row>
    <row r="57">
      <c r="A57" t="inlineStr">
        <is>
          <t>Fin: Carbon fin, 45cm, designed for smooth gliding and no spinouts.</t>
        </is>
      </c>
      <c r="B57" s="4" t="n">
        <v>69</v>
      </c>
      <c r="C57" t="inlineStr"/>
      <c r="D57" t="inlineStr">
        <is>
          <t>59469 Nordrhein-Westfalen - Ense</t>
        </is>
      </c>
      <c r="E57" s="5" t="n">
        <v>45563</v>
      </c>
      <c r="F57" t="inlineStr"/>
      <c r="G57" s="6">
        <f>HYPERLINK("https://www.kleinanzeigen.de/s-anzeige/finne-powerbox-carbon-45cm-windsurfen/2876458529-230-1816", "Link")</f>
        <v/>
      </c>
      <c r="H57" s="6">
        <f>HYPERLINK("C:\Projects\Kleinanzeigen-Scraper\offer_images\2876458529", "Link")</f>
        <v/>
      </c>
      <c r="I57" t="inlineStr">
        <is>
          <t>Marcell Mierswa</t>
        </is>
      </c>
      <c r="J57" s="6">
        <f>HYPERLINK("https://www.kleinanzeigen.de/s-bestandsliste.html?userId=24121917", "Link")</f>
        <v/>
      </c>
      <c r="K57" s="7" t="n">
        <v>45564.87037037037</v>
      </c>
      <c r="L57" s="3" t="inlineStr">
        <is>
          <t>94.85</t>
        </is>
      </c>
      <c r="M57" t="inlineStr">
        <is>
          <t>Köln</t>
        </is>
      </c>
    </row>
    <row r="58">
      <c r="A58" t="inlineStr">
        <is>
          <t>Adapter: 3D printed adapters for mast foot and 2 fins to convert a SUP into a windsurf board.</t>
        </is>
      </c>
      <c r="B58" s="4" t="n">
        <v>37</v>
      </c>
      <c r="C58" t="inlineStr"/>
      <c r="D58" t="inlineStr">
        <is>
          <t>42349 Wuppertal - Cronenberg</t>
        </is>
      </c>
      <c r="E58" s="5" t="n">
        <v>45564</v>
      </c>
      <c r="F58" t="inlineStr"/>
      <c r="G58" s="6">
        <f>HYPERLINK("https://www.kleinanzeigen.de/s-anzeige/windsurf-adapter-fuer-mastfuss-und-2-finnen-als-schwert-driftstop/2877701055-230-1577", "Link")</f>
        <v/>
      </c>
      <c r="H58" s="6">
        <f>HYPERLINK("C:\Projects\Kleinanzeigen-Scraper\offer_images\2877701055", "Link")</f>
        <v/>
      </c>
      <c r="I58" t="inlineStr">
        <is>
          <t>Bäcker</t>
        </is>
      </c>
      <c r="J58" s="6">
        <f>HYPERLINK("https://www.kleinanzeigen.de/s-bestandsliste.html?userId=64143060", "Link")</f>
        <v/>
      </c>
      <c r="K58" s="7" t="n">
        <v>45564.87020833333</v>
      </c>
      <c r="L58" s="3" t="inlineStr">
        <is>
          <t>31.91</t>
        </is>
      </c>
      <c r="M58" t="inlineStr">
        <is>
          <t>Köln</t>
        </is>
      </c>
    </row>
    <row r="59">
      <c r="A59" t="inlineStr">
        <is>
          <t>Fin: Slalom fin, used, area 22.0 cm²</t>
        </is>
      </c>
      <c r="B59" s="4" t="n">
        <v>20</v>
      </c>
      <c r="C59" t="inlineStr"/>
      <c r="D59" t="inlineStr">
        <is>
          <t>24113 Kiel - Hassee-Vieburg</t>
        </is>
      </c>
      <c r="E59" s="5" t="n">
        <v>45564</v>
      </c>
      <c r="F59" t="inlineStr"/>
      <c r="G59" s="6">
        <f>HYPERLINK("https://www.kleinanzeigen.de/s-anzeige/power-box-speed-slalom-windsurfen/2876877957-230-698", "Link")</f>
        <v/>
      </c>
      <c r="H59" s="6">
        <f>HYPERLINK("C:\Projects\Kleinanzeigen-Scraper\offer_images\2876877957", "Link")</f>
        <v/>
      </c>
      <c r="I59" t="inlineStr">
        <is>
          <t>Nico</t>
        </is>
      </c>
      <c r="J59" s="6">
        <f>HYPERLINK("https://www.kleinanzeigen.de/s-bestandsliste.html?userId=364237", "Link")</f>
        <v/>
      </c>
      <c r="K59" s="7" t="n">
        <v>45564.87013888889</v>
      </c>
      <c r="L59" s="3" t="inlineStr">
        <is>
          <t>427.37</t>
        </is>
      </c>
      <c r="M59" t="inlineStr">
        <is>
          <t>Köln</t>
        </is>
      </c>
    </row>
    <row r="60">
      <c r="A60" t="inlineStr">
        <is>
          <t>Harness: Pat Love Cult size M in good condition</t>
        </is>
      </c>
      <c r="B60" s="4" t="n">
        <v>35</v>
      </c>
      <c r="C60" t="inlineStr"/>
      <c r="D60" t="inlineStr">
        <is>
          <t>88085 Baden-Württemberg - Langenargen</t>
        </is>
      </c>
      <c r="E60" s="5" t="n">
        <v>45564</v>
      </c>
      <c r="F60" t="inlineStr">
        <is>
          <t>Sold</t>
        </is>
      </c>
      <c r="G60" s="6">
        <f>HYPERLINK("https://www.kleinanzeigen.de/s-anzeige/trapez-huefttrapez-windsurf-pat-love-cult-gr-m/2877445943-230-8350", "Link")</f>
        <v/>
      </c>
      <c r="H60" s="6">
        <f>HYPERLINK("C:\Projects\Kleinanzeigen-Scraper\offer_images\2877445943", "Link")</f>
        <v/>
      </c>
      <c r="I60" t="inlineStr">
        <is>
          <t>S. Leib</t>
        </is>
      </c>
      <c r="J60" s="6">
        <f>HYPERLINK("https://www.kleinanzeigen.de/s-bestandsliste.html?userId=42837272", "Link")</f>
        <v/>
      </c>
      <c r="K60" s="7" t="n">
        <v>45564.87008101852</v>
      </c>
      <c r="L60" s="3" t="inlineStr">
        <is>
          <t>93.32</t>
        </is>
      </c>
      <c r="M60" t="inlineStr">
        <is>
          <t>Bonndorf</t>
        </is>
      </c>
    </row>
    <row r="61">
      <c r="A61" t="inlineStr">
        <is>
          <t>Harness Lines: Dehnungsfreier Tampen mit robustem PE-Schlauchüberzug, stufenlose Längeneinstellung</t>
        </is>
      </c>
      <c r="B61" s="4" t="n">
        <v>22</v>
      </c>
      <c r="C61" t="inlineStr"/>
      <c r="D61" t="inlineStr">
        <is>
          <t>42697 Nordrhein-Westfalen - Solingen</t>
        </is>
      </c>
      <c r="E61" s="5" t="n">
        <v>45564</v>
      </c>
      <c r="F61" t="inlineStr"/>
      <c r="G61" s="6">
        <f>HYPERLINK("https://www.kleinanzeigen.de/s-anzeige/windsurfen-2-paar-4-stk-trapeztampen-gunsails-vario-24-30/2877678421-230-2125", "Link")</f>
        <v/>
      </c>
      <c r="H61" s="6">
        <f>HYPERLINK("C:\Projects\Kleinanzeigen-Scraper\offer_images\2877678421", "Link")</f>
        <v/>
      </c>
      <c r="I61" t="inlineStr">
        <is>
          <t>G. Hayashi</t>
        </is>
      </c>
      <c r="J61" s="6">
        <f>HYPERLINK("https://www.kleinanzeigen.de/s-bestandsliste.html?userId=6271551", "Link")</f>
        <v/>
      </c>
      <c r="K61" s="7" t="n">
        <v>45564.86984953703</v>
      </c>
      <c r="L61" s="3" t="inlineStr">
        <is>
          <t>24.09</t>
        </is>
      </c>
      <c r="M61" t="inlineStr">
        <is>
          <t>Köln</t>
        </is>
      </c>
    </row>
    <row r="62">
      <c r="A62" t="inlineStr">
        <is>
          <t>Mast extension: NPU XTension, suitable for sails between 4.5 m² and 6.5 m²</t>
        </is>
      </c>
      <c r="B62" s="4" t="n">
        <v>45</v>
      </c>
      <c r="C62" t="inlineStr">
        <is>
          <t>VB</t>
        </is>
      </c>
      <c r="D62" t="inlineStr">
        <is>
          <t>41334 Nordrhein-Westfalen - Nettetal</t>
        </is>
      </c>
      <c r="E62" s="5" t="n">
        <v>45564</v>
      </c>
      <c r="F62" t="inlineStr"/>
      <c r="G62" s="6">
        <f>HYPERLINK("https://www.kleinanzeigen.de/s-anzeige/windsurf-mastverlaengerung-npu-xtension-pvc-rohre-in-gutem-zusta/2877336344-230-1182", "Link")</f>
        <v/>
      </c>
      <c r="H62" s="6">
        <f>HYPERLINK("C:\Projects\Kleinanzeigen-Scraper\offer_images\2877336344", "Link")</f>
        <v/>
      </c>
      <c r="I62" t="inlineStr">
        <is>
          <t>Lehmann</t>
        </is>
      </c>
      <c r="J62" s="6">
        <f>HYPERLINK("https://www.kleinanzeigen.de/s-bestandsliste.html?userId=19989230", "Link")</f>
        <v/>
      </c>
      <c r="K62" s="7" t="n">
        <v>45564.86979166666</v>
      </c>
      <c r="L62" s="3" t="inlineStr">
        <is>
          <t>64.20</t>
        </is>
      </c>
      <c r="M62" t="inlineStr">
        <is>
          <t>Köln</t>
        </is>
      </c>
    </row>
    <row r="63">
      <c r="A63" t="inlineStr">
        <is>
          <t>Mastprotektor: ION, ideal zum Foilen, schützt Mast und Board bei Stürzen.</t>
        </is>
      </c>
      <c r="B63" s="4" t="n">
        <v>30</v>
      </c>
      <c r="C63" t="inlineStr">
        <is>
          <t>VB</t>
        </is>
      </c>
      <c r="D63" t="inlineStr">
        <is>
          <t>77654 Baden-Württemberg - Offenburg</t>
        </is>
      </c>
      <c r="E63" s="5" t="n">
        <v>45564</v>
      </c>
      <c r="F63" t="inlineStr"/>
      <c r="G63" s="6">
        <f>HYPERLINK("https://www.kleinanzeigen.de/s-anzeige/windsurf-mastprotektor-ion/2877160310-230-9038", "Link")</f>
        <v/>
      </c>
      <c r="H63" s="6">
        <f>HYPERLINK("C:\Projects\Kleinanzeigen-Scraper\offer_images\2877160310", "Link")</f>
        <v/>
      </c>
      <c r="I63" t="inlineStr">
        <is>
          <t>Christian</t>
        </is>
      </c>
      <c r="J63" s="6">
        <f>HYPERLINK("https://www.kleinanzeigen.de/s-bestandsliste.html?userId=15934602", "Link")</f>
        <v/>
      </c>
      <c r="K63" s="7" t="n">
        <v>45564.86868055556</v>
      </c>
      <c r="L63" s="3" t="inlineStr">
        <is>
          <t>66.05</t>
        </is>
      </c>
      <c r="M63" t="inlineStr">
        <is>
          <t>Karlsruhe</t>
        </is>
      </c>
    </row>
    <row r="64">
      <c r="A64" t="inlineStr">
        <is>
          <t>Harness: Dakine Hawai Nexus in size M, very good condition</t>
        </is>
      </c>
      <c r="B64" s="4" t="n">
        <v>65</v>
      </c>
      <c r="C64" t="inlineStr"/>
      <c r="D64" t="inlineStr">
        <is>
          <t>88085 Baden-Württemberg - Langenargen</t>
        </is>
      </c>
      <c r="E64" s="5" t="n">
        <v>45564</v>
      </c>
      <c r="F64" t="inlineStr"/>
      <c r="G64" s="6">
        <f>HYPERLINK("https://www.kleinanzeigen.de/s-anzeige/trapez-huefttrapez-windsurf-dakine-hawai-nexus-gr-m/2877413883-230-8350", "Link")</f>
        <v/>
      </c>
      <c r="H64" s="6">
        <f>HYPERLINK("C:\Projects\Kleinanzeigen-Scraper\offer_images\2877413883", "Link")</f>
        <v/>
      </c>
      <c r="I64" t="inlineStr">
        <is>
          <t>S. Leib</t>
        </is>
      </c>
      <c r="J64" s="6">
        <f>HYPERLINK("https://www.kleinanzeigen.de/s-bestandsliste.html?userId=42837272", "Link")</f>
        <v/>
      </c>
      <c r="K64" s="7" t="n">
        <v>45564.86841435185</v>
      </c>
      <c r="L64" s="3" t="inlineStr">
        <is>
          <t>93.32</t>
        </is>
      </c>
      <c r="M64" t="inlineStr">
        <is>
          <t>Bonndorf</t>
        </is>
      </c>
    </row>
    <row r="65">
      <c r="A65" t="inlineStr">
        <is>
          <t>Fin: US Box 210 Wavefinne, used</t>
        </is>
      </c>
      <c r="B65" s="4" t="n">
        <v>20</v>
      </c>
      <c r="C65" t="inlineStr"/>
      <c r="D65" t="inlineStr">
        <is>
          <t>24113 Kiel - Hassee-Vieburg</t>
        </is>
      </c>
      <c r="E65" s="5" t="n">
        <v>45564</v>
      </c>
      <c r="F65" t="inlineStr"/>
      <c r="G65" s="6">
        <f>HYPERLINK("https://www.kleinanzeigen.de/s-anzeige/us-box-210-wavefinne-finne-windsurfen/2876881817-230-698", "Link")</f>
        <v/>
      </c>
      <c r="H65" s="6">
        <f>HYPERLINK("C:\Projects\Kleinanzeigen-Scraper\offer_images\2876881817", "Link")</f>
        <v/>
      </c>
      <c r="I65" t="inlineStr">
        <is>
          <t>Nico</t>
        </is>
      </c>
      <c r="J65" s="6">
        <f>HYPERLINK("https://www.kleinanzeigen.de/s-bestandsliste.html?userId=364237", "Link")</f>
        <v/>
      </c>
      <c r="K65" s="7" t="n">
        <v>45564.86834490741</v>
      </c>
      <c r="L65" s="3" t="inlineStr">
        <is>
          <t>427.37</t>
        </is>
      </c>
      <c r="M65" t="inlineStr">
        <is>
          <t>Köln</t>
        </is>
      </c>
    </row>
    <row r="66">
      <c r="A66" t="inlineStr">
        <is>
          <t>Fin: 310 Powerbox Slalomfinne, used</t>
        </is>
      </c>
      <c r="B66" s="4" t="n">
        <v>20</v>
      </c>
      <c r="C66" t="inlineStr"/>
      <c r="D66" t="inlineStr">
        <is>
          <t>24113 Kiel - Hassee-Vieburg</t>
        </is>
      </c>
      <c r="E66" s="5" t="n">
        <v>45564</v>
      </c>
      <c r="F66" t="inlineStr"/>
      <c r="G66" s="6">
        <f>HYPERLINK("https://www.kleinanzeigen.de/s-anzeige/310-powerbox-slalomfinne-windsurfen/2876881025-230-698", "Link")</f>
        <v/>
      </c>
      <c r="H66" s="6">
        <f>HYPERLINK("C:\Projects\Kleinanzeigen-Scraper\offer_images\2876881025", "Link")</f>
        <v/>
      </c>
      <c r="I66" t="inlineStr">
        <is>
          <t>Nico</t>
        </is>
      </c>
      <c r="J66" s="6">
        <f>HYPERLINK("https://www.kleinanzeigen.de/s-bestandsliste.html?userId=364237", "Link")</f>
        <v/>
      </c>
      <c r="K66" s="7" t="n">
        <v>45564.86821759259</v>
      </c>
      <c r="L66" s="3" t="inlineStr">
        <is>
          <t>427.37</t>
        </is>
      </c>
      <c r="M66" t="inlineStr">
        <is>
          <t>Köln</t>
        </is>
      </c>
    </row>
    <row r="67">
      <c r="A67" t="inlineStr">
        <is>
          <t>Fins: New IXEF fins, 5 cm, screws never used</t>
        </is>
      </c>
      <c r="B67" s="4" t="n">
        <v>80</v>
      </c>
      <c r="C67" t="inlineStr"/>
      <c r="D67" t="inlineStr">
        <is>
          <t>22419 Hamburg-Nord - Hamburg Langenhorn</t>
        </is>
      </c>
      <c r="E67" s="5" t="n">
        <v>45564</v>
      </c>
      <c r="F67" t="inlineStr"/>
      <c r="G67" s="6">
        <f>HYPERLINK("https://www.kleinanzeigen.de/s-anzeige/naish-ixef-finnen-neu-5-cm-50-mm-monarch-hero-motion/2877239221-230-9487", "Link")</f>
        <v/>
      </c>
      <c r="H67" s="6">
        <f>HYPERLINK("C:\Projects\Kleinanzeigen-Scraper\offer_images\2877239221", "Link")</f>
        <v/>
      </c>
      <c r="I67" t="inlineStr">
        <is>
          <t>Deniz</t>
        </is>
      </c>
      <c r="J67" s="6">
        <f>HYPERLINK("https://www.kleinanzeigen.de/s-bestandsliste.html?userId=10117717", "Link")</f>
        <v/>
      </c>
      <c r="K67" s="7" t="n">
        <v>45564.86810185185</v>
      </c>
      <c r="L67" s="3" t="inlineStr">
        <is>
          <t>367.03</t>
        </is>
      </c>
      <c r="M67" t="inlineStr">
        <is>
          <t>Köln</t>
        </is>
      </c>
    </row>
    <row r="68">
      <c r="A68" t="inlineStr">
        <is>
          <t>Fin: Lessacher Chamäleon 280, used, includes protective cover</t>
        </is>
      </c>
      <c r="B68" s="4" t="n">
        <v>30</v>
      </c>
      <c r="C68" t="inlineStr"/>
      <c r="D68" t="inlineStr">
        <is>
          <t>24113 Kiel - Hassee-Vieburg</t>
        </is>
      </c>
      <c r="E68" s="5" t="n">
        <v>45564</v>
      </c>
      <c r="F68" t="inlineStr"/>
      <c r="G68" s="6">
        <f>HYPERLINK("https://www.kleinanzeigen.de/s-anzeige/windsurfen-lessacher-finne-chamaeleon-280-seegrass-karbon/2876878923-230-698", "Link")</f>
        <v/>
      </c>
      <c r="H68" s="6">
        <f>HYPERLINK("C:\Projects\Kleinanzeigen-Scraper\offer_images\2876878923", "Link")</f>
        <v/>
      </c>
      <c r="I68" t="inlineStr">
        <is>
          <t>Nico</t>
        </is>
      </c>
      <c r="J68" s="6">
        <f>HYPERLINK("https://www.kleinanzeigen.de/s-bestandsliste.html?userId=364237", "Link")</f>
        <v/>
      </c>
      <c r="K68" s="7" t="n">
        <v>45564.86805555555</v>
      </c>
      <c r="L68" s="3" t="inlineStr">
        <is>
          <t>427.37</t>
        </is>
      </c>
      <c r="M68" t="inlineStr">
        <is>
          <t>Köln</t>
        </is>
      </c>
    </row>
    <row r="69">
      <c r="A69" t="inlineStr">
        <is>
          <t>Fin: Deboichet Drake 520 cm, tip slightly damaged</t>
        </is>
      </c>
      <c r="B69" s="4" t="n">
        <v>99</v>
      </c>
      <c r="C69" t="inlineStr">
        <is>
          <t>VB</t>
        </is>
      </c>
      <c r="D69" t="inlineStr">
        <is>
          <t>77654 Baden-Württemberg - Offenburg</t>
        </is>
      </c>
      <c r="E69" s="5" t="n">
        <v>45564</v>
      </c>
      <c r="F69" t="inlineStr"/>
      <c r="G69" s="6">
        <f>HYPERLINK("https://www.kleinanzeigen.de/s-anzeige/windsurf-finne-deboichet-drake-520/2877168091-230-9038", "Link")</f>
        <v/>
      </c>
      <c r="H69" s="6">
        <f>HYPERLINK("C:\Projects\Kleinanzeigen-Scraper\offer_images\2877168091", "Link")</f>
        <v/>
      </c>
      <c r="I69" t="inlineStr">
        <is>
          <t>Christian</t>
        </is>
      </c>
      <c r="J69" s="6">
        <f>HYPERLINK("https://www.kleinanzeigen.de/s-bestandsliste.html?userId=15934602", "Link")</f>
        <v/>
      </c>
      <c r="K69" s="7" t="n">
        <v>45564.86797453704</v>
      </c>
      <c r="L69" s="3" t="inlineStr">
        <is>
          <t>66.05</t>
        </is>
      </c>
      <c r="M69" t="inlineStr">
        <is>
          <t>Karlsruhe</t>
        </is>
      </c>
    </row>
    <row r="70">
      <c r="A70" t="inlineStr">
        <is>
          <t>Fin: Maui Ultrafins Slalom 32 with Tuttlebox, prototype with minor damage</t>
        </is>
      </c>
      <c r="B70" s="4" t="n">
        <v>25</v>
      </c>
      <c r="C70" t="inlineStr"/>
      <c r="D70" t="inlineStr">
        <is>
          <t>77654 Baden-Württemberg - Offenburg</t>
        </is>
      </c>
      <c r="E70" s="5" t="n">
        <v>45564</v>
      </c>
      <c r="F70" t="inlineStr"/>
      <c r="G70" s="6">
        <f>HYPERLINK("https://www.kleinanzeigen.de/s-anzeige/windsurf-finne-muf-slalom-32/2877155942-230-9038", "Link")</f>
        <v/>
      </c>
      <c r="H70" s="6">
        <f>HYPERLINK("C:\Projects\Kleinanzeigen-Scraper\offer_images\2877155942", "Link")</f>
        <v/>
      </c>
      <c r="I70" t="inlineStr">
        <is>
          <t>Christian</t>
        </is>
      </c>
      <c r="J70" s="6">
        <f>HYPERLINK("https://www.kleinanzeigen.de/s-bestandsliste.html?userId=15934602", "Link")</f>
        <v/>
      </c>
      <c r="K70" s="7" t="n">
        <v>45564.8678125</v>
      </c>
      <c r="L70" s="3" t="inlineStr">
        <is>
          <t>66.05</t>
        </is>
      </c>
      <c r="M70" t="inlineStr">
        <is>
          <t>Karlsruhe</t>
        </is>
      </c>
    </row>
    <row r="71">
      <c r="A71" t="inlineStr">
        <is>
          <t>Fin: Concept X Weedwave 25, suitable for US Box</t>
        </is>
      </c>
      <c r="B71" s="4" t="n">
        <v>40</v>
      </c>
      <c r="C71" t="inlineStr"/>
      <c r="D71" t="inlineStr">
        <is>
          <t>24113 Kiel - Hassee-Vieburg</t>
        </is>
      </c>
      <c r="E71" s="5" t="n">
        <v>45564</v>
      </c>
      <c r="F71" t="inlineStr"/>
      <c r="G71" s="6">
        <f>HYPERLINK("https://www.kleinanzeigen.de/s-anzeige/top-zustand-g10-seegrassfinne-250-weedwave-us-box-windsurfen/2876879437-230-698", "Link")</f>
        <v/>
      </c>
      <c r="H71" s="6">
        <f>HYPERLINK("C:\Projects\Kleinanzeigen-Scraper\offer_images\2876879437", "Link")</f>
        <v/>
      </c>
      <c r="I71" t="inlineStr">
        <is>
          <t>Nico</t>
        </is>
      </c>
      <c r="J71" s="6">
        <f>HYPERLINK("https://www.kleinanzeigen.de/s-bestandsliste.html?userId=364237", "Link")</f>
        <v/>
      </c>
      <c r="K71" s="7" t="n">
        <v>45564.86744212963</v>
      </c>
      <c r="L71" s="3" t="inlineStr">
        <is>
          <t>427.37</t>
        </is>
      </c>
      <c r="M71" t="inlineStr">
        <is>
          <t>Köln</t>
        </is>
      </c>
    </row>
    <row r="72">
      <c r="A72" t="inlineStr">
        <is>
          <t>Fin: Concept X WeedRace 32 cm for Powerbox, nearly new, used only twice</t>
        </is>
      </c>
      <c r="B72" s="4" t="n">
        <v>65</v>
      </c>
      <c r="C72" t="inlineStr">
        <is>
          <t>VB</t>
        </is>
      </c>
      <c r="D72" t="inlineStr">
        <is>
          <t>24975 Schleswig-Holstein - Maasbüll</t>
        </is>
      </c>
      <c r="E72" s="5" t="n">
        <v>45564</v>
      </c>
      <c r="F72" t="inlineStr"/>
      <c r="G72" s="6">
        <f>HYPERLINK("https://www.kleinanzeigen.de/s-anzeige/seegrasfinne-concept-x-weedrace-32-windsurfen/2877134959-230-725", "Link")</f>
        <v/>
      </c>
      <c r="H72" s="6">
        <f>HYPERLINK("C:\Projects\Kleinanzeigen-Scraper\offer_images\2877134959", "Link")</f>
        <v/>
      </c>
      <c r="I72" t="inlineStr">
        <is>
          <t>Mo</t>
        </is>
      </c>
      <c r="J72" s="6">
        <f>HYPERLINK("https://www.kleinanzeigen.de/s-bestandsliste.html?userId=9081421", "Link")</f>
        <v/>
      </c>
      <c r="K72" s="7" t="n">
        <v>45564.86722222222</v>
      </c>
      <c r="L72" s="3" t="inlineStr">
        <is>
          <t>458.46</t>
        </is>
      </c>
      <c r="M72" t="inlineStr">
        <is>
          <t>Köln</t>
        </is>
      </c>
    </row>
    <row r="73">
      <c r="A73" t="inlineStr">
        <is>
          <t>Fin: Seegrasfinne G10 Lipsticks Powerbox, suitable for thick sea grass fields, with usage marks but in good working condition.</t>
        </is>
      </c>
      <c r="B73" s="4" t="n">
        <v>40</v>
      </c>
      <c r="C73" t="inlineStr"/>
      <c r="D73" t="inlineStr">
        <is>
          <t>24113 Kiel - Hassee-Vieburg</t>
        </is>
      </c>
      <c r="E73" s="5" t="n">
        <v>45564</v>
      </c>
      <c r="F73" t="inlineStr"/>
      <c r="G73" s="6">
        <f>HYPERLINK("https://www.kleinanzeigen.de/s-anzeige/seegrasfinne-g10-lipsticks-powerbox-windsurfen/2876880266-230-698", "Link")</f>
        <v/>
      </c>
      <c r="H73" s="6">
        <f>HYPERLINK("C:\Projects\Kleinanzeigen-Scraper\offer_images\2876880266", "Link")</f>
        <v/>
      </c>
      <c r="I73" t="inlineStr">
        <is>
          <t>Nico</t>
        </is>
      </c>
      <c r="J73" s="6">
        <f>HYPERLINK("https://www.kleinanzeigen.de/s-bestandsliste.html?userId=364237", "Link")</f>
        <v/>
      </c>
      <c r="K73" s="7" t="n">
        <v>45564.86695601852</v>
      </c>
      <c r="L73" s="3" t="inlineStr">
        <is>
          <t>427.37</t>
        </is>
      </c>
      <c r="M73" t="inlineStr">
        <is>
          <t>Köln</t>
        </is>
      </c>
    </row>
    <row r="74">
      <c r="A74" t="inlineStr">
        <is>
          <t>Clickbar: North (Duotone) Clickbar M with 22-24m lines and Freerideloop, includes 2m line extension, original accessories, and bag.</t>
        </is>
      </c>
      <c r="B74" s="4" t="n">
        <v>179</v>
      </c>
      <c r="C74" t="inlineStr">
        <is>
          <t>VB</t>
        </is>
      </c>
      <c r="D74" t="inlineStr">
        <is>
          <t>22159 Wandsbek - Hamburg Farmsen-Berne</t>
        </is>
      </c>
      <c r="E74" s="5" t="n">
        <v>45564</v>
      </c>
      <c r="F74" t="inlineStr">
        <is>
          <t>Sold</t>
        </is>
      </c>
      <c r="G74" s="6">
        <f>HYPERLINK("https://www.kleinanzeigen.de/s-anzeige/north-duotone-clickbar-m-22-24m-leinen-mit-freerideloop/2877219518-230-9454", "Link")</f>
        <v/>
      </c>
      <c r="H74" s="6">
        <f>HYPERLINK("C:\Projects\Kleinanzeigen-Scraper\offer_images\2877219518", "Link")</f>
        <v/>
      </c>
      <c r="I74" t="inlineStr">
        <is>
          <t>Stefan</t>
        </is>
      </c>
      <c r="J74" s="6">
        <f>HYPERLINK("https://www.kleinanzeigen.de/s-bestandsliste.html?userId=16611015", "Link")</f>
        <v/>
      </c>
      <c r="K74" s="7" t="n">
        <v>45564.866875</v>
      </c>
      <c r="L74" s="3" t="inlineStr">
        <is>
          <t>367.33</t>
        </is>
      </c>
      <c r="M74" t="inlineStr">
        <is>
          <t>Köln</t>
        </is>
      </c>
    </row>
    <row r="75">
      <c r="A75" t="inlineStr">
        <is>
          <t>Harness: Neilpryde Hüfttrapez Größe XL, used with light signs of wear</t>
        </is>
      </c>
      <c r="B75" s="4" t="n">
        <v>35</v>
      </c>
      <c r="C75" t="inlineStr"/>
      <c r="D75" t="inlineStr">
        <is>
          <t>82041 Kr. München - Oberhaching</t>
        </is>
      </c>
      <c r="E75" s="5" t="n">
        <v>45564</v>
      </c>
      <c r="F75" t="inlineStr"/>
      <c r="G75" s="6">
        <f>HYPERLINK("https://www.kleinanzeigen.de/s-anzeige/neilpryde-huefttrapez-groesse-xl/2877868265-230-17092", "Link")</f>
        <v/>
      </c>
      <c r="H75" s="6">
        <f>HYPERLINK("C:\Projects\Kleinanzeigen-Scraper\offer_images\2877868265", "Link")</f>
        <v/>
      </c>
      <c r="I75" t="inlineStr">
        <is>
          <t>Thomas</t>
        </is>
      </c>
      <c r="J75" s="6">
        <f>HYPERLINK("https://www.kleinanzeigen.de/s-bestandsliste.html?userId=75912650", "Link")</f>
        <v/>
      </c>
      <c r="K75" s="7" t="n">
        <v>45564.86671296296</v>
      </c>
      <c r="L75" s="3" t="inlineStr">
        <is>
          <t>12.39</t>
        </is>
      </c>
      <c r="M75" t="inlineStr">
        <is>
          <t>München</t>
        </is>
      </c>
    </row>
    <row r="76">
      <c r="A76" t="inlineStr">
        <is>
          <t>Fins: 3 new Powerbox fins - 1 Mistral Race/Freeride fin (red, 46cm), 1 Maui Wave fin (white-blue-black, 21cm), 1 Seegrasfinne (30cm, 'weed buster 300')</t>
        </is>
      </c>
      <c r="B76" s="4" t="n">
        <v>70</v>
      </c>
      <c r="C76" t="inlineStr">
        <is>
          <t>VB</t>
        </is>
      </c>
      <c r="D76" t="inlineStr">
        <is>
          <t>91729 Bayern - Haundorf</t>
        </is>
      </c>
      <c r="E76" s="5" t="n">
        <v>45563</v>
      </c>
      <c r="F76" t="inlineStr"/>
      <c r="G76" s="6">
        <f>HYPERLINK("https://www.kleinanzeigen.de/s-anzeige/finnen-windsurfen-3-neue-finnen-freeride-race-wave-seegras/2875931343-230-6178", "Link")</f>
        <v/>
      </c>
      <c r="H76" s="6">
        <f>HYPERLINK("C:\Projects\Kleinanzeigen-Scraper\offer_images\2875931343", "Link")</f>
        <v/>
      </c>
      <c r="I76" t="inlineStr">
        <is>
          <t>Joachim Martin</t>
        </is>
      </c>
      <c r="J76" s="6">
        <f>HYPERLINK("https://www.kleinanzeigen.de/s-bestandsliste.html?userId=18147517", "Link")</f>
        <v/>
      </c>
      <c r="K76" s="7" t="n">
        <v>45564.86667824074</v>
      </c>
      <c r="L76" s="3" t="inlineStr">
        <is>
          <t>126.73</t>
        </is>
      </c>
      <c r="M76" t="inlineStr">
        <is>
          <t>München</t>
        </is>
      </c>
    </row>
    <row r="77">
      <c r="A77" t="inlineStr">
        <is>
          <t>Fin: Mistral Surfboard Finne, 355mm depth, 285 cm² area, very good condition</t>
        </is>
      </c>
      <c r="B77" s="4" t="n">
        <v>25</v>
      </c>
      <c r="C77" t="inlineStr">
        <is>
          <t>VB</t>
        </is>
      </c>
      <c r="D77" t="inlineStr">
        <is>
          <t>99734 Thüringen - Nordhausen</t>
        </is>
      </c>
      <c r="E77" s="5" t="n">
        <v>45564</v>
      </c>
      <c r="F77" t="inlineStr"/>
      <c r="G77" s="6">
        <f>HYPERLINK("https://www.kleinanzeigen.de/s-anzeige/mistral-surfboard-finne-windsurf-355mm-slalom-blade-sehr-gut/2877155777-230-3582", "Link")</f>
        <v/>
      </c>
      <c r="H77" s="6">
        <f>HYPERLINK("C:\Projects\Kleinanzeigen-Scraper\offer_images\2877155777", "Link")</f>
        <v/>
      </c>
      <c r="I77" t="inlineStr">
        <is>
          <t>Familie.D98</t>
        </is>
      </c>
      <c r="J77" s="6">
        <f>HYPERLINK("https://www.kleinanzeigen.de/s-bestandsliste.html?userId=129989463", "Link")</f>
        <v/>
      </c>
      <c r="K77" s="7" t="n">
        <v>45564.86653935185</v>
      </c>
      <c r="L77" s="3" t="inlineStr">
        <is>
          <t>277.51</t>
        </is>
      </c>
      <c r="M77" t="inlineStr">
        <is>
          <t>Köln</t>
        </is>
      </c>
    </row>
    <row r="78">
      <c r="A78" t="inlineStr">
        <is>
          <t>Fins: Maui Ultra Fins Weed 38 for Powerbox</t>
        </is>
      </c>
      <c r="B78" s="4" t="n">
        <v>95</v>
      </c>
      <c r="C78" t="inlineStr">
        <is>
          <t>VB</t>
        </is>
      </c>
      <c r="D78" t="inlineStr">
        <is>
          <t>24975 Schleswig-Holstein - Maasbüll</t>
        </is>
      </c>
      <c r="E78" s="5" t="n">
        <v>45564</v>
      </c>
      <c r="F78" t="inlineStr"/>
      <c r="G78" s="6">
        <f>HYPERLINK("https://www.kleinanzeigen.de/s-anzeige/maui-ultra-fins-weed-38-pb-seegrasfinne-windsurfen/2877127499-230-725", "Link")</f>
        <v/>
      </c>
      <c r="H78" s="6">
        <f>HYPERLINK("C:\Projects\Kleinanzeigen-Scraper\offer_images\2877127499", "Link")</f>
        <v/>
      </c>
      <c r="I78" t="inlineStr">
        <is>
          <t>Mo</t>
        </is>
      </c>
      <c r="J78" s="6">
        <f>HYPERLINK("https://www.kleinanzeigen.de/s-bestandsliste.html?userId=9081421", "Link")</f>
        <v/>
      </c>
      <c r="K78" s="7" t="n">
        <v>45564.86622685185</v>
      </c>
      <c r="L78" s="3" t="inlineStr">
        <is>
          <t>458.46</t>
        </is>
      </c>
      <c r="M78" t="inlineStr">
        <is>
          <t>Köln</t>
        </is>
      </c>
    </row>
    <row r="79">
      <c r="A79" t="inlineStr">
        <is>
          <t>Fin: HiFly Performance Finne Racer 41 G10, suitable for boards 285-300 cm, sail area 6.8-7.8 m²</t>
        </is>
      </c>
      <c r="B79" s="4" t="n">
        <v>30</v>
      </c>
      <c r="C79" t="inlineStr">
        <is>
          <t>VB</t>
        </is>
      </c>
      <c r="D79" t="inlineStr">
        <is>
          <t>99734 Thüringen - Nordhausen</t>
        </is>
      </c>
      <c r="E79" s="5" t="n">
        <v>45564</v>
      </c>
      <c r="F79" t="inlineStr"/>
      <c r="G79" s="6">
        <f>HYPERLINK("https://www.kleinanzeigen.de/s-anzeige/hifly-performance-finne-racer-41-g10-surfboard-windsurf-sehr-gut/2877172691-230-3582", "Link")</f>
        <v/>
      </c>
      <c r="H79" s="6">
        <f>HYPERLINK("C:\Projects\Kleinanzeigen-Scraper\offer_images\2877172691", "Link")</f>
        <v/>
      </c>
      <c r="I79" t="inlineStr">
        <is>
          <t>Familie.D98</t>
        </is>
      </c>
      <c r="J79" s="6">
        <f>HYPERLINK("https://www.kleinanzeigen.de/s-bestandsliste.html?userId=129989463", "Link")</f>
        <v/>
      </c>
      <c r="K79" s="7" t="n">
        <v>45564.86621527778</v>
      </c>
      <c r="L79" s="3" t="inlineStr">
        <is>
          <t>277.51</t>
        </is>
      </c>
      <c r="M79" t="inlineStr">
        <is>
          <t>Köln</t>
        </is>
      </c>
    </row>
    <row r="80">
      <c r="A80" t="inlineStr">
        <is>
          <t>Harness: Prolimit WAVE size L with flexible adjustment and quick-release hook, good condition</t>
        </is>
      </c>
      <c r="B80" s="4" t="n">
        <v>50</v>
      </c>
      <c r="C80" t="inlineStr">
        <is>
          <t>VB</t>
        </is>
      </c>
      <c r="D80" t="inlineStr">
        <is>
          <t>48163 Münster (Westfalen) - Mecklenbeck</t>
        </is>
      </c>
      <c r="E80" s="5" t="n">
        <v>45564</v>
      </c>
      <c r="F80" t="inlineStr"/>
      <c r="G80" s="6">
        <f>HYPERLINK("https://www.kleinanzeigen.de/s-anzeige/prolimit-trapez-windsurfen-pro-limit-surfen/2877618459-230-17020", "Link")</f>
        <v/>
      </c>
      <c r="H80" s="6">
        <f>HYPERLINK("C:\Projects\Kleinanzeigen-Scraper\offer_images\2877618459", "Link")</f>
        <v/>
      </c>
      <c r="I80" t="inlineStr">
        <is>
          <t>Marc Weber</t>
        </is>
      </c>
      <c r="J80" s="6">
        <f>HYPERLINK("https://www.kleinanzeigen.de/s-bestandsliste.html?userId=2832100", "Link")</f>
        <v/>
      </c>
      <c r="K80" s="7" t="n">
        <v>45564.86607638889</v>
      </c>
      <c r="L80" s="3" t="inlineStr">
        <is>
          <t>114.86</t>
        </is>
      </c>
      <c r="M80" t="inlineStr">
        <is>
          <t>Köln</t>
        </is>
      </c>
    </row>
    <row r="81">
      <c r="A81" t="inlineStr">
        <is>
          <t>Fin: Tekknosport G10 Freeridefinne, Powerbox, used</t>
        </is>
      </c>
      <c r="B81" s="4" t="n">
        <v>30</v>
      </c>
      <c r="C81" t="inlineStr"/>
      <c r="D81" t="inlineStr">
        <is>
          <t>24113 Kiel - Hassee-Vieburg</t>
        </is>
      </c>
      <c r="E81" s="5" t="n">
        <v>45564</v>
      </c>
      <c r="F81" t="inlineStr"/>
      <c r="G81" s="6">
        <f>HYPERLINK("https://www.kleinanzeigen.de/s-anzeige/tekknosport-g10-freeridefinne-finne-windsurfen-powerbox/2876882592-230-698", "Link")</f>
        <v/>
      </c>
      <c r="H81" s="6">
        <f>HYPERLINK("C:\Projects\Kleinanzeigen-Scraper\offer_images\2876882592", "Link")</f>
        <v/>
      </c>
      <c r="I81" t="inlineStr">
        <is>
          <t>Nico</t>
        </is>
      </c>
      <c r="J81" s="6">
        <f>HYPERLINK("https://www.kleinanzeigen.de/s-bestandsliste.html?userId=364237", "Link")</f>
        <v/>
      </c>
      <c r="K81" s="7" t="n">
        <v>45564.86582175926</v>
      </c>
      <c r="L81" s="3" t="inlineStr">
        <is>
          <t>427.37</t>
        </is>
      </c>
      <c r="M81" t="inlineStr">
        <is>
          <t>Köln</t>
        </is>
      </c>
    </row>
    <row r="82">
      <c r="A82" t="inlineStr">
        <is>
          <t>Mastfoot: Guter Zustand, baugleich zur aktuellen Version von Duotonr</t>
        </is>
      </c>
      <c r="B82" s="4" t="n">
        <v>35</v>
      </c>
      <c r="C82" t="inlineStr"/>
      <c r="D82" t="inlineStr">
        <is>
          <t>28357 Bremen - Borgfeld</t>
        </is>
      </c>
      <c r="E82" s="5" t="n">
        <v>45564</v>
      </c>
      <c r="F82" t="inlineStr">
        <is>
          <t>Sold</t>
        </is>
      </c>
      <c r="G82" s="6">
        <f>HYPERLINK("https://www.kleinanzeigen.de/s-anzeige/north-sails-ibase/2877481008-230-17309", "Link")</f>
        <v/>
      </c>
      <c r="H82" s="6">
        <f>HYPERLINK("C:\Projects\Kleinanzeigen-Scraper\offer_images\2877481008", "Link")</f>
        <v/>
      </c>
      <c r="I82" t="inlineStr">
        <is>
          <t>Ben</t>
        </is>
      </c>
      <c r="J82" s="6">
        <f>HYPERLINK("https://www.kleinanzeigen.de/s-bestandsliste.html?userId=10604735", "Link")</f>
        <v/>
      </c>
      <c r="K82" s="7" t="n">
        <v>45564.8656712963</v>
      </c>
      <c r="L82" s="3" t="inlineStr">
        <is>
          <t>275.85</t>
        </is>
      </c>
      <c r="M82" t="inlineStr">
        <is>
          <t>Köln</t>
        </is>
      </c>
    </row>
    <row r="83">
      <c r="A83" t="inlineStr">
        <is>
          <t>Bar: Naish Fusion Bar 24m and 20m, both in good condition, used recently.</t>
        </is>
      </c>
      <c r="B83" s="4" t="n">
        <v>110</v>
      </c>
      <c r="C83" t="inlineStr">
        <is>
          <t>VB</t>
        </is>
      </c>
      <c r="D83" t="inlineStr">
        <is>
          <t>23560 Schleswig-Holstein - Lübeck</t>
        </is>
      </c>
      <c r="E83" s="5" t="n">
        <v>45563</v>
      </c>
      <c r="F83" t="inlineStr"/>
      <c r="G83" s="6">
        <f>HYPERLINK("https://www.kleinanzeigen.de/s-anzeige/naish-fusion-torque-bar-20m-24m/2876841766-230-422", "Link")</f>
        <v/>
      </c>
      <c r="H83" s="6">
        <f>HYPERLINK("C:\Projects\Kleinanzeigen-Scraper\offer_images\2876841766", "Link")</f>
        <v/>
      </c>
      <c r="I83" t="inlineStr">
        <is>
          <t>Florian</t>
        </is>
      </c>
      <c r="J83" s="6">
        <f>HYPERLINK("https://www.kleinanzeigen.de/s-bestandsliste.html?userId=3711522", "Link")</f>
        <v/>
      </c>
      <c r="K83" s="7" t="n">
        <v>45564.86549768518</v>
      </c>
      <c r="L83" s="3" t="inlineStr">
        <is>
          <t>406.24</t>
        </is>
      </c>
      <c r="M83" t="inlineStr">
        <is>
          <t>Köln</t>
        </is>
      </c>
    </row>
    <row r="84">
      <c r="A84" t="inlineStr">
        <is>
          <t>Fin: Tekkno Sport freeRide 330 13" in very good condition</t>
        </is>
      </c>
      <c r="B84" s="4" t="n">
        <v>25</v>
      </c>
      <c r="C84" t="inlineStr">
        <is>
          <t>VB</t>
        </is>
      </c>
      <c r="D84" t="inlineStr">
        <is>
          <t>99734 Thüringen - Nordhausen</t>
        </is>
      </c>
      <c r="E84" s="5" t="n">
        <v>45564</v>
      </c>
      <c r="F84" t="inlineStr"/>
      <c r="G84" s="6">
        <f>HYPERLINK("https://www.kleinanzeigen.de/s-anzeige/tekkno-sport-freeride-330-finne-g10-sehr-gut-surfboard-windsurf/2877164451-230-3582", "Link")</f>
        <v/>
      </c>
      <c r="H84" s="6">
        <f>HYPERLINK("C:\Projects\Kleinanzeigen-Scraper\offer_images\2877164451", "Link")</f>
        <v/>
      </c>
      <c r="I84" t="inlineStr">
        <is>
          <t>Familie.D98</t>
        </is>
      </c>
      <c r="J84" s="6">
        <f>HYPERLINK("https://www.kleinanzeigen.de/s-bestandsliste.html?userId=129989463", "Link")</f>
        <v/>
      </c>
      <c r="K84" s="7" t="n">
        <v>45564.86472222222</v>
      </c>
      <c r="L84" s="3" t="inlineStr">
        <is>
          <t>277.51</t>
        </is>
      </c>
      <c r="M84" t="inlineStr">
        <is>
          <t>Köln</t>
        </is>
      </c>
    </row>
    <row r="85">
      <c r="A85" t="inlineStr">
        <is>
          <t>Foot Straps &amp; Pads: Neuwertig S/M, includes 2 x Foot Straps, 2 x Foot Pads, 4 x M6x16mm screws</t>
        </is>
      </c>
      <c r="B85" s="4" t="n">
        <v>55</v>
      </c>
      <c r="C85" t="inlineStr"/>
      <c r="D85" t="inlineStr">
        <is>
          <t>40474 Düsseldorf - Lohausen</t>
        </is>
      </c>
      <c r="E85" s="5" t="n">
        <v>45562</v>
      </c>
      <c r="F85" t="inlineStr"/>
      <c r="G85" s="6">
        <f>HYPERLINK("https://www.kleinanzeigen.de/s-anzeige/north-flex-s-m-zustand-neuwertig-/2875731026-230-29972", "Link")</f>
        <v/>
      </c>
      <c r="H85" s="6">
        <f>HYPERLINK("C:\Projects\Kleinanzeigen-Scraper\offer_images\2875731026", "Link")</f>
        <v/>
      </c>
      <c r="I85" t="inlineStr">
        <is>
          <t>Siri</t>
        </is>
      </c>
      <c r="J85" s="6">
        <f>HYPERLINK("https://www.kleinanzeigen.de/s-bestandsliste.html?userId=141035834", "Link")</f>
        <v/>
      </c>
      <c r="K85" s="7" t="n">
        <v>45563.73454861111</v>
      </c>
      <c r="L85" s="3" t="inlineStr">
        <is>
          <t>40.09</t>
        </is>
      </c>
      <c r="M85" t="inlineStr">
        <is>
          <t>Köln</t>
        </is>
      </c>
    </row>
    <row r="86">
      <c r="A86" t="inlineStr">
        <is>
          <t>Fin: 18er MFC Freestylefinne US Box, 1 x benutzt, neuwertiger Zustand</t>
        </is>
      </c>
      <c r="B86" s="4" t="n">
        <v>60</v>
      </c>
      <c r="C86" t="inlineStr">
        <is>
          <t>VB</t>
        </is>
      </c>
      <c r="D86" t="inlineStr">
        <is>
          <t>23769 Kreis Ostholstein - Fehmarn</t>
        </is>
      </c>
      <c r="E86" s="5" t="n">
        <v>45562</v>
      </c>
      <c r="F86" t="inlineStr"/>
      <c r="G86" s="6">
        <f>HYPERLINK("https://www.kleinanzeigen.de/s-anzeige/freestylefinne-von-mfc-18er-windsurfen-finne/2875785379-230-19951", "Link")</f>
        <v/>
      </c>
      <c r="H86" s="6">
        <f>HYPERLINK("C:\Projects\Kleinanzeigen-Scraper\offer_images\2875785379", "Link")</f>
        <v/>
      </c>
      <c r="I86" t="inlineStr">
        <is>
          <t>Robert</t>
        </is>
      </c>
      <c r="J86" s="6">
        <f>HYPERLINK("https://www.kleinanzeigen.de/s-bestandsliste.html?userId=61536276", "Link")</f>
        <v/>
      </c>
      <c r="K86" s="7" t="n">
        <v>45563.73429398148</v>
      </c>
      <c r="L86" s="3" t="inlineStr">
        <is>
          <t>483.01</t>
        </is>
      </c>
      <c r="M86" t="inlineStr">
        <is>
          <t>Köln</t>
        </is>
      </c>
    </row>
    <row r="87">
      <c r="A87" t="inlineStr">
        <is>
          <t>Equipment Bag: NEILPRYDE Equipment Tasche, dimensions 195 x 35 x 35 cm, new</t>
        </is>
      </c>
      <c r="B87" s="4" t="n">
        <v>159</v>
      </c>
      <c r="C87" t="inlineStr"/>
      <c r="D87" t="inlineStr">
        <is>
          <t>37124 Niedersachsen - Rosdorf</t>
        </is>
      </c>
      <c r="E87" s="5" t="n">
        <v>45554</v>
      </c>
      <c r="F87" t="inlineStr"/>
      <c r="G87" s="6">
        <f>HYPERLINK("https://www.kleinanzeigen.de/s-anzeige/neilpryde-equipment-tasche-neu-195-x-35-x-35-cm-2780-/2868129711-230-3133", "Link")</f>
        <v/>
      </c>
      <c r="H87" s="6">
        <f>HYPERLINK("C:\Projects\Kleinanzeigen-Scraper\offer_images\2868129711", "Link")</f>
        <v/>
      </c>
      <c r="I87" t="inlineStr">
        <is>
          <t>No user name</t>
        </is>
      </c>
      <c r="J87" s="6">
        <f>HYPERLINK("https://www.kleinanzeigen.deNo user link", "Link")</f>
        <v/>
      </c>
      <c r="K87" s="7" t="n">
        <v>45563.7315162037</v>
      </c>
      <c r="L87" s="3" t="inlineStr">
        <is>
          <t>214.72</t>
        </is>
      </c>
      <c r="M87" t="inlineStr">
        <is>
          <t>Köln</t>
        </is>
      </c>
    </row>
    <row r="88">
      <c r="A88" t="inlineStr">
        <is>
          <t>Fin: JP Australia FIN JP RIDE 40 G10 (TT) with cover</t>
        </is>
      </c>
      <c r="B88" s="4" t="n">
        <v>119</v>
      </c>
      <c r="C88" t="inlineStr">
        <is>
          <t>VB</t>
        </is>
      </c>
      <c r="D88" t="inlineStr">
        <is>
          <t>10779 Berlin - Schöneberg</t>
        </is>
      </c>
      <c r="E88" s="5" t="n">
        <v>45563</v>
      </c>
      <c r="F88" t="inlineStr"/>
      <c r="G88" s="6">
        <f>HYPERLINK("https://www.kleinanzeigen.de/s-anzeige/jp-australia-fin-jp-ride-40-g10-tt-finne/2875891882-230-9645", "Link")</f>
        <v/>
      </c>
      <c r="H88" s="6">
        <f>HYPERLINK("C:\Projects\Kleinanzeigen-Scraper\offer_images\2875891882", "Link")</f>
        <v/>
      </c>
      <c r="I88" t="inlineStr">
        <is>
          <t>Oliver</t>
        </is>
      </c>
      <c r="J88" s="6">
        <f>HYPERLINK("https://www.kleinanzeigen.de/s-bestandsliste.html?userId=1701622", "Link")</f>
        <v/>
      </c>
      <c r="K88" s="7" t="n">
        <v>45563.72775462963</v>
      </c>
      <c r="L88" s="3" t="inlineStr">
        <is>
          <t>472.47</t>
        </is>
      </c>
      <c r="M88" t="inlineStr">
        <is>
          <t>Köln</t>
        </is>
      </c>
    </row>
    <row r="89">
      <c r="A89" t="inlineStr">
        <is>
          <t>Fin: Concept X seegrasfinne weed fin powerbox race pro 40</t>
        </is>
      </c>
      <c r="B89" s="4" t="n">
        <v>40</v>
      </c>
      <c r="C89" t="inlineStr">
        <is>
          <t>VB</t>
        </is>
      </c>
      <c r="D89" t="inlineStr">
        <is>
          <t>21640 Niedersachsen - Nottensdorf</t>
        </is>
      </c>
      <c r="E89" s="5" t="n">
        <v>45562</v>
      </c>
      <c r="F89" t="inlineStr"/>
      <c r="G89" s="6">
        <f>HYPERLINK("https://www.kleinanzeigen.de/s-anzeige/concept-x-seegrasfinne-weed-fin-powerbox-race-pro-40-windsurf/2875311938-230-3290", "Link")</f>
        <v/>
      </c>
      <c r="H89" s="6">
        <f>HYPERLINK("C:\Projects\Kleinanzeigen-Scraper\offer_images\2875311938", "Link")</f>
        <v/>
      </c>
      <c r="I89" t="inlineStr">
        <is>
          <t>hendrik</t>
        </is>
      </c>
      <c r="J89" s="6">
        <f>HYPERLINK("https://www.kleinanzeigen.de/s-bestandsliste.html?userId=25772848", "Link")</f>
        <v/>
      </c>
      <c r="K89" s="7" t="n">
        <v>45562.74614583333</v>
      </c>
      <c r="L89" s="3" t="inlineStr">
        <is>
          <t>337.05</t>
        </is>
      </c>
      <c r="M89" t="inlineStr">
        <is>
          <t>Köln</t>
        </is>
      </c>
    </row>
    <row r="90">
      <c r="A90" t="inlineStr">
        <is>
          <t>Fin: Carbon Slalom 44cm Deep Tuttle Maui Ultra Fins, used with a small damage</t>
        </is>
      </c>
      <c r="B90" s="4" t="n">
        <v>180</v>
      </c>
      <c r="C90" t="inlineStr"/>
      <c r="D90" t="inlineStr">
        <is>
          <t>21244 Niedersachsen - Buchholz in der Nordheide</t>
        </is>
      </c>
      <c r="E90" s="5" t="n">
        <v>45562</v>
      </c>
      <c r="F90" t="inlineStr"/>
      <c r="G90" s="6">
        <f>HYPERLINK("https://www.kleinanzeigen.de/s-anzeige/windsurf-finne-carbon-slalom-44cm-deep-tuttle-maui-ultra-fins/2875458876-230-14101", "Link")</f>
        <v/>
      </c>
      <c r="H90" s="6">
        <f>HYPERLINK("C:\Projects\Kleinanzeigen-Scraper\offer_images\2875458876", "Link")</f>
        <v/>
      </c>
      <c r="I90" t="inlineStr">
        <is>
          <t>Thies Johnsen</t>
        </is>
      </c>
      <c r="J90" s="6">
        <f>HYPERLINK("https://www.kleinanzeigen.de/s-bestandsliste.html?userId=90562134", "Link")</f>
        <v/>
      </c>
      <c r="K90" s="7" t="n">
        <v>45562.74534722222</v>
      </c>
      <c r="L90" s="3" t="inlineStr">
        <is>
          <t>330.99</t>
        </is>
      </c>
      <c r="M90" t="inlineStr">
        <is>
          <t>Köln</t>
        </is>
      </c>
    </row>
    <row r="91">
      <c r="A91" t="inlineStr">
        <is>
          <t>Fins: Two fins with the rare Trimmbox (FANATIC) A.R.T. 32 and Rush 34</t>
        </is>
      </c>
      <c r="B91" s="4" t="n">
        <v>10</v>
      </c>
      <c r="C91" t="inlineStr"/>
      <c r="D91" t="inlineStr">
        <is>
          <t>86920 Bayern - Denklingen</t>
        </is>
      </c>
      <c r="E91" s="5" t="n">
        <v>45559</v>
      </c>
      <c r="F91" t="inlineStr"/>
      <c r="G91" s="6">
        <f>HYPERLINK("https://www.kleinanzeigen.de/s-anzeige/windsurf-finne-trimmbox/2873163667-230-19739", "Link")</f>
        <v/>
      </c>
      <c r="H91" s="6">
        <f>HYPERLINK("C:\Projects\Kleinanzeigen-Scraper\offer_images\2873163667", "Link")</f>
        <v/>
      </c>
      <c r="I91" t="inlineStr">
        <is>
          <t>Benedikt Haßel</t>
        </is>
      </c>
      <c r="J91" s="6">
        <f>HYPERLINK("https://www.kleinanzeigen.de/s-bestandsliste.html?userId=22956163", "Link")</f>
        <v/>
      </c>
      <c r="K91" s="7" t="n">
        <v>45562.74501157407</v>
      </c>
      <c r="L91" s="3" t="inlineStr">
        <is>
          <t>60.72</t>
        </is>
      </c>
      <c r="M91" t="inlineStr">
        <is>
          <t>München</t>
        </is>
      </c>
    </row>
    <row r="92">
      <c r="A92" t="inlineStr">
        <is>
          <t>Harness: Prolimit Argon Windsurf Trapez, Size S, nearly new, Hardshell construction with excellent support</t>
        </is>
      </c>
      <c r="B92" s="4" t="n">
        <v>299</v>
      </c>
      <c r="C92" t="inlineStr">
        <is>
          <t>VB</t>
        </is>
      </c>
      <c r="D92" t="inlineStr">
        <is>
          <t>81371 München - Sendling</t>
        </is>
      </c>
      <c r="E92" s="5" t="n">
        <v>45563</v>
      </c>
      <c r="F92" t="inlineStr"/>
      <c r="G92" s="6">
        <f>HYPERLINK("https://www.kleinanzeigen.de/s-anzeige/prolimit-argon-windsurf-trapez-gr-s/2863903874-230-6416", "Link")</f>
        <v/>
      </c>
      <c r="H92" s="6">
        <f>HYPERLINK("C:\Projects\Kleinanzeigen-Scraper\offer_images\2863903874", "Link")</f>
        <v/>
      </c>
      <c r="I92" t="inlineStr">
        <is>
          <t>Jule  van Hezik</t>
        </is>
      </c>
      <c r="J92" s="6">
        <f>HYPERLINK("https://www.kleinanzeigen.de/s-bestandsliste.html?userId=38984252", "Link")</f>
        <v/>
      </c>
      <c r="K92" s="7" t="n">
        <v>45562.74444444444</v>
      </c>
      <c r="L92" s="3" t="inlineStr">
        <is>
          <t>2.76</t>
        </is>
      </c>
      <c r="M92" t="inlineStr">
        <is>
          <t>München</t>
        </is>
      </c>
    </row>
    <row r="93">
      <c r="A93" t="inlineStr">
        <is>
          <t>Harness: Hüfttrapez für Windsurfen mit elastischem Hüftgurt und Klettverschluss</t>
        </is>
      </c>
      <c r="B93" s="4" t="n">
        <v>65</v>
      </c>
      <c r="C93" t="inlineStr">
        <is>
          <t>VB</t>
        </is>
      </c>
      <c r="D93" t="inlineStr">
        <is>
          <t>10439 Pankow - Prenzlauer Berg</t>
        </is>
      </c>
      <c r="E93" s="5" t="n">
        <v>45562</v>
      </c>
      <c r="F93" t="inlineStr"/>
      <c r="G93" s="6">
        <f>HYPERLINK("https://www.kleinanzeigen.de/s-anzeige/trapez-huefttrapez-windsurf-ascan/2875391022-230-3490", "Link")</f>
        <v/>
      </c>
      <c r="H93" s="6">
        <f>HYPERLINK("C:\Projects\Kleinanzeigen-Scraper\offer_images\2875391022", "Link")</f>
        <v/>
      </c>
      <c r="I93" t="inlineStr">
        <is>
          <t>truckels</t>
        </is>
      </c>
      <c r="J93" s="6">
        <f>HYPERLINK("https://www.kleinanzeigen.de/s-bestandsliste.html?userId=142578757", "Link")</f>
        <v/>
      </c>
      <c r="K93" s="7" t="n">
        <v>45562.74412037037</v>
      </c>
      <c r="L93" s="3" t="inlineStr">
        <is>
          <t>479.25</t>
        </is>
      </c>
      <c r="M93" t="inlineStr">
        <is>
          <t>Köln</t>
        </is>
      </c>
    </row>
    <row r="94">
      <c r="A94" t="inlineStr">
        <is>
          <t>Harness: Dakine Reflex lightweight windsurf seat harness in XL, never used on water</t>
        </is>
      </c>
      <c r="B94" s="4" t="n">
        <v>59</v>
      </c>
      <c r="C94" t="inlineStr"/>
      <c r="D94" t="inlineStr">
        <is>
          <t>24939 Schleswig-Holstein - Flensburg</t>
        </is>
      </c>
      <c r="E94" s="5" t="n">
        <v>45562</v>
      </c>
      <c r="F94" t="inlineStr"/>
      <c r="G94" s="6">
        <f>HYPERLINK("https://www.kleinanzeigen.de/s-anzeige/dakine-reflex-leichtes-windsurf-sitztrapez-mit-bar-in-xl/2874980033-230-717", "Link")</f>
        <v/>
      </c>
      <c r="H94" s="6">
        <f>HYPERLINK("C:\Projects\Kleinanzeigen-Scraper\offer_images\2874980033", "Link")</f>
        <v/>
      </c>
      <c r="I94" t="inlineStr">
        <is>
          <t>Krüger</t>
        </is>
      </c>
      <c r="J94" s="6">
        <f>HYPERLINK("https://www.kleinanzeigen.de/s-bestandsliste.html?userId=21531182", "Link")</f>
        <v/>
      </c>
      <c r="K94" s="7" t="n">
        <v>45562.74361111111</v>
      </c>
      <c r="L94" s="3" t="inlineStr">
        <is>
          <t>460.36</t>
        </is>
      </c>
      <c r="M94" t="inlineStr">
        <is>
          <t>Köln</t>
        </is>
      </c>
    </row>
    <row r="95">
      <c r="A95" t="inlineStr">
        <is>
          <t>Fin: Select Edge Free Slam Fin Powerbox 39 cm</t>
        </is>
      </c>
      <c r="B95" s="4" t="n">
        <v>60</v>
      </c>
      <c r="C95" t="inlineStr">
        <is>
          <t>VB</t>
        </is>
      </c>
      <c r="D95" t="inlineStr">
        <is>
          <t>21640 Niedersachsen - Nottensdorf</t>
        </is>
      </c>
      <c r="E95" s="5" t="n">
        <v>45562</v>
      </c>
      <c r="F95" t="inlineStr">
        <is>
          <t>Sold</t>
        </is>
      </c>
      <c r="G95" s="6">
        <f>HYPERLINK("https://www.kleinanzeigen.de/s-anzeige/select-edge-free-slam-fin-powerbox-39-cm-windsurf/2875317712-230-3290", "Link")</f>
        <v/>
      </c>
      <c r="H95" s="6">
        <f>HYPERLINK("C:\Projects\Kleinanzeigen-Scraper\offer_images\2875317712", "Link")</f>
        <v/>
      </c>
      <c r="I95" t="inlineStr">
        <is>
          <t>hendrik</t>
        </is>
      </c>
      <c r="J95" s="6">
        <f>HYPERLINK("https://www.kleinanzeigen.de/s-bestandsliste.html?userId=25772848", "Link")</f>
        <v/>
      </c>
      <c r="K95" s="7" t="n">
        <v>45562.74351851852</v>
      </c>
      <c r="L95" s="3" t="inlineStr">
        <is>
          <t>337.05</t>
        </is>
      </c>
      <c r="M95" t="inlineStr">
        <is>
          <t>Köln</t>
        </is>
      </c>
    </row>
    <row r="96">
      <c r="A96" t="inlineStr">
        <is>
          <t>Harness: Prolimit Pure Race Windsurf Sitztrapez for women, size S, designed for comfort during long windsurf races.</t>
        </is>
      </c>
      <c r="B96" s="4" t="n">
        <v>110</v>
      </c>
      <c r="C96" t="inlineStr">
        <is>
          <t>VB</t>
        </is>
      </c>
      <c r="D96" t="inlineStr">
        <is>
          <t>81371 München - Sendling</t>
        </is>
      </c>
      <c r="E96" s="5" t="n">
        <v>45563</v>
      </c>
      <c r="F96" t="inlineStr"/>
      <c r="G96" s="6">
        <f>HYPERLINK("https://www.kleinanzeigen.de/s-anzeige/prolimit-pure-race-windsurf-sitztrapez-damen-gr-s/2863925544-230-6416", "Link")</f>
        <v/>
      </c>
      <c r="H96" s="6">
        <f>HYPERLINK("C:\Projects\Kleinanzeigen-Scraper\offer_images\2863925544", "Link")</f>
        <v/>
      </c>
      <c r="I96" t="inlineStr">
        <is>
          <t>Jule  van Hezik</t>
        </is>
      </c>
      <c r="J96" s="6">
        <f>HYPERLINK("https://www.kleinanzeigen.de/s-bestandsliste.html?userId=38984252", "Link")</f>
        <v/>
      </c>
      <c r="K96" s="7" t="n">
        <v>45562.74347222222</v>
      </c>
      <c r="L96" s="3" t="inlineStr">
        <is>
          <t>2.76</t>
        </is>
      </c>
      <c r="M96" t="inlineStr">
        <is>
          <t>München</t>
        </is>
      </c>
    </row>
    <row r="97">
      <c r="A97" t="inlineStr">
        <is>
          <t>Harness: ION Windsurf Waist Radium L, size 52/L (32-35 inch)</t>
        </is>
      </c>
      <c r="B97" s="4" t="n">
        <v>99</v>
      </c>
      <c r="C97" t="inlineStr"/>
      <c r="D97" t="inlineStr">
        <is>
          <t>88400 Baden-Württemberg - Biberach an der Riß</t>
        </is>
      </c>
      <c r="E97" s="5" t="n">
        <v>45562</v>
      </c>
      <c r="F97" t="inlineStr">
        <is>
          <t>Sold</t>
        </is>
      </c>
      <c r="G97" s="6">
        <f>HYPERLINK("https://www.kleinanzeigen.de/s-anzeige/ion-harness-windsurf-waist-radium-l/2875017669-230-8706", "Link")</f>
        <v/>
      </c>
      <c r="H97" s="6">
        <f>HYPERLINK("C:\Projects\Kleinanzeigen-Scraper\offer_images\2875017669", "Link")</f>
        <v/>
      </c>
      <c r="I97" t="inlineStr">
        <is>
          <t>Schneider</t>
        </is>
      </c>
      <c r="J97" s="6">
        <f>HYPERLINK("https://www.kleinanzeigen.de/s-bestandsliste.html?userId=3638597", "Link")</f>
        <v/>
      </c>
      <c r="K97" s="7" t="n">
        <v>45562.74310185185</v>
      </c>
      <c r="L97" s="3" t="inlineStr">
        <is>
          <t>89.53</t>
        </is>
      </c>
      <c r="M97" t="inlineStr">
        <is>
          <t>Böblingen</t>
        </is>
      </c>
    </row>
    <row r="98">
      <c r="A98" t="inlineStr">
        <is>
          <t>Footstraps: Naish Apex bindings in very good to like-new condition, suitable for shoe size up to 43, includes neoprene boots.</t>
        </is>
      </c>
      <c r="B98" s="4" t="n">
        <v>100</v>
      </c>
      <c r="C98" t="inlineStr"/>
      <c r="D98" t="inlineStr">
        <is>
          <t>13055 Berlin - Hohenschönhausen</t>
        </is>
      </c>
      <c r="E98" s="5" t="n">
        <v>45562</v>
      </c>
      <c r="F98" t="inlineStr"/>
      <c r="G98" s="6">
        <f>HYPERLINK("https://www.kleinanzeigen.de/s-anzeige/naish-apex-fussschlaufen-bindung-pads-straps/2875160095-230-3358", "Link")</f>
        <v/>
      </c>
      <c r="H98" s="6">
        <f>HYPERLINK("C:\Projects\Kleinanzeigen-Scraper\offer_images\2875160095", "Link")</f>
        <v/>
      </c>
      <c r="I98" t="inlineStr">
        <is>
          <t>Danny</t>
        </is>
      </c>
      <c r="J98" s="6">
        <f>HYPERLINK("https://www.kleinanzeigen.de/s-bestandsliste.html?userId=2671534", "Link")</f>
        <v/>
      </c>
      <c r="K98" s="7" t="n">
        <v>45562.74255787037</v>
      </c>
      <c r="L98" s="3" t="inlineStr">
        <is>
          <t>484.27</t>
        </is>
      </c>
      <c r="M98" t="inlineStr">
        <is>
          <t>Köln</t>
        </is>
      </c>
    </row>
    <row r="99">
      <c r="A99" t="inlineStr">
        <is>
          <t>Trapeztampen: Point7 Fixed Harned Lines, 1 Pair in 22 Inch and 1 Pair in 28 Inch</t>
        </is>
      </c>
      <c r="B99" s="4" t="n">
        <v>50</v>
      </c>
      <c r="C99" t="inlineStr"/>
      <c r="D99" t="inlineStr">
        <is>
          <t>40595 Düsseldorf - Garath</t>
        </is>
      </c>
      <c r="E99" s="5" t="n">
        <v>45562</v>
      </c>
      <c r="F99" t="inlineStr">
        <is>
          <t>Sold</t>
        </is>
      </c>
      <c r="G99" s="6">
        <f>HYPERLINK("https://www.kleinanzeigen.de/s-anzeige/trapeztampen-point7-fixed-harned-lines-28-22-inch/2874943058-230-2078", "Link")</f>
        <v/>
      </c>
      <c r="H99" s="6">
        <f>HYPERLINK("C:\Projects\Kleinanzeigen-Scraper\offer_images\2874943058", "Link")</f>
        <v/>
      </c>
      <c r="I99" t="inlineStr">
        <is>
          <t>Kazca</t>
        </is>
      </c>
      <c r="J99" s="6">
        <f>HYPERLINK("https://www.kleinanzeigen.de/s-bestandsliste.html?userId=34562026", "Link")</f>
        <v/>
      </c>
      <c r="K99" s="7" t="n">
        <v>45562.74209490741</v>
      </c>
      <c r="L99" s="3" t="inlineStr">
        <is>
          <t>22.73</t>
        </is>
      </c>
      <c r="M99" t="inlineStr">
        <is>
          <t>Köln</t>
        </is>
      </c>
    </row>
    <row r="100">
      <c r="A100" t="inlineStr">
        <is>
          <t>Harness: Dakine T8 Windsurf Hüfttrapez (Gr. L), used but in good condition</t>
        </is>
      </c>
      <c r="B100" s="4" t="n">
        <v>90</v>
      </c>
      <c r="C100" t="inlineStr">
        <is>
          <t>VB</t>
        </is>
      </c>
      <c r="D100" t="inlineStr">
        <is>
          <t>24955 Schleswig-Holstein - Harrislee</t>
        </is>
      </c>
      <c r="E100" s="5" t="n">
        <v>45562</v>
      </c>
      <c r="F100" t="inlineStr"/>
      <c r="G100" s="6">
        <f>HYPERLINK("https://www.kleinanzeigen.de/s-anzeige/dakine-t8-windsurf-huefttrapez-gr-l-/2875082181-230-734", "Link")</f>
        <v/>
      </c>
      <c r="H100" s="6">
        <f>HYPERLINK("C:\Projects\Kleinanzeigen-Scraper\offer_images\2875082181", "Link")</f>
        <v/>
      </c>
      <c r="I100" t="inlineStr">
        <is>
          <t>cr</t>
        </is>
      </c>
      <c r="J100" s="6">
        <f>HYPERLINK("https://www.kleinanzeigen.de/s-bestandsliste.html?userId=6845817", "Link")</f>
        <v/>
      </c>
      <c r="K100" s="7" t="n">
        <v>45562.74195601852</v>
      </c>
      <c r="L100" s="3" t="inlineStr">
        <is>
          <t>459.37</t>
        </is>
      </c>
      <c r="M100" t="inlineStr">
        <is>
          <t>Köln</t>
        </is>
      </c>
    </row>
    <row r="101">
      <c r="A101" t="inlineStr">
        <is>
          <t>Mast extension: North Duotone XT RDM extension with an adjustment range of 36 cm, in good condition.</t>
        </is>
      </c>
      <c r="B101" s="4" t="n">
        <v>70</v>
      </c>
      <c r="C101" t="inlineStr">
        <is>
          <t>VB</t>
        </is>
      </c>
      <c r="D101" t="inlineStr">
        <is>
          <t>83708 Bayern - Kreuth</t>
        </is>
      </c>
      <c r="E101" s="5" t="n">
        <v>45560</v>
      </c>
      <c r="F101" t="inlineStr"/>
      <c r="G101" s="6">
        <f>HYPERLINK("https://www.kleinanzeigen.de/s-anzeige/north-duotone-xt-rdm-verlaengerung-36/2873215658-230-5886", "Link")</f>
        <v/>
      </c>
      <c r="H101" s="6">
        <f>HYPERLINK("C:\Projects\Kleinanzeigen-Scraper\offer_images\2873215658", "Link")</f>
        <v/>
      </c>
      <c r="I101" t="inlineStr">
        <is>
          <t>Michi Oberauer</t>
        </is>
      </c>
      <c r="J101" s="6">
        <f>HYPERLINK("https://www.kleinanzeigen.de/s-bestandsliste.html?userId=5117441", "Link")</f>
        <v/>
      </c>
      <c r="K101" s="7" t="n">
        <v>45562.74179398148</v>
      </c>
      <c r="L101" s="3" t="inlineStr">
        <is>
          <t>58.72</t>
        </is>
      </c>
      <c r="M101" t="inlineStr">
        <is>
          <t>München</t>
        </is>
      </c>
    </row>
    <row r="102">
      <c r="A102" t="inlineStr">
        <is>
          <t>Mastfoot: Used, very well maintained Powerjoint</t>
        </is>
      </c>
      <c r="B102" s="4" t="n">
        <v>16</v>
      </c>
      <c r="C102" t="inlineStr"/>
      <c r="D102" t="inlineStr">
        <is>
          <t>24113 Kiel - Hassee-Vieburg</t>
        </is>
      </c>
      <c r="E102" s="5" t="n">
        <v>45562</v>
      </c>
      <c r="F102" t="inlineStr"/>
      <c r="G102" s="6">
        <f>HYPERLINK("https://www.kleinanzeigen.de/s-anzeige/powerjoint-mastfuss-windsurfen-top-/2875475398-230-698", "Link")</f>
        <v/>
      </c>
      <c r="H102" s="6">
        <f>HYPERLINK("C:\Projects\Kleinanzeigen-Scraper\offer_images\2875475398", "Link")</f>
        <v/>
      </c>
      <c r="I102" t="inlineStr">
        <is>
          <t>Nico</t>
        </is>
      </c>
      <c r="J102" s="6">
        <f>HYPERLINK("https://www.kleinanzeigen.de/s-bestandsliste.html?userId=364237", "Link")</f>
        <v/>
      </c>
      <c r="K102" s="7" t="n">
        <v>45562.74174768518</v>
      </c>
      <c r="L102" s="3" t="inlineStr">
        <is>
          <t>427.37</t>
        </is>
      </c>
      <c r="M102" t="inlineStr">
        <is>
          <t>Köln</t>
        </is>
      </c>
    </row>
    <row r="103">
      <c r="A103" t="inlineStr">
        <is>
          <t>Fins: Surfline Munich Twinstyle 26 Twinserpaar</t>
        </is>
      </c>
      <c r="B103" s="4" t="n">
        <v>119</v>
      </c>
      <c r="C103" t="inlineStr"/>
      <c r="D103" t="inlineStr">
        <is>
          <t>45772 Nordrhein-Westfalen - Marl</t>
        </is>
      </c>
      <c r="E103" s="5" t="n">
        <v>45561</v>
      </c>
      <c r="F103" t="inlineStr"/>
      <c r="G103" s="6">
        <f>HYPERLINK("https://www.kleinanzeigen.de/s-anzeige/surfline-munich-twinstyle-finnen-26-windsurfen-twinser/2874749772-230-1772", "Link")</f>
        <v/>
      </c>
      <c r="H103" s="6">
        <f>HYPERLINK("C:\Projects\Kleinanzeigen-Scraper\offer_images\2874749772", "Link")</f>
        <v/>
      </c>
      <c r="I103" t="inlineStr">
        <is>
          <t>privat</t>
        </is>
      </c>
      <c r="J103" s="6">
        <f>HYPERLINK("https://www.kleinanzeigen.de/s-bestandsliste.html?userId=3336499", "Link")</f>
        <v/>
      </c>
      <c r="K103" s="7" t="n">
        <v>45562.74125</v>
      </c>
      <c r="L103" s="3" t="inlineStr">
        <is>
          <t>84.29</t>
        </is>
      </c>
      <c r="M103" t="inlineStr">
        <is>
          <t>Köln</t>
        </is>
      </c>
    </row>
    <row r="104">
      <c r="A104" t="inlineStr">
        <is>
          <t>Fins: Maui Ultra Fins X Ride, 42 cm, Powerbox</t>
        </is>
      </c>
      <c r="B104" s="4" t="n">
        <v>70</v>
      </c>
      <c r="C104" t="inlineStr">
        <is>
          <t>VB</t>
        </is>
      </c>
      <c r="D104" t="inlineStr">
        <is>
          <t>21640 Niedersachsen - Nottensdorf</t>
        </is>
      </c>
      <c r="E104" s="5" t="n">
        <v>45562</v>
      </c>
      <c r="F104" t="inlineStr"/>
      <c r="G104" s="6">
        <f>HYPERLINK("https://www.kleinanzeigen.de/s-anzeige/maui-ultra-fins-powerbox-42-cm-x-ride-windsurf/2875307018-230-3290", "Link")</f>
        <v/>
      </c>
      <c r="H104" s="6">
        <f>HYPERLINK("C:\Projects\Kleinanzeigen-Scraper\offer_images\2875307018", "Link")</f>
        <v/>
      </c>
      <c r="I104" t="inlineStr">
        <is>
          <t>hendrik</t>
        </is>
      </c>
      <c r="J104" s="6">
        <f>HYPERLINK("https://www.kleinanzeigen.de/s-bestandsliste.html?userId=25772848", "Link")</f>
        <v/>
      </c>
      <c r="K104" s="7" t="n">
        <v>45562.74024305555</v>
      </c>
      <c r="L104" s="3" t="inlineStr">
        <is>
          <t>337.05</t>
        </is>
      </c>
      <c r="M104" t="inlineStr">
        <is>
          <t>Köln</t>
        </is>
      </c>
    </row>
    <row r="105">
      <c r="A105" t="inlineStr">
        <is>
          <t>Harness: Neilpryde Race Sitztrapez in Größe S, wenig genutzt, voll funktionsfähig</t>
        </is>
      </c>
      <c r="B105" s="4" t="n">
        <v>21</v>
      </c>
      <c r="C105" t="inlineStr">
        <is>
          <t>VB</t>
        </is>
      </c>
      <c r="D105" t="inlineStr">
        <is>
          <t>17033 Mecklenburg-Vorpommern - Neubrandenburg</t>
        </is>
      </c>
      <c r="E105" s="5" t="n">
        <v>45562</v>
      </c>
      <c r="F105" t="inlineStr"/>
      <c r="G105" s="6">
        <f>HYPERLINK("https://www.kleinanzeigen.de/s-anzeige/windsurfer-sitztrapez-neilpryde-race-gr-s/2875431395-230-253", "Link")</f>
        <v/>
      </c>
      <c r="H105" s="6">
        <f>HYPERLINK("C:\Projects\Kleinanzeigen-Scraper\offer_images\2875431395", "Link")</f>
        <v/>
      </c>
      <c r="I105" t="inlineStr">
        <is>
          <t>privat</t>
        </is>
      </c>
      <c r="J105" s="6">
        <f>HYPERLINK("https://www.kleinanzeigen.de/s-bestandsliste.html?userId=15101401", "Link")</f>
        <v/>
      </c>
      <c r="K105" s="7" t="n">
        <v>45562.73975694444</v>
      </c>
      <c r="L105" s="3" t="inlineStr">
        <is>
          <t>517.16</t>
        </is>
      </c>
      <c r="M105" t="inlineStr">
        <is>
          <t>Köln</t>
        </is>
      </c>
    </row>
    <row r="106">
      <c r="A106" t="inlineStr">
        <is>
          <t>Harness: Prolimit Wave trapeze, size S, older but fully functional</t>
        </is>
      </c>
      <c r="B106" s="4" t="n">
        <v>45</v>
      </c>
      <c r="C106" t="inlineStr">
        <is>
          <t>VB</t>
        </is>
      </c>
      <c r="D106" t="inlineStr">
        <is>
          <t>21435 Niedersachsen - Stelle</t>
        </is>
      </c>
      <c r="E106" s="5" t="n">
        <v>45562</v>
      </c>
      <c r="F106" t="inlineStr"/>
      <c r="G106" s="6">
        <f>HYPERLINK("https://www.kleinanzeigen.de/s-anzeige/trapez-windsurfen-prolimit-gr-s/2875411231-230-3224", "Link")</f>
        <v/>
      </c>
      <c r="H106" s="6">
        <f>HYPERLINK("C:\Projects\Kleinanzeigen-Scraper\offer_images\2875411231", "Link")</f>
        <v/>
      </c>
      <c r="I106" t="inlineStr">
        <is>
          <t>Kati</t>
        </is>
      </c>
      <c r="J106" s="6">
        <f>HYPERLINK("https://www.kleinanzeigen.de/s-bestandsliste.html?userId=20876056", "Link")</f>
        <v/>
      </c>
      <c r="K106" s="7" t="n">
        <v>45562.73971064815</v>
      </c>
      <c r="L106" s="3" t="inlineStr">
        <is>
          <t>346.59</t>
        </is>
      </c>
      <c r="M106" t="inlineStr">
        <is>
          <t>Köln</t>
        </is>
      </c>
    </row>
    <row r="107">
      <c r="A107" t="inlineStr">
        <is>
          <t>Fins: Set of 3 fins including 2 straight Freeride fins (35 cm and 38 cm) and 1 grass fin (25 cm), all in good condition.</t>
        </is>
      </c>
      <c r="B107" s="4" t="n">
        <v>25</v>
      </c>
      <c r="C107" t="inlineStr"/>
      <c r="D107" t="inlineStr">
        <is>
          <t>18069 Rostock - Reutershagen</t>
        </is>
      </c>
      <c r="E107" s="5" t="n">
        <v>45562</v>
      </c>
      <c r="F107" t="inlineStr">
        <is>
          <t>Sold</t>
        </is>
      </c>
      <c r="G107" s="6">
        <f>HYPERLINK("https://www.kleinanzeigen.de/s-anzeige/windsurfer-aufgepasst-biete-2-finnen-/2875325364-230-159", "Link")</f>
        <v/>
      </c>
      <c r="H107" s="6">
        <f>HYPERLINK("C:\Projects\Kleinanzeigen-Scraper\offer_images\2875325364", "Link")</f>
        <v/>
      </c>
      <c r="I107" t="inlineStr">
        <is>
          <t>Thomas Harms</t>
        </is>
      </c>
      <c r="J107" s="6">
        <f>HYPERLINK("https://www.kleinanzeigen.de/s-bestandsliste.html?userId=9450238", "Link")</f>
        <v/>
      </c>
      <c r="K107" s="7" t="n">
        <v>45562.73951388889</v>
      </c>
      <c r="L107" s="3" t="inlineStr">
        <is>
          <t>493.58</t>
        </is>
      </c>
      <c r="M107" t="inlineStr">
        <is>
          <t>Köln</t>
        </is>
      </c>
    </row>
    <row r="108">
      <c r="A108" t="inlineStr">
        <is>
          <t>Trimmhilfe: Metal rig winch for easy rigging</t>
        </is>
      </c>
      <c r="B108" s="4" t="n">
        <v>25</v>
      </c>
      <c r="C108" t="inlineStr"/>
      <c r="D108" t="inlineStr">
        <is>
          <t>63579 Hessen - Freigericht</t>
        </is>
      </c>
      <c r="E108" s="5" t="n">
        <v>45561</v>
      </c>
      <c r="F108" t="inlineStr"/>
      <c r="G108" s="6">
        <f>HYPERLINK("https://www.kleinanzeigen.de/s-anzeige/trimmhilfe-von-gun-sails-metall-rig-winch-/2874588001-230-7404", "Link")</f>
        <v/>
      </c>
      <c r="H108" s="6">
        <f>HYPERLINK("C:\Projects\Kleinanzeigen-Scraper\offer_images\2874588001", "Link")</f>
        <v/>
      </c>
      <c r="I108" t="inlineStr">
        <is>
          <t>Patrik Glatz</t>
        </is>
      </c>
      <c r="J108" s="6">
        <f>HYPERLINK("https://www.kleinanzeigen.de/s-bestandsliste.html?userId=19845165", "Link")</f>
        <v/>
      </c>
      <c r="K108" s="7" t="n">
        <v>45562.73892361111</v>
      </c>
      <c r="L108" s="3" t="inlineStr">
        <is>
          <t>137.44</t>
        </is>
      </c>
      <c r="M108" t="inlineStr">
        <is>
          <t>Karlsruhe</t>
        </is>
      </c>
    </row>
    <row r="109">
      <c r="A109" t="inlineStr">
        <is>
          <t>Pump: Original Naish SUP Pump up to 21 PSI</t>
        </is>
      </c>
      <c r="B109" s="4" t="n">
        <v>39</v>
      </c>
      <c r="C109" t="inlineStr"/>
      <c r="D109" t="inlineStr">
        <is>
          <t>35096 Hessen - Weimar (Lahn)</t>
        </is>
      </c>
      <c r="E109" s="5" t="n">
        <v>45561</v>
      </c>
      <c r="F109" t="inlineStr"/>
      <c r="G109" s="6">
        <f>HYPERLINK("https://www.kleinanzeigen.de/s-anzeige/naish-sup-doppelhub-pumpe/2874238891-230-4828", "Link")</f>
        <v/>
      </c>
      <c r="H109" s="6">
        <f>HYPERLINK("C:\Projects\Kleinanzeigen-Scraper\offer_images\2874238891", "Link")</f>
        <v/>
      </c>
      <c r="I109" t="inlineStr">
        <is>
          <t>Marc Zeppel</t>
        </is>
      </c>
      <c r="J109" s="6">
        <f>HYPERLINK("https://www.kleinanzeigen.de/s-bestandsliste.html?userId=20961983", "Link")</f>
        <v/>
      </c>
      <c r="K109" s="7" t="n">
        <v>45561.67739583334</v>
      </c>
      <c r="L109" s="3" t="inlineStr">
        <is>
          <t>124.91</t>
        </is>
      </c>
      <c r="M109" t="inlineStr">
        <is>
          <t>Köln</t>
        </is>
      </c>
    </row>
    <row r="110">
      <c r="A110" t="inlineStr">
        <is>
          <t>Fin: PROLIMIT Freestyle 22, Powerbox, with tip damage that can be repaired</t>
        </is>
      </c>
      <c r="B110" s="4" t="n">
        <v>20</v>
      </c>
      <c r="C110" t="inlineStr"/>
      <c r="D110" t="inlineStr">
        <is>
          <t>29699 Niedersachsen - Bomlitz</t>
        </is>
      </c>
      <c r="E110" s="5" t="n">
        <v>45560</v>
      </c>
      <c r="F110" t="inlineStr"/>
      <c r="G110" s="6">
        <f>HYPERLINK("https://www.kleinanzeigen.de/s-anzeige/prolimit-freestyle-22-finne-powerbox-windsurfen/2873599168-230-3293", "Link")</f>
        <v/>
      </c>
      <c r="H110" s="6">
        <f>HYPERLINK("C:\Projects\Kleinanzeigen-Scraper\offer_images\2873599168", "Link")</f>
        <v/>
      </c>
      <c r="I110" t="inlineStr">
        <is>
          <t>Marvin</t>
        </is>
      </c>
      <c r="J110" s="6">
        <f>HYPERLINK("https://www.kleinanzeigen.de/s-bestandsliste.html?userId=18511564", "Link")</f>
        <v/>
      </c>
      <c r="K110" s="7" t="n">
        <v>45561.67637731481</v>
      </c>
      <c r="L110" s="3" t="inlineStr">
        <is>
          <t>286.63</t>
        </is>
      </c>
      <c r="M110" t="inlineStr">
        <is>
          <t>Köln</t>
        </is>
      </c>
    </row>
    <row r="111">
      <c r="A111" t="inlineStr">
        <is>
          <t>Harness: Mystic Trapez, size XS</t>
        </is>
      </c>
      <c r="B111" s="4" t="n">
        <v>20</v>
      </c>
      <c r="C111" t="inlineStr"/>
      <c r="D111" t="inlineStr">
        <is>
          <t>24229 Schleswig-Holstein - Dänischenhagen</t>
        </is>
      </c>
      <c r="E111" s="5" t="n">
        <v>45561</v>
      </c>
      <c r="F111" t="inlineStr"/>
      <c r="G111" s="6">
        <f>HYPERLINK("https://www.kleinanzeigen.de/s-anzeige/surfen-windsurfen-trapez-xs-mystic/2874102750-230-17472", "Link")</f>
        <v/>
      </c>
      <c r="H111" s="6">
        <f>HYPERLINK("C:\Projects\Kleinanzeigen-Scraper\offer_images\2874102750", "Link")</f>
        <v/>
      </c>
      <c r="I111" t="inlineStr">
        <is>
          <t>C M</t>
        </is>
      </c>
      <c r="J111" s="6">
        <f>HYPERLINK("https://www.kleinanzeigen.de/s-bestandsliste.html?userId=29304381", "Link")</f>
        <v/>
      </c>
      <c r="K111" s="7" t="n">
        <v>45561.67596064815</v>
      </c>
      <c r="L111" s="3" t="inlineStr">
        <is>
          <t>445.58</t>
        </is>
      </c>
      <c r="M111" t="inlineStr">
        <is>
          <t>Köln</t>
        </is>
      </c>
    </row>
    <row r="112">
      <c r="A112" t="inlineStr">
        <is>
          <t>Mastfoot: Used, well-preserved Nullbase</t>
        </is>
      </c>
      <c r="B112" s="4" t="n">
        <v>10</v>
      </c>
      <c r="C112" t="inlineStr"/>
      <c r="D112" t="inlineStr">
        <is>
          <t>24113 Kiel - Hassee-Vieburg</t>
        </is>
      </c>
      <c r="E112" s="5" t="n">
        <v>45561</v>
      </c>
      <c r="F112" t="inlineStr">
        <is>
          <t>Sold</t>
        </is>
      </c>
      <c r="G112" s="6">
        <f>HYPERLINK("https://www.kleinanzeigen.de/s-anzeige/nullbase-mastfuss-windsurfen-rdm/2874495400-230-698", "Link")</f>
        <v/>
      </c>
      <c r="H112" s="6">
        <f>HYPERLINK("C:\Projects\Kleinanzeigen-Scraper\offer_images\2874495400", "Link")</f>
        <v/>
      </c>
      <c r="I112" t="inlineStr">
        <is>
          <t>Nico</t>
        </is>
      </c>
      <c r="J112" s="6">
        <f>HYPERLINK("https://www.kleinanzeigen.de/s-bestandsliste.html?userId=364237", "Link")</f>
        <v/>
      </c>
      <c r="K112" s="7" t="n">
        <v>45561.67552083333</v>
      </c>
      <c r="L112" s="3" t="inlineStr">
        <is>
          <t>427.37</t>
        </is>
      </c>
      <c r="M112" t="inlineStr">
        <is>
          <t>Köln</t>
        </is>
      </c>
    </row>
    <row r="113">
      <c r="A113" t="inlineStr">
        <is>
          <t>Security Cable: Coated steel cable, approximately 10 mm thick and 4 m long, with 4 stainless steel eyes for securing boards.</t>
        </is>
      </c>
      <c r="B113" s="4" t="n">
        <v>20</v>
      </c>
      <c r="C113" t="inlineStr">
        <is>
          <t>VB</t>
        </is>
      </c>
      <c r="D113" t="inlineStr">
        <is>
          <t>67373 Speyer - Dudenhofen</t>
        </is>
      </c>
      <c r="E113" s="5" t="n">
        <v>45560</v>
      </c>
      <c r="F113" t="inlineStr"/>
      <c r="G113" s="6">
        <f>HYPERLINK("https://www.kleinanzeigen.de/s-anzeige/ummanteltes-stahlseil-mit-oesen-windsurf-diebstahlsicherung/2873375507-230-5368", "Link")</f>
        <v/>
      </c>
      <c r="H113" s="6">
        <f>HYPERLINK("C:\Projects\Kleinanzeigen-Scraper\offer_images\2873375507", "Link")</f>
        <v/>
      </c>
      <c r="I113" t="inlineStr">
        <is>
          <t>Uli</t>
        </is>
      </c>
      <c r="J113" s="6">
        <f>HYPERLINK("https://www.kleinanzeigen.de/s-bestandsliste.html?userId=92238343", "Link")</f>
        <v/>
      </c>
      <c r="K113" s="7" t="n">
        <v>45561.67395833333</v>
      </c>
      <c r="L113" s="3" t="inlineStr">
        <is>
          <t>34.41</t>
        </is>
      </c>
      <c r="M113" t="inlineStr">
        <is>
          <t>Karlsruhe</t>
        </is>
      </c>
    </row>
    <row r="114">
      <c r="A114" t="inlineStr">
        <is>
          <t>Fin: White Water Freestyle Fin, US Box, 26 cm, previously 28 cm, includes cover</t>
        </is>
      </c>
      <c r="B114" s="4" t="n">
        <v>25</v>
      </c>
      <c r="C114" t="inlineStr"/>
      <c r="D114" t="inlineStr">
        <is>
          <t>10557 Mitte - Tiergarten</t>
        </is>
      </c>
      <c r="E114" s="5" t="n">
        <v>45559</v>
      </c>
      <c r="F114" t="inlineStr">
        <is>
          <t>Sold</t>
        </is>
      </c>
      <c r="G114" s="6">
        <f>HYPERLINK("https://www.kleinanzeigen.de/s-anzeige/finne-freestyle-us-box-26-cm-windsurfen/2872285547-230-3502", "Link")</f>
        <v/>
      </c>
      <c r="H114" s="6">
        <f>HYPERLINK("C:\Projects\Kleinanzeigen-Scraper\offer_images\2872285547", "Link")</f>
        <v/>
      </c>
      <c r="I114" t="inlineStr">
        <is>
          <t>Fabian Becher</t>
        </is>
      </c>
      <c r="J114" s="6">
        <f>HYPERLINK("https://www.kleinanzeigen.de/s-bestandsliste.html?userId=14821328", "Link")</f>
        <v/>
      </c>
      <c r="K114" s="7" t="n">
        <v>45561.67359953704</v>
      </c>
      <c r="L114" s="3" t="inlineStr">
        <is>
          <t>475.20</t>
        </is>
      </c>
      <c r="M114" t="inlineStr">
        <is>
          <t>Köln</t>
        </is>
      </c>
    </row>
    <row r="115">
      <c r="A115" t="inlineStr">
        <is>
          <t>Fin: Hurricane Formula Finne, 68.5 cm, good used condition</t>
        </is>
      </c>
      <c r="B115" s="4" t="n">
        <v>120</v>
      </c>
      <c r="C115" t="inlineStr"/>
      <c r="D115" t="inlineStr">
        <is>
          <t>47803 Nordrhein-Westfalen - Krefeld</t>
        </is>
      </c>
      <c r="E115" s="5" t="n">
        <v>45561</v>
      </c>
      <c r="F115" t="inlineStr">
        <is>
          <t>Sold</t>
        </is>
      </c>
      <c r="G115" s="6">
        <f>HYPERLINK("https://www.kleinanzeigen.de/s-anzeige/hurricane-finne-fins-carbon-formula-68-5-windsurf/2874092536-230-1978", "Link")</f>
        <v/>
      </c>
      <c r="H115" s="6">
        <f>HYPERLINK("C:\Projects\Kleinanzeigen-Scraper\offer_images\2874092536", "Link")</f>
        <v/>
      </c>
      <c r="I115" t="inlineStr">
        <is>
          <t>Zeitgeist.82</t>
        </is>
      </c>
      <c r="J115" s="6">
        <f>HYPERLINK("https://www.kleinanzeigen.de/s-bestandsliste.html?userId=47357640", "Link")</f>
        <v/>
      </c>
      <c r="K115" s="7" t="n">
        <v>45561.6733912037</v>
      </c>
      <c r="L115" s="3" t="inlineStr">
        <is>
          <t>53.61</t>
        </is>
      </c>
      <c r="M115" t="inlineStr">
        <is>
          <t>Köln</t>
        </is>
      </c>
    </row>
    <row r="116">
      <c r="A116" t="inlineStr">
        <is>
          <t>Base: Powerjoint Base Pro with Base Mast Protector, used</t>
        </is>
      </c>
      <c r="B116" s="4" t="n">
        <v>15</v>
      </c>
      <c r="C116" t="inlineStr"/>
      <c r="D116" t="inlineStr">
        <is>
          <t>24113 Kiel - Hassee-Vieburg</t>
        </is>
      </c>
      <c r="E116" s="5" t="n">
        <v>45561</v>
      </c>
      <c r="F116" t="inlineStr">
        <is>
          <t>Sold</t>
        </is>
      </c>
      <c r="G116" s="6">
        <f>HYPERLINK("https://www.kleinanzeigen.de/s-anzeige/powerjoint-base-pro-ascan-windsurfen-mit-base-mast-protector/2874484947-230-698", "Link")</f>
        <v/>
      </c>
      <c r="H116" s="6">
        <f>HYPERLINK("C:\Projects\Kleinanzeigen-Scraper\offer_images\2874484947", "Link")</f>
        <v/>
      </c>
      <c r="I116" t="inlineStr">
        <is>
          <t>Nico</t>
        </is>
      </c>
      <c r="J116" s="6">
        <f>HYPERLINK("https://www.kleinanzeigen.de/s-bestandsliste.html?userId=364237", "Link")</f>
        <v/>
      </c>
      <c r="K116" s="7" t="n">
        <v>45561.67315972222</v>
      </c>
      <c r="L116" s="3" t="inlineStr">
        <is>
          <t>427.37</t>
        </is>
      </c>
      <c r="M116" t="inlineStr">
        <is>
          <t>Köln</t>
        </is>
      </c>
    </row>
    <row r="117">
      <c r="A117" t="inlineStr">
        <is>
          <t>Mastfoot: Gebrauchte sehr gut erhaltene Nullbase</t>
        </is>
      </c>
      <c r="B117" s="4" t="n">
        <v>10</v>
      </c>
      <c r="C117" t="inlineStr"/>
      <c r="D117" t="inlineStr">
        <is>
          <t>24113 Kiel - Hassee-Vieburg</t>
        </is>
      </c>
      <c r="E117" s="5" t="n">
        <v>45561</v>
      </c>
      <c r="F117" t="inlineStr">
        <is>
          <t>Sold</t>
        </is>
      </c>
      <c r="G117" s="6">
        <f>HYPERLINK("https://www.kleinanzeigen.de/s-anzeige/windsurfen-nullbase-mastfuss-rdm/2874496997-230-698", "Link")</f>
        <v/>
      </c>
      <c r="H117" s="6">
        <f>HYPERLINK("C:\Projects\Kleinanzeigen-Scraper\offer_images\2874496997", "Link")</f>
        <v/>
      </c>
      <c r="I117" t="inlineStr">
        <is>
          <t>Nico</t>
        </is>
      </c>
      <c r="J117" s="6">
        <f>HYPERLINK("https://www.kleinanzeigen.de/s-bestandsliste.html?userId=364237", "Link")</f>
        <v/>
      </c>
      <c r="K117" s="7" t="n">
        <v>45561.67263888889</v>
      </c>
      <c r="L117" s="3" t="inlineStr">
        <is>
          <t>427.37</t>
        </is>
      </c>
      <c r="M117" t="inlineStr">
        <is>
          <t>Köln</t>
        </is>
      </c>
    </row>
    <row r="118">
      <c r="A118" t="inlineStr">
        <is>
          <t>Mast extension: Base extension, 300 mm, used in good condition</t>
        </is>
      </c>
      <c r="B118" s="4" t="n">
        <v>15</v>
      </c>
      <c r="C118" t="inlineStr"/>
      <c r="D118" t="inlineStr">
        <is>
          <t>24113 Kiel - Hassee-Vieburg</t>
        </is>
      </c>
      <c r="E118" s="5" t="n">
        <v>45561</v>
      </c>
      <c r="F118" t="inlineStr">
        <is>
          <t>Sold</t>
        </is>
      </c>
      <c r="G118" s="6">
        <f>HYPERLINK("https://www.kleinanzeigen.de/s-anzeige/base-verlaengerung-windsurfen-300-mm/2874508905-230-698", "Link")</f>
        <v/>
      </c>
      <c r="H118" s="6">
        <f>HYPERLINK("C:\Projects\Kleinanzeigen-Scraper\offer_images\2874508905", "Link")</f>
        <v/>
      </c>
      <c r="I118" t="inlineStr">
        <is>
          <t>Nico</t>
        </is>
      </c>
      <c r="J118" s="6">
        <f>HYPERLINK("https://www.kleinanzeigen.de/s-bestandsliste.html?userId=364237", "Link")</f>
        <v/>
      </c>
      <c r="K118" s="7" t="n">
        <v>45561.67188657408</v>
      </c>
      <c r="L118" s="3" t="inlineStr">
        <is>
          <t>427.37</t>
        </is>
      </c>
      <c r="M118" t="inlineStr">
        <is>
          <t>Köln</t>
        </is>
      </c>
    </row>
    <row r="119">
      <c r="A119" t="inlineStr">
        <is>
          <t>Fin: Unused original Tabou fins with fin bag, available in 46 or 48 cm</t>
        </is>
      </c>
      <c r="B119" s="4" t="n">
        <v>95</v>
      </c>
      <c r="C119" t="inlineStr">
        <is>
          <t>VB</t>
        </is>
      </c>
      <c r="D119" t="inlineStr">
        <is>
          <t>29614 Niedersachsen - Soltau</t>
        </is>
      </c>
      <c r="E119" s="5" t="n">
        <v>45561</v>
      </c>
      <c r="F119" t="inlineStr"/>
      <c r="G119" s="6">
        <f>HYPERLINK("https://www.kleinanzeigen.de/s-anzeige/windsurf-finne-powerbox-tabou-46er-oder-48er-windsurfen/2874141079-230-3257", "Link")</f>
        <v/>
      </c>
      <c r="H119" s="6">
        <f>HYPERLINK("C:\Projects\Kleinanzeigen-Scraper\offer_images\2874141079", "Link")</f>
        <v/>
      </c>
      <c r="I119" t="inlineStr">
        <is>
          <t>Dieter</t>
        </is>
      </c>
      <c r="J119" s="6">
        <f>HYPERLINK("https://www.kleinanzeigen.de/s-bestandsliste.html?userId=35923102", "Link")</f>
        <v/>
      </c>
      <c r="K119" s="7" t="n">
        <v>45561.67177083333</v>
      </c>
      <c r="L119" s="3" t="inlineStr">
        <is>
          <t>302.72</t>
        </is>
      </c>
      <c r="M119" t="inlineStr">
        <is>
          <t>Köln</t>
        </is>
      </c>
    </row>
    <row r="120">
      <c r="A120" t="inlineStr">
        <is>
          <t>Mastfoot: Original used mast foot with short mast foot extension</t>
        </is>
      </c>
      <c r="B120" s="4" t="n">
        <v>7</v>
      </c>
      <c r="C120" t="inlineStr"/>
      <c r="D120" t="inlineStr">
        <is>
          <t>85057 Bayern - Ingolstadt</t>
        </is>
      </c>
      <c r="E120" s="5" t="n">
        <v>45517</v>
      </c>
      <c r="F120" t="inlineStr">
        <is>
          <t>Sold</t>
        </is>
      </c>
      <c r="G120" s="6">
        <f>HYPERLINK("https://www.kleinanzeigen.de/s-anzeige/mastfuss-z-b-fuer-fanatic-viper-etc-/2836081176-230-7609", "Link")</f>
        <v/>
      </c>
      <c r="H120" s="6">
        <f>HYPERLINK("C:\Projects\Kleinanzeigen-Scraper\offer_images\2836081176", "Link")</f>
        <v/>
      </c>
      <c r="I120" t="inlineStr">
        <is>
          <t>Christian Bäuml</t>
        </is>
      </c>
      <c r="J120" s="6">
        <f>HYPERLINK("https://www.kleinanzeigen.de/s-bestandsliste.html?userId=91663363", "Link")</f>
        <v/>
      </c>
      <c r="K120" s="7" t="n">
        <v>45561.67079861111</v>
      </c>
      <c r="L120" s="3" t="inlineStr">
        <is>
          <t>72.05</t>
        </is>
      </c>
      <c r="M120" t="inlineStr">
        <is>
          <t>München</t>
        </is>
      </c>
    </row>
    <row r="121">
      <c r="A121" t="inlineStr">
        <is>
          <t>Trapeztampen: 1x Yes 26", 1x Dakine Vario</t>
        </is>
      </c>
      <c r="B121" s="4" t="n">
        <v>10</v>
      </c>
      <c r="C121" t="inlineStr"/>
      <c r="D121" t="inlineStr">
        <is>
          <t>80469 Ludwigsvorstadt-Isarvorstadt - Isarvorstadt</t>
        </is>
      </c>
      <c r="E121" s="5" t="n">
        <v>45560</v>
      </c>
      <c r="F121" t="inlineStr"/>
      <c r="G121" s="6">
        <f>HYPERLINK("https://www.kleinanzeigen.de/s-anzeige/2-paar-trapeztampen-1x-yes-26-1x-dakine-vario-windsurfen/2874010600-18-6434", "Link")</f>
        <v/>
      </c>
      <c r="H121" s="6">
        <f>HYPERLINK("C:\Projects\Kleinanzeigen-Scraper\offer_images\2874010600", "Link")</f>
        <v/>
      </c>
      <c r="I121" t="inlineStr">
        <is>
          <t>Jan</t>
        </is>
      </c>
      <c r="J121" s="6">
        <f>HYPERLINK("https://www.kleinanzeigen.de/s-bestandsliste.html?userId=31343566", "Link")</f>
        <v/>
      </c>
      <c r="K121" s="7" t="n">
        <v>45561.67001157408</v>
      </c>
      <c r="L121" s="3" t="inlineStr">
        <is>
          <t>0.84</t>
        </is>
      </c>
      <c r="M121" t="inlineStr">
        <is>
          <t>München</t>
        </is>
      </c>
    </row>
    <row r="122">
      <c r="A122" t="inlineStr">
        <is>
          <t>Base: Gebrauchte gut erhaltene Nullbase</t>
        </is>
      </c>
      <c r="B122" s="4" t="n">
        <v>10</v>
      </c>
      <c r="C122" t="inlineStr"/>
      <c r="D122" t="inlineStr">
        <is>
          <t>24113 Kiel - Hassee-Vieburg</t>
        </is>
      </c>
      <c r="E122" s="5" t="n">
        <v>45561</v>
      </c>
      <c r="F122" t="inlineStr">
        <is>
          <t>Sold</t>
        </is>
      </c>
      <c r="G122" s="6">
        <f>HYPERLINK("https://www.kleinanzeigen.de/s-anzeige/nullbase-base-trimmbecher-windsurfen/2874500188-230-698", "Link")</f>
        <v/>
      </c>
      <c r="H122" s="6">
        <f>HYPERLINK("C:\Projects\Kleinanzeigen-Scraper\offer_images\2874500188", "Link")</f>
        <v/>
      </c>
      <c r="I122" t="inlineStr">
        <is>
          <t>Nico</t>
        </is>
      </c>
      <c r="J122" s="6">
        <f>HYPERLINK("https://www.kleinanzeigen.de/s-bestandsliste.html?userId=364237", "Link")</f>
        <v/>
      </c>
      <c r="K122" s="7" t="n">
        <v>45561.66921296297</v>
      </c>
      <c r="L122" s="3" t="inlineStr">
        <is>
          <t>427.37</t>
        </is>
      </c>
      <c r="M122" t="inlineStr">
        <is>
          <t>Köln</t>
        </is>
      </c>
    </row>
    <row r="123">
      <c r="A123" t="inlineStr">
        <is>
          <t>Harness: Mystic Trapez XS</t>
        </is>
      </c>
      <c r="B123" s="4" t="n">
        <v>10</v>
      </c>
      <c r="C123" t="inlineStr">
        <is>
          <t>VB</t>
        </is>
      </c>
      <c r="D123" t="inlineStr">
        <is>
          <t>24229 Schleswig-Holstein - Dänischenhagen</t>
        </is>
      </c>
      <c r="E123" s="5" t="n">
        <v>45561</v>
      </c>
      <c r="F123" t="inlineStr"/>
      <c r="G123" s="6">
        <f>HYPERLINK("https://www.kleinanzeigen.de/s-anzeige/mystic-trapez-xs-windsurfen/2874103041-230-17472", "Link")</f>
        <v/>
      </c>
      <c r="H123" s="6">
        <f>HYPERLINK("C:\Projects\Kleinanzeigen-Scraper\offer_images\2874103041", "Link")</f>
        <v/>
      </c>
      <c r="I123" t="inlineStr">
        <is>
          <t>C M</t>
        </is>
      </c>
      <c r="J123" s="6">
        <f>HYPERLINK("https://www.kleinanzeigen.de/s-bestandsliste.html?userId=29304381", "Link")</f>
        <v/>
      </c>
      <c r="K123" s="7" t="n">
        <v>45561.66891203704</v>
      </c>
      <c r="L123" s="3" t="inlineStr">
        <is>
          <t>445.58</t>
        </is>
      </c>
      <c r="M123" t="inlineStr">
        <is>
          <t>Köln</t>
        </is>
      </c>
    </row>
    <row r="124">
      <c r="A124" t="inlineStr">
        <is>
          <t>Mastfoot: Used Fanatic Mastfuss and Base with logo</t>
        </is>
      </c>
      <c r="B124" s="4" t="n">
        <v>8</v>
      </c>
      <c r="C124" t="inlineStr"/>
      <c r="D124" t="inlineStr">
        <is>
          <t>56581 Rheinland-Pfalz - Melsbach</t>
        </is>
      </c>
      <c r="E124" s="5" t="n">
        <v>45560</v>
      </c>
      <c r="F124" t="inlineStr"/>
      <c r="G124" s="6">
        <f>HYPERLINK("https://www.kleinanzeigen.de/s-anzeige/mastfuss-base-bordadapter-fanatic/2873268581-230-5410", "Link")</f>
        <v/>
      </c>
      <c r="H124" s="6">
        <f>HYPERLINK("C:\Projects\Kleinanzeigen-Scraper\offer_images\2873268581", "Link")</f>
        <v/>
      </c>
      <c r="I124" t="inlineStr">
        <is>
          <t>Ivo seuser</t>
        </is>
      </c>
      <c r="J124" s="6">
        <f>HYPERLINK("https://www.kleinanzeigen.de/s-bestandsliste.html?userId=13070067", "Link")</f>
        <v/>
      </c>
      <c r="K124" s="7" t="n">
        <v>45560.56153935185</v>
      </c>
      <c r="L124" s="3" t="inlineStr">
        <is>
          <t>59.43</t>
        </is>
      </c>
      <c r="M124" t="inlineStr">
        <is>
          <t>Köln</t>
        </is>
      </c>
    </row>
    <row r="125">
      <c r="A125" t="inlineStr">
        <is>
          <t>Fin: Ersatz Haupt Finne, ca 30 cm lang, US-Box, Breite unten ca 12 cm</t>
        </is>
      </c>
      <c r="B125" s="4" t="n">
        <v>19</v>
      </c>
      <c r="C125" t="inlineStr"/>
      <c r="D125" t="inlineStr">
        <is>
          <t>78315 Baden-Württemberg - Radolfzell am Bodensee</t>
        </is>
      </c>
      <c r="E125" s="5" t="n">
        <v>45557</v>
      </c>
      <c r="F125" t="inlineStr"/>
      <c r="G125" s="6">
        <f>HYPERLINK("https://www.kleinanzeigen.de/s-anzeige/windsurf-sailboard-ersatz-finne-gross-blau-ca-12-x-30-cm-us-box/2870840481-230-8190", "Link")</f>
        <v/>
      </c>
      <c r="H125" s="6">
        <f>HYPERLINK("C:\Projects\Kleinanzeigen-Scraper\offer_images\2870840481", "Link")</f>
        <v/>
      </c>
      <c r="I125" t="inlineStr">
        <is>
          <t>Susanne J</t>
        </is>
      </c>
      <c r="J125" s="6">
        <f>HYPERLINK("https://www.kleinanzeigen.de/s-bestandsliste.html?userId=10367030", "Link")</f>
        <v/>
      </c>
      <c r="K125" s="7" t="n">
        <v>45560.55890046297</v>
      </c>
      <c r="L125" s="3" t="inlineStr">
        <is>
          <t>48.46</t>
        </is>
      </c>
      <c r="M125" t="inlineStr">
        <is>
          <t>Bonndorf</t>
        </is>
      </c>
    </row>
    <row r="126">
      <c r="A126" t="inlineStr">
        <is>
          <t>Harness: Dakine T7, Größe M</t>
        </is>
      </c>
      <c r="B126" s="4" t="n">
        <v>80</v>
      </c>
      <c r="C126" t="inlineStr"/>
      <c r="D126" t="inlineStr">
        <is>
          <t>28876 Niedersachsen - Oyten</t>
        </is>
      </c>
      <c r="E126" s="5" t="n">
        <v>45559</v>
      </c>
      <c r="F126" t="inlineStr">
        <is>
          <t>Sold</t>
        </is>
      </c>
      <c r="G126" s="6">
        <f>HYPERLINK("https://www.kleinanzeigen.de/s-anzeige/dakine-t7-groesse-m-windsurftrapez-windsurfen-trapez-harness/2873042521-230-2740", "Link")</f>
        <v/>
      </c>
      <c r="H126" s="6">
        <f>HYPERLINK("C:\Projects\Kleinanzeigen-Scraper\offer_images\2873042521", "Link")</f>
        <v/>
      </c>
      <c r="I126" t="inlineStr">
        <is>
          <t>Privat</t>
        </is>
      </c>
      <c r="J126" s="6">
        <f>HYPERLINK("https://www.kleinanzeigen.de/s-bestandsliste.html?userId=16964540", "Link")</f>
        <v/>
      </c>
      <c r="K126" s="7" t="n">
        <v>45559.88023148148</v>
      </c>
      <c r="L126" s="3" t="inlineStr">
        <is>
          <t>277.79</t>
        </is>
      </c>
      <c r="M126" t="inlineStr">
        <is>
          <t>Köln</t>
        </is>
      </c>
    </row>
    <row r="127">
      <c r="A127" t="inlineStr">
        <is>
          <t>Fins: Select S1 Pro Tuttle 55cm, Select S1 Pro Derptuttle 47cm, Concept X Weed Race 36cm</t>
        </is>
      </c>
      <c r="B127" s="4" t="n">
        <v>74</v>
      </c>
      <c r="C127" t="inlineStr"/>
      <c r="D127" t="inlineStr">
        <is>
          <t>08058 Sachsen - Zwickau</t>
        </is>
      </c>
      <c r="E127" s="5" t="n">
        <v>45558</v>
      </c>
      <c r="F127" t="inlineStr"/>
      <c r="G127" s="6">
        <f>HYPERLINK("https://www.kleinanzeigen.de/s-anzeige/windsurf-finne-carbon-dt-tuttle-deeptuttle-select-s1pro-weed/2872220053-230-3810", "Link")</f>
        <v/>
      </c>
      <c r="H127" s="6">
        <f>HYPERLINK("C:\Projects\Kleinanzeigen-Scraper\offer_images\2872220053", "Link")</f>
        <v/>
      </c>
      <c r="I127" t="inlineStr">
        <is>
          <t>Karsten</t>
        </is>
      </c>
      <c r="J127" s="6">
        <f>HYPERLINK("https://www.kleinanzeigen.de/s-bestandsliste.html?userId=13956951", "Link")</f>
        <v/>
      </c>
      <c r="K127" s="7" t="n">
        <v>45559.87998842593</v>
      </c>
      <c r="L127" s="3" t="inlineStr">
        <is>
          <t>296.50</t>
        </is>
      </c>
      <c r="M127" t="inlineStr">
        <is>
          <t>München</t>
        </is>
      </c>
    </row>
    <row r="128">
      <c r="A128" t="inlineStr">
        <is>
          <t>Fin: C-Fin, 38 cm, very good condition</t>
        </is>
      </c>
      <c r="B128" s="4" t="n">
        <v>100</v>
      </c>
      <c r="C128" t="inlineStr">
        <is>
          <t>VB</t>
        </is>
      </c>
      <c r="D128" t="inlineStr">
        <is>
          <t>83109 Bayern - Großkarolinenfeld</t>
        </is>
      </c>
      <c r="E128" s="5" t="n">
        <v>45559</v>
      </c>
      <c r="F128" t="inlineStr">
        <is>
          <t>Sold</t>
        </is>
      </c>
      <c r="G128" s="6">
        <f>HYPERLINK("https://www.kleinanzeigen.de/s-anzeige/windsurf-finne-c-fin-38-cm/2872654496-230-6255", "Link")</f>
        <v/>
      </c>
      <c r="H128" s="6">
        <f>HYPERLINK("C:\Projects\Kleinanzeigen-Scraper\offer_images\2872654496", "Link")</f>
        <v/>
      </c>
      <c r="I128" t="inlineStr">
        <is>
          <t>Mayer Jutta</t>
        </is>
      </c>
      <c r="J128" s="6">
        <f>HYPERLINK("https://www.kleinanzeigen.de/s-bestandsliste.html?userId=9582607", "Link")</f>
        <v/>
      </c>
      <c r="K128" s="7" t="n">
        <v>45559.87960648148</v>
      </c>
      <c r="L128" s="3" t="inlineStr">
        <is>
          <t>45.57</t>
        </is>
      </c>
      <c r="M128" t="inlineStr">
        <is>
          <t>München</t>
        </is>
      </c>
    </row>
    <row r="129">
      <c r="A129" t="inlineStr">
        <is>
          <t>Trapezleinen: Zwei Trapezleinen mit Klettverschluss</t>
        </is>
      </c>
      <c r="B129" s="4" t="n">
        <v>8</v>
      </c>
      <c r="C129" t="inlineStr">
        <is>
          <t>VB</t>
        </is>
      </c>
      <c r="D129" t="inlineStr">
        <is>
          <t>53127 Bonn - Ippendorf</t>
        </is>
      </c>
      <c r="E129" s="5" t="n">
        <v>45558</v>
      </c>
      <c r="F129" t="inlineStr"/>
      <c r="G129" s="6">
        <f>HYPERLINK("https://www.kleinanzeigen.de/s-anzeige/windsurf-zwei-trapezleinen/2871876965-230-23715", "Link")</f>
        <v/>
      </c>
      <c r="H129" s="6">
        <f>HYPERLINK("C:\Projects\Kleinanzeigen-Scraper\offer_images\2871876965", "Link")</f>
        <v/>
      </c>
      <c r="I129" t="inlineStr">
        <is>
          <t>J.S.</t>
        </is>
      </c>
      <c r="J129" s="6">
        <f>HYPERLINK("https://www.kleinanzeigen.de/s-bestandsliste.html?userId=21212385", "Link")</f>
        <v/>
      </c>
      <c r="K129" s="7" t="n">
        <v>45559.87836805556</v>
      </c>
      <c r="L129" s="3" t="inlineStr">
        <is>
          <t>28.34</t>
        </is>
      </c>
      <c r="M129" t="inlineStr">
        <is>
          <t>Köln</t>
        </is>
      </c>
    </row>
    <row r="130">
      <c r="A130" t="inlineStr">
        <is>
          <t>Fin: Windsurf Finne Powerbox PB Tabou Freeride 50, gebraucht, Zustand wie neu oder besser.</t>
        </is>
      </c>
      <c r="B130" s="4" t="n">
        <v>70</v>
      </c>
      <c r="C130" t="inlineStr"/>
      <c r="D130" t="inlineStr">
        <is>
          <t>01219 Dresden - Leubnitz-Neuostra</t>
        </is>
      </c>
      <c r="E130" s="5" t="n">
        <v>45559</v>
      </c>
      <c r="F130" t="inlineStr"/>
      <c r="G130" s="6">
        <f>HYPERLINK("https://www.kleinanzeigen.de/s-anzeige/windsurf-finne-powerbox-pb-tabou-freeride-50/2872416428-230-23485", "Link")</f>
        <v/>
      </c>
      <c r="H130" s="6">
        <f>HYPERLINK("C:\Projects\Kleinanzeigen-Scraper\offer_images\2872416428", "Link")</f>
        <v/>
      </c>
      <c r="I130" t="inlineStr">
        <is>
          <t>Thomas</t>
        </is>
      </c>
      <c r="J130" s="6">
        <f>HYPERLINK("https://www.kleinanzeigen.de/s-bestandsliste.html?userId=18237894", "Link")</f>
        <v/>
      </c>
      <c r="K130" s="7" t="n">
        <v>45559.87755787037</v>
      </c>
      <c r="L130" s="3" t="inlineStr">
        <is>
          <t>358.03</t>
        </is>
      </c>
      <c r="M130" t="inlineStr">
        <is>
          <t>München</t>
        </is>
      </c>
    </row>
    <row r="131">
      <c r="A131" t="inlineStr">
        <is>
          <t>Footstraps: Tabou footstraps with screws, in excellent condition</t>
        </is>
      </c>
      <c r="B131" s="4" t="inlineStr"/>
      <c r="C131" t="inlineStr">
        <is>
          <t>VB</t>
        </is>
      </c>
      <c r="D131" t="inlineStr">
        <is>
          <t>96450 Bayern - Coburg</t>
        </is>
      </c>
      <c r="E131" s="5" t="n">
        <v>45559</v>
      </c>
      <c r="F131" t="inlineStr">
        <is>
          <t>Sold</t>
        </is>
      </c>
      <c r="G131" s="6">
        <f>HYPERLINK("https://www.kleinanzeigen.de/s-anzeige/windsurfboard-fussschlaufen-footstraps-tabou-mit-schrauben/2872887268-230-6936", "Link")</f>
        <v/>
      </c>
      <c r="H131" s="6">
        <f>HYPERLINK("C:\Projects\Kleinanzeigen-Scraper\offer_images\2872887268", "Link")</f>
        <v/>
      </c>
      <c r="I131" t="inlineStr">
        <is>
          <t>m/w/d</t>
        </is>
      </c>
      <c r="J131" s="6">
        <f>HYPERLINK("https://www.kleinanzeigen.de/s-bestandsliste.html?userId=131136578", "Link")</f>
        <v/>
      </c>
      <c r="K131" s="7" t="n">
        <v>45559.87740740741</v>
      </c>
      <c r="L131" s="3" t="inlineStr">
        <is>
          <t>226.42</t>
        </is>
      </c>
      <c r="M131" t="inlineStr">
        <is>
          <t>Böblingen</t>
        </is>
      </c>
    </row>
    <row r="132">
      <c r="A132" t="inlineStr">
        <is>
          <t>Fin: Windsurf Finne Powerbox PB Select S.Ride 46, gebraucht, Zustand wie neu oder besser.</t>
        </is>
      </c>
      <c r="B132" s="4" t="n">
        <v>75</v>
      </c>
      <c r="C132" t="inlineStr"/>
      <c r="D132" t="inlineStr">
        <is>
          <t>01219 Dresden - Leubnitz-Neuostra</t>
        </is>
      </c>
      <c r="E132" s="5" t="n">
        <v>45559</v>
      </c>
      <c r="F132" t="inlineStr"/>
      <c r="G132" s="6">
        <f>HYPERLINK("https://www.kleinanzeigen.de/s-anzeige/windsurf-finne-powerbox-pb-select-s-ride-46/2872411814-230-23485", "Link")</f>
        <v/>
      </c>
      <c r="H132" s="6">
        <f>HYPERLINK("C:\Projects\Kleinanzeigen-Scraper\offer_images\2872411814", "Link")</f>
        <v/>
      </c>
      <c r="I132" t="inlineStr">
        <is>
          <t>Thomas</t>
        </is>
      </c>
      <c r="J132" s="6">
        <f>HYPERLINK("https://www.kleinanzeigen.de/s-bestandsliste.html?userId=18237894", "Link")</f>
        <v/>
      </c>
      <c r="K132" s="7" t="n">
        <v>45559.87723379629</v>
      </c>
      <c r="L132" s="3" t="inlineStr">
        <is>
          <t>358.03</t>
        </is>
      </c>
      <c r="M132" t="inlineStr">
        <is>
          <t>München</t>
        </is>
      </c>
    </row>
    <row r="133">
      <c r="A133" t="inlineStr">
        <is>
          <t>Harness: Ascan Surftrapez, size L, nearly unused with an additional used one included</t>
        </is>
      </c>
      <c r="B133" s="4" t="n">
        <v>45</v>
      </c>
      <c r="C133" t="inlineStr"/>
      <c r="D133" t="inlineStr">
        <is>
          <t>08058 Sachsen - Zwickau</t>
        </is>
      </c>
      <c r="E133" s="5" t="n">
        <v>45558</v>
      </c>
      <c r="F133" t="inlineStr">
        <is>
          <t>Sold</t>
        </is>
      </c>
      <c r="G133" s="6">
        <f>HYPERLINK("https://www.kleinanzeigen.de/s-anzeige/ascan-surftrapez-windsurf-trapez/2872206913-230-3810", "Link")</f>
        <v/>
      </c>
      <c r="H133" s="6">
        <f>HYPERLINK("C:\Projects\Kleinanzeigen-Scraper\offer_images\2872206913", "Link")</f>
        <v/>
      </c>
      <c r="I133" t="inlineStr">
        <is>
          <t>Karsten</t>
        </is>
      </c>
      <c r="J133" s="6">
        <f>HYPERLINK("https://www.kleinanzeigen.de/s-bestandsliste.html?userId=13956951", "Link")</f>
        <v/>
      </c>
      <c r="K133" s="7" t="n">
        <v>45559.87688657407</v>
      </c>
      <c r="L133" s="3" t="inlineStr">
        <is>
          <t>296.50</t>
        </is>
      </c>
      <c r="M133" t="inlineStr">
        <is>
          <t>München</t>
        </is>
      </c>
    </row>
    <row r="134">
      <c r="A134" t="inlineStr">
        <is>
          <t>Harness: Wavetoy's trapeze harness in black with bag</t>
        </is>
      </c>
      <c r="B134" s="4" t="n">
        <v>25</v>
      </c>
      <c r="C134" t="inlineStr">
        <is>
          <t>VB</t>
        </is>
      </c>
      <c r="D134" t="inlineStr">
        <is>
          <t>53127 Bonn - Ippendorf</t>
        </is>
      </c>
      <c r="E134" s="5" t="n">
        <v>45558</v>
      </c>
      <c r="F134" t="inlineStr"/>
      <c r="G134" s="6">
        <f>HYPERLINK("https://www.kleinanzeigen.de/s-anzeige/windsurf-trapezgurt-marke-wavetoy-s/2871883573-230-23715", "Link")</f>
        <v/>
      </c>
      <c r="H134" s="6">
        <f>HYPERLINK("C:\Projects\Kleinanzeigen-Scraper\offer_images\2871883573", "Link")</f>
        <v/>
      </c>
      <c r="I134" t="inlineStr">
        <is>
          <t>J.S.</t>
        </is>
      </c>
      <c r="J134" s="6">
        <f>HYPERLINK("https://www.kleinanzeigen.de/s-bestandsliste.html?userId=21212385", "Link")</f>
        <v/>
      </c>
      <c r="K134" s="7" t="n">
        <v>45559.87629629629</v>
      </c>
      <c r="L134" s="3" t="inlineStr">
        <is>
          <t>28.34</t>
        </is>
      </c>
      <c r="M134" t="inlineStr">
        <is>
          <t>Köln</t>
        </is>
      </c>
    </row>
    <row r="135">
      <c r="A135" t="inlineStr">
        <is>
          <t>Screws: Set for Alu Glide Wing/Wing HP Foils</t>
        </is>
      </c>
      <c r="B135" s="4" t="n">
        <v>10</v>
      </c>
      <c r="C135" t="inlineStr"/>
      <c r="D135" t="inlineStr">
        <is>
          <t>82256 Bayern - Fürstenfeldbruck</t>
        </is>
      </c>
      <c r="E135" s="5" t="n">
        <v>45559</v>
      </c>
      <c r="F135" t="inlineStr">
        <is>
          <t>Sold</t>
        </is>
      </c>
      <c r="G135" s="6">
        <f>HYPERLINK("https://www.kleinanzeigen.de/s-anzeige/neilpryde-glide-wind-series-schraubenset/2872855648-230-6311", "Link")</f>
        <v/>
      </c>
      <c r="H135" s="6">
        <f>HYPERLINK("C:\Projects\Kleinanzeigen-Scraper\offer_images\2872855648", "Link")</f>
        <v/>
      </c>
      <c r="I135" t="inlineStr">
        <is>
          <t>Miriam</t>
        </is>
      </c>
      <c r="J135" s="6">
        <f>HYPERLINK("https://www.kleinanzeigen.de/s-bestandsliste.html?userId=15411770", "Link")</f>
        <v/>
      </c>
      <c r="K135" s="7" t="n">
        <v>45559.87564814815</v>
      </c>
      <c r="L135" s="3" t="inlineStr">
        <is>
          <t>25.37</t>
        </is>
      </c>
      <c r="M135" t="inlineStr">
        <is>
          <t>München</t>
        </is>
      </c>
    </row>
    <row r="136">
      <c r="A136" t="inlineStr">
        <is>
          <t>Fin: Köster 34 cm Race in excellent condition</t>
        </is>
      </c>
      <c r="B136" s="4" t="n">
        <v>50</v>
      </c>
      <c r="C136" t="inlineStr">
        <is>
          <t>VB</t>
        </is>
      </c>
      <c r="D136" t="inlineStr">
        <is>
          <t>83109 Bayern - Großkarolinenfeld</t>
        </is>
      </c>
      <c r="E136" s="5" t="n">
        <v>45559</v>
      </c>
      <c r="F136" t="inlineStr"/>
      <c r="G136" s="6">
        <f>HYPERLINK("https://www.kleinanzeigen.de/s-anzeige/windsurf-finne-koester-34-cm-race/2872672355-230-6255", "Link")</f>
        <v/>
      </c>
      <c r="H136" s="6">
        <f>HYPERLINK("C:\Projects\Kleinanzeigen-Scraper\offer_images\2872672355", "Link")</f>
        <v/>
      </c>
      <c r="I136" t="inlineStr">
        <is>
          <t>Mayer Jutta</t>
        </is>
      </c>
      <c r="J136" s="6">
        <f>HYPERLINK("https://www.kleinanzeigen.de/s-bestandsliste.html?userId=9582607", "Link")</f>
        <v/>
      </c>
      <c r="K136" s="7" t="n">
        <v>45559.87528935185</v>
      </c>
      <c r="L136" s="3" t="inlineStr">
        <is>
          <t>45.57</t>
        </is>
      </c>
      <c r="M136" t="inlineStr">
        <is>
          <t>München</t>
        </is>
      </c>
    </row>
    <row r="137">
      <c r="A137" t="inlineStr">
        <is>
          <t>Fin: Windsurf Finne Powerbox PB Lorch Freerace 40, gebraucht, Zustand wie neu oder besser</t>
        </is>
      </c>
      <c r="B137" s="4" t="n">
        <v>75</v>
      </c>
      <c r="C137" t="inlineStr"/>
      <c r="D137" t="inlineStr">
        <is>
          <t>01219 Dresden - Leubnitz-Neuostra</t>
        </is>
      </c>
      <c r="E137" s="5" t="n">
        <v>45559</v>
      </c>
      <c r="F137" t="inlineStr"/>
      <c r="G137" s="6">
        <f>HYPERLINK("https://www.kleinanzeigen.de/s-anzeige/windsurf-finne-powerbox-pb-lorch-freerace-40/2872414146-230-23485", "Link")</f>
        <v/>
      </c>
      <c r="H137" s="6">
        <f>HYPERLINK("C:\Projects\Kleinanzeigen-Scraper\offer_images\2872414146", "Link")</f>
        <v/>
      </c>
      <c r="I137" t="inlineStr">
        <is>
          <t>Thomas</t>
        </is>
      </c>
      <c r="J137" s="6">
        <f>HYPERLINK("https://www.kleinanzeigen.de/s-bestandsliste.html?userId=18237894", "Link")</f>
        <v/>
      </c>
      <c r="K137" s="7" t="n">
        <v>45559.87482638889</v>
      </c>
      <c r="L137" s="3" t="inlineStr">
        <is>
          <t>358.03</t>
        </is>
      </c>
      <c r="M137" t="inlineStr">
        <is>
          <t>München</t>
        </is>
      </c>
    </row>
    <row r="138">
      <c r="A138" t="inlineStr">
        <is>
          <t>Mast extension: North Mastverlängerungen and Mastfüsse</t>
        </is>
      </c>
      <c r="B138" s="4" t="n">
        <v>60</v>
      </c>
      <c r="C138" t="inlineStr">
        <is>
          <t>VB</t>
        </is>
      </c>
      <c r="D138" t="inlineStr">
        <is>
          <t>82296 Bayern - Schöngeising</t>
        </is>
      </c>
      <c r="E138" s="5" t="n">
        <v>45559</v>
      </c>
      <c r="F138" t="inlineStr">
        <is>
          <t>Sold</t>
        </is>
      </c>
      <c r="G138" s="6">
        <f>HYPERLINK("https://www.kleinanzeigen.de/s-anzeige/north-mastverlaengerungen-und-mastfuesse/2873077167-230-6318", "Link")</f>
        <v/>
      </c>
      <c r="H138" s="6">
        <f>HYPERLINK("C:\Projects\Kleinanzeigen-Scraper\offer_images\2873077167", "Link")</f>
        <v/>
      </c>
      <c r="I138" t="inlineStr">
        <is>
          <t>Mühlbauer</t>
        </is>
      </c>
      <c r="J138" s="6">
        <f>HYPERLINK("https://www.kleinanzeigen.de/s-bestandsliste.html?userId=40922065", "Link")</f>
        <v/>
      </c>
      <c r="K138" s="7" t="n">
        <v>45559.87467592592</v>
      </c>
      <c r="L138" s="3" t="inlineStr">
        <is>
          <t>27.63</t>
        </is>
      </c>
      <c r="M138" t="inlineStr">
        <is>
          <t>München</t>
        </is>
      </c>
    </row>
    <row r="139">
      <c r="A139" t="inlineStr">
        <is>
          <t>Fin: Köster Pro-Am 29 cm Wave, used with visible repair</t>
        </is>
      </c>
      <c r="B139" s="4" t="n">
        <v>50</v>
      </c>
      <c r="C139" t="inlineStr">
        <is>
          <t>VB</t>
        </is>
      </c>
      <c r="D139" t="inlineStr">
        <is>
          <t>83109 Bayern - Großkarolinenfeld</t>
        </is>
      </c>
      <c r="E139" s="5" t="n">
        <v>45559</v>
      </c>
      <c r="F139" t="inlineStr">
        <is>
          <t>Sold</t>
        </is>
      </c>
      <c r="G139" s="6">
        <f>HYPERLINK("https://www.kleinanzeigen.de/s-anzeige/windsurf-finne-koester-pro-am-29-cm-wave/2872667932-230-6255", "Link")</f>
        <v/>
      </c>
      <c r="H139" s="6">
        <f>HYPERLINK("C:\Projects\Kleinanzeigen-Scraper\offer_images\2872667932", "Link")</f>
        <v/>
      </c>
      <c r="I139" t="inlineStr">
        <is>
          <t>Mayer Jutta</t>
        </is>
      </c>
      <c r="J139" s="6">
        <f>HYPERLINK("https://www.kleinanzeigen.de/s-bestandsliste.html?userId=9582607", "Link")</f>
        <v/>
      </c>
      <c r="K139" s="7" t="n">
        <v>45559.87460648148</v>
      </c>
      <c r="L139" s="3" t="inlineStr">
        <is>
          <t>45.57</t>
        </is>
      </c>
      <c r="M139" t="inlineStr">
        <is>
          <t>München</t>
        </is>
      </c>
    </row>
    <row r="140">
      <c r="A140" t="inlineStr">
        <is>
          <t>Mastschutz: Schutz für den Windsurfmast, Marke: Wayetoy's, Farbe: Gelb</t>
        </is>
      </c>
      <c r="B140" s="4" t="n">
        <v>7</v>
      </c>
      <c r="C140" t="inlineStr">
        <is>
          <t>VB</t>
        </is>
      </c>
      <c r="D140" t="inlineStr">
        <is>
          <t>53127 Bonn - Ippendorf</t>
        </is>
      </c>
      <c r="E140" s="5" t="n">
        <v>45558</v>
      </c>
      <c r="F140" t="inlineStr"/>
      <c r="G140" s="6">
        <f>HYPERLINK("https://www.kleinanzeigen.de/s-anzeige/windsurf-mastschutz/2871880547-230-23715", "Link")</f>
        <v/>
      </c>
      <c r="H140" s="6">
        <f>HYPERLINK("C:\Projects\Kleinanzeigen-Scraper\offer_images\2871880547", "Link")</f>
        <v/>
      </c>
      <c r="I140" t="inlineStr">
        <is>
          <t>J.S.</t>
        </is>
      </c>
      <c r="J140" s="6">
        <f>HYPERLINK("https://www.kleinanzeigen.de/s-bestandsliste.html?userId=21212385", "Link")</f>
        <v/>
      </c>
      <c r="K140" s="7" t="n">
        <v>45559.87451388889</v>
      </c>
      <c r="L140" s="3" t="inlineStr">
        <is>
          <t>28.34</t>
        </is>
      </c>
      <c r="M140" t="inlineStr">
        <is>
          <t>Köln</t>
        </is>
      </c>
    </row>
    <row r="141">
      <c r="A141" t="inlineStr">
        <is>
          <t>Fin: Slalom Finne Drake, 44cm for Tuttle Box, compatible with Deep Tuttle with adapter</t>
        </is>
      </c>
      <c r="B141" s="4" t="n">
        <v>100</v>
      </c>
      <c r="C141" t="inlineStr"/>
      <c r="D141" t="inlineStr">
        <is>
          <t>63505 Hessen - Langenselbold</t>
        </is>
      </c>
      <c r="E141" s="5" t="n">
        <v>45559</v>
      </c>
      <c r="F141" t="inlineStr"/>
      <c r="G141" s="6">
        <f>HYPERLINK("https://www.kleinanzeigen.de/s-anzeige/slalom-finne-drake-starboard-44cm-tb/2872505366-230-4550", "Link")</f>
        <v/>
      </c>
      <c r="H141" s="6">
        <f>HYPERLINK("C:\Projects\Kleinanzeigen-Scraper\offer_images\2872505366", "Link")</f>
        <v/>
      </c>
      <c r="I141" t="inlineStr">
        <is>
          <t>Flo</t>
        </is>
      </c>
      <c r="J141" s="6">
        <f>HYPERLINK("https://www.kleinanzeigen.de/s-bestandsliste.html?userId=46436471", "Link")</f>
        <v/>
      </c>
      <c r="K141" s="7" t="n">
        <v>45559.87306712963</v>
      </c>
      <c r="L141" s="3" t="inlineStr">
        <is>
          <t>140.07</t>
        </is>
      </c>
      <c r="M141" t="inlineStr">
        <is>
          <t>Karlsruhe</t>
        </is>
      </c>
    </row>
    <row r="142">
      <c r="A142" t="inlineStr">
        <is>
          <t>Mastfoot: Fanatic mast foot from the 90s, functions perfectly</t>
        </is>
      </c>
      <c r="B142" s="4" t="n">
        <v>15</v>
      </c>
      <c r="C142" t="inlineStr"/>
      <c r="D142" t="inlineStr">
        <is>
          <t>67122 Rheinland-Pfalz - Altrip</t>
        </is>
      </c>
      <c r="E142" s="5" t="n">
        <v>45537</v>
      </c>
      <c r="F142" t="inlineStr">
        <is>
          <t>Sold</t>
        </is>
      </c>
      <c r="G142" s="6">
        <f>HYPERLINK("https://www.kleinanzeigen.de/s-anzeige/mastfuss-von-fanatic-aus-den-90er-jahren/2852832676-234-5386", "Link")</f>
        <v/>
      </c>
      <c r="H142" s="6">
        <f>HYPERLINK("C:\Projects\Kleinanzeigen-Scraper\offer_images\2852832676", "Link")</f>
        <v/>
      </c>
      <c r="I142" t="inlineStr">
        <is>
          <t>Franz</t>
        </is>
      </c>
      <c r="J142" s="6">
        <f>HYPERLINK("https://www.kleinanzeigen.de/s-bestandsliste.html?userId=12980642", "Link")</f>
        <v/>
      </c>
      <c r="K142" s="7" t="n">
        <v>45559.87288194444</v>
      </c>
      <c r="L142" s="3" t="inlineStr">
        <is>
          <t>47.79</t>
        </is>
      </c>
      <c r="M142" t="inlineStr">
        <is>
          <t>Karlsruhe</t>
        </is>
      </c>
    </row>
    <row r="143">
      <c r="A143" t="inlineStr">
        <is>
          <t>Mastleine: Rope for securing the mast for windsurfing</t>
        </is>
      </c>
      <c r="B143" s="4" t="n">
        <v>12</v>
      </c>
      <c r="C143" t="inlineStr">
        <is>
          <t>VB</t>
        </is>
      </c>
      <c r="D143" t="inlineStr">
        <is>
          <t>53127 Bonn - Ippendorf</t>
        </is>
      </c>
      <c r="E143" s="5" t="n">
        <v>45558</v>
      </c>
      <c r="F143" t="inlineStr"/>
      <c r="G143" s="6">
        <f>HYPERLINK("https://www.kleinanzeigen.de/s-anzeige/windsurf-mastleine/2871875021-230-23715", "Link")</f>
        <v/>
      </c>
      <c r="H143" s="6">
        <f>HYPERLINK("C:\Projects\Kleinanzeigen-Scraper\offer_images\2871875021", "Link")</f>
        <v/>
      </c>
      <c r="I143" t="inlineStr">
        <is>
          <t>J.S.</t>
        </is>
      </c>
      <c r="J143" s="6">
        <f>HYPERLINK("https://www.kleinanzeigen.de/s-bestandsliste.html?userId=21212385", "Link")</f>
        <v/>
      </c>
      <c r="K143" s="7" t="n">
        <v>45559.8725</v>
      </c>
      <c r="L143" s="3" t="inlineStr">
        <is>
          <t>28.34</t>
        </is>
      </c>
      <c r="M143" t="inlineStr">
        <is>
          <t>Köln</t>
        </is>
      </c>
    </row>
    <row r="144">
      <c r="A144" t="inlineStr">
        <is>
          <t>Harness: Prolimit hip harness in good condition, size L</t>
        </is>
      </c>
      <c r="B144" s="4" t="n">
        <v>20</v>
      </c>
      <c r="C144" t="inlineStr"/>
      <c r="D144" t="inlineStr">
        <is>
          <t>10585 Berlin - Charlottenburg</t>
        </is>
      </c>
      <c r="E144" s="5" t="n">
        <v>45557</v>
      </c>
      <c r="F144" t="inlineStr">
        <is>
          <t>Sold</t>
        </is>
      </c>
      <c r="G144" s="6">
        <f>HYPERLINK("https://www.kleinanzeigen.de/s-anzeige/huefttrapez-gr-l-windsurfen/2870757842-230-3347", "Link")</f>
        <v/>
      </c>
      <c r="H144" s="6">
        <f>HYPERLINK("C:\Projects\Kleinanzeigen-Scraper\offer_images\2870757842", "Link")</f>
        <v/>
      </c>
      <c r="I144" t="inlineStr">
        <is>
          <t>Rüdiger</t>
        </is>
      </c>
      <c r="J144" s="6">
        <f>HYPERLINK("https://www.kleinanzeigen.de/s-bestandsliste.html?userId=20864694", "Link")</f>
        <v/>
      </c>
      <c r="K144" s="7" t="n">
        <v>45559.87248842593</v>
      </c>
      <c r="L144" s="3" t="inlineStr">
        <is>
          <t>471.07</t>
        </is>
      </c>
      <c r="M144" t="inlineStr">
        <is>
          <t>Köln</t>
        </is>
      </c>
    </row>
    <row r="145">
      <c r="A145" t="inlineStr">
        <is>
          <t>Trapetztampen: Gebrauchte Variotop 26" - 32" von Gaastra</t>
        </is>
      </c>
      <c r="B145" s="4" t="n">
        <v>20</v>
      </c>
      <c r="C145" t="inlineStr"/>
      <c r="D145" t="inlineStr">
        <is>
          <t>14052 Berlin - Charlottenburg</t>
        </is>
      </c>
      <c r="E145" s="5" t="n">
        <v>45535</v>
      </c>
      <c r="F145" t="inlineStr">
        <is>
          <t>Sold</t>
        </is>
      </c>
      <c r="G145" s="6">
        <f>HYPERLINK("https://www.kleinanzeigen.de/s-anzeige/gaastra-trapetztampen-26-32-/2850820934-230-3339", "Link")</f>
        <v/>
      </c>
      <c r="H145" s="6">
        <f>HYPERLINK("C:\Projects\Kleinanzeigen-Scraper\offer_images\2850820934", "Link")</f>
        <v/>
      </c>
      <c r="I145" t="inlineStr">
        <is>
          <t>Oliver Kind</t>
        </is>
      </c>
      <c r="J145" s="6">
        <f>HYPERLINK("https://www.kleinanzeigen.de/s-bestandsliste.html?userId=32561881", "Link")</f>
        <v/>
      </c>
      <c r="K145" s="7" t="n">
        <v>45558.74454861111</v>
      </c>
      <c r="L145" s="3" t="inlineStr">
        <is>
          <t>468.06</t>
        </is>
      </c>
      <c r="M145" t="inlineStr">
        <is>
          <t>Köln</t>
        </is>
      </c>
    </row>
    <row r="146">
      <c r="A146" t="inlineStr">
        <is>
          <t>Harness: Gaastra Speedlite, size S/M, adjustable, unisex</t>
        </is>
      </c>
      <c r="B146" s="4" t="n">
        <v>10</v>
      </c>
      <c r="C146" t="inlineStr">
        <is>
          <t>VB</t>
        </is>
      </c>
      <c r="D146" t="inlineStr">
        <is>
          <t>49809 Niedersachsen - Lingen (Ems)</t>
        </is>
      </c>
      <c r="E146" s="5" t="n">
        <v>45333</v>
      </c>
      <c r="F146" t="inlineStr"/>
      <c r="G146" s="6">
        <f>HYPERLINK("https://www.kleinanzeigen.de/s-anzeige/surfen-huefttrapez-neu-gaastra/2677433226-230-2564", "Link")</f>
        <v/>
      </c>
      <c r="H146" s="6">
        <f>HYPERLINK("C:\Projects\Kleinanzeigen-Scraper\offer_images\2677433226", "Link")</f>
        <v/>
      </c>
      <c r="I146" t="inlineStr">
        <is>
          <t>Elke</t>
        </is>
      </c>
      <c r="J146" s="6">
        <f>HYPERLINK("https://www.kleinanzeigen.de/s-bestandsliste.html?userId=77514472", "Link")</f>
        <v/>
      </c>
      <c r="K146" s="7" t="n">
        <v>45558.7443287037</v>
      </c>
      <c r="L146" s="3" t="inlineStr">
        <is>
          <t>176.85</t>
        </is>
      </c>
      <c r="M146" t="inlineStr">
        <is>
          <t>Köln</t>
        </is>
      </c>
    </row>
    <row r="147">
      <c r="A147" t="inlineStr">
        <is>
          <t>Harness: Gaastra Sitztrapez in Größe S, gebraucht und in sehr gutem Zustand</t>
        </is>
      </c>
      <c r="B147" s="4" t="n">
        <v>12</v>
      </c>
      <c r="C147" t="inlineStr">
        <is>
          <t>VB</t>
        </is>
      </c>
      <c r="D147" t="inlineStr">
        <is>
          <t>29462 Niedersachsen - Wustrow (Wendland)</t>
        </is>
      </c>
      <c r="E147" s="5" t="n">
        <v>45230</v>
      </c>
      <c r="F147" t="inlineStr"/>
      <c r="G147" s="6">
        <f>HYPERLINK("https://www.kleinanzeigen.de/s-anzeige/sitztrapez-von-gaastra-gr-s/2588796691-230-2343", "Link")</f>
        <v/>
      </c>
      <c r="H147" s="6">
        <f>HYPERLINK("C:\Projects\Kleinanzeigen-Scraper\offer_images\2588796691", "Link")</f>
        <v/>
      </c>
      <c r="I147" t="inlineStr">
        <is>
          <t>Michael Timpe</t>
        </is>
      </c>
      <c r="J147" s="6">
        <f>HYPERLINK("https://www.kleinanzeigen.de/s-bestandsliste.html?userId=23983322", "Link")</f>
        <v/>
      </c>
      <c r="K147" s="7" t="n">
        <v>45558.74380787037</v>
      </c>
      <c r="L147" s="3" t="inlineStr">
        <is>
          <t>361.28</t>
        </is>
      </c>
      <c r="M147" t="inlineStr">
        <is>
          <t>Köln</t>
        </is>
      </c>
    </row>
    <row r="148">
      <c r="A148" t="inlineStr">
        <is>
          <t>Harness: Slalom belt for kitesurfing and similar activities</t>
        </is>
      </c>
      <c r="B148" s="4" t="n">
        <v>10</v>
      </c>
      <c r="C148" t="inlineStr"/>
      <c r="D148" t="inlineStr">
        <is>
          <t>44628 Nordrhein-Westfalen - Herne</t>
        </is>
      </c>
      <c r="E148" s="5" t="n">
        <v>45409</v>
      </c>
      <c r="F148" t="inlineStr"/>
      <c r="G148" s="6">
        <f>HYPERLINK("https://www.kleinanzeigen.de/s-anzeige/slalom-belt-von-gaastra/2746900227-230-2006", "Link")</f>
        <v/>
      </c>
      <c r="H148" s="6">
        <f>HYPERLINK("C:\Projects\Kleinanzeigen-Scraper\offer_images\2746900227", "Link")</f>
        <v/>
      </c>
      <c r="I148" t="inlineStr">
        <is>
          <t>sabine</t>
        </is>
      </c>
      <c r="J148" s="6">
        <f>HYPERLINK("https://www.kleinanzeigen.de/s-bestandsliste.html?userId=53344385", "Link")</f>
        <v/>
      </c>
      <c r="K148" s="7" t="n">
        <v>45558.74349537037</v>
      </c>
      <c r="L148" s="3" t="inlineStr">
        <is>
          <t>71.74</t>
        </is>
      </c>
      <c r="M148" t="inlineStr">
        <is>
          <t>Köln</t>
        </is>
      </c>
    </row>
    <row r="149">
      <c r="A149" t="inlineStr">
        <is>
          <t>Harness: Gaastra hip harness size M with 3D2 support and quick release</t>
        </is>
      </c>
      <c r="B149" s="4" t="n">
        <v>75</v>
      </c>
      <c r="C149" t="inlineStr">
        <is>
          <t>VB</t>
        </is>
      </c>
      <c r="D149" t="inlineStr">
        <is>
          <t>47447 Nordrhein-Westfalen - Moers</t>
        </is>
      </c>
      <c r="E149" s="5" t="n">
        <v>45419</v>
      </c>
      <c r="F149" t="inlineStr"/>
      <c r="G149" s="6">
        <f>HYPERLINK("https://www.kleinanzeigen.de/s-anzeige/huefttrapez-von-gaastra-gr-m/2755522657-230-2130", "Link")</f>
        <v/>
      </c>
      <c r="H149" s="6">
        <f>HYPERLINK("C:\Projects\Kleinanzeigen-Scraper\offer_images\2755522657", "Link")</f>
        <v/>
      </c>
      <c r="I149" t="inlineStr">
        <is>
          <t>Gerlinde</t>
        </is>
      </c>
      <c r="J149" s="6">
        <f>HYPERLINK("https://www.kleinanzeigen.de/s-bestandsliste.html?userId=58819701", "Link")</f>
        <v/>
      </c>
      <c r="K149" s="7" t="n">
        <v>45558.74322916667</v>
      </c>
      <c r="L149" s="3" t="inlineStr">
        <is>
          <t>58.22</t>
        </is>
      </c>
      <c r="M149" t="inlineStr">
        <is>
          <t>Köln</t>
        </is>
      </c>
    </row>
    <row r="150">
      <c r="A150" t="inlineStr">
        <is>
          <t>Trapeztampen: 24" Gaastra, funktionsfähig, aber mit Rissen in der Ummantelung</t>
        </is>
      </c>
      <c r="B150" s="4" t="n">
        <v>5</v>
      </c>
      <c r="C150" t="inlineStr">
        <is>
          <t>VB</t>
        </is>
      </c>
      <c r="D150" t="inlineStr">
        <is>
          <t>86825 Bayern - Bad Wörishofen</t>
        </is>
      </c>
      <c r="E150" s="5" t="n">
        <v>45555</v>
      </c>
      <c r="F150" t="inlineStr"/>
      <c r="G150" s="6">
        <f>HYPERLINK("https://www.kleinanzeigen.de/s-anzeige/tampen-24-trapeztampen-gaastra/2868598532-230-7257", "Link")</f>
        <v/>
      </c>
      <c r="H150" s="6">
        <f>HYPERLINK("C:\Projects\Kleinanzeigen-Scraper\offer_images\2868598532", "Link")</f>
        <v/>
      </c>
      <c r="I150" t="inlineStr">
        <is>
          <t>peckmick</t>
        </is>
      </c>
      <c r="J150" s="6">
        <f>HYPERLINK("https://www.kleinanzeigen.de/s-bestandsliste.html?userId=75769172", "Link")</f>
        <v/>
      </c>
      <c r="K150" s="7" t="n">
        <v>45558.74270833333</v>
      </c>
      <c r="L150" s="3" t="inlineStr">
        <is>
          <t>74.63</t>
        </is>
      </c>
      <c r="M150" t="inlineStr">
        <is>
          <t>München</t>
        </is>
      </c>
    </row>
    <row r="151">
      <c r="A151" t="inlineStr">
        <is>
          <t>Trapeztampen: Prolimit black 26'', Gaastra white new 24'', Gaastra neutral new 22''</t>
        </is>
      </c>
      <c r="B151" s="4" t="n">
        <v>10</v>
      </c>
      <c r="C151" t="inlineStr"/>
      <c r="D151" t="inlineStr">
        <is>
          <t>18069 Rostock - Reutershagen</t>
        </is>
      </c>
      <c r="E151" s="5" t="n">
        <v>45514</v>
      </c>
      <c r="F151" t="inlineStr">
        <is>
          <t>Sold</t>
        </is>
      </c>
      <c r="G151" s="6">
        <f>HYPERLINK("https://www.kleinanzeigen.de/s-anzeige/gaastra-prolimit-trapeztampen-windsurfen-tampen/2833644010-230-159", "Link")</f>
        <v/>
      </c>
      <c r="H151" s="6">
        <f>HYPERLINK("C:\Projects\Kleinanzeigen-Scraper\offer_images\2833644010", "Link")</f>
        <v/>
      </c>
      <c r="I151" t="inlineStr">
        <is>
          <t>MW</t>
        </is>
      </c>
      <c r="J151" s="6">
        <f>HYPERLINK("https://www.kleinanzeigen.de/s-bestandsliste.html?userId=6587328", "Link")</f>
        <v/>
      </c>
      <c r="K151" s="7" t="n">
        <v>45558.74144675926</v>
      </c>
      <c r="L151" s="3" t="inlineStr">
        <is>
          <t>493.58</t>
        </is>
      </c>
      <c r="M151" t="inlineStr">
        <is>
          <t>Köln</t>
        </is>
      </c>
    </row>
    <row r="152">
      <c r="A152" t="inlineStr">
        <is>
          <t>Harness Lines: Vario 22-28</t>
        </is>
      </c>
      <c r="B152" s="4" t="n">
        <v>10</v>
      </c>
      <c r="C152" t="inlineStr"/>
      <c r="D152" t="inlineStr">
        <is>
          <t>16792 Brandenburg - Zehdenick</t>
        </is>
      </c>
      <c r="E152" s="5" t="n">
        <v>45558</v>
      </c>
      <c r="F152" t="inlineStr"/>
      <c r="G152" s="6">
        <f>HYPERLINK("https://www.kleinanzeigen.de/s-anzeige/tampen-windsurfen/2871987214-230-7856", "Link")</f>
        <v/>
      </c>
      <c r="H152" s="6">
        <f>HYPERLINK("C:\Projects\Kleinanzeigen-Scraper\offer_images\2871987214", "Link")</f>
        <v/>
      </c>
      <c r="I152" t="inlineStr">
        <is>
          <t>Treytnar Lars</t>
        </is>
      </c>
      <c r="J152" s="6">
        <f>HYPERLINK("https://www.kleinanzeigen.de/s-bestandsliste.html?userId=15303599", "Link")</f>
        <v/>
      </c>
      <c r="K152" s="7" t="n">
        <v>45558.74127314815</v>
      </c>
      <c r="L152" s="3" t="inlineStr">
        <is>
          <t>495.45</t>
        </is>
      </c>
      <c r="M152" t="inlineStr">
        <is>
          <t>Köln</t>
        </is>
      </c>
    </row>
    <row r="153">
      <c r="A153" t="inlineStr">
        <is>
          <t>Harness: Gaastra trapeze, size L, in good condition</t>
        </is>
      </c>
      <c r="B153" s="4" t="n">
        <v>50</v>
      </c>
      <c r="C153" t="inlineStr"/>
      <c r="D153" t="inlineStr">
        <is>
          <t>88046 Baden-Württemberg - Friedrichshafen</t>
        </is>
      </c>
      <c r="E153" s="5" t="n">
        <v>45475</v>
      </c>
      <c r="F153" t="inlineStr"/>
      <c r="G153" s="6">
        <f>HYPERLINK("https://www.kleinanzeigen.de/s-anzeige/fuhrpark-ausverkauf-gaastra-trapez-windsurfen-gr-l/2802199293-230-9214", "Link")</f>
        <v/>
      </c>
      <c r="H153" s="6">
        <f>HYPERLINK("C:\Projects\Kleinanzeigen-Scraper\offer_images\2802199293", "Link")</f>
        <v/>
      </c>
      <c r="I153" t="inlineStr">
        <is>
          <t>Xenia</t>
        </is>
      </c>
      <c r="J153" s="6">
        <f>HYPERLINK("https://www.kleinanzeigen.de/s-bestandsliste.html?userId=66010733", "Link")</f>
        <v/>
      </c>
      <c r="K153" s="7" t="n">
        <v>45558.74111111111</v>
      </c>
      <c r="L153" s="3" t="inlineStr">
        <is>
          <t>88.89</t>
        </is>
      </c>
      <c r="M153" t="inlineStr">
        <is>
          <t>Bonndorf</t>
        </is>
      </c>
    </row>
    <row r="154">
      <c r="A154" t="inlineStr">
        <is>
          <t>Trapezhaken: Gaastra, neu, unbenutzt (Ersatzhaken)</t>
        </is>
      </c>
      <c r="B154" s="4" t="n">
        <v>16</v>
      </c>
      <c r="C154" t="inlineStr">
        <is>
          <t>VB</t>
        </is>
      </c>
      <c r="D154" t="inlineStr">
        <is>
          <t>58135 Nordrhein-Westfalen - Hagen</t>
        </is>
      </c>
      <c r="E154" s="5" t="n">
        <v>45386</v>
      </c>
      <c r="F154" t="inlineStr"/>
      <c r="G154" s="6">
        <f>HYPERLINK("https://www.kleinanzeigen.de/s-anzeige/windsurfen-freeride-trapezhaken-gaastra/2726014050-230-2017", "Link")</f>
        <v/>
      </c>
      <c r="H154" s="6">
        <f>HYPERLINK("C:\Projects\Kleinanzeigen-Scraper\offer_images\2726014050", "Link")</f>
        <v/>
      </c>
      <c r="I154" t="inlineStr">
        <is>
          <t>jojo</t>
        </is>
      </c>
      <c r="J154" s="6">
        <f>HYPERLINK("https://www.kleinanzeigen.de/s-bestandsliste.html?userId=22628444", "Link")</f>
        <v/>
      </c>
      <c r="K154" s="7" t="n">
        <v>45558.74016203704</v>
      </c>
      <c r="L154" s="3" t="inlineStr">
        <is>
          <t>55.27</t>
        </is>
      </c>
      <c r="M154" t="inlineStr">
        <is>
          <t>Köln</t>
        </is>
      </c>
    </row>
    <row r="155">
      <c r="A155" t="inlineStr">
        <is>
          <t>Harness: Gaastra Trapez Unisex O/S for Windsurfing/Kitesurfing, available in Green and White</t>
        </is>
      </c>
      <c r="B155" s="4" t="n">
        <v>30</v>
      </c>
      <c r="C155" t="inlineStr"/>
      <c r="D155" t="inlineStr">
        <is>
          <t>18374 Darß - Zingst</t>
        </is>
      </c>
      <c r="E155" s="5" t="n">
        <v>45506</v>
      </c>
      <c r="F155" t="inlineStr">
        <is>
          <t>Sold</t>
        </is>
      </c>
      <c r="G155" s="6">
        <f>HYPERLINK("https://www.kleinanzeigen.de/s-anzeige/gaastra-trapez-unisex-o-s/2826929233-230-215", "Link")</f>
        <v/>
      </c>
      <c r="H155" s="6">
        <f>HYPERLINK("C:\Projects\Kleinanzeigen-Scraper\offer_images\2826929233", "Link")</f>
        <v/>
      </c>
      <c r="I155" t="inlineStr">
        <is>
          <t>Maikel</t>
        </is>
      </c>
      <c r="J155" s="6">
        <f>HYPERLINK("https://www.kleinanzeigen.de/s-bestandsliste.html?userId=128826729", "Link")</f>
        <v/>
      </c>
      <c r="K155" s="7" t="n">
        <v>45558.73930555556</v>
      </c>
      <c r="L155" s="3" t="inlineStr">
        <is>
          <t>552.52</t>
        </is>
      </c>
      <c r="M155" t="inlineStr">
        <is>
          <t>Köln</t>
        </is>
      </c>
    </row>
    <row r="156">
      <c r="A156" t="inlineStr">
        <is>
          <t>Trapetz Tampen: Gaastra 22 Zoll unbenutzt</t>
        </is>
      </c>
      <c r="B156" s="4" t="n">
        <v>12</v>
      </c>
      <c r="C156" t="inlineStr"/>
      <c r="D156" t="inlineStr">
        <is>
          <t>66763 Saarland - Dillingen (Saar)</t>
        </is>
      </c>
      <c r="E156" s="5" t="n">
        <v>45512</v>
      </c>
      <c r="F156" t="inlineStr"/>
      <c r="G156" s="6">
        <f>HYPERLINK("https://www.kleinanzeigen.de/s-anzeige/trapetztampen-gaastra/2831959070-230-291", "Link")</f>
        <v/>
      </c>
      <c r="H156" s="6">
        <f>HYPERLINK("C:\Projects\Kleinanzeigen-Scraper\offer_images\2831959070", "Link")</f>
        <v/>
      </c>
      <c r="I156" t="inlineStr">
        <is>
          <t>Markus Gasper</t>
        </is>
      </c>
      <c r="J156" s="6">
        <f>HYPERLINK("https://www.kleinanzeigen.de/s-bestandsliste.html?userId=14267684", "Link")</f>
        <v/>
      </c>
      <c r="K156" s="7" t="n">
        <v>45558.73929398148</v>
      </c>
      <c r="L156" s="3" t="inlineStr">
        <is>
          <t>127.47</t>
        </is>
      </c>
      <c r="M156" t="inlineStr">
        <is>
          <t>Karlsruhe</t>
        </is>
      </c>
    </row>
    <row r="157">
      <c r="A157" t="inlineStr">
        <is>
          <t>Harness: Gaastra Sitztrapez in Größe XL</t>
        </is>
      </c>
      <c r="B157" s="4" t="n">
        <v>20</v>
      </c>
      <c r="C157" t="inlineStr"/>
      <c r="D157" t="inlineStr">
        <is>
          <t>22303 Hamburg-Nord - Hamburg Winterhude</t>
        </is>
      </c>
      <c r="E157" s="5" t="n">
        <v>45536</v>
      </c>
      <c r="F157" t="inlineStr">
        <is>
          <t>Sold</t>
        </is>
      </c>
      <c r="G157" s="6">
        <f>HYPERLINK("https://www.kleinanzeigen.de/s-anzeige/gaastra-sitztrapez-xl/2851874267-230-9482", "Link")</f>
        <v/>
      </c>
      <c r="H157" s="6">
        <f>HYPERLINK("C:\Projects\Kleinanzeigen-Scraper\offer_images\2851874267", "Link")</f>
        <v/>
      </c>
      <c r="I157" t="inlineStr">
        <is>
          <t>Daniel</t>
        </is>
      </c>
      <c r="J157" s="6">
        <f>HYPERLINK("https://www.kleinanzeigen.de/s-bestandsliste.html?userId=33396736", "Link")</f>
        <v/>
      </c>
      <c r="K157" s="7" t="n">
        <v>45558.7383912037</v>
      </c>
      <c r="L157" s="3" t="inlineStr">
        <is>
          <t>361.45</t>
        </is>
      </c>
      <c r="M157" t="inlineStr">
        <is>
          <t>Köln</t>
        </is>
      </c>
    </row>
    <row r="158">
      <c r="A158" t="inlineStr">
        <is>
          <t>Fin: Select Lightning 30cm Race/Slalom fin with Powerbox, Carbon Prepeg</t>
        </is>
      </c>
      <c r="B158" s="4" t="n">
        <v>25</v>
      </c>
      <c r="C158" t="inlineStr"/>
      <c r="D158" t="inlineStr">
        <is>
          <t>81476 München - Thalk.Obersendl.-Forsten-Fürstenr.-Solln</t>
        </is>
      </c>
      <c r="E158" s="5" t="n">
        <v>45558</v>
      </c>
      <c r="F158" t="inlineStr">
        <is>
          <t>Sold</t>
        </is>
      </c>
      <c r="G158" s="6">
        <f>HYPERLINK("https://www.kleinanzeigen.de/s-anzeige/select-lightning-30cm-windsurf-finne-powerbox/2871890912-230-6436", "Link")</f>
        <v/>
      </c>
      <c r="H158" s="6">
        <f>HYPERLINK("C:\Projects\Kleinanzeigen-Scraper\offer_images\2871890912", "Link")</f>
        <v/>
      </c>
      <c r="I158" t="inlineStr">
        <is>
          <t>Michael Klarl</t>
        </is>
      </c>
      <c r="J158" s="6">
        <f>HYPERLINK("https://www.kleinanzeigen.de/s-bestandsliste.html?userId=42522008", "Link")</f>
        <v/>
      </c>
      <c r="K158" s="7" t="n">
        <v>45558.73836805556</v>
      </c>
      <c r="L158" s="3" t="inlineStr">
        <is>
          <t>8.19</t>
        </is>
      </c>
      <c r="M158" t="inlineStr">
        <is>
          <t>München</t>
        </is>
      </c>
    </row>
    <row r="159">
      <c r="A159" t="inlineStr">
        <is>
          <t>Harness: Gaastra Hüfttrapetz L, used and lightly used</t>
        </is>
      </c>
      <c r="B159" s="4" t="n">
        <v>85</v>
      </c>
      <c r="C159" t="inlineStr">
        <is>
          <t>VB</t>
        </is>
      </c>
      <c r="D159" t="inlineStr">
        <is>
          <t>01445 Sachsen - Radebeul</t>
        </is>
      </c>
      <c r="E159" s="5" t="n">
        <v>45529</v>
      </c>
      <c r="F159" t="inlineStr"/>
      <c r="G159" s="6">
        <f>HYPERLINK("https://www.kleinanzeigen.de/s-anzeige/gaastra-huefttrapetz-l/2846430862-230-4057", "Link")</f>
        <v/>
      </c>
      <c r="H159" s="6">
        <f>HYPERLINK("C:\Projects\Kleinanzeigen-Scraper\offer_images\2846430862", "Link")</f>
        <v/>
      </c>
      <c r="I159" t="inlineStr">
        <is>
          <t>Alex</t>
        </is>
      </c>
      <c r="J159" s="6">
        <f>HYPERLINK("https://www.kleinanzeigen.de/s-bestandsliste.html?userId=31025837", "Link")</f>
        <v/>
      </c>
      <c r="K159" s="7" t="n">
        <v>45558.73775462963</v>
      </c>
      <c r="L159" s="3" t="inlineStr">
        <is>
          <t>362.87</t>
        </is>
      </c>
      <c r="M159" t="inlineStr">
        <is>
          <t>München</t>
        </is>
      </c>
    </row>
    <row r="160">
      <c r="A160" t="inlineStr">
        <is>
          <t>Harness: Hüfttrapez Gaastra, Größe L - neuwertig</t>
        </is>
      </c>
      <c r="B160" s="4" t="n">
        <v>59</v>
      </c>
      <c r="C160" t="inlineStr"/>
      <c r="D160" t="inlineStr">
        <is>
          <t>41564 Nordrhein-Westfalen - Kaarst</t>
        </is>
      </c>
      <c r="E160" s="5" t="n">
        <v>45368</v>
      </c>
      <c r="F160" t="inlineStr"/>
      <c r="G160" s="6">
        <f>HYPERLINK("https://www.kleinanzeigen.de/s-anzeige/huefttrapez-trapez-gaastra-groesse-l-neuwertig-top/2709245647-230-2107", "Link")</f>
        <v/>
      </c>
      <c r="H160" s="6">
        <f>HYPERLINK("C:\Projects\Kleinanzeigen-Scraper\offer_images\2709245647", "Link")</f>
        <v/>
      </c>
      <c r="I160" t="inlineStr">
        <is>
          <t>Stephan</t>
        </is>
      </c>
      <c r="J160" s="6">
        <f>HYPERLINK("https://www.kleinanzeigen.de/s-bestandsliste.html?userId=11676278", "Link")</f>
        <v/>
      </c>
      <c r="K160" s="7" t="n">
        <v>45558.73717592593</v>
      </c>
      <c r="L160" s="3" t="inlineStr">
        <is>
          <t>39.22</t>
        </is>
      </c>
      <c r="M160" t="inlineStr">
        <is>
          <t>Köln</t>
        </is>
      </c>
    </row>
    <row r="161">
      <c r="A161" t="inlineStr">
        <is>
          <t>Harness: Gaastra Sails Slalom Lite trapeze for windsurfing</t>
        </is>
      </c>
      <c r="B161" s="4" t="n">
        <v>10</v>
      </c>
      <c r="C161" t="inlineStr">
        <is>
          <t>VB</t>
        </is>
      </c>
      <c r="D161" t="inlineStr">
        <is>
          <t>19273 Niedersachsen - Amt Neuhaus</t>
        </is>
      </c>
      <c r="E161" s="5" t="n">
        <v>45444</v>
      </c>
      <c r="F161" t="inlineStr"/>
      <c r="G161" s="6">
        <f>HYPERLINK("https://www.kleinanzeigen.de/s-anzeige/gaastra-sails-slalom-lite-trapez-windsurf/2777359357-230-23106", "Link")</f>
        <v/>
      </c>
      <c r="H161" s="6">
        <f>HYPERLINK("C:\Projects\Kleinanzeigen-Scraper\offer_images\2777359357", "Link")</f>
        <v/>
      </c>
      <c r="I161" t="inlineStr">
        <is>
          <t>Privat</t>
        </is>
      </c>
      <c r="J161" s="6">
        <f>HYPERLINK("https://www.kleinanzeigen.de/s-bestandsliste.html?userId=24871553", "Link")</f>
        <v/>
      </c>
      <c r="K161" s="7" t="n">
        <v>45558.73649305556</v>
      </c>
      <c r="L161" s="3" t="inlineStr">
        <is>
          <t>375.03</t>
        </is>
      </c>
      <c r="M161" t="inlineStr">
        <is>
          <t>Köln</t>
        </is>
      </c>
    </row>
    <row r="162">
      <c r="A162" t="inlineStr">
        <is>
          <t>Mastfoot: Gaastra mast base in good condition, interchangeable parts. Powerjoint/rubber is new.</t>
        </is>
      </c>
      <c r="B162" s="4" t="n">
        <v>39</v>
      </c>
      <c r="C162" t="inlineStr"/>
      <c r="D162" t="inlineStr">
        <is>
          <t>24235 Schleswig-Holstein - Laboe</t>
        </is>
      </c>
      <c r="E162" s="5" t="n">
        <v>44628</v>
      </c>
      <c r="F162" t="inlineStr"/>
      <c r="G162" s="6">
        <f>HYPERLINK("https://www.kleinanzeigen.de/s-anzeige/mastfuss-gaastra-windsurfen/2043284527-230-19055", "Link")</f>
        <v/>
      </c>
      <c r="H162" s="6">
        <f>HYPERLINK("C:\Projects\Kleinanzeigen-Scraper\offer_images\2043284527", "Link")</f>
        <v/>
      </c>
      <c r="I162" t="inlineStr">
        <is>
          <t>Barbara Ha</t>
        </is>
      </c>
      <c r="J162" s="6">
        <f>HYPERLINK("https://www.kleinanzeigen.de/s-bestandsliste.html?userId=48240326", "Link")</f>
        <v/>
      </c>
      <c r="K162" s="7" t="n">
        <v>45558.73637731482</v>
      </c>
      <c r="L162" s="3" t="inlineStr">
        <is>
          <t>443.73</t>
        </is>
      </c>
      <c r="M162" t="inlineStr">
        <is>
          <t>Köln</t>
        </is>
      </c>
    </row>
    <row r="163">
      <c r="A163" t="inlineStr">
        <is>
          <t>Harness: Fanatic Sitztrapez in Größe M, neuwertig</t>
        </is>
      </c>
      <c r="B163" s="4" t="n">
        <v>20</v>
      </c>
      <c r="C163" t="inlineStr"/>
      <c r="D163" t="inlineStr">
        <is>
          <t>32760 Nordrhein-Westfalen - Detmold</t>
        </is>
      </c>
      <c r="E163" s="5" t="n">
        <v>45558</v>
      </c>
      <c r="F163" t="inlineStr"/>
      <c r="G163" s="6">
        <f>HYPERLINK("https://www.kleinanzeigen.de/s-anzeige/windsurf-sitztrapez-von-fanatic-gr-m/2871666668-230-1795", "Link")</f>
        <v/>
      </c>
      <c r="H163" s="6">
        <f>HYPERLINK("C:\Projects\Kleinanzeigen-Scraper\offer_images\2871666668", "Link")</f>
        <v/>
      </c>
      <c r="I163" t="inlineStr">
        <is>
          <t>Privat</t>
        </is>
      </c>
      <c r="J163" s="6">
        <f>HYPERLINK("https://www.kleinanzeigen.de/s-bestandsliste.html?userId=17823233", "Link")</f>
        <v/>
      </c>
      <c r="K163" s="7" t="n">
        <v>45558.57134259259</v>
      </c>
      <c r="L163" s="3" t="inlineStr">
        <is>
          <t>172.40</t>
        </is>
      </c>
      <c r="M163" t="inlineStr">
        <is>
          <t>Köln</t>
        </is>
      </c>
    </row>
    <row r="164">
      <c r="A164" t="inlineStr">
        <is>
          <t>Footstraps: 3 pieces, 2 with screws, 1 without</t>
        </is>
      </c>
      <c r="B164" s="4" t="n">
        <v>30</v>
      </c>
      <c r="C164" t="inlineStr"/>
      <c r="D164" t="inlineStr">
        <is>
          <t>14052 Berlin - Charlottenburg</t>
        </is>
      </c>
      <c r="E164" s="5" t="n">
        <v>45557</v>
      </c>
      <c r="F164" t="inlineStr">
        <is>
          <t>Sold</t>
        </is>
      </c>
      <c r="G164" s="6">
        <f>HYPERLINK("https://www.kleinanzeigen.de/s-anzeige/fanatic-fussschlaufen/2871152042-230-3339", "Link")</f>
        <v/>
      </c>
      <c r="H164" s="6">
        <f>HYPERLINK("C:\Projects\Kleinanzeigen-Scraper\offer_images\2871152042", "Link")</f>
        <v/>
      </c>
      <c r="I164" t="inlineStr">
        <is>
          <t>Oliver Kind</t>
        </is>
      </c>
      <c r="J164" s="6">
        <f>HYPERLINK("https://www.kleinanzeigen.de/s-bestandsliste.html?userId=32561881", "Link")</f>
        <v/>
      </c>
      <c r="K164" s="7" t="n">
        <v>45558.57056712963</v>
      </c>
      <c r="L164" s="3" t="inlineStr">
        <is>
          <t>468.06</t>
        </is>
      </c>
      <c r="M164" t="inlineStr">
        <is>
          <t>Köln</t>
        </is>
      </c>
    </row>
    <row r="165">
      <c r="A165" t="inlineStr">
        <is>
          <t>Fin: Windsurf Carbon Tuttle-Box Finne Lessacher LE WO DUO SPEED RAKE 30° 28cm</t>
        </is>
      </c>
      <c r="B165" s="4" t="n">
        <v>90</v>
      </c>
      <c r="C165" t="inlineStr">
        <is>
          <t>VB</t>
        </is>
      </c>
      <c r="D165" t="inlineStr">
        <is>
          <t>64291 Hessen - Darmstadt</t>
        </is>
      </c>
      <c r="E165" s="5" t="n">
        <v>45557</v>
      </c>
      <c r="F165" t="inlineStr">
        <is>
          <t>Sold</t>
        </is>
      </c>
      <c r="G165" s="6">
        <f>HYPERLINK("https://www.kleinanzeigen.de/s-anzeige/windsurf-carbon-finne-lessacher-le-wo-duo-speed-rake-30-28cm/2871198658-230-4892", "Link")</f>
        <v/>
      </c>
      <c r="H165" s="6">
        <f>HYPERLINK("C:\Projects\Kleinanzeigen-Scraper\offer_images\2871198658", "Link")</f>
        <v/>
      </c>
      <c r="I165" t="inlineStr">
        <is>
          <t>Jens Brenker</t>
        </is>
      </c>
      <c r="J165" s="6">
        <f>HYPERLINK("https://www.kleinanzeigen.de/s-bestandsliste.html?userId=2190955", "Link")</f>
        <v/>
      </c>
      <c r="K165" s="7" t="n">
        <v>45558.57047453704</v>
      </c>
      <c r="L165" s="3" t="inlineStr">
        <is>
          <t>104.77</t>
        </is>
      </c>
      <c r="M165" t="inlineStr">
        <is>
          <t>Karlsruhe</t>
        </is>
      </c>
    </row>
    <row r="166">
      <c r="A166" t="inlineStr">
        <is>
          <t>Mastfoot: in good condition, no cracks in the rubber</t>
        </is>
      </c>
      <c r="B166" s="4" t="n">
        <v>10</v>
      </c>
      <c r="C166" t="inlineStr"/>
      <c r="D166" t="inlineStr">
        <is>
          <t>24116 Kiel - Schreventeich-Hasseldieksdamm</t>
        </is>
      </c>
      <c r="E166" s="5" t="n">
        <v>45557</v>
      </c>
      <c r="F166" t="inlineStr"/>
      <c r="G166" s="6">
        <f>HYPERLINK("https://www.kleinanzeigen.de/s-anzeige/mastfuss-windsurf/2871014475-230-703", "Link")</f>
        <v/>
      </c>
      <c r="H166" s="6">
        <f>HYPERLINK("C:\Projects\Kleinanzeigen-Scraper\offer_images\2871014475", "Link")</f>
        <v/>
      </c>
      <c r="I166" t="inlineStr">
        <is>
          <t>Malte</t>
        </is>
      </c>
      <c r="J166" s="6">
        <f>HYPERLINK("https://www.kleinanzeigen.de/s-bestandsliste.html?userId=41815161", "Link")</f>
        <v/>
      </c>
      <c r="K166" s="7" t="n">
        <v>45558.57045138889</v>
      </c>
      <c r="L166" s="3" t="inlineStr">
        <is>
          <t>432.62</t>
        </is>
      </c>
      <c r="M166" t="inlineStr">
        <is>
          <t>Köln</t>
        </is>
      </c>
    </row>
    <row r="167">
      <c r="A167" t="inlineStr">
        <is>
          <t>Fin: G10 Finne The Blade 34 von Pro Limit als Powerbox, guter Zustand</t>
        </is>
      </c>
      <c r="B167" s="4" t="n">
        <v>45</v>
      </c>
      <c r="C167" t="inlineStr">
        <is>
          <t>VB</t>
        </is>
      </c>
      <c r="D167" t="inlineStr">
        <is>
          <t>21035 Hamburg - Bergedorf</t>
        </is>
      </c>
      <c r="E167" s="5" t="n">
        <v>45550</v>
      </c>
      <c r="F167" t="inlineStr">
        <is>
          <t>Sold</t>
        </is>
      </c>
      <c r="G167" s="6">
        <f>HYPERLINK("https://www.kleinanzeigen.de/s-anzeige/finne-pro-limit-the-blade-34-g10-windsurf-powerbox/2864264630-230-16432", "Link")</f>
        <v/>
      </c>
      <c r="H167" s="6">
        <f>HYPERLINK("C:\Projects\Kleinanzeigen-Scraper\offer_images\2864264630", "Link")</f>
        <v/>
      </c>
      <c r="I167" t="inlineStr">
        <is>
          <t>Petersen</t>
        </is>
      </c>
      <c r="J167" s="6">
        <f>HYPERLINK("https://www.kleinanzeigen.de/s-bestandsliste.html?userId=16419282", "Link")</f>
        <v/>
      </c>
      <c r="K167" s="7" t="n">
        <v>45558.57010416667</v>
      </c>
      <c r="L167" s="3" t="inlineStr">
        <is>
          <t>357.47</t>
        </is>
      </c>
      <c r="M167" t="inlineStr">
        <is>
          <t>Köln</t>
        </is>
      </c>
    </row>
    <row r="168">
      <c r="A168" t="inlineStr">
        <is>
          <t>Mastfoot: 55mm, 5.5cm, everything works as shown</t>
        </is>
      </c>
      <c r="B168" s="4" t="n">
        <v>19</v>
      </c>
      <c r="C168" t="inlineStr"/>
      <c r="D168" t="inlineStr">
        <is>
          <t>78315 Baden-Württemberg - Radolfzell am Bodensee</t>
        </is>
      </c>
      <c r="E168" s="5" t="n">
        <v>45557</v>
      </c>
      <c r="F168" t="inlineStr"/>
      <c r="G168" s="6">
        <f>HYPERLINK("https://www.kleinanzeigen.de/s-anzeige/sailboard-mastfuss-55mm-5-5cm-windsurfen/2870829597-230-8190", "Link")</f>
        <v/>
      </c>
      <c r="H168" s="6">
        <f>HYPERLINK("C:\Projects\Kleinanzeigen-Scraper\offer_images\2870829597", "Link")</f>
        <v/>
      </c>
      <c r="I168" t="inlineStr">
        <is>
          <t>Susanne J</t>
        </is>
      </c>
      <c r="J168" s="6">
        <f>HYPERLINK("https://www.kleinanzeigen.de/s-bestandsliste.html?userId=10367030", "Link")</f>
        <v/>
      </c>
      <c r="K168" s="7" t="n">
        <v>45558.56835648148</v>
      </c>
      <c r="L168" s="3" t="inlineStr">
        <is>
          <t>48.46</t>
        </is>
      </c>
      <c r="M168" t="inlineStr">
        <is>
          <t>Bonndorf</t>
        </is>
      </c>
    </row>
    <row r="169">
      <c r="A169" t="inlineStr">
        <is>
          <t>Fins: 1x Starfish Choco Fin 18cm, 2x x-Twin R 15.5cm, 2x X-Quad 80cm</t>
        </is>
      </c>
      <c r="B169" s="4" t="n">
        <v>15</v>
      </c>
      <c r="C169" t="inlineStr">
        <is>
          <t>VB</t>
        </is>
      </c>
      <c r="D169" t="inlineStr">
        <is>
          <t>40789 Nordrhein-Westfalen - Monheim am Rhein</t>
        </is>
      </c>
      <c r="E169" s="5" t="n">
        <v>45557</v>
      </c>
      <c r="F169" t="inlineStr"/>
      <c r="G169" s="6">
        <f>HYPERLINK("https://www.kleinanzeigen.de/s-anzeige/finnen-windsurf-freestyle-18cm-wave-quadset-15-5cm-u-8cm/2871068922-230-1116", "Link")</f>
        <v/>
      </c>
      <c r="H169" s="6">
        <f>HYPERLINK("C:\Projects\Kleinanzeigen-Scraper\offer_images\2871068922", "Link")</f>
        <v/>
      </c>
      <c r="I169" t="inlineStr">
        <is>
          <t>Anne Langenfeld</t>
        </is>
      </c>
      <c r="J169" s="6">
        <f>HYPERLINK("https://www.kleinanzeigen.de/s-bestandsliste.html?userId=34911340", "Link")</f>
        <v/>
      </c>
      <c r="K169" s="7" t="n">
        <v>45558.56755787037</v>
      </c>
      <c r="L169" s="3" t="inlineStr">
        <is>
          <t>18.00</t>
        </is>
      </c>
      <c r="M169" t="inlineStr">
        <is>
          <t>Köln</t>
        </is>
      </c>
    </row>
    <row r="170">
      <c r="A170" t="inlineStr">
        <is>
          <t>Mast- und Gabelprotektor: Guter Zustand, wenig genutzt</t>
        </is>
      </c>
      <c r="B170" s="4" t="n">
        <v>15</v>
      </c>
      <c r="C170" t="inlineStr">
        <is>
          <t>VB</t>
        </is>
      </c>
      <c r="D170" t="inlineStr">
        <is>
          <t>25355 Kreis Pinneberg - Barmstedt</t>
        </is>
      </c>
      <c r="E170" s="5" t="n">
        <v>45557</v>
      </c>
      <c r="F170" t="inlineStr">
        <is>
          <t>Sold</t>
        </is>
      </c>
      <c r="G170" s="6">
        <f>HYPERLINK("https://www.kleinanzeigen.de/s-anzeige/ascan-protektor-schoner-mast-und-gabel-windsurfen/2870838695-230-16677", "Link")</f>
        <v/>
      </c>
      <c r="H170" s="6">
        <f>HYPERLINK("C:\Projects\Kleinanzeigen-Scraper\offer_images\2870838695", "Link")</f>
        <v/>
      </c>
      <c r="I170" t="inlineStr">
        <is>
          <t>Hansi</t>
        </is>
      </c>
      <c r="J170" s="6">
        <f>HYPERLINK("https://www.kleinanzeigen.de/s-bestandsliste.html?userId=73580626", "Link")</f>
        <v/>
      </c>
      <c r="K170" s="7" t="n">
        <v>45558.56724537037</v>
      </c>
      <c r="L170" s="3" t="inlineStr">
        <is>
          <t>371.91</t>
        </is>
      </c>
      <c r="M170" t="inlineStr">
        <is>
          <t>Köln</t>
        </is>
      </c>
    </row>
    <row r="171">
      <c r="A171" t="inlineStr">
        <is>
          <t>Harness Lines: 22 inch</t>
        </is>
      </c>
      <c r="B171" s="4" t="n">
        <v>22</v>
      </c>
      <c r="C171" t="inlineStr"/>
      <c r="D171" t="inlineStr">
        <is>
          <t>83022 Bayern - Rosenheim</t>
        </is>
      </c>
      <c r="E171" s="5" t="n">
        <v>45557</v>
      </c>
      <c r="F171" t="inlineStr"/>
      <c r="G171" s="6">
        <f>HYPERLINK("https://www.kleinanzeigen.de/s-anzeige/neilpryde-trapeztampen-harness-line-22-/2871312431-230-7581", "Link")</f>
        <v/>
      </c>
      <c r="H171" s="6">
        <f>HYPERLINK("C:\Projects\Kleinanzeigen-Scraper\offer_images\2871312431", "Link")</f>
        <v/>
      </c>
      <c r="I171" t="inlineStr">
        <is>
          <t>Martin</t>
        </is>
      </c>
      <c r="J171" s="6">
        <f>HYPERLINK("https://www.kleinanzeigen.de/s-bestandsliste.html?userId=39638648", "Link")</f>
        <v/>
      </c>
      <c r="K171" s="7" t="n">
        <v>45558.56719907407</v>
      </c>
      <c r="L171" s="3" t="inlineStr">
        <is>
          <t>52.12</t>
        </is>
      </c>
      <c r="M171" t="inlineStr">
        <is>
          <t>München</t>
        </is>
      </c>
    </row>
    <row r="172">
      <c r="A172" t="inlineStr">
        <is>
          <t>Roof Rack Pads: 44 cm, set of 2 pieces</t>
        </is>
      </c>
      <c r="B172" s="4" t="n">
        <v>15</v>
      </c>
      <c r="C172" t="inlineStr"/>
      <c r="D172" t="inlineStr">
        <is>
          <t>60594 Frankfurt am Main - Sachsenhausen</t>
        </is>
      </c>
      <c r="E172" s="5" t="n">
        <v>45558</v>
      </c>
      <c r="F172" t="inlineStr">
        <is>
          <t>Sold</t>
        </is>
      </c>
      <c r="G172" s="6">
        <f>HYPERLINK("https://www.kleinanzeigen.de/s-anzeige/neilpryde-roof-rack-pads-44-cm/2871537503-230-4315", "Link")</f>
        <v/>
      </c>
      <c r="H172" s="6">
        <f>HYPERLINK("C:\Projects\Kleinanzeigen-Scraper\offer_images\2871537503", "Link")</f>
        <v/>
      </c>
      <c r="I172" t="inlineStr">
        <is>
          <t>Surfer</t>
        </is>
      </c>
      <c r="J172" s="6">
        <f>HYPERLINK("https://www.kleinanzeigen.de/s-bestandsliste.html?userId=126158423", "Link")</f>
        <v/>
      </c>
      <c r="K172" s="7" t="n">
        <v>45558.56686342593</v>
      </c>
      <c r="L172" s="3" t="inlineStr">
        <is>
          <t>123.82</t>
        </is>
      </c>
      <c r="M172" t="inlineStr">
        <is>
          <t>Karlsruhe</t>
        </is>
      </c>
    </row>
    <row r="173">
      <c r="A173" t="inlineStr">
        <is>
          <t>Fins: Various fins available for sale including Sonntag, Deboichet, Starboard, Drake, and MS-Fins.</t>
        </is>
      </c>
      <c r="B173" s="4" t="inlineStr"/>
      <c r="C173" t="inlineStr">
        <is>
          <t>VB</t>
        </is>
      </c>
      <c r="D173" t="inlineStr">
        <is>
          <t>94522 Bayern - Wallersdorf</t>
        </is>
      </c>
      <c r="E173" s="5" t="n">
        <v>45557</v>
      </c>
      <c r="F173" t="inlineStr"/>
      <c r="G173" s="6">
        <f>HYPERLINK("https://www.kleinanzeigen.de/s-anzeige/windsurf-finne-carbon-sonntag-ms-fins-c-fins-deboichet-/2871274060-230-6012", "Link")</f>
        <v/>
      </c>
      <c r="H173" s="6">
        <f>HYPERLINK("C:\Projects\Kleinanzeigen-Scraper\offer_images\2871274060", "Link")</f>
        <v/>
      </c>
      <c r="I173" t="inlineStr">
        <is>
          <t>Karlheinz Salzer</t>
        </is>
      </c>
      <c r="J173" s="6">
        <f>HYPERLINK("https://www.kleinanzeigen.de/s-bestandsliste.html?userId=19628642", "Link")</f>
        <v/>
      </c>
      <c r="K173" s="7" t="n">
        <v>45558.56666666667</v>
      </c>
      <c r="L173" s="3" t="inlineStr">
        <is>
          <t>109.42</t>
        </is>
      </c>
      <c r="M173" t="inlineStr">
        <is>
          <t>München</t>
        </is>
      </c>
    </row>
    <row r="174">
      <c r="A174" t="inlineStr">
        <is>
          <t>Harness: RRD Shield, Size L/XL, used without damage</t>
        </is>
      </c>
      <c r="B174" s="4" t="n">
        <v>100</v>
      </c>
      <c r="C174" t="inlineStr">
        <is>
          <t>VB</t>
        </is>
      </c>
      <c r="D174" t="inlineStr">
        <is>
          <t>83714 Bayern - Miesbach</t>
        </is>
      </c>
      <c r="E174" s="5" t="n">
        <v>45523</v>
      </c>
      <c r="F174" t="inlineStr">
        <is>
          <t>Sold</t>
        </is>
      </c>
      <c r="G174" s="6">
        <f>HYPERLINK("https://www.kleinanzeigen.de/s-anzeige/windsurf-rrd-brusttrapez-harness-gr-l-xl/2841348748-230-5896", "Link")</f>
        <v/>
      </c>
      <c r="H174" s="6">
        <f>HYPERLINK("C:\Projects\Kleinanzeigen-Scraper\offer_images\2841348748", "Link")</f>
        <v/>
      </c>
      <c r="I174" t="inlineStr">
        <is>
          <t>Elfi F.</t>
        </is>
      </c>
      <c r="J174" s="6">
        <f>HYPERLINK("https://www.kleinanzeigen.de/s-bestandsliste.html?userId=39802983", "Link")</f>
        <v/>
      </c>
      <c r="K174" s="7" t="n">
        <v>45558.56556712963</v>
      </c>
      <c r="L174" s="3" t="inlineStr">
        <is>
          <t>41.62</t>
        </is>
      </c>
      <c r="M174" t="inlineStr">
        <is>
          <t>München</t>
        </is>
      </c>
    </row>
    <row r="175">
      <c r="A175" t="inlineStr">
        <is>
          <t>Mast extension: HiFly short extension for SDM masts, condition good</t>
        </is>
      </c>
      <c r="B175" s="4" t="n">
        <v>9</v>
      </c>
      <c r="C175" t="inlineStr">
        <is>
          <t>VB</t>
        </is>
      </c>
      <c r="D175" t="inlineStr">
        <is>
          <t>25355 Kreis Pinneberg - Barmstedt</t>
        </is>
      </c>
      <c r="E175" s="5" t="n">
        <v>45557</v>
      </c>
      <c r="F175" t="inlineStr"/>
      <c r="G175" s="6">
        <f>HYPERLINK("https://www.kleinanzeigen.de/s-anzeige/hifly-mastverlaengerung-kurz-sdm-windsurfen-mastfuss-base/2870871249-230-16677", "Link")</f>
        <v/>
      </c>
      <c r="H175" s="6">
        <f>HYPERLINK("C:\Projects\Kleinanzeigen-Scraper\offer_images\2870871249", "Link")</f>
        <v/>
      </c>
      <c r="I175" t="inlineStr">
        <is>
          <t>Hansi</t>
        </is>
      </c>
      <c r="J175" s="6">
        <f>HYPERLINK("https://www.kleinanzeigen.de/s-bestandsliste.html?userId=73580626", "Link")</f>
        <v/>
      </c>
      <c r="K175" s="7" t="n">
        <v>45558.56556712963</v>
      </c>
      <c r="L175" s="3" t="inlineStr">
        <is>
          <t>371.91</t>
        </is>
      </c>
      <c r="M175" t="inlineStr">
        <is>
          <t>Köln</t>
        </is>
      </c>
    </row>
    <row r="176">
      <c r="A176" t="inlineStr">
        <is>
          <t>Fin: Lessacher Weed Duo Balance 24cm, Tuttle-Box, neuwertig</t>
        </is>
      </c>
      <c r="B176" s="4" t="n">
        <v>60</v>
      </c>
      <c r="C176" t="inlineStr">
        <is>
          <t>VB</t>
        </is>
      </c>
      <c r="D176" t="inlineStr">
        <is>
          <t>64291 Hessen - Darmstadt</t>
        </is>
      </c>
      <c r="E176" s="5" t="n">
        <v>45557</v>
      </c>
      <c r="F176" t="inlineStr">
        <is>
          <t>Sold</t>
        </is>
      </c>
      <c r="G176" s="6">
        <f>HYPERLINK("https://www.kleinanzeigen.de/s-anzeige/windsurf-finne-lessacher-weed-duo-balance-tuttle-box/2871186078-230-4892", "Link")</f>
        <v/>
      </c>
      <c r="H176" s="6">
        <f>HYPERLINK("C:\Projects\Kleinanzeigen-Scraper\offer_images\2871186078", "Link")</f>
        <v/>
      </c>
      <c r="I176" t="inlineStr">
        <is>
          <t>Jens Brenker</t>
        </is>
      </c>
      <c r="J176" s="6">
        <f>HYPERLINK("https://www.kleinanzeigen.de/s-bestandsliste.html?userId=2190955", "Link")</f>
        <v/>
      </c>
      <c r="K176" s="7" t="n">
        <v>45558.56489583333</v>
      </c>
      <c r="L176" s="3" t="inlineStr">
        <is>
          <t>104.77</t>
        </is>
      </c>
      <c r="M176" t="inlineStr">
        <is>
          <t>Karlsruhe</t>
        </is>
      </c>
    </row>
    <row r="177">
      <c r="A177" t="inlineStr">
        <is>
          <t>Fin: Windsurf Carbon Tuttle-Box Finne Lessacher LE WO DUO SPEED RAKE 30° 32cm in very good condition</t>
        </is>
      </c>
      <c r="B177" s="4" t="n">
        <v>90</v>
      </c>
      <c r="C177" t="inlineStr">
        <is>
          <t>VB</t>
        </is>
      </c>
      <c r="D177" t="inlineStr">
        <is>
          <t>64291 Hessen - Darmstadt</t>
        </is>
      </c>
      <c r="E177" s="5" t="n">
        <v>45557</v>
      </c>
      <c r="F177" t="inlineStr">
        <is>
          <t>Sold</t>
        </is>
      </c>
      <c r="G177" s="6">
        <f>HYPERLINK("https://www.kleinanzeigen.de/s-anzeige/windsurf-carbon-finne-lessacher-le-wo-duo-speed-rake-30-32cm/2871201676-230-4892", "Link")</f>
        <v/>
      </c>
      <c r="H177" s="6">
        <f>HYPERLINK("C:\Projects\Kleinanzeigen-Scraper\offer_images\2871201676", "Link")</f>
        <v/>
      </c>
      <c r="I177" t="inlineStr">
        <is>
          <t>Jens Brenker</t>
        </is>
      </c>
      <c r="J177" s="6">
        <f>HYPERLINK("https://www.kleinanzeigen.de/s-bestandsliste.html?userId=2190955", "Link")</f>
        <v/>
      </c>
      <c r="K177" s="7" t="n">
        <v>45558.56484953704</v>
      </c>
      <c r="L177" s="3" t="inlineStr">
        <is>
          <t>104.77</t>
        </is>
      </c>
      <c r="M177" t="inlineStr">
        <is>
          <t>Karlsruhe</t>
        </is>
      </c>
    </row>
    <row r="178">
      <c r="A178" t="inlineStr">
        <is>
          <t>Fins: Maui Ultrafins Quad Set, 4 fins in very good condition, one fin with a broken screw holder.</t>
        </is>
      </c>
      <c r="B178" s="4" t="n">
        <v>60</v>
      </c>
      <c r="C178" t="inlineStr">
        <is>
          <t>VB</t>
        </is>
      </c>
      <c r="D178" t="inlineStr">
        <is>
          <t>40789 Nordrhein-Westfalen - Monheim am Rhein</t>
        </is>
      </c>
      <c r="E178" s="5" t="n">
        <v>45558</v>
      </c>
      <c r="F178" t="inlineStr"/>
      <c r="G178" s="6">
        <f>HYPERLINK("https://www.kleinanzeigen.de/s-anzeige/maui-ultrafins-quad-set-4-finnen-windsurfen/2871421609-230-1116", "Link")</f>
        <v/>
      </c>
      <c r="H178" s="6">
        <f>HYPERLINK("C:\Projects\Kleinanzeigen-Scraper\offer_images\2871421609", "Link")</f>
        <v/>
      </c>
      <c r="I178" t="inlineStr">
        <is>
          <t>Anne Langenfeld</t>
        </is>
      </c>
      <c r="J178" s="6">
        <f>HYPERLINK("https://www.kleinanzeigen.de/s-bestandsliste.html?userId=34911340", "Link")</f>
        <v/>
      </c>
      <c r="K178" s="7" t="n">
        <v>45558.56482638889</v>
      </c>
      <c r="L178" s="3" t="inlineStr">
        <is>
          <t>18.00</t>
        </is>
      </c>
      <c r="M178" t="inlineStr">
        <is>
          <t>Köln</t>
        </is>
      </c>
    </row>
    <row r="179">
      <c r="A179" t="inlineStr">
        <is>
          <t>Mast extension and Mastfoot: Includes 2x Mastfuß and 1x Boardadapter</t>
        </is>
      </c>
      <c r="B179" s="4" t="n">
        <v>25</v>
      </c>
      <c r="C179" t="inlineStr">
        <is>
          <t>VB</t>
        </is>
      </c>
      <c r="D179" t="inlineStr">
        <is>
          <t>47198 Duisburg - Homberg/Ruhrort/Baerl</t>
        </is>
      </c>
      <c r="E179" s="5" t="n">
        <v>45557</v>
      </c>
      <c r="F179" t="inlineStr"/>
      <c r="G179" s="6">
        <f>HYPERLINK("https://www.kleinanzeigen.de/s-anzeige/mastfuss-mastverlaengerung-windsurfen/2870814680-230-2140", "Link")</f>
        <v/>
      </c>
      <c r="H179" s="6">
        <f>HYPERLINK("C:\Projects\Kleinanzeigen-Scraper\offer_images\2870814680", "Link")</f>
        <v/>
      </c>
      <c r="I179" t="inlineStr">
        <is>
          <t>Pabst, Alexander</t>
        </is>
      </c>
      <c r="J179" s="6">
        <f>HYPERLINK("https://www.kleinanzeigen.de/s-bestandsliste.html?userId=8616794", "Link")</f>
        <v/>
      </c>
      <c r="K179" s="7" t="n">
        <v>45558.56435185186</v>
      </c>
      <c r="L179" s="3" t="inlineStr">
        <is>
          <t>59.95</t>
        </is>
      </c>
      <c r="M179" t="inlineStr">
        <is>
          <t>Köln</t>
        </is>
      </c>
    </row>
    <row r="180">
      <c r="A180" t="inlineStr">
        <is>
          <t>Mastbase: 12cm &amp; 18cm</t>
        </is>
      </c>
      <c r="B180" s="4" t="n">
        <v>15</v>
      </c>
      <c r="C180" t="inlineStr"/>
      <c r="D180" t="inlineStr">
        <is>
          <t>24116 Kiel - Schreventeich-Hasseldieksdamm</t>
        </is>
      </c>
      <c r="E180" s="5" t="n">
        <v>45557</v>
      </c>
      <c r="F180" t="inlineStr">
        <is>
          <t>Sold</t>
        </is>
      </c>
      <c r="G180" s="6">
        <f>HYPERLINK("https://www.kleinanzeigen.de/s-anzeige/mastbase-windsurf-12cm-18cm/2871018468-230-703", "Link")</f>
        <v/>
      </c>
      <c r="H180" s="6">
        <f>HYPERLINK("C:\Projects\Kleinanzeigen-Scraper\offer_images\2871018468", "Link")</f>
        <v/>
      </c>
      <c r="I180" t="inlineStr">
        <is>
          <t>Malte</t>
        </is>
      </c>
      <c r="J180" s="6">
        <f>HYPERLINK("https://www.kleinanzeigen.de/s-bestandsliste.html?userId=41815161", "Link")</f>
        <v/>
      </c>
      <c r="K180" s="7" t="n">
        <v>45558.5640625</v>
      </c>
      <c r="L180" s="3" t="inlineStr">
        <is>
          <t>432.62</t>
        </is>
      </c>
      <c r="M180" t="inlineStr">
        <is>
          <t>Köln</t>
        </is>
      </c>
    </row>
    <row r="181">
      <c r="A181" t="inlineStr">
        <is>
          <t>Fins: Freeride Finne 45 cm, Powerbox, Zustand sehr gut</t>
        </is>
      </c>
      <c r="B181" s="4" t="n">
        <v>55</v>
      </c>
      <c r="C181" t="inlineStr">
        <is>
          <t>VB</t>
        </is>
      </c>
      <c r="D181" t="inlineStr">
        <is>
          <t>25355 Kreis Pinneberg - Barmstedt</t>
        </is>
      </c>
      <c r="E181" s="5" t="n">
        <v>45557</v>
      </c>
      <c r="F181" t="inlineStr"/>
      <c r="G181" s="6">
        <f>HYPERLINK("https://www.kleinanzeigen.de/s-anzeige/finne-freeride-45-cm-fins-windsurfen-surfboard/2870887753-230-16677", "Link")</f>
        <v/>
      </c>
      <c r="H181" s="6">
        <f>HYPERLINK("C:\Projects\Kleinanzeigen-Scraper\offer_images\2870887753", "Link")</f>
        <v/>
      </c>
      <c r="I181" t="inlineStr">
        <is>
          <t>Hansi</t>
        </is>
      </c>
      <c r="J181" s="6">
        <f>HYPERLINK("https://www.kleinanzeigen.de/s-bestandsliste.html?userId=73580626", "Link")</f>
        <v/>
      </c>
      <c r="K181" s="7" t="n">
        <v>45558.56387731482</v>
      </c>
      <c r="L181" s="3" t="inlineStr">
        <is>
          <t>371.91</t>
        </is>
      </c>
      <c r="M181" t="inlineStr">
        <is>
          <t>Köln</t>
        </is>
      </c>
    </row>
    <row r="182">
      <c r="A182" t="inlineStr">
        <is>
          <t>Fin: f2 choco Fins 28 Jump and Jibe, Powerbox, includes protective cover</t>
        </is>
      </c>
      <c r="B182" s="4" t="n">
        <v>25</v>
      </c>
      <c r="C182" t="inlineStr"/>
      <c r="D182" t="inlineStr">
        <is>
          <t>24937 Schleswig-Holstein - Flensburg</t>
        </is>
      </c>
      <c r="E182" s="5" t="n">
        <v>45558</v>
      </c>
      <c r="F182" t="inlineStr">
        <is>
          <t>Sold</t>
        </is>
      </c>
      <c r="G182" s="6">
        <f>HYPERLINK("https://www.kleinanzeigen.de/s-anzeige/windsurf-finne-f2-choco-fins-28-jump-and-jibe-powerbox/2871417609-230-718", "Link")</f>
        <v/>
      </c>
      <c r="H182" s="6">
        <f>HYPERLINK("C:\Projects\Kleinanzeigen-Scraper\offer_images\2871417609", "Link")</f>
        <v/>
      </c>
      <c r="I182" t="inlineStr">
        <is>
          <t>Dietmar Harbeck</t>
        </is>
      </c>
      <c r="J182" s="6">
        <f>HYPERLINK("https://www.kleinanzeigen.de/s-bestandsliste.html?userId=45089597", "Link")</f>
        <v/>
      </c>
      <c r="K182" s="7" t="n">
        <v>45558.56328703704</v>
      </c>
      <c r="L182" s="3" t="inlineStr">
        <is>
          <t>458.80</t>
        </is>
      </c>
      <c r="M182" t="inlineStr">
        <is>
          <t>Köln</t>
        </is>
      </c>
    </row>
    <row r="183">
      <c r="A183" t="inlineStr">
        <is>
          <t>Fins: Starboard Drake Natural Wave Quads 130/110 (Slot) G10, lightly used</t>
        </is>
      </c>
      <c r="B183" s="4" t="n">
        <v>88</v>
      </c>
      <c r="C183" t="inlineStr"/>
      <c r="D183" t="inlineStr">
        <is>
          <t>31582 Niedersachsen - Nienburg (Weser)</t>
        </is>
      </c>
      <c r="E183" s="5" t="n">
        <v>45557</v>
      </c>
      <c r="F183" t="inlineStr">
        <is>
          <t>Sold</t>
        </is>
      </c>
      <c r="G183" s="6">
        <f>HYPERLINK("https://www.kleinanzeigen.de/s-anzeige/-5-starboard-drake-natural-wave-quads-130-110-slot-g10/2871105480-230-2534", "Link")</f>
        <v/>
      </c>
      <c r="H183" s="6">
        <f>HYPERLINK("C:\Projects\Kleinanzeigen-Scraper\offer_images\2871105480", "Link")</f>
        <v/>
      </c>
      <c r="I183" t="inlineStr">
        <is>
          <t>Holger</t>
        </is>
      </c>
      <c r="J183" s="6">
        <f>HYPERLINK("https://www.kleinanzeigen.de/s-bestandsliste.html?userId=30530795", "Link")</f>
        <v/>
      </c>
      <c r="K183" s="7" t="n">
        <v>45558.56251157408</v>
      </c>
      <c r="L183" s="3" t="inlineStr">
        <is>
          <t>244.43</t>
        </is>
      </c>
      <c r="M183" t="inlineStr">
        <is>
          <t>Köln</t>
        </is>
      </c>
    </row>
    <row r="184">
      <c r="A184" t="inlineStr">
        <is>
          <t>Mastfoot: SURFBENT Windsurf Board Protektor in good condition</t>
        </is>
      </c>
      <c r="B184" s="4" t="n">
        <v>50</v>
      </c>
      <c r="C184" t="inlineStr"/>
      <c r="D184" t="inlineStr">
        <is>
          <t>23568 Schleswig-Holstein - Lübeck</t>
        </is>
      </c>
      <c r="E184" s="5" t="n">
        <v>45557</v>
      </c>
      <c r="F184" t="inlineStr">
        <is>
          <t>Sold</t>
        </is>
      </c>
      <c r="G184" s="6">
        <f>HYPERLINK("https://www.kleinanzeigen.de/s-anzeige/surfbent-mastfuss-windsurf-protektor/2870489472-230-418", "Link")</f>
        <v/>
      </c>
      <c r="H184" s="6">
        <f>HYPERLINK("C:\Projects\Kleinanzeigen-Scraper\offer_images\2870489472", "Link")</f>
        <v/>
      </c>
      <c r="I184" t="inlineStr">
        <is>
          <t>Alex</t>
        </is>
      </c>
      <c r="J184" s="6">
        <f>HYPERLINK("https://www.kleinanzeigen.de/s-bestandsliste.html?userId=12421944", "Link")</f>
        <v/>
      </c>
      <c r="K184" s="7" t="n">
        <v>45557.56341435185</v>
      </c>
      <c r="L184" s="3" t="inlineStr">
        <is>
          <t>418.25</t>
        </is>
      </c>
      <c r="M184" t="inlineStr">
        <is>
          <t>Köln</t>
        </is>
      </c>
    </row>
    <row r="185">
      <c r="A185" t="inlineStr">
        <is>
          <t>Clickbar: North (Duotone) Clickbar M with 22-24m lines and Freerideloop, includes 2m line extension, original accessories, and bag.</t>
        </is>
      </c>
      <c r="B185" s="4" t="n">
        <v>189</v>
      </c>
      <c r="C185" t="inlineStr"/>
      <c r="D185" t="inlineStr">
        <is>
          <t>22159 Wandsbek - Hamburg Farmsen-Berne</t>
        </is>
      </c>
      <c r="E185" s="5" t="n">
        <v>45556</v>
      </c>
      <c r="F185" t="inlineStr">
        <is>
          <t>Sold</t>
        </is>
      </c>
      <c r="G185" s="6">
        <f>HYPERLINK("https://www.kleinanzeigen.de/s-anzeige/north-duotone-clickbar-m-22-24m-leinen-mit-freerideloop/2869616626-230-9454", "Link")</f>
        <v/>
      </c>
      <c r="H185" s="6">
        <f>HYPERLINK("C:\Projects\Kleinanzeigen-Scraper\offer_images\2869616626", "Link")</f>
        <v/>
      </c>
      <c r="I185" t="inlineStr">
        <is>
          <t>Stefan</t>
        </is>
      </c>
      <c r="J185" s="6">
        <f>HYPERLINK("https://www.kleinanzeigen.de/s-bestandsliste.html?userId=16611015", "Link")</f>
        <v/>
      </c>
      <c r="K185" s="7" t="n">
        <v>45557.56283564815</v>
      </c>
      <c r="L185" s="3" t="inlineStr">
        <is>
          <t>367.33</t>
        </is>
      </c>
      <c r="M185" t="inlineStr">
        <is>
          <t>Köln</t>
        </is>
      </c>
    </row>
    <row r="186">
      <c r="A186" t="inlineStr">
        <is>
          <t>Trapeztampen: Neilpryde, Länge: 28", wie neu</t>
        </is>
      </c>
      <c r="B186" s="4" t="n">
        <v>15</v>
      </c>
      <c r="C186" t="inlineStr"/>
      <c r="D186" t="inlineStr">
        <is>
          <t>23568 Schleswig-Holstein - Lübeck</t>
        </is>
      </c>
      <c r="E186" s="5" t="n">
        <v>45557</v>
      </c>
      <c r="F186" t="inlineStr"/>
      <c r="G186" s="6">
        <f>HYPERLINK("https://www.kleinanzeigen.de/s-anzeige/trapeztampen-neilpryde-28-/2870502488-230-418", "Link")</f>
        <v/>
      </c>
      <c r="H186" s="6">
        <f>HYPERLINK("C:\Projects\Kleinanzeigen-Scraper\offer_images\2870502488", "Link")</f>
        <v/>
      </c>
      <c r="I186" t="inlineStr">
        <is>
          <t>Alex</t>
        </is>
      </c>
      <c r="J186" s="6">
        <f>HYPERLINK("https://www.kleinanzeigen.de/s-bestandsliste.html?userId=12421944", "Link")</f>
        <v/>
      </c>
      <c r="K186" s="7" t="n">
        <v>45557.5621875</v>
      </c>
      <c r="L186" s="3" t="inlineStr">
        <is>
          <t>418.25</t>
        </is>
      </c>
      <c r="M186" t="inlineStr">
        <is>
          <t>Köln</t>
        </is>
      </c>
    </row>
    <row r="187">
      <c r="A187" t="inlineStr">
        <is>
          <t>Harness: Prolimit Fatbar Hüfttrapez Gr. M, 32-34, Top Zustand, keine Beschädigungen</t>
        </is>
      </c>
      <c r="B187" s="4" t="n">
        <v>100</v>
      </c>
      <c r="C187" t="inlineStr">
        <is>
          <t>VB</t>
        </is>
      </c>
      <c r="D187" t="inlineStr">
        <is>
          <t>04463 Sachsen - Großpösna</t>
        </is>
      </c>
      <c r="E187" s="5" t="n">
        <v>45557</v>
      </c>
      <c r="F187" t="inlineStr"/>
      <c r="G187" s="6">
        <f>HYPERLINK("https://www.kleinanzeigen.de/s-anzeige/prolimit-fatbar-trapez-windsurfen-huefttrapez-gr-m/2870313857-230-3909", "Link")</f>
        <v/>
      </c>
      <c r="H187" s="6">
        <f>HYPERLINK("C:\Projects\Kleinanzeigen-Scraper\offer_images\2870313857", "Link")</f>
        <v/>
      </c>
      <c r="I187" t="inlineStr">
        <is>
          <t>Frank Bauer</t>
        </is>
      </c>
      <c r="J187" s="6">
        <f>HYPERLINK("https://www.kleinanzeigen.de/s-bestandsliste.html?userId=44860059", "Link")</f>
        <v/>
      </c>
      <c r="K187" s="7" t="n">
        <v>45557.56114583334</v>
      </c>
      <c r="L187" s="3" t="inlineStr">
        <is>
          <t>351.03</t>
        </is>
      </c>
      <c r="M187" t="inlineStr">
        <is>
          <t>München</t>
        </is>
      </c>
    </row>
    <row r="188">
      <c r="A188" t="inlineStr">
        <is>
          <t>Harness: Dakine Windsurf Sitztrapez in schwarz, Size M, used 2 times</t>
        </is>
      </c>
      <c r="B188" s="4" t="n">
        <v>70</v>
      </c>
      <c r="C188" t="inlineStr">
        <is>
          <t>VB</t>
        </is>
      </c>
      <c r="D188" t="inlineStr">
        <is>
          <t>47665 Nordrhein-Westfalen - Sonsbeck</t>
        </is>
      </c>
      <c r="E188" s="5" t="n">
        <v>45557</v>
      </c>
      <c r="F188" t="inlineStr"/>
      <c r="G188" s="6">
        <f>HYPERLINK("https://www.kleinanzeigen.de/s-anzeige/dakine-windsurf-sitztrapez-gr-m/2870527156-230-1404", "Link")</f>
        <v/>
      </c>
      <c r="H188" s="6">
        <f>HYPERLINK("C:\Projects\Kleinanzeigen-Scraper\offer_images\2870527156", "Link")</f>
        <v/>
      </c>
      <c r="I188" t="inlineStr">
        <is>
          <t>Iris Schulze</t>
        </is>
      </c>
      <c r="J188" s="6">
        <f>HYPERLINK("https://www.kleinanzeigen.de/s-bestandsliste.html?userId=25466018", "Link")</f>
        <v/>
      </c>
      <c r="K188" s="7" t="n">
        <v>45557.55680555556</v>
      </c>
      <c r="L188" s="3" t="inlineStr">
        <is>
          <t>86.26</t>
        </is>
      </c>
      <c r="M188" t="inlineStr">
        <is>
          <t>Köln</t>
        </is>
      </c>
    </row>
    <row r="189">
      <c r="A189" t="inlineStr">
        <is>
          <t>Mast extension: North Sails Power XT RDM, adjustable range 36cm, good condition (works perfectly)</t>
        </is>
      </c>
      <c r="B189" s="4" t="n">
        <v>75</v>
      </c>
      <c r="C189" t="inlineStr"/>
      <c r="D189" t="inlineStr">
        <is>
          <t>23568 Schleswig-Holstein - Lübeck</t>
        </is>
      </c>
      <c r="E189" s="5" t="n">
        <v>45557</v>
      </c>
      <c r="F189" t="inlineStr">
        <is>
          <t>Sold</t>
        </is>
      </c>
      <c r="G189" s="6">
        <f>HYPERLINK("https://www.kleinanzeigen.de/s-anzeige/north-sails-power-xt-rdm-mastverlaengerung/2870474507-230-418", "Link")</f>
        <v/>
      </c>
      <c r="H189" s="6">
        <f>HYPERLINK("C:\Projects\Kleinanzeigen-Scraper\offer_images\2870474507", "Link")</f>
        <v/>
      </c>
      <c r="I189" t="inlineStr">
        <is>
          <t>Alex</t>
        </is>
      </c>
      <c r="J189" s="6">
        <f>HYPERLINK("https://www.kleinanzeigen.de/s-bestandsliste.html?userId=12421944", "Link")</f>
        <v/>
      </c>
      <c r="K189" s="7" t="n">
        <v>45557.55665509259</v>
      </c>
      <c r="L189" s="3" t="inlineStr">
        <is>
          <t>418.25</t>
        </is>
      </c>
      <c r="M189" t="inlineStr">
        <is>
          <t>Köln</t>
        </is>
      </c>
    </row>
    <row r="190">
      <c r="A190" t="inlineStr">
        <is>
          <t>Mastfoot: voll funktionsfähig</t>
        </is>
      </c>
      <c r="B190" s="4" t="n">
        <v>10</v>
      </c>
      <c r="C190" t="inlineStr"/>
      <c r="D190" t="inlineStr">
        <is>
          <t>23568 Schleswig-Holstein - Lübeck</t>
        </is>
      </c>
      <c r="E190" s="5" t="n">
        <v>45557</v>
      </c>
      <c r="F190" t="inlineStr">
        <is>
          <t>Sold</t>
        </is>
      </c>
      <c r="G190" s="6">
        <f>HYPERLINK("https://www.kleinanzeigen.de/s-anzeige/mastfuss-windsurf/2870509110-230-418", "Link")</f>
        <v/>
      </c>
      <c r="H190" s="6">
        <f>HYPERLINK("C:\Projects\Kleinanzeigen-Scraper\offer_images\2870509110", "Link")</f>
        <v/>
      </c>
      <c r="I190" t="inlineStr">
        <is>
          <t>Alex</t>
        </is>
      </c>
      <c r="J190" s="6">
        <f>HYPERLINK("https://www.kleinanzeigen.de/s-bestandsliste.html?userId=12421944", "Link")</f>
        <v/>
      </c>
      <c r="K190" s="7" t="n">
        <v>45557.55447916667</v>
      </c>
      <c r="L190" s="3" t="inlineStr">
        <is>
          <t>418.25</t>
        </is>
      </c>
      <c r="M190" t="inlineStr">
        <is>
          <t>Köln</t>
        </is>
      </c>
    </row>
    <row r="191">
      <c r="A191" t="inlineStr">
        <is>
          <t>Mastfoot: top Zustand (kaum benutzt)</t>
        </is>
      </c>
      <c r="B191" s="4" t="n">
        <v>25</v>
      </c>
      <c r="C191" t="inlineStr"/>
      <c r="D191" t="inlineStr">
        <is>
          <t>23568 Schleswig-Holstein - Lübeck</t>
        </is>
      </c>
      <c r="E191" s="5" t="n">
        <v>45557</v>
      </c>
      <c r="F191" t="inlineStr">
        <is>
          <t>Sold</t>
        </is>
      </c>
      <c r="G191" s="6">
        <f>HYPERLINK("https://www.kleinanzeigen.de/s-anzeige/mastfuss-gun-sails-windsurf/2870482997-230-418", "Link")</f>
        <v/>
      </c>
      <c r="H191" s="6">
        <f>HYPERLINK("C:\Projects\Kleinanzeigen-Scraper\offer_images\2870482997", "Link")</f>
        <v/>
      </c>
      <c r="I191" t="inlineStr">
        <is>
          <t>Alex</t>
        </is>
      </c>
      <c r="J191" s="6">
        <f>HYPERLINK("https://www.kleinanzeigen.de/s-bestandsliste.html?userId=12421944", "Link")</f>
        <v/>
      </c>
      <c r="K191" s="7" t="n">
        <v>45557.55408564815</v>
      </c>
      <c r="L191" s="3" t="inlineStr">
        <is>
          <t>418.25</t>
        </is>
      </c>
      <c r="M191" t="inlineStr">
        <is>
          <t>Köln</t>
        </is>
      </c>
    </row>
    <row r="192">
      <c r="A192" t="inlineStr">
        <is>
          <t>Mastfoot Protector: kaum benutzt (wie neu)</t>
        </is>
      </c>
      <c r="B192" s="4" t="n">
        <v>10</v>
      </c>
      <c r="C192" t="inlineStr"/>
      <c r="D192" t="inlineStr">
        <is>
          <t>23568 Schleswig-Holstein - Lübeck</t>
        </is>
      </c>
      <c r="E192" s="5" t="n">
        <v>45557</v>
      </c>
      <c r="F192" t="inlineStr"/>
      <c r="G192" s="6">
        <f>HYPERLINK("https://www.kleinanzeigen.de/s-anzeige/mastfuss-protektor-neilpryde/2870506465-230-418", "Link")</f>
        <v/>
      </c>
      <c r="H192" s="6">
        <f>HYPERLINK("C:\Projects\Kleinanzeigen-Scraper\offer_images\2870506465", "Link")</f>
        <v/>
      </c>
      <c r="I192" t="inlineStr">
        <is>
          <t>Alex</t>
        </is>
      </c>
      <c r="J192" s="6">
        <f>HYPERLINK("https://www.kleinanzeigen.de/s-bestandsliste.html?userId=12421944", "Link")</f>
        <v/>
      </c>
      <c r="K192" s="7" t="n">
        <v>45557.55394675926</v>
      </c>
      <c r="L192" s="3" t="inlineStr">
        <is>
          <t>418.25</t>
        </is>
      </c>
      <c r="M192" t="inlineStr">
        <is>
          <t>Köln</t>
        </is>
      </c>
    </row>
    <row r="193">
      <c r="A193" t="inlineStr">
        <is>
          <t>Trapeztampen: Size 24, fully functional but with a torn Velcro strap</t>
        </is>
      </c>
      <c r="B193" s="4" t="n">
        <v>5</v>
      </c>
      <c r="C193" t="inlineStr">
        <is>
          <t>VB</t>
        </is>
      </c>
      <c r="D193" t="inlineStr">
        <is>
          <t>86825 Bayern - Bad Wörishofen</t>
        </is>
      </c>
      <c r="E193" s="5" t="n">
        <v>45557</v>
      </c>
      <c r="F193" t="inlineStr"/>
      <c r="G193" s="6">
        <f>HYPERLINK("https://www.kleinanzeigen.de/s-anzeige/tampen-24-trapeztampen-madmaxx-windsurfen/2870259707-230-7257", "Link")</f>
        <v/>
      </c>
      <c r="H193" s="6">
        <f>HYPERLINK("C:\Projects\Kleinanzeigen-Scraper\offer_images\2870259707", "Link")</f>
        <v/>
      </c>
      <c r="I193" t="inlineStr">
        <is>
          <t>peckmick</t>
        </is>
      </c>
      <c r="J193" s="6">
        <f>HYPERLINK("https://www.kleinanzeigen.de/s-bestandsliste.html?userId=75769172", "Link")</f>
        <v/>
      </c>
      <c r="K193" s="7" t="n">
        <v>45557.55372685185</v>
      </c>
      <c r="L193" s="3" t="inlineStr">
        <is>
          <t>74.63</t>
        </is>
      </c>
      <c r="M193" t="inlineStr">
        <is>
          <t>München</t>
        </is>
      </c>
    </row>
    <row r="194">
      <c r="A194" t="inlineStr">
        <is>
          <t>Footstraps: 4 unused lightweight footstraps, padded, total weight 207 grams</t>
        </is>
      </c>
      <c r="B194" s="4" t="n">
        <v>19</v>
      </c>
      <c r="C194" t="inlineStr"/>
      <c r="D194" t="inlineStr">
        <is>
          <t>12527 Berlin oder Versand</t>
        </is>
      </c>
      <c r="E194" s="5" t="n">
        <v>45555</v>
      </c>
      <c r="F194" t="inlineStr"/>
      <c r="G194" s="6">
        <f>HYPERLINK("https://www.dailydose.de/kleinanzeigen/detail.htm?ai=422906&amp;cf=kk&amp;pg=5&amp;ci=11", "Link")</f>
        <v/>
      </c>
      <c r="H194" s="6">
        <f>HYPERLINK("C:\Projects\Kleinanzeigen-Scraper\offer_images\422906", "Link")</f>
        <v/>
      </c>
      <c r="I194" t="inlineStr">
        <is>
          <t>stg</t>
        </is>
      </c>
      <c r="J194" s="6">
        <f>HYPERLINK("https://www.dailydose.de/kleinanzeigen/user/22114", "Link")</f>
        <v/>
      </c>
      <c r="K194" s="7" t="n">
        <v>45556.94479166667</v>
      </c>
      <c r="L194" s="3" t="inlineStr">
        <is>
          <t>487.71</t>
        </is>
      </c>
      <c r="M194" t="inlineStr">
        <is>
          <t>Köln</t>
        </is>
      </c>
    </row>
    <row r="195">
      <c r="A195" t="inlineStr">
        <is>
          <t>Windsurf Fins: 4 US Box fins (26cm, 24cm, 2 x 12cm) with 3 boxes for mounting</t>
        </is>
      </c>
      <c r="B195" s="4" t="n">
        <v>25</v>
      </c>
      <c r="C195" t="inlineStr">
        <is>
          <t>VB</t>
        </is>
      </c>
      <c r="D195" t="inlineStr">
        <is>
          <t>95119 Bayern - Naila</t>
        </is>
      </c>
      <c r="E195" s="5" t="n">
        <v>45556</v>
      </c>
      <c r="F195" t="inlineStr"/>
      <c r="G195" s="6">
        <f>HYPERLINK("https://www.kleinanzeigen.de/s-anzeige/windsurf-finnen-us-box-4-stueck/2869929450-230-7227", "Link")</f>
        <v/>
      </c>
      <c r="H195" s="6">
        <f>HYPERLINK("C:\Projects\Kleinanzeigen-Scraper\offer_images\2869929450", "Link")</f>
        <v/>
      </c>
      <c r="I195" t="inlineStr">
        <is>
          <t>Uli</t>
        </is>
      </c>
      <c r="J195" s="6">
        <f>HYPERLINK("https://www.kleinanzeigen.de/s-bestandsliste.html?userId=9697657", "Link")</f>
        <v/>
      </c>
      <c r="K195" s="7" t="n">
        <v>45556.94344907408</v>
      </c>
      <c r="L195" s="3" t="inlineStr">
        <is>
          <t>244.09</t>
        </is>
      </c>
      <c r="M195" t="inlineStr">
        <is>
          <t>München</t>
        </is>
      </c>
    </row>
    <row r="196">
      <c r="A196" t="inlineStr">
        <is>
          <t>Mastfoot: with foot protection, in good condition, will last a long time</t>
        </is>
      </c>
      <c r="B196" s="4" t="n">
        <v>20</v>
      </c>
      <c r="C196" t="inlineStr"/>
      <c r="D196" t="inlineStr">
        <is>
          <t>10585 Berlin - Charlottenburg</t>
        </is>
      </c>
      <c r="E196" s="5" t="n">
        <v>45556</v>
      </c>
      <c r="F196" t="inlineStr">
        <is>
          <t>Sold</t>
        </is>
      </c>
      <c r="G196" s="6">
        <f>HYPERLINK("https://www.kleinanzeigen.de/s-anzeige/mastfuss-mit-fussschoner-windsurfen/2869899609-230-3347", "Link")</f>
        <v/>
      </c>
      <c r="H196" s="6">
        <f>HYPERLINK("C:\Projects\Kleinanzeigen-Scraper\offer_images\2869899609", "Link")</f>
        <v/>
      </c>
      <c r="I196" t="inlineStr">
        <is>
          <t>Rüdiger</t>
        </is>
      </c>
      <c r="J196" s="6">
        <f>HYPERLINK("https://www.kleinanzeigen.de/s-bestandsliste.html?userId=20864694", "Link")</f>
        <v/>
      </c>
      <c r="K196" s="7" t="n">
        <v>45556.94325231481</v>
      </c>
      <c r="L196" s="3" t="inlineStr">
        <is>
          <t>471.07</t>
        </is>
      </c>
      <c r="M196" t="inlineStr">
        <is>
          <t>Köln</t>
        </is>
      </c>
    </row>
    <row r="197">
      <c r="A197" t="inlineStr">
        <is>
          <t>Fin: RRD 46 freeride Finne with PB System, 46cm</t>
        </is>
      </c>
      <c r="B197" s="4" t="n">
        <v>55</v>
      </c>
      <c r="C197" t="inlineStr">
        <is>
          <t>VB</t>
        </is>
      </c>
      <c r="D197" t="inlineStr">
        <is>
          <t>25421 Kreis Pinneberg - Pinneberg</t>
        </is>
      </c>
      <c r="E197" s="5" t="n">
        <v>45556</v>
      </c>
      <c r="F197" t="inlineStr"/>
      <c r="G197" s="6">
        <f>HYPERLINK("https://www.kleinanzeigen.de/s-anzeige/rrd-46-freeride-finne/2869870461-230-786", "Link")</f>
        <v/>
      </c>
      <c r="H197" s="6">
        <f>HYPERLINK("C:\Projects\Kleinanzeigen-Scraper\offer_images\2869870461", "Link")</f>
        <v/>
      </c>
      <c r="I197" t="inlineStr">
        <is>
          <t>Avé- Lallemant</t>
        </is>
      </c>
      <c r="J197" s="6">
        <f>HYPERLINK("https://www.kleinanzeigen.de/s-bestandsliste.html?userId=71416844", "Link")</f>
        <v/>
      </c>
      <c r="K197" s="7" t="n">
        <v>45556.94302083334</v>
      </c>
      <c r="L197" s="3" t="inlineStr">
        <is>
          <t>345.15</t>
        </is>
      </c>
      <c r="M197" t="inlineStr">
        <is>
          <t>Köln</t>
        </is>
      </c>
    </row>
    <row r="198">
      <c r="A198" t="inlineStr">
        <is>
          <t>Fin: Copello Wave 24cm US Box, G10 material, includes screw and plate</t>
        </is>
      </c>
      <c r="B198" s="4" t="n">
        <v>29</v>
      </c>
      <c r="C198" t="inlineStr">
        <is>
          <t>VB</t>
        </is>
      </c>
      <c r="D198" t="inlineStr">
        <is>
          <t>89331 Bayern - Burgau</t>
        </is>
      </c>
      <c r="E198" s="5" t="n">
        <v>45556</v>
      </c>
      <c r="F198" t="inlineStr"/>
      <c r="G198" s="6">
        <f>HYPERLINK("https://www.kleinanzeigen.de/s-anzeige/windsurf-finne-copello-wave-24cm-us-box/2869406620-230-6711", "Link")</f>
        <v/>
      </c>
      <c r="H198" s="6">
        <f>HYPERLINK("C:\Projects\Kleinanzeigen-Scraper\offer_images\2869406620", "Link")</f>
        <v/>
      </c>
      <c r="I198" t="inlineStr">
        <is>
          <t>Jürgen Adam</t>
        </is>
      </c>
      <c r="J198" s="6">
        <f>HYPERLINK("https://www.kleinanzeigen.de/s-bestandsliste.html?userId=4431328", "Link")</f>
        <v/>
      </c>
      <c r="K198" s="7" t="n">
        <v>45556.94293981481</v>
      </c>
      <c r="L198" s="3" t="inlineStr">
        <is>
          <t>93.60</t>
        </is>
      </c>
      <c r="M198" t="inlineStr">
        <is>
          <t>München</t>
        </is>
      </c>
    </row>
    <row r="199">
      <c r="A199" t="inlineStr">
        <is>
          <t>Startschot: Schot für Gabel Windsurfen im guten Zustand, mit Schaumstoffeinlagen für angenehmeres Aufholen.</t>
        </is>
      </c>
      <c r="B199" s="4" t="n">
        <v>14</v>
      </c>
      <c r="C199" t="inlineStr"/>
      <c r="D199" t="inlineStr">
        <is>
          <t>59457 Nordrhein-Westfalen - Werl</t>
        </is>
      </c>
      <c r="E199" s="5" t="n">
        <v>45556</v>
      </c>
      <c r="F199" t="inlineStr"/>
      <c r="G199" s="6">
        <f>HYPERLINK("https://www.kleinanzeigen.de/s-anzeige/windsurf-startschot-schot-fuer-gabel-windsurfen/2869677631-230-1449", "Link")</f>
        <v/>
      </c>
      <c r="H199" s="6">
        <f>HYPERLINK("C:\Projects\Kleinanzeigen-Scraper\offer_images\2869677631", "Link")</f>
        <v/>
      </c>
      <c r="I199" t="inlineStr">
        <is>
          <t>HeK</t>
        </is>
      </c>
      <c r="J199" s="6">
        <f>HYPERLINK("https://www.kleinanzeigen.de/s-bestandsliste.html?userId=85644224", "Link")</f>
        <v/>
      </c>
      <c r="K199" s="7" t="n">
        <v>45556.94280092593</v>
      </c>
      <c r="L199" s="3" t="inlineStr">
        <is>
          <t>95.02</t>
        </is>
      </c>
      <c r="M199" t="inlineStr">
        <is>
          <t>Köln</t>
        </is>
      </c>
    </row>
    <row r="200">
      <c r="A200" t="inlineStr">
        <is>
          <t>Mast extension: Skinny extension for windsurf mast</t>
        </is>
      </c>
      <c r="B200" s="4" t="n">
        <v>15</v>
      </c>
      <c r="C200" t="inlineStr">
        <is>
          <t>VB</t>
        </is>
      </c>
      <c r="D200" t="inlineStr">
        <is>
          <t>88048 Baden-Württemberg - Friedrichshafen</t>
        </is>
      </c>
      <c r="E200" s="5" t="n">
        <v>45556</v>
      </c>
      <c r="F200" t="inlineStr"/>
      <c r="G200" s="6">
        <f>HYPERLINK("https://www.kleinanzeigen.de/s-anzeige/windsurf-mastfussaufnahme-verlaengerung-skinny/2869622232-230-9212", "Link")</f>
        <v/>
      </c>
      <c r="H200" s="6">
        <f>HYPERLINK("C:\Projects\Kleinanzeigen-Scraper\offer_images\2869622232", "Link")</f>
        <v/>
      </c>
      <c r="I200" t="inlineStr">
        <is>
          <t>Lotti Maier</t>
        </is>
      </c>
      <c r="J200" s="6">
        <f>HYPERLINK("https://www.kleinanzeigen.de/s-bestandsliste.html?userId=16045975", "Link")</f>
        <v/>
      </c>
      <c r="K200" s="7" t="n">
        <v>45556.94269675926</v>
      </c>
      <c r="L200" s="3" t="inlineStr">
        <is>
          <t>87.69</t>
        </is>
      </c>
      <c r="M200" t="inlineStr">
        <is>
          <t>Bonndorf</t>
        </is>
      </c>
    </row>
    <row r="201">
      <c r="A201" t="inlineStr">
        <is>
          <t>Fins: Finnenset for Stand-Up-Paddleboard to be used for Windsurfing, suitable for Wing-Foiling</t>
        </is>
      </c>
      <c r="B201" s="4" t="n">
        <v>40</v>
      </c>
      <c r="C201" t="inlineStr"/>
      <c r="D201" t="inlineStr">
        <is>
          <t>71332 Baden-Württemberg - Waiblingen</t>
        </is>
      </c>
      <c r="E201" s="5" t="n">
        <v>45556</v>
      </c>
      <c r="F201" t="inlineStr">
        <is>
          <t>Sold</t>
        </is>
      </c>
      <c r="G201" s="6">
        <f>HYPERLINK("https://www.kleinanzeigen.de/s-anzeige/drift-stopper-schwert-fuer-stand-up-paddleboard-zum-windsurfen/2869371613-230-9044", "Link")</f>
        <v/>
      </c>
      <c r="H201" s="6">
        <f>HYPERLINK("C:\Projects\Kleinanzeigen-Scraper\offer_images\2869371613", "Link")</f>
        <v/>
      </c>
      <c r="I201" t="inlineStr">
        <is>
          <t>Lars Wenzelburger</t>
        </is>
      </c>
      <c r="J201" s="6">
        <f>HYPERLINK("https://www.kleinanzeigen.de/s-bestandsliste.html?userId=22747599", "Link")</f>
        <v/>
      </c>
      <c r="K201" s="7" t="n">
        <v>45556.94167824074</v>
      </c>
      <c r="L201" s="3" t="inlineStr">
        <is>
          <t>29.10</t>
        </is>
      </c>
      <c r="M201" t="inlineStr">
        <is>
          <t>Böblingen</t>
        </is>
      </c>
    </row>
    <row r="202">
      <c r="A202" t="inlineStr">
        <is>
          <t>Fin: Weed fin in carbon, handmade, with a short draft of approximately 27cm, suitable for flat water areas.</t>
        </is>
      </c>
      <c r="B202" s="4" t="n">
        <v>79</v>
      </c>
      <c r="C202" t="inlineStr"/>
      <c r="D202" t="inlineStr">
        <is>
          <t>59457 Nordrhein-Westfalen - Werl</t>
        </is>
      </c>
      <c r="E202" s="5" t="n">
        <v>45556</v>
      </c>
      <c r="F202" t="inlineStr">
        <is>
          <t>Sold</t>
        </is>
      </c>
      <c r="G202" s="6">
        <f>HYPERLINK("https://www.kleinanzeigen.de/s-anzeige/windsurf-finne-lessacher-carbon-seegras-weed-grasfinne-deeptuttle/2869665851-230-1449", "Link")</f>
        <v/>
      </c>
      <c r="H202" s="6">
        <f>HYPERLINK("C:\Projects\Kleinanzeigen-Scraper\offer_images\2869665851", "Link")</f>
        <v/>
      </c>
      <c r="I202" t="inlineStr">
        <is>
          <t>HeK</t>
        </is>
      </c>
      <c r="J202" s="6">
        <f>HYPERLINK("https://www.kleinanzeigen.de/s-bestandsliste.html?userId=85644224", "Link")</f>
        <v/>
      </c>
      <c r="K202" s="7" t="n">
        <v>45556.94096064815</v>
      </c>
      <c r="L202" s="3" t="inlineStr">
        <is>
          <t>95.02</t>
        </is>
      </c>
      <c r="M202" t="inlineStr">
        <is>
          <t>Köln</t>
        </is>
      </c>
    </row>
    <row r="203">
      <c r="A203" t="inlineStr">
        <is>
          <t>Fin: 46 cm Carbon fin in top condition, like new</t>
        </is>
      </c>
      <c r="B203" s="4" t="n">
        <v>80</v>
      </c>
      <c r="C203" t="inlineStr"/>
      <c r="D203" t="inlineStr">
        <is>
          <t>10585 Berlin - Charlottenburg</t>
        </is>
      </c>
      <c r="E203" s="5" t="n">
        <v>45556</v>
      </c>
      <c r="F203" t="inlineStr">
        <is>
          <t>Sold</t>
        </is>
      </c>
      <c r="G203" s="6">
        <f>HYPERLINK("https://www.kleinanzeigen.de/s-anzeige/finne-46-carbon-windsurfen/2869896085-230-3347", "Link")</f>
        <v/>
      </c>
      <c r="H203" s="6">
        <f>HYPERLINK("C:\Projects\Kleinanzeigen-Scraper\offer_images\2869896085", "Link")</f>
        <v/>
      </c>
      <c r="I203" t="inlineStr">
        <is>
          <t>Rüdiger</t>
        </is>
      </c>
      <c r="J203" s="6">
        <f>HYPERLINK("https://www.kleinanzeigen.de/s-bestandsliste.html?userId=20864694", "Link")</f>
        <v/>
      </c>
      <c r="K203" s="7" t="n">
        <v>45556.94037037037</v>
      </c>
      <c r="L203" s="3" t="inlineStr">
        <is>
          <t>471.07</t>
        </is>
      </c>
      <c r="M203" t="inlineStr">
        <is>
          <t>Köln</t>
        </is>
      </c>
    </row>
    <row r="204">
      <c r="A204" t="inlineStr">
        <is>
          <t>Fin: 32cm Carbon Fin for US Box, includes cover, screw, and plate</t>
        </is>
      </c>
      <c r="B204" s="4" t="n">
        <v>17</v>
      </c>
      <c r="C204" t="inlineStr">
        <is>
          <t>VB</t>
        </is>
      </c>
      <c r="D204" t="inlineStr">
        <is>
          <t>95119 Bayern - Naila</t>
        </is>
      </c>
      <c r="E204" s="5" t="n">
        <v>45556</v>
      </c>
      <c r="F204" t="inlineStr">
        <is>
          <t>Sold</t>
        </is>
      </c>
      <c r="G204" s="6">
        <f>HYPERLINK("https://www.kleinanzeigen.de/s-anzeige/windsurf-carbon-finne-32cm-us-box/2869934837-230-7227", "Link")</f>
        <v/>
      </c>
      <c r="H204" s="6">
        <f>HYPERLINK("C:\Projects\Kleinanzeigen-Scraper\offer_images\2869934837", "Link")</f>
        <v/>
      </c>
      <c r="I204" t="inlineStr">
        <is>
          <t>Uli</t>
        </is>
      </c>
      <c r="J204" s="6">
        <f>HYPERLINK("https://www.kleinanzeigen.de/s-bestandsliste.html?userId=9697657", "Link")</f>
        <v/>
      </c>
      <c r="K204" s="7" t="n">
        <v>45556.93876157407</v>
      </c>
      <c r="L204" s="3" t="inlineStr">
        <is>
          <t>244.09</t>
        </is>
      </c>
      <c r="M204" t="inlineStr">
        <is>
          <t>München</t>
        </is>
      </c>
    </row>
    <row r="205">
      <c r="A205" t="inlineStr">
        <is>
          <t>Fins: Various models including Unifiber, Choco, Lipsticks, Pro Limit, MUF, Concept X, and Tekkno, with prices ranging from 28€ to 79€.</t>
        </is>
      </c>
      <c r="B205" s="4" t="n">
        <v>49</v>
      </c>
      <c r="C205" t="inlineStr"/>
      <c r="D205" t="inlineStr">
        <is>
          <t>45772 Nordrhein-Westfalen - Marl</t>
        </is>
      </c>
      <c r="E205" s="5" t="n">
        <v>45556</v>
      </c>
      <c r="F205" t="inlineStr"/>
      <c r="G205" s="6">
        <f>HYPERLINK("https://www.kleinanzeigen.de/s-anzeige/powerbox-finnen-weed-windsurfen-finne/2870074982-230-1772", "Link")</f>
        <v/>
      </c>
      <c r="H205" s="6">
        <f>HYPERLINK("C:\Projects\Kleinanzeigen-Scraper\offer_images\2870074982", "Link")</f>
        <v/>
      </c>
      <c r="I205" t="inlineStr">
        <is>
          <t>Matrix</t>
        </is>
      </c>
      <c r="J205" s="6">
        <f>HYPERLINK("https://www.kleinanzeigen.de/s-bestandsliste.html?userId=89106594", "Link")</f>
        <v/>
      </c>
      <c r="K205" s="7" t="n">
        <v>45556.93873842592</v>
      </c>
      <c r="L205" s="3" t="inlineStr">
        <is>
          <t>84.29</t>
        </is>
      </c>
      <c r="M205" t="inlineStr">
        <is>
          <t>Köln</t>
        </is>
      </c>
    </row>
    <row r="206">
      <c r="A206" t="inlineStr">
        <is>
          <t>Fin: Maui Fin Company X-wave 26cm</t>
        </is>
      </c>
      <c r="B206" s="4" t="n">
        <v>65</v>
      </c>
      <c r="C206" t="inlineStr">
        <is>
          <t>VB</t>
        </is>
      </c>
      <c r="D206" t="inlineStr">
        <is>
          <t>70186 Stuttgart - Stuttgart-Ost</t>
        </is>
      </c>
      <c r="E206" s="5" t="n">
        <v>45556</v>
      </c>
      <c r="F206" t="inlineStr"/>
      <c r="G206" s="6">
        <f>HYPERLINK("https://www.kleinanzeigen.de/s-anzeige/maui-fin-company-x-wave-26cm-windsurf-finne/2869929127-230-9285", "Link")</f>
        <v/>
      </c>
      <c r="H206" s="6">
        <f>HYPERLINK("C:\Projects\Kleinanzeigen-Scraper\offer_images\2869929127", "Link")</f>
        <v/>
      </c>
      <c r="I206" t="inlineStr">
        <is>
          <t>Niko</t>
        </is>
      </c>
      <c r="J206" s="6">
        <f>HYPERLINK("https://www.kleinanzeigen.de/s-bestandsliste.html?userId=52023756", "Link")</f>
        <v/>
      </c>
      <c r="K206" s="7" t="n">
        <v>45556.93842592592</v>
      </c>
      <c r="L206" s="3" t="inlineStr">
        <is>
          <t>19.90</t>
        </is>
      </c>
      <c r="M206" t="inlineStr">
        <is>
          <t>Böblingen</t>
        </is>
      </c>
    </row>
    <row r="207">
      <c r="A207" t="inlineStr">
        <is>
          <t>Harness: Ziener Sitztrapez in Größe L, gut gebraucht, voll funktionsfähig</t>
        </is>
      </c>
      <c r="B207" s="4" t="n">
        <v>15</v>
      </c>
      <c r="C207" t="inlineStr"/>
      <c r="D207" t="inlineStr">
        <is>
          <t>32760 Nordrhein-Westfalen - Detmold</t>
        </is>
      </c>
      <c r="E207" s="5" t="n">
        <v>45555</v>
      </c>
      <c r="F207" t="inlineStr"/>
      <c r="G207" s="6">
        <f>HYPERLINK("https://www.kleinanzeigen.de/s-anzeige/windsurf-sitztrapez-von-ziener-gr-l/2868889121-230-1795", "Link")</f>
        <v/>
      </c>
      <c r="H207" s="6">
        <f>HYPERLINK("C:\Projects\Kleinanzeigen-Scraper\offer_images\2868889121", "Link")</f>
        <v/>
      </c>
      <c r="I207" t="inlineStr">
        <is>
          <t>Privat</t>
        </is>
      </c>
      <c r="J207" s="6">
        <f>HYPERLINK("https://www.kleinanzeigen.de/s-bestandsliste.html?userId=17823233", "Link")</f>
        <v/>
      </c>
      <c r="K207" s="7" t="n">
        <v>45556.93684027778</v>
      </c>
      <c r="L207" s="3" t="inlineStr">
        <is>
          <t>172.40</t>
        </is>
      </c>
      <c r="M207" t="inlineStr">
        <is>
          <t>Köln</t>
        </is>
      </c>
    </row>
    <row r="208">
      <c r="A208" t="inlineStr">
        <is>
          <t>Mastfoot with extension: Fully functional, found while cleaning, no longer needed.</t>
        </is>
      </c>
      <c r="B208" s="4" t="n">
        <v>30</v>
      </c>
      <c r="C208" t="inlineStr">
        <is>
          <t>VB</t>
        </is>
      </c>
      <c r="D208" t="inlineStr">
        <is>
          <t>45661 Nordrhein-Westfalen - Recklinghausen</t>
        </is>
      </c>
      <c r="E208" s="5" t="n">
        <v>45555</v>
      </c>
      <c r="F208" t="inlineStr"/>
      <c r="G208" s="6">
        <f>HYPERLINK("https://www.kleinanzeigen.de/s-anzeige/windsurf-mastfuss-mit-verlaengerung/2869167722-230-1986", "Link")</f>
        <v/>
      </c>
      <c r="H208" s="6">
        <f>HYPERLINK("C:\Projects\Kleinanzeigen-Scraper\offer_images\2869167722", "Link")</f>
        <v/>
      </c>
      <c r="I208" t="inlineStr">
        <is>
          <t>Thor</t>
        </is>
      </c>
      <c r="J208" s="6">
        <f>HYPERLINK("https://www.kleinanzeigen.de/s-bestandsliste.html?userId=2332887", "Link")</f>
        <v/>
      </c>
      <c r="K208" s="7" t="n">
        <v>45556.93670138889</v>
      </c>
      <c r="L208" s="3" t="inlineStr">
        <is>
          <t>72.57</t>
        </is>
      </c>
      <c r="M208" t="inlineStr">
        <is>
          <t>Köln</t>
        </is>
      </c>
    </row>
    <row r="209">
      <c r="A209" t="inlineStr">
        <is>
          <t>Fin: RRD Powerbox Finne 40 ZX Freeriderace, neu unbenutzt mit Schutzhülle</t>
        </is>
      </c>
      <c r="B209" s="4" t="n">
        <v>79</v>
      </c>
      <c r="C209" t="inlineStr">
        <is>
          <t>VB</t>
        </is>
      </c>
      <c r="D209" t="inlineStr">
        <is>
          <t>41540 Nordrhein-Westfalen - Dormagen</t>
        </is>
      </c>
      <c r="E209" s="5" t="n">
        <v>45556</v>
      </c>
      <c r="F209" t="inlineStr">
        <is>
          <t>Sold</t>
        </is>
      </c>
      <c r="G209" s="6">
        <f>HYPERLINK("https://www.kleinanzeigen.de/s-anzeige/powerbox-finne-40-zx-rrd-freeriderace-neu-unbentzt-schutzhuelle/2869962429-230-1881", "Link")</f>
        <v/>
      </c>
      <c r="H209" s="6">
        <f>HYPERLINK("C:\Projects\Kleinanzeigen-Scraper\offer_images\2869962429", "Link")</f>
        <v/>
      </c>
      <c r="I209" t="inlineStr">
        <is>
          <t>MR</t>
        </is>
      </c>
      <c r="J209" s="6">
        <f>HYPERLINK("https://www.kleinanzeigen.de/s-bestandsliste.html?userId=14121635", "Link")</f>
        <v/>
      </c>
      <c r="K209" s="7" t="n">
        <v>45556.93650462963</v>
      </c>
      <c r="L209" s="3" t="inlineStr">
        <is>
          <t>19.12</t>
        </is>
      </c>
      <c r="M209" t="inlineStr">
        <is>
          <t>Köln</t>
        </is>
      </c>
    </row>
    <row r="210">
      <c r="A210" t="inlineStr">
        <is>
          <t>Harness: Surf trapeze size XL, good condition</t>
        </is>
      </c>
      <c r="B210" s="4" t="n">
        <v>42</v>
      </c>
      <c r="C210" t="inlineStr"/>
      <c r="D210" t="inlineStr">
        <is>
          <t>83122 Bayern - Samerberg</t>
        </is>
      </c>
      <c r="E210" s="5" t="n">
        <v>45556</v>
      </c>
      <c r="F210" t="inlineStr"/>
      <c r="G210" s="6">
        <f>HYPERLINK("https://www.kleinanzeigen.de/s-anzeige/surf-trapez-windsurfen/2869704508-230-7572", "Link")</f>
        <v/>
      </c>
      <c r="H210" s="6">
        <f>HYPERLINK("C:\Projects\Kleinanzeigen-Scraper\offer_images\2869704508", "Link")</f>
        <v/>
      </c>
      <c r="I210" t="inlineStr">
        <is>
          <t>Johannes Wackerle</t>
        </is>
      </c>
      <c r="J210" s="6">
        <f>HYPERLINK("https://www.kleinanzeigen.de/s-bestandsliste.html?userId=26433034", "Link")</f>
        <v/>
      </c>
      <c r="K210" s="7" t="n">
        <v>45556.93577546296</v>
      </c>
      <c r="L210" s="3" t="inlineStr">
        <is>
          <t>61.87</t>
        </is>
      </c>
      <c r="M210" t="inlineStr">
        <is>
          <t>München</t>
        </is>
      </c>
    </row>
    <row r="211">
      <c r="A211" t="inlineStr">
        <is>
          <t>Footstraps: JP footstraps, very lightly used, 4 pieces available.</t>
        </is>
      </c>
      <c r="B211" s="4" t="n">
        <v>39</v>
      </c>
      <c r="C211" t="inlineStr"/>
      <c r="D211" t="inlineStr">
        <is>
          <t>59457 Nordrhein-Westfalen - Werl</t>
        </is>
      </c>
      <c r="E211" s="5" t="n">
        <v>45556</v>
      </c>
      <c r="F211" t="inlineStr">
        <is>
          <t>Sold</t>
        </is>
      </c>
      <c r="G211" s="6">
        <f>HYPERLINK("https://www.kleinanzeigen.de/s-anzeige/windsurf-fussschlaufen-windsurfen-fuer-surfboard-jp-4-mal/2869561908-230-1449", "Link")</f>
        <v/>
      </c>
      <c r="H211" s="6">
        <f>HYPERLINK("C:\Projects\Kleinanzeigen-Scraper\offer_images\2869561908", "Link")</f>
        <v/>
      </c>
      <c r="I211" t="inlineStr">
        <is>
          <t>HeK</t>
        </is>
      </c>
      <c r="J211" s="6">
        <f>HYPERLINK("https://www.kleinanzeigen.de/s-bestandsliste.html?userId=85644224", "Link")</f>
        <v/>
      </c>
      <c r="K211" s="7" t="n">
        <v>45556.93528935185</v>
      </c>
      <c r="L211" s="3" t="inlineStr">
        <is>
          <t>95.02</t>
        </is>
      </c>
      <c r="M211" t="inlineStr">
        <is>
          <t>Köln</t>
        </is>
      </c>
    </row>
    <row r="212">
      <c r="A212" t="inlineStr">
        <is>
          <t>Fin: Fanatic Finne 44 PB, suitable for Freeride</t>
        </is>
      </c>
      <c r="B212" s="4" t="n">
        <v>55</v>
      </c>
      <c r="C212" t="inlineStr">
        <is>
          <t>VB</t>
        </is>
      </c>
      <c r="D212" t="inlineStr">
        <is>
          <t>25421 Kreis Pinneberg - Pinneberg</t>
        </is>
      </c>
      <c r="E212" s="5" t="n">
        <v>45556</v>
      </c>
      <c r="F212" t="inlineStr"/>
      <c r="G212" s="6">
        <f>HYPERLINK("https://www.kleinanzeigen.de/s-anzeige/fanatic-finne-44-pb/2869875261-230-786", "Link")</f>
        <v/>
      </c>
      <c r="H212" s="6">
        <f>HYPERLINK("C:\Projects\Kleinanzeigen-Scraper\offer_images\2869875261", "Link")</f>
        <v/>
      </c>
      <c r="I212" t="inlineStr">
        <is>
          <t>Avé- Lallemant</t>
        </is>
      </c>
      <c r="J212" s="6">
        <f>HYPERLINK("https://www.kleinanzeigen.de/s-bestandsliste.html?userId=71416844", "Link")</f>
        <v/>
      </c>
      <c r="K212" s="7" t="n">
        <v>45556.93526620371</v>
      </c>
      <c r="L212" s="3" t="inlineStr">
        <is>
          <t>345.15</t>
        </is>
      </c>
      <c r="M212" t="inlineStr">
        <is>
          <t>Köln</t>
        </is>
      </c>
    </row>
    <row r="213">
      <c r="A213" t="inlineStr">
        <is>
          <t>Fin: Freestyle Finne von Tabou mit amerikanischem System</t>
        </is>
      </c>
      <c r="B213" s="4" t="n">
        <v>25</v>
      </c>
      <c r="C213" t="inlineStr">
        <is>
          <t>VB</t>
        </is>
      </c>
      <c r="D213" t="inlineStr">
        <is>
          <t>25421 Kreis Pinneberg - Pinneberg</t>
        </is>
      </c>
      <c r="E213" s="5" t="n">
        <v>45556</v>
      </c>
      <c r="F213" t="inlineStr"/>
      <c r="G213" s="6">
        <f>HYPERLINK("https://www.kleinanzeigen.de/s-anzeige/tabou-finne-24-freestyle/2869879434-230-786", "Link")</f>
        <v/>
      </c>
      <c r="H213" s="6">
        <f>HYPERLINK("C:\Projects\Kleinanzeigen-Scraper\offer_images\2869879434", "Link")</f>
        <v/>
      </c>
      <c r="I213" t="inlineStr">
        <is>
          <t>Avé- Lallemant</t>
        </is>
      </c>
      <c r="J213" s="6">
        <f>HYPERLINK("https://www.kleinanzeigen.de/s-bestandsliste.html?userId=71416844", "Link")</f>
        <v/>
      </c>
      <c r="K213" s="7" t="n">
        <v>45556.93508101852</v>
      </c>
      <c r="L213" s="3" t="inlineStr">
        <is>
          <t>345.15</t>
        </is>
      </c>
      <c r="M213" t="inlineStr">
        <is>
          <t>Köln</t>
        </is>
      </c>
    </row>
    <row r="214">
      <c r="A214" t="inlineStr">
        <is>
          <t>Fin: Windsurf Finne 60cm Formula RSX DerpTruttle</t>
        </is>
      </c>
      <c r="B214" s="4" t="n">
        <v>75</v>
      </c>
      <c r="C214" t="inlineStr"/>
      <c r="D214" t="inlineStr">
        <is>
          <t>09111 Sachsen - Chemnitz</t>
        </is>
      </c>
      <c r="E214" s="5" t="n">
        <v>45555</v>
      </c>
      <c r="F214" t="inlineStr"/>
      <c r="G214" s="6">
        <f>HYPERLINK("https://www.kleinanzeigen.de/s-anzeige/windsurf-finne-60cm-formula-rsx-derptruttle/2868842081-230-3886", "Link")</f>
        <v/>
      </c>
      <c r="H214" s="6">
        <f>HYPERLINK("C:\Projects\Kleinanzeigen-Scraper\offer_images\2868842081", "Link")</f>
        <v/>
      </c>
      <c r="I214" t="inlineStr">
        <is>
          <t>olaf</t>
        </is>
      </c>
      <c r="J214" s="6">
        <f>HYPERLINK("https://www.kleinanzeigen.de/s-bestandsliste.html?userId=8857923", "Link")</f>
        <v/>
      </c>
      <c r="K214" s="7" t="n">
        <v>45556.93501157407</v>
      </c>
      <c r="L214" s="3" t="inlineStr">
        <is>
          <t>315.71</t>
        </is>
      </c>
      <c r="M214" t="inlineStr">
        <is>
          <t>München</t>
        </is>
      </c>
    </row>
    <row r="215">
      <c r="A215" t="inlineStr">
        <is>
          <t>Fin: Lessacher Freeride 33cm, Powerbox, guter Zustand</t>
        </is>
      </c>
      <c r="B215" s="4" t="n">
        <v>65</v>
      </c>
      <c r="C215" t="inlineStr"/>
      <c r="D215" t="inlineStr">
        <is>
          <t>45239 Essen - Essen-Werden</t>
        </is>
      </c>
      <c r="E215" s="5" t="n">
        <v>45555</v>
      </c>
      <c r="F215" t="inlineStr"/>
      <c r="G215" s="6">
        <f>HYPERLINK("https://www.kleinanzeigen.de/s-anzeige/windsurf-finne-lessacher-freeride-33-pb/2868830218-230-2044", "Link")</f>
        <v/>
      </c>
      <c r="H215" s="6">
        <f>HYPERLINK("C:\Projects\Kleinanzeigen-Scraper\offer_images\2868830218", "Link")</f>
        <v/>
      </c>
      <c r="I215" t="inlineStr">
        <is>
          <t>Michael Roelofs</t>
        </is>
      </c>
      <c r="J215" s="6">
        <f>HYPERLINK("https://www.kleinanzeigen.de/s-bestandsliste.html?userId=19408772", "Link")</f>
        <v/>
      </c>
      <c r="K215" s="7" t="n">
        <v>45556.93498842593</v>
      </c>
      <c r="L215" s="3" t="inlineStr">
        <is>
          <t>49.14</t>
        </is>
      </c>
      <c r="M215" t="inlineStr">
        <is>
          <t>Köln</t>
        </is>
      </c>
    </row>
    <row r="216">
      <c r="A216" t="inlineStr">
        <is>
          <t>Startschot: Schot für Gabel Windsurfen im guten Zustand</t>
        </is>
      </c>
      <c r="B216" s="4" t="n">
        <v>14</v>
      </c>
      <c r="C216" t="inlineStr"/>
      <c r="D216" t="inlineStr">
        <is>
          <t>59457 Nordrhein-Westfalen - Werl</t>
        </is>
      </c>
      <c r="E216" s="5" t="n">
        <v>45556</v>
      </c>
      <c r="F216" t="inlineStr"/>
      <c r="G216" s="6">
        <f>HYPERLINK("https://www.kleinanzeigen.de/s-anzeige/windsurf-startschot-schot-fuer-gabel-windsurfen/2869675765-230-1449", "Link")</f>
        <v/>
      </c>
      <c r="H216" s="6">
        <f>HYPERLINK("C:\Projects\Kleinanzeigen-Scraper\offer_images\2869675765", "Link")</f>
        <v/>
      </c>
      <c r="I216" t="inlineStr">
        <is>
          <t>HeK</t>
        </is>
      </c>
      <c r="J216" s="6">
        <f>HYPERLINK("https://www.kleinanzeigen.de/s-bestandsliste.html?userId=85644224", "Link")</f>
        <v/>
      </c>
      <c r="K216" s="7" t="n">
        <v>45556.93497685185</v>
      </c>
      <c r="L216" s="3" t="inlineStr">
        <is>
          <t>95.02</t>
        </is>
      </c>
      <c r="M216" t="inlineStr">
        <is>
          <t>Köln</t>
        </is>
      </c>
    </row>
    <row r="217">
      <c r="A217" t="inlineStr">
        <is>
          <t>Fin: Carbon 24cm US Box, lightweight and stiff, includes screw and plate.</t>
        </is>
      </c>
      <c r="B217" s="4" t="n">
        <v>29</v>
      </c>
      <c r="C217" t="inlineStr">
        <is>
          <t>VB</t>
        </is>
      </c>
      <c r="D217" t="inlineStr">
        <is>
          <t>89331 Bayern - Burgau</t>
        </is>
      </c>
      <c r="E217" s="5" t="n">
        <v>45556</v>
      </c>
      <c r="F217" t="inlineStr">
        <is>
          <t>Sold</t>
        </is>
      </c>
      <c r="G217" s="6">
        <f>HYPERLINK("https://www.kleinanzeigen.de/s-anzeige/windsurf-finne-carbon-24cm-us-box/2869404705-230-6711", "Link")</f>
        <v/>
      </c>
      <c r="H217" s="6">
        <f>HYPERLINK("C:\Projects\Kleinanzeigen-Scraper\offer_images\2869404705", "Link")</f>
        <v/>
      </c>
      <c r="I217" t="inlineStr">
        <is>
          <t>Jürgen Adam</t>
        </is>
      </c>
      <c r="J217" s="6">
        <f>HYPERLINK("https://www.kleinanzeigen.de/s-bestandsliste.html?userId=4431328", "Link")</f>
        <v/>
      </c>
      <c r="K217" s="7" t="n">
        <v>45556.93495370371</v>
      </c>
      <c r="L217" s="3" t="inlineStr">
        <is>
          <t>93.60</t>
        </is>
      </c>
      <c r="M217" t="inlineStr">
        <is>
          <t>München</t>
        </is>
      </c>
    </row>
    <row r="218">
      <c r="A218" t="inlineStr">
        <is>
          <t>Control Bars: Naish Torque 2 + Torque QR Bars, Size 55cm, used but in very good condition</t>
        </is>
      </c>
      <c r="B218" s="4" t="n">
        <v>300</v>
      </c>
      <c r="C218" t="inlineStr"/>
      <c r="D218" t="inlineStr">
        <is>
          <t>20251 Hamburg-Nord - Hamburg Eppendorf</t>
        </is>
      </c>
      <c r="E218" s="5" t="n">
        <v>45555</v>
      </c>
      <c r="F218" t="inlineStr"/>
      <c r="G218" s="6">
        <f>HYPERLINK("https://www.kleinanzeigen.de/s-anzeige/naish-torque-2-torque-qr-bars-55cm-/2868854326-230-9475", "Link")</f>
        <v/>
      </c>
      <c r="H218" s="6">
        <f>HYPERLINK("C:\Projects\Kleinanzeigen-Scraper\offer_images\2868854326", "Link")</f>
        <v/>
      </c>
      <c r="I218" t="inlineStr">
        <is>
          <t>Caspar Volquardsen</t>
        </is>
      </c>
      <c r="J218" s="6">
        <f>HYPERLINK("https://www.kleinanzeigen.de/s-bestandsliste.html?userId=37309988", "Link")</f>
        <v/>
      </c>
      <c r="K218" s="7" t="n">
        <v>45556.934375</v>
      </c>
      <c r="L218" s="3" t="inlineStr">
        <is>
          <t>360.06</t>
        </is>
      </c>
      <c r="M218" t="inlineStr">
        <is>
          <t>Köln</t>
        </is>
      </c>
    </row>
    <row r="219">
      <c r="A219" t="inlineStr">
        <is>
          <t>Mastfoot: Mistral ATS Automatic System</t>
        </is>
      </c>
      <c r="B219" s="4" t="n">
        <v>5</v>
      </c>
      <c r="C219" t="inlineStr">
        <is>
          <t>VB</t>
        </is>
      </c>
      <c r="D219" t="inlineStr">
        <is>
          <t>41564 Nordrhein-Westfalen - Kaarst</t>
        </is>
      </c>
      <c r="E219" s="5" t="n">
        <v>45550</v>
      </c>
      <c r="F219" t="inlineStr">
        <is>
          <t>Sold</t>
        </is>
      </c>
      <c r="G219" s="6">
        <f>HYPERLINK("https://www.kleinanzeigen.de/s-anzeige/windsurf-zubehoer-mastfussverlaengerung-gabelbaum-finne-etc-/2864821847-230-2107", "Link")</f>
        <v/>
      </c>
      <c r="H219" s="6">
        <f>HYPERLINK("C:\Projects\Kleinanzeigen-Scraper\offer_images\2864821847", "Link")</f>
        <v/>
      </c>
      <c r="I219" t="inlineStr">
        <is>
          <t>Hans-Jürgen</t>
        </is>
      </c>
      <c r="J219" s="6">
        <f>HYPERLINK("https://www.kleinanzeigen.de/s-bestandsliste.html?userId=67801432", "Link")</f>
        <v/>
      </c>
      <c r="K219" s="7" t="n">
        <v>45556.93434027778</v>
      </c>
      <c r="L219" s="3" t="inlineStr">
        <is>
          <t>39.22</t>
        </is>
      </c>
      <c r="M219" t="inlineStr">
        <is>
          <t>Köln</t>
        </is>
      </c>
    </row>
    <row r="220">
      <c r="A220" t="inlineStr">
        <is>
          <t>Click Bar: Duotone Click Bar 2020, Size S in good condition, includes leash</t>
        </is>
      </c>
      <c r="B220" s="4" t="n">
        <v>260</v>
      </c>
      <c r="C220" t="inlineStr">
        <is>
          <t>VB</t>
        </is>
      </c>
      <c r="D220" t="inlineStr">
        <is>
          <t>33604 Bielefeld - Bielefeld (Innenstadt)</t>
        </is>
      </c>
      <c r="E220" s="5" t="n">
        <v>45554</v>
      </c>
      <c r="F220" t="inlineStr">
        <is>
          <t>Sold</t>
        </is>
      </c>
      <c r="G220" s="6">
        <f>HYPERLINK("https://www.kleinanzeigen.de/s-anzeige/duotone-click-bar-2020-groesse-s/2867683339-230-1066", "Link")</f>
        <v/>
      </c>
      <c r="H220" s="6">
        <f>HYPERLINK("C:\Projects\Kleinanzeigen-Scraper\offer_images\2867683339", "Link")</f>
        <v/>
      </c>
      <c r="I220" t="inlineStr">
        <is>
          <t>Gordon Schücker</t>
        </is>
      </c>
      <c r="J220" s="6">
        <f>HYPERLINK("https://www.kleinanzeigen.de/s-bestandsliste.html?userId=28414823", "Link")</f>
        <v/>
      </c>
      <c r="K220" s="7" t="n">
        <v>45555.565</v>
      </c>
      <c r="L220" s="3" t="inlineStr">
        <is>
          <t>162.16</t>
        </is>
      </c>
      <c r="M220" t="inlineStr">
        <is>
          <t>Köln</t>
        </is>
      </c>
    </row>
    <row r="221">
      <c r="A221" t="inlineStr">
        <is>
          <t>Mastfoot: War nur wenige Male im Einsatz.</t>
        </is>
      </c>
      <c r="B221" s="4" t="n">
        <v>78</v>
      </c>
      <c r="C221" t="inlineStr">
        <is>
          <t>VB</t>
        </is>
      </c>
      <c r="D221" t="inlineStr">
        <is>
          <t>71642 Baden-Württemberg - Ludwigsburg</t>
        </is>
      </c>
      <c r="E221" s="5" t="n">
        <v>45553</v>
      </c>
      <c r="F221" t="inlineStr"/>
      <c r="G221" s="6">
        <f>HYPERLINK("https://www.kleinanzeigen.de/s-anzeige/windsurfen-mastfuss/2867549294-230-9064", "Link")</f>
        <v/>
      </c>
      <c r="H221" s="6">
        <f>HYPERLINK("C:\Projects\Kleinanzeigen-Scraper\offer_images\2867549294", "Link")</f>
        <v/>
      </c>
      <c r="I221" t="inlineStr">
        <is>
          <t>Miri Debo</t>
        </is>
      </c>
      <c r="J221" s="6">
        <f>HYPERLINK("https://www.kleinanzeigen.de/s-bestandsliste.html?userId=29592233", "Link")</f>
        <v/>
      </c>
      <c r="K221" s="7" t="n">
        <v>45555.56497685185</v>
      </c>
      <c r="L221" s="3" t="inlineStr">
        <is>
          <t>32.88</t>
        </is>
      </c>
      <c r="M221" t="inlineStr">
        <is>
          <t>Böblingen</t>
        </is>
      </c>
    </row>
    <row r="222">
      <c r="A222" t="inlineStr">
        <is>
          <t>Fin: G-10 Finne, 35 cm, neuwertig ohne Kratzer</t>
        </is>
      </c>
      <c r="B222" s="4" t="n">
        <v>65</v>
      </c>
      <c r="C222" t="inlineStr"/>
      <c r="D222" t="inlineStr">
        <is>
          <t>48477 Nordrhein-Westfalen - Hörstel</t>
        </is>
      </c>
      <c r="E222" s="5" t="n">
        <v>45550</v>
      </c>
      <c r="F222" t="inlineStr">
        <is>
          <t>Sold</t>
        </is>
      </c>
      <c r="G222" s="6">
        <f>HYPERLINK("https://www.kleinanzeigen.de/s-anzeige/windsurf-finne-g-10-wind-gear-35-cm/2864946648-230-1253", "Link")</f>
        <v/>
      </c>
      <c r="H222" s="6">
        <f>HYPERLINK("C:\Projects\Kleinanzeigen-Scraper\offer_images\2864946648", "Link")</f>
        <v/>
      </c>
      <c r="I222" t="inlineStr">
        <is>
          <t>Rhode</t>
        </is>
      </c>
      <c r="J222" s="6">
        <f>HYPERLINK("https://www.kleinanzeigen.de/s-bestandsliste.html?userId=11671928", "Link")</f>
        <v/>
      </c>
      <c r="K222" s="7" t="n">
        <v>45555.56469907407</v>
      </c>
      <c r="L222" s="3" t="inlineStr">
        <is>
          <t>157.42</t>
        </is>
      </c>
      <c r="M222" t="inlineStr">
        <is>
          <t>Köln</t>
        </is>
      </c>
    </row>
    <row r="223">
      <c r="A223" t="inlineStr">
        <is>
          <t>Mast extension: North Sails Power XT with ratchet, 42 cm length</t>
        </is>
      </c>
      <c r="B223" s="4" t="n">
        <v>85</v>
      </c>
      <c r="C223" t="inlineStr"/>
      <c r="D223" t="inlineStr">
        <is>
          <t>70374 Stuttgart - Bad Cannstatt</t>
        </is>
      </c>
      <c r="E223" s="5" t="n">
        <v>45554</v>
      </c>
      <c r="F223" t="inlineStr"/>
      <c r="G223" s="6">
        <f>HYPERLINK("https://www.kleinanzeigen.de/s-anzeige/north-sails-power-xt-42-mastverlaengerung-ratsche/2868189889-230-9335", "Link")</f>
        <v/>
      </c>
      <c r="H223" s="6">
        <f>HYPERLINK("C:\Projects\Kleinanzeigen-Scraper\offer_images\2868189889", "Link")</f>
        <v/>
      </c>
      <c r="I223" t="inlineStr">
        <is>
          <t>Stephan</t>
        </is>
      </c>
      <c r="J223" s="6">
        <f>HYPERLINK("https://www.kleinanzeigen.de/s-bestandsliste.html?userId=35669520", "Link")</f>
        <v/>
      </c>
      <c r="K223" s="7" t="n">
        <v>45555.56456018519</v>
      </c>
      <c r="L223" s="3" t="inlineStr">
        <is>
          <t>24.40</t>
        </is>
      </c>
      <c r="M223" t="inlineStr">
        <is>
          <t>Böblingen</t>
        </is>
      </c>
    </row>
    <row r="224">
      <c r="A224" t="inlineStr">
        <is>
          <t>Fins: Various Powerbox fins available for sale, including sizes 31, 34, 38, 40, 42, and 44 cm, with prices ranging from 30€ to 60€.</t>
        </is>
      </c>
      <c r="B224" s="4" t="n">
        <v>30</v>
      </c>
      <c r="C224" t="inlineStr"/>
      <c r="D224" t="inlineStr">
        <is>
          <t>12527 Berlin - Köpenick</t>
        </is>
      </c>
      <c r="E224" s="5" t="n">
        <v>45553</v>
      </c>
      <c r="F224" t="inlineStr">
        <is>
          <t>Sold</t>
        </is>
      </c>
      <c r="G224" s="6">
        <f>HYPERLINK("https://www.kleinanzeigen.de/s-anzeige/powerbox-finne-fanatic-neilpryde-north-sails-tabou-rrd-duotone/2867118812-230-3370", "Link")</f>
        <v/>
      </c>
      <c r="H224" s="6">
        <f>HYPERLINK("C:\Projects\Kleinanzeigen-Scraper\offer_images\2867118812", "Link")</f>
        <v/>
      </c>
      <c r="I224" t="inlineStr">
        <is>
          <t>ste</t>
        </is>
      </c>
      <c r="J224" s="6">
        <f>HYPERLINK("https://www.kleinanzeigen.de/s-bestandsliste.html?userId=27311742", "Link")</f>
        <v/>
      </c>
      <c r="K224" s="7" t="n">
        <v>45555.56454861111</v>
      </c>
      <c r="L224" s="3" t="inlineStr">
        <is>
          <t>487.71</t>
        </is>
      </c>
      <c r="M224" t="inlineStr">
        <is>
          <t>Köln</t>
        </is>
      </c>
    </row>
    <row r="225">
      <c r="A225" t="inlineStr">
        <is>
          <t>Fin: Custom-Carbon Weedfinne Slalom Duo Weed 36cm for Deep Tuttle Box</t>
        </is>
      </c>
      <c r="B225" s="4" t="n">
        <v>139</v>
      </c>
      <c r="C225" t="inlineStr"/>
      <c r="D225" t="inlineStr">
        <is>
          <t>52078 Aachen - Aachen-Brand</t>
        </is>
      </c>
      <c r="E225" s="5" t="n">
        <v>45553</v>
      </c>
      <c r="F225" t="inlineStr">
        <is>
          <t>Sold</t>
        </is>
      </c>
      <c r="G225" s="6">
        <f>HYPERLINK("https://www.kleinanzeigen.de/s-anzeige/windsurfen-seegrasfinne-lessacher-slalom-duo-weed-36-dtt-carbon/2867051579-230-1926", "Link")</f>
        <v/>
      </c>
      <c r="H225" s="6">
        <f>HYPERLINK("C:\Projects\Kleinanzeigen-Scraper\offer_images\2867051579", "Link")</f>
        <v/>
      </c>
      <c r="I225" t="inlineStr">
        <is>
          <t>Carsten Stieler</t>
        </is>
      </c>
      <c r="J225" s="6">
        <f>HYPERLINK("https://www.kleinanzeigen.de/s-bestandsliste.html?userId=18114647", "Link")</f>
        <v/>
      </c>
      <c r="K225" s="7" t="n">
        <v>45555.56417824074</v>
      </c>
      <c r="L225" s="3" t="inlineStr">
        <is>
          <t>59.31</t>
        </is>
      </c>
      <c r="M225" t="inlineStr">
        <is>
          <t>Köln</t>
        </is>
      </c>
    </row>
    <row r="226">
      <c r="A226" t="inlineStr">
        <is>
          <t>Harness: ION Ripper Kinder Trapez XS with removable seat harness, very well maintained</t>
        </is>
      </c>
      <c r="B226" s="4" t="n">
        <v>35</v>
      </c>
      <c r="C226" t="inlineStr">
        <is>
          <t>VB</t>
        </is>
      </c>
      <c r="D226" t="inlineStr">
        <is>
          <t>96103 Bayern - Hallstadt</t>
        </is>
      </c>
      <c r="E226" s="5" t="n">
        <v>45551</v>
      </c>
      <c r="F226" t="inlineStr">
        <is>
          <t>Sold</t>
        </is>
      </c>
      <c r="G226" s="6">
        <f>HYPERLINK("https://www.kleinanzeigen.de/s-anzeige/ion-ripper-kinder-trapez-xs-windsurf/2865872041-230-6900", "Link")</f>
        <v/>
      </c>
      <c r="H226" s="6">
        <f>HYPERLINK("C:\Projects\Kleinanzeigen-Scraper\offer_images\2865872041", "Link")</f>
        <v/>
      </c>
      <c r="I226" t="inlineStr">
        <is>
          <t>Susi Peter</t>
        </is>
      </c>
      <c r="J226" s="6">
        <f>HYPERLINK("https://www.kleinanzeigen.de/s-bestandsliste.html?userId=23842573", "Link")</f>
        <v/>
      </c>
      <c r="K226" s="7" t="n">
        <v>45555.56415509259</v>
      </c>
      <c r="L226" s="3" t="inlineStr">
        <is>
          <t>195.45</t>
        </is>
      </c>
      <c r="M226" t="inlineStr">
        <is>
          <t>Böblingen</t>
        </is>
      </c>
    </row>
    <row r="227">
      <c r="A227" t="inlineStr">
        <is>
          <t>Trapeztampen: 26 Severne in blue and red, good used condition</t>
        </is>
      </c>
      <c r="B227" s="4" t="n">
        <v>13</v>
      </c>
      <c r="C227" t="inlineStr">
        <is>
          <t>VB</t>
        </is>
      </c>
      <c r="D227" t="inlineStr">
        <is>
          <t>23858 Schleswig-Holstein - Reinfeld</t>
        </is>
      </c>
      <c r="E227" s="5" t="n">
        <v>45553</v>
      </c>
      <c r="F227" t="inlineStr"/>
      <c r="G227" s="6">
        <f>HYPERLINK("https://www.kleinanzeigen.de/s-anzeige/trapeztampen-26-severne-blau-rot/2867123825-230-764", "Link")</f>
        <v/>
      </c>
      <c r="H227" s="6">
        <f>HYPERLINK("C:\Projects\Kleinanzeigen-Scraper\offer_images\2867123825", "Link")</f>
        <v/>
      </c>
      <c r="I227" t="inlineStr">
        <is>
          <t>Annika</t>
        </is>
      </c>
      <c r="J227" s="6">
        <f>HYPERLINK("https://www.kleinanzeigen.de/s-bestandsliste.html?userId=33381382", "Link")</f>
        <v/>
      </c>
      <c r="K227" s="7" t="n">
        <v>45555.56413194445</v>
      </c>
      <c r="L227" s="3" t="inlineStr">
        <is>
          <t>401.28</t>
        </is>
      </c>
      <c r="M227" t="inlineStr">
        <is>
          <t>Köln</t>
        </is>
      </c>
    </row>
    <row r="228">
      <c r="A228" t="inlineStr">
        <is>
          <t>Fins: K4 Thruster Set-Up with 20cm Center Fin (Powerbox) and 10cm Side Fins (Slot-Box)</t>
        </is>
      </c>
      <c r="B228" s="4" t="n">
        <v>49</v>
      </c>
      <c r="C228" t="inlineStr"/>
      <c r="D228" t="inlineStr">
        <is>
          <t>22765 Altona - Hamburg Ottensen</t>
        </is>
      </c>
      <c r="E228" s="5" t="n">
        <v>45553</v>
      </c>
      <c r="F228" t="inlineStr"/>
      <c r="G228" s="6">
        <f>HYPERLINK("https://www.kleinanzeigen.de/s-anzeige/windsurf-finne-k4-thruster-set-up/2867058189-230-9504", "Link")</f>
        <v/>
      </c>
      <c r="H228" s="6">
        <f>HYPERLINK("C:\Projects\Kleinanzeigen-Scraper\offer_images\2867058189", "Link")</f>
        <v/>
      </c>
      <c r="I228" t="inlineStr">
        <is>
          <t>Ralf</t>
        </is>
      </c>
      <c r="J228" s="6">
        <f>HYPERLINK("https://www.kleinanzeigen.de/s-bestandsliste.html?userId=1763693", "Link")</f>
        <v/>
      </c>
      <c r="K228" s="7" t="n">
        <v>45555.56395833333</v>
      </c>
      <c r="L228" s="3" t="inlineStr">
        <is>
          <t>354.49</t>
        </is>
      </c>
      <c r="M228" t="inlineStr">
        <is>
          <t>Köln</t>
        </is>
      </c>
    </row>
    <row r="229">
      <c r="A229" t="inlineStr">
        <is>
          <t>Bindings: Duotone Entity NTT, lightly used, size M or XL</t>
        </is>
      </c>
      <c r="B229" s="4" t="n">
        <v>135</v>
      </c>
      <c r="C229" t="inlineStr"/>
      <c r="D229" t="inlineStr">
        <is>
          <t>26427 Niedersachsen - Neuharlingersiel</t>
        </is>
      </c>
      <c r="E229" s="5" t="n">
        <v>45554</v>
      </c>
      <c r="F229" t="inlineStr">
        <is>
          <t>Sold</t>
        </is>
      </c>
      <c r="G229" s="6">
        <f>HYPERLINK("https://www.kleinanzeigen.de/s-anzeige/duotone-entity-bindung-ntt-neuwertig/2867897968-230-17528", "Link")</f>
        <v/>
      </c>
      <c r="H229" s="6">
        <f>HYPERLINK("C:\Projects\Kleinanzeigen-Scraper\offer_images\2867897968", "Link")</f>
        <v/>
      </c>
      <c r="I229" t="inlineStr">
        <is>
          <t>Surfschule Windloop</t>
        </is>
      </c>
      <c r="J229" s="6">
        <f>HYPERLINK("https://www.kleinanzeigen.de/s-bestandsliste.html?userId=66736229", "Link")</f>
        <v/>
      </c>
      <c r="K229" s="7" t="n">
        <v>45555.56388888889</v>
      </c>
      <c r="L229" s="3" t="inlineStr">
        <is>
          <t>304.19</t>
        </is>
      </c>
      <c r="M229" t="inlineStr">
        <is>
          <t>Köln</t>
        </is>
      </c>
    </row>
    <row r="230">
      <c r="A230" t="inlineStr">
        <is>
          <t>Impact Vest: XXL from Neilpryde, very well maintained</t>
        </is>
      </c>
      <c r="B230" s="4" t="n">
        <v>25</v>
      </c>
      <c r="C230" t="inlineStr">
        <is>
          <t>VB</t>
        </is>
      </c>
      <c r="D230" t="inlineStr">
        <is>
          <t>85411 Bayern - Hohenkammer</t>
        </is>
      </c>
      <c r="E230" s="5" t="n">
        <v>45552</v>
      </c>
      <c r="F230" t="inlineStr"/>
      <c r="G230" s="6">
        <f>HYPERLINK("https://www.kleinanzeigen.de/s-anzeige/schwimmweste-prallschutzweste-xxl-von-neilpryde/2866215066-230-5844", "Link")</f>
        <v/>
      </c>
      <c r="H230" s="6">
        <f>HYPERLINK("C:\Projects\Kleinanzeigen-Scraper\offer_images\2866215066", "Link")</f>
        <v/>
      </c>
      <c r="I230" t="inlineStr">
        <is>
          <t>J.Raspe</t>
        </is>
      </c>
      <c r="J230" s="6">
        <f>HYPERLINK("https://www.kleinanzeigen.de/s-bestandsliste.html?userId=23458345", "Link")</f>
        <v/>
      </c>
      <c r="K230" s="7" t="n">
        <v>45555.56380787037</v>
      </c>
      <c r="L230" s="3" t="inlineStr">
        <is>
          <t>32.21</t>
        </is>
      </c>
      <c r="M230" t="inlineStr">
        <is>
          <t>München</t>
        </is>
      </c>
    </row>
    <row r="231">
      <c r="A231" t="inlineStr">
        <is>
          <t>Harness: North Sitztrapez in sehr gutem Zustand, Größe M</t>
        </is>
      </c>
      <c r="B231" s="4" t="n">
        <v>35</v>
      </c>
      <c r="C231" t="inlineStr"/>
      <c r="D231" t="inlineStr">
        <is>
          <t>76448 Baden-Württemberg - Durmersheim</t>
        </is>
      </c>
      <c r="E231" s="5" t="n">
        <v>45554</v>
      </c>
      <c r="F231" t="inlineStr">
        <is>
          <t>Sold</t>
        </is>
      </c>
      <c r="G231" s="6">
        <f>HYPERLINK("https://www.kleinanzeigen.de/s-anzeige/north-trapez-windsurfen-sitztrapez/2868466197-230-8165", "Link")</f>
        <v/>
      </c>
      <c r="H231" s="6">
        <f>HYPERLINK("C:\Projects\Kleinanzeigen-Scraper\offer_images\2868466197", "Link")</f>
        <v/>
      </c>
      <c r="I231" t="inlineStr">
        <is>
          <t>Thomas S.</t>
        </is>
      </c>
      <c r="J231" s="6">
        <f>HYPERLINK("https://www.kleinanzeigen.de/s-bestandsliste.html?userId=61821198", "Link")</f>
        <v/>
      </c>
      <c r="K231" s="7" t="n">
        <v>45555.56358796296</v>
      </c>
      <c r="L231" s="3" t="inlineStr">
        <is>
          <t>10.55</t>
        </is>
      </c>
      <c r="M231" t="inlineStr">
        <is>
          <t>Karlsruhe</t>
        </is>
      </c>
    </row>
    <row r="232">
      <c r="A232" t="inlineStr">
        <is>
          <t>Mastprotektoren: Two unused mast protectors, one includes an emergency fin for returning to shore in case of a fin break.</t>
        </is>
      </c>
      <c r="B232" s="4" t="n">
        <v>15</v>
      </c>
      <c r="C232" t="inlineStr"/>
      <c r="D232" t="inlineStr">
        <is>
          <t>32760 Nordrhein-Westfalen - Detmold</t>
        </is>
      </c>
      <c r="E232" s="5" t="n">
        <v>45553</v>
      </c>
      <c r="F232" t="inlineStr">
        <is>
          <t>Sold</t>
        </is>
      </c>
      <c r="G232" s="6">
        <f>HYPERLINK("https://www.kleinanzeigen.de/s-anzeige/windsurf-mastprotektoren-einer-enthaelt-eine-notfinne/2867285817-230-1795", "Link")</f>
        <v/>
      </c>
      <c r="H232" s="6">
        <f>HYPERLINK("C:\Projects\Kleinanzeigen-Scraper\offer_images\2867285817", "Link")</f>
        <v/>
      </c>
      <c r="I232" t="inlineStr">
        <is>
          <t>Privat</t>
        </is>
      </c>
      <c r="J232" s="6">
        <f>HYPERLINK("https://www.kleinanzeigen.de/s-bestandsliste.html?userId=17823233", "Link")</f>
        <v/>
      </c>
      <c r="K232" s="7" t="n">
        <v>45555.56357638889</v>
      </c>
      <c r="L232" s="3" t="inlineStr">
        <is>
          <t>172.40</t>
        </is>
      </c>
      <c r="M232" t="inlineStr">
        <is>
          <t>Köln</t>
        </is>
      </c>
    </row>
    <row r="233">
      <c r="A233" t="inlineStr">
        <is>
          <t>Mastfoot: Stiff base without universal joint, in nearly new condition</t>
        </is>
      </c>
      <c r="B233" s="4" t="n">
        <v>22</v>
      </c>
      <c r="C233" t="inlineStr">
        <is>
          <t>VB</t>
        </is>
      </c>
      <c r="D233" t="inlineStr">
        <is>
          <t>82211 Bayern - Herrsching</t>
        </is>
      </c>
      <c r="E233" s="5" t="n">
        <v>45552</v>
      </c>
      <c r="F233" t="inlineStr">
        <is>
          <t>Sold</t>
        </is>
      </c>
      <c r="G233" s="6">
        <f>HYPERLINK("https://www.kleinanzeigen.de/s-anzeige/unifiber-mastuss-windsurfen-base-powerjoint-starr-top-zustand/2866804303-230-5520", "Link")</f>
        <v/>
      </c>
      <c r="H233" s="6">
        <f>HYPERLINK("C:\Projects\Kleinanzeigen-Scraper\offer_images\2866804303", "Link")</f>
        <v/>
      </c>
      <c r="I233" t="inlineStr">
        <is>
          <t>Paul</t>
        </is>
      </c>
      <c r="J233" s="6">
        <f>HYPERLINK("https://www.kleinanzeigen.de/s-bestandsliste.html?userId=3420269", "Link")</f>
        <v/>
      </c>
      <c r="K233" s="7" t="n">
        <v>45555.56354166667</v>
      </c>
      <c r="L233" s="3" t="inlineStr">
        <is>
          <t>32.73</t>
        </is>
      </c>
      <c r="M233" t="inlineStr">
        <is>
          <t>München</t>
        </is>
      </c>
    </row>
    <row r="234">
      <c r="A234" t="inlineStr">
        <is>
          <t>Clickbar: Duotone Clickbar 2025 M 22/24</t>
        </is>
      </c>
      <c r="B234" s="4" t="n">
        <v>759</v>
      </c>
      <c r="C234" t="inlineStr">
        <is>
          <t>VB</t>
        </is>
      </c>
      <c r="D234" t="inlineStr">
        <is>
          <t>23769 Fehmarn - Westfehmarn</t>
        </is>
      </c>
      <c r="E234" s="5" t="n">
        <v>45553</v>
      </c>
      <c r="F234" t="inlineStr">
        <is>
          <t>Sold</t>
        </is>
      </c>
      <c r="G234" s="6">
        <f>HYPERLINK("https://www.kleinanzeigen.de/s-anzeige/duotone-clickbar-2025/2867102821-230-430", "Link")</f>
        <v/>
      </c>
      <c r="H234" s="6">
        <f>HYPERLINK("C:\Projects\Kleinanzeigen-Scraper\offer_images\2867102821", "Link")</f>
        <v/>
      </c>
      <c r="I234" t="inlineStr">
        <is>
          <t>No user name</t>
        </is>
      </c>
      <c r="J234" s="6">
        <f>HYPERLINK("https://www.kleinanzeigen.deNo user link", "Link")</f>
        <v/>
      </c>
      <c r="K234" s="7" t="n">
        <v>45555.56331018519</v>
      </c>
      <c r="L234" s="3" t="inlineStr">
        <is>
          <t>483.01</t>
        </is>
      </c>
      <c r="M234" t="inlineStr">
        <is>
          <t>Köln</t>
        </is>
      </c>
    </row>
    <row r="235">
      <c r="A235" t="inlineStr">
        <is>
          <t>Fin: Maui Ultra Fins 28 cm X-WEED in G-10, nearly new condition</t>
        </is>
      </c>
      <c r="B235" s="4" t="n">
        <v>75</v>
      </c>
      <c r="C235" t="inlineStr"/>
      <c r="D235" t="inlineStr">
        <is>
          <t>48477 Nordrhein-Westfalen - Hörstel</t>
        </is>
      </c>
      <c r="E235" s="5" t="n">
        <v>45550</v>
      </c>
      <c r="F235" t="inlineStr">
        <is>
          <t>Sold</t>
        </is>
      </c>
      <c r="G235" s="6">
        <f>HYPERLINK("https://www.kleinanzeigen.de/s-anzeige/windsurf-finne-maui-ultra-fins-28-cm-x-weed-in-g-10/2864942631-230-1253", "Link")</f>
        <v/>
      </c>
      <c r="H235" s="6">
        <f>HYPERLINK("C:\Projects\Kleinanzeigen-Scraper\offer_images\2864942631", "Link")</f>
        <v/>
      </c>
      <c r="I235" t="inlineStr">
        <is>
          <t>Rhode</t>
        </is>
      </c>
      <c r="J235" s="6">
        <f>HYPERLINK("https://www.kleinanzeigen.de/s-bestandsliste.html?userId=11671928", "Link")</f>
        <v/>
      </c>
      <c r="K235" s="7" t="n">
        <v>45555.56328703704</v>
      </c>
      <c r="L235" s="3" t="inlineStr">
        <is>
          <t>157.42</t>
        </is>
      </c>
      <c r="M235" t="inlineStr">
        <is>
          <t>Köln</t>
        </is>
      </c>
    </row>
    <row r="236">
      <c r="A236" t="inlineStr">
        <is>
          <t>Grip: Original Duotone grip with screws</t>
        </is>
      </c>
      <c r="B236" s="4" t="n">
        <v>10</v>
      </c>
      <c r="C236" t="inlineStr"/>
      <c r="D236" t="inlineStr">
        <is>
          <t>26427 Niedersachsen - Neuharlingersiel</t>
        </is>
      </c>
      <c r="E236" s="5" t="n">
        <v>45553</v>
      </c>
      <c r="F236" t="inlineStr">
        <is>
          <t>Sold</t>
        </is>
      </c>
      <c r="G236" s="6">
        <f>HYPERLINK("https://www.kleinanzeigen.de/s-anzeige/duotone-griff-schrauben/2866904305-230-17528", "Link")</f>
        <v/>
      </c>
      <c r="H236" s="6">
        <f>HYPERLINK("C:\Projects\Kleinanzeigen-Scraper\offer_images\2866904305", "Link")</f>
        <v/>
      </c>
      <c r="I236" t="inlineStr">
        <is>
          <t>Surfschule Windloop</t>
        </is>
      </c>
      <c r="J236" s="6">
        <f>HYPERLINK("https://www.kleinanzeigen.de/s-bestandsliste.html?userId=66736229", "Link")</f>
        <v/>
      </c>
      <c r="K236" s="7" t="n">
        <v>45555.56315972222</v>
      </c>
      <c r="L236" s="3" t="inlineStr">
        <is>
          <t>304.19</t>
        </is>
      </c>
      <c r="M236" t="inlineStr">
        <is>
          <t>Köln</t>
        </is>
      </c>
    </row>
    <row r="237">
      <c r="A237" t="inlineStr">
        <is>
          <t>Safety Leash: Neue, unbenutzte safety leash von Duotone.</t>
        </is>
      </c>
      <c r="B237" s="4" t="n">
        <v>25</v>
      </c>
      <c r="C237" t="inlineStr"/>
      <c r="D237" t="inlineStr">
        <is>
          <t>17179 Mecklenburg-Vorpommern - Gnoien</t>
        </is>
      </c>
      <c r="E237" s="5" t="n">
        <v>45555</v>
      </c>
      <c r="F237" t="inlineStr">
        <is>
          <t>Sold</t>
        </is>
      </c>
      <c r="G237" s="6">
        <f>HYPERLINK("https://www.kleinanzeigen.de/s-anzeige/duotone-safety-leash/2868524574-230-80", "Link")</f>
        <v/>
      </c>
      <c r="H237" s="6">
        <f>HYPERLINK("C:\Projects\Kleinanzeigen-Scraper\offer_images\2868524574", "Link")</f>
        <v/>
      </c>
      <c r="I237" t="inlineStr">
        <is>
          <t>E. Schoknecht</t>
        </is>
      </c>
      <c r="J237" s="6">
        <f>HYPERLINK("https://www.kleinanzeigen.de/s-bestandsliste.html?userId=4392849", "Link")</f>
        <v/>
      </c>
      <c r="K237" s="7" t="n">
        <v>45555.56309027778</v>
      </c>
      <c r="L237" s="3" t="inlineStr">
        <is>
          <t>515.06</t>
        </is>
      </c>
      <c r="M237" t="inlineStr">
        <is>
          <t>Köln</t>
        </is>
      </c>
    </row>
    <row r="238">
      <c r="A238" t="inlineStr">
        <is>
          <t>Fin: Power Box Wave Finne</t>
        </is>
      </c>
      <c r="B238" s="4" t="n">
        <v>20</v>
      </c>
      <c r="C238" t="inlineStr"/>
      <c r="D238" t="inlineStr">
        <is>
          <t>47198 Duisburg - Homberg/Ruhrort/Baerl</t>
        </is>
      </c>
      <c r="E238" s="5" t="n">
        <v>45546</v>
      </c>
      <c r="F238" t="inlineStr">
        <is>
          <t>Sold</t>
        </is>
      </c>
      <c r="G238" s="6">
        <f>HYPERLINK("https://www.kleinanzeigen.de/s-anzeige/fins-skater-wave-finne-windsurfen/2860628009-230-2140", "Link")</f>
        <v/>
      </c>
      <c r="H238" s="6">
        <f>HYPERLINK("C:\Projects\Kleinanzeigen-Scraper\offer_images\2860628009", "Link")</f>
        <v/>
      </c>
      <c r="I238" t="inlineStr">
        <is>
          <t>Stephan Kalbertod</t>
        </is>
      </c>
      <c r="J238" s="6">
        <f>HYPERLINK("https://www.kleinanzeigen.de/s-bestandsliste.html?userId=8064073", "Link")</f>
        <v/>
      </c>
      <c r="K238" s="7" t="n">
        <v>45555.56293981482</v>
      </c>
      <c r="L238" s="3" t="inlineStr">
        <is>
          <t>59.95</t>
        </is>
      </c>
      <c r="M238" t="inlineStr">
        <is>
          <t>Köln</t>
        </is>
      </c>
    </row>
    <row r="239">
      <c r="A239" t="inlineStr">
        <is>
          <t>Fins: JP Thruster Set-Up, includes 27 cm center fin (Powerbox) and 10 cm side fins (Mini-Tuttle-Box)</t>
        </is>
      </c>
      <c r="B239" s="4" t="n">
        <v>75</v>
      </c>
      <c r="C239" t="inlineStr"/>
      <c r="D239" t="inlineStr">
        <is>
          <t>22765 Altona - Hamburg Ottensen</t>
        </is>
      </c>
      <c r="E239" s="5" t="n">
        <v>45553</v>
      </c>
      <c r="F239" t="inlineStr"/>
      <c r="G239" s="6">
        <f>HYPERLINK("https://www.kleinanzeigen.de/s-anzeige/windsurf-finne-jp-thruster-set-up-neu-aus-fsw-103-liter/2867057101-230-9504", "Link")</f>
        <v/>
      </c>
      <c r="H239" s="6">
        <f>HYPERLINK("C:\Projects\Kleinanzeigen-Scraper\offer_images\2867057101", "Link")</f>
        <v/>
      </c>
      <c r="I239" t="inlineStr">
        <is>
          <t>Ralf</t>
        </is>
      </c>
      <c r="J239" s="6">
        <f>HYPERLINK("https://www.kleinanzeigen.de/s-bestandsliste.html?userId=1763693", "Link")</f>
        <v/>
      </c>
      <c r="K239" s="7" t="n">
        <v>45555.56255787037</v>
      </c>
      <c r="L239" s="3" t="inlineStr">
        <is>
          <t>354.49</t>
        </is>
      </c>
      <c r="M239" t="inlineStr">
        <is>
          <t>Köln</t>
        </is>
      </c>
    </row>
    <row r="240">
      <c r="A240" t="inlineStr">
        <is>
          <t>Harness: Fanatic Sitztrapez, wenig gebraucht</t>
        </is>
      </c>
      <c r="B240" s="4" t="n">
        <v>20</v>
      </c>
      <c r="C240" t="inlineStr">
        <is>
          <t>VB</t>
        </is>
      </c>
      <c r="D240" t="inlineStr">
        <is>
          <t>22399 Wandsbek - Hamburg Poppenbüttel</t>
        </is>
      </c>
      <c r="E240" s="5" t="n">
        <v>45553</v>
      </c>
      <c r="F240" t="inlineStr"/>
      <c r="G240" s="6">
        <f>HYPERLINK("https://www.kleinanzeigen.de/s-anzeige/fanatic-sitztrapez-windsurfen/2867313328-230-18568", "Link")</f>
        <v/>
      </c>
      <c r="H240" s="6">
        <f>HYPERLINK("C:\Projects\Kleinanzeigen-Scraper\offer_images\2867313328", "Link")</f>
        <v/>
      </c>
      <c r="I240" t="inlineStr">
        <is>
          <t>Delis</t>
        </is>
      </c>
      <c r="J240" s="6">
        <f>HYPERLINK("https://www.kleinanzeigen.de/s-bestandsliste.html?userId=8582475", "Link")</f>
        <v/>
      </c>
      <c r="K240" s="7" t="n">
        <v>45555.56240740741</v>
      </c>
      <c r="L240" s="3" t="inlineStr">
        <is>
          <t>369.80</t>
        </is>
      </c>
      <c r="M240" t="inlineStr">
        <is>
          <t>Köln</t>
        </is>
      </c>
    </row>
    <row r="241">
      <c r="A241" t="inlineStr">
        <is>
          <t>Fin: Windsurf fin from Concrete Wave</t>
        </is>
      </c>
      <c r="B241" s="4" t="n">
        <v>25</v>
      </c>
      <c r="C241" t="inlineStr"/>
      <c r="D241" t="inlineStr">
        <is>
          <t>29225 Niedersachsen - Celle</t>
        </is>
      </c>
      <c r="E241" s="5" t="n">
        <v>45552</v>
      </c>
      <c r="F241" t="inlineStr">
        <is>
          <t>Sold</t>
        </is>
      </c>
      <c r="G241" s="6">
        <f>HYPERLINK("https://www.kleinanzeigen.de/s-anzeige/windsurf-finne/2866115610-230-3199", "Link")</f>
        <v/>
      </c>
      <c r="H241" s="6">
        <f>HYPERLINK("C:\Projects\Kleinanzeigen-Scraper\offer_images\2866115610", "Link")</f>
        <v/>
      </c>
      <c r="I241" t="inlineStr">
        <is>
          <t>Jogi</t>
        </is>
      </c>
      <c r="J241" s="6">
        <f>HYPERLINK("https://www.kleinanzeigen.de/s-bestandsliste.html?userId=122181898", "Link")</f>
        <v/>
      </c>
      <c r="K241" s="7" t="n">
        <v>45555.56225694445</v>
      </c>
      <c r="L241" s="3" t="inlineStr">
        <is>
          <t>281.45</t>
        </is>
      </c>
      <c r="M241" t="inlineStr">
        <is>
          <t>Köln</t>
        </is>
      </c>
    </row>
    <row r="242">
      <c r="A242" t="inlineStr">
        <is>
          <t>Harness: Neilpryde women's hip harness, size small, adjustable, with aluminum hook and padded back support</t>
        </is>
      </c>
      <c r="B242" s="4" t="n">
        <v>55</v>
      </c>
      <c r="C242" t="inlineStr"/>
      <c r="D242" t="inlineStr">
        <is>
          <t>85293 Bayern - Reichertshausen</t>
        </is>
      </c>
      <c r="E242" s="5" t="n">
        <v>45504</v>
      </c>
      <c r="F242" t="inlineStr">
        <is>
          <t>Sold</t>
        </is>
      </c>
      <c r="G242" s="6">
        <f>HYPERLINK("https://www.kleinanzeigen.de/s-anzeige/windsurfen-huefttrapez-neilpryde-damen-small/2825686957-230-5838", "Link")</f>
        <v/>
      </c>
      <c r="H242" s="6">
        <f>HYPERLINK("C:\Projects\Kleinanzeigen-Scraper\offer_images\2825686957", "Link")</f>
        <v/>
      </c>
      <c r="I242" t="inlineStr">
        <is>
          <t>Schneider</t>
        </is>
      </c>
      <c r="J242" s="6">
        <f>HYPERLINK("https://www.kleinanzeigen.de/s-bestandsliste.html?userId=43644312", "Link")</f>
        <v/>
      </c>
      <c r="K242" s="7" t="n">
        <v>45555.56208333333</v>
      </c>
      <c r="L242" s="3" t="inlineStr">
        <is>
          <t>36.32</t>
        </is>
      </c>
      <c r="M242" t="inlineStr">
        <is>
          <t>München</t>
        </is>
      </c>
    </row>
    <row r="243">
      <c r="A243" t="inlineStr">
        <is>
          <t>Hüfttrapez, Helm, Prallweste: Used for windsurfing and other activities.</t>
        </is>
      </c>
      <c r="B243" s="4" t="n">
        <v>30</v>
      </c>
      <c r="C243" t="inlineStr">
        <is>
          <t>VB</t>
        </is>
      </c>
      <c r="D243" t="inlineStr">
        <is>
          <t>71672 Baden-Württemberg - Marbach am Neckar</t>
        </is>
      </c>
      <c r="E243" s="5" t="n">
        <v>45554</v>
      </c>
      <c r="F243" t="inlineStr"/>
      <c r="G243" s="6">
        <f>HYPERLINK("https://www.kleinanzeigen.de/s-anzeige/surfen-windsurfen-trapez-helm-prallweste/2867782986-230-8445", "Link")</f>
        <v/>
      </c>
      <c r="H243" s="6">
        <f>HYPERLINK("C:\Projects\Kleinanzeigen-Scraper\offer_images\2867782986", "Link")</f>
        <v/>
      </c>
      <c r="I243" t="inlineStr">
        <is>
          <t>Jere</t>
        </is>
      </c>
      <c r="J243" s="6">
        <f>HYPERLINK("https://www.kleinanzeigen.de/s-bestandsliste.html?userId=17813406", "Link")</f>
        <v/>
      </c>
      <c r="K243" s="7" t="n">
        <v>45555.56201388889</v>
      </c>
      <c r="L243" s="3" t="inlineStr">
        <is>
          <t>35.94</t>
        </is>
      </c>
      <c r="M243" t="inlineStr">
        <is>
          <t>Böblingen</t>
        </is>
      </c>
    </row>
    <row r="244">
      <c r="A244" t="inlineStr">
        <is>
          <t>Fin: Whitewater Weed Race 285 PB, gekürzt auf 285mm, Powerbox</t>
        </is>
      </c>
      <c r="B244" s="4" t="n">
        <v>50</v>
      </c>
      <c r="C244" t="inlineStr"/>
      <c r="D244" t="inlineStr">
        <is>
          <t>63067 Hessen - Offenbach</t>
        </is>
      </c>
      <c r="E244" s="5" t="n">
        <v>45554</v>
      </c>
      <c r="F244" t="inlineStr"/>
      <c r="G244" s="6">
        <f>HYPERLINK("https://www.kleinanzeigen.de/s-anzeige/whitewater-weed-race-285-pb-windsurf-finne/2867691209-230-4354", "Link")</f>
        <v/>
      </c>
      <c r="H244" s="6">
        <f>HYPERLINK("C:\Projects\Kleinanzeigen-Scraper\offer_images\2867691209", "Link")</f>
        <v/>
      </c>
      <c r="I244" t="inlineStr">
        <is>
          <t>A.M.</t>
        </is>
      </c>
      <c r="J244" s="6">
        <f>HYPERLINK("https://www.kleinanzeigen.de/s-bestandsliste.html?userId=24478795", "Link")</f>
        <v/>
      </c>
      <c r="K244" s="7" t="n">
        <v>45555.56180555555</v>
      </c>
      <c r="L244" s="3" t="inlineStr">
        <is>
          <t>125.21</t>
        </is>
      </c>
      <c r="M244" t="inlineStr">
        <is>
          <t>Karlsruhe</t>
        </is>
      </c>
    </row>
    <row r="245">
      <c r="A245" t="inlineStr">
        <is>
          <t>Mast extension: Severne Extension 36</t>
        </is>
      </c>
      <c r="B245" s="4" t="n">
        <v>95</v>
      </c>
      <c r="C245" t="inlineStr"/>
      <c r="D245" t="inlineStr">
        <is>
          <t>65812 Hessen - Bad Soden am Taunus</t>
        </is>
      </c>
      <c r="E245" s="5" t="n">
        <v>45552</v>
      </c>
      <c r="F245" t="inlineStr">
        <is>
          <t>Sold</t>
        </is>
      </c>
      <c r="G245" s="6">
        <f>HYPERLINK("https://www.kleinanzeigen.de/s-anzeige/severne-extension-36/2866802184-230-4544", "Link")</f>
        <v/>
      </c>
      <c r="H245" s="6">
        <f>HYPERLINK("C:\Projects\Kleinanzeigen-Scraper\offer_images\2866802184", "Link")</f>
        <v/>
      </c>
      <c r="I245" t="inlineStr">
        <is>
          <t>Yaman</t>
        </is>
      </c>
      <c r="J245" s="6">
        <f>HYPERLINK("https://www.kleinanzeigen.de/s-bestandsliste.html?userId=135459781", "Link")</f>
        <v/>
      </c>
      <c r="K245" s="7" t="n">
        <v>45555.56170138889</v>
      </c>
      <c r="L245" s="3" t="inlineStr">
        <is>
          <t>128.06</t>
        </is>
      </c>
      <c r="M245" t="inlineStr">
        <is>
          <t>Karlsruhe</t>
        </is>
      </c>
    </row>
    <row r="246">
      <c r="A246" t="inlineStr">
        <is>
          <t>Harness: North Shore Hüft Trapez, neuwertig in XL</t>
        </is>
      </c>
      <c r="B246" s="4" t="n">
        <v>59</v>
      </c>
      <c r="C246" t="inlineStr">
        <is>
          <t>VB</t>
        </is>
      </c>
      <c r="D246" t="inlineStr">
        <is>
          <t>04808 Sachsen - Wurzen</t>
        </is>
      </c>
      <c r="E246" s="5" t="n">
        <v>45554</v>
      </c>
      <c r="F246" t="inlineStr"/>
      <c r="G246" s="6">
        <f>HYPERLINK("https://www.kleinanzeigen.de/s-anzeige/windsurf-hueft-trapez-neuwertig-xl-north-shore-sitztrapez-kombi/2867710935-230-3904", "Link")</f>
        <v/>
      </c>
      <c r="H246" s="6">
        <f>HYPERLINK("C:\Projects\Kleinanzeigen-Scraper\offer_images\2867710935", "Link")</f>
        <v/>
      </c>
      <c r="I246" t="inlineStr">
        <is>
          <t>Andreas</t>
        </is>
      </c>
      <c r="J246" s="6">
        <f>HYPERLINK("https://www.kleinanzeigen.de/s-bestandsliste.html?userId=1586232", "Link")</f>
        <v/>
      </c>
      <c r="K246" s="7" t="n">
        <v>45555.56152777778</v>
      </c>
      <c r="L246" s="3" t="inlineStr">
        <is>
          <t>371.88</t>
        </is>
      </c>
      <c r="M246" t="inlineStr">
        <is>
          <t>München</t>
        </is>
      </c>
    </row>
    <row r="247">
      <c r="A247" t="inlineStr">
        <is>
          <t>Mast extension: North Power XT Mastverlängerung 42, wenig benutzt und sehr gut gepflegt</t>
        </is>
      </c>
      <c r="B247" s="4" t="n">
        <v>60</v>
      </c>
      <c r="C247" t="inlineStr"/>
      <c r="D247" t="inlineStr">
        <is>
          <t>21075 Harburg - Hamburg Heimfeld</t>
        </is>
      </c>
      <c r="E247" s="5" t="n">
        <v>45553</v>
      </c>
      <c r="F247" t="inlineStr">
        <is>
          <t>Sold</t>
        </is>
      </c>
      <c r="G247" s="6">
        <f>HYPERLINK("https://www.kleinanzeigen.de/s-anzeige/north-power-xt-mastverlaengerung-42/2867363277-230-16405", "Link")</f>
        <v/>
      </c>
      <c r="H247" s="6">
        <f>HYPERLINK("C:\Projects\Kleinanzeigen-Scraper\offer_images\2867363277", "Link")</f>
        <v/>
      </c>
      <c r="I247" t="inlineStr">
        <is>
          <t>Emma</t>
        </is>
      </c>
      <c r="J247" s="6">
        <f>HYPERLINK("https://www.kleinanzeigen.de/s-bestandsliste.html?userId=131894757", "Link")</f>
        <v/>
      </c>
      <c r="K247" s="7" t="n">
        <v>45555.56150462963</v>
      </c>
      <c r="L247" s="3" t="inlineStr">
        <is>
          <t>345.92</t>
        </is>
      </c>
      <c r="M247" t="inlineStr">
        <is>
          <t>Köln</t>
        </is>
      </c>
    </row>
    <row r="248">
      <c r="A248" t="inlineStr">
        <is>
          <t>Mastfoot: Functional mast foot for windsurfing, in good working condition.</t>
        </is>
      </c>
      <c r="B248" s="4" t="n">
        <v>30</v>
      </c>
      <c r="C248" t="inlineStr"/>
      <c r="D248" t="inlineStr">
        <is>
          <t>70374 Stuttgart - Bad Cannstatt</t>
        </is>
      </c>
      <c r="E248" s="5" t="n">
        <v>45554</v>
      </c>
      <c r="F248" t="inlineStr"/>
      <c r="G248" s="6">
        <f>HYPERLINK("https://www.kleinanzeigen.de/s-anzeige/mastfuss-windsurfen/2868164879-230-9335", "Link")</f>
        <v/>
      </c>
      <c r="H248" s="6">
        <f>HYPERLINK("C:\Projects\Kleinanzeigen-Scraper\offer_images\2868164879", "Link")</f>
        <v/>
      </c>
      <c r="I248" t="inlineStr">
        <is>
          <t>Stephan</t>
        </is>
      </c>
      <c r="J248" s="6">
        <f>HYPERLINK("https://www.kleinanzeigen.de/s-bestandsliste.html?userId=35669520", "Link")</f>
        <v/>
      </c>
      <c r="K248" s="7" t="n">
        <v>45555.56142361111</v>
      </c>
      <c r="L248" s="3" t="inlineStr">
        <is>
          <t>24.40</t>
        </is>
      </c>
      <c r="M248" t="inlineStr">
        <is>
          <t>Böblingen</t>
        </is>
      </c>
    </row>
    <row r="249">
      <c r="A249" t="inlineStr">
        <is>
          <t>Harness: Hüfttrapez Größe M Gunsails Rock, good condition, includes key pocket and key loop</t>
        </is>
      </c>
      <c r="B249" s="4" t="n">
        <v>60</v>
      </c>
      <c r="C249" t="inlineStr"/>
      <c r="D249" t="inlineStr">
        <is>
          <t>21723 Niedersachsen - Hollern-Twielenfleth</t>
        </is>
      </c>
      <c r="E249" s="5" t="n">
        <v>45552</v>
      </c>
      <c r="F249" t="inlineStr">
        <is>
          <t>Sold</t>
        </is>
      </c>
      <c r="G249" s="6">
        <f>HYPERLINK("https://www.kleinanzeigen.de/s-anzeige/trapez-windsurfen-huefttrapez-groesse-m-gunsails-rock/2866791849-230-2818", "Link")</f>
        <v/>
      </c>
      <c r="H249" s="6">
        <f>HYPERLINK("C:\Projects\Kleinanzeigen-Scraper\offer_images\2866791849", "Link")</f>
        <v/>
      </c>
      <c r="I249" t="inlineStr">
        <is>
          <t>KA</t>
        </is>
      </c>
      <c r="J249" s="6">
        <f>HYPERLINK("https://www.kleinanzeigen.de/s-bestandsliste.html?userId=13326549", "Link")</f>
        <v/>
      </c>
      <c r="K249" s="7" t="n">
        <v>45555.56104166667</v>
      </c>
      <c r="L249" s="3" t="inlineStr">
        <is>
          <t>343.87</t>
        </is>
      </c>
      <c r="M249" t="inlineStr">
        <is>
          <t>Köln</t>
        </is>
      </c>
    </row>
    <row r="250">
      <c r="A250" t="inlineStr">
        <is>
          <t>Click Bar: Duotone Click Bar M 2023 in top condition, used for about 8-10 days.</t>
        </is>
      </c>
      <c r="B250" s="4" t="n">
        <v>369</v>
      </c>
      <c r="C250" t="inlineStr">
        <is>
          <t>VB</t>
        </is>
      </c>
      <c r="D250" t="inlineStr">
        <is>
          <t>83064 Bayern - Raubling</t>
        </is>
      </c>
      <c r="E250" s="5" t="n">
        <v>45552</v>
      </c>
      <c r="F250" t="inlineStr">
        <is>
          <t>Sold</t>
        </is>
      </c>
      <c r="G250" s="6">
        <f>HYPERLINK("https://www.kleinanzeigen.de/s-anzeige/duotone-click-bar-m-2023-top-zustand-clickbar-bar/2866303829-230-7579", "Link")</f>
        <v/>
      </c>
      <c r="H250" s="6">
        <f>HYPERLINK("C:\Projects\Kleinanzeigen-Scraper\offer_images\2866303829", "Link")</f>
        <v/>
      </c>
      <c r="I250" t="inlineStr">
        <is>
          <t>Peter Vollkommer</t>
        </is>
      </c>
      <c r="J250" s="6">
        <f>HYPERLINK("https://www.kleinanzeigen.de/s-bestandsliste.html?userId=7625104", "Link")</f>
        <v/>
      </c>
      <c r="K250" s="7" t="n">
        <v>45555.56097222222</v>
      </c>
      <c r="L250" s="3" t="inlineStr">
        <is>
          <t>53.54</t>
        </is>
      </c>
      <c r="M250" t="inlineStr">
        <is>
          <t>München</t>
        </is>
      </c>
    </row>
    <row r="251">
      <c r="A251" t="inlineStr">
        <is>
          <t>Fin: Starboard Finne free 38 Stachel Carbon, used once, includes fin bag</t>
        </is>
      </c>
      <c r="B251" s="4" t="n">
        <v>99</v>
      </c>
      <c r="C251" t="inlineStr"/>
      <c r="D251" t="inlineStr">
        <is>
          <t>18146 Rostock - Hinrichsdorf</t>
        </is>
      </c>
      <c r="E251" s="5" t="n">
        <v>45446</v>
      </c>
      <c r="F251" t="inlineStr"/>
      <c r="G251" s="6">
        <f>HYPERLINK("https://www.kleinanzeigen.de/s-anzeige/starboard-finne-free-38-stachel-carbon-windsurfen/2779406253-230-9535", "Link")</f>
        <v/>
      </c>
      <c r="H251" s="6">
        <f>HYPERLINK("C:\Projects\Kleinanzeigen-Scraper\offer_images\2779406253", "Link")</f>
        <v/>
      </c>
      <c r="I251" t="inlineStr">
        <is>
          <t>Michael Schade</t>
        </is>
      </c>
      <c r="J251" s="6">
        <f>HYPERLINK("https://www.kleinanzeigen.de/s-bestandsliste.html?userId=21535402", "Link")</f>
        <v/>
      </c>
      <c r="K251" s="7" t="n">
        <v>45555.56096064814</v>
      </c>
      <c r="L251" s="3" t="inlineStr">
        <is>
          <t>497.86</t>
        </is>
      </c>
      <c r="M251" t="inlineStr">
        <is>
          <t>Köln</t>
        </is>
      </c>
    </row>
    <row r="252">
      <c r="A252" t="inlineStr">
        <is>
          <t>Neopren Schuhe: Size 42, new and unused with tags</t>
        </is>
      </c>
      <c r="B252" s="4" t="n">
        <v>33</v>
      </c>
      <c r="C252" t="inlineStr"/>
      <c r="D252" t="inlineStr">
        <is>
          <t>09117 Chemnitz - Rabenstein</t>
        </is>
      </c>
      <c r="E252" s="5" t="n">
        <v>45551</v>
      </c>
      <c r="F252" t="inlineStr">
        <is>
          <t>Sold</t>
        </is>
      </c>
      <c r="G252" s="6">
        <f>HYPERLINK("https://www.kleinanzeigen.de/s-anzeige/neopren-schuhe-42-neu-ascan-windsurfen/2865674407-230-26066", "Link")</f>
        <v/>
      </c>
      <c r="H252" s="6">
        <f>HYPERLINK("C:\Projects\Kleinanzeigen-Scraper\offer_images\2865674407", "Link")</f>
        <v/>
      </c>
      <c r="I252" t="inlineStr">
        <is>
          <t>Frank Dittmar</t>
        </is>
      </c>
      <c r="J252" s="6">
        <f>HYPERLINK("https://www.kleinanzeigen.de/s-bestandsliste.html?userId=9853269", "Link")</f>
        <v/>
      </c>
      <c r="K252" s="7" t="n">
        <v>45555.56089120371</v>
      </c>
      <c r="L252" s="3" t="inlineStr">
        <is>
          <t>312.37</t>
        </is>
      </c>
      <c r="M252" t="inlineStr">
        <is>
          <t>München</t>
        </is>
      </c>
    </row>
    <row r="253">
      <c r="A253" t="inlineStr">
        <is>
          <t>Fin: 38 cm, US Box, Fiberglass</t>
        </is>
      </c>
      <c r="B253" s="4" t="n">
        <v>20</v>
      </c>
      <c r="C253" t="inlineStr"/>
      <c r="D253" t="inlineStr">
        <is>
          <t>22844 Schleswig-Holstein - Norderstedt</t>
        </is>
      </c>
      <c r="E253" s="5" t="n">
        <v>45551</v>
      </c>
      <c r="F253" t="inlineStr">
        <is>
          <t>Sold</t>
        </is>
      </c>
      <c r="G253" s="6">
        <f>HYPERLINK("https://www.kleinanzeigen.de/s-anzeige/finne-windsurfen-surfen/2865872644-230-797", "Link")</f>
        <v/>
      </c>
      <c r="H253" s="6">
        <f>HYPERLINK("C:\Projects\Kleinanzeigen-Scraper\offer_images\2865872644", "Link")</f>
        <v/>
      </c>
      <c r="I253" t="inlineStr">
        <is>
          <t>Ben</t>
        </is>
      </c>
      <c r="J253" s="6">
        <f>HYPERLINK("https://www.kleinanzeigen.de/s-bestandsliste.html?userId=25666860", "Link")</f>
        <v/>
      </c>
      <c r="K253" s="7" t="n">
        <v>45555.56081018518</v>
      </c>
      <c r="L253" s="3" t="inlineStr">
        <is>
          <t>373.10</t>
        </is>
      </c>
      <c r="M253" t="inlineStr">
        <is>
          <t>Köln</t>
        </is>
      </c>
    </row>
    <row r="254">
      <c r="A254" t="inlineStr">
        <is>
          <t>Safety Leash: Duotone Neoprene covered, in neuwertigen Zustand, designed for Kiter.</t>
        </is>
      </c>
      <c r="B254" s="4" t="n">
        <v>38</v>
      </c>
      <c r="C254" t="inlineStr"/>
      <c r="D254" t="inlineStr">
        <is>
          <t>31535 Niedersachsen - Neustadt am Rübenberge</t>
        </is>
      </c>
      <c r="E254" s="5" t="n">
        <v>45552</v>
      </c>
      <c r="F254" t="inlineStr">
        <is>
          <t>Sold</t>
        </is>
      </c>
      <c r="G254" s="6">
        <f>HYPERLINK("https://www.kleinanzeigen.de/s-anzeige/duotone-neoprene-covered-safety-leash-top/2866076378-230-2912", "Link")</f>
        <v/>
      </c>
      <c r="H254" s="6">
        <f>HYPERLINK("C:\Projects\Kleinanzeigen-Scraper\offer_images\2866076378", "Link")</f>
        <v/>
      </c>
      <c r="I254" t="inlineStr">
        <is>
          <t>Meyer kleinanzeigen</t>
        </is>
      </c>
      <c r="J254" s="6">
        <f>HYPERLINK("https://www.kleinanzeigen.de/s-bestandsliste.html?userId=135098908", "Link")</f>
        <v/>
      </c>
      <c r="K254" s="7" t="n">
        <v>45555.56078703704</v>
      </c>
      <c r="L254" s="3" t="inlineStr">
        <is>
          <t>248.74</t>
        </is>
      </c>
      <c r="M254" t="inlineStr">
        <is>
          <t>Köln</t>
        </is>
      </c>
    </row>
    <row r="255">
      <c r="A255" t="inlineStr">
        <is>
          <t>Harness: Used, well-maintained Gaastra windsurf harness, size M</t>
        </is>
      </c>
      <c r="B255" s="4" t="n">
        <v>20</v>
      </c>
      <c r="C255" t="inlineStr"/>
      <c r="D255" t="inlineStr">
        <is>
          <t>24105 Schleswig-Holstein - Kiel</t>
        </is>
      </c>
      <c r="E255" s="5" t="n">
        <v>45553</v>
      </c>
      <c r="F255" t="inlineStr"/>
      <c r="G255" s="6">
        <f>HYPERLINK("https://www.kleinanzeigen.de/s-anzeige/gaastra-windsurf-trapez-m/2867398198-154-708", "Link")</f>
        <v/>
      </c>
      <c r="H255" s="6">
        <f>HYPERLINK("C:\Projects\Kleinanzeigen-Scraper\offer_images\2867398198", "Link")</f>
        <v/>
      </c>
      <c r="I255" t="inlineStr">
        <is>
          <t>Darian Rubbel</t>
        </is>
      </c>
      <c r="J255" s="6">
        <f>HYPERLINK("https://www.kleinanzeigen.de/s-bestandsliste.html?userId=21463232", "Link")</f>
        <v/>
      </c>
      <c r="K255" s="7" t="n">
        <v>45555.5606712963</v>
      </c>
      <c r="L255" s="3" t="inlineStr">
        <is>
          <t>435.05</t>
        </is>
      </c>
      <c r="M255" t="inlineStr">
        <is>
          <t>Köln</t>
        </is>
      </c>
    </row>
    <row r="256">
      <c r="A256" t="inlineStr">
        <is>
          <t>Grip: Original Duotone grip with screws</t>
        </is>
      </c>
      <c r="B256" s="4" t="n">
        <v>10</v>
      </c>
      <c r="C256" t="inlineStr"/>
      <c r="D256" t="inlineStr">
        <is>
          <t>26427 Niedersachsen - Neuharlingersiel</t>
        </is>
      </c>
      <c r="E256" s="5" t="n">
        <v>45554</v>
      </c>
      <c r="F256" t="inlineStr">
        <is>
          <t>Sold</t>
        </is>
      </c>
      <c r="G256" s="6">
        <f>HYPERLINK("https://www.kleinanzeigen.de/s-anzeige/duotone-griff-schrauben/2867895085-230-17528", "Link")</f>
        <v/>
      </c>
      <c r="H256" s="6">
        <f>HYPERLINK("C:\Projects\Kleinanzeigen-Scraper\offer_images\2867895085", "Link")</f>
        <v/>
      </c>
      <c r="I256" t="inlineStr">
        <is>
          <t>Surfschule Windloop</t>
        </is>
      </c>
      <c r="J256" s="6">
        <f>HYPERLINK("https://www.kleinanzeigen.de/s-bestandsliste.html?userId=66736229", "Link")</f>
        <v/>
      </c>
      <c r="K256" s="7" t="n">
        <v>45555.5606712963</v>
      </c>
      <c r="L256" s="3" t="inlineStr">
        <is>
          <t>304.19</t>
        </is>
      </c>
      <c r="M256" t="inlineStr">
        <is>
          <t>Köln</t>
        </is>
      </c>
    </row>
    <row r="257">
      <c r="A257" t="inlineStr">
        <is>
          <t>Footstraps: Set of 4 footstraps from North Sails</t>
        </is>
      </c>
      <c r="B257" s="4" t="n">
        <v>20</v>
      </c>
      <c r="C257" t="inlineStr">
        <is>
          <t>VB</t>
        </is>
      </c>
      <c r="D257" t="inlineStr">
        <is>
          <t>45359 Essen - Essen-Borbeck</t>
        </is>
      </c>
      <c r="E257" s="5" t="n">
        <v>45551</v>
      </c>
      <c r="F257" t="inlineStr">
        <is>
          <t>Sold</t>
        </is>
      </c>
      <c r="G257" s="6">
        <f>HYPERLINK("https://www.kleinanzeigen.de/s-anzeige/windsurfen-north-sails-fussschlaufen/2865452002-230-2034", "Link")</f>
        <v/>
      </c>
      <c r="H257" s="6">
        <f>HYPERLINK("C:\Projects\Kleinanzeigen-Scraper\offer_images\2865452002", "Link")</f>
        <v/>
      </c>
      <c r="I257" t="inlineStr">
        <is>
          <t>Klaus Wientgens</t>
        </is>
      </c>
      <c r="J257" s="6">
        <f>HYPERLINK("https://www.kleinanzeigen.de/s-bestandsliste.html?userId=4524911", "Link")</f>
        <v/>
      </c>
      <c r="K257" s="7" t="n">
        <v>45555.56042824074</v>
      </c>
      <c r="L257" s="3" t="inlineStr">
        <is>
          <t>58.66</t>
        </is>
      </c>
      <c r="M257" t="inlineStr">
        <is>
          <t>Köln</t>
        </is>
      </c>
    </row>
    <row r="258">
      <c r="A258" t="inlineStr">
        <is>
          <t>Fin: Fin's Pointer 40 race slalom Carbon Windsurf Finne Powerbox</t>
        </is>
      </c>
      <c r="B258" s="4" t="n">
        <v>70</v>
      </c>
      <c r="C258" t="inlineStr"/>
      <c r="D258" t="inlineStr">
        <is>
          <t>01069 Dresden - Innere Altstadt</t>
        </is>
      </c>
      <c r="E258" s="5" t="n">
        <v>45554</v>
      </c>
      <c r="F258" t="inlineStr"/>
      <c r="G258" s="6">
        <f>HYPERLINK("https://www.kleinanzeigen.de/s-anzeige/fin-s-pointer-40-race-slalom-carbon-windsurf-finne-powerbox/2868467953-230-3833", "Link")</f>
        <v/>
      </c>
      <c r="H258" s="6">
        <f>HYPERLINK("C:\Projects\Kleinanzeigen-Scraper\offer_images\2868467953", "Link")</f>
        <v/>
      </c>
      <c r="I258" t="inlineStr">
        <is>
          <t>Peter</t>
        </is>
      </c>
      <c r="J258" s="6">
        <f>HYPERLINK("https://www.kleinanzeigen.de/s-bestandsliste.html?userId=24095757", "Link")</f>
        <v/>
      </c>
      <c r="K258" s="7" t="n">
        <v>45555.56034722222</v>
      </c>
      <c r="L258" s="3" t="inlineStr">
        <is>
          <t>358.49</t>
        </is>
      </c>
      <c r="M258" t="inlineStr">
        <is>
          <t>München</t>
        </is>
      </c>
    </row>
    <row r="259">
      <c r="A259" t="inlineStr">
        <is>
          <t>Bar: Duotone Clickbar 2024, Size S, 20-22m, Wakestyle, 4 or 5 lines, includes bag and repair kit</t>
        </is>
      </c>
      <c r="B259" s="4" t="n">
        <v>425</v>
      </c>
      <c r="C259" t="inlineStr"/>
      <c r="D259" t="inlineStr">
        <is>
          <t>26676 Niedersachsen - Barßel</t>
        </is>
      </c>
      <c r="E259" s="5" t="n">
        <v>45552</v>
      </c>
      <c r="F259" t="inlineStr">
        <is>
          <t>Sold</t>
        </is>
      </c>
      <c r="G259" s="6">
        <f>HYPERLINK("https://www.kleinanzeigen.de/s-anzeige/duotone-clickbar-2024-groesse-s-20-22m-wakestyle-4-oder-5-leinen/2866555692-230-2762", "Link")</f>
        <v/>
      </c>
      <c r="H259" s="6">
        <f>HYPERLINK("C:\Projects\Kleinanzeigen-Scraper\offer_images\2866555692", "Link")</f>
        <v/>
      </c>
      <c r="I259" t="inlineStr">
        <is>
          <t>C. Burkhardt</t>
        </is>
      </c>
      <c r="J259" s="6">
        <f>HYPERLINK("https://www.kleinanzeigen.de/s-bestandsliste.html?userId=17823651", "Link")</f>
        <v/>
      </c>
      <c r="K259" s="7" t="n">
        <v>45555.56015046296</v>
      </c>
      <c r="L259" s="3" t="inlineStr">
        <is>
          <t>252.13</t>
        </is>
      </c>
      <c r="M259" t="inlineStr">
        <is>
          <t>Köln</t>
        </is>
      </c>
    </row>
    <row r="260">
      <c r="A260" t="inlineStr">
        <is>
          <t>Bindings: Duotone Entity Ergo Pro L/XL, used for approximately 5 days</t>
        </is>
      </c>
      <c r="B260" s="4" t="n">
        <v>150</v>
      </c>
      <c r="C260" t="inlineStr">
        <is>
          <t>VB</t>
        </is>
      </c>
      <c r="D260" t="inlineStr">
        <is>
          <t>85640 Kr. München - Putzbrunn</t>
        </is>
      </c>
      <c r="E260" s="5" t="n">
        <v>45553</v>
      </c>
      <c r="F260" t="inlineStr">
        <is>
          <t>Sold</t>
        </is>
      </c>
      <c r="G260" s="6">
        <f>HYPERLINK("https://www.kleinanzeigen.de/s-anzeige/duotone-entity-ergo-pro-l-xl/2867107200-230-6182", "Link")</f>
        <v/>
      </c>
      <c r="H260" s="6">
        <f>HYPERLINK("C:\Projects\Kleinanzeigen-Scraper\offer_images\2867107200", "Link")</f>
        <v/>
      </c>
      <c r="I260" t="inlineStr">
        <is>
          <t>Nicolas Parisot</t>
        </is>
      </c>
      <c r="J260" s="6">
        <f>HYPERLINK("https://www.kleinanzeigen.de/s-bestandsliste.html?userId=47091203", "Link")</f>
        <v/>
      </c>
      <c r="K260" s="7" t="n">
        <v>45555.56012731481</v>
      </c>
      <c r="L260" s="3" t="inlineStr">
        <is>
          <t>11.31</t>
        </is>
      </c>
      <c r="M260" t="inlineStr">
        <is>
          <t>München</t>
        </is>
      </c>
    </row>
    <row r="261">
      <c r="A261" t="inlineStr">
        <is>
          <t>Fin: T-Zone Finne Weed Buster 320 Powerbox</t>
        </is>
      </c>
      <c r="B261" s="4" t="n">
        <v>40</v>
      </c>
      <c r="C261" t="inlineStr">
        <is>
          <t>VB</t>
        </is>
      </c>
      <c r="D261" t="inlineStr">
        <is>
          <t>01069 Dresden - Innere Altstadt</t>
        </is>
      </c>
      <c r="E261" s="5" t="n">
        <v>45554</v>
      </c>
      <c r="F261" t="inlineStr">
        <is>
          <t>Sold</t>
        </is>
      </c>
      <c r="G261" s="6">
        <f>HYPERLINK("https://www.kleinanzeigen.de/s-anzeige/t-zone-finne-weed-buster-320-windsurf-finne-powerbox/2868467058-230-3833", "Link")</f>
        <v/>
      </c>
      <c r="H261" s="6">
        <f>HYPERLINK("C:\Projects\Kleinanzeigen-Scraper\offer_images\2868467058", "Link")</f>
        <v/>
      </c>
      <c r="I261" t="inlineStr">
        <is>
          <t>Peter</t>
        </is>
      </c>
      <c r="J261" s="6">
        <f>HYPERLINK("https://www.kleinanzeigen.de/s-bestandsliste.html?userId=24095757", "Link")</f>
        <v/>
      </c>
      <c r="K261" s="7" t="n">
        <v>45555.55951388889</v>
      </c>
      <c r="L261" s="3" t="inlineStr">
        <is>
          <t>358.49</t>
        </is>
      </c>
      <c r="M261" t="inlineStr">
        <is>
          <t>München</t>
        </is>
      </c>
    </row>
    <row r="262">
      <c r="A262" t="inlineStr">
        <is>
          <t>Safety Leash: New, unused safety leash from Duotone, only unpacked once, comes with original packaging.</t>
        </is>
      </c>
      <c r="B262" s="4" t="n">
        <v>25</v>
      </c>
      <c r="C262" t="inlineStr">
        <is>
          <t>VB</t>
        </is>
      </c>
      <c r="D262" t="inlineStr">
        <is>
          <t>30169 Hannover - Mitte</t>
        </is>
      </c>
      <c r="E262" s="5" t="n">
        <v>45554</v>
      </c>
      <c r="F262" t="inlineStr">
        <is>
          <t>Sold</t>
        </is>
      </c>
      <c r="G262" s="6">
        <f>HYPERLINK("https://www.kleinanzeigen.de/s-anzeige/duotone-safety-leash/2867830377-230-3169", "Link")</f>
        <v/>
      </c>
      <c r="H262" s="6">
        <f>HYPERLINK("C:\Projects\Kleinanzeigen-Scraper\offer_images\2867830377", "Link")</f>
        <v/>
      </c>
      <c r="I262" t="inlineStr">
        <is>
          <t>Tim</t>
        </is>
      </c>
      <c r="J262" s="6">
        <f>HYPERLINK("https://www.kleinanzeigen.de/s-bestandsliste.html?userId=24098904", "Link")</f>
        <v/>
      </c>
      <c r="K262" s="7" t="n">
        <v>45555.55916666667</v>
      </c>
      <c r="L262" s="3" t="inlineStr">
        <is>
          <t>248.85</t>
        </is>
      </c>
      <c r="M262" t="inlineStr">
        <is>
          <t>Köln</t>
        </is>
      </c>
    </row>
    <row r="263">
      <c r="A263" t="inlineStr">
        <is>
          <t>Trimmkurbel: Neue hochwertige Trimmkurbel zum komfortablen Spannen des Vorlieks</t>
        </is>
      </c>
      <c r="B263" s="4" t="n">
        <v>24</v>
      </c>
      <c r="C263" t="inlineStr"/>
      <c r="D263" t="inlineStr">
        <is>
          <t>91729 Bayern - Haundorf</t>
        </is>
      </c>
      <c r="E263" s="5" t="n">
        <v>45553</v>
      </c>
      <c r="F263" t="inlineStr">
        <is>
          <t>Sold</t>
        </is>
      </c>
      <c r="G263" s="6">
        <f>HYPERLINK("https://www.kleinanzeigen.de/s-anzeige/trimmkurbel-windsurfen-trimmhilfe-easy-rigg-trimm-winde-neu-/2867538228-230-6178", "Link")</f>
        <v/>
      </c>
      <c r="H263" s="6">
        <f>HYPERLINK("C:\Projects\Kleinanzeigen-Scraper\offer_images\2867538228", "Link")</f>
        <v/>
      </c>
      <c r="I263" t="inlineStr">
        <is>
          <t>Joachim Martin</t>
        </is>
      </c>
      <c r="J263" s="6">
        <f>HYPERLINK("https://www.kleinanzeigen.de/s-bestandsliste.html?userId=18147517", "Link")</f>
        <v/>
      </c>
      <c r="K263" s="7" t="n">
        <v>45555.55892361111</v>
      </c>
      <c r="L263" s="3" t="inlineStr">
        <is>
          <t>126.73</t>
        </is>
      </c>
      <c r="M263" t="inlineStr">
        <is>
          <t>München</t>
        </is>
      </c>
    </row>
    <row r="264">
      <c r="A264" t="inlineStr">
        <is>
          <t>Click Bar: Duotone Click Bar 2024, 24m M/L in top condition with normal signs of use, includes Freestyle Loop and bag.</t>
        </is>
      </c>
      <c r="B264" s="4" t="n">
        <v>450</v>
      </c>
      <c r="C264" t="inlineStr"/>
      <c r="D264" t="inlineStr">
        <is>
          <t>26427 Niedersachsen - Neuharlingersiel</t>
        </is>
      </c>
      <c r="E264" s="5" t="n">
        <v>45554</v>
      </c>
      <c r="F264" t="inlineStr">
        <is>
          <t>Sold</t>
        </is>
      </c>
      <c r="G264" s="6">
        <f>HYPERLINK("https://www.kleinanzeigen.de/s-anzeige/duotone-click-bar-2024-24m-m-l/2867987078-230-17528", "Link")</f>
        <v/>
      </c>
      <c r="H264" s="6">
        <f>HYPERLINK("C:\Projects\Kleinanzeigen-Scraper\offer_images\2867987078", "Link")</f>
        <v/>
      </c>
      <c r="I264" t="inlineStr">
        <is>
          <t>Surfschule Windloop</t>
        </is>
      </c>
      <c r="J264" s="6">
        <f>HYPERLINK("https://www.kleinanzeigen.de/s-bestandsliste.html?userId=66736229", "Link")</f>
        <v/>
      </c>
      <c r="K264" s="7" t="n">
        <v>45555.55868055556</v>
      </c>
      <c r="L264" s="3" t="inlineStr">
        <is>
          <t>304.19</t>
        </is>
      </c>
      <c r="M264" t="inlineStr">
        <is>
          <t>Köln</t>
        </is>
      </c>
    </row>
    <row r="265">
      <c r="A265" t="inlineStr">
        <is>
          <t>Bar: North Bar 5 Liner, very little used, excellent condition</t>
        </is>
      </c>
      <c r="B265" s="4" t="n">
        <v>149</v>
      </c>
      <c r="C265" t="inlineStr">
        <is>
          <t>VB</t>
        </is>
      </c>
      <c r="D265" t="inlineStr">
        <is>
          <t>86947 Bayern - Weil a. Lech</t>
        </is>
      </c>
      <c r="E265" s="5" t="n">
        <v>45554</v>
      </c>
      <c r="F265" t="inlineStr"/>
      <c r="G265" s="6">
        <f>HYPERLINK("https://www.kleinanzeigen.de/s-anzeige/north-bar-5-liner/2868240235-230-7079", "Link")</f>
        <v/>
      </c>
      <c r="H265" s="6">
        <f>HYPERLINK("C:\Projects\Kleinanzeigen-Scraper\offer_images\2868240235", "Link")</f>
        <v/>
      </c>
      <c r="I265" t="inlineStr">
        <is>
          <t>Matthias Meyer</t>
        </is>
      </c>
      <c r="J265" s="6">
        <f>HYPERLINK("https://www.kleinanzeigen.de/s-bestandsliste.html?userId=17058073", "Link")</f>
        <v/>
      </c>
      <c r="K265" s="7" t="n">
        <v>45555.55835648148</v>
      </c>
      <c r="L265" s="3" t="inlineStr">
        <is>
          <t>48.17</t>
        </is>
      </c>
      <c r="M265" t="inlineStr">
        <is>
          <t>München</t>
        </is>
      </c>
    </row>
    <row r="266">
      <c r="A266" t="inlineStr">
        <is>
          <t>Fin: 34cm Finne von Tekkno Sport Explorer mit passender Hülle</t>
        </is>
      </c>
      <c r="B266" s="4" t="n">
        <v>50</v>
      </c>
      <c r="C266" t="inlineStr"/>
      <c r="D266" t="inlineStr">
        <is>
          <t>70374 Stuttgart - Bad Cannstatt</t>
        </is>
      </c>
      <c r="E266" s="5" t="n">
        <v>45554</v>
      </c>
      <c r="F266" t="inlineStr"/>
      <c r="G266" s="6">
        <f>HYPERLINK("https://www.kleinanzeigen.de/s-anzeige/finne-tekkno-sport-explorer-34-windsurfen/2868170263-230-9335", "Link")</f>
        <v/>
      </c>
      <c r="H266" s="6">
        <f>HYPERLINK("C:\Projects\Kleinanzeigen-Scraper\offer_images\2868170263", "Link")</f>
        <v/>
      </c>
      <c r="I266" t="inlineStr">
        <is>
          <t>Stephan</t>
        </is>
      </c>
      <c r="J266" s="6">
        <f>HYPERLINK("https://www.kleinanzeigen.de/s-bestandsliste.html?userId=35669520", "Link")</f>
        <v/>
      </c>
      <c r="K266" s="7" t="n">
        <v>45555.55831018519</v>
      </c>
      <c r="L266" s="3" t="inlineStr">
        <is>
          <t>24.40</t>
        </is>
      </c>
      <c r="M266" t="inlineStr">
        <is>
          <t>Böblingen</t>
        </is>
      </c>
    </row>
    <row r="267">
      <c r="A267" t="inlineStr">
        <is>
          <t>Trapeztampen: Gunsails Vario 28-34, dehnungsfreier Tampen mit robustem PE-Schlauchüberzug, stufenlose Längeneinstellung</t>
        </is>
      </c>
      <c r="B267" s="4" t="n">
        <v>22</v>
      </c>
      <c r="C267" t="inlineStr"/>
      <c r="D267" t="inlineStr">
        <is>
          <t>42697 Nordrhein-Westfalen - Solingen</t>
        </is>
      </c>
      <c r="E267" s="5" t="n">
        <v>45553</v>
      </c>
      <c r="F267" t="inlineStr">
        <is>
          <t>Sold</t>
        </is>
      </c>
      <c r="G267" s="6">
        <f>HYPERLINK("https://www.kleinanzeigen.de/s-anzeige/windsurfen-2-paar-trapeztampen-gunsails-vario-28-34/2866890765-230-2125", "Link")</f>
        <v/>
      </c>
      <c r="H267" s="6">
        <f>HYPERLINK("C:\Projects\Kleinanzeigen-Scraper\offer_images\2866890765", "Link")</f>
        <v/>
      </c>
      <c r="I267" t="inlineStr">
        <is>
          <t>G. Hayashi</t>
        </is>
      </c>
      <c r="J267" s="6">
        <f>HYPERLINK("https://www.kleinanzeigen.de/s-bestandsliste.html?userId=6271551", "Link")</f>
        <v/>
      </c>
      <c r="K267" s="7" t="n">
        <v>45555.55805555556</v>
      </c>
      <c r="L267" s="3" t="inlineStr">
        <is>
          <t>24.09</t>
        </is>
      </c>
      <c r="M267" t="inlineStr">
        <is>
          <t>Köln</t>
        </is>
      </c>
    </row>
    <row r="268">
      <c r="A268" t="inlineStr">
        <is>
          <t>Bar: Duotone Clickbar M 2023 inkl Leash, gut erhaltene Bar mit Freeride Kit</t>
        </is>
      </c>
      <c r="B268" s="4" t="n">
        <v>450</v>
      </c>
      <c r="C268" t="inlineStr">
        <is>
          <t>VB</t>
        </is>
      </c>
      <c r="D268" t="inlineStr">
        <is>
          <t>33604 Bielefeld - Bielefeld (Innenstadt)</t>
        </is>
      </c>
      <c r="E268" s="5" t="n">
        <v>45554</v>
      </c>
      <c r="F268" t="inlineStr">
        <is>
          <t>Sold</t>
        </is>
      </c>
      <c r="G268" s="6">
        <f>HYPERLINK("https://www.kleinanzeigen.de/s-anzeige/duotone-clickbar-m-2023-inkl-leash/2867686755-230-1066", "Link")</f>
        <v/>
      </c>
      <c r="H268" s="6">
        <f>HYPERLINK("C:\Projects\Kleinanzeigen-Scraper\offer_images\2867686755", "Link")</f>
        <v/>
      </c>
      <c r="I268" t="inlineStr">
        <is>
          <t>Gordon Schücker</t>
        </is>
      </c>
      <c r="J268" s="6">
        <f>HYPERLINK("https://www.kleinanzeigen.de/s-bestandsliste.html?userId=28414823", "Link")</f>
        <v/>
      </c>
      <c r="K268" s="7" t="n">
        <v>45555.55767361111</v>
      </c>
      <c r="L268" s="3" t="inlineStr">
        <is>
          <t>162.16</t>
        </is>
      </c>
      <c r="M268" t="inlineStr">
        <is>
          <t>Köln</t>
        </is>
      </c>
    </row>
    <row r="269">
      <c r="A269" t="inlineStr">
        <is>
          <t>Harness: Naish Boss Trapez, Size M, worn for two sessions</t>
        </is>
      </c>
      <c r="B269" s="4" t="n">
        <v>45</v>
      </c>
      <c r="C269" t="inlineStr">
        <is>
          <t>VB</t>
        </is>
      </c>
      <c r="D269" t="inlineStr">
        <is>
          <t>21149 Harburg - Hamburg Neugraben</t>
        </is>
      </c>
      <c r="E269" s="5" t="n">
        <v>45551</v>
      </c>
      <c r="F269" t="inlineStr"/>
      <c r="G269" s="6">
        <f>HYPERLINK("https://www.kleinanzeigen.de/s-anzeige/naish-boss-trapez-groesse-m/2865519905-230-15765", "Link")</f>
        <v/>
      </c>
      <c r="H269" s="6">
        <f>HYPERLINK("C:\Projects\Kleinanzeigen-Scraper\offer_images\2865519905", "Link")</f>
        <v/>
      </c>
      <c r="I269" t="inlineStr">
        <is>
          <t>Matthias Pöhls</t>
        </is>
      </c>
      <c r="J269" s="6">
        <f>HYPERLINK("https://www.kleinanzeigen.de/s-bestandsliste.html?userId=10466709", "Link")</f>
        <v/>
      </c>
      <c r="K269" s="7" t="n">
        <v>45555.55758101852</v>
      </c>
      <c r="L269" s="3" t="inlineStr">
        <is>
          <t>342.48</t>
        </is>
      </c>
      <c r="M269" t="inlineStr">
        <is>
          <t>Köln</t>
        </is>
      </c>
    </row>
    <row r="270">
      <c r="A270" t="inlineStr">
        <is>
          <t>Clickbar: Duotone Clickbar 22m in good condition, primarily used in freshwater.</t>
        </is>
      </c>
      <c r="B270" s="4" t="n">
        <v>219</v>
      </c>
      <c r="C270" t="inlineStr">
        <is>
          <t>VB</t>
        </is>
      </c>
      <c r="D270" t="inlineStr">
        <is>
          <t>04107 Leipzig - Leipzig, Zentrum</t>
        </is>
      </c>
      <c r="E270" s="5" t="n">
        <v>45554</v>
      </c>
      <c r="F270" t="inlineStr">
        <is>
          <t>Sold</t>
        </is>
      </c>
      <c r="G270" s="6">
        <f>HYPERLINK("https://www.kleinanzeigen.de/s-anzeige/duotone-clickbar-22m/2867742494-230-4260", "Link")</f>
        <v/>
      </c>
      <c r="H270" s="6">
        <f>HYPERLINK("C:\Projects\Kleinanzeigen-Scraper\offer_images\2867742494", "Link")</f>
        <v/>
      </c>
      <c r="I270" t="inlineStr">
        <is>
          <t>FGL</t>
        </is>
      </c>
      <c r="J270" s="6">
        <f>HYPERLINK("https://www.kleinanzeigen.de/s-bestandsliste.html?userId=42559484", "Link")</f>
        <v/>
      </c>
      <c r="K270" s="7" t="n">
        <v>45555.55738425926</v>
      </c>
      <c r="L270" s="3" t="inlineStr">
        <is>
          <t>359.72</t>
        </is>
      </c>
      <c r="M270" t="inlineStr">
        <is>
          <t>München</t>
        </is>
      </c>
    </row>
    <row r="271">
      <c r="A271" t="inlineStr">
        <is>
          <t>Fin: Maui Ultra Fins X-Ride Carbon 34cm, Powerbox</t>
        </is>
      </c>
      <c r="B271" s="4" t="n">
        <v>90</v>
      </c>
      <c r="C271" t="inlineStr"/>
      <c r="D271" t="inlineStr">
        <is>
          <t>63067 Hessen - Offenbach</t>
        </is>
      </c>
      <c r="E271" s="5" t="n">
        <v>45554</v>
      </c>
      <c r="F271" t="inlineStr"/>
      <c r="G271" s="6">
        <f>HYPERLINK("https://www.kleinanzeigen.de/s-anzeige/maui-ultra-fins-x-ride-carbon-34cm-pb-windsurf-finne/2867689903-230-4354", "Link")</f>
        <v/>
      </c>
      <c r="H271" s="6">
        <f>HYPERLINK("C:\Projects\Kleinanzeigen-Scraper\offer_images\2867689903", "Link")</f>
        <v/>
      </c>
      <c r="I271" t="inlineStr">
        <is>
          <t>A.M.</t>
        </is>
      </c>
      <c r="J271" s="6">
        <f>HYPERLINK("https://www.kleinanzeigen.de/s-bestandsliste.html?userId=24478795", "Link")</f>
        <v/>
      </c>
      <c r="K271" s="7" t="n">
        <v>45555.55732638889</v>
      </c>
      <c r="L271" s="3" t="inlineStr">
        <is>
          <t>125.21</t>
        </is>
      </c>
      <c r="M271" t="inlineStr">
        <is>
          <t>Karlsruhe</t>
        </is>
      </c>
    </row>
    <row r="272">
      <c r="A272" t="inlineStr">
        <is>
          <t>Footstraps: Duotone Entity, Size L, practically new</t>
        </is>
      </c>
      <c r="B272" s="4" t="n">
        <v>150</v>
      </c>
      <c r="C272" t="inlineStr">
        <is>
          <t>VB</t>
        </is>
      </c>
      <c r="D272" t="inlineStr">
        <is>
          <t>73733 Baden-Württemberg - Esslingen</t>
        </is>
      </c>
      <c r="E272" s="5" t="n">
        <v>45552</v>
      </c>
      <c r="F272" t="inlineStr">
        <is>
          <t>Sold</t>
        </is>
      </c>
      <c r="G272" s="6">
        <f>HYPERLINK("https://www.kleinanzeigen.de/s-anzeige/duotone-entity-fussschlaufen-groesse-l/2866183018-230-9071", "Link")</f>
        <v/>
      </c>
      <c r="H272" s="6">
        <f>HYPERLINK("C:\Projects\Kleinanzeigen-Scraper\offer_images\2866183018", "Link")</f>
        <v/>
      </c>
      <c r="I272" t="inlineStr">
        <is>
          <t>Ralf</t>
        </is>
      </c>
      <c r="J272" s="6">
        <f>HYPERLINK("https://www.kleinanzeigen.de/s-bestandsliste.html?userId=24449137", "Link")</f>
        <v/>
      </c>
      <c r="K272" s="7" t="n">
        <v>45555.55724537037</v>
      </c>
      <c r="L272" s="3" t="inlineStr">
        <is>
          <t>25.19</t>
        </is>
      </c>
      <c r="M272" t="inlineStr">
        <is>
          <t>Böblingen</t>
        </is>
      </c>
    </row>
    <row r="273">
      <c r="A273" t="inlineStr">
        <is>
          <t>Fin: MFC Freestylefinne 18er, US Box, neuwertiger Zustand</t>
        </is>
      </c>
      <c r="B273" s="4" t="n">
        <v>60</v>
      </c>
      <c r="C273" t="inlineStr">
        <is>
          <t>VB</t>
        </is>
      </c>
      <c r="D273" t="inlineStr">
        <is>
          <t>23769 Kreis Ostholstein - Fehmarn</t>
        </is>
      </c>
      <c r="E273" s="5" t="n">
        <v>45552</v>
      </c>
      <c r="F273" t="inlineStr">
        <is>
          <t>Sold</t>
        </is>
      </c>
      <c r="G273" s="6">
        <f>HYPERLINK("https://www.kleinanzeigen.de/s-anzeige/mfc-freestylefinne-18er-windsurfen-finne/2866505651-230-19951", "Link")</f>
        <v/>
      </c>
      <c r="H273" s="6">
        <f>HYPERLINK("C:\Projects\Kleinanzeigen-Scraper\offer_images\2866505651", "Link")</f>
        <v/>
      </c>
      <c r="I273" t="inlineStr">
        <is>
          <t>Robert</t>
        </is>
      </c>
      <c r="J273" s="6">
        <f>HYPERLINK("https://www.kleinanzeigen.de/s-bestandsliste.html?userId=61536276", "Link")</f>
        <v/>
      </c>
      <c r="K273" s="7" t="n">
        <v>45555.55707175926</v>
      </c>
      <c r="L273" s="3" t="inlineStr">
        <is>
          <t>483.01</t>
        </is>
      </c>
      <c r="M273" t="inlineStr">
        <is>
          <t>Köln</t>
        </is>
      </c>
    </row>
    <row r="274">
      <c r="A274" t="inlineStr">
        <is>
          <t>Fin: Maui Ultra Fins X-Ride 38cm PB, neuwertig, Powerbox</t>
        </is>
      </c>
      <c r="B274" s="4" t="n">
        <v>90</v>
      </c>
      <c r="C274" t="inlineStr"/>
      <c r="D274" t="inlineStr">
        <is>
          <t>63067 Hessen - Offenbach</t>
        </is>
      </c>
      <c r="E274" s="5" t="n">
        <v>45554</v>
      </c>
      <c r="F274" t="inlineStr"/>
      <c r="G274" s="6">
        <f>HYPERLINK("https://www.kleinanzeigen.de/s-anzeige/maui-ultra-fins-x-ride-38cm-pb-windsurf-finne/2867689948-230-4354", "Link")</f>
        <v/>
      </c>
      <c r="H274" s="6">
        <f>HYPERLINK("C:\Projects\Kleinanzeigen-Scraper\offer_images\2867689948", "Link")</f>
        <v/>
      </c>
      <c r="I274" t="inlineStr">
        <is>
          <t>A.M.</t>
        </is>
      </c>
      <c r="J274" s="6">
        <f>HYPERLINK("https://www.kleinanzeigen.de/s-bestandsliste.html?userId=24478795", "Link")</f>
        <v/>
      </c>
      <c r="K274" s="7" t="n">
        <v>45555.55652777778</v>
      </c>
      <c r="L274" s="3" t="inlineStr">
        <is>
          <t>125.21</t>
        </is>
      </c>
      <c r="M274" t="inlineStr">
        <is>
          <t>Karlsruhe</t>
        </is>
      </c>
    </row>
    <row r="275">
      <c r="A275" t="inlineStr">
        <is>
          <t>Click Bar: Duotone Click Bar 2022 S/M with 22m lines and Freeride/Freestyle kit, very good condition</t>
        </is>
      </c>
      <c r="B275" s="4" t="n">
        <v>235</v>
      </c>
      <c r="C275" t="inlineStr"/>
      <c r="D275" t="inlineStr">
        <is>
          <t>20257 Eimsbüttel - Hamburg Eimsbüttel (Stadtteil)</t>
        </is>
      </c>
      <c r="E275" s="5" t="n">
        <v>45555</v>
      </c>
      <c r="F275" t="inlineStr">
        <is>
          <t>Sold</t>
        </is>
      </c>
      <c r="G275" s="6">
        <f>HYPERLINK("https://www.kleinanzeigen.de/s-anzeige/duotone-click-bar-2022-s-m-20m/2868767632-230-9429", "Link")</f>
        <v/>
      </c>
      <c r="H275" s="6">
        <f>HYPERLINK("C:\Projects\Kleinanzeigen-Scraper\offer_images\2868767632", "Link")</f>
        <v/>
      </c>
      <c r="I275" t="inlineStr">
        <is>
          <t>Hauke</t>
        </is>
      </c>
      <c r="J275" s="6">
        <f>HYPERLINK("https://www.kleinanzeigen.de/s-bestandsliste.html?userId=45694432", "Link")</f>
        <v/>
      </c>
      <c r="K275" s="7" t="n">
        <v>45555.55587962963</v>
      </c>
      <c r="L275" s="3" t="inlineStr">
        <is>
          <t>356.84</t>
        </is>
      </c>
      <c r="M275" t="inlineStr">
        <is>
          <t>Köln</t>
        </is>
      </c>
    </row>
    <row r="276">
      <c r="A276" t="inlineStr">
        <is>
          <t>Fin: MAUI FIN CO 48 Freeride / Race Finne, Powerbox</t>
        </is>
      </c>
      <c r="B276" s="4" t="n">
        <v>60</v>
      </c>
      <c r="C276" t="inlineStr"/>
      <c r="D276" t="inlineStr">
        <is>
          <t>01069 Dresden - Innere Altstadt</t>
        </is>
      </c>
      <c r="E276" s="5" t="n">
        <v>45554</v>
      </c>
      <c r="F276" t="inlineStr"/>
      <c r="G276" s="6">
        <f>HYPERLINK("https://www.kleinanzeigen.de/s-anzeige/maui-fin-co-48-freeride-race-finne-windsurf-finne-powerbox/2868468727-230-3833", "Link")</f>
        <v/>
      </c>
      <c r="H276" s="6">
        <f>HYPERLINK("C:\Projects\Kleinanzeigen-Scraper\offer_images\2868468727", "Link")</f>
        <v/>
      </c>
      <c r="I276" t="inlineStr">
        <is>
          <t>Peter</t>
        </is>
      </c>
      <c r="J276" s="6">
        <f>HYPERLINK("https://www.kleinanzeigen.de/s-bestandsliste.html?userId=24095757", "Link")</f>
        <v/>
      </c>
      <c r="K276" s="7" t="n">
        <v>45555.55579861111</v>
      </c>
      <c r="L276" s="3" t="inlineStr">
        <is>
          <t>358.49</t>
        </is>
      </c>
      <c r="M276" t="inlineStr">
        <is>
          <t>München</t>
        </is>
      </c>
    </row>
    <row r="277">
      <c r="A277" t="inlineStr">
        <is>
          <t>Trust Bar: Duotone Trust Bar M/L with 24m lines from 2019, in very good condition</t>
        </is>
      </c>
      <c r="B277" s="4" t="n">
        <v>195</v>
      </c>
      <c r="C277" t="inlineStr">
        <is>
          <t>VB</t>
        </is>
      </c>
      <c r="D277" t="inlineStr">
        <is>
          <t>24245 Schleswig-Holstein - Klein Barkau</t>
        </is>
      </c>
      <c r="E277" s="5" t="n">
        <v>45552</v>
      </c>
      <c r="F277" t="inlineStr">
        <is>
          <t>Sold</t>
        </is>
      </c>
      <c r="G277" s="6">
        <f>HYPERLINK("https://www.kleinanzeigen.de/s-anzeige/duotone-trust-bar-2019/2866291167-230-471", "Link")</f>
        <v/>
      </c>
      <c r="H277" s="6">
        <f>HYPERLINK("C:\Projects\Kleinanzeigen-Scraper\offer_images\2866291167", "Link")</f>
        <v/>
      </c>
      <c r="I277" t="inlineStr">
        <is>
          <t>Marc R.</t>
        </is>
      </c>
      <c r="J277" s="6">
        <f>HYPERLINK("https://www.kleinanzeigen.de/s-bestandsliste.html?userId=6789090", "Link")</f>
        <v/>
      </c>
      <c r="K277" s="7" t="n">
        <v>45555.55572916667</v>
      </c>
      <c r="L277" s="3" t="inlineStr">
        <is>
          <t>424.32</t>
        </is>
      </c>
      <c r="M277" t="inlineStr">
        <is>
          <t>Köln</t>
        </is>
      </c>
    </row>
    <row r="278">
      <c r="A278" t="inlineStr">
        <is>
          <t>Harness: Neuwertiges Surf-Sitztrapez von Fanatic in Größe M</t>
        </is>
      </c>
      <c r="B278" s="4" t="n">
        <v>20</v>
      </c>
      <c r="C278" t="inlineStr"/>
      <c r="D278" t="inlineStr">
        <is>
          <t>32760 Nordrhein-Westfalen - Detmold</t>
        </is>
      </c>
      <c r="E278" s="5" t="n">
        <v>45553</v>
      </c>
      <c r="F278" t="inlineStr">
        <is>
          <t>Sold</t>
        </is>
      </c>
      <c r="G278" s="6">
        <f>HYPERLINK("https://www.kleinanzeigen.de/s-anzeige/windsurf-sitztrapez-von-fanatic-gr-m/2867244819-230-1795", "Link")</f>
        <v/>
      </c>
      <c r="H278" s="6">
        <f>HYPERLINK("C:\Projects\Kleinanzeigen-Scraper\offer_images\2867244819", "Link")</f>
        <v/>
      </c>
      <c r="I278" t="inlineStr">
        <is>
          <t>Privat</t>
        </is>
      </c>
      <c r="J278" s="6">
        <f>HYPERLINK("https://www.kleinanzeigen.de/s-bestandsliste.html?userId=17823233", "Link")</f>
        <v/>
      </c>
      <c r="K278" s="7" t="n">
        <v>45555.55560185185</v>
      </c>
      <c r="L278" s="3" t="inlineStr">
        <is>
          <t>172.40</t>
        </is>
      </c>
      <c r="M278" t="inlineStr">
        <is>
          <t>Köln</t>
        </is>
      </c>
    </row>
    <row r="279">
      <c r="A279" t="inlineStr">
        <is>
          <t>Clickbar Set: DUOTONE Clickbar S (20+2 Lines) and Clickbar M (22+2 Lines) with Quick Release, in very good condition</t>
        </is>
      </c>
      <c r="B279" s="4" t="n">
        <v>400</v>
      </c>
      <c r="C279" t="inlineStr"/>
      <c r="D279" t="inlineStr">
        <is>
          <t>50858 Köln - Köln Junkersdorf</t>
        </is>
      </c>
      <c r="E279" s="5" t="n">
        <v>45552</v>
      </c>
      <c r="F279" t="inlineStr">
        <is>
          <t>Sold</t>
        </is>
      </c>
      <c r="G279" s="6">
        <f>HYPERLINK("https://www.kleinanzeigen.de/s-anzeige/duotone-clickbar-20-2-oder-22-2-incl-quick-release/2866642279-230-952", "Link")</f>
        <v/>
      </c>
      <c r="H279" s="6">
        <f>HYPERLINK("C:\Projects\Kleinanzeigen-Scraper\offer_images\2866642279", "Link")</f>
        <v/>
      </c>
      <c r="I279" t="inlineStr">
        <is>
          <t>Ralf Puetmann</t>
        </is>
      </c>
      <c r="J279" s="6">
        <f>HYPERLINK("https://www.kleinanzeigen.de/s-bestandsliste.html?userId=71749799", "Link")</f>
        <v/>
      </c>
      <c r="K279" s="7" t="n">
        <v>45555.55552083333</v>
      </c>
      <c r="L279" s="3" t="inlineStr">
        <is>
          <t>7.26</t>
        </is>
      </c>
      <c r="M279" t="inlineStr">
        <is>
          <t>Köln</t>
        </is>
      </c>
    </row>
    <row r="280">
      <c r="A280" t="inlineStr">
        <is>
          <t>Harness Lines: Duotone Trapeztampen Fixor Pro 30, quickly replaceable without removing the boom end</t>
        </is>
      </c>
      <c r="B280" s="4" t="n">
        <v>15</v>
      </c>
      <c r="C280" t="inlineStr"/>
      <c r="D280" t="inlineStr">
        <is>
          <t>82194 Bayern - Gröbenzell</t>
        </is>
      </c>
      <c r="E280" s="5" t="n">
        <v>45554</v>
      </c>
      <c r="F280" t="inlineStr">
        <is>
          <t>Sold</t>
        </is>
      </c>
      <c r="G280" s="6">
        <f>HYPERLINK("https://www.kleinanzeigen.de/s-anzeige/duotone-trapeztampen-harness-lines-fixor-pro-30/2868067879-230-6350", "Link")</f>
        <v/>
      </c>
      <c r="H280" s="6">
        <f>HYPERLINK("C:\Projects\Kleinanzeigen-Scraper\offer_images\2868067879", "Link")</f>
        <v/>
      </c>
      <c r="I280" t="inlineStr">
        <is>
          <t>Mark</t>
        </is>
      </c>
      <c r="J280" s="6">
        <f>HYPERLINK("https://www.kleinanzeigen.de/s-bestandsliste.html?userId=25258401", "Link")</f>
        <v/>
      </c>
      <c r="K280" s="7" t="n">
        <v>45555.55542824074</v>
      </c>
      <c r="L280" s="3" t="inlineStr">
        <is>
          <t>15.82</t>
        </is>
      </c>
      <c r="M280" t="inlineStr">
        <is>
          <t>München</t>
        </is>
      </c>
    </row>
    <row r="281">
      <c r="A281" t="inlineStr">
        <is>
          <t>Mastfoot: Windsurf Mastfuss, 1 piece, lightly used and in very good condition</t>
        </is>
      </c>
      <c r="B281" s="4" t="n">
        <v>15</v>
      </c>
      <c r="C281" t="inlineStr"/>
      <c r="D281" t="inlineStr">
        <is>
          <t>21075 Harburg - Hamburg Heimfeld</t>
        </is>
      </c>
      <c r="E281" s="5" t="n">
        <v>45553</v>
      </c>
      <c r="F281" t="inlineStr"/>
      <c r="G281" s="6">
        <f>HYPERLINK("https://www.kleinanzeigen.de/s-anzeige/windsurf-mastfuss/2867366817-230-16405", "Link")</f>
        <v/>
      </c>
      <c r="H281" s="6">
        <f>HYPERLINK("C:\Projects\Kleinanzeigen-Scraper\offer_images\2867366817", "Link")</f>
        <v/>
      </c>
      <c r="I281" t="inlineStr">
        <is>
          <t>Emma</t>
        </is>
      </c>
      <c r="J281" s="6">
        <f>HYPERLINK("https://www.kleinanzeigen.de/s-bestandsliste.html?userId=131894757", "Link")</f>
        <v/>
      </c>
      <c r="K281" s="7" t="n">
        <v>45555.55521990741</v>
      </c>
      <c r="L281" s="3" t="inlineStr">
        <is>
          <t>345.92</t>
        </is>
      </c>
      <c r="M281" t="inlineStr">
        <is>
          <t>Köln</t>
        </is>
      </c>
    </row>
    <row r="282">
      <c r="A282" t="inlineStr">
        <is>
          <t>Fin: Tabou MFC Freeride/Freerace 40 Tuttlebox, neuwertig, einmal gefahren</t>
        </is>
      </c>
      <c r="B282" s="4" t="n">
        <v>60</v>
      </c>
      <c r="C282" t="inlineStr">
        <is>
          <t>VB</t>
        </is>
      </c>
      <c r="D282" t="inlineStr">
        <is>
          <t>12587 Berlin - Köpenick</t>
        </is>
      </c>
      <c r="E282" s="5" t="n">
        <v>45551</v>
      </c>
      <c r="F282" t="inlineStr"/>
      <c r="G282" s="6">
        <f>HYPERLINK("https://www.kleinanzeigen.de/s-anzeige/tabou-mfc-windsurf-finne-freeride-freerace-40-tuttlebox-tb/2865864487-230-3374", "Link")</f>
        <v/>
      </c>
      <c r="H282" s="6">
        <f>HYPERLINK("C:\Projects\Kleinanzeigen-Scraper\offer_images\2865864487", "Link")</f>
        <v/>
      </c>
      <c r="I282" t="inlineStr">
        <is>
          <t>Carsten</t>
        </is>
      </c>
      <c r="J282" s="6">
        <f>HYPERLINK("https://www.kleinanzeigen.de/s-bestandsliste.html?userId=27942008", "Link")</f>
        <v/>
      </c>
      <c r="K282" s="7" t="n">
        <v>45555.555</v>
      </c>
      <c r="L282" s="3" t="inlineStr">
        <is>
          <t>490.72</t>
        </is>
      </c>
      <c r="M282" t="inlineStr">
        <is>
          <t>Köln</t>
        </is>
      </c>
    </row>
    <row r="283">
      <c r="A283" t="inlineStr">
        <is>
          <t>Harness: Neilpryde Sitztrapez, Größe L, guter Zustand</t>
        </is>
      </c>
      <c r="B283" s="4" t="n">
        <v>30</v>
      </c>
      <c r="C283" t="inlineStr">
        <is>
          <t>VB</t>
        </is>
      </c>
      <c r="D283" t="inlineStr">
        <is>
          <t>78351 Baden-Württemberg - Bodman-Ludwigshafen</t>
        </is>
      </c>
      <c r="E283" s="5" t="n">
        <v>45552</v>
      </c>
      <c r="F283" t="inlineStr"/>
      <c r="G283" s="6">
        <f>HYPERLINK("https://www.kleinanzeigen.de/s-anzeige/sitztrapez-surfen-neilpryde-top-zustand-groesse-l/2866117281-230-8479", "Link")</f>
        <v/>
      </c>
      <c r="H283" s="6">
        <f>HYPERLINK("C:\Projects\Kleinanzeigen-Scraper\offer_images\2866117281", "Link")</f>
        <v/>
      </c>
      <c r="I283" t="inlineStr">
        <is>
          <t>Flohoyer</t>
        </is>
      </c>
      <c r="J283" s="6">
        <f>HYPERLINK("https://www.kleinanzeigen.de/s-bestandsliste.html?userId=144206423", "Link")</f>
        <v/>
      </c>
      <c r="K283" s="7" t="n">
        <v>45555.55484953704</v>
      </c>
      <c r="L283" s="3" t="inlineStr">
        <is>
          <t>53.79</t>
        </is>
      </c>
      <c r="M283" t="inlineStr">
        <is>
          <t>Bonndorf</t>
        </is>
      </c>
    </row>
    <row r="284">
      <c r="A284" t="inlineStr">
        <is>
          <t>Straps: Duotone NTT Entity Straps, Size L/XL, Unused</t>
        </is>
      </c>
      <c r="B284" s="4" t="n">
        <v>70</v>
      </c>
      <c r="C284" t="inlineStr"/>
      <c r="D284" t="inlineStr">
        <is>
          <t>89155 Baden-Württemberg - Erbach</t>
        </is>
      </c>
      <c r="E284" s="5" t="n">
        <v>45552</v>
      </c>
      <c r="F284" t="inlineStr">
        <is>
          <t>Sold</t>
        </is>
      </c>
      <c r="G284" s="6">
        <f>HYPERLINK("https://www.kleinanzeigen.de/s-anzeige/duotone-ntt-entity-straps-neu/2866683323-230-8684", "Link")</f>
        <v/>
      </c>
      <c r="H284" s="6">
        <f>HYPERLINK("C:\Projects\Kleinanzeigen-Scraper\offer_images\2866683323", "Link")</f>
        <v/>
      </c>
      <c r="I284" t="inlineStr">
        <is>
          <t>N. S.</t>
        </is>
      </c>
      <c r="J284" s="6">
        <f>HYPERLINK("https://www.kleinanzeigen.de/s-bestandsliste.html?userId=32616913", "Link")</f>
        <v/>
      </c>
      <c r="K284" s="7" t="n">
        <v>45555.55474537037</v>
      </c>
      <c r="L284" s="3" t="inlineStr">
        <is>
          <t>76.12</t>
        </is>
      </c>
      <c r="M284" t="inlineStr">
        <is>
          <t>Böblingen</t>
        </is>
      </c>
    </row>
    <row r="285">
      <c r="A285" t="inlineStr">
        <is>
          <t>North Navigator Bar: 2023 model, size 50-55, in excellent condition with various features including toolless interloop system and adjustable line lengths.</t>
        </is>
      </c>
      <c r="B285" s="4" t="n">
        <v>320</v>
      </c>
      <c r="C285" t="inlineStr">
        <is>
          <t>VB</t>
        </is>
      </c>
      <c r="D285" t="inlineStr">
        <is>
          <t>12587 Berlin - Köpenick</t>
        </is>
      </c>
      <c r="E285" s="5" t="n">
        <v>45553</v>
      </c>
      <c r="F285" t="inlineStr"/>
      <c r="G285" s="6">
        <f>HYPERLINK("https://www.kleinanzeigen.de/s-anzeige/north-navigator-bar-2023-50-55/2867119955-230-3374", "Link")</f>
        <v/>
      </c>
      <c r="H285" s="6">
        <f>HYPERLINK("C:\Projects\Kleinanzeigen-Scraper\offer_images\2867119955", "Link")</f>
        <v/>
      </c>
      <c r="I285" t="inlineStr">
        <is>
          <t>Danny</t>
        </is>
      </c>
      <c r="J285" s="6">
        <f>HYPERLINK("https://www.kleinanzeigen.de/s-bestandsliste.html?userId=22719855", "Link")</f>
        <v/>
      </c>
      <c r="K285" s="7" t="n">
        <v>45555.55462962963</v>
      </c>
      <c r="L285" s="3" t="inlineStr">
        <is>
          <t>490.72</t>
        </is>
      </c>
      <c r="M285" t="inlineStr">
        <is>
          <t>Köln</t>
        </is>
      </c>
    </row>
    <row r="286">
      <c r="A286" t="inlineStr">
        <is>
          <t>Fin: Lessacher Windsurf Finne Freeride-Duo 42, in neuwertigem Zustand, inkl. Cover</t>
        </is>
      </c>
      <c r="B286" s="4" t="n">
        <v>75</v>
      </c>
      <c r="C286" t="inlineStr">
        <is>
          <t>VB</t>
        </is>
      </c>
      <c r="D286" t="inlineStr">
        <is>
          <t>12587 Berlin - Köpenick</t>
        </is>
      </c>
      <c r="E286" s="5" t="n">
        <v>45551</v>
      </c>
      <c r="F286" t="inlineStr">
        <is>
          <t>Sold</t>
        </is>
      </c>
      <c r="G286" s="6">
        <f>HYPERLINK("https://www.kleinanzeigen.de/s-anzeige/lessacher-windsurf-finne-freeride-duo-42tutlebox-tb/2865852813-230-3374", "Link")</f>
        <v/>
      </c>
      <c r="H286" s="6">
        <f>HYPERLINK("C:\Projects\Kleinanzeigen-Scraper\offer_images\2865852813", "Link")</f>
        <v/>
      </c>
      <c r="I286" t="inlineStr">
        <is>
          <t>Carsten</t>
        </is>
      </c>
      <c r="J286" s="6">
        <f>HYPERLINK("https://www.kleinanzeigen.de/s-bestandsliste.html?userId=27942008", "Link")</f>
        <v/>
      </c>
      <c r="K286" s="7" t="n">
        <v>45555.55453703704</v>
      </c>
      <c r="L286" s="3" t="inlineStr">
        <is>
          <t>490.72</t>
        </is>
      </c>
      <c r="M286" t="inlineStr">
        <is>
          <t>Köln</t>
        </is>
      </c>
    </row>
    <row r="287">
      <c r="A287" t="inlineStr">
        <is>
          <t>Fin: Fehmarn Weed Race 40 PB, neuwertig mit Schutzhülle</t>
        </is>
      </c>
      <c r="B287" s="4" t="n">
        <v>85</v>
      </c>
      <c r="C287" t="inlineStr">
        <is>
          <t>VB</t>
        </is>
      </c>
      <c r="D287" t="inlineStr">
        <is>
          <t>21035 Hamburg - Bergedorf</t>
        </is>
      </c>
      <c r="E287" s="5" t="n">
        <v>45550</v>
      </c>
      <c r="F287" t="inlineStr">
        <is>
          <t>Sold</t>
        </is>
      </c>
      <c r="G287" s="6">
        <f>HYPERLINK("https://www.kleinanzeigen.de/s-anzeige/finne-fehmarn-weed-race-40-pb-windsurf-seegras/2864243594-230-16432", "Link")</f>
        <v/>
      </c>
      <c r="H287" s="6">
        <f>HYPERLINK("C:\Projects\Kleinanzeigen-Scraper\offer_images\2864243594", "Link")</f>
        <v/>
      </c>
      <c r="I287" t="inlineStr">
        <is>
          <t>Petersen</t>
        </is>
      </c>
      <c r="J287" s="6">
        <f>HYPERLINK("https://www.kleinanzeigen.de/s-bestandsliste.html?userId=16419282", "Link")</f>
        <v/>
      </c>
      <c r="K287" s="7" t="n">
        <v>45551.59996527778</v>
      </c>
      <c r="L287" s="3" t="inlineStr">
        <is>
          <t>357.47</t>
        </is>
      </c>
      <c r="M287" t="inlineStr">
        <is>
          <t>Köln</t>
        </is>
      </c>
    </row>
    <row r="288">
      <c r="A288" t="inlineStr">
        <is>
          <t>Surf Schwert: Various used fins for windsurf boards, available in a large selection starting from 29€.</t>
        </is>
      </c>
      <c r="B288" s="4" t="n">
        <v>29</v>
      </c>
      <c r="C288" t="inlineStr">
        <is>
          <t>VB</t>
        </is>
      </c>
      <c r="D288" t="inlineStr">
        <is>
          <t>37124 Niedersachsen - Rosdorf</t>
        </is>
      </c>
      <c r="E288" s="5" t="n">
        <v>45550</v>
      </c>
      <c r="F288" t="inlineStr">
        <is>
          <t>Sold</t>
        </is>
      </c>
      <c r="G288" s="6">
        <f>HYPERLINK("https://www.kleinanzeigen.de/s-anzeige/surf-schwert-fuer-div-windsurfer-grosse-auswahl-gebr-ab-29-2513/1861585550-230-3133", "Link")</f>
        <v/>
      </c>
      <c r="H288" s="6">
        <f>HYPERLINK("C:\Projects\Kleinanzeigen-Scraper\offer_images\1861585550", "Link")</f>
        <v/>
      </c>
      <c r="I288" t="inlineStr">
        <is>
          <t>No user name</t>
        </is>
      </c>
      <c r="J288" s="6">
        <f>HYPERLINK("https://www.kleinanzeigen.deNo user link", "Link")</f>
        <v/>
      </c>
      <c r="K288" s="7" t="n">
        <v>45551.59708333333</v>
      </c>
      <c r="L288" s="3" t="inlineStr">
        <is>
          <t>214.72</t>
        </is>
      </c>
      <c r="M288" t="inlineStr">
        <is>
          <t>Köln</t>
        </is>
      </c>
    </row>
    <row r="289">
      <c r="A289" t="inlineStr">
        <is>
          <t>Bindings: Duotone Entity Ergo M</t>
        </is>
      </c>
      <c r="B289" s="4" t="n">
        <v>120</v>
      </c>
      <c r="C289" t="inlineStr"/>
      <c r="D289" t="inlineStr">
        <is>
          <t>24143 Kiel - Gaarden</t>
        </is>
      </c>
      <c r="E289" s="5" t="n">
        <v>45551</v>
      </c>
      <c r="F289" t="inlineStr">
        <is>
          <t>Sold</t>
        </is>
      </c>
      <c r="G289" s="6">
        <f>HYPERLINK("https://www.kleinanzeigen.de/s-anzeige/2023-duotone-entity-ergo-m-bindungen/2865254559-230-702", "Link")</f>
        <v/>
      </c>
      <c r="H289" s="6">
        <f>HYPERLINK("C:\Projects\Kleinanzeigen-Scraper\offer_images\2865254559", "Link")</f>
        <v/>
      </c>
      <c r="I289" t="inlineStr">
        <is>
          <t>Jakob B</t>
        </is>
      </c>
      <c r="J289" s="6">
        <f>HYPERLINK("https://www.kleinanzeigen.de/s-bestandsliste.html?userId=63822146", "Link")</f>
        <v/>
      </c>
      <c r="K289" s="7" t="n">
        <v>45551.59674768519</v>
      </c>
      <c r="L289" s="3" t="inlineStr">
        <is>
          <t>432.09</t>
        </is>
      </c>
      <c r="M289" t="inlineStr">
        <is>
          <t>Köln</t>
        </is>
      </c>
    </row>
    <row r="290">
      <c r="A290" t="inlineStr">
        <is>
          <t>Bar: Duotone Clickbar 2024, 22+2 Meter size, lightly used, ready for immediate use.</t>
        </is>
      </c>
      <c r="B290" s="4" t="n">
        <v>400</v>
      </c>
      <c r="C290" t="inlineStr"/>
      <c r="D290" t="inlineStr">
        <is>
          <t>25980 Sylt - Westerland</t>
        </is>
      </c>
      <c r="E290" s="5" t="n">
        <v>45551</v>
      </c>
      <c r="F290" t="inlineStr">
        <is>
          <t>Sold</t>
        </is>
      </c>
      <c r="G290" s="6">
        <f>HYPERLINK("https://www.kleinanzeigen.de/s-anzeige/duotone-clickbar-2024/2865177419-230-634", "Link")</f>
        <v/>
      </c>
      <c r="H290" s="6">
        <f>HYPERLINK("C:\Projects\Kleinanzeigen-Scraper\offer_images\2865177419", "Link")</f>
        <v/>
      </c>
      <c r="I290" t="inlineStr">
        <is>
          <t>Benje</t>
        </is>
      </c>
      <c r="J290" s="6">
        <f>HYPERLINK("https://www.kleinanzeigen.de/s-bestandsliste.html?userId=42224523", "Link")</f>
        <v/>
      </c>
      <c r="K290" s="7" t="n">
        <v>45551.59555555556</v>
      </c>
      <c r="L290" s="3" t="inlineStr">
        <is>
          <t>448.30</t>
        </is>
      </c>
      <c r="M290" t="inlineStr">
        <is>
          <t>Köln</t>
        </is>
      </c>
    </row>
    <row r="291">
      <c r="A291" t="inlineStr">
        <is>
          <t>Bindings/Pads: Size L in very good condition</t>
        </is>
      </c>
      <c r="B291" s="4" t="n">
        <v>110</v>
      </c>
      <c r="C291" t="inlineStr"/>
      <c r="D291" t="inlineStr">
        <is>
          <t>24226 Schleswig-Holstein - Heikendorf</t>
        </is>
      </c>
      <c r="E291" s="5" t="n">
        <v>45543</v>
      </c>
      <c r="F291" t="inlineStr">
        <is>
          <t>Sold</t>
        </is>
      </c>
      <c r="G291" s="6">
        <f>HYPERLINK("https://www.kleinanzeigen.de/s-anzeige/duotone-bindund-pads/2857441690-230-672", "Link")</f>
        <v/>
      </c>
      <c r="H291" s="6">
        <f>HYPERLINK("C:\Projects\Kleinanzeigen-Scraper\offer_images\2857441690", "Link")</f>
        <v/>
      </c>
      <c r="I291" t="inlineStr">
        <is>
          <t>Greg</t>
        </is>
      </c>
      <c r="J291" s="6">
        <f>HYPERLINK("https://www.kleinanzeigen.de/s-bestandsliste.html?userId=14523506", "Link")</f>
        <v/>
      </c>
      <c r="K291" s="7" t="n">
        <v>45551.59546296296</v>
      </c>
      <c r="L291" s="3" t="inlineStr">
        <is>
          <t>441.08</t>
        </is>
      </c>
      <c r="M291" t="inlineStr">
        <is>
          <t>Köln</t>
        </is>
      </c>
    </row>
    <row r="292">
      <c r="A292" t="inlineStr">
        <is>
          <t>Mast extension: North Sail Carbon RDM Power XTR Extension 25cm with ratchet system for sail trimming</t>
        </is>
      </c>
      <c r="B292" s="4" t="n">
        <v>55</v>
      </c>
      <c r="C292" t="inlineStr">
        <is>
          <t>VB</t>
        </is>
      </c>
      <c r="D292" t="inlineStr">
        <is>
          <t>88048 Baden-Württemberg - Friedrichshafen</t>
        </is>
      </c>
      <c r="E292" s="5" t="n">
        <v>45551</v>
      </c>
      <c r="F292" t="inlineStr">
        <is>
          <t>Sold</t>
        </is>
      </c>
      <c r="G292" s="6">
        <f>HYPERLINK("https://www.kleinanzeigen.de/s-anzeige/north-sail-carbon-rdm-power-xtr-extension-25cm/2865315307-230-9212", "Link")</f>
        <v/>
      </c>
      <c r="H292" s="6">
        <f>HYPERLINK("C:\Projects\Kleinanzeigen-Scraper\offer_images\2865315307", "Link")</f>
        <v/>
      </c>
      <c r="I292" t="inlineStr">
        <is>
          <t>Niko</t>
        </is>
      </c>
      <c r="J292" s="6">
        <f>HYPERLINK("https://www.kleinanzeigen.de/s-bestandsliste.html?userId=14298532", "Link")</f>
        <v/>
      </c>
      <c r="K292" s="7" t="n">
        <v>45551.59461805555</v>
      </c>
      <c r="L292" s="3" t="inlineStr">
        <is>
          <t>87.69</t>
        </is>
      </c>
      <c r="M292" t="inlineStr">
        <is>
          <t>Bonndorf</t>
        </is>
      </c>
    </row>
    <row r="293">
      <c r="A293" t="inlineStr">
        <is>
          <t>Fin: Power Box Finne von Select, 250g</t>
        </is>
      </c>
      <c r="B293" s="4" t="n">
        <v>30</v>
      </c>
      <c r="C293" t="inlineStr"/>
      <c r="D293" t="inlineStr">
        <is>
          <t>47198 Duisburg - Homberg/Ruhrort/Baerl</t>
        </is>
      </c>
      <c r="E293" s="5" t="n">
        <v>45546</v>
      </c>
      <c r="F293" t="inlineStr">
        <is>
          <t>Sold</t>
        </is>
      </c>
      <c r="G293" s="6">
        <f>HYPERLINK("https://www.kleinanzeigen.de/s-anzeige/select-viper-speed-28-finne-windsurfen/2860625087-230-2140", "Link")</f>
        <v/>
      </c>
      <c r="H293" s="6">
        <f>HYPERLINK("C:\Projects\Kleinanzeigen-Scraper\offer_images\2860625087", "Link")</f>
        <v/>
      </c>
      <c r="I293" t="inlineStr">
        <is>
          <t>Stephan Kalbertod</t>
        </is>
      </c>
      <c r="J293" s="6">
        <f>HYPERLINK("https://www.kleinanzeigen.de/s-bestandsliste.html?userId=8064073", "Link")</f>
        <v/>
      </c>
      <c r="K293" s="7" t="n">
        <v>45551.59447916667</v>
      </c>
      <c r="L293" s="3" t="inlineStr">
        <is>
          <t>59.95</t>
        </is>
      </c>
      <c r="M293" t="inlineStr">
        <is>
          <t>Köln</t>
        </is>
      </c>
    </row>
    <row r="294">
      <c r="A294" t="inlineStr">
        <is>
          <t>Mastfoot: Duotone iBase + iTendon, neuwertig 2024, minimale Gebrauchsspuren, sehr guter Zustand</t>
        </is>
      </c>
      <c r="B294" s="4" t="n">
        <v>65</v>
      </c>
      <c r="C294" t="inlineStr"/>
      <c r="D294" t="inlineStr">
        <is>
          <t>33758 Nordrhein-Westfalen - Schloß Holte-Stukenbrock</t>
        </is>
      </c>
      <c r="E294" s="5" t="n">
        <v>45543</v>
      </c>
      <c r="F294" t="inlineStr">
        <is>
          <t>Sold</t>
        </is>
      </c>
      <c r="G294" s="6">
        <f>HYPERLINK("https://www.kleinanzeigen.de/s-anzeige/duotone-ibase-itendon-neuwertig-2024/2857530621-230-1646", "Link")</f>
        <v/>
      </c>
      <c r="H294" s="6">
        <f>HYPERLINK("C:\Projects\Kleinanzeigen-Scraper\offer_images\2857530621", "Link")</f>
        <v/>
      </c>
      <c r="I294" t="inlineStr">
        <is>
          <t>Ralf Ewers</t>
        </is>
      </c>
      <c r="J294" s="6">
        <f>HYPERLINK("https://www.kleinanzeigen.de/s-bestandsliste.html?userId=75080608", "Link")</f>
        <v/>
      </c>
      <c r="K294" s="7" t="n">
        <v>45551.59430555555</v>
      </c>
      <c r="L294" s="3" t="inlineStr">
        <is>
          <t>158.29</t>
        </is>
      </c>
      <c r="M294" t="inlineStr">
        <is>
          <t>Köln</t>
        </is>
      </c>
    </row>
    <row r="295">
      <c r="A295" t="inlineStr">
        <is>
          <t>Fin: Freeslalom fin, 340mm Tuttlebox for Starboard, good condition</t>
        </is>
      </c>
      <c r="B295" s="4" t="n">
        <v>79</v>
      </c>
      <c r="C295" t="inlineStr"/>
      <c r="D295" t="inlineStr">
        <is>
          <t>18146 Rostock - Hinrichsdorf</t>
        </is>
      </c>
      <c r="E295" s="5" t="n">
        <v>45370</v>
      </c>
      <c r="F295" t="inlineStr"/>
      <c r="G295" s="6">
        <f>HYPERLINK("https://www.kleinanzeigen.de/s-anzeige/finne-drake-340mm-tuttlebox-tb-starboard/2711375021-230-9535", "Link")</f>
        <v/>
      </c>
      <c r="H295" s="6">
        <f>HYPERLINK("C:\Projects\Kleinanzeigen-Scraper\offer_images\2711375021", "Link")</f>
        <v/>
      </c>
      <c r="I295" t="inlineStr">
        <is>
          <t>Michael Schade</t>
        </is>
      </c>
      <c r="J295" s="6">
        <f>HYPERLINK("https://www.kleinanzeigen.de/s-bestandsliste.html?userId=21535402", "Link")</f>
        <v/>
      </c>
      <c r="K295" s="7" t="n">
        <v>45551.59289351852</v>
      </c>
      <c r="L295" s="3" t="inlineStr">
        <is>
          <t>497.86</t>
        </is>
      </c>
      <c r="M295" t="inlineStr">
        <is>
          <t>Köln</t>
        </is>
      </c>
    </row>
    <row r="296">
      <c r="A296" t="inlineStr">
        <is>
          <t>Fin: 24 cm Power Box in G10</t>
        </is>
      </c>
      <c r="B296" s="4" t="n">
        <v>15</v>
      </c>
      <c r="C296" t="inlineStr"/>
      <c r="D296" t="inlineStr">
        <is>
          <t>47198 Duisburg - Homberg/Ruhrort/Baerl</t>
        </is>
      </c>
      <c r="E296" s="5" t="n">
        <v>45546</v>
      </c>
      <c r="F296" t="inlineStr">
        <is>
          <t>Sold</t>
        </is>
      </c>
      <c r="G296" s="6">
        <f>HYPERLINK("https://www.kleinanzeigen.de/s-anzeige/power-box-freeride-finne-windsurfen/2860631888-230-2140", "Link")</f>
        <v/>
      </c>
      <c r="H296" s="6">
        <f>HYPERLINK("C:\Projects\Kleinanzeigen-Scraper\offer_images\2860631888", "Link")</f>
        <v/>
      </c>
      <c r="I296" t="inlineStr">
        <is>
          <t>Stephan Kalbertod</t>
        </is>
      </c>
      <c r="J296" s="6">
        <f>HYPERLINK("https://www.kleinanzeigen.de/s-bestandsliste.html?userId=8064073", "Link")</f>
        <v/>
      </c>
      <c r="K296" s="7" t="n">
        <v>45551.59090277777</v>
      </c>
      <c r="L296" s="3" t="inlineStr">
        <is>
          <t>59.95</t>
        </is>
      </c>
      <c r="M296" t="inlineStr">
        <is>
          <t>Köln</t>
        </is>
      </c>
    </row>
    <row r="297">
      <c r="A297" t="inlineStr">
        <is>
          <t>Harness: North Sails Sitztrapez, strongly used</t>
        </is>
      </c>
      <c r="B297" s="4" t="n">
        <v>20</v>
      </c>
      <c r="C297" t="inlineStr">
        <is>
          <t>VB</t>
        </is>
      </c>
      <c r="D297" t="inlineStr">
        <is>
          <t>86825 Bayern - Bad Wörishofen</t>
        </is>
      </c>
      <c r="E297" s="5" t="n">
        <v>45551</v>
      </c>
      <c r="F297" t="inlineStr"/>
      <c r="G297" s="6">
        <f>HYPERLINK("https://www.kleinanzeigen.de/s-anzeige/sitztrapez-windsurfen-north-sails/2865338583-230-7257", "Link")</f>
        <v/>
      </c>
      <c r="H297" s="6">
        <f>HYPERLINK("C:\Projects\Kleinanzeigen-Scraper\offer_images\2865338583", "Link")</f>
        <v/>
      </c>
      <c r="I297" t="inlineStr">
        <is>
          <t>peckmick</t>
        </is>
      </c>
      <c r="J297" s="6">
        <f>HYPERLINK("https://www.kleinanzeigen.de/s-bestandsliste.html?userId=75769172", "Link")</f>
        <v/>
      </c>
      <c r="K297" s="7" t="n">
        <v>45551.590625</v>
      </c>
      <c r="L297" s="3" t="inlineStr">
        <is>
          <t>74.63</t>
        </is>
      </c>
      <c r="M297" t="inlineStr">
        <is>
          <t>München</t>
        </is>
      </c>
    </row>
    <row r="298">
      <c r="A298" t="inlineStr">
        <is>
          <t>Fin: 46 cm Fanatic Freeride for Powerbox, good condition</t>
        </is>
      </c>
      <c r="B298" s="4" t="n">
        <v>70</v>
      </c>
      <c r="C298" t="inlineStr">
        <is>
          <t>VB</t>
        </is>
      </c>
      <c r="D298" t="inlineStr">
        <is>
          <t>21035 Hamburg - Bergedorf</t>
        </is>
      </c>
      <c r="E298" s="5" t="n">
        <v>45550</v>
      </c>
      <c r="F298" t="inlineStr">
        <is>
          <t>Sold</t>
        </is>
      </c>
      <c r="G298" s="6">
        <f>HYPERLINK("https://www.kleinanzeigen.de/s-anzeige/finne-fanatic-freeride-46-gfk-pb-windsurf/2864256790-230-16432", "Link")</f>
        <v/>
      </c>
      <c r="H298" s="6">
        <f>HYPERLINK("C:\Projects\Kleinanzeigen-Scraper\offer_images\2864256790", "Link")</f>
        <v/>
      </c>
      <c r="I298" t="inlineStr">
        <is>
          <t>Petersen</t>
        </is>
      </c>
      <c r="J298" s="6">
        <f>HYPERLINK("https://www.kleinanzeigen.de/s-bestandsliste.html?userId=16419282", "Link")</f>
        <v/>
      </c>
      <c r="K298" s="7" t="n">
        <v>45551.59052083334</v>
      </c>
      <c r="L298" s="3" t="inlineStr">
        <is>
          <t>357.47</t>
        </is>
      </c>
      <c r="M298" t="inlineStr">
        <is>
          <t>Köln</t>
        </is>
      </c>
    </row>
    <row r="299">
      <c r="A299" t="inlineStr">
        <is>
          <t>Trapeztampen: 28 Zoll, sehr guter Zustand, Neil Pryde</t>
        </is>
      </c>
      <c r="B299" s="4" t="n">
        <v>17</v>
      </c>
      <c r="C299" t="inlineStr"/>
      <c r="D299" t="inlineStr">
        <is>
          <t>81929 München - Bogenhausen</t>
        </is>
      </c>
      <c r="E299" s="5" t="n">
        <v>45549</v>
      </c>
      <c r="F299" t="inlineStr">
        <is>
          <t>Sold</t>
        </is>
      </c>
      <c r="G299" s="6">
        <f>HYPERLINK("https://www.kleinanzeigen.de/s-anzeige/windsurf-trapeztampen-28-zoll-sehr-guter-zustand/2863004811-230-6526", "Link")</f>
        <v/>
      </c>
      <c r="H299" s="6">
        <f>HYPERLINK("C:\Projects\Kleinanzeigen-Scraper\offer_images\2863004811", "Link")</f>
        <v/>
      </c>
      <c r="I299" t="inlineStr">
        <is>
          <t>Thomas</t>
        </is>
      </c>
      <c r="J299" s="6">
        <f>HYPERLINK("https://www.kleinanzeigen.de/s-bestandsliste.html?userId=7284801", "Link")</f>
        <v/>
      </c>
      <c r="K299" s="7" t="n">
        <v>45551.41171296296</v>
      </c>
      <c r="L299" s="3" t="inlineStr">
        <is>
          <t>6.89</t>
        </is>
      </c>
      <c r="M299" t="inlineStr">
        <is>
          <t>München</t>
        </is>
      </c>
    </row>
    <row r="300">
      <c r="A300" t="inlineStr">
        <is>
          <t>Bar: Used Naish Bar, available with a leash for 60€</t>
        </is>
      </c>
      <c r="B300" s="4" t="n">
        <v>40</v>
      </c>
      <c r="C300" t="inlineStr"/>
      <c r="D300" t="inlineStr">
        <is>
          <t>22399 Wandsbek - Hamburg Hummelsbüttel</t>
        </is>
      </c>
      <c r="E300" s="5" t="n">
        <v>45507</v>
      </c>
      <c r="F300" t="inlineStr">
        <is>
          <t>Sold</t>
        </is>
      </c>
      <c r="G300" s="6">
        <f>HYPERLINK("https://www.kleinanzeigen.de/s-anzeige/naish-bar-gebraucht/2828269163-230-9472", "Link")</f>
        <v/>
      </c>
      <c r="H300" s="6">
        <f>HYPERLINK("C:\Projects\Kleinanzeigen-Scraper\offer_images\2828269163", "Link")</f>
        <v/>
      </c>
      <c r="I300" t="inlineStr">
        <is>
          <t>R. Böhm</t>
        </is>
      </c>
      <c r="J300" s="6">
        <f>HYPERLINK("https://www.kleinanzeigen.de/s-bestandsliste.html?userId=140565602", "Link")</f>
        <v/>
      </c>
      <c r="K300" s="7" t="n">
        <v>45551.41167824074</v>
      </c>
      <c r="L300" s="3" t="inlineStr">
        <is>
          <t>369.80</t>
        </is>
      </c>
      <c r="M300" t="inlineStr">
        <is>
          <t>Köln</t>
        </is>
      </c>
    </row>
    <row r="301">
      <c r="A301" t="inlineStr">
        <is>
          <t>Click Bar: Duotone Click Bar M 22m, includes Freestyle Loop, bag &amp; accessories</t>
        </is>
      </c>
      <c r="B301" s="4" t="n">
        <v>299</v>
      </c>
      <c r="C301" t="inlineStr"/>
      <c r="D301" t="inlineStr">
        <is>
          <t>22763 Altona - Hamburg Ottensen</t>
        </is>
      </c>
      <c r="E301" s="5" t="n">
        <v>45550</v>
      </c>
      <c r="F301" t="inlineStr">
        <is>
          <t>Sold</t>
        </is>
      </c>
      <c r="G301" s="6">
        <f>HYPERLINK("https://www.kleinanzeigen.de/s-anzeige/duotone-click-bar-m-22m-2023/2864319470-230-9505", "Link")</f>
        <v/>
      </c>
      <c r="H301" s="6">
        <f>HYPERLINK("C:\Projects\Kleinanzeigen-Scraper\offer_images\2864319470", "Link")</f>
        <v/>
      </c>
      <c r="I301" t="inlineStr">
        <is>
          <t>Daniel Zimmermann</t>
        </is>
      </c>
      <c r="J301" s="6">
        <f>HYPERLINK("https://www.kleinanzeigen.de/s-bestandsliste.html?userId=129274028", "Link")</f>
        <v/>
      </c>
      <c r="K301" s="7" t="n">
        <v>45551.41166666667</v>
      </c>
      <c r="L301" s="3" t="inlineStr">
        <is>
          <t>354.04</t>
        </is>
      </c>
      <c r="M301" t="inlineStr">
        <is>
          <t>Köln</t>
        </is>
      </c>
    </row>
    <row r="302">
      <c r="A302" t="inlineStr">
        <is>
          <t>Rope-Harness Kit: Includes a small chicken loop with metal plate and short leash, designed for use with a rope harness only.</t>
        </is>
      </c>
      <c r="B302" s="4" t="n">
        <v>90</v>
      </c>
      <c r="C302" t="inlineStr">
        <is>
          <t>VB</t>
        </is>
      </c>
      <c r="D302" t="inlineStr">
        <is>
          <t>27574 Häfen - Bremerhaven</t>
        </is>
      </c>
      <c r="E302" s="5" t="n">
        <v>45549</v>
      </c>
      <c r="F302" t="inlineStr">
        <is>
          <t>Sold</t>
        </is>
      </c>
      <c r="G302" s="6">
        <f>HYPERLINK("https://www.kleinanzeigen.de/s-anzeige/duotone-rope-kit-und-rope-slider-fuers-trapez/2863314148-230-55", "Link")</f>
        <v/>
      </c>
      <c r="H302" s="6">
        <f>HYPERLINK("C:\Projects\Kleinanzeigen-Scraper\offer_images\2863314148", "Link")</f>
        <v/>
      </c>
      <c r="I302" t="inlineStr">
        <is>
          <t>Sören</t>
        </is>
      </c>
      <c r="J302" s="6">
        <f>HYPERLINK("https://www.kleinanzeigen.de/s-bestandsliste.html?userId=16721362", "Link")</f>
        <v/>
      </c>
      <c r="K302" s="7" t="n">
        <v>45551.41163194444</v>
      </c>
      <c r="L302" s="3" t="inlineStr">
        <is>
          <t>309.47</t>
        </is>
      </c>
      <c r="M302" t="inlineStr">
        <is>
          <t>Köln</t>
        </is>
      </c>
    </row>
    <row r="303">
      <c r="A303" t="inlineStr">
        <is>
          <t>Lattenspannung Schlüssel: Superpraktischer Inbusschlüssel zur Lattenspannung. Handlich, griffig und gut verstaubar.</t>
        </is>
      </c>
      <c r="B303" s="4" t="n">
        <v>2</v>
      </c>
      <c r="C303" t="inlineStr"/>
      <c r="D303" t="inlineStr">
        <is>
          <t>81735 München - Ramersdorf-Perlach</t>
        </is>
      </c>
      <c r="E303" s="5" t="n">
        <v>45550</v>
      </c>
      <c r="F303" t="inlineStr">
        <is>
          <t>Sold</t>
        </is>
      </c>
      <c r="G303" s="6">
        <f>HYPERLINK("https://www.kleinanzeigen.de/s-anzeige/north-sails-inbusschluessel-zur-lattenspannung/2864118448-230-6472", "Link")</f>
        <v/>
      </c>
      <c r="H303" s="6">
        <f>HYPERLINK("C:\Projects\Kleinanzeigen-Scraper\offer_images\2864118448", "Link")</f>
        <v/>
      </c>
      <c r="I303" t="inlineStr">
        <is>
          <t>Roswitha</t>
        </is>
      </c>
      <c r="J303" s="6">
        <f>HYPERLINK("https://www.kleinanzeigen.de/s-bestandsliste.html?userId=641074", "Link")</f>
        <v/>
      </c>
      <c r="K303" s="7" t="n">
        <v>45551.41145833334</v>
      </c>
      <c r="L303" s="3" t="inlineStr">
        <is>
          <t>6.23</t>
        </is>
      </c>
      <c r="M303" t="inlineStr">
        <is>
          <t>München</t>
        </is>
      </c>
    </row>
    <row r="304">
      <c r="A304" t="inlineStr">
        <is>
          <t>Trapezhaken: neuwertig, only used for testing</t>
        </is>
      </c>
      <c r="B304" s="4" t="n">
        <v>20</v>
      </c>
      <c r="C304" t="inlineStr">
        <is>
          <t>VB</t>
        </is>
      </c>
      <c r="D304" t="inlineStr">
        <is>
          <t>55291 Rheinland-Pfalz - Saulheim</t>
        </is>
      </c>
      <c r="E304" s="5" t="n">
        <v>45484</v>
      </c>
      <c r="F304" t="inlineStr">
        <is>
          <t>Sold</t>
        </is>
      </c>
      <c r="G304" s="6">
        <f>HYPERLINK("https://www.kleinanzeigen.de/s-anzeige/neilpryde-trapezhaken-neuwertig-neil-pryde/2809520252-230-5332", "Link")</f>
        <v/>
      </c>
      <c r="H304" s="6">
        <f>HYPERLINK("C:\Projects\Kleinanzeigen-Scraper\offer_images\2809520252", "Link")</f>
        <v/>
      </c>
      <c r="I304" t="inlineStr">
        <is>
          <t>Michael</t>
        </is>
      </c>
      <c r="J304" s="6">
        <f>HYPERLINK("https://www.kleinanzeigen.de/s-bestandsliste.html?userId=120338761", "Link")</f>
        <v/>
      </c>
      <c r="K304" s="7" t="n">
        <v>45551.41128472222</v>
      </c>
      <c r="L304" s="3" t="inlineStr">
        <is>
          <t>97.88</t>
        </is>
      </c>
      <c r="M304" t="inlineStr">
        <is>
          <t>Karlsruhe</t>
        </is>
      </c>
    </row>
    <row r="305">
      <c r="A305" t="inlineStr">
        <is>
          <t>Mast extension: Windsurf North Mastverlängerung mit Mastfuss, good condition, fits SDM mast</t>
        </is>
      </c>
      <c r="B305" s="4" t="n">
        <v>20</v>
      </c>
      <c r="C305" t="inlineStr">
        <is>
          <t>VB</t>
        </is>
      </c>
      <c r="D305" t="inlineStr">
        <is>
          <t>67434 Rheinland-Pfalz - Neustadt an der Weinstraße</t>
        </is>
      </c>
      <c r="E305" s="5" t="n">
        <v>45550</v>
      </c>
      <c r="F305" t="inlineStr">
        <is>
          <t>Sold</t>
        </is>
      </c>
      <c r="G305" s="6">
        <f>HYPERLINK("https://www.kleinanzeigen.de/s-anzeige/windsurf-north-mastverlaengerung-mit-mastfuss/2864012302-230-5372", "Link")</f>
        <v/>
      </c>
      <c r="H305" s="6">
        <f>HYPERLINK("C:\Projects\Kleinanzeigen-Scraper\offer_images\2864012302", "Link")</f>
        <v/>
      </c>
      <c r="I305" t="inlineStr">
        <is>
          <t>Thomas Droege</t>
        </is>
      </c>
      <c r="J305" s="6">
        <f>HYPERLINK("https://www.kleinanzeigen.de/s-bestandsliste.html?userId=36524172", "Link")</f>
        <v/>
      </c>
      <c r="K305" s="7" t="n">
        <v>45551.41126157407</v>
      </c>
      <c r="L305" s="3" t="inlineStr">
        <is>
          <t>43.04</t>
        </is>
      </c>
      <c r="M305" t="inlineStr">
        <is>
          <t>Karlsruhe</t>
        </is>
      </c>
    </row>
    <row r="306">
      <c r="A306" t="inlineStr">
        <is>
          <t>Clickbar: Duotone Clickbar M 22-24m with latest Click-in Loop</t>
        </is>
      </c>
      <c r="B306" s="4" t="n">
        <v>399</v>
      </c>
      <c r="C306" t="inlineStr"/>
      <c r="D306" t="inlineStr">
        <is>
          <t>01159 Dresden - Cotta</t>
        </is>
      </c>
      <c r="E306" s="5" t="n">
        <v>45550</v>
      </c>
      <c r="F306" t="inlineStr">
        <is>
          <t>Sold</t>
        </is>
      </c>
      <c r="G306" s="6">
        <f>HYPERLINK("https://www.kleinanzeigen.de/s-anzeige/duotone-clickbar-m-22-24m-mit-neustem-click-in-loop/2864036268-230-3848", "Link")</f>
        <v/>
      </c>
      <c r="H306" s="6">
        <f>HYPERLINK("C:\Projects\Kleinanzeigen-Scraper\offer_images\2864036268", "Link")</f>
        <v/>
      </c>
      <c r="I306" t="inlineStr">
        <is>
          <t>Dorothea Eichler</t>
        </is>
      </c>
      <c r="J306" s="6">
        <f>HYPERLINK("https://www.kleinanzeigen.de/s-bestandsliste.html?userId=54331643", "Link")</f>
        <v/>
      </c>
      <c r="K306" s="7" t="n">
        <v>45551.41100694444</v>
      </c>
      <c r="L306" s="3" t="inlineStr">
        <is>
          <t>357.46</t>
        </is>
      </c>
      <c r="M306" t="inlineStr">
        <is>
          <t>München</t>
        </is>
      </c>
    </row>
    <row r="307">
      <c r="A307" t="inlineStr">
        <is>
          <t>Mastfoot: Neilpryde US Cup with new Power Joint</t>
        </is>
      </c>
      <c r="B307" s="4" t="n">
        <v>19</v>
      </c>
      <c r="C307" t="inlineStr"/>
      <c r="D307" t="inlineStr">
        <is>
          <t>14513 Brandenburg - Teltow</t>
        </is>
      </c>
      <c r="E307" s="5" t="n">
        <v>45550</v>
      </c>
      <c r="F307" t="inlineStr">
        <is>
          <t>Sold</t>
        </is>
      </c>
      <c r="G307" s="6">
        <f>HYPERLINK("https://www.kleinanzeigen.de/s-anzeige/neilpryde-mastfuss-us-cup-power-joint-neu-windsurfen/2864115701-230-7939", "Link")</f>
        <v/>
      </c>
      <c r="H307" s="6">
        <f>HYPERLINK("C:\Projects\Kleinanzeigen-Scraper\offer_images\2864115701", "Link")</f>
        <v/>
      </c>
      <c r="I307" t="inlineStr">
        <is>
          <t>Thomas</t>
        </is>
      </c>
      <c r="J307" s="6">
        <f>HYPERLINK("https://www.kleinanzeigen.de/s-bestandsliste.html?userId=25517038", "Link")</f>
        <v/>
      </c>
      <c r="K307" s="7" t="n">
        <v>45551.41086805556</v>
      </c>
      <c r="L307" s="3" t="inlineStr">
        <is>
          <t>464.56</t>
        </is>
      </c>
      <c r="M307" t="inlineStr">
        <is>
          <t>Köln</t>
        </is>
      </c>
    </row>
    <row r="308">
      <c r="A308" t="inlineStr">
        <is>
          <t>Fin: Tekkno G10 36 cm Powerbox</t>
        </is>
      </c>
      <c r="B308" s="4" t="n">
        <v>29</v>
      </c>
      <c r="C308" t="inlineStr"/>
      <c r="D308" t="inlineStr">
        <is>
          <t>88045 Baden-Württemberg - Friedrichshafen</t>
        </is>
      </c>
      <c r="E308" s="5" t="n">
        <v>45549</v>
      </c>
      <c r="F308" t="inlineStr">
        <is>
          <t>Sold</t>
        </is>
      </c>
      <c r="G308" s="6">
        <f>HYPERLINK("https://www.kleinanzeigen.de/s-anzeige/windsurf-finne-tekkno-g10-36-cm-powerbox/2863385975-230-9213", "Link")</f>
        <v/>
      </c>
      <c r="H308" s="6">
        <f>HYPERLINK("C:\Projects\Kleinanzeigen-Scraper\offer_images\2863385975", "Link")</f>
        <v/>
      </c>
      <c r="I308" t="inlineStr">
        <is>
          <t>R.M.</t>
        </is>
      </c>
      <c r="J308" s="6">
        <f>HYPERLINK("https://www.kleinanzeigen.de/s-bestandsliste.html?userId=56059820", "Link")</f>
        <v/>
      </c>
      <c r="K308" s="7" t="n">
        <v>45551.41063657407</v>
      </c>
      <c r="L308" s="3" t="inlineStr">
        <is>
          <t>85.70</t>
        </is>
      </c>
      <c r="M308" t="inlineStr">
        <is>
          <t>Bonndorf</t>
        </is>
      </c>
    </row>
    <row r="309">
      <c r="A309" t="inlineStr">
        <is>
          <t>Harness: ION Relay Hüfttrapez Gr. M (medium), wie neu - ein Mal auf dem Wasser gewesen</t>
        </is>
      </c>
      <c r="B309" s="4" t="n">
        <v>119</v>
      </c>
      <c r="C309" t="inlineStr">
        <is>
          <t>VB</t>
        </is>
      </c>
      <c r="D309" t="inlineStr">
        <is>
          <t>76287 Baden-Württemberg - Rheinstetten</t>
        </is>
      </c>
      <c r="E309" s="5" t="n">
        <v>45548</v>
      </c>
      <c r="F309" t="inlineStr">
        <is>
          <t>Sold</t>
        </is>
      </c>
      <c r="G309" s="6">
        <f>HYPERLINK("https://www.kleinanzeigen.de/s-anzeige/ion-relay-huefttrapez-gr-m-windsurf/2862322610-230-8166", "Link")</f>
        <v/>
      </c>
      <c r="H309" s="6">
        <f>HYPERLINK("C:\Projects\Kleinanzeigen-Scraper\offer_images\2862322610", "Link")</f>
        <v/>
      </c>
      <c r="I309" t="inlineStr">
        <is>
          <t>Dominik</t>
        </is>
      </c>
      <c r="J309" s="6">
        <f>HYPERLINK("https://www.kleinanzeigen.de/s-bestandsliste.html?userId=16948579", "Link")</f>
        <v/>
      </c>
      <c r="K309" s="7" t="n">
        <v>45551.4103125</v>
      </c>
      <c r="L309" s="3" t="inlineStr">
        <is>
          <t>7.05</t>
        </is>
      </c>
      <c r="M309" t="inlineStr">
        <is>
          <t>Karlsruhe</t>
        </is>
      </c>
    </row>
    <row r="310">
      <c r="A310" t="inlineStr">
        <is>
          <t>Fin: Pro Limit Wave Finne, Ultimate Wave in Power Box</t>
        </is>
      </c>
      <c r="B310" s="4" t="n">
        <v>20</v>
      </c>
      <c r="C310" t="inlineStr"/>
      <c r="D310" t="inlineStr">
        <is>
          <t>47198 Duisburg - Homberg/Ruhrort/Baerl</t>
        </is>
      </c>
      <c r="E310" s="5" t="n">
        <v>45546</v>
      </c>
      <c r="F310" t="inlineStr">
        <is>
          <t>Sold</t>
        </is>
      </c>
      <c r="G310" s="6">
        <f>HYPERLINK("https://www.kleinanzeigen.de/s-anzeige/pro-limit-wave-finne-windsurfen/2860617759-230-2140", "Link")</f>
        <v/>
      </c>
      <c r="H310" s="6">
        <f>HYPERLINK("C:\Projects\Kleinanzeigen-Scraper\offer_images\2860617759", "Link")</f>
        <v/>
      </c>
      <c r="I310" t="inlineStr">
        <is>
          <t>Stephan Kalbertod</t>
        </is>
      </c>
      <c r="J310" s="6">
        <f>HYPERLINK("https://www.kleinanzeigen.de/s-bestandsliste.html?userId=8064073", "Link")</f>
        <v/>
      </c>
      <c r="K310" s="7" t="n">
        <v>45551.41005787037</v>
      </c>
      <c r="L310" s="3" t="inlineStr">
        <is>
          <t>59.95</t>
        </is>
      </c>
      <c r="M310" t="inlineStr">
        <is>
          <t>Köln</t>
        </is>
      </c>
    </row>
    <row r="311">
      <c r="A311" t="inlineStr">
        <is>
          <t>Fin: Starboard Drake Finne Wave Stone, 19cm, US-Box</t>
        </is>
      </c>
      <c r="B311" s="4" t="n">
        <v>50</v>
      </c>
      <c r="C311" t="inlineStr">
        <is>
          <t>VB</t>
        </is>
      </c>
      <c r="D311" t="inlineStr">
        <is>
          <t>47495 Nordrhein-Westfalen - Rheinberg</t>
        </is>
      </c>
      <c r="E311" s="5" t="n">
        <v>45505</v>
      </c>
      <c r="F311" t="inlineStr"/>
      <c r="G311" s="6">
        <f>HYPERLINK("https://www.kleinanzeigen.de/s-anzeige/starboard-drake-finne-wave-stone-surf-19cm-us-box-vom-kode/2826250281-230-1399", "Link")</f>
        <v/>
      </c>
      <c r="H311" s="6">
        <f>HYPERLINK("C:\Projects\Kleinanzeigen-Scraper\offer_images\2826250281", "Link")</f>
        <v/>
      </c>
      <c r="I311" t="inlineStr">
        <is>
          <t>S-F</t>
        </is>
      </c>
      <c r="J311" s="6">
        <f>HYPERLINK("https://www.kleinanzeigen.de/s-bestandsliste.html?userId=9131632", "Link")</f>
        <v/>
      </c>
      <c r="K311" s="7" t="n">
        <v>45551.40993055556</v>
      </c>
      <c r="L311" s="3" t="inlineStr">
        <is>
          <t>72.31</t>
        </is>
      </c>
      <c r="M311" t="inlineStr">
        <is>
          <t>Köln</t>
        </is>
      </c>
    </row>
    <row r="312">
      <c r="A312" t="inlineStr">
        <is>
          <t>Fin: Power Box Slalom Finne in G10</t>
        </is>
      </c>
      <c r="B312" s="4" t="n">
        <v>25</v>
      </c>
      <c r="C312" t="inlineStr"/>
      <c r="D312" t="inlineStr">
        <is>
          <t>47198 Duisburg - Homberg/Ruhrort/Baerl</t>
        </is>
      </c>
      <c r="E312" s="5" t="n">
        <v>45546</v>
      </c>
      <c r="F312" t="inlineStr">
        <is>
          <t>Sold</t>
        </is>
      </c>
      <c r="G312" s="6">
        <f>HYPERLINK("https://www.kleinanzeigen.de/s-anzeige/lipsticks-slalom-finne-windsurfen/2860613902-230-2140", "Link")</f>
        <v/>
      </c>
      <c r="H312" s="6">
        <f>HYPERLINK("C:\Projects\Kleinanzeigen-Scraper\offer_images\2860613902", "Link")</f>
        <v/>
      </c>
      <c r="I312" t="inlineStr">
        <is>
          <t>Stephan Kalbertod</t>
        </is>
      </c>
      <c r="J312" s="6">
        <f>HYPERLINK("https://www.kleinanzeigen.de/s-bestandsliste.html?userId=8064073", "Link")</f>
        <v/>
      </c>
      <c r="K312" s="7" t="n">
        <v>45551.4096875</v>
      </c>
      <c r="L312" s="3" t="inlineStr">
        <is>
          <t>59.95</t>
        </is>
      </c>
      <c r="M312" t="inlineStr">
        <is>
          <t>Köln</t>
        </is>
      </c>
    </row>
    <row r="313">
      <c r="A313" t="inlineStr">
        <is>
          <t>Fin: JP Ride 40</t>
        </is>
      </c>
      <c r="B313" s="4" t="n">
        <v>80</v>
      </c>
      <c r="C313" t="inlineStr">
        <is>
          <t>VB</t>
        </is>
      </c>
      <c r="D313" t="inlineStr">
        <is>
          <t>81371 München - Sendling</t>
        </is>
      </c>
      <c r="E313" s="5" t="n">
        <v>45550</v>
      </c>
      <c r="F313" t="inlineStr">
        <is>
          <t>Sold</t>
        </is>
      </c>
      <c r="G313" s="6">
        <f>HYPERLINK("https://www.kleinanzeigen.de/s-anzeige/windsurf-finne-jp-ride-40/2863936454-230-6416", "Link")</f>
        <v/>
      </c>
      <c r="H313" s="6">
        <f>HYPERLINK("C:\Projects\Kleinanzeigen-Scraper\offer_images\2863936454", "Link")</f>
        <v/>
      </c>
      <c r="I313" t="inlineStr">
        <is>
          <t>Jule  van Hezik</t>
        </is>
      </c>
      <c r="J313" s="6">
        <f>HYPERLINK("https://www.kleinanzeigen.de/s-bestandsliste.html?userId=38984252", "Link")</f>
        <v/>
      </c>
      <c r="K313" s="7" t="n">
        <v>45551.40962962963</v>
      </c>
      <c r="L313" s="3" t="inlineStr">
        <is>
          <t>2.76</t>
        </is>
      </c>
      <c r="M313" t="inlineStr">
        <is>
          <t>München</t>
        </is>
      </c>
    </row>
    <row r="314">
      <c r="A314" t="inlineStr">
        <is>
          <t>Fin: FreerideFinne Windsurf Pro-AM Crossover 38 cm</t>
        </is>
      </c>
      <c r="B314" s="4" t="n">
        <v>35</v>
      </c>
      <c r="C314" t="inlineStr">
        <is>
          <t>VB</t>
        </is>
      </c>
      <c r="D314" t="inlineStr">
        <is>
          <t>82061 Kr. München - Neuried Kr München</t>
        </is>
      </c>
      <c r="E314" s="5" t="n">
        <v>45550</v>
      </c>
      <c r="F314" t="inlineStr">
        <is>
          <t>Sold</t>
        </is>
      </c>
      <c r="G314" s="6">
        <f>HYPERLINK("https://www.kleinanzeigen.de/s-anzeige/freeridefinne-windsurf-pro-am-crossover-38-cm/2864549194-230-6336", "Link")</f>
        <v/>
      </c>
      <c r="H314" s="6">
        <f>HYPERLINK("C:\Projects\Kleinanzeigen-Scraper\offer_images\2864549194", "Link")</f>
        <v/>
      </c>
      <c r="I314" t="inlineStr">
        <is>
          <t>Vanessa</t>
        </is>
      </c>
      <c r="J314" s="6">
        <f>HYPERLINK("https://www.kleinanzeigen.de/s-bestandsliste.html?userId=26497688", "Link")</f>
        <v/>
      </c>
      <c r="K314" s="7" t="n">
        <v>45551.40958333333</v>
      </c>
      <c r="L314" s="3" t="inlineStr">
        <is>
          <t>9.29</t>
        </is>
      </c>
      <c r="M314" t="inlineStr">
        <is>
          <t>München</t>
        </is>
      </c>
    </row>
    <row r="315">
      <c r="A315" t="inlineStr">
        <is>
          <t>Harness: Mystic Hüfttrapez in Größe XL, gutem Zustand ohne Beschädigungen</t>
        </is>
      </c>
      <c r="B315" s="4" t="n">
        <v>45</v>
      </c>
      <c r="C315" t="inlineStr">
        <is>
          <t>VB</t>
        </is>
      </c>
      <c r="D315" t="inlineStr">
        <is>
          <t>06749 Sachsen-Anhalt - Bitterfeld</t>
        </is>
      </c>
      <c r="E315" s="5" t="n">
        <v>45549</v>
      </c>
      <c r="F315" t="inlineStr">
        <is>
          <t>Sold</t>
        </is>
      </c>
      <c r="G315" s="6">
        <f>HYPERLINK("https://www.kleinanzeigen.de/s-anzeige/mystic-huefttrapez-windsurfen-xl/2863424309-230-2272", "Link")</f>
        <v/>
      </c>
      <c r="H315" s="6">
        <f>HYPERLINK("C:\Projects\Kleinanzeigen-Scraper\offer_images\2863424309", "Link")</f>
        <v/>
      </c>
      <c r="I315" t="inlineStr">
        <is>
          <t>Christian</t>
        </is>
      </c>
      <c r="J315" s="6">
        <f>HYPERLINK("https://www.kleinanzeigen.de/s-bestandsliste.html?userId=7332836", "Link")</f>
        <v/>
      </c>
      <c r="K315" s="7" t="n">
        <v>45551.40875</v>
      </c>
      <c r="L315" s="3" t="inlineStr">
        <is>
          <t>382.09</t>
        </is>
      </c>
      <c r="M315" t="inlineStr">
        <is>
          <t>Köln</t>
        </is>
      </c>
    </row>
    <row r="316">
      <c r="A316" t="inlineStr">
        <is>
          <t>Pump: NEUE Fanatic HP2 Double Action Pump, unbenutzt</t>
        </is>
      </c>
      <c r="B316" s="4" t="n">
        <v>25</v>
      </c>
      <c r="C316" t="inlineStr"/>
      <c r="D316" t="inlineStr">
        <is>
          <t>86911 Bayern - Dießen</t>
        </is>
      </c>
      <c r="E316" s="5" t="n">
        <v>45548</v>
      </c>
      <c r="F316" t="inlineStr">
        <is>
          <t>Sold</t>
        </is>
      </c>
      <c r="G316" s="6">
        <f>HYPERLINK("https://www.kleinanzeigen.de/s-anzeige/neue-fanatic-hp2-double-action-pump/2861938305-230-5566", "Link")</f>
        <v/>
      </c>
      <c r="H316" s="6">
        <f>HYPERLINK("C:\Projects\Kleinanzeigen-Scraper\offer_images\2861938305", "Link")</f>
        <v/>
      </c>
      <c r="I316" t="inlineStr">
        <is>
          <t>Selina</t>
        </is>
      </c>
      <c r="J316" s="6">
        <f>HYPERLINK("https://www.kleinanzeigen.de/s-bestandsliste.html?userId=18513295", "Link")</f>
        <v/>
      </c>
      <c r="K316" s="7" t="n">
        <v>45551.40846064815</v>
      </c>
      <c r="L316" s="3" t="inlineStr">
        <is>
          <t>41.04</t>
        </is>
      </c>
      <c r="M316" t="inlineStr">
        <is>
          <t>München</t>
        </is>
      </c>
    </row>
    <row r="317">
      <c r="A317" t="inlineStr">
        <is>
          <t>Mast extension: Duotone XT, fully functional</t>
        </is>
      </c>
      <c r="B317" s="4" t="n">
        <v>70</v>
      </c>
      <c r="C317" t="inlineStr">
        <is>
          <t>VB</t>
        </is>
      </c>
      <c r="D317" t="inlineStr">
        <is>
          <t>24105 Schleswig-Holstein - Kiel</t>
        </is>
      </c>
      <c r="E317" s="5" t="n">
        <v>45549</v>
      </c>
      <c r="F317" t="inlineStr">
        <is>
          <t>Sold</t>
        </is>
      </c>
      <c r="G317" s="6">
        <f>HYPERLINK("https://www.kleinanzeigen.de/s-anzeige/mastfuss-mastverlaengerung-sdm-duotone-xt/2863061958-230-708", "Link")</f>
        <v/>
      </c>
      <c r="H317" s="6">
        <f>HYPERLINK("C:\Projects\Kleinanzeigen-Scraper\offer_images\2863061958", "Link")</f>
        <v/>
      </c>
      <c r="I317" t="inlineStr">
        <is>
          <t>Daniel</t>
        </is>
      </c>
      <c r="J317" s="6">
        <f>HYPERLINK("https://www.kleinanzeigen.de/s-bestandsliste.html?userId=68041566", "Link")</f>
        <v/>
      </c>
      <c r="K317" s="7" t="n">
        <v>45551.40840277778</v>
      </c>
      <c r="L317" s="3" t="inlineStr">
        <is>
          <t>435.05</t>
        </is>
      </c>
      <c r="M317" t="inlineStr">
        <is>
          <t>Köln</t>
        </is>
      </c>
    </row>
    <row r="318">
      <c r="A318" t="inlineStr">
        <is>
          <t>Fin: Starboard Race IQ Finne Drake Carbon, 68 cm, new</t>
        </is>
      </c>
      <c r="B318" s="4" t="n">
        <v>399</v>
      </c>
      <c r="C318" t="inlineStr">
        <is>
          <t>VB</t>
        </is>
      </c>
      <c r="D318" t="inlineStr">
        <is>
          <t>24229 Schleswig-Holstein - Schwedeneck</t>
        </is>
      </c>
      <c r="E318" s="5" t="n">
        <v>45123</v>
      </c>
      <c r="F318" t="inlineStr">
        <is>
          <t>Sold</t>
        </is>
      </c>
      <c r="G318" s="6">
        <f>HYPERLINK("https://www.kleinanzeigen.de/s-anzeige/starboard-race-iq-finne-drake-carbon-68-cm-neu/2494105756-230-17470", "Link")</f>
        <v/>
      </c>
      <c r="H318" s="6">
        <f>HYPERLINK("C:\Projects\Kleinanzeigen-Scraper\offer_images\2494105756", "Link")</f>
        <v/>
      </c>
      <c r="I318" t="inlineStr">
        <is>
          <t>Bernd</t>
        </is>
      </c>
      <c r="J318" s="6">
        <f>HYPERLINK("https://www.kleinanzeigen.de/s-bestandsliste.html?userId=7833787", "Link")</f>
        <v/>
      </c>
      <c r="K318" s="7" t="n">
        <v>45551.40837962963</v>
      </c>
      <c r="L318" s="3" t="inlineStr">
        <is>
          <t>445.58</t>
        </is>
      </c>
      <c r="M318" t="inlineStr">
        <is>
          <t>Köln</t>
        </is>
      </c>
    </row>
    <row r="319">
      <c r="A319" t="inlineStr">
        <is>
          <t>Fin: JP Freeride 32 / 12.6</t>
        </is>
      </c>
      <c r="B319" s="4" t="n">
        <v>30</v>
      </c>
      <c r="C319" t="inlineStr">
        <is>
          <t>VB</t>
        </is>
      </c>
      <c r="D319" t="inlineStr">
        <is>
          <t>82061 Kr. München - Neuried Kr München</t>
        </is>
      </c>
      <c r="E319" s="5" t="n">
        <v>45550</v>
      </c>
      <c r="F319" t="inlineStr">
        <is>
          <t>Sold</t>
        </is>
      </c>
      <c r="G319" s="6">
        <f>HYPERLINK("https://www.kleinanzeigen.de/s-anzeige/freeride-windsurf-finne-32-12-6/2864553444-230-6336", "Link")</f>
        <v/>
      </c>
      <c r="H319" s="6">
        <f>HYPERLINK("C:\Projects\Kleinanzeigen-Scraper\offer_images\2864553444", "Link")</f>
        <v/>
      </c>
      <c r="I319" t="inlineStr">
        <is>
          <t>Vanessa</t>
        </is>
      </c>
      <c r="J319" s="6">
        <f>HYPERLINK("https://www.kleinanzeigen.de/s-bestandsliste.html?userId=26497688", "Link")</f>
        <v/>
      </c>
      <c r="K319" s="7" t="n">
        <v>45551.40787037037</v>
      </c>
      <c r="L319" s="3" t="inlineStr">
        <is>
          <t>9.29</t>
        </is>
      </c>
      <c r="M319" t="inlineStr">
        <is>
          <t>München</t>
        </is>
      </c>
    </row>
    <row r="320">
      <c r="A320" t="inlineStr">
        <is>
          <t>Fin: Windsurf Slalom Finne 44cm from Drake DW Ready to Race, suitable for Deep Tuttle Box</t>
        </is>
      </c>
      <c r="B320" s="4" t="n">
        <v>80</v>
      </c>
      <c r="C320" t="inlineStr">
        <is>
          <t>VB</t>
        </is>
      </c>
      <c r="D320" t="inlineStr">
        <is>
          <t>82211 Bayern - Herrsching</t>
        </is>
      </c>
      <c r="E320" s="5" t="n">
        <v>45549</v>
      </c>
      <c r="F320" t="inlineStr">
        <is>
          <t>Sold</t>
        </is>
      </c>
      <c r="G320" s="6">
        <f>HYPERLINK("https://www.kleinanzeigen.de/s-anzeige/windsurf-slalom-finne-drake-dw-ready-to-race-44-dtt/2863307355-230-5520", "Link")</f>
        <v/>
      </c>
      <c r="H320" s="6">
        <f>HYPERLINK("C:\Projects\Kleinanzeigen-Scraper\offer_images\2863307355", "Link")</f>
        <v/>
      </c>
      <c r="I320" t="inlineStr">
        <is>
          <t>Oliver</t>
        </is>
      </c>
      <c r="J320" s="6">
        <f>HYPERLINK("https://www.kleinanzeigen.de/s-bestandsliste.html?userId=17846362", "Link")</f>
        <v/>
      </c>
      <c r="K320" s="7" t="n">
        <v>45551.40782407407</v>
      </c>
      <c r="L320" s="3" t="inlineStr">
        <is>
          <t>32.73</t>
        </is>
      </c>
      <c r="M320" t="inlineStr">
        <is>
          <t>München</t>
        </is>
      </c>
    </row>
    <row r="321">
      <c r="A321" t="inlineStr">
        <is>
          <t>Fin: US-Box Lipsticks, 26 cm</t>
        </is>
      </c>
      <c r="B321" s="4" t="n">
        <v>24</v>
      </c>
      <c r="C321" t="inlineStr"/>
      <c r="D321" t="inlineStr">
        <is>
          <t>88045 Baden-Württemberg - Friedrichshafen</t>
        </is>
      </c>
      <c r="E321" s="5" t="n">
        <v>45550</v>
      </c>
      <c r="F321" t="inlineStr">
        <is>
          <t>Sold</t>
        </is>
      </c>
      <c r="G321" s="6">
        <f>HYPERLINK("https://www.kleinanzeigen.de/s-anzeige/windsurf-finne-us-box-lipsticks-26-cm/2863795886-230-9213", "Link")</f>
        <v/>
      </c>
      <c r="H321" s="6">
        <f>HYPERLINK("C:\Projects\Kleinanzeigen-Scraper\offer_images\2863795886", "Link")</f>
        <v/>
      </c>
      <c r="I321" t="inlineStr">
        <is>
          <t>R.M.</t>
        </is>
      </c>
      <c r="J321" s="6">
        <f>HYPERLINK("https://www.kleinanzeigen.de/s-bestandsliste.html?userId=56059820", "Link")</f>
        <v/>
      </c>
      <c r="K321" s="7" t="n">
        <v>45551.40759259259</v>
      </c>
      <c r="L321" s="3" t="inlineStr">
        <is>
          <t>85.70</t>
        </is>
      </c>
      <c r="M321" t="inlineStr">
        <is>
          <t>Bonndorf</t>
        </is>
      </c>
    </row>
    <row r="322">
      <c r="A322" t="inlineStr">
        <is>
          <t>Boom Protector: Neuwertig Gabelbaumschützer für Windsurfen</t>
        </is>
      </c>
      <c r="B322" s="4" t="n">
        <v>10</v>
      </c>
      <c r="C322" t="inlineStr">
        <is>
          <t>VB</t>
        </is>
      </c>
      <c r="D322" t="inlineStr">
        <is>
          <t>86825 Bayern - Bad Wörishofen</t>
        </is>
      </c>
      <c r="E322" s="5" t="n">
        <v>45550</v>
      </c>
      <c r="F322" t="inlineStr">
        <is>
          <t>Sold</t>
        </is>
      </c>
      <c r="G322" s="6">
        <f>HYPERLINK("https://www.kleinanzeigen.de/s-anzeige/boom-protector-gabelbaumschuetzer-windsurfen/2864717327-230-7257", "Link")</f>
        <v/>
      </c>
      <c r="H322" s="6">
        <f>HYPERLINK("C:\Projects\Kleinanzeigen-Scraper\offer_images\2864717327", "Link")</f>
        <v/>
      </c>
      <c r="I322" t="inlineStr">
        <is>
          <t>peckmick</t>
        </is>
      </c>
      <c r="J322" s="6">
        <f>HYPERLINK("https://www.kleinanzeigen.de/s-bestandsliste.html?userId=75769172", "Link")</f>
        <v/>
      </c>
      <c r="K322" s="7" t="n">
        <v>45551.40702546296</v>
      </c>
      <c r="L322" s="3" t="inlineStr">
        <is>
          <t>74.63</t>
        </is>
      </c>
      <c r="M322" t="inlineStr">
        <is>
          <t>München</t>
        </is>
      </c>
    </row>
    <row r="323">
      <c r="A323" t="inlineStr">
        <is>
          <t>Mastfoot: Base Boge Joint Pro with Ascan Base Protector in very good condition</t>
        </is>
      </c>
      <c r="B323" s="4" t="n">
        <v>39</v>
      </c>
      <c r="C323" t="inlineStr">
        <is>
          <t>VB</t>
        </is>
      </c>
      <c r="D323" t="inlineStr">
        <is>
          <t>76287 Baden-Württemberg - Rheinstetten</t>
        </is>
      </c>
      <c r="E323" s="5" t="n">
        <v>45549</v>
      </c>
      <c r="F323" t="inlineStr">
        <is>
          <t>Sold</t>
        </is>
      </c>
      <c r="G323" s="6">
        <f>HYPERLINK("https://www.kleinanzeigen.de/s-anzeige/mastfuss-base-boge-joint-pro-mit-ascan-base-protector-windsurf/2863556626-230-8166", "Link")</f>
        <v/>
      </c>
      <c r="H323" s="6">
        <f>HYPERLINK("C:\Projects\Kleinanzeigen-Scraper\offer_images\2863556626", "Link")</f>
        <v/>
      </c>
      <c r="I323" t="inlineStr">
        <is>
          <t>Dominik</t>
        </is>
      </c>
      <c r="J323" s="6">
        <f>HYPERLINK("https://www.kleinanzeigen.de/s-bestandsliste.html?userId=16948579", "Link")</f>
        <v/>
      </c>
      <c r="K323" s="7" t="n">
        <v>45551.40670138889</v>
      </c>
      <c r="L323" s="3" t="inlineStr">
        <is>
          <t>7.05</t>
        </is>
      </c>
      <c r="M323" t="inlineStr">
        <is>
          <t>Karlsruhe</t>
        </is>
      </c>
    </row>
    <row r="324">
      <c r="A324" t="inlineStr">
        <is>
          <t>Trapeztampen: rarely used, in very good condition</t>
        </is>
      </c>
      <c r="B324" s="4" t="n">
        <v>30</v>
      </c>
      <c r="C324" t="inlineStr">
        <is>
          <t>VB</t>
        </is>
      </c>
      <c r="D324" t="inlineStr">
        <is>
          <t>24222 Schleswig-Holstein - Schwentinental</t>
        </is>
      </c>
      <c r="E324" s="5" t="n">
        <v>45550</v>
      </c>
      <c r="F324" t="inlineStr"/>
      <c r="G324" s="6">
        <f>HYPERLINK("https://www.kleinanzeigen.de/s-anzeige/neilpryde-trapeztampen-windsurfen/2864639842-230-13377", "Link")</f>
        <v/>
      </c>
      <c r="H324" s="6">
        <f>HYPERLINK("C:\Projects\Kleinanzeigen-Scraper\offer_images\2864639842", "Link")</f>
        <v/>
      </c>
      <c r="I324" t="inlineStr">
        <is>
          <t>Moritz</t>
        </is>
      </c>
      <c r="J324" s="6">
        <f>HYPERLINK("https://www.kleinanzeigen.de/s-bestandsliste.html?userId=10680857", "Link")</f>
        <v/>
      </c>
      <c r="K324" s="7" t="n">
        <v>45551.40665509259</v>
      </c>
      <c r="L324" s="3" t="inlineStr">
        <is>
          <t>433.89</t>
        </is>
      </c>
      <c r="M324" t="inlineStr">
        <is>
          <t>Köln</t>
        </is>
      </c>
    </row>
    <row r="325">
      <c r="A325" t="inlineStr">
        <is>
          <t>Fin: STARBOARD AirPlane Schwert SWORD, new, suitable for Airplane and other Starboard inflatable boards</t>
        </is>
      </c>
      <c r="B325" s="4" t="n">
        <v>65</v>
      </c>
      <c r="C325" t="inlineStr"/>
      <c r="D325" t="inlineStr">
        <is>
          <t>47495 Nordrhein-Westfalen - Rheinberg</t>
        </is>
      </c>
      <c r="E325" s="5" t="n">
        <v>44855</v>
      </c>
      <c r="F325" t="inlineStr"/>
      <c r="G325" s="6">
        <f>HYPERLINK("https://www.kleinanzeigen.de/s-anzeige/starboard-windsup-schwert-sword-u-a-fuer-airplane-usw-/2248847018-230-1399", "Link")</f>
        <v/>
      </c>
      <c r="H325" s="6">
        <f>HYPERLINK("C:\Projects\Kleinanzeigen-Scraper\offer_images\2248847018", "Link")</f>
        <v/>
      </c>
      <c r="I325" t="inlineStr">
        <is>
          <t>Windcraft-Sports</t>
        </is>
      </c>
      <c r="J325" s="6">
        <f>HYPERLINK("https://www.kleinanzeigen.de/s-bestandsliste.html?userId=74756618", "Link")</f>
        <v/>
      </c>
      <c r="K325" s="7" t="n">
        <v>45551.40655092592</v>
      </c>
      <c r="L325" s="3" t="inlineStr">
        <is>
          <t>72.31</t>
        </is>
      </c>
      <c r="M325" t="inlineStr">
        <is>
          <t>Köln</t>
        </is>
      </c>
    </row>
    <row r="326">
      <c r="A326" t="inlineStr">
        <is>
          <t>Fin: Lipsticks Weed Fin 33cm Powerbox</t>
        </is>
      </c>
      <c r="B326" s="4" t="n">
        <v>50</v>
      </c>
      <c r="C326" t="inlineStr"/>
      <c r="D326" t="inlineStr">
        <is>
          <t>22303 Hamburg-Nord - Hamburg Winterhude</t>
        </is>
      </c>
      <c r="E326" s="5" t="n">
        <v>45550</v>
      </c>
      <c r="F326" t="inlineStr">
        <is>
          <t>Sold</t>
        </is>
      </c>
      <c r="G326" s="6">
        <f>HYPERLINK("https://www.kleinanzeigen.de/s-anzeige/finne-windsurfen-lipsticks-weed-seegrasfinne-33cm-powerbox/2864516595-230-9482", "Link")</f>
        <v/>
      </c>
      <c r="H326" s="6">
        <f>HYPERLINK("C:\Projects\Kleinanzeigen-Scraper\offer_images\2864516595", "Link")</f>
        <v/>
      </c>
      <c r="I326" t="inlineStr">
        <is>
          <t>Daniel</t>
        </is>
      </c>
      <c r="J326" s="6">
        <f>HYPERLINK("https://www.kleinanzeigen.de/s-bestandsliste.html?userId=33396736", "Link")</f>
        <v/>
      </c>
      <c r="K326" s="7" t="n">
        <v>45551.40627314815</v>
      </c>
      <c r="L326" s="3" t="inlineStr">
        <is>
          <t>361.45</t>
        </is>
      </c>
      <c r="M326" t="inlineStr">
        <is>
          <t>Köln</t>
        </is>
      </c>
    </row>
    <row r="327">
      <c r="A327" t="inlineStr">
        <is>
          <t>Harness: SEVERNE Windsurftrapez POD black Sitztrapez, neuwertig, Größe M</t>
        </is>
      </c>
      <c r="B327" s="4" t="n">
        <v>79</v>
      </c>
      <c r="C327" t="inlineStr"/>
      <c r="D327" t="inlineStr">
        <is>
          <t>40670 Nordrhein-Westfalen - Meerbusch</t>
        </is>
      </c>
      <c r="E327" s="5" t="n">
        <v>45549</v>
      </c>
      <c r="F327" t="inlineStr">
        <is>
          <t>Sold</t>
        </is>
      </c>
      <c r="G327" s="6">
        <f>HYPERLINK("https://www.kleinanzeigen.de/s-anzeige/severne-windsurftrapez-pod-black-sitztrapez-neuwertig-gr-m/2863523579-230-1898", "Link")</f>
        <v/>
      </c>
      <c r="H327" s="6">
        <f>HYPERLINK("C:\Projects\Kleinanzeigen-Scraper\offer_images\2863523579", "Link")</f>
        <v/>
      </c>
      <c r="I327" t="inlineStr">
        <is>
          <t>S. Müller</t>
        </is>
      </c>
      <c r="J327" s="6">
        <f>HYPERLINK("https://www.kleinanzeigen.de/s-bestandsliste.html?userId=53323647", "Link")</f>
        <v/>
      </c>
      <c r="K327" s="7" t="n">
        <v>45551.40622685185</v>
      </c>
      <c r="L327" s="3" t="inlineStr">
        <is>
          <t>43.54</t>
        </is>
      </c>
      <c r="M327" t="inlineStr">
        <is>
          <t>Köln</t>
        </is>
      </c>
    </row>
    <row r="328">
      <c r="A328" t="inlineStr">
        <is>
          <t>Fin: F2 32cm Powerbox</t>
        </is>
      </c>
      <c r="B328" s="4" t="n">
        <v>20</v>
      </c>
      <c r="C328" t="inlineStr"/>
      <c r="D328" t="inlineStr">
        <is>
          <t>22303 Hamburg-Nord - Hamburg Winterhude</t>
        </is>
      </c>
      <c r="E328" s="5" t="n">
        <v>45550</v>
      </c>
      <c r="F328" t="inlineStr">
        <is>
          <t>Sold</t>
        </is>
      </c>
      <c r="G328" s="6">
        <f>HYPERLINK("https://www.kleinanzeigen.de/s-anzeige/finne-windsurfen-f2-32cm-powerbox/2864501338-230-9482", "Link")</f>
        <v/>
      </c>
      <c r="H328" s="6">
        <f>HYPERLINK("C:\Projects\Kleinanzeigen-Scraper\offer_images\2864501338", "Link")</f>
        <v/>
      </c>
      <c r="I328" t="inlineStr">
        <is>
          <t>Daniel</t>
        </is>
      </c>
      <c r="J328" s="6">
        <f>HYPERLINK("https://www.kleinanzeigen.de/s-bestandsliste.html?userId=33396736", "Link")</f>
        <v/>
      </c>
      <c r="K328" s="7" t="n">
        <v>45551.40605324074</v>
      </c>
      <c r="L328" s="3" t="inlineStr">
        <is>
          <t>361.45</t>
        </is>
      </c>
      <c r="M328" t="inlineStr">
        <is>
          <t>Köln</t>
        </is>
      </c>
    </row>
    <row r="329">
      <c r="A329" t="inlineStr">
        <is>
          <t>Surf Schwert: Sturmschwert for Windsurfers from the 70s/80s, used</t>
        </is>
      </c>
      <c r="B329" s="4" t="n">
        <v>25</v>
      </c>
      <c r="C329" t="inlineStr">
        <is>
          <t>VB</t>
        </is>
      </c>
      <c r="D329" t="inlineStr">
        <is>
          <t>37124 Niedersachsen - Rosdorf</t>
        </is>
      </c>
      <c r="E329" s="5" t="n">
        <v>45550</v>
      </c>
      <c r="F329" t="inlineStr">
        <is>
          <t>Sold</t>
        </is>
      </c>
      <c r="G329" s="6">
        <f>HYPERLINK("https://www.kleinanzeigen.de/s-anzeige/surf-schwert-sturmschwert-gebr-f-windsurfer-70-80er-jahre-ab-25-/1861671409-230-3133", "Link")</f>
        <v/>
      </c>
      <c r="H329" s="6">
        <f>HYPERLINK("C:\Projects\Kleinanzeigen-Scraper\offer_images\1861671409", "Link")</f>
        <v/>
      </c>
      <c r="I329" t="inlineStr">
        <is>
          <t>No user name</t>
        </is>
      </c>
      <c r="J329" s="6">
        <f>HYPERLINK("https://www.kleinanzeigen.deNo user link", "Link")</f>
        <v/>
      </c>
      <c r="K329" s="7" t="n">
        <v>45551.40599537037</v>
      </c>
      <c r="L329" s="3" t="inlineStr">
        <is>
          <t>214.72</t>
        </is>
      </c>
      <c r="M329" t="inlineStr">
        <is>
          <t>Köln</t>
        </is>
      </c>
    </row>
    <row r="330">
      <c r="A330" t="inlineStr">
        <is>
          <t>Surfslider: Duotone Trustbar in very good condition, purchased new 1 year ago.</t>
        </is>
      </c>
      <c r="B330" s="4" t="n">
        <v>30</v>
      </c>
      <c r="C330" t="inlineStr">
        <is>
          <t>VB</t>
        </is>
      </c>
      <c r="D330" t="inlineStr">
        <is>
          <t>13127 Berlin - Pankow</t>
        </is>
      </c>
      <c r="E330" s="5" t="n">
        <v>45550</v>
      </c>
      <c r="F330" t="inlineStr">
        <is>
          <t>Sold</t>
        </is>
      </c>
      <c r="G330" s="6">
        <f>HYPERLINK("https://www.kleinanzeigen.de/s-anzeige/duotone-surf-slider-trustbar/2864379673-230-3465", "Link")</f>
        <v/>
      </c>
      <c r="H330" s="6">
        <f>HYPERLINK("C:\Projects\Kleinanzeigen-Scraper\offer_images\2864379673", "Link")</f>
        <v/>
      </c>
      <c r="I330" t="inlineStr">
        <is>
          <t>Gebhardt</t>
        </is>
      </c>
      <c r="J330" s="6">
        <f>HYPERLINK("https://www.kleinanzeigen.de/s-bestandsliste.html?userId=3127953", "Link")</f>
        <v/>
      </c>
      <c r="K330" s="7" t="n">
        <v>45551.40564814815</v>
      </c>
      <c r="L330" s="3" t="inlineStr">
        <is>
          <t>482.48</t>
        </is>
      </c>
      <c r="M330" t="inlineStr">
        <is>
          <t>Köln</t>
        </is>
      </c>
    </row>
    <row r="331">
      <c r="A331" t="inlineStr">
        <is>
          <t>North Navigator Bar M: 45-50cm with 22m lines and leash, in very good condition</t>
        </is>
      </c>
      <c r="B331" s="4" t="n">
        <v>265</v>
      </c>
      <c r="C331" t="inlineStr">
        <is>
          <t>VB</t>
        </is>
      </c>
      <c r="D331" t="inlineStr">
        <is>
          <t>59174 Nordrhein-Westfalen - Kamen</t>
        </is>
      </c>
      <c r="E331" s="5" t="n">
        <v>45550</v>
      </c>
      <c r="F331" t="inlineStr">
        <is>
          <t>Sold</t>
        </is>
      </c>
      <c r="G331" s="6">
        <f>HYPERLINK("https://www.kleinanzeigen.de/s-anzeige/north-navigator-bar-m-mit-leash-2023/2864839866-230-1369", "Link")</f>
        <v/>
      </c>
      <c r="H331" s="6">
        <f>HYPERLINK("C:\Projects\Kleinanzeigen-Scraper\offer_images\2864839866", "Link")</f>
        <v/>
      </c>
      <c r="I331" t="inlineStr">
        <is>
          <t>André Kesting</t>
        </is>
      </c>
      <c r="J331" s="6">
        <f>HYPERLINK("https://www.kleinanzeigen.de/s-bestandsliste.html?userId=7428151", "Link")</f>
        <v/>
      </c>
      <c r="K331" s="7" t="n">
        <v>45551.40554398148</v>
      </c>
      <c r="L331" s="3" t="inlineStr">
        <is>
          <t>87.85</t>
        </is>
      </c>
      <c r="M331" t="inlineStr">
        <is>
          <t>Köln</t>
        </is>
      </c>
    </row>
    <row r="332">
      <c r="A332" t="inlineStr">
        <is>
          <t>Fin: Powerbox Lipsticks 42 cm, good condition</t>
        </is>
      </c>
      <c r="B332" s="4" t="n">
        <v>24</v>
      </c>
      <c r="C332" t="inlineStr"/>
      <c r="D332" t="inlineStr">
        <is>
          <t>88045 Baden-Württemberg - Friedrichshafen</t>
        </is>
      </c>
      <c r="E332" s="5" t="n">
        <v>45550</v>
      </c>
      <c r="F332" t="inlineStr">
        <is>
          <t>Sold</t>
        </is>
      </c>
      <c r="G332" s="6">
        <f>HYPERLINK("https://www.kleinanzeigen.de/s-anzeige/windsurf-finne-powerbox-lipsticks-42-cm/2863774438-230-9213", "Link")</f>
        <v/>
      </c>
      <c r="H332" s="6">
        <f>HYPERLINK("C:\Projects\Kleinanzeigen-Scraper\offer_images\2863774438", "Link")</f>
        <v/>
      </c>
      <c r="I332" t="inlineStr">
        <is>
          <t>R.M.</t>
        </is>
      </c>
      <c r="J332" s="6">
        <f>HYPERLINK("https://www.kleinanzeigen.de/s-bestandsliste.html?userId=56059820", "Link")</f>
        <v/>
      </c>
      <c r="K332" s="7" t="n">
        <v>45551.40541666667</v>
      </c>
      <c r="L332" s="3" t="inlineStr">
        <is>
          <t>85.70</t>
        </is>
      </c>
      <c r="M332" t="inlineStr">
        <is>
          <t>Bonndorf</t>
        </is>
      </c>
    </row>
    <row r="333">
      <c r="A333" t="inlineStr">
        <is>
          <t>Fins: Set of various windsurf fins</t>
        </is>
      </c>
      <c r="B333" s="4" t="inlineStr"/>
      <c r="C333" t="inlineStr">
        <is>
          <t>VB</t>
        </is>
      </c>
      <c r="D333" t="inlineStr">
        <is>
          <t>24105 Schleswig-Holstein - Kiel</t>
        </is>
      </c>
      <c r="E333" s="5" t="n">
        <v>45549</v>
      </c>
      <c r="F333" t="inlineStr">
        <is>
          <t>Sold</t>
        </is>
      </c>
      <c r="G333" s="6">
        <f>HYPERLINK("https://www.kleinanzeigen.de/s-anzeige/windsurf-finnen/2863053117-230-708", "Link")</f>
        <v/>
      </c>
      <c r="H333" s="6">
        <f>HYPERLINK("C:\Projects\Kleinanzeigen-Scraper\offer_images\2863053117", "Link")</f>
        <v/>
      </c>
      <c r="I333" t="inlineStr">
        <is>
          <t>Daniel</t>
        </is>
      </c>
      <c r="J333" s="6">
        <f>HYPERLINK("https://www.kleinanzeigen.de/s-bestandsliste.html?userId=68041566", "Link")</f>
        <v/>
      </c>
      <c r="K333" s="7" t="n">
        <v>45551.4053587963</v>
      </c>
      <c r="L333" s="3" t="inlineStr">
        <is>
          <t>435.05</t>
        </is>
      </c>
      <c r="M333" t="inlineStr">
        <is>
          <t>Köln</t>
        </is>
      </c>
    </row>
    <row r="334">
      <c r="A334" t="inlineStr">
        <is>
          <t>Fin: Windsurf fin with Trimmbox, Maui Fin Company (MFC), 34 cm, includes cover</t>
        </is>
      </c>
      <c r="B334" s="4" t="n">
        <v>24</v>
      </c>
      <c r="C334" t="inlineStr"/>
      <c r="D334" t="inlineStr">
        <is>
          <t>88045 Baden-Württemberg - Friedrichshafen</t>
        </is>
      </c>
      <c r="E334" s="5" t="n">
        <v>45550</v>
      </c>
      <c r="F334" t="inlineStr">
        <is>
          <t>Sold</t>
        </is>
      </c>
      <c r="G334" s="6">
        <f>HYPERLINK("https://www.kleinanzeigen.de/s-anzeige/windsurf-finne-trimmbox-maui-fin-company-mfc-34-cm/2863782675-230-9213", "Link")</f>
        <v/>
      </c>
      <c r="H334" s="6">
        <f>HYPERLINK("C:\Projects\Kleinanzeigen-Scraper\offer_images\2863782675", "Link")</f>
        <v/>
      </c>
      <c r="I334" t="inlineStr">
        <is>
          <t>R.M.</t>
        </is>
      </c>
      <c r="J334" s="6">
        <f>HYPERLINK("https://www.kleinanzeigen.de/s-bestandsliste.html?userId=56059820", "Link")</f>
        <v/>
      </c>
      <c r="K334" s="7" t="n">
        <v>45550.99832175926</v>
      </c>
      <c r="L334" s="3" t="inlineStr">
        <is>
          <t>85.70</t>
        </is>
      </c>
      <c r="M334" t="inlineStr">
        <is>
          <t>Bonndorf</t>
        </is>
      </c>
    </row>
    <row r="335">
      <c r="A335" t="inlineStr">
        <is>
          <t>Fin: US-Box Angulo, Zustand s. Bilder inkl. Cover</t>
        </is>
      </c>
      <c r="B335" s="4" t="n">
        <v>24</v>
      </c>
      <c r="C335" t="inlineStr"/>
      <c r="D335" t="inlineStr">
        <is>
          <t>88045 Baden-Württemberg - Friedrichshafen</t>
        </is>
      </c>
      <c r="E335" s="5" t="n">
        <v>45550</v>
      </c>
      <c r="F335" t="inlineStr">
        <is>
          <t>Sold</t>
        </is>
      </c>
      <c r="G335" s="6">
        <f>HYPERLINK("https://www.kleinanzeigen.de/s-anzeige/windsurf-finne-us-box-angulo/2863794349-230-9213", "Link")</f>
        <v/>
      </c>
      <c r="H335" s="6">
        <f>HYPERLINK("C:\Projects\Kleinanzeigen-Scraper\offer_images\2863794349", "Link")</f>
        <v/>
      </c>
      <c r="I335" t="inlineStr">
        <is>
          <t>R.M.</t>
        </is>
      </c>
      <c r="J335" s="6">
        <f>HYPERLINK("https://www.kleinanzeigen.de/s-bestandsliste.html?userId=56059820", "Link")</f>
        <v/>
      </c>
      <c r="K335" s="7" t="n">
        <v>45550.99804398148</v>
      </c>
      <c r="L335" s="3" t="inlineStr">
        <is>
          <t>85.70</t>
        </is>
      </c>
      <c r="M335" t="inlineStr">
        <is>
          <t>Bonndorf</t>
        </is>
      </c>
    </row>
    <row r="336">
      <c r="A336" t="inlineStr">
        <is>
          <t>Mastfoot: Neil Pryde Power U-Base Pin, well maintained, purchased in 2021</t>
        </is>
      </c>
      <c r="B336" s="4" t="n">
        <v>40</v>
      </c>
      <c r="C336" t="inlineStr">
        <is>
          <t>VB</t>
        </is>
      </c>
      <c r="D336" t="inlineStr">
        <is>
          <t>82211 Bayern - Herrsching</t>
        </is>
      </c>
      <c r="E336" s="5" t="n">
        <v>45549</v>
      </c>
      <c r="F336" t="inlineStr">
        <is>
          <t>Sold</t>
        </is>
      </c>
      <c r="G336" s="6">
        <f>HYPERLINK("https://www.kleinanzeigen.de/s-anzeige/windsurf-mastfusssystem-neil-pryde-power-u-base-pin/2863422234-230-5520", "Link")</f>
        <v/>
      </c>
      <c r="H336" s="6">
        <f>HYPERLINK("C:\Projects\Kleinanzeigen-Scraper\offer_images\2863422234", "Link")</f>
        <v/>
      </c>
      <c r="I336" t="inlineStr">
        <is>
          <t>Oliver</t>
        </is>
      </c>
      <c r="J336" s="6">
        <f>HYPERLINK("https://www.kleinanzeigen.de/s-bestandsliste.html?userId=17846362", "Link")</f>
        <v/>
      </c>
      <c r="K336" s="7" t="n">
        <v>45550.99800925926</v>
      </c>
      <c r="L336" s="3" t="inlineStr">
        <is>
          <t>32.73</t>
        </is>
      </c>
      <c r="M336" t="inlineStr">
        <is>
          <t>München</t>
        </is>
      </c>
    </row>
    <row r="337">
      <c r="A337" t="inlineStr">
        <is>
          <t>Mastfoot: Base Powerjoint, gebraucht, aber voll funktionsfähig</t>
        </is>
      </c>
      <c r="B337" s="4" t="n">
        <v>29</v>
      </c>
      <c r="C337" t="inlineStr">
        <is>
          <t>VB</t>
        </is>
      </c>
      <c r="D337" t="inlineStr">
        <is>
          <t>76287 Baden-Württemberg - Rheinstetten</t>
        </is>
      </c>
      <c r="E337" s="5" t="n">
        <v>45549</v>
      </c>
      <c r="F337" t="inlineStr">
        <is>
          <t>Sold</t>
        </is>
      </c>
      <c r="G337" s="6">
        <f>HYPERLINK("https://www.kleinanzeigen.de/s-anzeige/mastfuss-base-powerjoint-windsurf/2863561719-230-8166", "Link")</f>
        <v/>
      </c>
      <c r="H337" s="6">
        <f>HYPERLINK("C:\Projects\Kleinanzeigen-Scraper\offer_images\2863561719", "Link")</f>
        <v/>
      </c>
      <c r="I337" t="inlineStr">
        <is>
          <t>Dominik</t>
        </is>
      </c>
      <c r="J337" s="6">
        <f>HYPERLINK("https://www.kleinanzeigen.de/s-bestandsliste.html?userId=16948579", "Link")</f>
        <v/>
      </c>
      <c r="K337" s="7" t="n">
        <v>45550.99799768518</v>
      </c>
      <c r="L337" s="3" t="inlineStr">
        <is>
          <t>7.05</t>
        </is>
      </c>
      <c r="M337" t="inlineStr">
        <is>
          <t>Karlsruhe</t>
        </is>
      </c>
    </row>
    <row r="338">
      <c r="A338" t="inlineStr">
        <is>
          <t>Fins: 23cm Powerbox system</t>
        </is>
      </c>
      <c r="B338" s="4" t="n">
        <v>20</v>
      </c>
      <c r="C338" t="inlineStr"/>
      <c r="D338" t="inlineStr">
        <is>
          <t>22303 Hamburg-Nord - Hamburg Winterhude</t>
        </is>
      </c>
      <c r="E338" s="5" t="n">
        <v>45550</v>
      </c>
      <c r="F338" t="inlineStr">
        <is>
          <t>Sold</t>
        </is>
      </c>
      <c r="G338" s="6">
        <f>HYPERLINK("https://www.kleinanzeigen.de/s-anzeige/finne-windsurfen-fins-factory-23cm-powerbox/2864504602-230-9482", "Link")</f>
        <v/>
      </c>
      <c r="H338" s="6">
        <f>HYPERLINK("C:\Projects\Kleinanzeigen-Scraper\offer_images\2864504602", "Link")</f>
        <v/>
      </c>
      <c r="I338" t="inlineStr">
        <is>
          <t>Daniel</t>
        </is>
      </c>
      <c r="J338" s="6">
        <f>HYPERLINK("https://www.kleinanzeigen.de/s-bestandsliste.html?userId=33396736", "Link")</f>
        <v/>
      </c>
      <c r="K338" s="7" t="n">
        <v>45550.99791666667</v>
      </c>
      <c r="L338" s="3" t="inlineStr">
        <is>
          <t>361.45</t>
        </is>
      </c>
      <c r="M338" t="inlineStr">
        <is>
          <t>Köln</t>
        </is>
      </c>
    </row>
    <row r="339">
      <c r="A339" t="inlineStr">
        <is>
          <t>Mastfoot: New SDM Mastfuß</t>
        </is>
      </c>
      <c r="B339" s="4" t="n">
        <v>15</v>
      </c>
      <c r="C339" t="inlineStr"/>
      <c r="D339" t="inlineStr">
        <is>
          <t>44139 Dortmund - Innenstadt-West</t>
        </is>
      </c>
      <c r="E339" s="5" t="n">
        <v>45549</v>
      </c>
      <c r="F339" t="inlineStr">
        <is>
          <t>Sold</t>
        </is>
      </c>
      <c r="G339" s="6">
        <f>HYPERLINK("https://www.kleinanzeigen.de/s-anzeige/windsurfen-mastfuss/2863184655-230-1112", "Link")</f>
        <v/>
      </c>
      <c r="H339" s="6">
        <f>HYPERLINK("C:\Projects\Kleinanzeigen-Scraper\offer_images\2863184655", "Link")</f>
        <v/>
      </c>
      <c r="I339" t="inlineStr">
        <is>
          <t>Marcel Dreier</t>
        </is>
      </c>
      <c r="J339" s="6">
        <f>HYPERLINK("https://www.kleinanzeigen.de/s-bestandsliste.html?userId=67293347", "Link")</f>
        <v/>
      </c>
      <c r="K339" s="7" t="n">
        <v>45550.99788194444</v>
      </c>
      <c r="L339" s="3" t="inlineStr">
        <is>
          <t>71.50</t>
        </is>
      </c>
      <c r="M339" t="inlineStr">
        <is>
          <t>Köln</t>
        </is>
      </c>
    </row>
    <row r="340">
      <c r="A340" t="inlineStr">
        <is>
          <t>Sitztrapez XL - 50€, Hüfttrapez L - 60€, Boardwagen - 10€, Aufholleine - je 10€, Reduzierstück - 10€, Trapeztampen - je 5€, Trapeztampen (Vario) - je 15€, Mastfuß - je 10€, Finne (powerbox) - je 10€, Finne (us-box) - je 8€, Mastverlängerung - je nach Größe 10-20€, Schutz - 2€, Masttasche - je 15€</t>
        </is>
      </c>
      <c r="B340" s="4" t="inlineStr"/>
      <c r="C340" t="inlineStr">
        <is>
          <t>VB</t>
        </is>
      </c>
      <c r="D340" t="inlineStr">
        <is>
          <t>22415 Hamburg-Nord - Hamburg Langenhorn</t>
        </is>
      </c>
      <c r="E340" s="5" t="n">
        <v>45550</v>
      </c>
      <c r="F340" t="inlineStr">
        <is>
          <t>Sold</t>
        </is>
      </c>
      <c r="G340" s="6">
        <f>HYPERLINK("https://www.kleinanzeigen.de/s-anzeige/windsurfen-zubehoer/2864029030-230-9488", "Link")</f>
        <v/>
      </c>
      <c r="H340" s="6">
        <f>HYPERLINK("C:\Projects\Kleinanzeigen-Scraper\offer_images\2864029030", "Link")</f>
        <v/>
      </c>
      <c r="I340" t="inlineStr">
        <is>
          <t>Frederic Biesinger</t>
        </is>
      </c>
      <c r="J340" s="6">
        <f>HYPERLINK("https://www.kleinanzeigen.de/s-bestandsliste.html?userId=17709235", "Link")</f>
        <v/>
      </c>
      <c r="K340" s="7" t="n">
        <v>45550.996875</v>
      </c>
      <c r="L340" s="3" t="inlineStr">
        <is>
          <t>366.01</t>
        </is>
      </c>
      <c r="M340" t="inlineStr">
        <is>
          <t>Köln</t>
        </is>
      </c>
    </row>
    <row r="341">
      <c r="A341" t="inlineStr">
        <is>
          <t>Fins: Maui Ultra Fins X-Twin-R-0216, 5cm, 2 pieces, like new</t>
        </is>
      </c>
      <c r="B341" s="4" t="n">
        <v>70</v>
      </c>
      <c r="C341" t="inlineStr">
        <is>
          <t>VB</t>
        </is>
      </c>
      <c r="D341" t="inlineStr">
        <is>
          <t>70736 Baden-Württemberg - Fellbach</t>
        </is>
      </c>
      <c r="E341" s="5" t="n">
        <v>45550</v>
      </c>
      <c r="F341" t="inlineStr">
        <is>
          <t>Sold</t>
        </is>
      </c>
      <c r="G341" s="6">
        <f>HYPERLINK("https://www.kleinanzeigen.de/s-anzeige/maui-ultra-fins-duotone-tabou-goya-jp-usw/2864899858-230-8889", "Link")</f>
        <v/>
      </c>
      <c r="H341" s="6">
        <f>HYPERLINK("C:\Projects\Kleinanzeigen-Scraper\offer_images\2864899858", "Link")</f>
        <v/>
      </c>
      <c r="I341" t="inlineStr">
        <is>
          <t>Bernd</t>
        </is>
      </c>
      <c r="J341" s="6">
        <f>HYPERLINK("https://www.kleinanzeigen.de/s-bestandsliste.html?userId=20168129", "Link")</f>
        <v/>
      </c>
      <c r="K341" s="7" t="n">
        <v>45550.99677083334</v>
      </c>
      <c r="L341" s="3" t="inlineStr">
        <is>
          <t>28.05</t>
        </is>
      </c>
      <c r="M341" t="inlineStr">
        <is>
          <t>Böblingen</t>
        </is>
      </c>
    </row>
    <row r="342">
      <c r="A342" t="inlineStr">
        <is>
          <t>Shoulder Harness: Entry-level shoulder harness with standard stainless steel hook, size M (chest circumference approx. 110 cm), reduced price from 29 € to 16 €.</t>
        </is>
      </c>
      <c r="B342" s="4" t="n">
        <v>16</v>
      </c>
      <c r="C342" t="inlineStr"/>
      <c r="D342" t="inlineStr">
        <is>
          <t>37124 Niedersachsen - Rosdorf</t>
        </is>
      </c>
      <c r="E342" s="5" t="n">
        <v>45549</v>
      </c>
      <c r="F342" t="inlineStr">
        <is>
          <t>Sold</t>
        </is>
      </c>
      <c r="G342" s="6">
        <f>HYPERLINK("https://www.kleinanzeigen.de/s-anzeige/windsurf-schulter-brusttrapez-das-sicherste-f-einsteiger-2015-/2737427115-230-3133", "Link")</f>
        <v/>
      </c>
      <c r="H342" s="6">
        <f>HYPERLINK("C:\Projects\Kleinanzeigen-Scraper\offer_images\2737427115", "Link")</f>
        <v/>
      </c>
      <c r="I342" t="inlineStr">
        <is>
          <t>No user name</t>
        </is>
      </c>
      <c r="J342" s="6">
        <f>HYPERLINK("https://www.kleinanzeigen.deNo user link", "Link")</f>
        <v/>
      </c>
      <c r="K342" s="7" t="n">
        <v>45550.99673611111</v>
      </c>
      <c r="L342" s="3" t="inlineStr">
        <is>
          <t>214.72</t>
        </is>
      </c>
      <c r="M342" t="inlineStr">
        <is>
          <t>Köln</t>
        </is>
      </c>
    </row>
    <row r="343">
      <c r="A343" t="inlineStr">
        <is>
          <t>Fin: Starboard Drake Wave Finne, 24cm, in sehr gutem Zustand</t>
        </is>
      </c>
      <c r="B343" s="4" t="n">
        <v>35</v>
      </c>
      <c r="C343" t="inlineStr"/>
      <c r="D343" t="inlineStr">
        <is>
          <t>22880 Kreis Pinneberg - Wedel</t>
        </is>
      </c>
      <c r="E343" s="5" t="n">
        <v>44984</v>
      </c>
      <c r="F343" t="inlineStr"/>
      <c r="G343" s="6">
        <f>HYPERLINK("https://www.kleinanzeigen.de/s-anzeige/starboard-drake-wave-finne-24cm-windsurf-fin-sup-surfbrett/2370975279-230-756", "Link")</f>
        <v/>
      </c>
      <c r="H343" s="6">
        <f>HYPERLINK("C:\Projects\Kleinanzeigen-Scraper\offer_images\2370975279", "Link")</f>
        <v/>
      </c>
      <c r="I343" t="inlineStr">
        <is>
          <t>Jahn</t>
        </is>
      </c>
      <c r="J343" s="6">
        <f>HYPERLINK("https://www.kleinanzeigen.de/s-bestandsliste.html?userId=16125684", "Link")</f>
        <v/>
      </c>
      <c r="K343" s="7" t="n">
        <v>45550.99663194444</v>
      </c>
      <c r="L343" s="3" t="inlineStr">
        <is>
          <t>349.30</t>
        </is>
      </c>
      <c r="M343" t="inlineStr">
        <is>
          <t>Köln</t>
        </is>
      </c>
    </row>
    <row r="344">
      <c r="A344" t="inlineStr">
        <is>
          <t>Boom Bag: GUN SAILS, size details not specified</t>
        </is>
      </c>
      <c r="B344" s="4" t="n">
        <v>20</v>
      </c>
      <c r="C344" t="inlineStr"/>
      <c r="D344" t="inlineStr">
        <is>
          <t>66117 Saarbrücken-Mitte - Alt-Saarbrücken</t>
        </is>
      </c>
      <c r="E344" s="5" t="n">
        <v>45536</v>
      </c>
      <c r="F344" t="inlineStr">
        <is>
          <t>Sold</t>
        </is>
      </c>
      <c r="G344" s="6">
        <f>HYPERLINK("https://www.kleinanzeigen.de/s-anzeige/surftasche-boom-bag-gun-sails/2851857645-230-383", "Link")</f>
        <v/>
      </c>
      <c r="H344" s="6">
        <f>HYPERLINK("C:\Projects\Kleinanzeigen-Scraper\offer_images\2851857645", "Link")</f>
        <v/>
      </c>
      <c r="I344" t="inlineStr">
        <is>
          <t>Uwe Habel</t>
        </is>
      </c>
      <c r="J344" s="6">
        <f>HYPERLINK("https://www.kleinanzeigen.de/s-bestandsliste.html?userId=10658418", "Link")</f>
        <v/>
      </c>
      <c r="K344" s="7" t="n">
        <v>45550.99659722222</v>
      </c>
      <c r="L344" s="3" t="inlineStr">
        <is>
          <t>107.00</t>
        </is>
      </c>
      <c r="M344" t="inlineStr">
        <is>
          <t>Karlsruhe</t>
        </is>
      </c>
    </row>
    <row r="345">
      <c r="A345" t="inlineStr">
        <is>
          <t>Fin: Trimmbox Select 42 cm, includes cover</t>
        </is>
      </c>
      <c r="B345" s="4" t="n">
        <v>24</v>
      </c>
      <c r="C345" t="inlineStr"/>
      <c r="D345" t="inlineStr">
        <is>
          <t>88045 Baden-Württemberg - Friedrichshafen</t>
        </is>
      </c>
      <c r="E345" s="5" t="n">
        <v>45550</v>
      </c>
      <c r="F345" t="inlineStr">
        <is>
          <t>Sold</t>
        </is>
      </c>
      <c r="G345" s="6">
        <f>HYPERLINK("https://www.kleinanzeigen.de/s-anzeige/windsurf-finne-trimmbox-select-42-cm/2863779006-230-9213", "Link")</f>
        <v/>
      </c>
      <c r="H345" s="6">
        <f>HYPERLINK("C:\Projects\Kleinanzeigen-Scraper\offer_images\2863779006", "Link")</f>
        <v/>
      </c>
      <c r="I345" t="inlineStr">
        <is>
          <t>R.M.</t>
        </is>
      </c>
      <c r="J345" s="6">
        <f>HYPERLINK("https://www.kleinanzeigen.de/s-bestandsliste.html?userId=56059820", "Link")</f>
        <v/>
      </c>
      <c r="K345" s="7" t="n">
        <v>45550.99640046297</v>
      </c>
      <c r="L345" s="3" t="inlineStr">
        <is>
          <t>85.70</t>
        </is>
      </c>
      <c r="M345" t="inlineStr">
        <is>
          <t>Bonndorf</t>
        </is>
      </c>
    </row>
    <row r="346">
      <c r="A346" t="inlineStr">
        <is>
          <t>Fin: Tabou Freeride Finne 32 PB - Powerbox, used but in good condition</t>
        </is>
      </c>
      <c r="B346" s="4" t="n">
        <v>29</v>
      </c>
      <c r="C346" t="inlineStr">
        <is>
          <t>VB</t>
        </is>
      </c>
      <c r="D346" t="inlineStr">
        <is>
          <t>81547 München - Untergiesing-Harlaching</t>
        </is>
      </c>
      <c r="E346" s="5" t="n">
        <v>45550</v>
      </c>
      <c r="F346" t="inlineStr"/>
      <c r="G346" s="6">
        <f>HYPERLINK("https://www.kleinanzeigen.de/s-anzeige/tabou-freeride-finne-32-pb-powerbox/2864141285-230-6428", "Link")</f>
        <v/>
      </c>
      <c r="H346" s="6">
        <f>HYPERLINK("C:\Projects\Kleinanzeigen-Scraper\offer_images\2864141285", "Link")</f>
        <v/>
      </c>
      <c r="I346" t="inlineStr">
        <is>
          <t>Stefan Miller</t>
        </is>
      </c>
      <c r="J346" s="6">
        <f>HYPERLINK("https://www.kleinanzeigen.de/s-bestandsliste.html?userId=57108886", "Link")</f>
        <v/>
      </c>
      <c r="K346" s="7" t="n">
        <v>45550.99578703703</v>
      </c>
      <c r="L346" s="3" t="inlineStr">
        <is>
          <t>3.83</t>
        </is>
      </c>
      <c r="M346" t="inlineStr">
        <is>
          <t>München</t>
        </is>
      </c>
    </row>
    <row r="347">
      <c r="A347" t="inlineStr">
        <is>
          <t>Mastfoot: New, unused, and still in original packaging</t>
        </is>
      </c>
      <c r="B347" s="4" t="n">
        <v>50</v>
      </c>
      <c r="C347" t="inlineStr">
        <is>
          <t>VB</t>
        </is>
      </c>
      <c r="D347" t="inlineStr">
        <is>
          <t>47239 Duisburg - Rumeln-Kaldenhausen</t>
        </is>
      </c>
      <c r="E347" s="5" t="n">
        <v>45550</v>
      </c>
      <c r="F347" t="inlineStr">
        <is>
          <t>Sold</t>
        </is>
      </c>
      <c r="G347" s="6">
        <f>HYPERLINK("https://www.kleinanzeigen.de/s-anzeige/duotone-epx-base-mastfuss-neu/2864063429-230-2137", "Link")</f>
        <v/>
      </c>
      <c r="H347" s="6">
        <f>HYPERLINK("C:\Projects\Kleinanzeigen-Scraper\offer_images\2864063429", "Link")</f>
        <v/>
      </c>
      <c r="I347" t="inlineStr">
        <is>
          <t>MB</t>
        </is>
      </c>
      <c r="J347" s="6">
        <f>HYPERLINK("https://www.kleinanzeigen.de/s-bestandsliste.html?userId=1864376", "Link")</f>
        <v/>
      </c>
      <c r="K347" s="7" t="n">
        <v>45550.99565972222</v>
      </c>
      <c r="L347" s="3" t="inlineStr">
        <is>
          <t>54.92</t>
        </is>
      </c>
      <c r="M347" t="inlineStr">
        <is>
          <t>Köln</t>
        </is>
      </c>
    </row>
    <row r="348">
      <c r="A348" t="inlineStr">
        <is>
          <t>Mastfoot: RRD Powerjoint with high-quality tendon for durability and stiffness</t>
        </is>
      </c>
      <c r="B348" s="4" t="n">
        <v>40</v>
      </c>
      <c r="C348" t="inlineStr">
        <is>
          <t>VB</t>
        </is>
      </c>
      <c r="D348" t="inlineStr">
        <is>
          <t>82211 Bayern - Herrsching</t>
        </is>
      </c>
      <c r="E348" s="5" t="n">
        <v>45549</v>
      </c>
      <c r="F348" t="inlineStr">
        <is>
          <t>Sold</t>
        </is>
      </c>
      <c r="G348" s="6">
        <f>HYPERLINK("https://www.kleinanzeigen.de/s-anzeige/windsurf-powerjoint-rrd-tendon-pro-universal/2863406720-230-5520", "Link")</f>
        <v/>
      </c>
      <c r="H348" s="6">
        <f>HYPERLINK("C:\Projects\Kleinanzeigen-Scraper\offer_images\2863406720", "Link")</f>
        <v/>
      </c>
      <c r="I348" t="inlineStr">
        <is>
          <t>Oliver</t>
        </is>
      </c>
      <c r="J348" s="6">
        <f>HYPERLINK("https://www.kleinanzeigen.de/s-bestandsliste.html?userId=17846362", "Link")</f>
        <v/>
      </c>
      <c r="K348" s="7" t="n">
        <v>45550.9955787037</v>
      </c>
      <c r="L348" s="3" t="inlineStr">
        <is>
          <t>32.73</t>
        </is>
      </c>
      <c r="M348" t="inlineStr">
        <is>
          <t>München</t>
        </is>
      </c>
    </row>
    <row r="349">
      <c r="A349" t="inlineStr">
        <is>
          <t>Fin: T-Zone Move 30cm Powerbox</t>
        </is>
      </c>
      <c r="B349" s="4" t="n">
        <v>30</v>
      </c>
      <c r="C349" t="inlineStr"/>
      <c r="D349" t="inlineStr">
        <is>
          <t>22303 Hamburg-Nord - Hamburg Winterhude</t>
        </is>
      </c>
      <c r="E349" s="5" t="n">
        <v>45550</v>
      </c>
      <c r="F349" t="inlineStr">
        <is>
          <t>Sold</t>
        </is>
      </c>
      <c r="G349" s="6">
        <f>HYPERLINK("https://www.kleinanzeigen.de/s-anzeige/finne-windsurfen-t-zone-move-30cm-powerbox/2864509471-230-9482", "Link")</f>
        <v/>
      </c>
      <c r="H349" s="6">
        <f>HYPERLINK("C:\Projects\Kleinanzeigen-Scraper\offer_images\2864509471", "Link")</f>
        <v/>
      </c>
      <c r="I349" t="inlineStr">
        <is>
          <t>Daniel</t>
        </is>
      </c>
      <c r="J349" s="6">
        <f>HYPERLINK("https://www.kleinanzeigen.de/s-bestandsliste.html?userId=33396736", "Link")</f>
        <v/>
      </c>
      <c r="K349" s="7" t="n">
        <v>45550.99554398148</v>
      </c>
      <c r="L349" s="3" t="inlineStr">
        <is>
          <t>361.45</t>
        </is>
      </c>
      <c r="M349" t="inlineStr">
        <is>
          <t>Köln</t>
        </is>
      </c>
    </row>
    <row r="350">
      <c r="A350" t="inlineStr">
        <is>
          <t>Mastbag: GUN SAILS Mastbag for transporting up to 3 carbon masts, padded, collapsible, with compression straps.</t>
        </is>
      </c>
      <c r="B350" s="4" t="n">
        <v>45</v>
      </c>
      <c r="C350" t="inlineStr">
        <is>
          <t>VB</t>
        </is>
      </c>
      <c r="D350" t="inlineStr">
        <is>
          <t>84489 Kr. Altötting - Burghausen</t>
        </is>
      </c>
      <c r="E350" s="5" t="n">
        <v>45550</v>
      </c>
      <c r="F350" t="inlineStr"/>
      <c r="G350" s="6">
        <f>HYPERLINK("https://www.kleinanzeigen.de/s-anzeige/gun-sails-mastbag-windsurf-3-6-masten-gepolster/2864034373-230-5905", "Link")</f>
        <v/>
      </c>
      <c r="H350" s="6">
        <f>HYPERLINK("C:\Projects\Kleinanzeigen-Scraper\offer_images\2864034373", "Link")</f>
        <v/>
      </c>
      <c r="I350" t="inlineStr">
        <is>
          <t>Walter</t>
        </is>
      </c>
      <c r="J350" s="6">
        <f>HYPERLINK("https://www.kleinanzeigen.de/s-bestandsliste.html?userId=15211591", "Link")</f>
        <v/>
      </c>
      <c r="K350" s="7" t="n">
        <v>45550.99511574074</v>
      </c>
      <c r="L350" s="3" t="inlineStr">
        <is>
          <t>92.71</t>
        </is>
      </c>
      <c r="M350" t="inlineStr">
        <is>
          <t>München</t>
        </is>
      </c>
    </row>
    <row r="351">
      <c r="A351" t="inlineStr">
        <is>
          <t>Footstraps: 4 unused footstraps for windsurfing, never mounted or used.</t>
        </is>
      </c>
      <c r="B351" s="4" t="n">
        <v>40</v>
      </c>
      <c r="C351" t="inlineStr"/>
      <c r="D351" t="inlineStr">
        <is>
          <t>22303 Hamburg-Nord - Hamburg Winterhude</t>
        </is>
      </c>
      <c r="E351" s="5" t="n">
        <v>45550</v>
      </c>
      <c r="F351" t="inlineStr">
        <is>
          <t>Sold</t>
        </is>
      </c>
      <c r="G351" s="6">
        <f>HYPERLINK("https://www.kleinanzeigen.de/s-anzeige/windsurfen-4-fussschlaufen-unbenutzt-neu/2864495502-86-9482", "Link")</f>
        <v/>
      </c>
      <c r="H351" s="6">
        <f>HYPERLINK("C:\Projects\Kleinanzeigen-Scraper\offer_images\2864495502", "Link")</f>
        <v/>
      </c>
      <c r="I351" t="inlineStr">
        <is>
          <t>Daniel</t>
        </is>
      </c>
      <c r="J351" s="6">
        <f>HYPERLINK("https://www.kleinanzeigen.de/s-bestandsliste.html?userId=33396736", "Link")</f>
        <v/>
      </c>
      <c r="K351" s="7" t="n">
        <v>45550.99473379629</v>
      </c>
      <c r="L351" s="3" t="inlineStr">
        <is>
          <t>361.45</t>
        </is>
      </c>
      <c r="M351" t="inlineStr">
        <is>
          <t>Köln</t>
        </is>
      </c>
    </row>
    <row r="352">
      <c r="A352" t="inlineStr">
        <is>
          <t>Trust Bar: Duotone Quad Trust Bar M/L 24 m, variable width from 48 to 54 cm, good condition</t>
        </is>
      </c>
      <c r="B352" s="4" t="n">
        <v>195</v>
      </c>
      <c r="C352" t="inlineStr"/>
      <c r="D352" t="inlineStr">
        <is>
          <t>01445 Sachsen - Radebeul</t>
        </is>
      </c>
      <c r="E352" s="5" t="n">
        <v>45550</v>
      </c>
      <c r="F352" t="inlineStr">
        <is>
          <t>Sold</t>
        </is>
      </c>
      <c r="G352" s="6">
        <f>HYPERLINK("https://www.kleinanzeigen.de/s-anzeige/schoene-duotone-quad-trust-bar-m-l-24-m-blau-orange/2864698989-230-4057", "Link")</f>
        <v/>
      </c>
      <c r="H352" s="6">
        <f>HYPERLINK("C:\Projects\Kleinanzeigen-Scraper\offer_images\2864698989", "Link")</f>
        <v/>
      </c>
      <c r="I352" t="inlineStr">
        <is>
          <t>D. GRUND</t>
        </is>
      </c>
      <c r="J352" s="6">
        <f>HYPERLINK("https://www.kleinanzeigen.de/s-bestandsliste.html?userId=135298129", "Link")</f>
        <v/>
      </c>
      <c r="K352" s="7" t="n">
        <v>45550.99454861111</v>
      </c>
      <c r="L352" s="3" t="inlineStr">
        <is>
          <t>362.87</t>
        </is>
      </c>
      <c r="M352" t="inlineStr">
        <is>
          <t>München</t>
        </is>
      </c>
    </row>
    <row r="353">
      <c r="A353" t="inlineStr">
        <is>
          <t>Mast extension: SEVERNE SDM CARBON EXTENDER 40cm, new and unused</t>
        </is>
      </c>
      <c r="B353" s="4" t="n">
        <v>80</v>
      </c>
      <c r="C353" t="inlineStr">
        <is>
          <t>VB</t>
        </is>
      </c>
      <c r="D353" t="inlineStr">
        <is>
          <t>13589 Berlin - Spandau</t>
        </is>
      </c>
      <c r="E353" s="5" t="n">
        <v>45550</v>
      </c>
      <c r="F353" t="inlineStr"/>
      <c r="G353" s="6">
        <f>HYPERLINK("https://www.kleinanzeigen.de/s-anzeige/severne-sdm-carbon-extender-40cm-neu/2864093261-230-3437", "Link")</f>
        <v/>
      </c>
      <c r="H353" s="6">
        <f>HYPERLINK("C:\Projects\Kleinanzeigen-Scraper\offer_images\2864093261", "Link")</f>
        <v/>
      </c>
      <c r="I353" t="inlineStr">
        <is>
          <t>Hagen</t>
        </is>
      </c>
      <c r="J353" s="6">
        <f>HYPERLINK("https://www.kleinanzeigen.de/s-bestandsliste.html?userId=3395026", "Link")</f>
        <v/>
      </c>
      <c r="K353" s="7" t="n">
        <v>45550.99412037037</v>
      </c>
      <c r="L353" s="3" t="inlineStr">
        <is>
          <t>463.63</t>
        </is>
      </c>
      <c r="M353" t="inlineStr">
        <is>
          <t>Köln</t>
        </is>
      </c>
    </row>
    <row r="354">
      <c r="A354" t="inlineStr">
        <is>
          <t>Fin: T-Zone Move 34cm Powerbox</t>
        </is>
      </c>
      <c r="B354" s="4" t="n">
        <v>30</v>
      </c>
      <c r="C354" t="inlineStr"/>
      <c r="D354" t="inlineStr">
        <is>
          <t>22303 Hamburg-Nord - Hamburg Winterhude</t>
        </is>
      </c>
      <c r="E354" s="5" t="n">
        <v>45550</v>
      </c>
      <c r="F354" t="inlineStr">
        <is>
          <t>Sold</t>
        </is>
      </c>
      <c r="G354" s="6">
        <f>HYPERLINK("https://www.kleinanzeigen.de/s-anzeige/finne-windsurfen-t-zone-move-34cm-powerbox/2864523896-230-9482", "Link")</f>
        <v/>
      </c>
      <c r="H354" s="6">
        <f>HYPERLINK("C:\Projects\Kleinanzeigen-Scraper\offer_images\2864523896", "Link")</f>
        <v/>
      </c>
      <c r="I354" t="inlineStr">
        <is>
          <t>Daniel</t>
        </is>
      </c>
      <c r="J354" s="6">
        <f>HYPERLINK("https://www.kleinanzeigen.de/s-bestandsliste.html?userId=33396736", "Link")</f>
        <v/>
      </c>
      <c r="K354" s="7" t="n">
        <v>45550.99379629629</v>
      </c>
      <c r="L354" s="3" t="inlineStr">
        <is>
          <t>361.45</t>
        </is>
      </c>
      <c r="M354" t="inlineStr">
        <is>
          <t>Köln</t>
        </is>
      </c>
    </row>
    <row r="355">
      <c r="A355" t="inlineStr">
        <is>
          <t>Trapeztampen: 28-34 adjustable, new and unused</t>
        </is>
      </c>
      <c r="B355" s="4" t="n">
        <v>30</v>
      </c>
      <c r="C355" t="inlineStr">
        <is>
          <t>VB</t>
        </is>
      </c>
      <c r="D355" t="inlineStr">
        <is>
          <t>24222 Schleswig-Holstein - Schwentinental</t>
        </is>
      </c>
      <c r="E355" s="5" t="n">
        <v>45550</v>
      </c>
      <c r="F355" t="inlineStr"/>
      <c r="G355" s="6">
        <f>HYPERLINK("https://www.kleinanzeigen.de/s-anzeige/neilpryde-vario-trapeztampen-28-34-windsurfen/2864595719-230-13377", "Link")</f>
        <v/>
      </c>
      <c r="H355" s="6">
        <f>HYPERLINK("C:\Projects\Kleinanzeigen-Scraper\offer_images\2864595719", "Link")</f>
        <v/>
      </c>
      <c r="I355" t="inlineStr">
        <is>
          <t>Moritz</t>
        </is>
      </c>
      <c r="J355" s="6">
        <f>HYPERLINK("https://www.kleinanzeigen.de/s-bestandsliste.html?userId=10680857", "Link")</f>
        <v/>
      </c>
      <c r="K355" s="7" t="n">
        <v>45550.99379629629</v>
      </c>
      <c r="L355" s="3" t="inlineStr">
        <is>
          <t>433.89</t>
        </is>
      </c>
      <c r="M355" t="inlineStr">
        <is>
          <t>Köln</t>
        </is>
      </c>
    </row>
    <row r="356">
      <c r="A356" t="inlineStr">
        <is>
          <t>Fin: Maui Ultra Slalom Finne, 40 cm, suitable for Tuttle Box</t>
        </is>
      </c>
      <c r="B356" s="4" t="n">
        <v>80</v>
      </c>
      <c r="C356" t="inlineStr"/>
      <c r="D356" t="inlineStr">
        <is>
          <t>14513 Brandenburg - Teltow</t>
        </is>
      </c>
      <c r="E356" s="5" t="n">
        <v>45550</v>
      </c>
      <c r="F356" t="inlineStr">
        <is>
          <t>Sold</t>
        </is>
      </c>
      <c r="G356" s="6">
        <f>HYPERLINK("https://www.kleinanzeigen.de/s-anzeige/maui-ultra-slalom-finne-seegras-finne-windsurfen-tuttle-box-40-cm/2864013036-230-7939", "Link")</f>
        <v/>
      </c>
      <c r="H356" s="6">
        <f>HYPERLINK("C:\Projects\Kleinanzeigen-Scraper\offer_images\2864013036", "Link")</f>
        <v/>
      </c>
      <c r="I356" t="inlineStr">
        <is>
          <t>Thomas</t>
        </is>
      </c>
      <c r="J356" s="6">
        <f>HYPERLINK("https://www.kleinanzeigen.de/s-bestandsliste.html?userId=25517038", "Link")</f>
        <v/>
      </c>
      <c r="K356" s="7" t="n">
        <v>45550.99362268519</v>
      </c>
      <c r="L356" s="3" t="inlineStr">
        <is>
          <t>464.56</t>
        </is>
      </c>
      <c r="M356" t="inlineStr">
        <is>
          <t>Köln</t>
        </is>
      </c>
    </row>
    <row r="357">
      <c r="A357" t="inlineStr">
        <is>
          <t>Pump: Super pump for KITE or SUP or anything inflatable</t>
        </is>
      </c>
      <c r="B357" s="4" t="n">
        <v>35</v>
      </c>
      <c r="C357" t="inlineStr"/>
      <c r="D357" t="inlineStr">
        <is>
          <t>51469 Nordrhein-Westfalen - Bergisch Gladbach</t>
        </is>
      </c>
      <c r="E357" s="5" t="n">
        <v>45361</v>
      </c>
      <c r="F357" t="inlineStr">
        <is>
          <t>Sold</t>
        </is>
      </c>
      <c r="G357" s="6">
        <f>HYPERLINK("https://www.kleinanzeigen.de/s-anzeige/luftpumpe-rrd-kite-sup/2702340739-230-1590", "Link")</f>
        <v/>
      </c>
      <c r="H357" s="6">
        <f>HYPERLINK("C:\Projects\Kleinanzeigen-Scraper\offer_images\2702340739", "Link")</f>
        <v/>
      </c>
      <c r="I357" t="inlineStr">
        <is>
          <t>Nicole Weynand</t>
        </is>
      </c>
      <c r="J357" s="6">
        <f>HYPERLINK("https://www.kleinanzeigen.de/s-bestandsliste.html?userId=7963807", "Link")</f>
        <v/>
      </c>
      <c r="K357" s="7" t="n">
        <v>45549.58123842593</v>
      </c>
      <c r="L357" s="3" t="inlineStr">
        <is>
          <t>11.86</t>
        </is>
      </c>
      <c r="M357" t="inlineStr">
        <is>
          <t>Köln</t>
        </is>
      </c>
    </row>
    <row r="358">
      <c r="A358" t="inlineStr">
        <is>
          <t>Mast reduction: 2x new</t>
        </is>
      </c>
      <c r="B358" s="4" t="n">
        <v>5</v>
      </c>
      <c r="C358" t="inlineStr"/>
      <c r="D358" t="inlineStr">
        <is>
          <t>78351 Baden-Württemberg - Bodman-Ludwigshafen</t>
        </is>
      </c>
      <c r="E358" s="5" t="n">
        <v>45548</v>
      </c>
      <c r="F358" t="inlineStr">
        <is>
          <t>Sold</t>
        </is>
      </c>
      <c r="G358" s="6">
        <f>HYPERLINK("https://www.kleinanzeigen.de/s-anzeige/windsurf-mastreduktion/2862204545-230-8479", "Link")</f>
        <v/>
      </c>
      <c r="H358" s="6">
        <f>HYPERLINK("C:\Projects\Kleinanzeigen-Scraper\offer_images\2862204545", "Link")</f>
        <v/>
      </c>
      <c r="I358" t="inlineStr">
        <is>
          <t>Stoller</t>
        </is>
      </c>
      <c r="J358" s="6">
        <f>HYPERLINK("https://www.kleinanzeigen.de/s-bestandsliste.html?userId=23902390", "Link")</f>
        <v/>
      </c>
      <c r="K358" s="7" t="n">
        <v>45549.58121527778</v>
      </c>
      <c r="L358" s="3" t="inlineStr">
        <is>
          <t>53.79</t>
        </is>
      </c>
      <c r="M358" t="inlineStr">
        <is>
          <t>Bonndorf</t>
        </is>
      </c>
    </row>
    <row r="359">
      <c r="A359" t="inlineStr">
        <is>
          <t>Footstraps: Duotone Vario Combo Pads with Grab Handle, size S-L (36-47)</t>
        </is>
      </c>
      <c r="B359" s="4" t="n">
        <v>90</v>
      </c>
      <c r="C359" t="inlineStr">
        <is>
          <t>VB</t>
        </is>
      </c>
      <c r="D359" t="inlineStr">
        <is>
          <t>28209 Bremen - Schwachhausen</t>
        </is>
      </c>
      <c r="E359" s="5" t="n">
        <v>45546</v>
      </c>
      <c r="F359" t="inlineStr">
        <is>
          <t>Sold</t>
        </is>
      </c>
      <c r="G359" s="6">
        <f>HYPERLINK("https://www.kleinanzeigen.de/s-anzeige/duotone-vario-pads-grab-handle/2860186531-187-19", "Link")</f>
        <v/>
      </c>
      <c r="H359" s="6">
        <f>HYPERLINK("C:\Projects\Kleinanzeigen-Scraper\offer_images\2860186531", "Link")</f>
        <v/>
      </c>
      <c r="I359" t="inlineStr">
        <is>
          <t>dk</t>
        </is>
      </c>
      <c r="J359" s="6">
        <f>HYPERLINK("https://www.kleinanzeigen.de/s-bestandsliste.html?userId=5754407", "Link")</f>
        <v/>
      </c>
      <c r="K359" s="7" t="n">
        <v>45549.58109953703</v>
      </c>
      <c r="L359" s="3" t="inlineStr">
        <is>
          <t>271.25</t>
        </is>
      </c>
      <c r="M359" t="inlineStr">
        <is>
          <t>Köln</t>
        </is>
      </c>
    </row>
    <row r="360">
      <c r="A360" t="inlineStr">
        <is>
          <t>Screws and Washers: 4 Duotone Entity NTT screws and 4 washers</t>
        </is>
      </c>
      <c r="B360" s="4" t="n">
        <v>10</v>
      </c>
      <c r="C360" t="inlineStr">
        <is>
          <t>VB</t>
        </is>
      </c>
      <c r="D360" t="inlineStr">
        <is>
          <t>74074 Baden-Württemberg - Heilbronn</t>
        </is>
      </c>
      <c r="E360" s="5" t="n">
        <v>45547</v>
      </c>
      <c r="F360" t="inlineStr">
        <is>
          <t>Sold</t>
        </is>
      </c>
      <c r="G360" s="6">
        <f>HYPERLINK("https://www.kleinanzeigen.de/s-anzeige/duotone-entity-ntt-schrauben-unterlegscheiben/2861667553-230-9241", "Link")</f>
        <v/>
      </c>
      <c r="H360" s="6">
        <f>HYPERLINK("C:\Projects\Kleinanzeigen-Scraper\offer_images\2861667553", "Link")</f>
        <v/>
      </c>
      <c r="I360" t="inlineStr">
        <is>
          <t>Timo Haueisen</t>
        </is>
      </c>
      <c r="J360" s="6">
        <f>HYPERLINK("https://www.kleinanzeigen.de/s-bestandsliste.html?userId=39011935", "Link")</f>
        <v/>
      </c>
      <c r="K360" s="7" t="n">
        <v>45549.58105324074</v>
      </c>
      <c r="L360" s="3" t="inlineStr">
        <is>
          <t>54.07</t>
        </is>
      </c>
      <c r="M360" t="inlineStr">
        <is>
          <t>Böblingen</t>
        </is>
      </c>
    </row>
    <row r="361">
      <c r="A361" t="inlineStr">
        <is>
          <t>Handle: Slick Pick grip for Duotone wings, ergonomic design for enhanced handling and easy installation.</t>
        </is>
      </c>
      <c r="B361" s="4" t="n">
        <v>29</v>
      </c>
      <c r="C361" t="inlineStr"/>
      <c r="D361" t="inlineStr">
        <is>
          <t>10707 Berlin - Wilmersdorf</t>
        </is>
      </c>
      <c r="E361" s="5" t="n">
        <v>45538</v>
      </c>
      <c r="F361" t="inlineStr">
        <is>
          <t>Sold</t>
        </is>
      </c>
      <c r="G361" s="6">
        <f>HYPERLINK("https://www.kleinanzeigen.de/s-anzeige/duotone-slick-unit-ventus-dlab-handle-griff-slickpick/2853219464-230-3534", "Link")</f>
        <v/>
      </c>
      <c r="H361" s="6">
        <f>HYPERLINK("C:\Projects\Kleinanzeigen-Scraper\offer_images\2853219464", "Link")</f>
        <v/>
      </c>
      <c r="I361" t="inlineStr">
        <is>
          <t>California Dream</t>
        </is>
      </c>
      <c r="J361" s="6">
        <f>HYPERLINK("https://www.kleinanzeigen.de/s-bestandsliste.html?userId=6488201", "Link")</f>
        <v/>
      </c>
      <c r="K361" s="7" t="n">
        <v>45549.58105324074</v>
      </c>
      <c r="L361" s="3" t="inlineStr">
        <is>
          <t>470.94</t>
        </is>
      </c>
      <c r="M361" t="inlineStr">
        <is>
          <t>Köln</t>
        </is>
      </c>
    </row>
    <row r="362">
      <c r="A362" t="inlineStr">
        <is>
          <t>Trimmsystem: Neilpryde X3/X6/X9/RS:X/RS:One boom universal adjustable outhaul and RS:X adjustable downhaul kit, never used, includes instructions</t>
        </is>
      </c>
      <c r="B362" s="4" t="n">
        <v>1</v>
      </c>
      <c r="C362" t="inlineStr">
        <is>
          <t>VB</t>
        </is>
      </c>
      <c r="D362" t="inlineStr">
        <is>
          <t>24116 Kiel - Schreventeich-Hasseldieksdamm</t>
        </is>
      </c>
      <c r="E362" s="5" t="n">
        <v>45537</v>
      </c>
      <c r="F362" t="inlineStr">
        <is>
          <t>Sold</t>
        </is>
      </c>
      <c r="G362" s="6">
        <f>HYPERLINK("https://www.kleinanzeigen.de/s-anzeige/neilpryde-trimmsystem-x3-x6-x9-rs-x-rs-one/2852228608-230-703", "Link")</f>
        <v/>
      </c>
      <c r="H362" s="6">
        <f>HYPERLINK("C:\Projects\Kleinanzeigen-Scraper\offer_images\2852228608", "Link")</f>
        <v/>
      </c>
      <c r="I362" t="inlineStr">
        <is>
          <t>Enno</t>
        </is>
      </c>
      <c r="J362" s="6">
        <f>HYPERLINK("https://www.kleinanzeigen.de/s-bestandsliste.html?userId=14327409", "Link")</f>
        <v/>
      </c>
      <c r="K362" s="7" t="n">
        <v>45549.58100694444</v>
      </c>
      <c r="L362" s="3" t="inlineStr">
        <is>
          <t>432.62</t>
        </is>
      </c>
      <c r="M362" t="inlineStr">
        <is>
          <t>Köln</t>
        </is>
      </c>
    </row>
    <row r="363">
      <c r="A363" t="inlineStr">
        <is>
          <t>Pump: Fanatic Double Action HP8, suitable for SUP, high capacity</t>
        </is>
      </c>
      <c r="B363" s="4" t="n">
        <v>15</v>
      </c>
      <c r="C363" t="inlineStr"/>
      <c r="D363" t="inlineStr">
        <is>
          <t>76133 Baden-Württemberg - Karlsruhe</t>
        </is>
      </c>
      <c r="E363" s="5" t="n">
        <v>45532</v>
      </c>
      <c r="F363" t="inlineStr">
        <is>
          <t>Sold</t>
        </is>
      </c>
      <c r="G363" s="6">
        <f>HYPERLINK("https://www.kleinanzeigen.de/s-anzeige/fanatic-pumpe-double-action-hp8/2848698425-230-9194", "Link")</f>
        <v/>
      </c>
      <c r="H363" s="6">
        <f>HYPERLINK("C:\Projects\Kleinanzeigen-Scraper\offer_images\2848698425", "Link")</f>
        <v/>
      </c>
      <c r="I363" t="inlineStr">
        <is>
          <t>Vanessa Scherer</t>
        </is>
      </c>
      <c r="J363" s="6">
        <f>HYPERLINK("https://www.kleinanzeigen.de/s-bestandsliste.html?userId=83949307", "Link")</f>
        <v/>
      </c>
      <c r="K363" s="7" t="n">
        <v>45549.5808912037</v>
      </c>
      <c r="L363" s="3" t="inlineStr">
        <is>
          <t>0.00</t>
        </is>
      </c>
      <c r="M363" t="inlineStr">
        <is>
          <t>Karlsruhe</t>
        </is>
      </c>
    </row>
    <row r="364">
      <c r="A364" t="inlineStr">
        <is>
          <t>Mastfoot: Severne Gummi and pins, new</t>
        </is>
      </c>
      <c r="B364" s="4" t="n">
        <v>40</v>
      </c>
      <c r="C364" t="inlineStr"/>
      <c r="D364" t="inlineStr">
        <is>
          <t>10437 Pankow - Prenzlauer Berg</t>
        </is>
      </c>
      <c r="E364" s="5" t="n">
        <v>45417</v>
      </c>
      <c r="F364" t="inlineStr"/>
      <c r="G364" s="6">
        <f>HYPERLINK("https://www.kleinanzeigen.de/s-anzeige/mastfuss-windsurfing-mastbase-severne-gummi-neu/2753547929-230-3491", "Link")</f>
        <v/>
      </c>
      <c r="H364" s="6">
        <f>HYPERLINK("C:\Projects\Kleinanzeigen-Scraper\offer_images\2753547929", "Link")</f>
        <v/>
      </c>
      <c r="I364" t="inlineStr">
        <is>
          <t>Georg</t>
        </is>
      </c>
      <c r="J364" s="6">
        <f>HYPERLINK("https://www.kleinanzeigen.de/s-bestandsliste.html?userId=4724622", "Link")</f>
        <v/>
      </c>
      <c r="K364" s="7" t="n">
        <v>45549.58084490741</v>
      </c>
      <c r="L364" s="3" t="inlineStr">
        <is>
          <t>478.70</t>
        </is>
      </c>
      <c r="M364" t="inlineStr">
        <is>
          <t>Köln</t>
        </is>
      </c>
    </row>
    <row r="365">
      <c r="A365" t="inlineStr">
        <is>
          <t>Boom Bag: Gun Sails bag for multiple booms, approximately 2.5m long, in very good condition</t>
        </is>
      </c>
      <c r="B365" s="4" t="n">
        <v>85</v>
      </c>
      <c r="C365" t="inlineStr">
        <is>
          <t>VB</t>
        </is>
      </c>
      <c r="D365" t="inlineStr">
        <is>
          <t>88212 Baden-Württemberg - Ravensburg</t>
        </is>
      </c>
      <c r="E365" s="5" t="n">
        <v>45428</v>
      </c>
      <c r="F365" t="inlineStr"/>
      <c r="G365" s="6">
        <f>HYPERLINK("https://www.kleinanzeigen.de/s-anzeige/boom-bag-windsurfen-tasche-gabelbaum-gun-sails/2762558819-230-9224", "Link")</f>
        <v/>
      </c>
      <c r="H365" s="6">
        <f>HYPERLINK("C:\Projects\Kleinanzeigen-Scraper\offer_images\2762558819", "Link")</f>
        <v/>
      </c>
      <c r="I365" t="inlineStr">
        <is>
          <t>Tim</t>
        </is>
      </c>
      <c r="J365" s="6">
        <f>HYPERLINK("https://www.kleinanzeigen.de/s-bestandsliste.html?userId=14139869", "Link")</f>
        <v/>
      </c>
      <c r="K365" s="7" t="n">
        <v>45549.58084490741</v>
      </c>
      <c r="L365" s="3" t="inlineStr">
        <is>
          <t>95.51</t>
        </is>
      </c>
      <c r="M365" t="inlineStr">
        <is>
          <t>Bonndorf</t>
        </is>
      </c>
    </row>
    <row r="366">
      <c r="A366" t="inlineStr">
        <is>
          <t>Harness Lines: FIX 26", neu</t>
        </is>
      </c>
      <c r="B366" s="4" t="n">
        <v>12</v>
      </c>
      <c r="C366" t="inlineStr"/>
      <c r="D366" t="inlineStr">
        <is>
          <t>66798 Saarland - Wallerfangen</t>
        </is>
      </c>
      <c r="E366" s="5" t="n">
        <v>45123</v>
      </c>
      <c r="F366" t="inlineStr"/>
      <c r="G366" s="6">
        <f>HYPERLINK("https://www.kleinanzeigen.de/s-anzeige/trapeztampen-gun-sails/2494117637-230-292", "Link")</f>
        <v/>
      </c>
      <c r="H366" s="6">
        <f>HYPERLINK("C:\Projects\Kleinanzeigen-Scraper\offer_images\2494117637", "Link")</f>
        <v/>
      </c>
      <c r="I366" t="inlineStr">
        <is>
          <t>Privater Verkäufer</t>
        </is>
      </c>
      <c r="J366" s="6">
        <f>HYPERLINK("https://www.kleinanzeigen.de/s-bestandsliste.html?userId=8089551", "Link")</f>
        <v/>
      </c>
      <c r="K366" s="7" t="n">
        <v>45549.58081018519</v>
      </c>
      <c r="L366" s="3" t="inlineStr">
        <is>
          <t>132.15</t>
        </is>
      </c>
      <c r="M366" t="inlineStr">
        <is>
          <t>Karlsruhe</t>
        </is>
      </c>
    </row>
    <row r="367">
      <c r="A367" t="inlineStr">
        <is>
          <t>Harness: ION Jade, Size 36, barely used</t>
        </is>
      </c>
      <c r="B367" s="4" t="n">
        <v>120</v>
      </c>
      <c r="C367" t="inlineStr">
        <is>
          <t>VB</t>
        </is>
      </c>
      <c r="D367" t="inlineStr">
        <is>
          <t>23769 Kreis Ostholstein - Fehmarn</t>
        </is>
      </c>
      <c r="E367" s="5" t="n">
        <v>45548</v>
      </c>
      <c r="F367" t="inlineStr">
        <is>
          <t>Sold</t>
        </is>
      </c>
      <c r="G367" s="6">
        <f>HYPERLINK("https://www.kleinanzeigen.de/s-anzeige/ion-jade-windsurf-trapez/2861925162-230-19951", "Link")</f>
        <v/>
      </c>
      <c r="H367" s="6">
        <f>HYPERLINK("C:\Projects\Kleinanzeigen-Scraper\offer_images\2861925162", "Link")</f>
        <v/>
      </c>
      <c r="I367" t="inlineStr">
        <is>
          <t>A-C Niebank</t>
        </is>
      </c>
      <c r="J367" s="6">
        <f>HYPERLINK("https://www.kleinanzeigen.de/s-bestandsliste.html?userId=63321433", "Link")</f>
        <v/>
      </c>
      <c r="K367" s="7" t="n">
        <v>45549.58079861111</v>
      </c>
      <c r="L367" s="3" t="inlineStr">
        <is>
          <t>483.01</t>
        </is>
      </c>
      <c r="M367" t="inlineStr">
        <is>
          <t>Köln</t>
        </is>
      </c>
    </row>
    <row r="368">
      <c r="A368" t="inlineStr">
        <is>
          <t>Windsurfing Bar: Naish Torque2 with I3 Quick Release, 50cm, 22+2m lines, new</t>
        </is>
      </c>
      <c r="B368" s="4" t="n">
        <v>349</v>
      </c>
      <c r="C368" t="inlineStr">
        <is>
          <t>VB</t>
        </is>
      </c>
      <c r="D368" t="inlineStr">
        <is>
          <t>32457 Nordrhein-Westfalen - Porta Westfalica</t>
        </is>
      </c>
      <c r="E368" s="5" t="n">
        <v>45548</v>
      </c>
      <c r="F368" t="inlineStr"/>
      <c r="G368" s="6">
        <f>HYPERLINK("https://www.kleinanzeigen.de/s-anzeige/naish-bar-torque2-i3-qr-50cm-22-2m-neu/2861799796-230-1236", "Link")</f>
        <v/>
      </c>
      <c r="H368" s="6">
        <f>HYPERLINK("C:\Projects\Kleinanzeigen-Scraper\offer_images\2861799796", "Link")</f>
        <v/>
      </c>
      <c r="I368" t="inlineStr">
        <is>
          <t>Thomas Jenderni</t>
        </is>
      </c>
      <c r="J368" s="6">
        <f>HYPERLINK("https://www.kleinanzeigen.de/s-bestandsliste.html?userId=14261593", "Link")</f>
        <v/>
      </c>
      <c r="K368" s="7" t="n">
        <v>45549.58079861111</v>
      </c>
      <c r="L368" s="3" t="inlineStr">
        <is>
          <t>198.24</t>
        </is>
      </c>
      <c r="M368" t="inlineStr">
        <is>
          <t>Köln</t>
        </is>
      </c>
    </row>
    <row r="369">
      <c r="A369" t="inlineStr">
        <is>
          <t>Mast extension: North Sails power XTR, 42cm length with ratchet</t>
        </is>
      </c>
      <c r="B369" s="4" t="n">
        <v>99</v>
      </c>
      <c r="C369" t="inlineStr">
        <is>
          <t>VB</t>
        </is>
      </c>
      <c r="D369" t="inlineStr">
        <is>
          <t>52399 Nordrhein-Westfalen - Merzenich</t>
        </is>
      </c>
      <c r="E369" s="5" t="n">
        <v>45538</v>
      </c>
      <c r="F369" t="inlineStr">
        <is>
          <t>Sold</t>
        </is>
      </c>
      <c r="G369" s="6">
        <f>HYPERLINK("https://www.kleinanzeigen.de/s-anzeige/mastfussverlaengerung-von-north-sails-power-xtr/2853507069-230-1766", "Link")</f>
        <v/>
      </c>
      <c r="H369" s="6">
        <f>HYPERLINK("C:\Projects\Kleinanzeigen-Scraper\offer_images\2853507069", "Link")</f>
        <v/>
      </c>
      <c r="I369" t="inlineStr">
        <is>
          <t>Mike</t>
        </is>
      </c>
      <c r="J369" s="6">
        <f>HYPERLINK("https://www.kleinanzeigen.de/s-bestandsliste.html?userId=13676787", "Link")</f>
        <v/>
      </c>
      <c r="K369" s="7" t="n">
        <v>45549.58063657407</v>
      </c>
      <c r="L369" s="3" t="inlineStr">
        <is>
          <t>32.32</t>
        </is>
      </c>
      <c r="M369" t="inlineStr">
        <is>
          <t>Köln</t>
        </is>
      </c>
    </row>
    <row r="370">
      <c r="A370" t="inlineStr">
        <is>
          <t>Mastfoot: Mastfuß für Fanatic mit Verlängerung für ältere Windsurf Boards</t>
        </is>
      </c>
      <c r="B370" s="4" t="n">
        <v>25</v>
      </c>
      <c r="C370" t="inlineStr">
        <is>
          <t>VB</t>
        </is>
      </c>
      <c r="D370" t="inlineStr">
        <is>
          <t>45699 Nordrhein-Westfalen - Herten</t>
        </is>
      </c>
      <c r="E370" s="5" t="n">
        <v>45529</v>
      </c>
      <c r="F370" t="inlineStr">
        <is>
          <t>Sold</t>
        </is>
      </c>
      <c r="G370" s="6">
        <f>HYPERLINK("https://www.kleinanzeigen.de/s-anzeige/mastfuss-fanatic-mit-verlaengerung/2845670620-230-1832", "Link")</f>
        <v/>
      </c>
      <c r="H370" s="6">
        <f>HYPERLINK("C:\Projects\Kleinanzeigen-Scraper\offer_images\2845670620", "Link")</f>
        <v/>
      </c>
      <c r="I370" t="inlineStr">
        <is>
          <t>V.P.</t>
        </is>
      </c>
      <c r="J370" s="6">
        <f>HYPERLINK("https://www.kleinanzeigen.de/s-bestandsliste.html?userId=10829434", "Link")</f>
        <v/>
      </c>
      <c r="K370" s="7" t="n">
        <v>45549.58059027778</v>
      </c>
      <c r="L370" s="3" t="inlineStr">
        <is>
          <t>73.42</t>
        </is>
      </c>
      <c r="M370" t="inlineStr">
        <is>
          <t>Köln</t>
        </is>
      </c>
    </row>
    <row r="371">
      <c r="A371" t="inlineStr">
        <is>
          <t>Harness: North Sails Sitztrapez, used 1-2 times</t>
        </is>
      </c>
      <c r="B371" s="4" t="n">
        <v>45</v>
      </c>
      <c r="C371" t="inlineStr"/>
      <c r="D371" t="inlineStr">
        <is>
          <t>32429 Nordrhein-Westfalen - Minden</t>
        </is>
      </c>
      <c r="E371" s="5" t="n">
        <v>45541</v>
      </c>
      <c r="F371" t="inlineStr">
        <is>
          <t>Sold</t>
        </is>
      </c>
      <c r="G371" s="6">
        <f>HYPERLINK("https://www.kleinanzeigen.de/s-anzeige/north-sails-trapez-sitztrapez/2856034734-230-1763", "Link")</f>
        <v/>
      </c>
      <c r="H371" s="6">
        <f>HYPERLINK("C:\Projects\Kleinanzeigen-Scraper\offer_images\2856034734", "Link")</f>
        <v/>
      </c>
      <c r="I371" t="inlineStr">
        <is>
          <t>N.B.</t>
        </is>
      </c>
      <c r="J371" s="6">
        <f>HYPERLINK("https://www.kleinanzeigen.de/s-bestandsliste.html?userId=8427336", "Link")</f>
        <v/>
      </c>
      <c r="K371" s="7" t="n">
        <v>45549.58056712963</v>
      </c>
      <c r="L371" s="3" t="inlineStr">
        <is>
          <t>197.76</t>
        </is>
      </c>
      <c r="M371" t="inlineStr">
        <is>
          <t>Köln</t>
        </is>
      </c>
    </row>
    <row r="372">
      <c r="A372" t="inlineStr">
        <is>
          <t>Mast extension: North Carbon extension, approximately 40 cm, fully functional despite a broken release button.</t>
        </is>
      </c>
      <c r="B372" s="4" t="n">
        <v>50</v>
      </c>
      <c r="C372" t="inlineStr"/>
      <c r="D372" t="inlineStr">
        <is>
          <t>22397 Wandsbek - Hamburg Duvenstedt</t>
        </is>
      </c>
      <c r="E372" s="5" t="n">
        <v>45538</v>
      </c>
      <c r="F372" t="inlineStr">
        <is>
          <t>Sold</t>
        </is>
      </c>
      <c r="G372" s="6">
        <f>HYPERLINK("https://www.kleinanzeigen.de/s-anzeige/carbon-extension-north/2853672250-230-9473", "Link")</f>
        <v/>
      </c>
      <c r="H372" s="6">
        <f>HYPERLINK("C:\Projects\Kleinanzeigen-Scraper\offer_images\2853672250", "Link")</f>
        <v/>
      </c>
      <c r="I372" t="inlineStr">
        <is>
          <t>Jan-Peter Hintze</t>
        </is>
      </c>
      <c r="J372" s="6">
        <f>HYPERLINK("https://www.kleinanzeigen.de/s-bestandsliste.html?userId=4860716", "Link")</f>
        <v/>
      </c>
      <c r="K372" s="7" t="n">
        <v>45549.58056712963</v>
      </c>
      <c r="L372" s="3" t="inlineStr">
        <is>
          <t>373.25</t>
        </is>
      </c>
      <c r="M372" t="inlineStr">
        <is>
          <t>Köln</t>
        </is>
      </c>
    </row>
    <row r="373">
      <c r="A373" t="inlineStr">
        <is>
          <t>Trust Bar: Neuwertige DUOTONE Trust Bar inkl. Freeride Loop, 22/24m Leinen, neuwertiger Zustand</t>
        </is>
      </c>
      <c r="B373" s="4" t="n">
        <v>540</v>
      </c>
      <c r="C373" t="inlineStr">
        <is>
          <t>VB</t>
        </is>
      </c>
      <c r="D373" t="inlineStr">
        <is>
          <t>80807 München - Schwabing-Freimann</t>
        </is>
      </c>
      <c r="E373" s="5" t="n">
        <v>45545</v>
      </c>
      <c r="F373" t="inlineStr">
        <is>
          <t>Sold</t>
        </is>
      </c>
      <c r="G373" s="6">
        <f>HYPERLINK("https://www.kleinanzeigen.de/s-anzeige/neuwertige-duotone-trust-bar-inkl-freeride-loop-trustbar-2023/2859416863-230-16377", "Link")</f>
        <v/>
      </c>
      <c r="H373" s="6">
        <f>HYPERLINK("C:\Projects\Kleinanzeigen-Scraper\offer_images\2859416863", "Link")</f>
        <v/>
      </c>
      <c r="I373" t="inlineStr">
        <is>
          <t>Sebastian</t>
        </is>
      </c>
      <c r="J373" s="6">
        <f>HYPERLINK("https://www.kleinanzeigen.de/s-bestandsliste.html?userId=3497984", "Link")</f>
        <v/>
      </c>
      <c r="K373" s="7" t="n">
        <v>45549.58046296296</v>
      </c>
      <c r="L373" s="3" t="inlineStr">
        <is>
          <t>5.67</t>
        </is>
      </c>
      <c r="M373" t="inlineStr">
        <is>
          <t>München</t>
        </is>
      </c>
    </row>
    <row r="374">
      <c r="A374" t="inlineStr">
        <is>
          <t>Mast extension: SDM 0-Base Gunsails in good condition</t>
        </is>
      </c>
      <c r="B374" s="4" t="n">
        <v>20</v>
      </c>
      <c r="C374" t="inlineStr">
        <is>
          <t>VB</t>
        </is>
      </c>
      <c r="D374" t="inlineStr">
        <is>
          <t>55291 Rheinland-Pfalz - Saulheim</t>
        </is>
      </c>
      <c r="E374" s="5" t="n">
        <v>45534</v>
      </c>
      <c r="F374" t="inlineStr"/>
      <c r="G374" s="6">
        <f>HYPERLINK("https://www.kleinanzeigen.de/s-anzeige/sdm-0-base-gunsails-gun-sails-guter-zustand-mastverlaengerung/2850006360-230-5332", "Link")</f>
        <v/>
      </c>
      <c r="H374" s="6">
        <f>HYPERLINK("C:\Projects\Kleinanzeigen-Scraper\offer_images\2850006360", "Link")</f>
        <v/>
      </c>
      <c r="I374" t="inlineStr">
        <is>
          <t>Michael</t>
        </is>
      </c>
      <c r="J374" s="6">
        <f>HYPERLINK("https://www.kleinanzeigen.de/s-bestandsliste.html?userId=120338761", "Link")</f>
        <v/>
      </c>
      <c r="K374" s="7" t="n">
        <v>45549.58041666666</v>
      </c>
      <c r="L374" s="3" t="inlineStr">
        <is>
          <t>97.88</t>
        </is>
      </c>
      <c r="M374" t="inlineStr">
        <is>
          <t>Karlsruhe</t>
        </is>
      </c>
    </row>
    <row r="375">
      <c r="A375" t="inlineStr">
        <is>
          <t>Combo Pads: Duotone Vario Combo Pads with Grab Handle, size S-L (36-47)</t>
        </is>
      </c>
      <c r="B375" s="4" t="n">
        <v>90</v>
      </c>
      <c r="C375" t="inlineStr">
        <is>
          <t>VB</t>
        </is>
      </c>
      <c r="D375" t="inlineStr">
        <is>
          <t>28209 Bremen - Schwachhausen</t>
        </is>
      </c>
      <c r="E375" s="5" t="n">
        <v>45544</v>
      </c>
      <c r="F375" t="inlineStr">
        <is>
          <t>Sold</t>
        </is>
      </c>
      <c r="G375" s="6">
        <f>HYPERLINK("https://www.kleinanzeigen.de/s-anzeige/duotone-vario-combo-grab-handle/2858584538-230-19", "Link")</f>
        <v/>
      </c>
      <c r="H375" s="6">
        <f>HYPERLINK("C:\Projects\Kleinanzeigen-Scraper\offer_images\2858584538", "Link")</f>
        <v/>
      </c>
      <c r="I375" t="inlineStr">
        <is>
          <t>dk</t>
        </is>
      </c>
      <c r="J375" s="6">
        <f>HYPERLINK("https://www.kleinanzeigen.de/s-bestandsliste.html?userId=5754407", "Link")</f>
        <v/>
      </c>
      <c r="K375" s="7" t="n">
        <v>45549.58041666666</v>
      </c>
      <c r="L375" s="3" t="inlineStr">
        <is>
          <t>271.25</t>
        </is>
      </c>
      <c r="M375" t="inlineStr">
        <is>
          <t>Köln</t>
        </is>
      </c>
    </row>
    <row r="376">
      <c r="A376" t="inlineStr">
        <is>
          <t>Bar: Duotone click bar size M with freeride chicken loop, good used condition, right rubber for line fixation is torn.</t>
        </is>
      </c>
      <c r="B376" s="4" t="n">
        <v>200</v>
      </c>
      <c r="C376" t="inlineStr">
        <is>
          <t>VB</t>
        </is>
      </c>
      <c r="D376" t="inlineStr">
        <is>
          <t>81371 München - Sendling</t>
        </is>
      </c>
      <c r="E376" s="5" t="n">
        <v>45548</v>
      </c>
      <c r="F376" t="inlineStr">
        <is>
          <t>Sold</t>
        </is>
      </c>
      <c r="G376" s="6">
        <f>HYPERLINK("https://www.kleinanzeigen.de/s-anzeige/duotone-click-bar-m-breit/2861951013-230-6416", "Link")</f>
        <v/>
      </c>
      <c r="H376" s="6">
        <f>HYPERLINK("C:\Projects\Kleinanzeigen-Scraper\offer_images\2861951013", "Link")</f>
        <v/>
      </c>
      <c r="I376" t="inlineStr">
        <is>
          <t>Max</t>
        </is>
      </c>
      <c r="J376" s="6">
        <f>HYPERLINK("https://www.kleinanzeigen.de/s-bestandsliste.html?userId=35412952", "Link")</f>
        <v/>
      </c>
      <c r="K376" s="7" t="n">
        <v>45549.58039351852</v>
      </c>
      <c r="L376" s="3" t="inlineStr">
        <is>
          <t>2.76</t>
        </is>
      </c>
      <c r="M376" t="inlineStr">
        <is>
          <t>München</t>
        </is>
      </c>
    </row>
    <row r="377">
      <c r="A377" t="inlineStr">
        <is>
          <t>Mastfoot: Neilpryde XT MXT Mast Base US Cup Mastbase</t>
        </is>
      </c>
      <c r="B377" s="4" t="n">
        <v>29</v>
      </c>
      <c r="C377" t="inlineStr">
        <is>
          <t>VB</t>
        </is>
      </c>
      <c r="D377" t="inlineStr">
        <is>
          <t>86830 Bayern - Schwabmünchen</t>
        </is>
      </c>
      <c r="E377" s="5" t="n">
        <v>45531</v>
      </c>
      <c r="F377" t="inlineStr"/>
      <c r="G377" s="6">
        <f>HYPERLINK("https://www.kleinanzeigen.de/s-anzeige/neilpryde-xt-mxt-mast-base-us-cup-mastbase-mastfuss/2847681504-230-7119", "Link")</f>
        <v/>
      </c>
      <c r="H377" s="6">
        <f>HYPERLINK("C:\Projects\Kleinanzeigen-Scraper\offer_images\2847681504", "Link")</f>
        <v/>
      </c>
      <c r="I377" t="inlineStr">
        <is>
          <t>S K</t>
        </is>
      </c>
      <c r="J377" s="6">
        <f>HYPERLINK("https://www.kleinanzeigen.de/s-bestandsliste.html?userId=14955733", "Link")</f>
        <v/>
      </c>
      <c r="K377" s="7" t="n">
        <v>45549.58037037037</v>
      </c>
      <c r="L377" s="3" t="inlineStr">
        <is>
          <t>64.40</t>
        </is>
      </c>
      <c r="M377" t="inlineStr">
        <is>
          <t>München</t>
        </is>
      </c>
    </row>
    <row r="378">
      <c r="A378" t="inlineStr">
        <is>
          <t>Trapeztampen: 18 Zoll / 46 cm, starr, Zustand sehr gut</t>
        </is>
      </c>
      <c r="B378" s="4" t="n">
        <v>12</v>
      </c>
      <c r="C378" t="inlineStr"/>
      <c r="D378" t="inlineStr">
        <is>
          <t>65779 Hessen - Kelkheim</t>
        </is>
      </c>
      <c r="E378" s="5" t="n">
        <v>45528</v>
      </c>
      <c r="F378" t="inlineStr"/>
      <c r="G378" s="6">
        <f>HYPERLINK("https://www.kleinanzeigen.de/s-anzeige/gun-sails-trapeztampen-18-zoll-46-cm/2845159025-230-4813", "Link")</f>
        <v/>
      </c>
      <c r="H378" s="6">
        <f>HYPERLINK("C:\Projects\Kleinanzeigen-Scraper\offer_images\2845159025", "Link")</f>
        <v/>
      </c>
      <c r="I378" t="inlineStr">
        <is>
          <t>Jens Rasche</t>
        </is>
      </c>
      <c r="J378" s="6">
        <f>HYPERLINK("https://www.kleinanzeigen.de/s-bestandsliste.html?userId=25448088", "Link")</f>
        <v/>
      </c>
      <c r="K378" s="7" t="n">
        <v>45549.58032407407</v>
      </c>
      <c r="L378" s="3" t="inlineStr">
        <is>
          <t>127.81</t>
        </is>
      </c>
      <c r="M378" t="inlineStr">
        <is>
          <t>Karlsruhe</t>
        </is>
      </c>
    </row>
    <row r="379">
      <c r="A379" t="inlineStr">
        <is>
          <t>Harness: Sitztrapez North - Performance, gebraucht</t>
        </is>
      </c>
      <c r="B379" s="4" t="n">
        <v>20</v>
      </c>
      <c r="C379" t="inlineStr">
        <is>
          <t>VB</t>
        </is>
      </c>
      <c r="D379" t="inlineStr">
        <is>
          <t>73728 Baden-Württemberg - Esslingen</t>
        </is>
      </c>
      <c r="E379" s="5" t="n">
        <v>45549</v>
      </c>
      <c r="F379" t="inlineStr">
        <is>
          <t>Sold</t>
        </is>
      </c>
      <c r="G379" s="6">
        <f>HYPERLINK("https://www.kleinanzeigen.de/s-anzeige/sitztrapez-north-performance/2862671670-230-9068", "Link")</f>
        <v/>
      </c>
      <c r="H379" s="6">
        <f>HYPERLINK("C:\Projects\Kleinanzeigen-Scraper\offer_images\2862671670", "Link")</f>
        <v/>
      </c>
      <c r="I379" t="inlineStr">
        <is>
          <t>Laura</t>
        </is>
      </c>
      <c r="J379" s="6">
        <f>HYPERLINK("https://www.kleinanzeigen.de/s-bestandsliste.html?userId=12060507", "Link")</f>
        <v/>
      </c>
      <c r="K379" s="7" t="n">
        <v>45549.5803125</v>
      </c>
      <c r="L379" s="3" t="inlineStr">
        <is>
          <t>25.24</t>
        </is>
      </c>
      <c r="M379" t="inlineStr">
        <is>
          <t>Böblingen</t>
        </is>
      </c>
    </row>
    <row r="380">
      <c r="A380" t="inlineStr">
        <is>
          <t>Kiteleash: Hochwertige Naish Kiteleash</t>
        </is>
      </c>
      <c r="B380" s="4" t="n">
        <v>25</v>
      </c>
      <c r="C380" t="inlineStr"/>
      <c r="D380" t="inlineStr">
        <is>
          <t>34117 Hessen - Kassel</t>
        </is>
      </c>
      <c r="E380" s="5" t="n">
        <v>45531</v>
      </c>
      <c r="F380" t="inlineStr">
        <is>
          <t>Sold</t>
        </is>
      </c>
      <c r="G380" s="6">
        <f>HYPERLINK("https://www.kleinanzeigen.de/s-anzeige/kitesurf-leash-naish-safety-leash-kiteleash/2847369102-230-4930", "Link")</f>
        <v/>
      </c>
      <c r="H380" s="6">
        <f>HYPERLINK("C:\Projects\Kleinanzeigen-Scraper\offer_images\2847369102", "Link")</f>
        <v/>
      </c>
      <c r="I380" t="inlineStr">
        <is>
          <t>Lena</t>
        </is>
      </c>
      <c r="J380" s="6">
        <f>HYPERLINK("https://www.kleinanzeigen.de/s-bestandsliste.html?userId=56615543", "Link")</f>
        <v/>
      </c>
      <c r="K380" s="7" t="n">
        <v>45549.58028935185</v>
      </c>
      <c r="L380" s="3" t="inlineStr">
        <is>
          <t>182.07</t>
        </is>
      </c>
      <c r="M380" t="inlineStr">
        <is>
          <t>Köln</t>
        </is>
      </c>
    </row>
    <row r="381">
      <c r="A381" t="inlineStr">
        <is>
          <t>Harness: RRD STARK HARNESS V3 in size XXS, never used</t>
        </is>
      </c>
      <c r="B381" s="4" t="n">
        <v>30</v>
      </c>
      <c r="C381" t="inlineStr"/>
      <c r="D381" t="inlineStr">
        <is>
          <t>72793 Baden-Württemberg - Pfullingen</t>
        </is>
      </c>
      <c r="E381" s="5" t="n">
        <v>45510</v>
      </c>
      <c r="F381" t="inlineStr">
        <is>
          <t>Sold</t>
        </is>
      </c>
      <c r="G381" s="6">
        <f>HYPERLINK("https://www.kleinanzeigen.de/s-anzeige/kite-trapez-rrd-stark-harness-v3-groesse-xxs/2830451446-230-8202", "Link")</f>
        <v/>
      </c>
      <c r="H381" s="6">
        <f>HYPERLINK("C:\Projects\Kleinanzeigen-Scraper\offer_images\2830451446", "Link")</f>
        <v/>
      </c>
      <c r="I381" t="inlineStr">
        <is>
          <t>Tobias Bilger</t>
        </is>
      </c>
      <c r="J381" s="6">
        <f>HYPERLINK("https://www.kleinanzeigen.de/s-bestandsliste.html?userId=17171831", "Link")</f>
        <v/>
      </c>
      <c r="K381" s="7" t="n">
        <v>45549.58028935185</v>
      </c>
      <c r="L381" s="3" t="inlineStr">
        <is>
          <t>29.93</t>
        </is>
      </c>
      <c r="M381" t="inlineStr">
        <is>
          <t>Böblingen</t>
        </is>
      </c>
    </row>
    <row r="382">
      <c r="A382" t="inlineStr">
        <is>
          <t>Harness: Older trapeze with back protection, includes metal bar</t>
        </is>
      </c>
      <c r="B382" s="4" t="n">
        <v>20</v>
      </c>
      <c r="C382" t="inlineStr"/>
      <c r="D382" t="inlineStr">
        <is>
          <t>66740 Saarland - Saarlouis</t>
        </is>
      </c>
      <c r="E382" s="5" t="n">
        <v>45535</v>
      </c>
      <c r="F382" t="inlineStr"/>
      <c r="G382" s="6">
        <f>HYPERLINK("https://www.kleinanzeigen.de/s-anzeige/the-gun-sails-trapez-mit-rueckenschutz/2850750983-230-369", "Link")</f>
        <v/>
      </c>
      <c r="H382" s="6">
        <f>HYPERLINK("C:\Projects\Kleinanzeigen-Scraper\offer_images\2850750983", "Link")</f>
        <v/>
      </c>
      <c r="I382" t="inlineStr">
        <is>
          <t>Peter</t>
        </is>
      </c>
      <c r="J382" s="6">
        <f>HYPERLINK("https://www.kleinanzeigen.de/s-bestandsliste.html?userId=21245490", "Link")</f>
        <v/>
      </c>
      <c r="K382" s="7" t="n">
        <v>45549.58016203704</v>
      </c>
      <c r="L382" s="3" t="inlineStr">
        <is>
          <t>124.87</t>
        </is>
      </c>
      <c r="M382" t="inlineStr">
        <is>
          <t>Karlsruhe</t>
        </is>
      </c>
    </row>
    <row r="383">
      <c r="A383" t="inlineStr">
        <is>
          <t>Leinenverlängerung: Neue Leinenverlängerung von Naish, 4 Meter</t>
        </is>
      </c>
      <c r="B383" s="4" t="n">
        <v>25</v>
      </c>
      <c r="C383" t="inlineStr">
        <is>
          <t>VB</t>
        </is>
      </c>
      <c r="D383" t="inlineStr">
        <is>
          <t>23570 Lübeck - Travemünde</t>
        </is>
      </c>
      <c r="E383" s="5" t="n">
        <v>45515</v>
      </c>
      <c r="F383" t="inlineStr"/>
      <c r="G383" s="6">
        <f>HYPERLINK("https://www.kleinanzeigen.de/s-anzeige/naish-leinenverlaengerung-4meter/2834011444-230-24220", "Link")</f>
        <v/>
      </c>
      <c r="H383" s="6">
        <f>HYPERLINK("C:\Projects\Kleinanzeigen-Scraper\offer_images\2834011444", "Link")</f>
        <v/>
      </c>
      <c r="I383" t="inlineStr">
        <is>
          <t>Peter G.</t>
        </is>
      </c>
      <c r="J383" s="6">
        <f>HYPERLINK("https://www.kleinanzeigen.de/s-bestandsliste.html?userId=11821674", "Link")</f>
        <v/>
      </c>
      <c r="K383" s="7" t="n">
        <v>45549.58013888889</v>
      </c>
      <c r="L383" s="3" t="inlineStr">
        <is>
          <t>427.31</t>
        </is>
      </c>
      <c r="M383" t="inlineStr">
        <is>
          <t>Köln</t>
        </is>
      </c>
    </row>
    <row r="384">
      <c r="A384" t="inlineStr">
        <is>
          <t>Fin: TABOU Windsurf Finne Freeride 38 cm for PB Powerbox, G10 material, very good condition</t>
        </is>
      </c>
      <c r="B384" s="4" t="n">
        <v>85</v>
      </c>
      <c r="C384" t="inlineStr"/>
      <c r="D384" t="inlineStr">
        <is>
          <t>88276 Baden-Württemberg - Berg</t>
        </is>
      </c>
      <c r="E384" s="5" t="n">
        <v>45425</v>
      </c>
      <c r="F384" t="inlineStr">
        <is>
          <t>Sold</t>
        </is>
      </c>
      <c r="G384" s="6">
        <f>HYPERLINK("https://www.kleinanzeigen.de/s-anzeige/tabou-windsurf-finne-freeride-38-wl-pb-powerbox/2760445391-230-8272", "Link")</f>
        <v/>
      </c>
      <c r="H384" s="6">
        <f>HYPERLINK("C:\Projects\Kleinanzeigen-Scraper\offer_images\2760445391", "Link")</f>
        <v/>
      </c>
      <c r="I384" t="inlineStr">
        <is>
          <t>Peter</t>
        </is>
      </c>
      <c r="J384" s="6">
        <f>HYPERLINK("https://www.kleinanzeigen.de/s-bestandsliste.html?userId=14016551", "Link")</f>
        <v/>
      </c>
      <c r="K384" s="7" t="n">
        <v>45549.58013888889</v>
      </c>
      <c r="L384" s="3" t="inlineStr">
        <is>
          <t>94.35</t>
        </is>
      </c>
      <c r="M384" t="inlineStr">
        <is>
          <t>Bonndorf</t>
        </is>
      </c>
    </row>
    <row r="385">
      <c r="A385" t="inlineStr">
        <is>
          <t>Impact Vest: Neilpryde Weste 5000 Serie XXL, used, functional</t>
        </is>
      </c>
      <c r="B385" s="4" t="n">
        <v>10</v>
      </c>
      <c r="C385" t="inlineStr"/>
      <c r="D385" t="inlineStr">
        <is>
          <t>12161 Berlin - Friedenau</t>
        </is>
      </c>
      <c r="E385" s="5" t="n">
        <v>45489</v>
      </c>
      <c r="F385" t="inlineStr">
        <is>
          <t>Sold</t>
        </is>
      </c>
      <c r="G385" s="6">
        <f>HYPERLINK("https://www.kleinanzeigen.de/s-anzeige/neilpryde-schutzweste-gebraucht/2814080053-230-17084", "Link")</f>
        <v/>
      </c>
      <c r="H385" s="6">
        <f>HYPERLINK("C:\Projects\Kleinanzeigen-Scraper\offer_images\2814080053", "Link")</f>
        <v/>
      </c>
      <c r="I385" t="inlineStr">
        <is>
          <t>Björn</t>
        </is>
      </c>
      <c r="J385" s="6">
        <f>HYPERLINK("https://www.kleinanzeigen.de/s-bestandsliste.html?userId=11088368", "Link")</f>
        <v/>
      </c>
      <c r="K385" s="7" t="n">
        <v>45549.58004629629</v>
      </c>
      <c r="L385" s="3" t="inlineStr">
        <is>
          <t>470.70</t>
        </is>
      </c>
      <c r="M385" t="inlineStr">
        <is>
          <t>Köln</t>
        </is>
      </c>
    </row>
    <row r="386">
      <c r="A386" t="inlineStr">
        <is>
          <t>Safety Leash: Neoprene-covered safety leash for kitesurfing, suitable for riders weighing 35-120 KG</t>
        </is>
      </c>
      <c r="B386" s="4" t="n">
        <v>60</v>
      </c>
      <c r="C386" t="inlineStr">
        <is>
          <t>VB</t>
        </is>
      </c>
      <c r="D386" t="inlineStr">
        <is>
          <t>85521 Kr. München - Ottobrunn</t>
        </is>
      </c>
      <c r="E386" s="5" t="n">
        <v>45542</v>
      </c>
      <c r="F386" t="inlineStr">
        <is>
          <t>Sold</t>
        </is>
      </c>
      <c r="G386" s="6">
        <f>HYPERLINK("https://www.kleinanzeigen.de/s-anzeige/duotone-sicherheitsleine-riders-weight-35-120-kg/2856602756-230-15597", "Link")</f>
        <v/>
      </c>
      <c r="H386" s="6">
        <f>HYPERLINK("C:\Projects\Kleinanzeigen-Scraper\offer_images\2856602756", "Link")</f>
        <v/>
      </c>
      <c r="I386" t="inlineStr">
        <is>
          <t>Andrea Robert</t>
        </is>
      </c>
      <c r="J386" s="6">
        <f>HYPERLINK("https://www.kleinanzeigen.de/s-bestandsliste.html?userId=10299761", "Link")</f>
        <v/>
      </c>
      <c r="K386" s="7" t="n">
        <v>45549.57991898148</v>
      </c>
      <c r="L386" s="3" t="inlineStr">
        <is>
          <t>11.05</t>
        </is>
      </c>
      <c r="M386" t="inlineStr">
        <is>
          <t>München</t>
        </is>
      </c>
    </row>
    <row r="387">
      <c r="A387" t="inlineStr">
        <is>
          <t>Foil Nuts: Original Naish Foil Nutensteine with M6 Torx, includes Torx key T30</t>
        </is>
      </c>
      <c r="B387" s="4" t="n">
        <v>25</v>
      </c>
      <c r="C387" t="inlineStr"/>
      <c r="D387" t="inlineStr">
        <is>
          <t>35096 Hessen - Weimar (Lahn)</t>
        </is>
      </c>
      <c r="E387" s="5" t="n">
        <v>45468</v>
      </c>
      <c r="F387" t="inlineStr">
        <is>
          <t>Sold</t>
        </is>
      </c>
      <c r="G387" s="6">
        <f>HYPERLINK("https://www.kleinanzeigen.de/s-anzeige/naish-foil-nutensteine/2797084296-230-4828", "Link")</f>
        <v/>
      </c>
      <c r="H387" s="6">
        <f>HYPERLINK("C:\Projects\Kleinanzeigen-Scraper\offer_images\2797084296", "Link")</f>
        <v/>
      </c>
      <c r="I387" t="inlineStr">
        <is>
          <t>Marc Zeppel</t>
        </is>
      </c>
      <c r="J387" s="6">
        <f>HYPERLINK("https://www.kleinanzeigen.de/s-bestandsliste.html?userId=20961983", "Link")</f>
        <v/>
      </c>
      <c r="K387" s="7" t="n">
        <v>45549.57991898148</v>
      </c>
      <c r="L387" s="3" t="inlineStr">
        <is>
          <t>124.91</t>
        </is>
      </c>
      <c r="M387" t="inlineStr">
        <is>
          <t>Köln</t>
        </is>
      </c>
    </row>
    <row r="388">
      <c r="A388" t="inlineStr">
        <is>
          <t>Harness: ION Axxis Windsurf Trapez, Size M</t>
        </is>
      </c>
      <c r="B388" s="4" t="n">
        <v>115</v>
      </c>
      <c r="C388" t="inlineStr">
        <is>
          <t>VB</t>
        </is>
      </c>
      <c r="D388" t="inlineStr">
        <is>
          <t>82024 Kr. München - Taufkirchen</t>
        </is>
      </c>
      <c r="E388" s="5" t="n">
        <v>45548</v>
      </c>
      <c r="F388" t="inlineStr">
        <is>
          <t>Sold</t>
        </is>
      </c>
      <c r="G388" s="6">
        <f>HYPERLINK("https://www.kleinanzeigen.de/s-anzeige/ion-axxis-windsurf-trapez-groesse-m/2861809450-230-19863", "Link")</f>
        <v/>
      </c>
      <c r="H388" s="6">
        <f>HYPERLINK("C:\Projects\Kleinanzeigen-Scraper\offer_images\2861809450", "Link")</f>
        <v/>
      </c>
      <c r="I388" t="inlineStr">
        <is>
          <t>Stefan</t>
        </is>
      </c>
      <c r="J388" s="6">
        <f>HYPERLINK("https://www.kleinanzeigen.de/s-bestandsliste.html?userId=37080424", "Link")</f>
        <v/>
      </c>
      <c r="K388" s="7" t="n">
        <v>45549.57983796296</v>
      </c>
      <c r="L388" s="3" t="inlineStr">
        <is>
          <t>11.52</t>
        </is>
      </c>
      <c r="M388" t="inlineStr">
        <is>
          <t>München</t>
        </is>
      </c>
    </row>
    <row r="389">
      <c r="A389" t="inlineStr">
        <is>
          <t>Bar: Naish Torque 2 + i3 QR 55 cm with 22m + 2m Extensions</t>
        </is>
      </c>
      <c r="B389" s="4" t="n">
        <v>240</v>
      </c>
      <c r="C389" t="inlineStr">
        <is>
          <t>VB</t>
        </is>
      </c>
      <c r="D389" t="inlineStr">
        <is>
          <t>21217 Niedersachsen - Seevetal</t>
        </is>
      </c>
      <c r="E389" s="5" t="n">
        <v>45534</v>
      </c>
      <c r="F389" t="inlineStr">
        <is>
          <t>Sold</t>
        </is>
      </c>
      <c r="G389" s="6">
        <f>HYPERLINK("https://www.kleinanzeigen.de/s-anzeige/naish-s27-bar-torque-2-i3-qr-55-cm-22-2m/2850031463-230-2812", "Link")</f>
        <v/>
      </c>
      <c r="H389" s="6">
        <f>HYPERLINK("C:\Projects\Kleinanzeigen-Scraper\offer_images\2850031463", "Link")</f>
        <v/>
      </c>
      <c r="I389" t="inlineStr">
        <is>
          <t>Oliver Warnke</t>
        </is>
      </c>
      <c r="J389" s="6">
        <f>HYPERLINK("https://www.kleinanzeigen.de/s-bestandsliste.html?userId=12668594", "Link")</f>
        <v/>
      </c>
      <c r="K389" s="7" t="n">
        <v>45549.57983796296</v>
      </c>
      <c r="L389" s="3" t="inlineStr">
        <is>
          <t>348.89</t>
        </is>
      </c>
      <c r="M389" t="inlineStr">
        <is>
          <t>Köln</t>
        </is>
      </c>
    </row>
    <row r="390">
      <c r="A390" t="inlineStr">
        <is>
          <t>Trapeztampen: 66cm, very good used condition</t>
        </is>
      </c>
      <c r="B390" s="4" t="n">
        <v>10</v>
      </c>
      <c r="C390" t="inlineStr"/>
      <c r="D390" t="inlineStr">
        <is>
          <t>37083 Niedersachsen - Göttingen</t>
        </is>
      </c>
      <c r="E390" s="5" t="n">
        <v>45452</v>
      </c>
      <c r="F390" t="inlineStr"/>
      <c r="G390" s="6">
        <f>HYPERLINK("https://www.kleinanzeigen.de/s-anzeige/neilpryde-paar-trapeztampen-66cm/2784169031-230-3141", "Link")</f>
        <v/>
      </c>
      <c r="H390" s="6">
        <f>HYPERLINK("C:\Projects\Kleinanzeigen-Scraper\offer_images\2784169031", "Link")</f>
        <v/>
      </c>
      <c r="I390" t="inlineStr">
        <is>
          <t>Marc</t>
        </is>
      </c>
      <c r="J390" s="6">
        <f>HYPERLINK("https://www.kleinanzeigen.de/s-bestandsliste.html?userId=5261150", "Link")</f>
        <v/>
      </c>
      <c r="K390" s="7" t="n">
        <v>45549.57981481482</v>
      </c>
      <c r="L390" s="3" t="inlineStr">
        <is>
          <t>217.80</t>
        </is>
      </c>
      <c r="M390" t="inlineStr">
        <is>
          <t>Köln</t>
        </is>
      </c>
    </row>
    <row r="391">
      <c r="A391" t="inlineStr">
        <is>
          <t>Trapezhaken: Naish trapeze hook with opening mechanism, width 285mm</t>
        </is>
      </c>
      <c r="B391" s="4" t="n">
        <v>10</v>
      </c>
      <c r="C391" t="inlineStr"/>
      <c r="D391" t="inlineStr">
        <is>
          <t>45259 Essen - Essen-Ruhrhalbinsel</t>
        </is>
      </c>
      <c r="E391" s="5" t="n">
        <v>45497</v>
      </c>
      <c r="F391" t="inlineStr"/>
      <c r="G391" s="6">
        <f>HYPERLINK("https://www.kleinanzeigen.de/s-anzeige/trapezhaken-naish-mit-oeffnungsmechanismus/2819901351-230-2038", "Link")</f>
        <v/>
      </c>
      <c r="H391" s="6">
        <f>HYPERLINK("C:\Projects\Kleinanzeigen-Scraper\offer_images\2819901351", "Link")</f>
        <v/>
      </c>
      <c r="I391" t="inlineStr">
        <is>
          <t>F. Fischer</t>
        </is>
      </c>
      <c r="J391" s="6">
        <f>HYPERLINK("https://www.kleinanzeigen.de/s-bestandsliste.html?userId=17700500", "Link")</f>
        <v/>
      </c>
      <c r="K391" s="7" t="n">
        <v>45549.57981481482</v>
      </c>
      <c r="L391" s="3" t="inlineStr">
        <is>
          <t>52.13</t>
        </is>
      </c>
      <c r="M391" t="inlineStr">
        <is>
          <t>Köln</t>
        </is>
      </c>
    </row>
    <row r="392">
      <c r="A392" t="inlineStr">
        <is>
          <t>Pump: Fanatic SUP pump with multiple attachments</t>
        </is>
      </c>
      <c r="B392" s="4" t="n">
        <v>45</v>
      </c>
      <c r="C392" t="inlineStr">
        <is>
          <t>VB</t>
        </is>
      </c>
      <c r="D392" t="inlineStr">
        <is>
          <t>23843 Schleswig-Holstein - Bad Oldesloe</t>
        </is>
      </c>
      <c r="E392" s="5" t="n">
        <v>45543</v>
      </c>
      <c r="F392" t="inlineStr">
        <is>
          <t>Sold</t>
        </is>
      </c>
      <c r="G392" s="6">
        <f>HYPERLINK("https://www.kleinanzeigen.de/s-anzeige/fanatic-sup-pumpe/2857861715-230-12923", "Link")</f>
        <v/>
      </c>
      <c r="H392" s="6">
        <f>HYPERLINK("C:\Projects\Kleinanzeigen-Scraper\offer_images\2857861715", "Link")</f>
        <v/>
      </c>
      <c r="I392" t="inlineStr">
        <is>
          <t>Annette</t>
        </is>
      </c>
      <c r="J392" s="6">
        <f>HYPERLINK("https://www.kleinanzeigen.de/s-bestandsliste.html?userId=17770448", "Link")</f>
        <v/>
      </c>
      <c r="K392" s="7" t="n">
        <v>45549.57974537037</v>
      </c>
      <c r="L392" s="3" t="inlineStr">
        <is>
          <t>393.04</t>
        </is>
      </c>
      <c r="M392" t="inlineStr">
        <is>
          <t>Köln</t>
        </is>
      </c>
    </row>
    <row r="393">
      <c r="A393" t="inlineStr">
        <is>
          <t>Pump: North kite pump with various adapters for inflation and deflation.</t>
        </is>
      </c>
      <c r="B393" s="4" t="n">
        <v>15</v>
      </c>
      <c r="C393" t="inlineStr">
        <is>
          <t>VB</t>
        </is>
      </c>
      <c r="D393" t="inlineStr">
        <is>
          <t>58452 Nordrhein-Westfalen - Witten</t>
        </is>
      </c>
      <c r="E393" s="5" t="n">
        <v>45542</v>
      </c>
      <c r="F393" t="inlineStr">
        <is>
          <t>Sold</t>
        </is>
      </c>
      <c r="G393" s="6">
        <f>HYPERLINK("https://www.kleinanzeigen.de/s-anzeige/kite-pumpe-north-oder-als-luftpumpe-mit-aufsaetzen/2856422997-230-1022", "Link")</f>
        <v/>
      </c>
      <c r="H393" s="6">
        <f>HYPERLINK("C:\Projects\Kleinanzeigen-Scraper\offer_images\2856422997", "Link")</f>
        <v/>
      </c>
      <c r="I393" t="inlineStr">
        <is>
          <t>André Kirschner</t>
        </is>
      </c>
      <c r="J393" s="6">
        <f>HYPERLINK("https://www.kleinanzeigen.de/s-bestandsliste.html?userId=33352768", "Link")</f>
        <v/>
      </c>
      <c r="K393" s="7" t="n">
        <v>45549.57966435186</v>
      </c>
      <c r="L393" s="3" t="inlineStr">
        <is>
          <t>59.27</t>
        </is>
      </c>
      <c r="M393" t="inlineStr">
        <is>
          <t>Köln</t>
        </is>
      </c>
    </row>
    <row r="394">
      <c r="A394" t="inlineStr">
        <is>
          <t>Mastplatte: Tuning Mastplatte für NAISH System ABRACADABRA, erhältlich im Winkel von 1°, 1.5°, 2°</t>
        </is>
      </c>
      <c r="B394" s="4" t="n">
        <v>29</v>
      </c>
      <c r="C394" t="inlineStr"/>
      <c r="D394" t="inlineStr">
        <is>
          <t>10707 Berlin - Wilmersdorf</t>
        </is>
      </c>
      <c r="E394" s="5" t="n">
        <v>45538</v>
      </c>
      <c r="F394" t="inlineStr">
        <is>
          <t>Sold</t>
        </is>
      </c>
      <c r="G394" s="6">
        <f>HYPERLINK("https://www.kleinanzeigen.de/s-anzeige/naish-abracadabra-shim-wedge-mastplatte-wingfoil-kitefoil/2853699564-230-3534", "Link")</f>
        <v/>
      </c>
      <c r="H394" s="6">
        <f>HYPERLINK("C:\Projects\Kleinanzeigen-Scraper\offer_images\2853699564", "Link")</f>
        <v/>
      </c>
      <c r="I394" t="inlineStr">
        <is>
          <t>California Dream</t>
        </is>
      </c>
      <c r="J394" s="6">
        <f>HYPERLINK("https://www.kleinanzeigen.de/s-bestandsliste.html?userId=6488201", "Link")</f>
        <v/>
      </c>
      <c r="K394" s="7" t="n">
        <v>45549.57956018519</v>
      </c>
      <c r="L394" s="3" t="inlineStr">
        <is>
          <t>470.94</t>
        </is>
      </c>
      <c r="M394" t="inlineStr">
        <is>
          <t>Köln</t>
        </is>
      </c>
    </row>
    <row r="395">
      <c r="A395" t="inlineStr">
        <is>
          <t>Impact Vest: Neilpryd Auftriebsweste Gr. M-L for surfing, wingfoil, wakeboarding, SUP, and canoeing.</t>
        </is>
      </c>
      <c r="B395" s="4" t="n">
        <v>35</v>
      </c>
      <c r="C395" t="inlineStr">
        <is>
          <t>VB</t>
        </is>
      </c>
      <c r="D395" t="inlineStr">
        <is>
          <t>76437 Baden-Württemberg - Rastatt</t>
        </is>
      </c>
      <c r="E395" s="5" t="n">
        <v>45445</v>
      </c>
      <c r="F395" t="inlineStr"/>
      <c r="G395" s="6">
        <f>HYPERLINK("https://www.kleinanzeigen.de/s-anzeige/auftriebsweste-neilpryd-gr-m-l/2777525486-230-8199", "Link")</f>
        <v/>
      </c>
      <c r="H395" s="6">
        <f>HYPERLINK("C:\Projects\Kleinanzeigen-Scraper\offer_images\2777525486", "Link")</f>
        <v/>
      </c>
      <c r="I395" t="inlineStr">
        <is>
          <t>red.</t>
        </is>
      </c>
      <c r="J395" s="6">
        <f>HYPERLINK("https://www.kleinanzeigen.de/s-bestandsliste.html?userId=24827087", "Link")</f>
        <v/>
      </c>
      <c r="K395" s="7" t="n">
        <v>45549.57956018519</v>
      </c>
      <c r="L395" s="3" t="inlineStr">
        <is>
          <t>22.54</t>
        </is>
      </c>
      <c r="M395" t="inlineStr">
        <is>
          <t>Karlsruhe</t>
        </is>
      </c>
    </row>
    <row r="396">
      <c r="A396" t="inlineStr">
        <is>
          <t>Harness: Trapez von Mystic für Windsurfen, Kitesurfen und Segeln, gebraucht aber funktionstüchtig.</t>
        </is>
      </c>
      <c r="B396" s="4" t="n">
        <v>40</v>
      </c>
      <c r="C396" t="inlineStr">
        <is>
          <t>VB</t>
        </is>
      </c>
      <c r="D396" t="inlineStr">
        <is>
          <t>12207 Berlin - Lichterfelde</t>
        </is>
      </c>
      <c r="E396" s="5" t="n">
        <v>45548</v>
      </c>
      <c r="F396" t="inlineStr">
        <is>
          <t>Sold</t>
        </is>
      </c>
      <c r="G396" s="6">
        <f>HYPERLINK("https://www.kleinanzeigen.de/s-anzeige/trapez-fuers-kitesurfen-segeln-windsurfen/2862580084-230-25900", "Link")</f>
        <v/>
      </c>
      <c r="H396" s="6">
        <f>HYPERLINK("C:\Projects\Kleinanzeigen-Scraper\offer_images\2862580084", "Link")</f>
        <v/>
      </c>
      <c r="I396" t="inlineStr">
        <is>
          <t>Louis Scheidtmann</t>
        </is>
      </c>
      <c r="J396" s="6">
        <f>HYPERLINK("https://www.kleinanzeigen.de/s-bestandsliste.html?userId=35541641", "Link")</f>
        <v/>
      </c>
      <c r="K396" s="7" t="n">
        <v>45549.57953703704</v>
      </c>
      <c r="L396" s="3" t="inlineStr">
        <is>
          <t>467.87</t>
        </is>
      </c>
      <c r="M396" t="inlineStr">
        <is>
          <t>Köln</t>
        </is>
      </c>
    </row>
    <row r="397">
      <c r="A397" t="inlineStr">
        <is>
          <t>Impact Vest: Very well-preserved life jacket for windsurfing, size XS-S</t>
        </is>
      </c>
      <c r="B397" s="4" t="n">
        <v>50</v>
      </c>
      <c r="C397" t="inlineStr">
        <is>
          <t>VB</t>
        </is>
      </c>
      <c r="D397" t="inlineStr">
        <is>
          <t>40223 Düsseldorf - Bilk</t>
        </is>
      </c>
      <c r="E397" s="5" t="n">
        <v>45500</v>
      </c>
      <c r="F397" t="inlineStr"/>
      <c r="G397" s="6">
        <f>HYPERLINK("https://www.kleinanzeigen.de/s-anzeige/schwimmweste-neilpryde-xs-s/2822035555-230-2095", "Link")</f>
        <v/>
      </c>
      <c r="H397" s="6">
        <f>HYPERLINK("C:\Projects\Kleinanzeigen-Scraper\offer_images\2822035555", "Link")</f>
        <v/>
      </c>
      <c r="I397" t="inlineStr">
        <is>
          <t>Felix Forkel</t>
        </is>
      </c>
      <c r="J397" s="6">
        <f>HYPERLINK("https://www.kleinanzeigen.de/s-bestandsliste.html?userId=17552800", "Link")</f>
        <v/>
      </c>
      <c r="K397" s="7" t="n">
        <v>45549.57945601852</v>
      </c>
      <c r="L397" s="3" t="inlineStr">
        <is>
          <t>31.69</t>
        </is>
      </c>
      <c r="M397" t="inlineStr">
        <is>
          <t>Köln</t>
        </is>
      </c>
    </row>
    <row r="398">
      <c r="A398" t="inlineStr">
        <is>
          <t>Kite Harness: Size M, sold as defective due to worn strap, could be repaired.</t>
        </is>
      </c>
      <c r="B398" s="4" t="n">
        <v>25</v>
      </c>
      <c r="C398" t="inlineStr"/>
      <c r="D398" t="inlineStr">
        <is>
          <t>69120 Baden-Württemberg - Heidelberg</t>
        </is>
      </c>
      <c r="E398" s="5" t="n">
        <v>45536</v>
      </c>
      <c r="F398" t="inlineStr">
        <is>
          <t>Sold</t>
        </is>
      </c>
      <c r="G398" s="6">
        <f>HYPERLINK("https://www.kleinanzeigen.de/s-anzeige/kite-trapez-north-size-m/2852180518-230-9179", "Link")</f>
        <v/>
      </c>
      <c r="H398" s="6">
        <f>HYPERLINK("C:\Projects\Kleinanzeigen-Scraper\offer_images\2852180518", "Link")</f>
        <v/>
      </c>
      <c r="I398" t="inlineStr">
        <is>
          <t>René</t>
        </is>
      </c>
      <c r="J398" s="6">
        <f>HYPERLINK("https://www.kleinanzeigen.de/s-bestandsliste.html?userId=5554909", "Link")</f>
        <v/>
      </c>
      <c r="K398" s="7" t="n">
        <v>45549.57931712963</v>
      </c>
      <c r="L398" s="3" t="inlineStr">
        <is>
          <t>49.91</t>
        </is>
      </c>
      <c r="M398" t="inlineStr">
        <is>
          <t>Karlsruhe</t>
        </is>
      </c>
    </row>
    <row r="399">
      <c r="A399" t="inlineStr">
        <is>
          <t>Fin: Naish Nitrix44, suitable for Naish GT140, never used</t>
        </is>
      </c>
      <c r="B399" s="4" t="n">
        <v>77</v>
      </c>
      <c r="C399" t="inlineStr">
        <is>
          <t>VB</t>
        </is>
      </c>
      <c r="D399" t="inlineStr">
        <is>
          <t>44287 Dortmund - Aplerbeck</t>
        </is>
      </c>
      <c r="E399" s="5" t="n">
        <v>45531</v>
      </c>
      <c r="F399" t="inlineStr"/>
      <c r="G399" s="6">
        <f>HYPERLINK("https://www.kleinanzeigen.de/s-anzeige/finne-surfboard-naish-nitrix44/2847528939-230-1099", "Link")</f>
        <v/>
      </c>
      <c r="H399" s="6">
        <f>HYPERLINK("C:\Projects\Kleinanzeigen-Scraper\offer_images\2847528939", "Link")</f>
        <v/>
      </c>
      <c r="I399" t="inlineStr">
        <is>
          <t>Jo</t>
        </is>
      </c>
      <c r="J399" s="6">
        <f>HYPERLINK("https://www.kleinanzeigen.de/s-bestandsliste.html?userId=26783859", "Link")</f>
        <v/>
      </c>
      <c r="K399" s="7" t="n">
        <v>45549.57907407408</v>
      </c>
      <c r="L399" s="3" t="inlineStr">
        <is>
          <t>74.24</t>
        </is>
      </c>
      <c r="M399" t="inlineStr">
        <is>
          <t>Köln</t>
        </is>
      </c>
    </row>
    <row r="400">
      <c r="A400" t="inlineStr">
        <is>
          <t>Mastfoot: Mastfuß für Fanatic F2 oder gleiches System mit Verlängerung</t>
        </is>
      </c>
      <c r="B400" s="4" t="n">
        <v>25</v>
      </c>
      <c r="C400" t="inlineStr">
        <is>
          <t>VB</t>
        </is>
      </c>
      <c r="D400" t="inlineStr">
        <is>
          <t>45699 Nordrhein-Westfalen - Herten</t>
        </is>
      </c>
      <c r="E400" s="5" t="n">
        <v>45529</v>
      </c>
      <c r="F400" t="inlineStr">
        <is>
          <t>Sold</t>
        </is>
      </c>
      <c r="G400" s="6">
        <f>HYPERLINK("https://www.kleinanzeigen.de/s-anzeige/mastfuss-fanatic-f2-verlaengerung/2845661948-230-1832", "Link")</f>
        <v/>
      </c>
      <c r="H400" s="6">
        <f>HYPERLINK("C:\Projects\Kleinanzeigen-Scraper\offer_images\2845661948", "Link")</f>
        <v/>
      </c>
      <c r="I400" t="inlineStr">
        <is>
          <t>V.P.</t>
        </is>
      </c>
      <c r="J400" s="6">
        <f>HYPERLINK("https://www.kleinanzeigen.de/s-bestandsliste.html?userId=10829434", "Link")</f>
        <v/>
      </c>
      <c r="K400" s="7" t="n">
        <v>45549.5790162037</v>
      </c>
      <c r="L400" s="3" t="inlineStr">
        <is>
          <t>73.42</t>
        </is>
      </c>
      <c r="M400" t="inlineStr">
        <is>
          <t>Köln</t>
        </is>
      </c>
    </row>
    <row r="401">
      <c r="A401" t="inlineStr">
        <is>
          <t>Harness: North Sails Ergotrack, fully functional, used</t>
        </is>
      </c>
      <c r="B401" s="4" t="n">
        <v>18</v>
      </c>
      <c r="C401" t="inlineStr"/>
      <c r="D401" t="inlineStr">
        <is>
          <t>10777 Berlin - Schöneberg</t>
        </is>
      </c>
      <c r="E401" s="5" t="n">
        <v>45540</v>
      </c>
      <c r="F401" t="inlineStr">
        <is>
          <t>Sold</t>
        </is>
      </c>
      <c r="G401" s="6">
        <f>HYPERLINK("https://www.kleinanzeigen.de/s-anzeige/windsurfing-trapez-von-north-sails-ergotrack-/2854765532-230-9644", "Link")</f>
        <v/>
      </c>
      <c r="H401" s="6">
        <f>HYPERLINK("C:\Projects\Kleinanzeigen-Scraper\offer_images\2854765532", "Link")</f>
        <v/>
      </c>
      <c r="I401" t="inlineStr">
        <is>
          <t>Linde</t>
        </is>
      </c>
      <c r="J401" s="6">
        <f>HYPERLINK("https://www.kleinanzeigen.de/s-bestandsliste.html?userId=131290193", "Link")</f>
        <v/>
      </c>
      <c r="K401" s="7" t="n">
        <v>45549.57896990741</v>
      </c>
      <c r="L401" s="3" t="inlineStr">
        <is>
          <t>472.82</t>
        </is>
      </c>
      <c r="M401" t="inlineStr">
        <is>
          <t>Köln</t>
        </is>
      </c>
    </row>
    <row r="402">
      <c r="A402" t="inlineStr">
        <is>
          <t>Click Bar: Duotone Click Bar 2020 M with 22m Linesmith lines, used condition</t>
        </is>
      </c>
      <c r="B402" s="4" t="n">
        <v>250</v>
      </c>
      <c r="C402" t="inlineStr"/>
      <c r="D402" t="inlineStr">
        <is>
          <t>24105 Schleswig-Holstein - Kiel</t>
        </is>
      </c>
      <c r="E402" s="5" t="n">
        <v>45538</v>
      </c>
      <c r="F402" t="inlineStr">
        <is>
          <t>Sold</t>
        </is>
      </c>
      <c r="G402" s="6">
        <f>HYPERLINK("https://www.kleinanzeigen.de/s-anzeige/duotone-click-bar-2020-m-mit-22m-linesmith-leinen/2853707815-230-708", "Link")</f>
        <v/>
      </c>
      <c r="H402" s="6">
        <f>HYPERLINK("C:\Projects\Kleinanzeigen-Scraper\offer_images\2853707815", "Link")</f>
        <v/>
      </c>
      <c r="I402" t="inlineStr">
        <is>
          <t>Jülich</t>
        </is>
      </c>
      <c r="J402" s="6">
        <f>HYPERLINK("https://www.kleinanzeigen.de/s-bestandsliste.html?userId=64035142", "Link")</f>
        <v/>
      </c>
      <c r="K402" s="7" t="n">
        <v>45549.57896990741</v>
      </c>
      <c r="L402" s="3" t="inlineStr">
        <is>
          <t>435.05</t>
        </is>
      </c>
      <c r="M402" t="inlineStr">
        <is>
          <t>Köln</t>
        </is>
      </c>
    </row>
    <row r="403">
      <c r="A403" t="inlineStr">
        <is>
          <t>Harness: Neilpryde Sitztrapez Kiting Windsurfing, Size M (US 48), in very good condition, used only a few times.</t>
        </is>
      </c>
      <c r="B403" s="4" t="n">
        <v>50</v>
      </c>
      <c r="C403" t="inlineStr">
        <is>
          <t>VB</t>
        </is>
      </c>
      <c r="D403" t="inlineStr">
        <is>
          <t>79114 Baden-Württemberg - Freiburg im Breisgau</t>
        </is>
      </c>
      <c r="E403" s="5" t="n">
        <v>45543</v>
      </c>
      <c r="F403" t="inlineStr"/>
      <c r="G403" s="6">
        <f>HYPERLINK("https://www.kleinanzeigen.de/s-anzeige/neilpryde-sitztrapez-kiting-windsurfing-groesse-m/2857867354-230-9367", "Link")</f>
        <v/>
      </c>
      <c r="H403" s="6">
        <f>HYPERLINK("C:\Projects\Kleinanzeigen-Scraper\offer_images\2857867354", "Link")</f>
        <v/>
      </c>
      <c r="I403" t="inlineStr">
        <is>
          <t>Chris</t>
        </is>
      </c>
      <c r="J403" s="6">
        <f>HYPERLINK("https://www.kleinanzeigen.de/s-bestandsliste.html?userId=7466480", "Link")</f>
        <v/>
      </c>
      <c r="K403" s="7" t="n">
        <v>45549.57895833333</v>
      </c>
      <c r="L403" s="3" t="inlineStr">
        <is>
          <t>44.06</t>
        </is>
      </c>
      <c r="M403" t="inlineStr">
        <is>
          <t>Bonndorf</t>
        </is>
      </c>
    </row>
    <row r="404">
      <c r="A404" t="inlineStr">
        <is>
          <t>Footstraps: Fanatic footstraps, set of 3</t>
        </is>
      </c>
      <c r="B404" s="4" t="n">
        <v>30</v>
      </c>
      <c r="C404" t="inlineStr"/>
      <c r="D404" t="inlineStr">
        <is>
          <t>57610 Rheinland-Pfalz - Altenkirchen</t>
        </is>
      </c>
      <c r="E404" s="5" t="n">
        <v>45541</v>
      </c>
      <c r="F404" t="inlineStr">
        <is>
          <t>Sold</t>
        </is>
      </c>
      <c r="G404" s="6">
        <f>HYPERLINK("https://www.kleinanzeigen.de/s-anzeige/fanatic-fussschlaufen/2855563221-230-1497", "Link")</f>
        <v/>
      </c>
      <c r="H404" s="6">
        <f>HYPERLINK("C:\Projects\Kleinanzeigen-Scraper\offer_images\2855563221", "Link")</f>
        <v/>
      </c>
      <c r="I404" t="inlineStr">
        <is>
          <t>der Junge</t>
        </is>
      </c>
      <c r="J404" s="6">
        <f>HYPERLINK("https://www.kleinanzeigen.de/s-bestandsliste.html?userId=21976362", "Link")</f>
        <v/>
      </c>
      <c r="K404" s="7" t="n">
        <v>45549.57891203704</v>
      </c>
      <c r="L404" s="3" t="inlineStr">
        <is>
          <t>57.37</t>
        </is>
      </c>
      <c r="M404" t="inlineStr">
        <is>
          <t>Köln</t>
        </is>
      </c>
    </row>
    <row r="405">
      <c r="A405" t="inlineStr">
        <is>
          <t>Trust Bar: North (now Duotone) Trust Bar with 4 lines, 52cm length, 2011 model, in very good condition</t>
        </is>
      </c>
      <c r="B405" s="4" t="n">
        <v>80</v>
      </c>
      <c r="C405" t="inlineStr">
        <is>
          <t>VB</t>
        </is>
      </c>
      <c r="D405" t="inlineStr">
        <is>
          <t>28211 Bremen - Schwachhausen</t>
        </is>
      </c>
      <c r="E405" s="5" t="n">
        <v>45538</v>
      </c>
      <c r="F405" t="inlineStr">
        <is>
          <t>Sold</t>
        </is>
      </c>
      <c r="G405" s="6">
        <f>HYPERLINK("https://www.kleinanzeigen.de/s-anzeige/north-jetzt-duotone-trust-bar-4-lines-2011/2852060356-230-20", "Link")</f>
        <v/>
      </c>
      <c r="H405" s="6">
        <f>HYPERLINK("C:\Projects\Kleinanzeigen-Scraper\offer_images\2852060356", "Link")</f>
        <v/>
      </c>
      <c r="I405" t="inlineStr">
        <is>
          <t>Stefano</t>
        </is>
      </c>
      <c r="J405" s="6">
        <f>HYPERLINK("https://www.kleinanzeigen.de/s-bestandsliste.html?userId=58384426", "Link")</f>
        <v/>
      </c>
      <c r="K405" s="7" t="n">
        <v>45549.57888888889</v>
      </c>
      <c r="L405" s="3" t="inlineStr">
        <is>
          <t>271.13</t>
        </is>
      </c>
      <c r="M405" t="inlineStr">
        <is>
          <t>Köln</t>
        </is>
      </c>
    </row>
    <row r="406">
      <c r="A406" t="inlineStr">
        <is>
          <t>Mastfoot: U Base Neilpryde</t>
        </is>
      </c>
      <c r="B406" s="4" t="n">
        <v>16</v>
      </c>
      <c r="C406" t="inlineStr"/>
      <c r="D406" t="inlineStr">
        <is>
          <t>63128 Hessen - Dietzenbach</t>
        </is>
      </c>
      <c r="E406" s="5" t="n">
        <v>45501</v>
      </c>
      <c r="F406" t="inlineStr"/>
      <c r="G406" s="6">
        <f>HYPERLINK("https://www.kleinanzeigen.de/s-anzeige/mastfuss-u-base-neilpryde/2823806811-230-4557", "Link")</f>
        <v/>
      </c>
      <c r="H406" s="6">
        <f>HYPERLINK("C:\Projects\Kleinanzeigen-Scraper\offer_images\2823806811", "Link")</f>
        <v/>
      </c>
      <c r="I406" t="inlineStr">
        <is>
          <t>Steinborn</t>
        </is>
      </c>
      <c r="J406" s="6">
        <f>HYPERLINK("https://www.kleinanzeigen.de/s-bestandsliste.html?userId=127133067", "Link")</f>
        <v/>
      </c>
      <c r="K406" s="7" t="n">
        <v>45549.57886574074</v>
      </c>
      <c r="L406" s="3" t="inlineStr">
        <is>
          <t>114.52</t>
        </is>
      </c>
      <c r="M406" t="inlineStr">
        <is>
          <t>Karlsruhe</t>
        </is>
      </c>
    </row>
    <row r="407">
      <c r="A407" t="inlineStr">
        <is>
          <t>Trapeztampen: NEILPRYDE trapeze lines for windsurfing, used but in very good condition.</t>
        </is>
      </c>
      <c r="B407" s="4" t="n">
        <v>10</v>
      </c>
      <c r="C407" t="inlineStr"/>
      <c r="D407" t="inlineStr">
        <is>
          <t>93055 Bayern - Regensburg</t>
        </is>
      </c>
      <c r="E407" s="5" t="n">
        <v>45471</v>
      </c>
      <c r="F407" t="inlineStr"/>
      <c r="G407" s="6">
        <f>HYPERLINK("https://www.kleinanzeigen.de/s-anzeige/neilpryde-trapeztampen-windsurfen/2799283176-230-7655", "Link")</f>
        <v/>
      </c>
      <c r="H407" s="6">
        <f>HYPERLINK("C:\Projects\Kleinanzeigen-Scraper\offer_images\2799283176", "Link")</f>
        <v/>
      </c>
      <c r="I407" t="inlineStr">
        <is>
          <t>Stefan</t>
        </is>
      </c>
      <c r="J407" s="6">
        <f>HYPERLINK("https://www.kleinanzeigen.de/s-bestandsliste.html?userId=49498801", "Link")</f>
        <v/>
      </c>
      <c r="K407" s="7" t="n">
        <v>45549.57880787037</v>
      </c>
      <c r="L407" s="3" t="inlineStr">
        <is>
          <t>105.19</t>
        </is>
      </c>
      <c r="M407" t="inlineStr">
        <is>
          <t>München</t>
        </is>
      </c>
    </row>
    <row r="408">
      <c r="A408" t="inlineStr">
        <is>
          <t>Footstraps: Various footstraps available, price 3€ each; Mast Protectors: Various mast protectors available, price 2€ each.</t>
        </is>
      </c>
      <c r="B408" s="4" t="n">
        <v>3</v>
      </c>
      <c r="C408" t="inlineStr"/>
      <c r="D408" t="inlineStr">
        <is>
          <t>30459 Hannover - Ricklingen</t>
        </is>
      </c>
      <c r="E408" s="5" t="n">
        <v>45431</v>
      </c>
      <c r="F408" t="inlineStr"/>
      <c r="G408" s="6">
        <f>HYPERLINK("https://www.kleinanzeigen.de/s-anzeige/windsurfen-fussschlaufen-straps-tabou-mb-mastprotektor/2765755160-230-3192", "Link")</f>
        <v/>
      </c>
      <c r="H408" s="6">
        <f>HYPERLINK("C:\Projects\Kleinanzeigen-Scraper\offer_images\2765755160", "Link")</f>
        <v/>
      </c>
      <c r="I408" t="inlineStr">
        <is>
          <t>Jan</t>
        </is>
      </c>
      <c r="J408" s="6">
        <f>HYPERLINK("https://www.kleinanzeigen.de/s-bestandsliste.html?userId=10865649", "Link")</f>
        <v/>
      </c>
      <c r="K408" s="7" t="n">
        <v>45549.57877314815</v>
      </c>
      <c r="L408" s="3" t="inlineStr">
        <is>
          <t>246.57</t>
        </is>
      </c>
      <c r="M408" t="inlineStr">
        <is>
          <t>Köln</t>
        </is>
      </c>
    </row>
    <row r="409">
      <c r="A409" t="inlineStr">
        <is>
          <t>Fin: Naish Wave-Finne 8.5 for Waveboards with US-Box system, length 21.59 cm, used with minor signs of wear</t>
        </is>
      </c>
      <c r="B409" s="4" t="n">
        <v>50</v>
      </c>
      <c r="C409" t="inlineStr">
        <is>
          <t>VB</t>
        </is>
      </c>
      <c r="D409" t="inlineStr">
        <is>
          <t>58093 Nordrhein-Westfalen - Hagen</t>
        </is>
      </c>
      <c r="E409" s="5" t="n">
        <v>45543</v>
      </c>
      <c r="F409" t="inlineStr"/>
      <c r="G409" s="6">
        <f>HYPERLINK("https://www.kleinanzeigen.de/s-anzeige/naish-wave-finne-8-5-us-box/2857823580-230-2011", "Link")</f>
        <v/>
      </c>
      <c r="H409" s="6">
        <f>HYPERLINK("C:\Projects\Kleinanzeigen-Scraper\offer_images\2857823580", "Link")</f>
        <v/>
      </c>
      <c r="I409" t="inlineStr">
        <is>
          <t>Bud Spencer</t>
        </is>
      </c>
      <c r="J409" s="6">
        <f>HYPERLINK("https://www.kleinanzeigen.de/s-bestandsliste.html?userId=13956310", "Link")</f>
        <v/>
      </c>
      <c r="K409" s="7" t="n">
        <v>45549.57876157408</v>
      </c>
      <c r="L409" s="3" t="inlineStr">
        <is>
          <t>62.86</t>
        </is>
      </c>
      <c r="M409" t="inlineStr">
        <is>
          <t>Köln</t>
        </is>
      </c>
    </row>
    <row r="410">
      <c r="A410" t="inlineStr">
        <is>
          <t>Mastfoot: RDMMastfuß, suitable for children's rig</t>
        </is>
      </c>
      <c r="B410" s="4" t="n">
        <v>5</v>
      </c>
      <c r="C410" t="inlineStr"/>
      <c r="D410" t="inlineStr">
        <is>
          <t>78351 Baden-Württemberg - Bodman-Ludwigshafen</t>
        </is>
      </c>
      <c r="E410" s="5" t="n">
        <v>45548</v>
      </c>
      <c r="F410" t="inlineStr">
        <is>
          <t>Sold</t>
        </is>
      </c>
      <c r="G410" s="6">
        <f>HYPERLINK("https://www.kleinanzeigen.de/s-anzeige/windsurf-mastfuss/2862189149-230-8479", "Link")</f>
        <v/>
      </c>
      <c r="H410" s="6">
        <f>HYPERLINK("C:\Projects\Kleinanzeigen-Scraper\offer_images\2862189149", "Link")</f>
        <v/>
      </c>
      <c r="I410" t="inlineStr">
        <is>
          <t>Stoller</t>
        </is>
      </c>
      <c r="J410" s="6">
        <f>HYPERLINK("https://www.kleinanzeigen.de/s-bestandsliste.html?userId=23902390", "Link")</f>
        <v/>
      </c>
      <c r="K410" s="7" t="n">
        <v>45549.57876157408</v>
      </c>
      <c r="L410" s="3" t="inlineStr">
        <is>
          <t>53.79</t>
        </is>
      </c>
      <c r="M410" t="inlineStr">
        <is>
          <t>Bonndorf</t>
        </is>
      </c>
    </row>
    <row r="411">
      <c r="A411" t="inlineStr">
        <is>
          <t>Mastbase: 3 Fanatic / ART Mastbases, older system with large red button</t>
        </is>
      </c>
      <c r="B411" s="4" t="n">
        <v>15</v>
      </c>
      <c r="C411" t="inlineStr"/>
      <c r="D411" t="inlineStr">
        <is>
          <t>24649 Schleswig-Holstein - Fuhlendorf</t>
        </is>
      </c>
      <c r="E411" s="5" t="n">
        <v>45520</v>
      </c>
      <c r="F411" t="inlineStr">
        <is>
          <t>Sold</t>
        </is>
      </c>
      <c r="G411" s="6">
        <f>HYPERLINK("https://www.kleinanzeigen.de/s-anzeige/3-x-mastbase-mit-quick-release-von-fanatic-art/2838261435-230-25783", "Link")</f>
        <v/>
      </c>
      <c r="H411" s="6">
        <f>HYPERLINK("C:\Projects\Kleinanzeigen-Scraper\offer_images\2838261435", "Link")</f>
        <v/>
      </c>
      <c r="I411" t="inlineStr">
        <is>
          <t>Olaf</t>
        </is>
      </c>
      <c r="J411" s="6">
        <f>HYPERLINK("https://www.kleinanzeigen.de/s-bestandsliste.html?userId=11148071", "Link")</f>
        <v/>
      </c>
      <c r="K411" s="7" t="n">
        <v>45549.57876157408</v>
      </c>
      <c r="L411" s="3" t="inlineStr">
        <is>
          <t>390.68</t>
        </is>
      </c>
      <c r="M411" t="inlineStr">
        <is>
          <t>Köln</t>
        </is>
      </c>
    </row>
    <row r="412">
      <c r="A412" t="inlineStr">
        <is>
          <t>Harness: Gun sails trapeze for windsurfing, size S</t>
        </is>
      </c>
      <c r="B412" s="4" t="n">
        <v>20</v>
      </c>
      <c r="C412" t="inlineStr"/>
      <c r="D412" t="inlineStr">
        <is>
          <t>04229 Leipzig - Schleußig</t>
        </is>
      </c>
      <c r="E412" s="5" t="n">
        <v>45432</v>
      </c>
      <c r="F412" t="inlineStr">
        <is>
          <t>Sold</t>
        </is>
      </c>
      <c r="G412" s="6">
        <f>HYPERLINK("https://www.kleinanzeigen.de/s-anzeige/gun-sails-trapez-zum-windsurfen-gr-s-gunsails/2766571624-230-30155", "Link")</f>
        <v/>
      </c>
      <c r="H412" s="6">
        <f>HYPERLINK("C:\Projects\Kleinanzeigen-Scraper\offer_images\2766571624", "Link")</f>
        <v/>
      </c>
      <c r="I412" t="inlineStr">
        <is>
          <t>Martin Neumann</t>
        </is>
      </c>
      <c r="J412" s="6">
        <f>HYPERLINK("https://www.kleinanzeigen.de/s-bestandsliste.html?userId=21158968", "Link")</f>
        <v/>
      </c>
      <c r="K412" s="7" t="n">
        <v>45549.57873842592</v>
      </c>
      <c r="L412" s="3" t="inlineStr">
        <is>
          <t>358.53</t>
        </is>
      </c>
      <c r="M412" t="inlineStr">
        <is>
          <t>München</t>
        </is>
      </c>
    </row>
    <row r="413">
      <c r="A413" t="inlineStr">
        <is>
          <t>Harness: Severne Trapez Harness PK1, Size S, lightweight, windsurfing specific, CURV composite shell</t>
        </is>
      </c>
      <c r="B413" s="4" t="n">
        <v>285</v>
      </c>
      <c r="C413" t="inlineStr"/>
      <c r="D413" t="inlineStr">
        <is>
          <t>47495 Nordrhein-Westfalen - Rheinberg</t>
        </is>
      </c>
      <c r="E413" s="5" t="n">
        <v>45527</v>
      </c>
      <c r="F413" t="inlineStr"/>
      <c r="G413" s="6">
        <f>HYPERLINK("https://www.kleinanzeigen.de/s-anzeige/severne-trapez-harness-pk1-groesse-s-curv-composite-shell/2844383972-230-1399", "Link")</f>
        <v/>
      </c>
      <c r="H413" s="6">
        <f>HYPERLINK("C:\Projects\Kleinanzeigen-Scraper\offer_images\2844383972", "Link")</f>
        <v/>
      </c>
      <c r="I413" t="inlineStr">
        <is>
          <t>Windcraft-Sports</t>
        </is>
      </c>
      <c r="J413" s="6">
        <f>HYPERLINK("https://www.kleinanzeigen.de/s-bestandsliste.html?userId=74756618", "Link")</f>
        <v/>
      </c>
      <c r="K413" s="7" t="n">
        <v>45549.57871527778</v>
      </c>
      <c r="L413" s="3" t="inlineStr">
        <is>
          <t>72.31</t>
        </is>
      </c>
      <c r="M413" t="inlineStr">
        <is>
          <t>Köln</t>
        </is>
      </c>
    </row>
    <row r="414">
      <c r="A414" t="inlineStr">
        <is>
          <t>Mastfoot: Compatible with M8 threads for SUP boards, features a foldable design for easier mounting.</t>
        </is>
      </c>
      <c r="B414" s="4" t="n">
        <v>25</v>
      </c>
      <c r="C414" t="inlineStr"/>
      <c r="D414" t="inlineStr">
        <is>
          <t>78315 Baden-Württemberg - Radolfzell am Bodensee</t>
        </is>
      </c>
      <c r="E414" s="5" t="n">
        <v>45542</v>
      </c>
      <c r="F414" t="inlineStr">
        <is>
          <t>Sold</t>
        </is>
      </c>
      <c r="G414" s="6">
        <f>HYPERLINK("https://www.kleinanzeigen.de/s-anzeige/mastfuss-fuer-sup-north-mistral-f2-m8/2856329900-230-8190", "Link")</f>
        <v/>
      </c>
      <c r="H414" s="6">
        <f>HYPERLINK("C:\Projects\Kleinanzeigen-Scraper\offer_images\2856329900", "Link")</f>
        <v/>
      </c>
      <c r="I414" t="inlineStr">
        <is>
          <t>SilverSurfer</t>
        </is>
      </c>
      <c r="J414" s="6">
        <f>HYPERLINK("https://www.kleinanzeigen.de/s-bestandsliste.html?userId=138556160", "Link")</f>
        <v/>
      </c>
      <c r="K414" s="7" t="n">
        <v>45549.57865740741</v>
      </c>
      <c r="L414" s="3" t="inlineStr">
        <is>
          <t>48.46</t>
        </is>
      </c>
      <c r="M414" t="inlineStr">
        <is>
          <t>Bonndorf</t>
        </is>
      </c>
    </row>
    <row r="415">
      <c r="A415" t="inlineStr">
        <is>
          <t>Harness Lines: original packaged, size 28</t>
        </is>
      </c>
      <c r="B415" s="4" t="n">
        <v>45</v>
      </c>
      <c r="C415" t="inlineStr">
        <is>
          <t>VB</t>
        </is>
      </c>
      <c r="D415" t="inlineStr">
        <is>
          <t>73033 Baden-Württemberg - Göppingen</t>
        </is>
      </c>
      <c r="E415" s="5" t="n">
        <v>45535</v>
      </c>
      <c r="F415" t="inlineStr"/>
      <c r="G415" s="6">
        <f>HYPERLINK("https://www.kleinanzeigen.de/s-anzeige/neilpryde-trapeztampen-28-ovp/2850767884-230-9024", "Link")</f>
        <v/>
      </c>
      <c r="H415" s="6">
        <f>HYPERLINK("C:\Projects\Kleinanzeigen-Scraper\offer_images\2850767884", "Link")</f>
        <v/>
      </c>
      <c r="I415" t="inlineStr">
        <is>
          <t>Inga</t>
        </is>
      </c>
      <c r="J415" s="6">
        <f>HYPERLINK("https://www.kleinanzeigen.de/s-bestandsliste.html?userId=136792204", "Link")</f>
        <v/>
      </c>
      <c r="K415" s="7" t="n">
        <v>45549.57861111111</v>
      </c>
      <c r="L415" s="3" t="inlineStr">
        <is>
          <t>49.75</t>
        </is>
      </c>
      <c r="M415" t="inlineStr">
        <is>
          <t>Böblingen</t>
        </is>
      </c>
    </row>
    <row r="416">
      <c r="A416" t="inlineStr">
        <is>
          <t>Fin: Fanatic fin, approximately 3 years old, in good condition</t>
        </is>
      </c>
      <c r="B416" s="4" t="n">
        <v>10</v>
      </c>
      <c r="C416" t="inlineStr"/>
      <c r="D416" t="inlineStr">
        <is>
          <t>38440 Niedersachsen - Wolfsburg</t>
        </is>
      </c>
      <c r="E416" s="5" t="n">
        <v>45518</v>
      </c>
      <c r="F416" t="inlineStr">
        <is>
          <t>Sold</t>
        </is>
      </c>
      <c r="G416" s="6">
        <f>HYPERLINK("https://www.kleinanzeigen.de/s-anzeige/fanatic-finne/2836702597-230-3074", "Link")</f>
        <v/>
      </c>
      <c r="H416" s="6">
        <f>HYPERLINK("C:\Projects\Kleinanzeigen-Scraper\offer_images\2836702597", "Link")</f>
        <v/>
      </c>
      <c r="I416" t="inlineStr">
        <is>
          <t>Rafa_el</t>
        </is>
      </c>
      <c r="J416" s="6">
        <f>HYPERLINK("https://www.kleinanzeigen.de/s-bestandsliste.html?userId=68268011", "Link")</f>
        <v/>
      </c>
      <c r="K416" s="7" t="n">
        <v>45549.57858796296</v>
      </c>
      <c r="L416" s="3" t="inlineStr">
        <is>
          <t>310.40</t>
        </is>
      </c>
      <c r="M416" t="inlineStr">
        <is>
          <t>Köln</t>
        </is>
      </c>
    </row>
    <row r="417">
      <c r="A417" t="inlineStr">
        <is>
          <t>Kite Safety Leash: North kite safety leash, unbenutzt</t>
        </is>
      </c>
      <c r="B417" s="4" t="n">
        <v>25</v>
      </c>
      <c r="C417" t="inlineStr"/>
      <c r="D417" t="inlineStr">
        <is>
          <t>31311 Niedersachsen - Uetze</t>
        </is>
      </c>
      <c r="E417" s="5" t="n">
        <v>45548</v>
      </c>
      <c r="F417" t="inlineStr">
        <is>
          <t>Sold</t>
        </is>
      </c>
      <c r="G417" s="6">
        <f>HYPERLINK("https://www.kleinanzeigen.de/s-anzeige/north-duotone-kite-safety-leash-neu/2862090462-230-2682", "Link")</f>
        <v/>
      </c>
      <c r="H417" s="6">
        <f>HYPERLINK("C:\Projects\Kleinanzeigen-Scraper\offer_images\2862090462", "Link")</f>
        <v/>
      </c>
      <c r="I417" t="inlineStr">
        <is>
          <t>A.H.</t>
        </is>
      </c>
      <c r="J417" s="6">
        <f>HYPERLINK("https://www.kleinanzeigen.de/s-bestandsliste.html?userId=16051686", "Link")</f>
        <v/>
      </c>
      <c r="K417" s="7" t="n">
        <v>45549.57850694445</v>
      </c>
      <c r="L417" s="3" t="inlineStr">
        <is>
          <t>278.18</t>
        </is>
      </c>
      <c r="M417" t="inlineStr">
        <is>
          <t>Köln</t>
        </is>
      </c>
    </row>
    <row r="418">
      <c r="A418" t="inlineStr">
        <is>
          <t>Footstraps: Duotone, new, 3 pieces complete with screws and plates, original packaging</t>
        </is>
      </c>
      <c r="B418" s="4" t="n">
        <v>50</v>
      </c>
      <c r="C418" t="inlineStr">
        <is>
          <t>VB</t>
        </is>
      </c>
      <c r="D418" t="inlineStr">
        <is>
          <t>18057 Rostock - Kröpeliner-Tor-Vorstadt</t>
        </is>
      </c>
      <c r="E418" s="5" t="n">
        <v>45547</v>
      </c>
      <c r="F418" t="inlineStr">
        <is>
          <t>Sold</t>
        </is>
      </c>
      <c r="G418" s="6">
        <f>HYPERLINK("https://www.kleinanzeigen.de/s-anzeige/fussschlaufen-duotone-neu/2861462704-230-156", "Link")</f>
        <v/>
      </c>
      <c r="H418" s="6">
        <f>HYPERLINK("C:\Projects\Kleinanzeigen-Scraper\offer_images\2861462704", "Link")</f>
        <v/>
      </c>
      <c r="I418" t="inlineStr">
        <is>
          <t>Manthei, Andreas</t>
        </is>
      </c>
      <c r="J418" s="6">
        <f>HYPERLINK("https://www.kleinanzeigen.de/s-bestandsliste.html?userId=8462996", "Link")</f>
        <v/>
      </c>
      <c r="K418" s="7" t="n">
        <v>45549.5784375</v>
      </c>
      <c r="L418" s="3" t="inlineStr">
        <is>
          <t>494.07</t>
        </is>
      </c>
      <c r="M418" t="inlineStr">
        <is>
          <t>Köln</t>
        </is>
      </c>
    </row>
    <row r="419">
      <c r="A419" t="inlineStr">
        <is>
          <t>Harness: Naish Kiteharness inklusive Weste Prallschutzweste, Größe M, geeignet für Kitesurfen</t>
        </is>
      </c>
      <c r="B419" s="4" t="n">
        <v>150</v>
      </c>
      <c r="C419" t="inlineStr">
        <is>
          <t>VB</t>
        </is>
      </c>
      <c r="D419" t="inlineStr">
        <is>
          <t>04105 Leipzig - Leipzig, Zentrum-Nord</t>
        </is>
      </c>
      <c r="E419" s="5" t="n">
        <v>45496</v>
      </c>
      <c r="F419" t="inlineStr">
        <is>
          <t>Sold</t>
        </is>
      </c>
      <c r="G419" s="6">
        <f>HYPERLINK("https://www.kleinanzeigen.de/s-anzeige/naish-kiteharness-inklusive-weste-prallschutzweste/2818910391-230-4257", "Link")</f>
        <v/>
      </c>
      <c r="H419" s="6">
        <f>HYPERLINK("C:\Projects\Kleinanzeigen-Scraper\offer_images\2818910391", "Link")</f>
        <v/>
      </c>
      <c r="I419" t="inlineStr">
        <is>
          <t>Cate</t>
        </is>
      </c>
      <c r="J419" s="6">
        <f>HYPERLINK("https://www.kleinanzeigen.de/s-bestandsliste.html?userId=672131", "Link")</f>
        <v/>
      </c>
      <c r="K419" s="7" t="n">
        <v>45549.57841435185</v>
      </c>
      <c r="L419" s="3" t="inlineStr">
        <is>
          <t>361.73</t>
        </is>
      </c>
      <c r="M419" t="inlineStr">
        <is>
          <t>München</t>
        </is>
      </c>
    </row>
    <row r="420">
      <c r="A420" t="inlineStr">
        <is>
          <t>Mast extension: North Sails Power XT 42cm with ratchet for SDM standard masts</t>
        </is>
      </c>
      <c r="B420" s="4" t="n">
        <v>129</v>
      </c>
      <c r="C420" t="inlineStr">
        <is>
          <t>VB</t>
        </is>
      </c>
      <c r="D420" t="inlineStr">
        <is>
          <t>73732 Baden-Württemberg - Esslingen</t>
        </is>
      </c>
      <c r="E420" s="5" t="n">
        <v>45542</v>
      </c>
      <c r="F420" t="inlineStr">
        <is>
          <t>Sold</t>
        </is>
      </c>
      <c r="G420" s="6">
        <f>HYPERLINK("https://www.kleinanzeigen.de/s-anzeige/north-sails-power-xt-42-sdm-mastverlaengerung-ratsche/2856642815-230-8382", "Link")</f>
        <v/>
      </c>
      <c r="H420" s="6">
        <f>HYPERLINK("C:\Projects\Kleinanzeigen-Scraper\offer_images\2856642815", "Link")</f>
        <v/>
      </c>
      <c r="I420" t="inlineStr">
        <is>
          <t>Andy Krämer</t>
        </is>
      </c>
      <c r="J420" s="6">
        <f>HYPERLINK("https://www.kleinanzeigen.de/s-bestandsliste.html?userId=27198059", "Link")</f>
        <v/>
      </c>
      <c r="K420" s="7" t="n">
        <v>45549.57821759259</v>
      </c>
      <c r="L420" s="3" t="inlineStr">
        <is>
          <t>27.97</t>
        </is>
      </c>
      <c r="M420" t="inlineStr">
        <is>
          <t>Böblingen</t>
        </is>
      </c>
    </row>
    <row r="421">
      <c r="A421" t="inlineStr">
        <is>
          <t>Mast extension: Neilpryde Masterlängerung 34 MXT SDM, incl. Mastfuß and Mastfußprotector, very good condition</t>
        </is>
      </c>
      <c r="B421" s="4" t="n">
        <v>129</v>
      </c>
      <c r="C421" t="inlineStr"/>
      <c r="D421" t="inlineStr">
        <is>
          <t>87459 Bayern - Pfronten</t>
        </is>
      </c>
      <c r="E421" s="5" t="n">
        <v>45544</v>
      </c>
      <c r="F421" t="inlineStr"/>
      <c r="G421" s="6">
        <f>HYPERLINK("https://www.kleinanzeigen.de/s-anzeige/neilpryde-masterlaengerung-34-mxt-sdm-mastfuss-mastfussprotector/2858850884-230-5528", "Link")</f>
        <v/>
      </c>
      <c r="H421" s="6">
        <f>HYPERLINK("C:\Projects\Kleinanzeigen-Scraper\offer_images\2858850884", "Link")</f>
        <v/>
      </c>
      <c r="I421" t="inlineStr">
        <is>
          <t>Jochen</t>
        </is>
      </c>
      <c r="J421" s="6">
        <f>HYPERLINK("https://www.kleinanzeigen.de/s-bestandsliste.html?userId=7539718", "Link")</f>
        <v/>
      </c>
      <c r="K421" s="7" t="n">
        <v>45549.57818287037</v>
      </c>
      <c r="L421" s="3" t="inlineStr">
        <is>
          <t>99.84</t>
        </is>
      </c>
      <c r="M421" t="inlineStr">
        <is>
          <t>München</t>
        </is>
      </c>
    </row>
    <row r="422">
      <c r="A422" t="inlineStr">
        <is>
          <t>Harness: North Damen Hüfttrapez Styler in Größe XS, funktioniert einwandfrei, keine Schäden oder Kratzer.</t>
        </is>
      </c>
      <c r="B422" s="4" t="n">
        <v>30</v>
      </c>
      <c r="C422" t="inlineStr">
        <is>
          <t>VB</t>
        </is>
      </c>
      <c r="D422" t="inlineStr">
        <is>
          <t>58089 Nordrhein-Westfalen - Hagen</t>
        </is>
      </c>
      <c r="E422" s="5" t="n">
        <v>45541</v>
      </c>
      <c r="F422" t="inlineStr">
        <is>
          <t>Sold</t>
        </is>
      </c>
      <c r="G422" s="6">
        <f>HYPERLINK("https://www.kleinanzeigen.de/s-anzeige/north-damen-huefttrapez-styler/2855718752-230-2010", "Link")</f>
        <v/>
      </c>
      <c r="H422" s="6">
        <f>HYPERLINK("C:\Projects\Kleinanzeigen-Scraper\offer_images\2855718752", "Link")</f>
        <v/>
      </c>
      <c r="I422" t="inlineStr">
        <is>
          <t>D. Grabosch</t>
        </is>
      </c>
      <c r="J422" s="6">
        <f>HYPERLINK("https://www.kleinanzeigen.de/s-bestandsliste.html?userId=3416045", "Link")</f>
        <v/>
      </c>
      <c r="K422" s="7" t="n">
        <v>45549.57813657408</v>
      </c>
      <c r="L422" s="3" t="inlineStr">
        <is>
          <t>59.46</t>
        </is>
      </c>
      <c r="M422" t="inlineStr">
        <is>
          <t>Köln</t>
        </is>
      </c>
    </row>
    <row r="423">
      <c r="A423" t="inlineStr">
        <is>
          <t>Shin Guards: North Deer, almost unused, very good condition</t>
        </is>
      </c>
      <c r="B423" s="4" t="n">
        <v>7</v>
      </c>
      <c r="C423" t="inlineStr"/>
      <c r="D423" t="inlineStr">
        <is>
          <t>44229 Dortmund - Kirchhörde</t>
        </is>
      </c>
      <c r="E423" s="5" t="n">
        <v>45536</v>
      </c>
      <c r="F423" t="inlineStr">
        <is>
          <t>Sold</t>
        </is>
      </c>
      <c r="G423" s="6">
        <f>HYPERLINK("https://www.kleinanzeigen.de/s-anzeige/schienbeinschoner-von-north-deer/2852033788-230-26350", "Link")</f>
        <v/>
      </c>
      <c r="H423" s="6">
        <f>HYPERLINK("C:\Projects\Kleinanzeigen-Scraper\offer_images\2852033788", "Link")</f>
        <v/>
      </c>
      <c r="I423" t="inlineStr">
        <is>
          <t>Rosa</t>
        </is>
      </c>
      <c r="J423" s="6">
        <f>HYPERLINK("https://www.kleinanzeigen.de/s-bestandsliste.html?userId=17778772", "Link")</f>
        <v/>
      </c>
      <c r="K423" s="7" t="n">
        <v>45549.57811342592</v>
      </c>
      <c r="L423" s="3" t="inlineStr">
        <is>
          <t>66.96</t>
        </is>
      </c>
      <c r="M423" t="inlineStr">
        <is>
          <t>Köln</t>
        </is>
      </c>
    </row>
    <row r="424">
      <c r="A424" t="inlineStr">
        <is>
          <t>Freeride Loop: Duotone Freeride Loop</t>
        </is>
      </c>
      <c r="B424" s="4" t="n">
        <v>40</v>
      </c>
      <c r="C424" t="inlineStr"/>
      <c r="D424" t="inlineStr">
        <is>
          <t>86899 Bayern - Landsberg (Lech)</t>
        </is>
      </c>
      <c r="E424" s="5" t="n">
        <v>45548</v>
      </c>
      <c r="F424" t="inlineStr">
        <is>
          <t>Sold</t>
        </is>
      </c>
      <c r="G424" s="6">
        <f>HYPERLINK("https://www.kleinanzeigen.de/s-anzeige/duotone-freeride-loop/2862389849-230-7091", "Link")</f>
        <v/>
      </c>
      <c r="H424" s="6">
        <f>HYPERLINK("C:\Projects\Kleinanzeigen-Scraper\offer_images\2862389849", "Link")</f>
        <v/>
      </c>
      <c r="I424" t="inlineStr">
        <is>
          <t>Chris</t>
        </is>
      </c>
      <c r="J424" s="6">
        <f>HYPERLINK("https://www.kleinanzeigen.de/s-bestandsliste.html?userId=16182812", "Link")</f>
        <v/>
      </c>
      <c r="K424" s="7" t="n">
        <v>45549.57792824074</v>
      </c>
      <c r="L424" s="3" t="inlineStr">
        <is>
          <t>55.05</t>
        </is>
      </c>
      <c r="M424" t="inlineStr">
        <is>
          <t>München</t>
        </is>
      </c>
    </row>
    <row r="425">
      <c r="A425" t="inlineStr">
        <is>
          <t>StrapBuckle: 2 Large and 2 Small, price per piece 5€, all 4 together 15€</t>
        </is>
      </c>
      <c r="B425" s="4" t="n">
        <v>15</v>
      </c>
      <c r="C425" t="inlineStr">
        <is>
          <t>VB</t>
        </is>
      </c>
      <c r="D425" t="inlineStr">
        <is>
          <t>74074 Baden-Württemberg - Heilbronn</t>
        </is>
      </c>
      <c r="E425" s="5" t="n">
        <v>45547</v>
      </c>
      <c r="F425" t="inlineStr">
        <is>
          <t>Sold</t>
        </is>
      </c>
      <c r="G425" s="6">
        <f>HYPERLINK("https://www.kleinanzeigen.de/s-anzeige/duotone-entity-ntt-strapbuckle-2-large-2-small/2861666562-230-9241", "Link")</f>
        <v/>
      </c>
      <c r="H425" s="6">
        <f>HYPERLINK("C:\Projects\Kleinanzeigen-Scraper\offer_images\2861666562", "Link")</f>
        <v/>
      </c>
      <c r="I425" t="inlineStr">
        <is>
          <t>Timo Haueisen</t>
        </is>
      </c>
      <c r="J425" s="6">
        <f>HYPERLINK("https://www.kleinanzeigen.de/s-bestandsliste.html?userId=39011935", "Link")</f>
        <v/>
      </c>
      <c r="K425" s="7" t="n">
        <v>45549.57792824074</v>
      </c>
      <c r="L425" s="3" t="inlineStr">
        <is>
          <t>54.07</t>
        </is>
      </c>
      <c r="M425" t="inlineStr">
        <is>
          <t>Böblingen</t>
        </is>
      </c>
    </row>
    <row r="426">
      <c r="A426" t="inlineStr">
        <is>
          <t>Fin: JP Australia Freestyle Fin, 18.5 cm, with some wear</t>
        </is>
      </c>
      <c r="B426" s="4" t="n">
        <v>45</v>
      </c>
      <c r="C426" t="inlineStr">
        <is>
          <t>VB</t>
        </is>
      </c>
      <c r="D426" t="inlineStr">
        <is>
          <t>24116 Kiel - Schreventeich-Hasseldieksdamm</t>
        </is>
      </c>
      <c r="E426" s="5" t="n">
        <v>45509</v>
      </c>
      <c r="F426" t="inlineStr"/>
      <c r="G426" s="6">
        <f>HYPERLINK("https://www.kleinanzeigen.de/s-anzeige/2023er-powerbox-jp-australia-freestyle-fin-18-5-cm/2829826058-230-703", "Link")</f>
        <v/>
      </c>
      <c r="H426" s="6">
        <f>HYPERLINK("C:\Projects\Kleinanzeigen-Scraper\offer_images\2829826058", "Link")</f>
        <v/>
      </c>
      <c r="I426" t="inlineStr">
        <is>
          <t>Luis Ponseti</t>
        </is>
      </c>
      <c r="J426" s="6">
        <f>HYPERLINK("https://www.kleinanzeigen.de/s-bestandsliste.html?userId=33146796", "Link")</f>
        <v/>
      </c>
      <c r="K426" s="7" t="n">
        <v>45549.57788194445</v>
      </c>
      <c r="L426" s="3" t="inlineStr">
        <is>
          <t>432.62</t>
        </is>
      </c>
      <c r="M426" t="inlineStr">
        <is>
          <t>Köln</t>
        </is>
      </c>
    </row>
    <row r="427">
      <c r="A427" t="inlineStr">
        <is>
          <t>Fin: Wave Finne Francisco Goya, 21 cm, US Box</t>
        </is>
      </c>
      <c r="B427" s="4" t="n">
        <v>25</v>
      </c>
      <c r="C427" t="inlineStr">
        <is>
          <t>VB</t>
        </is>
      </c>
      <c r="D427" t="inlineStr">
        <is>
          <t>34131 Hessen - Kassel</t>
        </is>
      </c>
      <c r="E427" s="5" t="n">
        <v>45439</v>
      </c>
      <c r="F427" t="inlineStr"/>
      <c r="G427" s="6">
        <f>HYPERLINK("https://www.kleinanzeigen.de/s-anzeige/wave-finne-francisco-goya-21cm/2772904609-230-4933", "Link")</f>
        <v/>
      </c>
      <c r="H427" s="6">
        <f>HYPERLINK("C:\Projects\Kleinanzeigen-Scraper\offer_images\2772904609", "Link")</f>
        <v/>
      </c>
      <c r="I427" t="inlineStr">
        <is>
          <t>Daniel Mann</t>
        </is>
      </c>
      <c r="J427" s="6">
        <f>HYPERLINK("https://www.kleinanzeigen.de/s-bestandsliste.html?userId=18856148", "Link")</f>
        <v/>
      </c>
      <c r="K427" s="7" t="n">
        <v>45549.57788194445</v>
      </c>
      <c r="L427" s="3" t="inlineStr">
        <is>
          <t>175.88</t>
        </is>
      </c>
      <c r="M427" t="inlineStr">
        <is>
          <t>Köln</t>
        </is>
      </c>
    </row>
    <row r="428">
      <c r="A428" t="inlineStr">
        <is>
          <t>Bar: North Bar from around 2011, showing signs of use with wear on the rubber and slight corrosion.</t>
        </is>
      </c>
      <c r="B428" s="4" t="n">
        <v>70</v>
      </c>
      <c r="C428" t="inlineStr">
        <is>
          <t>VB</t>
        </is>
      </c>
      <c r="D428" t="inlineStr">
        <is>
          <t>22761 Altona - Hamburg Bahrenfeld</t>
        </is>
      </c>
      <c r="E428" s="5" t="n">
        <v>45538</v>
      </c>
      <c r="F428" t="inlineStr">
        <is>
          <t>Sold</t>
        </is>
      </c>
      <c r="G428" s="6">
        <f>HYPERLINK("https://www.kleinanzeigen.de/s-anzeige/north-bar-ca-2011/2853109484-230-9503", "Link")</f>
        <v/>
      </c>
      <c r="H428" s="6">
        <f>HYPERLINK("C:\Projects\Kleinanzeigen-Scraper\offer_images\2853109484", "Link")</f>
        <v/>
      </c>
      <c r="I428" t="inlineStr">
        <is>
          <t>Liv</t>
        </is>
      </c>
      <c r="J428" s="6">
        <f>HYPERLINK("https://www.kleinanzeigen.de/s-bestandsliste.html?userId=16306991", "Link")</f>
        <v/>
      </c>
      <c r="K428" s="7" t="n">
        <v>45549.5778587963</v>
      </c>
      <c r="L428" s="3" t="inlineStr">
        <is>
          <t>354.92</t>
        </is>
      </c>
      <c r="M428" t="inlineStr">
        <is>
          <t>Köln</t>
        </is>
      </c>
    </row>
    <row r="429">
      <c r="A429" t="inlineStr">
        <is>
          <t>Lock: Aluminum surfboard lock with an 18mm hole and a threaded pin</t>
        </is>
      </c>
      <c r="B429" s="4" t="n">
        <v>13</v>
      </c>
      <c r="C429" t="inlineStr">
        <is>
          <t>VB</t>
        </is>
      </c>
      <c r="D429" t="inlineStr">
        <is>
          <t>59494 Nordrhein-Westfalen - Soest</t>
        </is>
      </c>
      <c r="E429" s="5" t="n">
        <v>44947</v>
      </c>
      <c r="F429" t="inlineStr"/>
      <c r="G429" s="6">
        <f>HYPERLINK("https://www.kleinanzeigen.de/s-anzeige/diebstahlsicherung-alu-fuer-surfbretter-gun-sails/2335125976-230-1452", "Link")</f>
        <v/>
      </c>
      <c r="H429" s="6">
        <f>HYPERLINK("C:\Projects\Kleinanzeigen-Scraper\offer_images\2335125976", "Link")</f>
        <v/>
      </c>
      <c r="I429" t="inlineStr">
        <is>
          <t>Franz -Josef.</t>
        </is>
      </c>
      <c r="J429" s="6">
        <f>HYPERLINK("https://www.kleinanzeigen.de/s-bestandsliste.html?userId=46081600", "Link")</f>
        <v/>
      </c>
      <c r="K429" s="7" t="n">
        <v>45549.5778125</v>
      </c>
      <c r="L429" s="3" t="inlineStr">
        <is>
          <t>105.40</t>
        </is>
      </c>
      <c r="M429" t="inlineStr">
        <is>
          <t>Köln</t>
        </is>
      </c>
    </row>
    <row r="430">
      <c r="A430" t="inlineStr">
        <is>
          <t>Footstraps: 3 Drake footstraps in very good condition with screws</t>
        </is>
      </c>
      <c r="B430" s="4" t="n">
        <v>45</v>
      </c>
      <c r="C430" t="inlineStr"/>
      <c r="D430" t="inlineStr">
        <is>
          <t>71093 Baden-Württemberg - Weil im Schönbuch</t>
        </is>
      </c>
      <c r="E430" s="5" t="n">
        <v>45531</v>
      </c>
      <c r="F430" t="inlineStr">
        <is>
          <t>Sold</t>
        </is>
      </c>
      <c r="G430" s="6">
        <f>HYPERLINK("https://www.kleinanzeigen.de/s-anzeige/fussschlaufen-drake-starboard/2847429369-230-8785", "Link")</f>
        <v/>
      </c>
      <c r="H430" s="6">
        <f>HYPERLINK("C:\Projects\Kleinanzeigen-Scraper\offer_images\2847429369", "Link")</f>
        <v/>
      </c>
      <c r="I430" t="inlineStr">
        <is>
          <t>Schorschi</t>
        </is>
      </c>
      <c r="J430" s="6">
        <f>HYPERLINK("https://www.kleinanzeigen.de/s-bestandsliste.html?userId=71398211", "Link")</f>
        <v/>
      </c>
      <c r="K430" s="7" t="n">
        <v>45549.57780092592</v>
      </c>
      <c r="L430" s="3" t="inlineStr">
        <is>
          <t>9.52</t>
        </is>
      </c>
      <c r="M430" t="inlineStr">
        <is>
          <t>Böblingen</t>
        </is>
      </c>
    </row>
    <row r="431">
      <c r="A431" t="inlineStr">
        <is>
          <t>Safety Leash: Duotone Kieleash / Safetyleash, long, brand new and unused</t>
        </is>
      </c>
      <c r="B431" s="4" t="n">
        <v>25</v>
      </c>
      <c r="C431" t="inlineStr"/>
      <c r="D431" t="inlineStr">
        <is>
          <t>24119 Kiel - Kronshagen</t>
        </is>
      </c>
      <c r="E431" s="5" t="n">
        <v>45541</v>
      </c>
      <c r="F431" t="inlineStr">
        <is>
          <t>Sold</t>
        </is>
      </c>
      <c r="G431" s="6">
        <f>HYPERLINK("https://www.kleinanzeigen.de/s-anzeige/duotone-kieleash-safetyleash-lang-aus-2024-neu/2855820620-230-705", "Link")</f>
        <v/>
      </c>
      <c r="H431" s="6">
        <f>HYPERLINK("C:\Projects\Kleinanzeigen-Scraper\offer_images\2855820620", "Link")</f>
        <v/>
      </c>
      <c r="I431" t="inlineStr">
        <is>
          <t>Nils</t>
        </is>
      </c>
      <c r="J431" s="6">
        <f>HYPERLINK("https://www.kleinanzeigen.de/s-bestandsliste.html?userId=8125259", "Link")</f>
        <v/>
      </c>
      <c r="K431" s="7" t="n">
        <v>45549.57770833333</v>
      </c>
      <c r="L431" s="3" t="inlineStr">
        <is>
          <t>432.46</t>
        </is>
      </c>
      <c r="M431" t="inlineStr">
        <is>
          <t>Köln</t>
        </is>
      </c>
    </row>
    <row r="432">
      <c r="A432" t="inlineStr">
        <is>
          <t>Fin: North Shore Fins, Tuttlebox, 46cm G10, Race in top condition</t>
        </is>
      </c>
      <c r="B432" s="4" t="n">
        <v>60</v>
      </c>
      <c r="C432" t="inlineStr"/>
      <c r="D432" t="inlineStr">
        <is>
          <t>86830 Bayern - Schwabmünchen</t>
        </is>
      </c>
      <c r="E432" s="5" t="n">
        <v>45538</v>
      </c>
      <c r="F432" t="inlineStr">
        <is>
          <t>Sold</t>
        </is>
      </c>
      <c r="G432" s="6">
        <f>HYPERLINK("https://www.kleinanzeigen.de/s-anzeige/north-shore-fins-finne-tuttlebox-46cm-g10-race/2853036618-230-7119", "Link")</f>
        <v/>
      </c>
      <c r="H432" s="6">
        <f>HYPERLINK("C:\Projects\Kleinanzeigen-Scraper\offer_images\2853036618", "Link")</f>
        <v/>
      </c>
      <c r="I432" t="inlineStr">
        <is>
          <t>Oliver</t>
        </is>
      </c>
      <c r="J432" s="6">
        <f>HYPERLINK("https://www.kleinanzeigen.de/s-bestandsliste.html?userId=25875105", "Link")</f>
        <v/>
      </c>
      <c r="K432" s="7" t="n">
        <v>45549.57769675926</v>
      </c>
      <c r="L432" s="3" t="inlineStr">
        <is>
          <t>64.40</t>
        </is>
      </c>
      <c r="M432" t="inlineStr">
        <is>
          <t>München</t>
        </is>
      </c>
    </row>
    <row r="433">
      <c r="A433" t="inlineStr">
        <is>
          <t>Fin: JP Australia 26 Weed Wave Surf fin with Slot-Box system, good condition with minimal signs of use.</t>
        </is>
      </c>
      <c r="B433" s="4" t="n">
        <v>45</v>
      </c>
      <c r="C433" t="inlineStr"/>
      <c r="D433" t="inlineStr">
        <is>
          <t>29471 Niedersachsen - Gartow</t>
        </is>
      </c>
      <c r="E433" s="5" t="n">
        <v>45039</v>
      </c>
      <c r="F433" t="inlineStr"/>
      <c r="G433" s="6">
        <f>HYPERLINK("https://www.kleinanzeigen.de/s-anzeige/finne-fuer-surfbrett-jp-australia/2423328905-230-7866", "Link")</f>
        <v/>
      </c>
      <c r="H433" s="6">
        <f>HYPERLINK("C:\Projects\Kleinanzeigen-Scraper\offer_images\2423328905", "Link")</f>
        <v/>
      </c>
      <c r="I433" t="inlineStr">
        <is>
          <t>Marius Hingst</t>
        </is>
      </c>
      <c r="J433" s="6">
        <f>HYPERLINK("https://www.kleinanzeigen.de/s-bestandsliste.html?userId=123717204", "Link")</f>
        <v/>
      </c>
      <c r="K433" s="7" t="n">
        <v>45549.57767361111</v>
      </c>
      <c r="L433" s="3" t="inlineStr">
        <is>
          <t>385.45</t>
        </is>
      </c>
      <c r="M433" t="inlineStr">
        <is>
          <t>Köln</t>
        </is>
      </c>
    </row>
    <row r="434">
      <c r="A434" t="inlineStr">
        <is>
          <t>Pump: Fanatic Power Pump HP6, Pressure: 1.8 bar, Capacity: 2000 cm³</t>
        </is>
      </c>
      <c r="B434" s="4" t="n">
        <v>25</v>
      </c>
      <c r="C434" t="inlineStr"/>
      <c r="D434" t="inlineStr">
        <is>
          <t>83512 Bayern - Wasserburg am Inn</t>
        </is>
      </c>
      <c r="E434" s="5" t="n">
        <v>45517</v>
      </c>
      <c r="F434" t="inlineStr">
        <is>
          <t>Sold</t>
        </is>
      </c>
      <c r="G434" s="6">
        <f>HYPERLINK("https://www.kleinanzeigen.de/s-anzeige/fanatic-power-pump-hp6/2835662971-230-5673", "Link")</f>
        <v/>
      </c>
      <c r="H434" s="6">
        <f>HYPERLINK("C:\Projects\Kleinanzeigen-Scraper\offer_images\2835662971", "Link")</f>
        <v/>
      </c>
      <c r="I434" t="inlineStr">
        <is>
          <t>Simon</t>
        </is>
      </c>
      <c r="J434" s="6">
        <f>HYPERLINK("https://www.kleinanzeigen.de/s-bestandsliste.html?userId=31998722", "Link")</f>
        <v/>
      </c>
      <c r="K434" s="7" t="n">
        <v>45549.57762731481</v>
      </c>
      <c r="L434" s="3" t="inlineStr">
        <is>
          <t>47.11</t>
        </is>
      </c>
      <c r="M434" t="inlineStr">
        <is>
          <t>München</t>
        </is>
      </c>
    </row>
    <row r="435">
      <c r="A435" t="inlineStr">
        <is>
          <t>Clickbar: North (Duotone) Clickbar M with 22-24m lines and Freerideloop, includes 2m line extension, original accessories, and bag.</t>
        </is>
      </c>
      <c r="B435" s="4" t="n">
        <v>189</v>
      </c>
      <c r="C435" t="inlineStr"/>
      <c r="D435" t="inlineStr">
        <is>
          <t>22159 Wandsbek - Hamburg Farmsen-Berne</t>
        </is>
      </c>
      <c r="E435" s="5" t="n">
        <v>45547</v>
      </c>
      <c r="F435" t="inlineStr">
        <is>
          <t>Sold</t>
        </is>
      </c>
      <c r="G435" s="6">
        <f>HYPERLINK("https://www.kleinanzeigen.de/s-anzeige/north-duotone-clickbar-m-22-24m-leinen-mit-freerideloop/2861455388-230-9454", "Link")</f>
        <v/>
      </c>
      <c r="H435" s="6">
        <f>HYPERLINK("C:\Projects\Kleinanzeigen-Scraper\offer_images\2861455388", "Link")</f>
        <v/>
      </c>
      <c r="I435" t="inlineStr">
        <is>
          <t>Stefan</t>
        </is>
      </c>
      <c r="J435" s="6">
        <f>HYPERLINK("https://www.kleinanzeigen.de/s-bestandsliste.html?userId=16611015", "Link")</f>
        <v/>
      </c>
      <c r="K435" s="7" t="n">
        <v>45549.57761574074</v>
      </c>
      <c r="L435" s="3" t="inlineStr">
        <is>
          <t>367.33</t>
        </is>
      </c>
      <c r="M435" t="inlineStr">
        <is>
          <t>Köln</t>
        </is>
      </c>
    </row>
    <row r="436">
      <c r="A436" t="inlineStr">
        <is>
          <t>Fin: Original Tabou Carbonfinne, 48 cm, Freeride, Powerbox</t>
        </is>
      </c>
      <c r="B436" s="4" t="n">
        <v>105</v>
      </c>
      <c r="C436" t="inlineStr">
        <is>
          <t>VB</t>
        </is>
      </c>
      <c r="D436" t="inlineStr">
        <is>
          <t>45257 Essen - Essen-Ruhrhalbinsel</t>
        </is>
      </c>
      <c r="E436" s="5" t="n">
        <v>45541</v>
      </c>
      <c r="F436" t="inlineStr"/>
      <c r="G436" s="6">
        <f>HYPERLINK("https://www.kleinanzeigen.de/s-anzeige/original-tabou-carbonfinne-freeride-48cm-powerbox/2855980568-230-2039", "Link")</f>
        <v/>
      </c>
      <c r="H436" s="6">
        <f>HYPERLINK("C:\Projects\Kleinanzeigen-Scraper\offer_images\2855980568", "Link")</f>
        <v/>
      </c>
      <c r="I436" t="inlineStr">
        <is>
          <t>Marcus Collmer</t>
        </is>
      </c>
      <c r="J436" s="6">
        <f>HYPERLINK("https://www.kleinanzeigen.de/s-bestandsliste.html?userId=1721569", "Link")</f>
        <v/>
      </c>
      <c r="K436" s="7" t="n">
        <v>45549.57748842592</v>
      </c>
      <c r="L436" s="3" t="inlineStr">
        <is>
          <t>50.21</t>
        </is>
      </c>
      <c r="M436" t="inlineStr">
        <is>
          <t>Köln</t>
        </is>
      </c>
    </row>
    <row r="437">
      <c r="A437" t="inlineStr">
        <is>
          <t>Harness: Naish Boss Hüfttrapez in Größe L, nie benutzt</t>
        </is>
      </c>
      <c r="B437" s="4" t="n">
        <v>80</v>
      </c>
      <c r="C437" t="inlineStr">
        <is>
          <t>VB</t>
        </is>
      </c>
      <c r="D437" t="inlineStr">
        <is>
          <t>51145 Köln - Porz</t>
        </is>
      </c>
      <c r="E437" s="5" t="n">
        <v>45537</v>
      </c>
      <c r="F437" t="inlineStr"/>
      <c r="G437" s="6">
        <f>HYPERLINK("https://www.kleinanzeigen.de/s-anzeige/naish-huefttrapez/2852406379-230-964", "Link")</f>
        <v/>
      </c>
      <c r="H437" s="6">
        <f>HYPERLINK("C:\Projects\Kleinanzeigen-Scraper\offer_images\2852406379", "Link")</f>
        <v/>
      </c>
      <c r="I437" t="inlineStr">
        <is>
          <t>Simmel</t>
        </is>
      </c>
      <c r="J437" s="6">
        <f>HYPERLINK("https://www.kleinanzeigen.de/s-bestandsliste.html?userId=55733905", "Link")</f>
        <v/>
      </c>
      <c r="K437" s="7" t="n">
        <v>45549.57746527778</v>
      </c>
      <c r="L437" s="3" t="inlineStr">
        <is>
          <t>11.00</t>
        </is>
      </c>
      <c r="M437" t="inlineStr">
        <is>
          <t>Köln</t>
        </is>
      </c>
    </row>
    <row r="438">
      <c r="A438" t="inlineStr">
        <is>
          <t>Trim Unit Adjuster: New, original packaging, includes mounting tools.</t>
        </is>
      </c>
      <c r="B438" s="4" t="n">
        <v>20</v>
      </c>
      <c r="C438" t="inlineStr">
        <is>
          <t>VB</t>
        </is>
      </c>
      <c r="D438" t="inlineStr">
        <is>
          <t>21075 Harburg - Hamburg Heimfeld</t>
        </is>
      </c>
      <c r="E438" s="5" t="n">
        <v>45546</v>
      </c>
      <c r="F438" t="inlineStr">
        <is>
          <t>Sold</t>
        </is>
      </c>
      <c r="G438" s="6">
        <f>HYPERLINK("https://www.kleinanzeigen.de/s-anzeige/neu-ovp-duotone-trim-unit-dreh-klick-adjuster-click-bar/2860189843-230-16405", "Link")</f>
        <v/>
      </c>
      <c r="H438" s="6">
        <f>HYPERLINK("C:\Projects\Kleinanzeigen-Scraper\offer_images\2860189843", "Link")</f>
        <v/>
      </c>
      <c r="I438" t="inlineStr">
        <is>
          <t>Hartmann</t>
        </is>
      </c>
      <c r="J438" s="6">
        <f>HYPERLINK("https://www.kleinanzeigen.de/s-bestandsliste.html?userId=17377406", "Link")</f>
        <v/>
      </c>
      <c r="K438" s="7" t="n">
        <v>45549.57746527778</v>
      </c>
      <c r="L438" s="3" t="inlineStr">
        <is>
          <t>345.92</t>
        </is>
      </c>
      <c r="M438" t="inlineStr">
        <is>
          <t>Köln</t>
        </is>
      </c>
    </row>
    <row r="439">
      <c r="A439" t="inlineStr">
        <is>
          <t>Mastfoot: Powerjoint for Pin System</t>
        </is>
      </c>
      <c r="B439" s="4" t="n">
        <v>19</v>
      </c>
      <c r="C439" t="inlineStr"/>
      <c r="D439" t="inlineStr">
        <is>
          <t>14513 Brandenburg - Teltow</t>
        </is>
      </c>
      <c r="E439" s="5" t="n">
        <v>45548</v>
      </c>
      <c r="F439" t="inlineStr">
        <is>
          <t>Sold</t>
        </is>
      </c>
      <c r="G439" s="6">
        <f>HYPERLINK("https://www.kleinanzeigen.de/s-anzeige/mastbolzen-windsurfen-mastfuss-pin-system/2862068272-230-7939", "Link")</f>
        <v/>
      </c>
      <c r="H439" s="6">
        <f>HYPERLINK("C:\Projects\Kleinanzeigen-Scraper\offer_images\2862068272", "Link")</f>
        <v/>
      </c>
      <c r="I439" t="inlineStr">
        <is>
          <t>Thomas</t>
        </is>
      </c>
      <c r="J439" s="6">
        <f>HYPERLINK("https://www.kleinanzeigen.de/s-bestandsliste.html?userId=25517038", "Link")</f>
        <v/>
      </c>
      <c r="K439" s="7" t="n">
        <v>45549.57744212963</v>
      </c>
      <c r="L439" s="3" t="inlineStr">
        <is>
          <t>464.56</t>
        </is>
      </c>
      <c r="M439" t="inlineStr">
        <is>
          <t>Köln</t>
        </is>
      </c>
    </row>
    <row r="440">
      <c r="A440" t="inlineStr">
        <is>
          <t>Fin: TABOU Freeride-Finne 46cm with Tuttle-Box base, new</t>
        </is>
      </c>
      <c r="B440" s="4" t="n">
        <v>59</v>
      </c>
      <c r="C440" t="inlineStr">
        <is>
          <t>VB</t>
        </is>
      </c>
      <c r="D440" t="inlineStr">
        <is>
          <t>84375 Bayern - Kirchdorf a. Inn</t>
        </is>
      </c>
      <c r="E440" s="5" t="n">
        <v>45519</v>
      </c>
      <c r="F440" t="inlineStr">
        <is>
          <t>Sold</t>
        </is>
      </c>
      <c r="G440" s="6">
        <f>HYPERLINK("https://www.kleinanzeigen.de/s-anzeige/tabou-freeride-finne-46cm-tb-neu-/2837349941-230-5917", "Link")</f>
        <v/>
      </c>
      <c r="H440" s="6">
        <f>HYPERLINK("C:\Projects\Kleinanzeigen-Scraper\offer_images\2837349941", "Link")</f>
        <v/>
      </c>
      <c r="I440" t="inlineStr">
        <is>
          <t>Herbert Bartsch</t>
        </is>
      </c>
      <c r="J440" s="6">
        <f>HYPERLINK("https://www.kleinanzeigen.de/s-bestandsliste.html?userId=19898740", "Link")</f>
        <v/>
      </c>
      <c r="K440" s="7" t="n">
        <v>45549.57734953704</v>
      </c>
      <c r="L440" s="3" t="inlineStr">
        <is>
          <t>105.40</t>
        </is>
      </c>
      <c r="M440" t="inlineStr">
        <is>
          <t>München</t>
        </is>
      </c>
    </row>
    <row r="441">
      <c r="A441" t="inlineStr">
        <is>
          <t>Impact Vest: Very well-preserved life jacket for windsurfing, size M-L</t>
        </is>
      </c>
      <c r="B441" s="4" t="n">
        <v>50</v>
      </c>
      <c r="C441" t="inlineStr">
        <is>
          <t>VB</t>
        </is>
      </c>
      <c r="D441" t="inlineStr">
        <is>
          <t>40223 Düsseldorf - Bilk</t>
        </is>
      </c>
      <c r="E441" s="5" t="n">
        <v>45500</v>
      </c>
      <c r="F441" t="inlineStr">
        <is>
          <t>Sold</t>
        </is>
      </c>
      <c r="G441" s="6">
        <f>HYPERLINK("https://www.kleinanzeigen.de/s-anzeige/schwimmwesten-neilpryde-m-l/2822019281-230-2095", "Link")</f>
        <v/>
      </c>
      <c r="H441" s="6">
        <f>HYPERLINK("C:\Projects\Kleinanzeigen-Scraper\offer_images\2822019281", "Link")</f>
        <v/>
      </c>
      <c r="I441" t="inlineStr">
        <is>
          <t>Felix Forkel</t>
        </is>
      </c>
      <c r="J441" s="6">
        <f>HYPERLINK("https://www.kleinanzeigen.de/s-bestandsliste.html?userId=17552800", "Link")</f>
        <v/>
      </c>
      <c r="K441" s="7" t="n">
        <v>45549.57734953704</v>
      </c>
      <c r="L441" s="3" t="inlineStr">
        <is>
          <t>31.69</t>
        </is>
      </c>
      <c r="M441" t="inlineStr">
        <is>
          <t>Köln</t>
        </is>
      </c>
    </row>
    <row r="442">
      <c r="A442" t="inlineStr">
        <is>
          <t>Strap: Duotone Entity Strap Right L/XL, used but in good condition.</t>
        </is>
      </c>
      <c r="B442" s="4" t="n">
        <v>30</v>
      </c>
      <c r="C442" t="inlineStr">
        <is>
          <t>VB</t>
        </is>
      </c>
      <c r="D442" t="inlineStr">
        <is>
          <t>74074 Baden-Württemberg - Heilbronn</t>
        </is>
      </c>
      <c r="E442" s="5" t="n">
        <v>45547</v>
      </c>
      <c r="F442" t="inlineStr">
        <is>
          <t>Sold</t>
        </is>
      </c>
      <c r="G442" s="6">
        <f>HYPERLINK("https://www.kleinanzeigen.de/s-anzeige/duotone-entity-strap-right-l-xl/2861664326-230-9241", "Link")</f>
        <v/>
      </c>
      <c r="H442" s="6">
        <f>HYPERLINK("C:\Projects\Kleinanzeigen-Scraper\offer_images\2861664326", "Link")</f>
        <v/>
      </c>
      <c r="I442" t="inlineStr">
        <is>
          <t>Timo Haueisen</t>
        </is>
      </c>
      <c r="J442" s="6">
        <f>HYPERLINK("https://www.kleinanzeigen.de/s-bestandsliste.html?userId=39011935", "Link")</f>
        <v/>
      </c>
      <c r="K442" s="7" t="n">
        <v>45549.57726851852</v>
      </c>
      <c r="L442" s="3" t="inlineStr">
        <is>
          <t>54.07</t>
        </is>
      </c>
      <c r="M442" t="inlineStr">
        <is>
          <t>Böblingen</t>
        </is>
      </c>
    </row>
    <row r="443">
      <c r="A443" t="inlineStr">
        <is>
          <t>Trapeztampen: North Sails Vario Race, adjustable from 22-28 inch, in very good condition</t>
        </is>
      </c>
      <c r="B443" s="4" t="n">
        <v>27</v>
      </c>
      <c r="C443" t="inlineStr">
        <is>
          <t>VB</t>
        </is>
      </c>
      <c r="D443" t="inlineStr">
        <is>
          <t>52399 Nordrhein-Westfalen - Merzenich</t>
        </is>
      </c>
      <c r="E443" s="5" t="n">
        <v>45538</v>
      </c>
      <c r="F443" t="inlineStr">
        <is>
          <t>Sold</t>
        </is>
      </c>
      <c r="G443" s="6">
        <f>HYPERLINK("https://www.kleinanzeigen.de/s-anzeige/trapeztampen-north-sails-vario-race/2853572977-230-1766", "Link")</f>
        <v/>
      </c>
      <c r="H443" s="6">
        <f>HYPERLINK("C:\Projects\Kleinanzeigen-Scraper\offer_images\2853572977", "Link")</f>
        <v/>
      </c>
      <c r="I443" t="inlineStr">
        <is>
          <t>Mike</t>
        </is>
      </c>
      <c r="J443" s="6">
        <f>HYPERLINK("https://www.kleinanzeigen.de/s-bestandsliste.html?userId=13676787", "Link")</f>
        <v/>
      </c>
      <c r="K443" s="7" t="n">
        <v>45549.57724537037</v>
      </c>
      <c r="L443" s="3" t="inlineStr">
        <is>
          <t>32.32</t>
        </is>
      </c>
      <c r="M443" t="inlineStr">
        <is>
          <t>Köln</t>
        </is>
      </c>
    </row>
    <row r="444">
      <c r="A444" t="inlineStr">
        <is>
          <t>Fins: Various Powerbox fins available, including sizes 31, 34, 38, 40, 42, and 44 cm, with prices ranging from 30€ to 50€.</t>
        </is>
      </c>
      <c r="B444" s="4" t="n">
        <v>30</v>
      </c>
      <c r="C444" t="inlineStr"/>
      <c r="D444" t="inlineStr">
        <is>
          <t>12527 Berlin - Köpenick</t>
        </is>
      </c>
      <c r="E444" s="5" t="n">
        <v>45534</v>
      </c>
      <c r="F444" t="inlineStr">
        <is>
          <t>Sold</t>
        </is>
      </c>
      <c r="G444" s="6">
        <f>HYPERLINK("https://www.kleinanzeigen.de/s-anzeige/powerbox-finne-g10-mistral-fanatic-tabou-rrd-naish-lorch/2849890433-230-3370", "Link")</f>
        <v/>
      </c>
      <c r="H444" s="6">
        <f>HYPERLINK("C:\Projects\Kleinanzeigen-Scraper\offer_images\2849890433", "Link")</f>
        <v/>
      </c>
      <c r="I444" t="inlineStr">
        <is>
          <t>ste</t>
        </is>
      </c>
      <c r="J444" s="6">
        <f>HYPERLINK("https://www.kleinanzeigen.de/s-bestandsliste.html?userId=27311742", "Link")</f>
        <v/>
      </c>
      <c r="K444" s="7" t="n">
        <v>45549.57716435185</v>
      </c>
      <c r="L444" s="3" t="inlineStr">
        <is>
          <t>487.71</t>
        </is>
      </c>
      <c r="M444" t="inlineStr">
        <is>
          <t>Köln</t>
        </is>
      </c>
    </row>
    <row r="445">
      <c r="A445" t="inlineStr">
        <is>
          <t>Mast Base: Neilpryde XT MXT Mast Base with US Cup System, convertible to Single Button Standard</t>
        </is>
      </c>
      <c r="B445" s="4" t="n">
        <v>45</v>
      </c>
      <c r="C445" t="inlineStr">
        <is>
          <t>VB</t>
        </is>
      </c>
      <c r="D445" t="inlineStr">
        <is>
          <t>86830 Bayern - Schwabmünchen</t>
        </is>
      </c>
      <c r="E445" s="5" t="n">
        <v>45519</v>
      </c>
      <c r="F445" t="inlineStr"/>
      <c r="G445" s="6">
        <f>HYPERLINK("https://www.kleinanzeigen.de/s-anzeige/neilpryde-xt-mxt-mast-base-us-cup-mastbase-mastfuss/2837875665-230-7119", "Link")</f>
        <v/>
      </c>
      <c r="H445" s="6">
        <f>HYPERLINK("C:\Projects\Kleinanzeigen-Scraper\offer_images\2837875665", "Link")</f>
        <v/>
      </c>
      <c r="I445" t="inlineStr">
        <is>
          <t>S K</t>
        </is>
      </c>
      <c r="J445" s="6">
        <f>HYPERLINK("https://www.kleinanzeigen.de/s-bestandsliste.html?userId=14955733", "Link")</f>
        <v/>
      </c>
      <c r="K445" s="7" t="n">
        <v>45549.57707175926</v>
      </c>
      <c r="L445" s="3" t="inlineStr">
        <is>
          <t>64.40</t>
        </is>
      </c>
      <c r="M445" t="inlineStr">
        <is>
          <t>München</t>
        </is>
      </c>
    </row>
    <row r="446">
      <c r="A446" t="inlineStr">
        <is>
          <t>Fin: Gun Sails Freerace 45cm, used and fully functional</t>
        </is>
      </c>
      <c r="B446" s="4" t="n">
        <v>39</v>
      </c>
      <c r="C446" t="inlineStr"/>
      <c r="D446" t="inlineStr">
        <is>
          <t>21514 Schleswig-Holstein - Güster</t>
        </is>
      </c>
      <c r="E446" s="5" t="n">
        <v>45474</v>
      </c>
      <c r="F446" t="inlineStr"/>
      <c r="G446" s="6">
        <f>HYPERLINK("https://www.kleinanzeigen.de/s-anzeige/gun-sails-freerace-45cm-finne-surfen-windsurfen/2801836978-230-20404", "Link")</f>
        <v/>
      </c>
      <c r="H446" s="6">
        <f>HYPERLINK("C:\Projects\Kleinanzeigen-Scraper\offer_images\2801836978", "Link")</f>
        <v/>
      </c>
      <c r="I446" t="inlineStr">
        <is>
          <t>Privat</t>
        </is>
      </c>
      <c r="J446" s="6">
        <f>HYPERLINK("https://www.kleinanzeigen.de/s-bestandsliste.html?userId=14693964", "Link")</f>
        <v/>
      </c>
      <c r="K446" s="7" t="n">
        <v>45549.57702546296</v>
      </c>
      <c r="L446" s="3" t="inlineStr">
        <is>
          <t>376.83</t>
        </is>
      </c>
      <c r="M446" t="inlineStr">
        <is>
          <t>Köln</t>
        </is>
      </c>
    </row>
    <row r="447">
      <c r="A447" t="inlineStr">
        <is>
          <t>Trapeztampen: Severne 28er Fixed, orange</t>
        </is>
      </c>
      <c r="B447" s="4" t="n">
        <v>25</v>
      </c>
      <c r="C447" t="inlineStr"/>
      <c r="D447" t="inlineStr">
        <is>
          <t>85630 Kr. München - Grasbrunn</t>
        </is>
      </c>
      <c r="E447" s="5" t="n">
        <v>45513</v>
      </c>
      <c r="F447" t="inlineStr"/>
      <c r="G447" s="6">
        <f>HYPERLINK("https://www.kleinanzeigen.de/s-anzeige/severne-28er-fixed-trapeztampen-orange/2833158331-230-6184", "Link")</f>
        <v/>
      </c>
      <c r="H447" s="6">
        <f>HYPERLINK("C:\Projects\Kleinanzeigen-Scraper\offer_images\2833158331", "Link")</f>
        <v/>
      </c>
      <c r="I447" t="inlineStr">
        <is>
          <t>Wir</t>
        </is>
      </c>
      <c r="J447" s="6">
        <f>HYPERLINK("https://www.kleinanzeigen.de/s-bestandsliste.html?userId=8574103", "Link")</f>
        <v/>
      </c>
      <c r="K447" s="7" t="n">
        <v>45549.57701388889</v>
      </c>
      <c r="L447" s="3" t="inlineStr">
        <is>
          <t>14.39</t>
        </is>
      </c>
      <c r="M447" t="inlineStr">
        <is>
          <t>München</t>
        </is>
      </c>
    </row>
    <row r="448">
      <c r="A448" t="inlineStr">
        <is>
          <t>Kite Leash: Naish, guter Zustand, kaum benutzt</t>
        </is>
      </c>
      <c r="B448" s="4" t="n">
        <v>20</v>
      </c>
      <c r="C448" t="inlineStr">
        <is>
          <t>VB</t>
        </is>
      </c>
      <c r="D448" t="inlineStr">
        <is>
          <t>24837 Schleswig-Holstein - Schleswig</t>
        </is>
      </c>
      <c r="E448" s="5" t="n">
        <v>45502</v>
      </c>
      <c r="F448" t="inlineStr">
        <is>
          <t>Sold</t>
        </is>
      </c>
      <c r="G448" s="6">
        <f>HYPERLINK("https://www.kleinanzeigen.de/s-anzeige/naish-kite-leash/2824573838-230-558", "Link")</f>
        <v/>
      </c>
      <c r="H448" s="6">
        <f>HYPERLINK("C:\Projects\Kleinanzeigen-Scraper\offer_images\2824573838", "Link")</f>
        <v/>
      </c>
      <c r="I448" t="inlineStr">
        <is>
          <t>Lemper</t>
        </is>
      </c>
      <c r="J448" s="6">
        <f>HYPERLINK("https://www.kleinanzeigen.de/s-bestandsliste.html?userId=66741968", "Link")</f>
        <v/>
      </c>
      <c r="K448" s="7" t="n">
        <v>45549.57699074074</v>
      </c>
      <c r="L448" s="3" t="inlineStr">
        <is>
          <t>435.51</t>
        </is>
      </c>
      <c r="M448" t="inlineStr">
        <is>
          <t>Köln</t>
        </is>
      </c>
    </row>
    <row r="449">
      <c r="A449" t="inlineStr">
        <is>
          <t>Click-Bar: Duotone Click-Bar Saison 2024, Größe S, nagelneu und original verpackt</t>
        </is>
      </c>
      <c r="B449" s="4" t="n">
        <v>480</v>
      </c>
      <c r="C449" t="inlineStr"/>
      <c r="D449" t="inlineStr">
        <is>
          <t>81249 Aubing-Lochhausen-Langwied - Aubing</t>
        </is>
      </c>
      <c r="E449" s="5" t="n">
        <v>45547</v>
      </c>
      <c r="F449" t="inlineStr">
        <is>
          <t>Sold</t>
        </is>
      </c>
      <c r="G449" s="6">
        <f>HYPERLINK("https://www.kleinanzeigen.de/s-anzeige/click-bar-duotone-neu-saison-2024-groesse-s/2861375464-230-6477", "Link")</f>
        <v/>
      </c>
      <c r="H449" s="6">
        <f>HYPERLINK("C:\Projects\Kleinanzeigen-Scraper\offer_images\2861375464", "Link")</f>
        <v/>
      </c>
      <c r="I449" t="inlineStr">
        <is>
          <t>Brigitte</t>
        </is>
      </c>
      <c r="J449" s="6">
        <f>HYPERLINK("https://www.kleinanzeigen.de/s-bestandsliste.html?userId=40337970", "Link")</f>
        <v/>
      </c>
      <c r="K449" s="7" t="n">
        <v>45549.57699074074</v>
      </c>
      <c r="L449" s="3" t="inlineStr">
        <is>
          <t>13.54</t>
        </is>
      </c>
      <c r="M449" t="inlineStr">
        <is>
          <t>München</t>
        </is>
      </c>
    </row>
    <row r="450">
      <c r="A450" t="inlineStr">
        <is>
          <t>Contact Pads: Duotone Entity NTT Contact Pads, used but in good condition, price per piece 15€, together 25€</t>
        </is>
      </c>
      <c r="B450" s="4" t="n">
        <v>25</v>
      </c>
      <c r="C450" t="inlineStr">
        <is>
          <t>VB</t>
        </is>
      </c>
      <c r="D450" t="inlineStr">
        <is>
          <t>74074 Baden-Württemberg - Heilbronn</t>
        </is>
      </c>
      <c r="E450" s="5" t="n">
        <v>45547</v>
      </c>
      <c r="F450" t="inlineStr">
        <is>
          <t>Sold</t>
        </is>
      </c>
      <c r="G450" s="6">
        <f>HYPERLINK("https://www.kleinanzeigen.de/s-anzeige/duotone-entity-ntt-contact-pads-links-und-rechts/2861670282-230-9241", "Link")</f>
        <v/>
      </c>
      <c r="H450" s="6">
        <f>HYPERLINK("C:\Projects\Kleinanzeigen-Scraper\offer_images\2861670282", "Link")</f>
        <v/>
      </c>
      <c r="I450" t="inlineStr">
        <is>
          <t>Timo Haueisen</t>
        </is>
      </c>
      <c r="J450" s="6">
        <f>HYPERLINK("https://www.kleinanzeigen.de/s-bestandsliste.html?userId=39011935", "Link")</f>
        <v/>
      </c>
      <c r="K450" s="7" t="n">
        <v>45549.57689814815</v>
      </c>
      <c r="L450" s="3" t="inlineStr">
        <is>
          <t>54.07</t>
        </is>
      </c>
      <c r="M450" t="inlineStr">
        <is>
          <t>Böblingen</t>
        </is>
      </c>
    </row>
    <row r="451">
      <c r="A451" t="inlineStr">
        <is>
          <t>Windsurfing Bar: Naish Fusion Bar, 5-Leiner in good condition</t>
        </is>
      </c>
      <c r="B451" s="4" t="n">
        <v>100</v>
      </c>
      <c r="C451" t="inlineStr">
        <is>
          <t>VB</t>
        </is>
      </c>
      <c r="D451" t="inlineStr">
        <is>
          <t>24837 Schleswig-Holstein - Schleswig</t>
        </is>
      </c>
      <c r="E451" s="5" t="n">
        <v>45502</v>
      </c>
      <c r="F451" t="inlineStr">
        <is>
          <t>Sold</t>
        </is>
      </c>
      <c r="G451" s="6">
        <f>HYPERLINK("https://www.kleinanzeigen.de/s-anzeige/naish-fusion-bar-5-leiner/2824579253-230-558", "Link")</f>
        <v/>
      </c>
      <c r="H451" s="6">
        <f>HYPERLINK("C:\Projects\Kleinanzeigen-Scraper\offer_images\2824579253", "Link")</f>
        <v/>
      </c>
      <c r="I451" t="inlineStr">
        <is>
          <t>Lemper</t>
        </is>
      </c>
      <c r="J451" s="6">
        <f>HYPERLINK("https://www.kleinanzeigen.de/s-bestandsliste.html?userId=66741968", "Link")</f>
        <v/>
      </c>
      <c r="K451" s="7" t="n">
        <v>45549.57686342593</v>
      </c>
      <c r="L451" s="3" t="inlineStr">
        <is>
          <t>435.51</t>
        </is>
      </c>
      <c r="M451" t="inlineStr">
        <is>
          <t>Köln</t>
        </is>
      </c>
    </row>
    <row r="452">
      <c r="A452" t="inlineStr">
        <is>
          <t>Mastschiene: Ersatz für den Mastschienen-Rutscher oder die komplette Schiene für Fanatic Boards von Ende der 80er</t>
        </is>
      </c>
      <c r="B452" s="4" t="inlineStr"/>
      <c r="C452" t="inlineStr">
        <is>
          <t>VB</t>
        </is>
      </c>
      <c r="D452" t="inlineStr">
        <is>
          <t>19065 Parchim - Landkreis - Pinnow</t>
        </is>
      </c>
      <c r="E452" s="5" t="n">
        <v>45522</v>
      </c>
      <c r="F452" t="inlineStr">
        <is>
          <t>Sold</t>
        </is>
      </c>
      <c r="G452" s="6">
        <f>HYPERLINK("https://www.kleinanzeigen.de/s-anzeige/fanatic-mastschiene/2840630710-230-16618", "Link")</f>
        <v/>
      </c>
      <c r="H452" s="6">
        <f>HYPERLINK("C:\Projects\Kleinanzeigen-Scraper\offer_images\2840630710", "Link")</f>
        <v/>
      </c>
      <c r="I452" t="inlineStr">
        <is>
          <t>Norman</t>
        </is>
      </c>
      <c r="J452" s="6">
        <f>HYPERLINK("https://www.kleinanzeigen.de/s-bestandsliste.html?userId=75377739", "Link")</f>
        <v/>
      </c>
      <c r="K452" s="7" t="n">
        <v>45549.57681712963</v>
      </c>
      <c r="L452" s="3" t="inlineStr">
        <is>
          <t>431.34</t>
        </is>
      </c>
      <c r="M452" t="inlineStr">
        <is>
          <t>Köln</t>
        </is>
      </c>
    </row>
    <row r="453">
      <c r="A453" t="inlineStr">
        <is>
          <t>Trust Bar: Duotone Trust Bar from 2019 with 22 m lines, normal wear on the bar.</t>
        </is>
      </c>
      <c r="B453" s="4" t="n">
        <v>200</v>
      </c>
      <c r="C453" t="inlineStr">
        <is>
          <t>VB</t>
        </is>
      </c>
      <c r="D453" t="inlineStr">
        <is>
          <t>24576 Schleswig-Holstein - Hitzhusen</t>
        </is>
      </c>
      <c r="E453" s="5" t="n">
        <v>45547</v>
      </c>
      <c r="F453" t="inlineStr">
        <is>
          <t>Sold</t>
        </is>
      </c>
      <c r="G453" s="6">
        <f>HYPERLINK("https://www.kleinanzeigen.de/s-anzeige/duotone-trust-bar-2019-/2861349205-230-27447", "Link")</f>
        <v/>
      </c>
      <c r="H453" s="6">
        <f>HYPERLINK("C:\Projects\Kleinanzeigen-Scraper\offer_images\2861349205", "Link")</f>
        <v/>
      </c>
      <c r="I453" t="inlineStr">
        <is>
          <t>Janina</t>
        </is>
      </c>
      <c r="J453" s="6">
        <f>HYPERLINK("https://www.kleinanzeigen.de/s-bestandsliste.html?userId=22360925", "Link")</f>
        <v/>
      </c>
      <c r="K453" s="7" t="n">
        <v>45549.57679398148</v>
      </c>
      <c r="L453" s="3" t="inlineStr">
        <is>
          <t>384.10</t>
        </is>
      </c>
      <c r="M453" t="inlineStr">
        <is>
          <t>Köln</t>
        </is>
      </c>
    </row>
    <row r="454">
      <c r="A454" t="inlineStr">
        <is>
          <t>Kite Bar: Duotone 2020 Trust Quad Bar 22m S/M, variable width from 46 to 52 cm, includes Freeride Loop and Single Frontline Safety</t>
        </is>
      </c>
      <c r="B454" s="4" t="n">
        <v>190</v>
      </c>
      <c r="C454" t="inlineStr">
        <is>
          <t>VB</t>
        </is>
      </c>
      <c r="D454" t="inlineStr">
        <is>
          <t>83395 Bayern - Freilassing</t>
        </is>
      </c>
      <c r="E454" s="5" t="n">
        <v>45541</v>
      </c>
      <c r="F454" t="inlineStr">
        <is>
          <t>Sold</t>
        </is>
      </c>
      <c r="G454" s="6">
        <f>HYPERLINK("https://www.kleinanzeigen.de/s-anzeige/duotone-2020-trust-quad-bar-fuer-kite-7-11-qm-22m-s-m-blau-gelb/2855775712-230-6273", "Link")</f>
        <v/>
      </c>
      <c r="H454" s="6">
        <f>HYPERLINK("C:\Projects\Kleinanzeigen-Scraper\offer_images\2855775712", "Link")</f>
        <v/>
      </c>
      <c r="I454" t="inlineStr">
        <is>
          <t>Marco</t>
        </is>
      </c>
      <c r="J454" s="6">
        <f>HYPERLINK("https://www.kleinanzeigen.de/s-bestandsliste.html?userId=63577341", "Link")</f>
        <v/>
      </c>
      <c r="K454" s="7" t="n">
        <v>45549.57677083334</v>
      </c>
      <c r="L454" s="3" t="inlineStr">
        <is>
          <t>108.85</t>
        </is>
      </c>
      <c r="M454" t="inlineStr">
        <is>
          <t>München</t>
        </is>
      </c>
    </row>
    <row r="455">
      <c r="A455" t="inlineStr">
        <is>
          <t>Fin: Windsurf Carbon Finne Select S1 Pro 39 cm Deep Tuttlebox</t>
        </is>
      </c>
      <c r="B455" s="4" t="n">
        <v>160</v>
      </c>
      <c r="C455" t="inlineStr"/>
      <c r="D455" t="inlineStr">
        <is>
          <t>82178 Bayern - Puchheim</t>
        </is>
      </c>
      <c r="E455" s="5" t="n">
        <v>45548</v>
      </c>
      <c r="F455" t="inlineStr">
        <is>
          <t>Sold</t>
        </is>
      </c>
      <c r="G455" s="6">
        <f>HYPERLINK("https://www.kleinanzeigen.de/s-anzeige/windsurf-carbon-finne-select-s1-pro-39-cm-deep-tuttlebox/2862286858-230-5599", "Link")</f>
        <v/>
      </c>
      <c r="H455" s="6">
        <f>HYPERLINK("C:\Projects\Kleinanzeigen-Scraper\offer_images\2862286858", "Link")</f>
        <v/>
      </c>
      <c r="I455" t="inlineStr">
        <is>
          <t>Michael Nanini</t>
        </is>
      </c>
      <c r="J455" s="6">
        <f>HYPERLINK("https://www.kleinanzeigen.de/s-bestandsliste.html?userId=11859414", "Link")</f>
        <v/>
      </c>
      <c r="K455" s="7" t="n">
        <v>45549.57670138889</v>
      </c>
      <c r="L455" s="3" t="inlineStr">
        <is>
          <t>17.38</t>
        </is>
      </c>
      <c r="M455" t="inlineStr">
        <is>
          <t>München</t>
        </is>
      </c>
    </row>
    <row r="456">
      <c r="A456" t="inlineStr">
        <is>
          <t>Harness: RRD Sitztrapez Damen Größe M inkl. Savety Leash</t>
        </is>
      </c>
      <c r="B456" s="4" t="n">
        <v>60</v>
      </c>
      <c r="C456" t="inlineStr">
        <is>
          <t>VB</t>
        </is>
      </c>
      <c r="D456" t="inlineStr">
        <is>
          <t>86199 Bayern - Augsburg</t>
        </is>
      </c>
      <c r="E456" s="5" t="n">
        <v>45477</v>
      </c>
      <c r="F456" t="inlineStr">
        <is>
          <t>Sold</t>
        </is>
      </c>
      <c r="G456" s="6">
        <f>HYPERLINK("https://www.kleinanzeigen.de/s-anzeige/rrd-sitztrapez-damen-groesse-m-inkl-savety-leash/2804455247-230-7532", "Link")</f>
        <v/>
      </c>
      <c r="H456" s="6">
        <f>HYPERLINK("C:\Projects\Kleinanzeigen-Scraper\offer_images\2804455247", "Link")</f>
        <v/>
      </c>
      <c r="I456" t="inlineStr">
        <is>
          <t>Bibs</t>
        </is>
      </c>
      <c r="J456" s="6">
        <f>HYPERLINK("https://www.kleinanzeigen.de/s-bestandsliste.html?userId=26118214", "Link")</f>
        <v/>
      </c>
      <c r="K456" s="7" t="n">
        <v>45549.5766087963</v>
      </c>
      <c r="L456" s="3" t="inlineStr">
        <is>
          <t>57.48</t>
        </is>
      </c>
      <c r="M456" t="inlineStr">
        <is>
          <t>München</t>
        </is>
      </c>
    </row>
    <row r="457">
      <c r="A457" t="inlineStr">
        <is>
          <t>Harness Lines: 30 inch, 1x used</t>
        </is>
      </c>
      <c r="B457" s="4" t="n">
        <v>15</v>
      </c>
      <c r="C457" t="inlineStr"/>
      <c r="D457" t="inlineStr">
        <is>
          <t>24229 Schleswig-Holstein - Dänischenhagen</t>
        </is>
      </c>
      <c r="E457" s="5" t="n">
        <v>45541</v>
      </c>
      <c r="F457" t="inlineStr">
        <is>
          <t>Sold</t>
        </is>
      </c>
      <c r="G457" s="6">
        <f>HYPERLINK("https://www.kleinanzeigen.de/s-anzeige/duotone-fix-30-/2855727625-230-17472", "Link")</f>
        <v/>
      </c>
      <c r="H457" s="6">
        <f>HYPERLINK("C:\Projects\Kleinanzeigen-Scraper\offer_images\2855727625", "Link")</f>
        <v/>
      </c>
      <c r="I457" t="inlineStr">
        <is>
          <t>Florian</t>
        </is>
      </c>
      <c r="J457" s="6">
        <f>HYPERLINK("https://www.kleinanzeigen.de/s-bestandsliste.html?userId=24659532", "Link")</f>
        <v/>
      </c>
      <c r="K457" s="7" t="n">
        <v>45549.5766087963</v>
      </c>
      <c r="L457" s="3" t="inlineStr">
        <is>
          <t>445.58</t>
        </is>
      </c>
      <c r="M457" t="inlineStr">
        <is>
          <t>Köln</t>
        </is>
      </c>
    </row>
    <row r="458">
      <c r="A458" t="inlineStr">
        <is>
          <t>Foil Adapter: Neilpryde Adapter for surfboards with Powerbox, suitable for freeride or freestyle boards.</t>
        </is>
      </c>
      <c r="B458" s="4" t="n">
        <v>160</v>
      </c>
      <c r="C458" t="inlineStr">
        <is>
          <t>VB</t>
        </is>
      </c>
      <c r="D458" t="inlineStr">
        <is>
          <t>83629 Bayern - Weyarn</t>
        </is>
      </c>
      <c r="E458" s="5" t="n">
        <v>45535</v>
      </c>
      <c r="F458" t="inlineStr"/>
      <c r="G458" s="6">
        <f>HYPERLINK("https://www.kleinanzeigen.de/s-anzeige/neilpryde-glide-foil-adapter-powerbox-windsurffoil/2850615282-230-5899", "Link")</f>
        <v/>
      </c>
      <c r="H458" s="6">
        <f>HYPERLINK("C:\Projects\Kleinanzeigen-Scraper\offer_images\2850615282", "Link")</f>
        <v/>
      </c>
      <c r="I458" t="inlineStr">
        <is>
          <t>Matthias Suttner</t>
        </is>
      </c>
      <c r="J458" s="6">
        <f>HYPERLINK("https://www.kleinanzeigen.de/s-bestandsliste.html?userId=6793008", "Link")</f>
        <v/>
      </c>
      <c r="K458" s="7" t="n">
        <v>45549.57649305555</v>
      </c>
      <c r="L458" s="3" t="inlineStr">
        <is>
          <t>36.36</t>
        </is>
      </c>
      <c r="M458" t="inlineStr">
        <is>
          <t>München</t>
        </is>
      </c>
    </row>
    <row r="459">
      <c r="A459" t="inlineStr">
        <is>
          <t>Mastfoot: Mastfuß von Mistral mit Verlängerung, passend für F2</t>
        </is>
      </c>
      <c r="B459" s="4" t="n">
        <v>35</v>
      </c>
      <c r="C459" t="inlineStr">
        <is>
          <t>VB</t>
        </is>
      </c>
      <c r="D459" t="inlineStr">
        <is>
          <t>45699 Nordrhein-Westfalen - Herten</t>
        </is>
      </c>
      <c r="E459" s="5" t="n">
        <v>45529</v>
      </c>
      <c r="F459" t="inlineStr">
        <is>
          <t>Sold</t>
        </is>
      </c>
      <c r="G459" s="6">
        <f>HYPERLINK("https://www.kleinanzeigen.de/s-anzeige/mastfuss-mistral-fanatic-f2-verlaengerung/2845666250-230-1832", "Link")</f>
        <v/>
      </c>
      <c r="H459" s="6">
        <f>HYPERLINK("C:\Projects\Kleinanzeigen-Scraper\offer_images\2845666250", "Link")</f>
        <v/>
      </c>
      <c r="I459" t="inlineStr">
        <is>
          <t>V.P.</t>
        </is>
      </c>
      <c r="J459" s="6">
        <f>HYPERLINK("https://www.kleinanzeigen.de/s-bestandsliste.html?userId=10829434", "Link")</f>
        <v/>
      </c>
      <c r="K459" s="7" t="n">
        <v>45549.57648148148</v>
      </c>
      <c r="L459" s="3" t="inlineStr">
        <is>
          <t>73.42</t>
        </is>
      </c>
      <c r="M459" t="inlineStr">
        <is>
          <t>Köln</t>
        </is>
      </c>
    </row>
    <row r="460">
      <c r="A460" t="inlineStr">
        <is>
          <t>Mastfoot: Duotone EPX.Base powerjoint, new in original packaging</t>
        </is>
      </c>
      <c r="B460" s="4" t="n">
        <v>50</v>
      </c>
      <c r="C460" t="inlineStr">
        <is>
          <t>VB</t>
        </is>
      </c>
      <c r="D460" t="inlineStr">
        <is>
          <t>47239 Duisburg - Rumeln-Kaldenhausen</t>
        </is>
      </c>
      <c r="E460" s="5" t="n">
        <v>45543</v>
      </c>
      <c r="F460" t="inlineStr">
        <is>
          <t>Sold</t>
        </is>
      </c>
      <c r="G460" s="6">
        <f>HYPERLINK("https://www.kleinanzeigen.de/s-anzeige/duotone-epx-base-mastfuss-powerjoint-north-neu-ovp/2857958692-230-2137", "Link")</f>
        <v/>
      </c>
      <c r="H460" s="6">
        <f>HYPERLINK("C:\Projects\Kleinanzeigen-Scraper\offer_images\2857958692", "Link")</f>
        <v/>
      </c>
      <c r="I460" t="inlineStr">
        <is>
          <t>PX</t>
        </is>
      </c>
      <c r="J460" s="6">
        <f>HYPERLINK("https://www.kleinanzeigen.de/s-bestandsliste.html?userId=1864376", "Link")</f>
        <v/>
      </c>
      <c r="K460" s="7" t="n">
        <v>45549.57642361111</v>
      </c>
      <c r="L460" s="3" t="inlineStr">
        <is>
          <t>54.92</t>
        </is>
      </c>
      <c r="M460" t="inlineStr">
        <is>
          <t>Köln</t>
        </is>
      </c>
    </row>
    <row r="461">
      <c r="A461" t="inlineStr">
        <is>
          <t>Kite Leash: Short leash for securing the kite when releasing, brand RRD, total length approximately 50cm</t>
        </is>
      </c>
      <c r="B461" s="4" t="n">
        <v>15</v>
      </c>
      <c r="C461" t="inlineStr"/>
      <c r="D461" t="inlineStr">
        <is>
          <t>80798 München - Schwabing-West</t>
        </is>
      </c>
      <c r="E461" s="5" t="n">
        <v>45515</v>
      </c>
      <c r="F461" t="inlineStr">
        <is>
          <t>Sold</t>
        </is>
      </c>
      <c r="G461" s="6">
        <f>HYPERLINK("https://www.kleinanzeigen.de/s-anzeige/kite-leash-kurz-marke-rrd/2834775187-230-6459", "Link")</f>
        <v/>
      </c>
      <c r="H461" s="6">
        <f>HYPERLINK("C:\Projects\Kleinanzeigen-Scraper\offer_images\2834775187", "Link")</f>
        <v/>
      </c>
      <c r="I461" t="inlineStr">
        <is>
          <t>Marc Lammel</t>
        </is>
      </c>
      <c r="J461" s="6">
        <f>HYPERLINK("https://www.kleinanzeigen.de/s-bestandsliste.html?userId=17286790", "Link")</f>
        <v/>
      </c>
      <c r="K461" s="7" t="n">
        <v>45549.57637731481</v>
      </c>
      <c r="L461" s="3" t="inlineStr">
        <is>
          <t>2.07</t>
        </is>
      </c>
      <c r="M461" t="inlineStr">
        <is>
          <t>München</t>
        </is>
      </c>
    </row>
    <row r="462">
      <c r="A462" t="inlineStr">
        <is>
          <t>Control System: Naish Bar Torque 2 + i3 QR 22m+2m with Snap Lock safety system</t>
        </is>
      </c>
      <c r="B462" s="4" t="n">
        <v>299</v>
      </c>
      <c r="C462" t="inlineStr">
        <is>
          <t>VB</t>
        </is>
      </c>
      <c r="D462" t="inlineStr">
        <is>
          <t>18586 Mecklenburg-Vorpommern - Mönchgut, Ostseebad</t>
        </is>
      </c>
      <c r="E462" s="5" t="n">
        <v>45545</v>
      </c>
      <c r="F462" t="inlineStr"/>
      <c r="G462" s="6">
        <f>HYPERLINK("https://www.kleinanzeigen.de/s-anzeige/naish-bar-torque-2-i3-qr-22m-2m-control-system-s26-30-neu/1807250777-230-120", "Link")</f>
        <v/>
      </c>
      <c r="H462" s="6">
        <f>HYPERLINK("C:\Projects\Kleinanzeigen-Scraper\offer_images\1807250777", "Link")</f>
        <v/>
      </c>
      <c r="I462" t="inlineStr">
        <is>
          <t>No user name</t>
        </is>
      </c>
      <c r="J462" s="6">
        <f>HYPERLINK("https://www.kleinanzeigen.deNo user link", "Link")</f>
        <v/>
      </c>
      <c r="K462" s="7" t="n">
        <v>45549.57627314814</v>
      </c>
      <c r="L462" s="3" t="inlineStr">
        <is>
          <t>591.22</t>
        </is>
      </c>
      <c r="M462" t="inlineStr">
        <is>
          <t>Köln</t>
        </is>
      </c>
    </row>
    <row r="463">
      <c r="A463" t="inlineStr">
        <is>
          <t>Harness: North Kite Traprez, size M</t>
        </is>
      </c>
      <c r="B463" s="4" t="n">
        <v>58</v>
      </c>
      <c r="C463" t="inlineStr"/>
      <c r="D463" t="inlineStr">
        <is>
          <t>41189 Nordrhein-Westfalen - Mönchengladbach</t>
        </is>
      </c>
      <c r="E463" s="5" t="n">
        <v>45544</v>
      </c>
      <c r="F463" t="inlineStr">
        <is>
          <t>Sold</t>
        </is>
      </c>
      <c r="G463" s="6">
        <f>HYPERLINK("https://www.kleinanzeigen.de/s-anzeige/north-kite-traprez/2858987940-230-1959", "Link")</f>
        <v/>
      </c>
      <c r="H463" s="6">
        <f>HYPERLINK("C:\Projects\Kleinanzeigen-Scraper\offer_images\2858987940", "Link")</f>
        <v/>
      </c>
      <c r="I463" t="inlineStr">
        <is>
          <t>Brockmann</t>
        </is>
      </c>
      <c r="J463" s="6">
        <f>HYPERLINK("https://www.kleinanzeigen.de/s-bestandsliste.html?userId=13740340", "Link")</f>
        <v/>
      </c>
      <c r="K463" s="7" t="n">
        <v>45549.57627314814</v>
      </c>
      <c r="L463" s="3" t="inlineStr">
        <is>
          <t>43.31</t>
        </is>
      </c>
      <c r="M463" t="inlineStr">
        <is>
          <t>Köln</t>
        </is>
      </c>
    </row>
    <row r="464">
      <c r="A464" t="inlineStr">
        <is>
          <t>Pump: Tikki Pump von Starboard, neu, zerlegbar für Stand up Boards, Schlauchboote, Luftzelte oder Pools</t>
        </is>
      </c>
      <c r="B464" s="4" t="n">
        <v>50</v>
      </c>
      <c r="C464" t="inlineStr"/>
      <c r="D464" t="inlineStr">
        <is>
          <t>45128 Essen - Essen-Stadtmitte</t>
        </is>
      </c>
      <c r="E464" s="5" t="n">
        <v>45531</v>
      </c>
      <c r="F464" t="inlineStr">
        <is>
          <t>Sold</t>
        </is>
      </c>
      <c r="G464" s="6">
        <f>HYPERLINK("https://www.kleinanzeigen.de/s-anzeige/doppelhubluftpumpe-tikki-pump-von-starboard-neu/2847673021-230-2052", "Link")</f>
        <v/>
      </c>
      <c r="H464" s="6">
        <f>HYPERLINK("C:\Projects\Kleinanzeigen-Scraper\offer_images\2847673021", "Link")</f>
        <v/>
      </c>
      <c r="I464" t="inlineStr">
        <is>
          <t>Chris</t>
        </is>
      </c>
      <c r="J464" s="6">
        <f>HYPERLINK("https://www.kleinanzeigen.de/s-bestandsliste.html?userId=12317401", "Link")</f>
        <v/>
      </c>
      <c r="K464" s="7" t="n">
        <v>45549.57621527778</v>
      </c>
      <c r="L464" s="3" t="inlineStr">
        <is>
          <t>56.45</t>
        </is>
      </c>
      <c r="M464" t="inlineStr">
        <is>
          <t>Köln</t>
        </is>
      </c>
    </row>
    <row r="465">
      <c r="A465" t="inlineStr">
        <is>
          <t>4Leiner Bar: Defective item without lines, suitable for parts or repair. Depower and safety features are functional.</t>
        </is>
      </c>
      <c r="B465" s="4" t="n">
        <v>29</v>
      </c>
      <c r="C465" t="inlineStr"/>
      <c r="D465" t="inlineStr">
        <is>
          <t>10409 Pankow - Prenzlauer Berg</t>
        </is>
      </c>
      <c r="E465" s="5" t="n">
        <v>45536</v>
      </c>
      <c r="F465" t="inlineStr">
        <is>
          <t>Sold</t>
        </is>
      </c>
      <c r="G465" s="6">
        <f>HYPERLINK("https://www.kleinanzeigen.de/s-anzeige/north-doutone-4leiner-bar-ohne-leinen/2851950099-230-3494", "Link")</f>
        <v/>
      </c>
      <c r="H465" s="6">
        <f>HYPERLINK("C:\Projects\Kleinanzeigen-Scraper\offer_images\2851950099", "Link")</f>
        <v/>
      </c>
      <c r="I465" t="inlineStr">
        <is>
          <t>Stefan von Brand</t>
        </is>
      </c>
      <c r="J465" s="6">
        <f>HYPERLINK("https://www.kleinanzeigen.de/s-bestandsliste.html?userId=32668497", "Link")</f>
        <v/>
      </c>
      <c r="K465" s="7" t="n">
        <v>45549.57612268518</v>
      </c>
      <c r="L465" s="3" t="inlineStr">
        <is>
          <t>480.79</t>
        </is>
      </c>
      <c r="M465" t="inlineStr">
        <is>
          <t>Köln</t>
        </is>
      </c>
    </row>
    <row r="466">
      <c r="A466" t="inlineStr">
        <is>
          <t>Harness: RRD Kitetrapez GR M, like new</t>
        </is>
      </c>
      <c r="B466" s="4" t="n">
        <v>70</v>
      </c>
      <c r="C466" t="inlineStr"/>
      <c r="D466" t="inlineStr">
        <is>
          <t>55430 Rheinland-Pfalz - Oberwesel</t>
        </is>
      </c>
      <c r="E466" s="5" t="n">
        <v>45400</v>
      </c>
      <c r="F466" t="inlineStr">
        <is>
          <t>Sold</t>
        </is>
      </c>
      <c r="G466" s="6">
        <f>HYPERLINK("https://www.kleinanzeigen.de/s-anzeige/rrd-kitetrapez-gr-m/2738044154-230-19504", "Link")</f>
        <v/>
      </c>
      <c r="H466" s="6">
        <f>HYPERLINK("C:\Projects\Kleinanzeigen-Scraper\offer_images\2738044154", "Link")</f>
        <v/>
      </c>
      <c r="I466" t="inlineStr">
        <is>
          <t>Voll</t>
        </is>
      </c>
      <c r="J466" s="6">
        <f>HYPERLINK("https://www.kleinanzeigen.de/s-bestandsliste.html?userId=29250937", "Link")</f>
        <v/>
      </c>
      <c r="K466" s="7" t="n">
        <v>45549.57609953704</v>
      </c>
      <c r="L466" s="3" t="inlineStr">
        <is>
          <t>109.06</t>
        </is>
      </c>
      <c r="M466" t="inlineStr">
        <is>
          <t>Köln</t>
        </is>
      </c>
    </row>
    <row r="467">
      <c r="A467" t="inlineStr">
        <is>
          <t>Harness Hook Plate: New hook plate for kite harness.</t>
        </is>
      </c>
      <c r="B467" s="4" t="n">
        <v>15</v>
      </c>
      <c r="C467" t="inlineStr">
        <is>
          <t>VB</t>
        </is>
      </c>
      <c r="D467" t="inlineStr">
        <is>
          <t>70825 Baden-Württemberg - Korntal-Münchingen</t>
        </is>
      </c>
      <c r="E467" s="5" t="n">
        <v>45535</v>
      </c>
      <c r="F467" t="inlineStr">
        <is>
          <t>Sold</t>
        </is>
      </c>
      <c r="G467" s="6">
        <f>HYPERLINK("https://www.kleinanzeigen.de/s-anzeige/kite-trapez-hakenplatte-naish/2850463458-230-8470", "Link")</f>
        <v/>
      </c>
      <c r="H467" s="6">
        <f>HYPERLINK("C:\Projects\Kleinanzeigen-Scraper\offer_images\2850463458", "Link")</f>
        <v/>
      </c>
      <c r="I467" t="inlineStr">
        <is>
          <t>Stephan</t>
        </is>
      </c>
      <c r="J467" s="6">
        <f>HYPERLINK("https://www.kleinanzeigen.de/s-bestandsliste.html?userId=79922889", "Link")</f>
        <v/>
      </c>
      <c r="K467" s="7" t="n">
        <v>45549.57604166667</v>
      </c>
      <c r="L467" s="3" t="inlineStr">
        <is>
          <t>21.12</t>
        </is>
      </c>
      <c r="M467" t="inlineStr">
        <is>
          <t>Böblingen</t>
        </is>
      </c>
    </row>
    <row r="468">
      <c r="A468" t="inlineStr">
        <is>
          <t>Impact Vest: North Auftrieb/ Prallschutzweste, 2 times used, almost new.</t>
        </is>
      </c>
      <c r="B468" s="4" t="n">
        <v>70</v>
      </c>
      <c r="C468" t="inlineStr"/>
      <c r="D468" t="inlineStr">
        <is>
          <t>78464 Baden-Württemberg - Konstanz</t>
        </is>
      </c>
      <c r="E468" s="5" t="n">
        <v>45545</v>
      </c>
      <c r="F468" t="inlineStr">
        <is>
          <t>Sold</t>
        </is>
      </c>
      <c r="G468" s="6">
        <f>HYPERLINK("https://www.kleinanzeigen.de/s-anzeige/north-kite-vest-prallschutzweste-auftriebsweste/2859792372-230-9387", "Link")</f>
        <v/>
      </c>
      <c r="H468" s="6">
        <f>HYPERLINK("C:\Projects\Kleinanzeigen-Scraper\offer_images\2859792372", "Link")</f>
        <v/>
      </c>
      <c r="I468" t="inlineStr">
        <is>
          <t>Finn Schröer</t>
        </is>
      </c>
      <c r="J468" s="6">
        <f>HYPERLINK("https://www.kleinanzeigen.de/s-bestandsliste.html?userId=28201579", "Link")</f>
        <v/>
      </c>
      <c r="K468" s="7" t="n">
        <v>45549.57594907407</v>
      </c>
      <c r="L468" s="3" t="inlineStr">
        <is>
          <t>66.23</t>
        </is>
      </c>
      <c r="M468" t="inlineStr">
        <is>
          <t>Bonndorf</t>
        </is>
      </c>
    </row>
    <row r="469">
      <c r="A469" t="inlineStr">
        <is>
          <t>Fins: Various Powerbox fins including Seegras fins, sizes as per images.</t>
        </is>
      </c>
      <c r="B469" s="4" t="n">
        <v>50</v>
      </c>
      <c r="C469" t="inlineStr">
        <is>
          <t>VB</t>
        </is>
      </c>
      <c r="D469" t="inlineStr">
        <is>
          <t>82211 Bayern - Herrsching</t>
        </is>
      </c>
      <c r="E469" s="5" t="n">
        <v>45548</v>
      </c>
      <c r="F469" t="inlineStr">
        <is>
          <t>Sold</t>
        </is>
      </c>
      <c r="G469" s="6">
        <f>HYPERLINK("https://www.kleinanzeigen.de/s-anzeige/diverse-power-box-seegras-finne-windsurfen/2862403477-230-5520", "Link")</f>
        <v/>
      </c>
      <c r="H469" s="6">
        <f>HYPERLINK("C:\Projects\Kleinanzeigen-Scraper\offer_images\2862403477", "Link")</f>
        <v/>
      </c>
      <c r="I469" t="inlineStr">
        <is>
          <t>Paul</t>
        </is>
      </c>
      <c r="J469" s="6">
        <f>HYPERLINK("https://www.kleinanzeigen.de/s-bestandsliste.html?userId=3420269", "Link")</f>
        <v/>
      </c>
      <c r="K469" s="7" t="n">
        <v>45549.57591435185</v>
      </c>
      <c r="L469" s="3" t="inlineStr">
        <is>
          <t>32.73</t>
        </is>
      </c>
      <c r="M469" t="inlineStr">
        <is>
          <t>München</t>
        </is>
      </c>
    </row>
    <row r="470">
      <c r="A470" t="inlineStr">
        <is>
          <t>Board Protector: NEILPRYDE Mastschutz für Surfbord in Top Zustand, olivegrün</t>
        </is>
      </c>
      <c r="B470" s="4" t="n">
        <v>25</v>
      </c>
      <c r="C470" t="inlineStr"/>
      <c r="D470" t="inlineStr">
        <is>
          <t>18258 Bad Doberan - Landkreis - Schwaan</t>
        </is>
      </c>
      <c r="E470" s="5" t="n">
        <v>45547</v>
      </c>
      <c r="F470" t="inlineStr"/>
      <c r="G470" s="6">
        <f>HYPERLINK("https://www.kleinanzeigen.de/s-anzeige/neilpryde-board-protector-mast-schutz-surfbord-surfen-top-zustand/2861060616-230-16601", "Link")</f>
        <v/>
      </c>
      <c r="H470" s="6">
        <f>HYPERLINK("C:\Projects\Kleinanzeigen-Scraper\offer_images\2861060616", "Link")</f>
        <v/>
      </c>
      <c r="I470" t="inlineStr">
        <is>
          <t>L.H</t>
        </is>
      </c>
      <c r="J470" s="6">
        <f>HYPERLINK("https://www.kleinanzeigen.de/s-bestandsliste.html?userId=88705695", "Link")</f>
        <v/>
      </c>
      <c r="K470" s="7" t="n">
        <v>45549.57589120371</v>
      </c>
      <c r="L470" s="3" t="inlineStr">
        <is>
          <t>482.14</t>
        </is>
      </c>
      <c r="M470" t="inlineStr">
        <is>
          <t>Köln</t>
        </is>
      </c>
    </row>
    <row r="471">
      <c r="A471" t="inlineStr">
        <is>
          <t>Harness: Hüfttrapez von Gun Sails, Größe XL, neu</t>
        </is>
      </c>
      <c r="B471" s="4" t="n">
        <v>60</v>
      </c>
      <c r="C471" t="inlineStr"/>
      <c r="D471" t="inlineStr">
        <is>
          <t>42657 Nordrhein-Westfalen - Solingen</t>
        </is>
      </c>
      <c r="E471" s="5" t="n">
        <v>45540</v>
      </c>
      <c r="F471" t="inlineStr"/>
      <c r="G471" s="6">
        <f>HYPERLINK("https://www.kleinanzeigen.de/s-anzeige/huefttrapez-surfen-von-gun-sails-gr-xl-neu/2855068593-230-2119", "Link")</f>
        <v/>
      </c>
      <c r="H471" s="6">
        <f>HYPERLINK("C:\Projects\Kleinanzeigen-Scraper\offer_images\2855068593", "Link")</f>
        <v/>
      </c>
      <c r="I471" t="inlineStr">
        <is>
          <t>Jenny</t>
        </is>
      </c>
      <c r="J471" s="6">
        <f>HYPERLINK("https://www.kleinanzeigen.de/s-bestandsliste.html?userId=43482020", "Link")</f>
        <v/>
      </c>
      <c r="K471" s="7" t="n">
        <v>45549.57581018518</v>
      </c>
      <c r="L471" s="3" t="inlineStr">
        <is>
          <t>25.08</t>
        </is>
      </c>
      <c r="M471" t="inlineStr">
        <is>
          <t>Köln</t>
        </is>
      </c>
    </row>
    <row r="472">
      <c r="A472" t="inlineStr">
        <is>
          <t>Mastplate: Tuning Mastplatte for FANATIC / DUOTONE System, adjustable angle (0°, 1°, 1.5° or negative)</t>
        </is>
      </c>
      <c r="B472" s="4" t="n">
        <v>29</v>
      </c>
      <c r="C472" t="inlineStr"/>
      <c r="D472" t="inlineStr">
        <is>
          <t>10707 Berlin - Wilmersdorf</t>
        </is>
      </c>
      <c r="E472" s="5" t="n">
        <v>45538</v>
      </c>
      <c r="F472" t="inlineStr">
        <is>
          <t>Sold</t>
        </is>
      </c>
      <c r="G472" s="6">
        <f>HYPERLINK("https://www.kleinanzeigen.de/s-anzeige/fanatic-duotone-shim-wedge-mastplatte-wing-foil-pumpfoil/2853696665-230-3534", "Link")</f>
        <v/>
      </c>
      <c r="H472" s="6">
        <f>HYPERLINK("C:\Projects\Kleinanzeigen-Scraper\offer_images\2853696665", "Link")</f>
        <v/>
      </c>
      <c r="I472" t="inlineStr">
        <is>
          <t>California Dream</t>
        </is>
      </c>
      <c r="J472" s="6">
        <f>HYPERLINK("https://www.kleinanzeigen.de/s-bestandsliste.html?userId=6488201", "Link")</f>
        <v/>
      </c>
      <c r="K472" s="7" t="n">
        <v>45549.57574074074</v>
      </c>
      <c r="L472" s="3" t="inlineStr">
        <is>
          <t>470.94</t>
        </is>
      </c>
      <c r="M472" t="inlineStr">
        <is>
          <t>Köln</t>
        </is>
      </c>
    </row>
    <row r="473">
      <c r="A473" t="inlineStr">
        <is>
          <t>Tendon: New and unused tendon for Goya and Aeron mast base, includes all screws and tool for replacement.</t>
        </is>
      </c>
      <c r="B473" s="4" t="n">
        <v>10</v>
      </c>
      <c r="C473" t="inlineStr"/>
      <c r="D473" t="inlineStr">
        <is>
          <t>50321 Nordrhein-Westfalen - Brühl</t>
        </is>
      </c>
      <c r="E473" s="5" t="n">
        <v>45545</v>
      </c>
      <c r="F473" t="inlineStr"/>
      <c r="G473" s="6">
        <f>HYPERLINK("https://www.kleinanzeigen.de/s-anzeige/goya-aeron-base-tendon-bolts/2859063957-230-1158", "Link")</f>
        <v/>
      </c>
      <c r="H473" s="6">
        <f>HYPERLINK("C:\Projects\Kleinanzeigen-Scraper\offer_images\2859063957", "Link")</f>
        <v/>
      </c>
      <c r="I473" t="inlineStr">
        <is>
          <t>Charlie</t>
        </is>
      </c>
      <c r="J473" s="6">
        <f>HYPERLINK("https://www.kleinanzeigen.de/s-bestandsliste.html?userId=12517484", "Link")</f>
        <v/>
      </c>
      <c r="K473" s="7" t="n">
        <v>45549.57570601852</v>
      </c>
      <c r="L473" s="3" t="inlineStr">
        <is>
          <t>14.26</t>
        </is>
      </c>
      <c r="M473" t="inlineStr">
        <is>
          <t>Köln</t>
        </is>
      </c>
    </row>
    <row r="474">
      <c r="A474" t="inlineStr">
        <is>
          <t>Harness: North Sails Surf Kite Trapez, new with tags, available in size S and M</t>
        </is>
      </c>
      <c r="B474" s="4" t="n">
        <v>29</v>
      </c>
      <c r="C474" t="inlineStr"/>
      <c r="D474" t="inlineStr">
        <is>
          <t>94036 Kr. Passau - Passau</t>
        </is>
      </c>
      <c r="E474" s="5" t="n">
        <v>45539</v>
      </c>
      <c r="F474" t="inlineStr">
        <is>
          <t>Sold</t>
        </is>
      </c>
      <c r="G474" s="6">
        <f>HYPERLINK("https://www.kleinanzeigen.de/s-anzeige/surf-kite-trapez-north-sails/2853898949-230-7480", "Link")</f>
        <v/>
      </c>
      <c r="H474" s="6">
        <f>HYPERLINK("C:\Projects\Kleinanzeigen-Scraper\offer_images\2853898949", "Link")</f>
        <v/>
      </c>
      <c r="I474" t="inlineStr">
        <is>
          <t>AnSu</t>
        </is>
      </c>
      <c r="J474" s="6">
        <f>HYPERLINK("https://www.kleinanzeigen.de/s-bestandsliste.html?userId=139695633", "Link")</f>
        <v/>
      </c>
      <c r="K474" s="7" t="n">
        <v>45549.57569444444</v>
      </c>
      <c r="L474" s="3" t="inlineStr">
        <is>
          <t>142.54</t>
        </is>
      </c>
      <c r="M474" t="inlineStr">
        <is>
          <t>München</t>
        </is>
      </c>
    </row>
    <row r="475">
      <c r="A475" t="inlineStr">
        <is>
          <t>Mastfoot Plate: BIC Mastfußplatte zum Windsurfen, bleibt auf dem Board</t>
        </is>
      </c>
      <c r="B475" s="4" t="n">
        <v>19</v>
      </c>
      <c r="C475" t="inlineStr"/>
      <c r="D475" t="inlineStr">
        <is>
          <t>14513 Brandenburg - Teltow</t>
        </is>
      </c>
      <c r="E475" s="5" t="n">
        <v>45548</v>
      </c>
      <c r="F475" t="inlineStr">
        <is>
          <t>Sold</t>
        </is>
      </c>
      <c r="G475" s="6">
        <f>HYPERLINK("https://www.kleinanzeigen.de/s-anzeige/bic-mastfuss-platte-plate-windsurfen-base/2862073740-230-7939", "Link")</f>
        <v/>
      </c>
      <c r="H475" s="6">
        <f>HYPERLINK("C:\Projects\Kleinanzeigen-Scraper\offer_images\2862073740", "Link")</f>
        <v/>
      </c>
      <c r="I475" t="inlineStr">
        <is>
          <t>Thomas</t>
        </is>
      </c>
      <c r="J475" s="6">
        <f>HYPERLINK("https://www.kleinanzeigen.de/s-bestandsliste.html?userId=25517038", "Link")</f>
        <v/>
      </c>
      <c r="K475" s="7" t="n">
        <v>45549.57548611111</v>
      </c>
      <c r="L475" s="3" t="inlineStr">
        <is>
          <t>464.56</t>
        </is>
      </c>
      <c r="M475" t="inlineStr">
        <is>
          <t>Köln</t>
        </is>
      </c>
    </row>
    <row r="476">
      <c r="A476" t="inlineStr">
        <is>
          <t>Impact Vest: Gun Sails Floating Vest 50N, size XXS, brand new and unused</t>
        </is>
      </c>
      <c r="B476" s="4" t="n">
        <v>49</v>
      </c>
      <c r="C476" t="inlineStr"/>
      <c r="D476" t="inlineStr">
        <is>
          <t>79804 Baden-Württemberg - Dogern</t>
        </is>
      </c>
      <c r="E476" s="5" t="n">
        <v>45536</v>
      </c>
      <c r="F476" t="inlineStr"/>
      <c r="G476" s="6">
        <f>HYPERLINK("https://www.kleinanzeigen.de/s-anzeige/schwimmweste-auftriebsweste-gun-sails-weste-50n-gr-xxs/2851719328-230-8300", "Link")</f>
        <v/>
      </c>
      <c r="H476" s="6">
        <f>HYPERLINK("C:\Projects\Kleinanzeigen-Scraper\offer_images\2851719328", "Link")</f>
        <v/>
      </c>
      <c r="I476" t="inlineStr">
        <is>
          <t>Thomas Gethke</t>
        </is>
      </c>
      <c r="J476" s="6">
        <f>HYPERLINK("https://www.kleinanzeigen.de/s-bestandsliste.html?userId=6226478", "Link")</f>
        <v/>
      </c>
      <c r="K476" s="7" t="n">
        <v>45549.57548611111</v>
      </c>
      <c r="L476" s="3" t="inlineStr">
        <is>
          <t>26.60</t>
        </is>
      </c>
      <c r="M476" t="inlineStr">
        <is>
          <t>Bonndorf</t>
        </is>
      </c>
    </row>
    <row r="477">
      <c r="A477" t="inlineStr">
        <is>
          <t>Fin: Tabou Freeride-Finne 44cm for Freeride boards with Powerbox system</t>
        </is>
      </c>
      <c r="B477" s="4" t="n">
        <v>55</v>
      </c>
      <c r="C477" t="inlineStr">
        <is>
          <t>VB</t>
        </is>
      </c>
      <c r="D477" t="inlineStr">
        <is>
          <t>58093 Nordrhein-Westfalen - Hagen</t>
        </is>
      </c>
      <c r="E477" s="5" t="n">
        <v>45543</v>
      </c>
      <c r="F477" t="inlineStr">
        <is>
          <t>Sold</t>
        </is>
      </c>
      <c r="G477" s="6">
        <f>HYPERLINK("https://www.kleinanzeigen.de/s-anzeige/tabou-freeride-finne-44cm-powerbox/2857829472-230-2011", "Link")</f>
        <v/>
      </c>
      <c r="H477" s="6">
        <f>HYPERLINK("C:\Projects\Kleinanzeigen-Scraper\offer_images\2857829472", "Link")</f>
        <v/>
      </c>
      <c r="I477" t="inlineStr">
        <is>
          <t>Bud Spencer</t>
        </is>
      </c>
      <c r="J477" s="6">
        <f>HYPERLINK("https://www.kleinanzeigen.de/s-bestandsliste.html?userId=13956310", "Link")</f>
        <v/>
      </c>
      <c r="K477" s="7" t="n">
        <v>45549.57541666667</v>
      </c>
      <c r="L477" s="3" t="inlineStr">
        <is>
          <t>62.86</t>
        </is>
      </c>
      <c r="M477" t="inlineStr">
        <is>
          <t>Köln</t>
        </is>
      </c>
    </row>
    <row r="478">
      <c r="A478" t="inlineStr">
        <is>
          <t>Fin: US Box System from JP Australia, includes screw and plate</t>
        </is>
      </c>
      <c r="B478" s="4" t="n">
        <v>15</v>
      </c>
      <c r="C478" t="inlineStr"/>
      <c r="D478" t="inlineStr">
        <is>
          <t>51379 Nordrhein-Westfalen - Leverkusen</t>
        </is>
      </c>
      <c r="E478" s="5" t="n">
        <v>45542</v>
      </c>
      <c r="F478" t="inlineStr">
        <is>
          <t>Sold</t>
        </is>
      </c>
      <c r="G478" s="6">
        <f>HYPERLINK("https://www.kleinanzeigen.de/s-anzeige/sup-finne-us-box-jp-australia/2856866911-230-1991", "Link")</f>
        <v/>
      </c>
      <c r="H478" s="6">
        <f>HYPERLINK("C:\Projects\Kleinanzeigen-Scraper\offer_images\2856866911", "Link")</f>
        <v/>
      </c>
      <c r="I478" t="inlineStr">
        <is>
          <t>Jürgen</t>
        </is>
      </c>
      <c r="J478" s="6">
        <f>HYPERLINK("https://www.kleinanzeigen.de/s-bestandsliste.html?userId=13618464", "Link")</f>
        <v/>
      </c>
      <c r="K478" s="7" t="n">
        <v>45549.57537037037</v>
      </c>
      <c r="L478" s="3" t="inlineStr">
        <is>
          <t>14.88</t>
        </is>
      </c>
      <c r="M478" t="inlineStr">
        <is>
          <t>Köln</t>
        </is>
      </c>
    </row>
    <row r="479">
      <c r="A479" t="inlineStr">
        <is>
          <t>Harness: Simmer Style windsurfing Slalom-/Sitz- Trapez, used but in very good condition, size estimated M-L</t>
        </is>
      </c>
      <c r="B479" s="4" t="n">
        <v>70</v>
      </c>
      <c r="C479" t="inlineStr">
        <is>
          <t>VB</t>
        </is>
      </c>
      <c r="D479" t="inlineStr">
        <is>
          <t>32457 Nordrhein-Westfalen - Porta Westfalica</t>
        </is>
      </c>
      <c r="E479" s="5" t="n">
        <v>42233</v>
      </c>
      <c r="F479" t="inlineStr"/>
      <c r="G479" s="6">
        <f>HYPERLINK("https://www.kleinanzeigen.de/s-anzeige/simmer-style-windsurfing-slalom-sitz-trapez/351962504-230-1236", "Link")</f>
        <v/>
      </c>
      <c r="H479" s="6">
        <f>HYPERLINK("C:\Projects\Kleinanzeigen-Scraper\offer_images\351962504", "Link")</f>
        <v/>
      </c>
      <c r="I479" t="inlineStr">
        <is>
          <t>Dirk Lampe</t>
        </is>
      </c>
      <c r="J479" s="6">
        <f>HYPERLINK("https://www.kleinanzeigen.de/s-bestandsliste.html?userId=30651722", "Link")</f>
        <v/>
      </c>
      <c r="K479" s="7" t="n">
        <v>45549.57534722222</v>
      </c>
      <c r="L479" s="3" t="inlineStr">
        <is>
          <t>198.24</t>
        </is>
      </c>
      <c r="M479" t="inlineStr">
        <is>
          <t>Köln</t>
        </is>
      </c>
    </row>
    <row r="480">
      <c r="A480" t="inlineStr">
        <is>
          <t>Mastfoot: NeilPryde POWER MXT BASE, new with urethane tendon and MXT release system</t>
        </is>
      </c>
      <c r="B480" s="4" t="n">
        <v>85</v>
      </c>
      <c r="C480" t="inlineStr"/>
      <c r="D480" t="inlineStr">
        <is>
          <t>82319 Bayern - Starnberg</t>
        </is>
      </c>
      <c r="E480" s="5" t="n">
        <v>45546</v>
      </c>
      <c r="F480" t="inlineStr"/>
      <c r="G480" s="6">
        <f>HYPERLINK("https://www.kleinanzeigen.de/s-anzeige/neilpryde-power-mxt-base-windsurf-mastfuss-neu-neu-neu/1029692570-230-5525", "Link")</f>
        <v/>
      </c>
      <c r="H480" s="6">
        <f>HYPERLINK("C:\Projects\Kleinanzeigen-Scraper\offer_images\1029692570", "Link")</f>
        <v/>
      </c>
      <c r="I480" t="inlineStr">
        <is>
          <t>No user name</t>
        </is>
      </c>
      <c r="J480" s="6">
        <f>HYPERLINK("https://www.kleinanzeigen.deNo user link", "Link")</f>
        <v/>
      </c>
      <c r="K480" s="7" t="n">
        <v>45549.57525462963</v>
      </c>
      <c r="L480" s="3" t="inlineStr">
        <is>
          <t>23.17</t>
        </is>
      </c>
      <c r="M480" t="inlineStr">
        <is>
          <t>München</t>
        </is>
      </c>
    </row>
    <row r="481">
      <c r="A481" t="inlineStr">
        <is>
          <t>Fin: Tabou 24 cm US Box</t>
        </is>
      </c>
      <c r="B481" s="4" t="n">
        <v>60</v>
      </c>
      <c r="C481" t="inlineStr">
        <is>
          <t>VB</t>
        </is>
      </c>
      <c r="D481" t="inlineStr">
        <is>
          <t>21614 Niedersachsen - Buxtehude</t>
        </is>
      </c>
      <c r="E481" s="5" t="n">
        <v>45094</v>
      </c>
      <c r="F481" t="inlineStr"/>
      <c r="G481" s="6">
        <f>HYPERLINK("https://www.kleinanzeigen.de/s-anzeige/finne-wave-tabou-24-cm-us-box/2470975890-230-3328", "Link")</f>
        <v/>
      </c>
      <c r="H481" s="6">
        <f>HYPERLINK("C:\Projects\Kleinanzeigen-Scraper\offer_images\2470975890", "Link")</f>
        <v/>
      </c>
      <c r="I481" t="inlineStr">
        <is>
          <t>Sandra</t>
        </is>
      </c>
      <c r="J481" s="6">
        <f>HYPERLINK("https://www.kleinanzeigen.de/s-bestandsliste.html?userId=131282154", "Link")</f>
        <v/>
      </c>
      <c r="K481" s="7" t="n">
        <v>45549.5752199074</v>
      </c>
      <c r="L481" s="3" t="inlineStr">
        <is>
          <t>336.75</t>
        </is>
      </c>
      <c r="M481" t="inlineStr">
        <is>
          <t>Köln</t>
        </is>
      </c>
    </row>
    <row r="482">
      <c r="A482" t="inlineStr">
        <is>
          <t>Fin: Maui Fin Company 42 cm Power Box Finne, good condition</t>
        </is>
      </c>
      <c r="B482" s="4" t="n">
        <v>69</v>
      </c>
      <c r="C482" t="inlineStr">
        <is>
          <t>VB</t>
        </is>
      </c>
      <c r="D482" t="inlineStr">
        <is>
          <t>79359 Baden-Württemberg - Riegel</t>
        </is>
      </c>
      <c r="E482" s="5" t="n">
        <v>45529</v>
      </c>
      <c r="F482" t="inlineStr"/>
      <c r="G482" s="6">
        <f>HYPERLINK("https://www.kleinanzeigen.de/s-anzeige/maui-fin-company-42-cm-finne-naish/2845819506-230-8911", "Link")</f>
        <v/>
      </c>
      <c r="H482" s="6">
        <f>HYPERLINK("C:\Projects\Kleinanzeigen-Scraper\offer_images\2845819506", "Link")</f>
        <v/>
      </c>
      <c r="I482" t="inlineStr">
        <is>
          <t>Oliver Hartmann</t>
        </is>
      </c>
      <c r="J482" s="6">
        <f>HYPERLINK("https://www.kleinanzeigen.de/s-bestandsliste.html?userId=32870287", "Link")</f>
        <v/>
      </c>
      <c r="K482" s="7" t="n">
        <v>45549.57517361111</v>
      </c>
      <c r="L482" s="3" t="inlineStr">
        <is>
          <t>57.55</t>
        </is>
      </c>
      <c r="M482" t="inlineStr">
        <is>
          <t>Bonndorf</t>
        </is>
      </c>
    </row>
    <row r="483">
      <c r="A483" t="inlineStr">
        <is>
          <t>Mastfoot: Pin System, suitable for specific boards, likely for older models.</t>
        </is>
      </c>
      <c r="B483" s="4" t="n">
        <v>19</v>
      </c>
      <c r="C483" t="inlineStr"/>
      <c r="D483" t="inlineStr">
        <is>
          <t>14513 Brandenburg - Teltow</t>
        </is>
      </c>
      <c r="E483" s="5" t="n">
        <v>45548</v>
      </c>
      <c r="F483" t="inlineStr">
        <is>
          <t>Sold</t>
        </is>
      </c>
      <c r="G483" s="6">
        <f>HYPERLINK("https://www.kleinanzeigen.de/s-anzeige/mastfuss-pin-system-windsurfen/2862081011-230-7939", "Link")</f>
        <v/>
      </c>
      <c r="H483" s="6">
        <f>HYPERLINK("C:\Projects\Kleinanzeigen-Scraper\offer_images\2862081011", "Link")</f>
        <v/>
      </c>
      <c r="I483" t="inlineStr">
        <is>
          <t>Thomas</t>
        </is>
      </c>
      <c r="J483" s="6">
        <f>HYPERLINK("https://www.kleinanzeigen.de/s-bestandsliste.html?userId=25517038", "Link")</f>
        <v/>
      </c>
      <c r="K483" s="7" t="n">
        <v>45549.57517361111</v>
      </c>
      <c r="L483" s="3" t="inlineStr">
        <is>
          <t>464.56</t>
        </is>
      </c>
      <c r="M483" t="inlineStr">
        <is>
          <t>Köln</t>
        </is>
      </c>
    </row>
    <row r="484">
      <c r="A484" t="inlineStr">
        <is>
          <t>Mast extension: Various extensions included in the lot</t>
        </is>
      </c>
      <c r="B484" s="4" t="n">
        <v>20</v>
      </c>
      <c r="C484" t="inlineStr">
        <is>
          <t>VB</t>
        </is>
      </c>
      <c r="D484" t="inlineStr">
        <is>
          <t>71384 Baden-Württemberg - Weinstadt</t>
        </is>
      </c>
      <c r="E484" s="5" t="n">
        <v>45548</v>
      </c>
      <c r="F484" t="inlineStr">
        <is>
          <t>Sold</t>
        </is>
      </c>
      <c r="G484" s="6">
        <f>HYPERLINK("https://www.kleinanzeigen.de/s-anzeige/windsurf-mastverlaengerung-konvolut/2862314929-230-8386", "Link")</f>
        <v/>
      </c>
      <c r="H484" s="6">
        <f>HYPERLINK("C:\Projects\Kleinanzeigen-Scraper\offer_images\2862314929", "Link")</f>
        <v/>
      </c>
      <c r="I484" t="inlineStr">
        <is>
          <t>Frank</t>
        </is>
      </c>
      <c r="J484" s="6">
        <f>HYPERLINK("https://www.kleinanzeigen.de/s-bestandsliste.html?userId=5342134", "Link")</f>
        <v/>
      </c>
      <c r="K484" s="7" t="n">
        <v>45549.57515046297</v>
      </c>
      <c r="L484" s="3" t="inlineStr">
        <is>
          <t>33.53</t>
        </is>
      </c>
      <c r="M484" t="inlineStr">
        <is>
          <t>Böblingen</t>
        </is>
      </c>
    </row>
    <row r="485">
      <c r="A485" t="inlineStr">
        <is>
          <t>Clickbar: Duotone Clickbar 2022 Model - M 22-24m with 2m Extensions</t>
        </is>
      </c>
      <c r="B485" s="4" t="n">
        <v>199</v>
      </c>
      <c r="C485" t="inlineStr">
        <is>
          <t>VB</t>
        </is>
      </c>
      <c r="D485" t="inlineStr">
        <is>
          <t>24321 Schleswig-Holstein - Lütjenburg</t>
        </is>
      </c>
      <c r="E485" s="5" t="n">
        <v>45542</v>
      </c>
      <c r="F485" t="inlineStr">
        <is>
          <t>Sold</t>
        </is>
      </c>
      <c r="G485" s="6">
        <f>HYPERLINK("https://www.kleinanzeigen.de/s-anzeige/duotone-clickbar-2022-model-m-22-24m/2856342085-230-10594", "Link")</f>
        <v/>
      </c>
      <c r="H485" s="6">
        <f>HYPERLINK("C:\Projects\Kleinanzeigen-Scraper\offer_images\2856342085", "Link")</f>
        <v/>
      </c>
      <c r="I485" t="inlineStr">
        <is>
          <t>Jan Barthel</t>
        </is>
      </c>
      <c r="J485" s="6">
        <f>HYPERLINK("https://www.kleinanzeigen.de/s-bestandsliste.html?userId=21640677", "Link")</f>
        <v/>
      </c>
      <c r="K485" s="7" t="n">
        <v>45549.57512731481</v>
      </c>
      <c r="L485" s="3" t="inlineStr">
        <is>
          <t>446.03</t>
        </is>
      </c>
      <c r="M485" t="inlineStr">
        <is>
          <t>Köln</t>
        </is>
      </c>
    </row>
    <row r="486">
      <c r="A486" t="inlineStr">
        <is>
          <t>Chicken Loop: Duotone Chicken Loop for Rope Harness</t>
        </is>
      </c>
      <c r="B486" s="4" t="n">
        <v>35</v>
      </c>
      <c r="C486" t="inlineStr"/>
      <c r="D486" t="inlineStr">
        <is>
          <t>86899 Bayern - Landsberg (Lech)</t>
        </is>
      </c>
      <c r="E486" s="5" t="n">
        <v>45548</v>
      </c>
      <c r="F486" t="inlineStr">
        <is>
          <t>Sold</t>
        </is>
      </c>
      <c r="G486" s="6">
        <f>HYPERLINK("https://www.kleinanzeigen.de/s-anzeige/duotone-chicken-loop-for-rope-harness/2862392448-230-7091", "Link")</f>
        <v/>
      </c>
      <c r="H486" s="6">
        <f>HYPERLINK("C:\Projects\Kleinanzeigen-Scraper\offer_images\2862392448", "Link")</f>
        <v/>
      </c>
      <c r="I486" t="inlineStr">
        <is>
          <t>Chris</t>
        </is>
      </c>
      <c r="J486" s="6">
        <f>HYPERLINK("https://www.kleinanzeigen.de/s-bestandsliste.html?userId=16182812", "Link")</f>
        <v/>
      </c>
      <c r="K486" s="7" t="n">
        <v>45549.57508101852</v>
      </c>
      <c r="L486" s="3" t="inlineStr">
        <is>
          <t>55.05</t>
        </is>
      </c>
      <c r="M486" t="inlineStr">
        <is>
          <t>München</t>
        </is>
      </c>
    </row>
    <row r="487">
      <c r="A487" t="inlineStr">
        <is>
          <t>Adapter: Deep Tuttle Adapter for Foils from Duotone and Fanatic, includes screws</t>
        </is>
      </c>
      <c r="B487" s="4" t="n">
        <v>30</v>
      </c>
      <c r="C487" t="inlineStr">
        <is>
          <t>VB</t>
        </is>
      </c>
      <c r="D487" t="inlineStr">
        <is>
          <t>82211 Bayern - Herrsching</t>
        </is>
      </c>
      <c r="E487" s="5" t="n">
        <v>45531</v>
      </c>
      <c r="F487" t="inlineStr">
        <is>
          <t>Sold</t>
        </is>
      </c>
      <c r="G487" s="6">
        <f>HYPERLINK("https://www.kleinanzeigen.de/s-anzeige/fanatic-duotone-adapter-deep-tuttle-box-3-0/2848053819-230-5520", "Link")</f>
        <v/>
      </c>
      <c r="H487" s="6">
        <f>HYPERLINK("C:\Projects\Kleinanzeigen-Scraper\offer_images\2848053819", "Link")</f>
        <v/>
      </c>
      <c r="I487" t="inlineStr">
        <is>
          <t>Christoph V.</t>
        </is>
      </c>
      <c r="J487" s="6">
        <f>HYPERLINK("https://www.kleinanzeigen.de/s-bestandsliste.html?userId=18100649", "Link")</f>
        <v/>
      </c>
      <c r="K487" s="7" t="n">
        <v>45549.575</v>
      </c>
      <c r="L487" s="3" t="inlineStr">
        <is>
          <t>32.73</t>
        </is>
      </c>
      <c r="M487" t="inlineStr">
        <is>
          <t>München</t>
        </is>
      </c>
    </row>
    <row r="488">
      <c r="A488" t="inlineStr">
        <is>
          <t>Fin: Fanatic Finne Pb 27cm Skate Powerbox, new</t>
        </is>
      </c>
      <c r="B488" s="4" t="n">
        <v>100</v>
      </c>
      <c r="C488" t="inlineStr"/>
      <c r="D488" t="inlineStr">
        <is>
          <t>26624 Niedersachsen - Südbrookmerland</t>
        </is>
      </c>
      <c r="E488" s="5" t="n">
        <v>45533</v>
      </c>
      <c r="F488" t="inlineStr">
        <is>
          <t>Sold</t>
        </is>
      </c>
      <c r="G488" s="6">
        <f>HYPERLINK("https://www.kleinanzeigen.de/s-anzeige/fanatic-finne-pb-27cm-skate-powerbox-neu/2848922053-230-2748", "Link")</f>
        <v/>
      </c>
      <c r="H488" s="6">
        <f>HYPERLINK("C:\Projects\Kleinanzeigen-Scraper\offer_images\2848922053", "Link")</f>
        <v/>
      </c>
      <c r="I488" t="inlineStr">
        <is>
          <t>joi</t>
        </is>
      </c>
      <c r="J488" s="6">
        <f>HYPERLINK("https://www.kleinanzeigen.de/s-bestandsliste.html?userId=2785704", "Link")</f>
        <v/>
      </c>
      <c r="K488" s="7" t="n">
        <v>45549.57496527778</v>
      </c>
      <c r="L488" s="3" t="inlineStr">
        <is>
          <t>284.91</t>
        </is>
      </c>
      <c r="M488" t="inlineStr">
        <is>
          <t>Köln</t>
        </is>
      </c>
    </row>
    <row r="489">
      <c r="A489" t="inlineStr">
        <is>
          <t>Mastbase: Neuwertige Mastbase des Fanatic / ART Trimmsystems</t>
        </is>
      </c>
      <c r="B489" s="4" t="n">
        <v>10</v>
      </c>
      <c r="C489" t="inlineStr"/>
      <c r="D489" t="inlineStr">
        <is>
          <t>24649 Schleswig-Holstein - Fuhlendorf</t>
        </is>
      </c>
      <c r="E489" s="5" t="n">
        <v>45520</v>
      </c>
      <c r="F489" t="inlineStr">
        <is>
          <t>Sold</t>
        </is>
      </c>
      <c r="G489" s="6">
        <f>HYPERLINK("https://www.kleinanzeigen.de/s-anzeige/mastbase-mastfuss-von-fanatic-art/2838258972-230-25783", "Link")</f>
        <v/>
      </c>
      <c r="H489" s="6">
        <f>HYPERLINK("C:\Projects\Kleinanzeigen-Scraper\offer_images\2838258972", "Link")</f>
        <v/>
      </c>
      <c r="I489" t="inlineStr">
        <is>
          <t>Olaf</t>
        </is>
      </c>
      <c r="J489" s="6">
        <f>HYPERLINK("https://www.kleinanzeigen.de/s-bestandsliste.html?userId=11148071", "Link")</f>
        <v/>
      </c>
      <c r="K489" s="7" t="n">
        <v>45549.57496527778</v>
      </c>
      <c r="L489" s="3" t="inlineStr">
        <is>
          <t>390.68</t>
        </is>
      </c>
      <c r="M489" t="inlineStr">
        <is>
          <t>Köln</t>
        </is>
      </c>
    </row>
    <row r="490">
      <c r="A490" t="inlineStr">
        <is>
          <t>Bar: North Bar 5the Element, compatible with all North and Duotone Kites</t>
        </is>
      </c>
      <c r="B490" s="4" t="n">
        <v>80</v>
      </c>
      <c r="C490" t="inlineStr"/>
      <c r="D490" t="inlineStr">
        <is>
          <t>17379 Mecklenburg-Vorpommern - Wilhelmsburg</t>
        </is>
      </c>
      <c r="E490" s="5" t="n">
        <v>45537</v>
      </c>
      <c r="F490" t="inlineStr">
        <is>
          <t>Sold</t>
        </is>
      </c>
      <c r="G490" s="6">
        <f>HYPERLINK("https://www.kleinanzeigen.de/s-anzeige/north-bar-5the-element-jetzt-duotone/2836505655-230-209", "Link")</f>
        <v/>
      </c>
      <c r="H490" s="6">
        <f>HYPERLINK("C:\Projects\Kleinanzeigen-Scraper\offer_images\2836505655", "Link")</f>
        <v/>
      </c>
      <c r="I490" t="inlineStr">
        <is>
          <t>Christian</t>
        </is>
      </c>
      <c r="J490" s="6">
        <f>HYPERLINK("https://www.kleinanzeigen.de/s-bestandsliste.html?userId=6279989", "Link")</f>
        <v/>
      </c>
      <c r="K490" s="7" t="n">
        <v>45549.57489583334</v>
      </c>
      <c r="L490" s="3" t="inlineStr">
        <is>
          <t>559.87</t>
        </is>
      </c>
      <c r="M490" t="inlineStr">
        <is>
          <t>Köln</t>
        </is>
      </c>
    </row>
    <row r="491">
      <c r="A491" t="inlineStr">
        <is>
          <t>Safety Leash: North Safety Leash, unused</t>
        </is>
      </c>
      <c r="B491" s="4" t="n">
        <v>24</v>
      </c>
      <c r="C491" t="inlineStr">
        <is>
          <t>VB</t>
        </is>
      </c>
      <c r="D491" t="inlineStr">
        <is>
          <t>82041 Kr. München - Oberhaching</t>
        </is>
      </c>
      <c r="E491" s="5" t="n">
        <v>45545</v>
      </c>
      <c r="F491" t="inlineStr">
        <is>
          <t>Sold</t>
        </is>
      </c>
      <c r="G491" s="6">
        <f>HYPERLINK("https://www.kleinanzeigen.de/s-anzeige/north-safety-leash-kite/2859899173-230-17092", "Link")</f>
        <v/>
      </c>
      <c r="H491" s="6">
        <f>HYPERLINK("C:\Projects\Kleinanzeigen-Scraper\offer_images\2859899173", "Link")</f>
        <v/>
      </c>
      <c r="I491" t="inlineStr">
        <is>
          <t>Giuliano</t>
        </is>
      </c>
      <c r="J491" s="6">
        <f>HYPERLINK("https://www.kleinanzeigen.de/s-bestandsliste.html?userId=32090376", "Link")</f>
        <v/>
      </c>
      <c r="K491" s="7" t="n">
        <v>45549.57484953704</v>
      </c>
      <c r="L491" s="3" t="inlineStr">
        <is>
          <t>12.39</t>
        </is>
      </c>
      <c r="M491" t="inlineStr">
        <is>
          <t>München</t>
        </is>
      </c>
    </row>
    <row r="492">
      <c r="A492" t="inlineStr">
        <is>
          <t>Foil Adapter: Fanatic Foil Adapter Deep Tuttle Box 3.0, includes screws and wrench</t>
        </is>
      </c>
      <c r="B492" s="4" t="n">
        <v>30</v>
      </c>
      <c r="C492" t="inlineStr"/>
      <c r="D492" t="inlineStr">
        <is>
          <t>82229 Bayern - Seefeld</t>
        </is>
      </c>
      <c r="E492" s="5" t="n">
        <v>45508</v>
      </c>
      <c r="F492" t="inlineStr">
        <is>
          <t>Sold</t>
        </is>
      </c>
      <c r="G492" s="6">
        <f>HYPERLINK("https://www.kleinanzeigen.de/s-anzeige/fanatic-foil-adapter-deep-tuttle-box-3-0/2828720098-230-5519", "Link")</f>
        <v/>
      </c>
      <c r="H492" s="6">
        <f>HYPERLINK("C:\Projects\Kleinanzeigen-Scraper\offer_images\2828720098", "Link")</f>
        <v/>
      </c>
      <c r="I492" t="inlineStr">
        <is>
          <t>Robin</t>
        </is>
      </c>
      <c r="J492" s="6">
        <f>HYPERLINK("https://www.kleinanzeigen.de/s-bestandsliste.html?userId=10122780", "Link")</f>
        <v/>
      </c>
      <c r="K492" s="7" t="n">
        <v>45549.57483796297</v>
      </c>
      <c r="L492" s="3" t="inlineStr">
        <is>
          <t>27.49</t>
        </is>
      </c>
      <c r="M492" t="inlineStr">
        <is>
          <t>München</t>
        </is>
      </c>
    </row>
    <row r="493">
      <c r="A493" t="inlineStr">
        <is>
          <t>Harness Lines: 22 inch</t>
        </is>
      </c>
      <c r="B493" s="4" t="n">
        <v>20</v>
      </c>
      <c r="C493" t="inlineStr"/>
      <c r="D493" t="inlineStr">
        <is>
          <t>83022 Bayern - Rosenheim</t>
        </is>
      </c>
      <c r="E493" s="5" t="n">
        <v>45519</v>
      </c>
      <c r="F493" t="inlineStr"/>
      <c r="G493" s="6">
        <f>HYPERLINK("https://www.kleinanzeigen.de/s-anzeige/neilpryde-trapeztampen-harness-line-22-/2837225583-230-7581", "Link")</f>
        <v/>
      </c>
      <c r="H493" s="6">
        <f>HYPERLINK("C:\Projects\Kleinanzeigen-Scraper\offer_images\2837225583", "Link")</f>
        <v/>
      </c>
      <c r="I493" t="inlineStr">
        <is>
          <t>Martin</t>
        </is>
      </c>
      <c r="J493" s="6">
        <f>HYPERLINK("https://www.kleinanzeigen.de/s-bestandsliste.html?userId=39638648", "Link")</f>
        <v/>
      </c>
      <c r="K493" s="7" t="n">
        <v>45549.57481481481</v>
      </c>
      <c r="L493" s="3" t="inlineStr">
        <is>
          <t>52.12</t>
        </is>
      </c>
      <c r="M493" t="inlineStr">
        <is>
          <t>München</t>
        </is>
      </c>
    </row>
    <row r="494">
      <c r="A494" t="inlineStr">
        <is>
          <t>Mast extension: 42cm, used but functional</t>
        </is>
      </c>
      <c r="B494" s="4" t="n">
        <v>15</v>
      </c>
      <c r="C494" t="inlineStr"/>
      <c r="D494" t="inlineStr">
        <is>
          <t>24217 Schleswig-Holstein - Schönberg (Holstein)</t>
        </is>
      </c>
      <c r="E494" s="5" t="n">
        <v>45545</v>
      </c>
      <c r="F494" t="inlineStr">
        <is>
          <t>Sold</t>
        </is>
      </c>
      <c r="G494" s="6">
        <f>HYPERLINK("https://www.kleinanzeigen.de/s-anzeige/north-verlaengerung-42cm/2859197016-230-18587", "Link")</f>
        <v/>
      </c>
      <c r="H494" s="6">
        <f>HYPERLINK("C:\Projects\Kleinanzeigen-Scraper\offer_images\2859197016", "Link")</f>
        <v/>
      </c>
      <c r="I494" t="inlineStr">
        <is>
          <t>S.Wahl</t>
        </is>
      </c>
      <c r="J494" s="6">
        <f>HYPERLINK("https://www.kleinanzeigen.de/s-bestandsliste.html?userId=11293188", "Link")</f>
        <v/>
      </c>
      <c r="K494" s="7" t="n">
        <v>45549.57481481481</v>
      </c>
      <c r="L494" s="3" t="inlineStr">
        <is>
          <t>447.79</t>
        </is>
      </c>
      <c r="M494" t="inlineStr">
        <is>
          <t>Köln</t>
        </is>
      </c>
    </row>
    <row r="495">
      <c r="A495" t="inlineStr">
        <is>
          <t>Mast extension: Neilpryde UXT SDM Alu</t>
        </is>
      </c>
      <c r="B495" s="4" t="n">
        <v>25</v>
      </c>
      <c r="C495" t="inlineStr"/>
      <c r="D495" t="inlineStr">
        <is>
          <t>71093 Baden-Württemberg - Weil im Schönbuch</t>
        </is>
      </c>
      <c r="E495" s="5" t="n">
        <v>45528</v>
      </c>
      <c r="F495" t="inlineStr"/>
      <c r="G495" s="6">
        <f>HYPERLINK("https://www.kleinanzeigen.de/s-anzeige/windsurfverlaengerung-sdm-neilpryde/2844660412-230-8785", "Link")</f>
        <v/>
      </c>
      <c r="H495" s="6">
        <f>HYPERLINK("C:\Projects\Kleinanzeigen-Scraper\offer_images\2844660412", "Link")</f>
        <v/>
      </c>
      <c r="I495" t="inlineStr">
        <is>
          <t>Schorschi</t>
        </is>
      </c>
      <c r="J495" s="6">
        <f>HYPERLINK("https://www.kleinanzeigen.de/s-bestandsliste.html?userId=71398211", "Link")</f>
        <v/>
      </c>
      <c r="K495" s="7" t="n">
        <v>45549.57479166667</v>
      </c>
      <c r="L495" s="3" t="inlineStr">
        <is>
          <t>9.52</t>
        </is>
      </c>
      <c r="M495" t="inlineStr">
        <is>
          <t>Böblingen</t>
        </is>
      </c>
    </row>
    <row r="496">
      <c r="A496" t="inlineStr">
        <is>
          <t>Windsurf Bar: North Navigator Bar 2022, 45-50 cm, Green/Black, in good condition</t>
        </is>
      </c>
      <c r="B496" s="4" t="n">
        <v>275</v>
      </c>
      <c r="C496" t="inlineStr">
        <is>
          <t>VB</t>
        </is>
      </c>
      <c r="D496" t="inlineStr">
        <is>
          <t>26465 Niedersachsen - Langeoog</t>
        </is>
      </c>
      <c r="E496" s="5" t="n">
        <v>45538</v>
      </c>
      <c r="F496" t="inlineStr">
        <is>
          <t>Sold</t>
        </is>
      </c>
      <c r="G496" s="6">
        <f>HYPERLINK("https://www.kleinanzeigen.de/s-anzeige/north-navigator-bar-2022-45-50-cm-green-black/2853380200-230-2480", "Link")</f>
        <v/>
      </c>
      <c r="H496" s="6">
        <f>HYPERLINK("C:\Projects\Kleinanzeigen-Scraper\offer_images\2853380200", "Link")</f>
        <v/>
      </c>
      <c r="I496" t="inlineStr">
        <is>
          <t>Tidens Surfhuus</t>
        </is>
      </c>
      <c r="J496" s="6">
        <f>HYPERLINK("https://www.kleinanzeigen.de/s-bestandsliste.html?userId=122521264", "Link")</f>
        <v/>
      </c>
      <c r="K496" s="7" t="n">
        <v>45549.57472222222</v>
      </c>
      <c r="L496" s="3" t="inlineStr">
        <is>
          <t>314.45</t>
        </is>
      </c>
      <c r="M496" t="inlineStr">
        <is>
          <t>Köln</t>
        </is>
      </c>
    </row>
    <row r="497">
      <c r="A497" t="inlineStr">
        <is>
          <t>Harness: Naish Sitztrapez in Größe S, unbenutzt</t>
        </is>
      </c>
      <c r="B497" s="4" t="n">
        <v>80</v>
      </c>
      <c r="C497" t="inlineStr">
        <is>
          <t>VB</t>
        </is>
      </c>
      <c r="D497" t="inlineStr">
        <is>
          <t>49632 Niedersachsen - Essen (Oldenburg)</t>
        </is>
      </c>
      <c r="E497" s="5" t="n">
        <v>45505</v>
      </c>
      <c r="F497" t="inlineStr">
        <is>
          <t>Sold</t>
        </is>
      </c>
      <c r="G497" s="6">
        <f>HYPERLINK("https://www.kleinanzeigen.de/s-anzeige/naish-zone-s-sitz-trapez/2826228274-230-2598", "Link")</f>
        <v/>
      </c>
      <c r="H497" s="6">
        <f>HYPERLINK("C:\Projects\Kleinanzeigen-Scraper\offer_images\2826228274", "Link")</f>
        <v/>
      </c>
      <c r="I497" t="inlineStr">
        <is>
          <t>Jörg Meyer</t>
        </is>
      </c>
      <c r="J497" s="6">
        <f>HYPERLINK("https://www.kleinanzeigen.de/s-bestandsliste.html?userId=23095476", "Link")</f>
        <v/>
      </c>
      <c r="K497" s="7" t="n">
        <v>45549.57472222222</v>
      </c>
      <c r="L497" s="3" t="inlineStr">
        <is>
          <t>208.91</t>
        </is>
      </c>
      <c r="M497" t="inlineStr">
        <is>
          <t>Köln</t>
        </is>
      </c>
    </row>
    <row r="498">
      <c r="A498" t="inlineStr">
        <is>
          <t>Control Bar: Naish bar torque BTB55, compatible with Duotone, Core, F-One, Slingshot</t>
        </is>
      </c>
      <c r="B498" s="4" t="n">
        <v>150</v>
      </c>
      <c r="C498" t="inlineStr">
        <is>
          <t>VB</t>
        </is>
      </c>
      <c r="D498" t="inlineStr">
        <is>
          <t>72127 Baden-Württemberg - Kusterdingen</t>
        </is>
      </c>
      <c r="E498" s="5" t="n">
        <v>45466</v>
      </c>
      <c r="F498" t="inlineStr">
        <is>
          <t>Sold</t>
        </is>
      </c>
      <c r="G498" s="6">
        <f>HYPERLINK("https://www.kleinanzeigen.de/s-anzeige/naish-bar-torque-btb55-duotone-core-f-one-slingshot/2795317472-230-9092", "Link")</f>
        <v/>
      </c>
      <c r="H498" s="6">
        <f>HYPERLINK("C:\Projects\Kleinanzeigen-Scraper\offer_images\2795317472", "Link")</f>
        <v/>
      </c>
      <c r="I498" t="inlineStr">
        <is>
          <t>Stefan</t>
        </is>
      </c>
      <c r="J498" s="6">
        <f>HYPERLINK("https://www.kleinanzeigen.de/s-bestandsliste.html?userId=141970408", "Link")</f>
        <v/>
      </c>
      <c r="K498" s="7" t="n">
        <v>45549.57467592593</v>
      </c>
      <c r="L498" s="3" t="inlineStr">
        <is>
          <t>22.68</t>
        </is>
      </c>
      <c r="M498" t="inlineStr">
        <is>
          <t>Böblingen</t>
        </is>
      </c>
    </row>
    <row r="499">
      <c r="A499" t="inlineStr">
        <is>
          <t>Harness: Point7 windsurf trapez, size L, used but in good functional condition</t>
        </is>
      </c>
      <c r="B499" s="4" t="n">
        <v>80</v>
      </c>
      <c r="C499" t="inlineStr">
        <is>
          <t>VB</t>
        </is>
      </c>
      <c r="D499" t="inlineStr">
        <is>
          <t>81371 München - Sendling</t>
        </is>
      </c>
      <c r="E499" s="5" t="n">
        <v>45458</v>
      </c>
      <c r="F499" t="inlineStr"/>
      <c r="G499" s="6">
        <f>HYPERLINK("https://www.kleinanzeigen.de/s-anzeige/point7-harness-windsurf-trapez-groesse-l/2788873959-230-6416", "Link")</f>
        <v/>
      </c>
      <c r="H499" s="6">
        <f>HYPERLINK("C:\Projects\Kleinanzeigen-Scraper\offer_images\2788873959", "Link")</f>
        <v/>
      </c>
      <c r="I499" t="inlineStr">
        <is>
          <t>dominik</t>
        </is>
      </c>
      <c r="J499" s="6">
        <f>HYPERLINK("https://www.kleinanzeigen.de/s-bestandsliste.html?userId=30358238", "Link")</f>
        <v/>
      </c>
      <c r="K499" s="7" t="n">
        <v>45549.5746412037</v>
      </c>
      <c r="L499" s="3" t="inlineStr">
        <is>
          <t>2.76</t>
        </is>
      </c>
      <c r="M499" t="inlineStr">
        <is>
          <t>München</t>
        </is>
      </c>
    </row>
    <row r="500">
      <c r="A500" t="inlineStr">
        <is>
          <t>Mastfoot Protection: Neuwertig Mastfuß-Schutz Cover for windsurfing</t>
        </is>
      </c>
      <c r="B500" s="4" t="n">
        <v>7</v>
      </c>
      <c r="C500" t="inlineStr">
        <is>
          <t>VB</t>
        </is>
      </c>
      <c r="D500" t="inlineStr">
        <is>
          <t>86825 Bayern - Bad Wörishofen</t>
        </is>
      </c>
      <c r="E500" s="5" t="n">
        <v>45549</v>
      </c>
      <c r="F500" t="inlineStr">
        <is>
          <t>Sold</t>
        </is>
      </c>
      <c r="G500" s="6">
        <f>HYPERLINK("https://www.kleinanzeigen.de/s-anzeige/mastpad-mastfuss-schutz-cover-boardschutz-windsurfen-enemii/2862638150-230-7257", "Link")</f>
        <v/>
      </c>
      <c r="H500" s="6">
        <f>HYPERLINK("C:\Projects\Kleinanzeigen-Scraper\offer_images\2862638150", "Link")</f>
        <v/>
      </c>
      <c r="I500" t="inlineStr">
        <is>
          <t>peckmick</t>
        </is>
      </c>
      <c r="J500" s="6">
        <f>HYPERLINK("https://www.kleinanzeigen.de/s-bestandsliste.html?userId=75769172", "Link")</f>
        <v/>
      </c>
      <c r="K500" s="7" t="n">
        <v>45549.57462962963</v>
      </c>
      <c r="L500" s="3" t="inlineStr">
        <is>
          <t>74.63</t>
        </is>
      </c>
      <c r="M500" t="inlineStr">
        <is>
          <t>München</t>
        </is>
      </c>
    </row>
    <row r="501">
      <c r="A501" t="inlineStr">
        <is>
          <t>Harness: Neilpryde Sitztrapez, size L, suitable for beginners</t>
        </is>
      </c>
      <c r="B501" s="4" t="n">
        <v>10</v>
      </c>
      <c r="C501" t="inlineStr"/>
      <c r="D501" t="inlineStr">
        <is>
          <t>78112 Baden-Württemberg - St. Georgen</t>
        </is>
      </c>
      <c r="E501" s="5" t="n">
        <v>45473</v>
      </c>
      <c r="F501" t="inlineStr"/>
      <c r="G501" s="6">
        <f>HYPERLINK("https://www.kleinanzeigen.de/s-anzeige/neilpryde-sitztrapez/2800312231-230-9107", "Link")</f>
        <v/>
      </c>
      <c r="H501" s="6">
        <f>HYPERLINK("C:\Projects\Kleinanzeigen-Scraper\offer_images\2800312231", "Link")</f>
        <v/>
      </c>
      <c r="I501" t="inlineStr">
        <is>
          <t>Arved Räuber</t>
        </is>
      </c>
      <c r="J501" s="6">
        <f>HYPERLINK("https://www.kleinanzeigen.de/s-bestandsliste.html?userId=81218467", "Link")</f>
        <v/>
      </c>
      <c r="K501" s="7" t="n">
        <v>45549.57458333333</v>
      </c>
      <c r="L501" s="3" t="inlineStr">
        <is>
          <t>34.47</t>
        </is>
      </c>
      <c r="M501" t="inlineStr">
        <is>
          <t>Bonndorf</t>
        </is>
      </c>
    </row>
    <row r="502">
      <c r="A502" t="inlineStr">
        <is>
          <t>Fin: North Shore JH Sideshore 210 US Box, good condition with minor signs of use</t>
        </is>
      </c>
      <c r="B502" s="4" t="n">
        <v>26</v>
      </c>
      <c r="C502" t="inlineStr"/>
      <c r="D502" t="inlineStr">
        <is>
          <t>51519 Nordrhein-Westfalen - Odenthal</t>
        </is>
      </c>
      <c r="E502" s="5" t="n">
        <v>45538</v>
      </c>
      <c r="F502" t="inlineStr">
        <is>
          <t>Sold</t>
        </is>
      </c>
      <c r="G502" s="6">
        <f>HYPERLINK("https://www.kleinanzeigen.de/s-anzeige/surf-finne-wave-finne-north-shore-jh-sideshore-210-us-box/2852996284-230-1114", "Link")</f>
        <v/>
      </c>
      <c r="H502" s="6">
        <f>HYPERLINK("C:\Projects\Kleinanzeigen-Scraper\offer_images\2852996284", "Link")</f>
        <v/>
      </c>
      <c r="I502" t="inlineStr">
        <is>
          <t>Olaf Herrmann</t>
        </is>
      </c>
      <c r="J502" s="6">
        <f>HYPERLINK("https://www.kleinanzeigen.de/s-bestandsliste.html?userId=20733006", "Link")</f>
        <v/>
      </c>
      <c r="K502" s="7" t="n">
        <v>45549.57452546297</v>
      </c>
      <c r="L502" s="3" t="inlineStr">
        <is>
          <t>15.82</t>
        </is>
      </c>
      <c r="M502" t="inlineStr">
        <is>
          <t>Köln</t>
        </is>
      </c>
    </row>
    <row r="503">
      <c r="A503" t="inlineStr">
        <is>
          <t>Footstraps: New, 3 pieces complete with screws and plates, original packaging</t>
        </is>
      </c>
      <c r="B503" s="4" t="n">
        <v>50</v>
      </c>
      <c r="C503" t="inlineStr">
        <is>
          <t>VB</t>
        </is>
      </c>
      <c r="D503" t="inlineStr">
        <is>
          <t>18057 Rostock - Kröpeliner-Tor-Vorstadt</t>
        </is>
      </c>
      <c r="E503" s="5" t="n">
        <v>45547</v>
      </c>
      <c r="F503" t="inlineStr">
        <is>
          <t>Sold</t>
        </is>
      </c>
      <c r="G503" s="6">
        <f>HYPERLINK("https://www.kleinanzeigen.de/s-anzeige/fussschlaufen-duotone/2861459305-230-156", "Link")</f>
        <v/>
      </c>
      <c r="H503" s="6">
        <f>HYPERLINK("C:\Projects\Kleinanzeigen-Scraper\offer_images\2861459305", "Link")</f>
        <v/>
      </c>
      <c r="I503" t="inlineStr">
        <is>
          <t>Manthei, Andreas</t>
        </is>
      </c>
      <c r="J503" s="6">
        <f>HYPERLINK("https://www.kleinanzeigen.de/s-bestandsliste.html?userId=8462996", "Link")</f>
        <v/>
      </c>
      <c r="K503" s="7" t="n">
        <v>45549.57447916667</v>
      </c>
      <c r="L503" s="3" t="inlineStr">
        <is>
          <t>494.07</t>
        </is>
      </c>
      <c r="M503" t="inlineStr">
        <is>
          <t>Köln</t>
        </is>
      </c>
    </row>
    <row r="504">
      <c r="A504" t="inlineStr">
        <is>
          <t>Fuselage: Starboard Quick Lock II Fuselage with spacers, compatible with all Quick Lock masts.</t>
        </is>
      </c>
      <c r="B504" s="4" t="n">
        <v>165</v>
      </c>
      <c r="C504" t="inlineStr">
        <is>
          <t>VB</t>
        </is>
      </c>
      <c r="D504" t="inlineStr">
        <is>
          <t>10115 Berlin - Mitte</t>
        </is>
      </c>
      <c r="E504" s="5" t="n">
        <v>45515</v>
      </c>
      <c r="F504" t="inlineStr"/>
      <c r="G504" s="6">
        <f>HYPERLINK("https://www.kleinanzeigen.de/s-anzeige/starboard-quick-lock-ii-fuselage-mit-spacern/2834826334-230-9668", "Link")</f>
        <v/>
      </c>
      <c r="H504" s="6">
        <f>HYPERLINK("C:\Projects\Kleinanzeigen-Scraper\offer_images\2834826334", "Link")</f>
        <v/>
      </c>
      <c r="I504" t="inlineStr">
        <is>
          <t>Torsten</t>
        </is>
      </c>
      <c r="J504" s="6">
        <f>HYPERLINK("https://www.kleinanzeigen.de/s-bestandsliste.html?userId=9063262", "Link")</f>
        <v/>
      </c>
      <c r="K504" s="7" t="n">
        <v>45549.57447916667</v>
      </c>
      <c r="L504" s="3" t="inlineStr">
        <is>
          <t>476.33</t>
        </is>
      </c>
      <c r="M504" t="inlineStr">
        <is>
          <t>Köln</t>
        </is>
      </c>
    </row>
    <row r="505">
      <c r="A505" t="inlineStr">
        <is>
          <t>Fin: Gun Sails Seegras Finne 33 cm, gebraucht, Powerbox-System</t>
        </is>
      </c>
      <c r="B505" s="4" t="n">
        <v>55</v>
      </c>
      <c r="C505" t="inlineStr"/>
      <c r="D505" t="inlineStr">
        <is>
          <t>38477 Niedersachsen - Jembke</t>
        </is>
      </c>
      <c r="E505" s="5" t="n">
        <v>45533</v>
      </c>
      <c r="F505" t="inlineStr"/>
      <c r="G505" s="6">
        <f>HYPERLINK("https://www.kleinanzeigen.de/s-anzeige/gun-sails-seegras-finne-33-cm/2849139173-230-3088", "Link")</f>
        <v/>
      </c>
      <c r="H505" s="6">
        <f>HYPERLINK("C:\Projects\Kleinanzeigen-Scraper\offer_images\2849139173", "Link")</f>
        <v/>
      </c>
      <c r="I505" t="inlineStr">
        <is>
          <t>Holger</t>
        </is>
      </c>
      <c r="J505" s="6">
        <f>HYPERLINK("https://www.kleinanzeigen.de/s-bestandsliste.html?userId=57318661", "Link")</f>
        <v/>
      </c>
      <c r="K505" s="7" t="n">
        <v>45549.57445601852</v>
      </c>
      <c r="L505" s="3" t="inlineStr">
        <is>
          <t>314.62</t>
        </is>
      </c>
      <c r="M505" t="inlineStr">
        <is>
          <t>Köln</t>
        </is>
      </c>
    </row>
    <row r="506">
      <c r="A506" t="inlineStr">
        <is>
          <t>Impact Vest: Neilpryde 3D Impact, Size M (Euro 48), very good condition</t>
        </is>
      </c>
      <c r="B506" s="4" t="n">
        <v>80</v>
      </c>
      <c r="C506" t="inlineStr"/>
      <c r="D506" t="inlineStr">
        <is>
          <t>96158 Bayern - Frensdorf</t>
        </is>
      </c>
      <c r="E506" s="5" t="n">
        <v>45548</v>
      </c>
      <c r="F506" t="inlineStr"/>
      <c r="G506" s="6">
        <f>HYPERLINK("https://www.kleinanzeigen.de/s-anzeige/neilpryde-3d-impact-vest-groesse-m-48-aufprall-weste/2549490902-230-6907", "Link")</f>
        <v/>
      </c>
      <c r="H506" s="6">
        <f>HYPERLINK("C:\Projects\Kleinanzeigen-Scraper\offer_images\2549490902", "Link")</f>
        <v/>
      </c>
      <c r="I506" t="inlineStr">
        <is>
          <t>No user name</t>
        </is>
      </c>
      <c r="J506" s="6">
        <f>HYPERLINK("https://www.kleinanzeigen.deNo user link", "Link")</f>
        <v/>
      </c>
      <c r="K506" s="7" t="n">
        <v>45549.57440972222</v>
      </c>
      <c r="L506" s="3" t="inlineStr">
        <is>
          <t>186.68</t>
        </is>
      </c>
      <c r="M506" t="inlineStr">
        <is>
          <t>Böblingen</t>
        </is>
      </c>
    </row>
    <row r="507">
      <c r="A507" t="inlineStr">
        <is>
          <t>Harness: Neilpryde Hüfttrapez, size S, suitable for beginners</t>
        </is>
      </c>
      <c r="B507" s="4" t="n">
        <v>10</v>
      </c>
      <c r="C507" t="inlineStr"/>
      <c r="D507" t="inlineStr">
        <is>
          <t>78112 Baden-Württemberg - St. Georgen</t>
        </is>
      </c>
      <c r="E507" s="5" t="n">
        <v>45473</v>
      </c>
      <c r="F507" t="inlineStr"/>
      <c r="G507" s="6">
        <f>HYPERLINK("https://www.kleinanzeigen.de/s-anzeige/neilpryde-huefttrapez/2800310112-230-9107", "Link")</f>
        <v/>
      </c>
      <c r="H507" s="6">
        <f>HYPERLINK("C:\Projects\Kleinanzeigen-Scraper\offer_images\2800310112", "Link")</f>
        <v/>
      </c>
      <c r="I507" t="inlineStr">
        <is>
          <t>Arved Räuber</t>
        </is>
      </c>
      <c r="J507" s="6">
        <f>HYPERLINK("https://www.kleinanzeigen.de/s-bestandsliste.html?userId=81218467", "Link")</f>
        <v/>
      </c>
      <c r="K507" s="7" t="n">
        <v>45549.574375</v>
      </c>
      <c r="L507" s="3" t="inlineStr">
        <is>
          <t>34.47</t>
        </is>
      </c>
      <c r="M507" t="inlineStr">
        <is>
          <t>Bonndorf</t>
        </is>
      </c>
    </row>
    <row r="508">
      <c r="A508" t="inlineStr">
        <is>
          <t>Fin: Exocet Freeride Finne 40cm for Powerbox, good condition</t>
        </is>
      </c>
      <c r="B508" s="4" t="n">
        <v>40</v>
      </c>
      <c r="C508" t="inlineStr"/>
      <c r="D508" t="inlineStr">
        <is>
          <t>10247 Friedrichshain-Kreuzberg - Friedrichshain</t>
        </is>
      </c>
      <c r="E508" s="5" t="n">
        <v>45548</v>
      </c>
      <c r="F508" t="inlineStr">
        <is>
          <t>Sold</t>
        </is>
      </c>
      <c r="G508" s="6">
        <f>HYPERLINK("https://www.kleinanzeigen.de/s-anzeige/exocet-freeride-finne-40cm-powerbox-windsurfen/2862373342-230-3353", "Link")</f>
        <v/>
      </c>
      <c r="H508" s="6">
        <f>HYPERLINK("C:\Projects\Kleinanzeigen-Scraper\offer_images\2862373342", "Link")</f>
        <v/>
      </c>
      <c r="I508" t="inlineStr">
        <is>
          <t>Max Seeger</t>
        </is>
      </c>
      <c r="J508" s="6">
        <f>HYPERLINK("https://www.kleinanzeigen.de/s-bestandsliste.html?userId=5812840", "Link")</f>
        <v/>
      </c>
      <c r="K508" s="7" t="n">
        <v>45549.5743287037</v>
      </c>
      <c r="L508" s="3" t="inlineStr">
        <is>
          <t>481.24</t>
        </is>
      </c>
      <c r="M508" t="inlineStr">
        <is>
          <t>Köln</t>
        </is>
      </c>
    </row>
    <row r="509">
      <c r="A509" t="inlineStr">
        <is>
          <t>Pump: Fanatic Power Pump HP8 for iSUP, double-action pump with pressure gauge</t>
        </is>
      </c>
      <c r="B509" s="4" t="n">
        <v>20</v>
      </c>
      <c r="C509" t="inlineStr"/>
      <c r="D509" t="inlineStr">
        <is>
          <t>40723 Nordrhein-Westfalen - Hilden</t>
        </is>
      </c>
      <c r="E509" s="5" t="n">
        <v>45523</v>
      </c>
      <c r="F509" t="inlineStr">
        <is>
          <t>Sold</t>
        </is>
      </c>
      <c r="G509" s="6">
        <f>HYPERLINK("https://www.kleinanzeigen.de/s-anzeige/neu-originalverpackt-fanatic-power-pump-hp8-fuer-isup/2841042427-230-1858", "Link")</f>
        <v/>
      </c>
      <c r="H509" s="6">
        <f>HYPERLINK("C:\Projects\Kleinanzeigen-Scraper\offer_images\2841042427", "Link")</f>
        <v/>
      </c>
      <c r="I509" t="inlineStr">
        <is>
          <t>Heike Dommitzsch</t>
        </is>
      </c>
      <c r="J509" s="6">
        <f>HYPERLINK("https://www.kleinanzeigen.de/s-bestandsliste.html?userId=19008633", "Link")</f>
        <v/>
      </c>
      <c r="K509" s="7" t="n">
        <v>45549.5743287037</v>
      </c>
      <c r="L509" s="3" t="inlineStr">
        <is>
          <t>24.02</t>
        </is>
      </c>
      <c r="M509" t="inlineStr">
        <is>
          <t>Köln</t>
        </is>
      </c>
    </row>
    <row r="510">
      <c r="A510" t="inlineStr">
        <is>
          <t>Click Bar: Duotone Click Bar 2022 M22/24 with Freeride Loop, in good condition, rarely used.</t>
        </is>
      </c>
      <c r="B510" s="4" t="n">
        <v>300</v>
      </c>
      <c r="C510" t="inlineStr"/>
      <c r="D510" t="inlineStr">
        <is>
          <t>47259 Duisburg - Duisburg-Süd</t>
        </is>
      </c>
      <c r="E510" s="5" t="n">
        <v>45547</v>
      </c>
      <c r="F510" t="inlineStr">
        <is>
          <t>Sold</t>
        </is>
      </c>
      <c r="G510" s="6">
        <f>HYPERLINK("https://www.kleinanzeigen.de/s-anzeige/duotone-click-bar-2022-m22-24-freeride-loop-/2847794065-230-2139", "Link")</f>
        <v/>
      </c>
      <c r="H510" s="6">
        <f>HYPERLINK("C:\Projects\Kleinanzeigen-Scraper\offer_images\2847794065", "Link")</f>
        <v/>
      </c>
      <c r="I510" t="inlineStr">
        <is>
          <t>Harald</t>
        </is>
      </c>
      <c r="J510" s="6">
        <f>HYPERLINK("https://www.kleinanzeigen.de/s-bestandsliste.html?userId=27824410", "Link")</f>
        <v/>
      </c>
      <c r="K510" s="7" t="n">
        <v>45549.57430555556</v>
      </c>
      <c r="L510" s="3" t="inlineStr">
        <is>
          <t>49.13</t>
        </is>
      </c>
      <c r="M510" t="inlineStr">
        <is>
          <t>Köln</t>
        </is>
      </c>
    </row>
    <row r="511">
      <c r="A511" t="inlineStr">
        <is>
          <t>Fin: JP Australia Freemove, used a few times, includes fin bag</t>
        </is>
      </c>
      <c r="B511" s="4" t="n">
        <v>12</v>
      </c>
      <c r="C511" t="inlineStr">
        <is>
          <t>VB</t>
        </is>
      </c>
      <c r="D511" t="inlineStr">
        <is>
          <t>80803 München - Schwabing-Freimann</t>
        </is>
      </c>
      <c r="E511" s="5" t="n">
        <v>45501</v>
      </c>
      <c r="F511" t="inlineStr">
        <is>
          <t>Sold</t>
        </is>
      </c>
      <c r="G511" s="6">
        <f>HYPERLINK("https://www.kleinanzeigen.de/s-anzeige/finne-surfen-windsurfen-jp-australia-freemove-/2823151219-230-16380", "Link")</f>
        <v/>
      </c>
      <c r="H511" s="6">
        <f>HYPERLINK("C:\Projects\Kleinanzeigen-Scraper\offer_images\2823151219", "Link")</f>
        <v/>
      </c>
      <c r="I511" t="inlineStr">
        <is>
          <t>Günther Reithmaier</t>
        </is>
      </c>
      <c r="J511" s="6">
        <f>HYPERLINK("https://www.kleinanzeigen.de/s-bestandsliste.html?userId=36727684", "Link")</f>
        <v/>
      </c>
      <c r="K511" s="7" t="n">
        <v>45549.57423611111</v>
      </c>
      <c r="L511" s="3" t="inlineStr">
        <is>
          <t>3.05</t>
        </is>
      </c>
      <c r="M511" t="inlineStr">
        <is>
          <t>München</t>
        </is>
      </c>
    </row>
    <row r="512">
      <c r="A512" t="inlineStr">
        <is>
          <t>Harness: Neilpryde Surf Trapez, Size S, very little used</t>
        </is>
      </c>
      <c r="B512" s="4" t="n">
        <v>20</v>
      </c>
      <c r="C512" t="inlineStr"/>
      <c r="D512" t="inlineStr">
        <is>
          <t>53332 Nordrhein-Westfalen - Bornheim</t>
        </is>
      </c>
      <c r="E512" s="5" t="n">
        <v>45491</v>
      </c>
      <c r="F512" t="inlineStr">
        <is>
          <t>Sold</t>
        </is>
      </c>
      <c r="G512" s="6">
        <f>HYPERLINK("https://www.kleinanzeigen.de/s-anzeige/surftrapez-neilpryde-trapez-groesse-s/2815061545-230-1606", "Link")</f>
        <v/>
      </c>
      <c r="H512" s="6">
        <f>HYPERLINK("C:\Projects\Kleinanzeigen-Scraper\offer_images\2815061545", "Link")</f>
        <v/>
      </c>
      <c r="I512" t="inlineStr">
        <is>
          <t>Silvia  Horst</t>
        </is>
      </c>
      <c r="J512" s="6">
        <f>HYPERLINK("https://www.kleinanzeigen.de/s-bestandsliste.html?userId=69997264", "Link")</f>
        <v/>
      </c>
      <c r="K512" s="7" t="n">
        <v>45549.57423611111</v>
      </c>
      <c r="L512" s="3" t="inlineStr">
        <is>
          <t>18.44</t>
        </is>
      </c>
      <c r="M512" t="inlineStr">
        <is>
          <t>Köln</t>
        </is>
      </c>
    </row>
    <row r="513">
      <c r="A513" t="inlineStr">
        <is>
          <t>Bindings: Naish Apex Pads &amp; Straps, available in sizes US 5-12 (36-46 EU) and US 9-15 (41-50 EU), new</t>
        </is>
      </c>
      <c r="B513" s="4" t="n">
        <v>195</v>
      </c>
      <c r="C513" t="inlineStr">
        <is>
          <t>VB</t>
        </is>
      </c>
      <c r="D513" t="inlineStr">
        <is>
          <t>18586 Mecklenburg-Vorpommern - Mönchgut, Ostseebad</t>
        </is>
      </c>
      <c r="E513" s="5" t="n">
        <v>45560</v>
      </c>
      <c r="F513" t="inlineStr"/>
      <c r="G513" s="6">
        <f>HYPERLINK("https://www.kleinanzeigen.de/s-anzeige/naish-apex-pads-straps-bindings-s26-15-neu-s27-neu/1328227402-230-120", "Link")</f>
        <v/>
      </c>
      <c r="H513" s="6">
        <f>HYPERLINK("C:\Projects\Kleinanzeigen-Scraper\offer_images\1328227402", "Link")</f>
        <v/>
      </c>
      <c r="I513" t="inlineStr">
        <is>
          <t>No user name</t>
        </is>
      </c>
      <c r="J513" s="6">
        <f>HYPERLINK("https://www.kleinanzeigen.deNo user link", "Link")</f>
        <v/>
      </c>
      <c r="K513" s="7" t="n">
        <v>45549.57421296297</v>
      </c>
      <c r="L513" s="3" t="inlineStr">
        <is>
          <t>591.22</t>
        </is>
      </c>
      <c r="M513" t="inlineStr">
        <is>
          <t>Köln</t>
        </is>
      </c>
    </row>
    <row r="514">
      <c r="A514" t="inlineStr">
        <is>
          <t>Harness: Neilpryde 3D Waist Pro Harness, Size XL, with Quickrelease</t>
        </is>
      </c>
      <c r="B514" s="4" t="n">
        <v>25</v>
      </c>
      <c r="C514" t="inlineStr"/>
      <c r="D514" t="inlineStr">
        <is>
          <t>14532 Brandenburg - Stahnsdorf</t>
        </is>
      </c>
      <c r="E514" s="5" t="n">
        <v>45547</v>
      </c>
      <c r="F514" t="inlineStr">
        <is>
          <t>Sold</t>
        </is>
      </c>
      <c r="G514" s="6">
        <f>HYPERLINK("https://www.kleinanzeigen.de/s-anzeige/neilpryde-trapez-3d-herren-xl/2861268512-230-9830", "Link")</f>
        <v/>
      </c>
      <c r="H514" s="6">
        <f>HYPERLINK("C:\Projects\Kleinanzeigen-Scraper\offer_images\2861268512", "Link")</f>
        <v/>
      </c>
      <c r="I514" t="inlineStr">
        <is>
          <t>Georg Abel</t>
        </is>
      </c>
      <c r="J514" s="6">
        <f>HYPERLINK("https://www.kleinanzeigen.de/s-bestandsliste.html?userId=5793504", "Link")</f>
        <v/>
      </c>
      <c r="K514" s="7" t="n">
        <v>45549.57420138889</v>
      </c>
      <c r="L514" s="3" t="inlineStr">
        <is>
          <t>458.23</t>
        </is>
      </c>
      <c r="M514" t="inlineStr">
        <is>
          <t>Köln</t>
        </is>
      </c>
    </row>
    <row r="515">
      <c r="A515" t="inlineStr">
        <is>
          <t>Trust Bar: Duotone/North Trustbar in size S, used with one line and depower strap replaced.</t>
        </is>
      </c>
      <c r="B515" s="4" t="n">
        <v>120</v>
      </c>
      <c r="C515" t="inlineStr">
        <is>
          <t>VB</t>
        </is>
      </c>
      <c r="D515" t="inlineStr">
        <is>
          <t>24576 Schleswig-Holstein - Bad Bramstedt</t>
        </is>
      </c>
      <c r="E515" s="5" t="n">
        <v>45542</v>
      </c>
      <c r="F515" t="inlineStr">
        <is>
          <t>Sold</t>
        </is>
      </c>
      <c r="G515" s="6">
        <f>HYPERLINK("https://www.kleinanzeigen.de/s-anzeige/duotone-north-trustbar-trust-bar-s-freestyle/2856419893-230-910", "Link")</f>
        <v/>
      </c>
      <c r="H515" s="6">
        <f>HYPERLINK("C:\Projects\Kleinanzeigen-Scraper\offer_images\2856419893", "Link")</f>
        <v/>
      </c>
      <c r="I515" t="inlineStr">
        <is>
          <t>Klara</t>
        </is>
      </c>
      <c r="J515" s="6">
        <f>HYPERLINK("https://www.kleinanzeigen.de/s-bestandsliste.html?userId=17329896", "Link")</f>
        <v/>
      </c>
      <c r="K515" s="7" t="n">
        <v>45549.5741550926</v>
      </c>
      <c r="L515" s="3" t="inlineStr">
        <is>
          <t>384.10</t>
        </is>
      </c>
      <c r="M515" t="inlineStr">
        <is>
          <t>Köln</t>
        </is>
      </c>
    </row>
    <row r="516">
      <c r="A516" t="inlineStr">
        <is>
          <t>Fins: Various sizes including 19, 20, 21, 21.5, 23, 24, 28 from Tabou Select Lipsticks and Köster Pro Am</t>
        </is>
      </c>
      <c r="B516" s="4" t="n">
        <v>28</v>
      </c>
      <c r="C516" t="inlineStr"/>
      <c r="D516" t="inlineStr">
        <is>
          <t>12527 Berlin - Köpenick</t>
        </is>
      </c>
      <c r="E516" s="5" t="n">
        <v>45545</v>
      </c>
      <c r="F516" t="inlineStr">
        <is>
          <t>Sold</t>
        </is>
      </c>
      <c r="G516" s="6">
        <f>HYPERLINK("https://www.kleinanzeigen.de/s-anzeige/finnen-us-box-19-20-21-21-5-23-24-28-tabou-select-lipsticks-koes/2859354596-230-3370", "Link")</f>
        <v/>
      </c>
      <c r="H516" s="6">
        <f>HYPERLINK("C:\Projects\Kleinanzeigen-Scraper\offer_images\2859354596", "Link")</f>
        <v/>
      </c>
      <c r="I516" t="inlineStr">
        <is>
          <t>ste</t>
        </is>
      </c>
      <c r="J516" s="6">
        <f>HYPERLINK("https://www.kleinanzeigen.de/s-bestandsliste.html?userId=27311742", "Link")</f>
        <v/>
      </c>
      <c r="K516" s="7" t="n">
        <v>45549.57413194444</v>
      </c>
      <c r="L516" s="3" t="inlineStr">
        <is>
          <t>487.71</t>
        </is>
      </c>
      <c r="M516" t="inlineStr">
        <is>
          <t>Köln</t>
        </is>
      </c>
    </row>
    <row r="517">
      <c r="A517" t="inlineStr">
        <is>
          <t>Trust Bar: Duotone Trust Bar 2024, NEUWERTIG, includes Freeride loop</t>
        </is>
      </c>
      <c r="B517" s="4" t="n">
        <v>380</v>
      </c>
      <c r="C517" t="inlineStr"/>
      <c r="D517" t="inlineStr">
        <is>
          <t>83539 Bayern - Pfaffing</t>
        </is>
      </c>
      <c r="E517" s="5" t="n">
        <v>45547</v>
      </c>
      <c r="F517" t="inlineStr">
        <is>
          <t>Sold</t>
        </is>
      </c>
      <c r="G517" s="6">
        <f>HYPERLINK("https://www.kleinanzeigen.de/s-anzeige/duotone-trust-bar-2024-neuwertig/2861260155-230-6062", "Link")</f>
        <v/>
      </c>
      <c r="H517" s="6">
        <f>HYPERLINK("C:\Projects\Kleinanzeigen-Scraper\offer_images\2861260155", "Link")</f>
        <v/>
      </c>
      <c r="I517" t="inlineStr">
        <is>
          <t>Zan</t>
        </is>
      </c>
      <c r="J517" s="6">
        <f>HYPERLINK("https://www.kleinanzeigen.de/s-bestandsliste.html?userId=38810741", "Link")</f>
        <v/>
      </c>
      <c r="K517" s="7" t="n">
        <v>45549.57405092593</v>
      </c>
      <c r="L517" s="3" t="inlineStr">
        <is>
          <t>40.85</t>
        </is>
      </c>
      <c r="M517" t="inlineStr">
        <is>
          <t>München</t>
        </is>
      </c>
    </row>
    <row r="518">
      <c r="A518" t="inlineStr">
        <is>
          <t>Harness: Dakine XL, used 2 times; RRD Thrive M/XL, used 2-3 times</t>
        </is>
      </c>
      <c r="B518" s="4" t="n">
        <v>75</v>
      </c>
      <c r="C518" t="inlineStr">
        <is>
          <t>VB</t>
        </is>
      </c>
      <c r="D518" t="inlineStr">
        <is>
          <t>30539 Hannover - Kirchrode-Bemerode-Wülferode</t>
        </is>
      </c>
      <c r="E518" s="5" t="n">
        <v>45451</v>
      </c>
      <c r="F518" t="inlineStr">
        <is>
          <t>Sold</t>
        </is>
      </c>
      <c r="G518" s="6">
        <f>HYPERLINK("https://www.kleinanzeigen.de/s-anzeige/2-kite-trapeze-dakine-rrd-/2782883276-230-3173", "Link")</f>
        <v/>
      </c>
      <c r="H518" s="6">
        <f>HYPERLINK("C:\Projects\Kleinanzeigen-Scraper\offer_images\2782883276", "Link")</f>
        <v/>
      </c>
      <c r="I518" t="inlineStr">
        <is>
          <t>Janic</t>
        </is>
      </c>
      <c r="J518" s="6">
        <f>HYPERLINK("https://www.kleinanzeigen.de/s-bestandsliste.html?userId=62222433", "Link")</f>
        <v/>
      </c>
      <c r="K518" s="7" t="n">
        <v>45549.57387731481</v>
      </c>
      <c r="L518" s="3" t="inlineStr">
        <is>
          <t>251.60</t>
        </is>
      </c>
      <c r="M518" t="inlineStr">
        <is>
          <t>Köln</t>
        </is>
      </c>
    </row>
    <row r="519">
      <c r="A519" t="inlineStr">
        <is>
          <t>Harness: Gun Sails Cross 3D Hüfttrapez Gr. M with quick release, good functional condition, visible signs of use</t>
        </is>
      </c>
      <c r="B519" s="4" t="n">
        <v>35</v>
      </c>
      <c r="C519" t="inlineStr">
        <is>
          <t>VB</t>
        </is>
      </c>
      <c r="D519" t="inlineStr">
        <is>
          <t>04808 Sachsen - Wurzen</t>
        </is>
      </c>
      <c r="E519" s="5" t="n">
        <v>45524</v>
      </c>
      <c r="F519" t="inlineStr">
        <is>
          <t>Sold</t>
        </is>
      </c>
      <c r="G519" s="6">
        <f>HYPERLINK("https://www.kleinanzeigen.de/s-anzeige/windsurf-trapez-gun-sails-cross-3d-huefttrapez-gr-m/2841718663-230-3904", "Link")</f>
        <v/>
      </c>
      <c r="H519" s="6">
        <f>HYPERLINK("C:\Projects\Kleinanzeigen-Scraper\offer_images\2841718663", "Link")</f>
        <v/>
      </c>
      <c r="I519" t="inlineStr">
        <is>
          <t>Andreas</t>
        </is>
      </c>
      <c r="J519" s="6">
        <f>HYPERLINK("https://www.kleinanzeigen.de/s-bestandsliste.html?userId=1586232", "Link")</f>
        <v/>
      </c>
      <c r="K519" s="7" t="n">
        <v>45549.5737037037</v>
      </c>
      <c r="L519" s="3" t="inlineStr">
        <is>
          <t>371.88</t>
        </is>
      </c>
      <c r="M519" t="inlineStr">
        <is>
          <t>München</t>
        </is>
      </c>
    </row>
    <row r="520">
      <c r="A520" t="inlineStr">
        <is>
          <t>Fins: TABOU FINS SASHIMI FREESTYLE SLOTBOX, 12cm, designed for early planing and freestyle tricks.</t>
        </is>
      </c>
      <c r="B520" s="4" t="n">
        <v>59</v>
      </c>
      <c r="C520" t="inlineStr"/>
      <c r="D520" t="inlineStr">
        <is>
          <t>81477 München - Thalk.Obersendl.-Forsten-Fürstenr.-Solln</t>
        </is>
      </c>
      <c r="E520" s="5" t="n">
        <v>45387</v>
      </c>
      <c r="F520" t="inlineStr"/>
      <c r="G520" s="6">
        <f>HYPERLINK("https://www.kleinanzeigen.de/s-anzeige/2x-twin-tabou-fins-sashimi-freestyle-slot-box-fcs-finne-finnen/2726648148-230-6435", "Link")</f>
        <v/>
      </c>
      <c r="H520" s="6">
        <f>HYPERLINK("C:\Projects\Kleinanzeigen-Scraper\offer_images\2726648148", "Link")</f>
        <v/>
      </c>
      <c r="I520" t="inlineStr">
        <is>
          <t>Privat</t>
        </is>
      </c>
      <c r="J520" s="6">
        <f>HYPERLINK("https://www.kleinanzeigen.de/s-bestandsliste.html?userId=123758231", "Link")</f>
        <v/>
      </c>
      <c r="K520" s="7" t="n">
        <v>45549.57358796296</v>
      </c>
      <c r="L520" s="3" t="inlineStr">
        <is>
          <t>7.49</t>
        </is>
      </c>
      <c r="M520" t="inlineStr">
        <is>
          <t>München</t>
        </is>
      </c>
    </row>
    <row r="521">
      <c r="A521" t="inlineStr">
        <is>
          <t>Mast extension: Severne HD RDM 36 in good condition</t>
        </is>
      </c>
      <c r="B521" s="4" t="n">
        <v>89</v>
      </c>
      <c r="C521" t="inlineStr"/>
      <c r="D521" t="inlineStr">
        <is>
          <t>34298 Hessen - Helsa</t>
        </is>
      </c>
      <c r="E521" s="5" t="n">
        <v>45201</v>
      </c>
      <c r="F521" t="inlineStr"/>
      <c r="G521" s="6">
        <f>HYPERLINK("https://www.kleinanzeigen.de/s-anzeige/severne-mastfussverlaengerung-hd-rdm-36/2561264659-230-4592", "Link")</f>
        <v/>
      </c>
      <c r="H521" s="6">
        <f>HYPERLINK("C:\Projects\Kleinanzeigen-Scraper\offer_images\2561264659", "Link")</f>
        <v/>
      </c>
      <c r="I521" t="inlineStr">
        <is>
          <t>privat</t>
        </is>
      </c>
      <c r="J521" s="6">
        <f>HYPERLINK("https://www.kleinanzeigen.de/s-bestandsliste.html?userId=2523504", "Link")</f>
        <v/>
      </c>
      <c r="K521" s="7" t="n">
        <v>45549.57350694444</v>
      </c>
      <c r="L521" s="3" t="inlineStr">
        <is>
          <t>194.05</t>
        </is>
      </c>
      <c r="M521" t="inlineStr">
        <is>
          <t>Köln</t>
        </is>
      </c>
    </row>
    <row r="522">
      <c r="A522" t="inlineStr">
        <is>
          <t>Trust Bar: Duotone Trust Bar 2024 with signs of use on the bar, includes loop and leash.</t>
        </is>
      </c>
      <c r="B522" s="4" t="n">
        <v>350</v>
      </c>
      <c r="C522" t="inlineStr">
        <is>
          <t>VB</t>
        </is>
      </c>
      <c r="D522" t="inlineStr">
        <is>
          <t>21423 Niedersachsen - Winsen (Luhe)</t>
        </is>
      </c>
      <c r="E522" s="5" t="n">
        <v>45548</v>
      </c>
      <c r="F522" t="inlineStr">
        <is>
          <t>Sold</t>
        </is>
      </c>
      <c r="G522" s="6">
        <f>HYPERLINK("https://www.kleinanzeigen.de/s-anzeige/duotone-trust-bar-2024/2763022776-230-3223", "Link")</f>
        <v/>
      </c>
      <c r="H522" s="6">
        <f>HYPERLINK("C:\Projects\Kleinanzeigen-Scraper\offer_images\2763022776", "Link")</f>
        <v/>
      </c>
      <c r="I522" t="inlineStr">
        <is>
          <t>No user name</t>
        </is>
      </c>
      <c r="J522" s="6">
        <f>HYPERLINK("https://www.kleinanzeigen.deNo user link", "Link")</f>
        <v/>
      </c>
      <c r="K522" s="7" t="n">
        <v>45549.57347222222</v>
      </c>
      <c r="L522" s="3" t="inlineStr">
        <is>
          <t>349.14</t>
        </is>
      </c>
      <c r="M522" t="inlineStr">
        <is>
          <t>Köln</t>
        </is>
      </c>
    </row>
    <row r="523">
      <c r="A523" t="inlineStr">
        <is>
          <t>Fin: GUN SAILS Weed 22 Finne für Tuttle Box, unbenutzt und neuwertig</t>
        </is>
      </c>
      <c r="B523" s="4" t="n">
        <v>55</v>
      </c>
      <c r="C523" t="inlineStr">
        <is>
          <t>VB</t>
        </is>
      </c>
      <c r="D523" t="inlineStr">
        <is>
          <t>69469 Baden-Württemberg - Weinheim</t>
        </is>
      </c>
      <c r="E523" s="5" t="n">
        <v>45507</v>
      </c>
      <c r="F523" t="inlineStr">
        <is>
          <t>Sold</t>
        </is>
      </c>
      <c r="G523" s="6">
        <f>HYPERLINK("https://www.kleinanzeigen.de/s-anzeige/gun-sails-finne/2828159733-230-8266", "Link")</f>
        <v/>
      </c>
      <c r="H523" s="6">
        <f>HYPERLINK("C:\Projects\Kleinanzeigen-Scraper\offer_images\2828159733", "Link")</f>
        <v/>
      </c>
      <c r="I523" t="inlineStr">
        <is>
          <t>Philipp</t>
        </is>
      </c>
      <c r="J523" s="6">
        <f>HYPERLINK("https://www.kleinanzeigen.de/s-bestandsliste.html?userId=120464512", "Link")</f>
        <v/>
      </c>
      <c r="K523" s="7" t="n">
        <v>45549.57333333333</v>
      </c>
      <c r="L523" s="3" t="inlineStr">
        <is>
          <t>62.48</t>
        </is>
      </c>
      <c r="M523" t="inlineStr">
        <is>
          <t>Karlsruhe</t>
        </is>
      </c>
    </row>
    <row r="524">
      <c r="A524" t="inlineStr">
        <is>
          <t>Bindings: Duotone Entity NTT L/XL, used but in good to very good condition</t>
        </is>
      </c>
      <c r="B524" s="4" t="n">
        <v>110</v>
      </c>
      <c r="C524" t="inlineStr">
        <is>
          <t>VB</t>
        </is>
      </c>
      <c r="D524" t="inlineStr">
        <is>
          <t>24118 Kiel - Ravensberg-Brunswik-Düsternbrook</t>
        </is>
      </c>
      <c r="E524" s="5" t="n">
        <v>45544</v>
      </c>
      <c r="F524" t="inlineStr">
        <is>
          <t>Sold</t>
        </is>
      </c>
      <c r="G524" s="6">
        <f>HYPERLINK("https://www.kleinanzeigen.de/s-anzeige/north-duotone-entity-ntt-l-xl-bindungen/2858963702-230-704", "Link")</f>
        <v/>
      </c>
      <c r="H524" s="6">
        <f>HYPERLINK("C:\Projects\Kleinanzeigen-Scraper\offer_images\2858963702", "Link")</f>
        <v/>
      </c>
      <c r="I524" t="inlineStr">
        <is>
          <t>Wiebke</t>
        </is>
      </c>
      <c r="J524" s="6">
        <f>HYPERLINK("https://www.kleinanzeigen.de/s-bestandsliste.html?userId=17970784", "Link")</f>
        <v/>
      </c>
      <c r="K524" s="7" t="n">
        <v>45549.57331018519</v>
      </c>
      <c r="L524" s="3" t="inlineStr">
        <is>
          <t>434.29</t>
        </is>
      </c>
      <c r="M524" t="inlineStr">
        <is>
          <t>Köln</t>
        </is>
      </c>
    </row>
    <row r="525">
      <c r="A525" t="inlineStr">
        <is>
          <t>Bar: North TRUST BAR (M/L) 5 Liner 24 m, 2016, in excellent condition with no damages.</t>
        </is>
      </c>
      <c r="B525" s="4" t="n">
        <v>160</v>
      </c>
      <c r="C525" t="inlineStr"/>
      <c r="D525" t="inlineStr">
        <is>
          <t>82131 Bayern - Gauting</t>
        </is>
      </c>
      <c r="E525" s="5" t="n">
        <v>45543</v>
      </c>
      <c r="F525" t="inlineStr">
        <is>
          <t>Sold</t>
        </is>
      </c>
      <c r="G525" s="6">
        <f>HYPERLINK("https://www.kleinanzeigen.de/s-anzeige/north-5-th-element-bar-m-l-5-liner-24-m-2016-heute-duotone-bar/2857884414-230-6334", "Link")</f>
        <v/>
      </c>
      <c r="H525" s="6">
        <f>HYPERLINK("C:\Projects\Kleinanzeigen-Scraper\offer_images\2857884414", "Link")</f>
        <v/>
      </c>
      <c r="I525" t="inlineStr">
        <is>
          <t>Christian Göggelmann</t>
        </is>
      </c>
      <c r="J525" s="6">
        <f>HYPERLINK("https://www.kleinanzeigen.de/s-bestandsliste.html?userId=15621484", "Link")</f>
        <v/>
      </c>
      <c r="K525" s="7" t="n">
        <v>45549.57324074074</v>
      </c>
      <c r="L525" s="3" t="inlineStr">
        <is>
          <t>16.76</t>
        </is>
      </c>
      <c r="M525" t="inlineStr">
        <is>
          <t>München</t>
        </is>
      </c>
    </row>
    <row r="526">
      <c r="A526" t="inlineStr">
        <is>
          <t>Bindings: New North Flex LX in size XL, includes receipt and warranty.</t>
        </is>
      </c>
      <c r="B526" s="4" t="n">
        <v>129</v>
      </c>
      <c r="C526" t="inlineStr"/>
      <c r="D526" t="inlineStr">
        <is>
          <t>83661 Bayern - Lenggries</t>
        </is>
      </c>
      <c r="E526" s="5" t="n">
        <v>45543</v>
      </c>
      <c r="F526" t="inlineStr">
        <is>
          <t>Sold</t>
        </is>
      </c>
      <c r="G526" s="6">
        <f>HYPERLINK("https://www.kleinanzeigen.de/s-anzeige/north-flex-lx-xl-bindung/2857478898-230-5892", "Link")</f>
        <v/>
      </c>
      <c r="H526" s="6">
        <f>HYPERLINK("C:\Projects\Kleinanzeigen-Scraper\offer_images\2857478898", "Link")</f>
        <v/>
      </c>
      <c r="I526" t="inlineStr">
        <is>
          <t>Michael &amp; Lea</t>
        </is>
      </c>
      <c r="J526" s="6">
        <f>HYPERLINK("https://www.kleinanzeigen.de/s-bestandsliste.html?userId=49576050", "Link")</f>
        <v/>
      </c>
      <c r="K526" s="7" t="n">
        <v>45549.57322916666</v>
      </c>
      <c r="L526" s="3" t="inlineStr">
        <is>
          <t>64.41</t>
        </is>
      </c>
      <c r="M526" t="inlineStr">
        <is>
          <t>München</t>
        </is>
      </c>
    </row>
    <row r="527">
      <c r="A527" t="inlineStr">
        <is>
          <t>Harness: RRD Sitz Trapez in XL, used for kiting</t>
        </is>
      </c>
      <c r="B527" s="4" t="n">
        <v>79</v>
      </c>
      <c r="C527" t="inlineStr">
        <is>
          <t>VB</t>
        </is>
      </c>
      <c r="D527" t="inlineStr">
        <is>
          <t>22397 Wandsbek - Hamburg Duvenstedt</t>
        </is>
      </c>
      <c r="E527" s="5" t="n">
        <v>45528</v>
      </c>
      <c r="F527" t="inlineStr">
        <is>
          <t>Sold</t>
        </is>
      </c>
      <c r="G527" s="6">
        <f>HYPERLINK("https://www.kleinanzeigen.de/s-anzeige/rrd-sitz-trapez-kiten-in-xl/2845157808-230-9473", "Link")</f>
        <v/>
      </c>
      <c r="H527" s="6">
        <f>HYPERLINK("C:\Projects\Kleinanzeigen-Scraper\offer_images\2845157808", "Link")</f>
        <v/>
      </c>
      <c r="I527" t="inlineStr">
        <is>
          <t>Marco</t>
        </is>
      </c>
      <c r="J527" s="6">
        <f>HYPERLINK("https://www.kleinanzeigen.de/s-bestandsliste.html?userId=74160668", "Link")</f>
        <v/>
      </c>
      <c r="K527" s="7" t="n">
        <v>45549.57320601852</v>
      </c>
      <c r="L527" s="3" t="inlineStr">
        <is>
          <t>373.25</t>
        </is>
      </c>
      <c r="M527" t="inlineStr">
        <is>
          <t>Köln</t>
        </is>
      </c>
    </row>
    <row r="528">
      <c r="A528" t="inlineStr">
        <is>
          <t>Harness: Very comfortable seat harness size L. Black.</t>
        </is>
      </c>
      <c r="B528" s="4" t="n">
        <v>45</v>
      </c>
      <c r="C528" t="inlineStr">
        <is>
          <t>VB</t>
        </is>
      </c>
      <c r="D528" t="inlineStr">
        <is>
          <t>81379 Sendling - Obersendling</t>
        </is>
      </c>
      <c r="E528" s="5" t="n">
        <v>45515</v>
      </c>
      <c r="F528" t="inlineStr"/>
      <c r="G528" s="6">
        <f>HYPERLINK("https://www.kleinanzeigen.de/s-anzeige/windsurf-sitztrapez-point-7/2834406803-230-9618", "Link")</f>
        <v/>
      </c>
      <c r="H528" s="6">
        <f>HYPERLINK("C:\Projects\Kleinanzeigen-Scraper\offer_images\2834406803", "Link")</f>
        <v/>
      </c>
      <c r="I528" t="inlineStr">
        <is>
          <t>Kirchner</t>
        </is>
      </c>
      <c r="J528" s="6">
        <f>HYPERLINK("https://www.kleinanzeigen.de/s-bestandsliste.html?userId=69675775", "Link")</f>
        <v/>
      </c>
      <c r="K528" s="7" t="n">
        <v>45549.57315972223</v>
      </c>
      <c r="L528" s="3" t="inlineStr">
        <is>
          <t>5.49</t>
        </is>
      </c>
      <c r="M528" t="inlineStr">
        <is>
          <t>München</t>
        </is>
      </c>
    </row>
    <row r="529">
      <c r="A529" t="inlineStr">
        <is>
          <t>Fins: North Hexcel Coremat Finset 2024, new and unused</t>
        </is>
      </c>
      <c r="B529" s="4" t="n">
        <v>50</v>
      </c>
      <c r="C529" t="inlineStr"/>
      <c r="D529" t="inlineStr">
        <is>
          <t>24598 Schleswig-Holstein - Boostedt</t>
        </is>
      </c>
      <c r="E529" s="5" t="n">
        <v>45540</v>
      </c>
      <c r="F529" t="inlineStr">
        <is>
          <t>Sold</t>
        </is>
      </c>
      <c r="G529" s="6">
        <f>HYPERLINK("https://www.kleinanzeigen.de/s-anzeige/north-hexcel-coremat-finset-2024-neu-kite-surf-kiteboard/2854774911-230-19089", "Link")</f>
        <v/>
      </c>
      <c r="H529" s="6">
        <f>HYPERLINK("C:\Projects\Kleinanzeigen-Scraper\offer_images\2854774911", "Link")</f>
        <v/>
      </c>
      <c r="I529" t="inlineStr">
        <is>
          <t>Pame</t>
        </is>
      </c>
      <c r="J529" s="6">
        <f>HYPERLINK("https://www.kleinanzeigen.de/s-bestandsliste.html?userId=22933548", "Link")</f>
        <v/>
      </c>
      <c r="K529" s="7" t="n">
        <v>45549.57315972223</v>
      </c>
      <c r="L529" s="3" t="inlineStr">
        <is>
          <t>400.32</t>
        </is>
      </c>
      <c r="M529" t="inlineStr">
        <is>
          <t>Köln</t>
        </is>
      </c>
    </row>
    <row r="530">
      <c r="A530" t="inlineStr">
        <is>
          <t>Trust Bar: Duotone Trust Bar 2020, 24m (22m+2m), Quad Control, used in good condition</t>
        </is>
      </c>
      <c r="B530" s="4" t="n">
        <v>220</v>
      </c>
      <c r="C530" t="inlineStr"/>
      <c r="D530" t="inlineStr">
        <is>
          <t>30161 Hannover - Vahrenwald-List</t>
        </is>
      </c>
      <c r="E530" s="5" t="n">
        <v>45545</v>
      </c>
      <c r="F530" t="inlineStr">
        <is>
          <t>Sold</t>
        </is>
      </c>
      <c r="G530" s="6">
        <f>HYPERLINK("https://www.kleinanzeigen.de/s-anzeige/duotone-trust-bar-2020-24m-22m-2m-quad-control/2859477205-230-9548", "Link")</f>
        <v/>
      </c>
      <c r="H530" s="6">
        <f>HYPERLINK("C:\Projects\Kleinanzeigen-Scraper\offer_images\2859477205", "Link")</f>
        <v/>
      </c>
      <c r="I530" t="inlineStr">
        <is>
          <t>Stefan</t>
        </is>
      </c>
      <c r="J530" s="6">
        <f>HYPERLINK("https://www.kleinanzeigen.de/s-bestandsliste.html?userId=10414708", "Link")</f>
        <v/>
      </c>
      <c r="K530" s="7" t="n">
        <v>45549.57315972223</v>
      </c>
      <c r="L530" s="3" t="inlineStr">
        <is>
          <t>250.82</t>
        </is>
      </c>
      <c r="M530" t="inlineStr">
        <is>
          <t>Köln</t>
        </is>
      </c>
    </row>
    <row r="531">
      <c r="A531" t="inlineStr">
        <is>
          <t>Fins: RRD Quadfinnen Set, new and unused</t>
        </is>
      </c>
      <c r="B531" s="4" t="n">
        <v>35</v>
      </c>
      <c r="C531" t="inlineStr"/>
      <c r="D531" t="inlineStr">
        <is>
          <t>70329 Stuttgart - Hedelfingen</t>
        </is>
      </c>
      <c r="E531" s="5" t="n">
        <v>45507</v>
      </c>
      <c r="F531" t="inlineStr"/>
      <c r="G531" s="6">
        <f>HYPERLINK("https://www.kleinanzeigen.de/s-anzeige/rrd-quadfinnen-set-neu-unbenutzt/2827675374-230-9338", "Link")</f>
        <v/>
      </c>
      <c r="H531" s="6">
        <f>HYPERLINK("C:\Projects\Kleinanzeigen-Scraper\offer_images\2827675374", "Link")</f>
        <v/>
      </c>
      <c r="I531" t="inlineStr">
        <is>
          <t>Josef</t>
        </is>
      </c>
      <c r="J531" s="6">
        <f>HYPERLINK("https://www.kleinanzeigen.de/s-bestandsliste.html?userId=18726086", "Link")</f>
        <v/>
      </c>
      <c r="K531" s="7" t="n">
        <v>45549.573125</v>
      </c>
      <c r="L531" s="3" t="inlineStr">
        <is>
          <t>22.01</t>
        </is>
      </c>
      <c r="M531" t="inlineStr">
        <is>
          <t>Böblingen</t>
        </is>
      </c>
    </row>
    <row r="532">
      <c r="A532" t="inlineStr">
        <is>
          <t>Fin: Gun Sails Freerace 45cm, used and fully functional</t>
        </is>
      </c>
      <c r="B532" s="4" t="n">
        <v>29</v>
      </c>
      <c r="C532" t="inlineStr"/>
      <c r="D532" t="inlineStr">
        <is>
          <t>21514 Schleswig-Holstein - Güster</t>
        </is>
      </c>
      <c r="E532" s="5" t="n">
        <v>45504</v>
      </c>
      <c r="F532" t="inlineStr"/>
      <c r="G532" s="6">
        <f>HYPERLINK("https://www.kleinanzeigen.de/s-anzeige/gun-sails-freerace-45cm-finne-surfen-windsurfen/2825660756-230-20404", "Link")</f>
        <v/>
      </c>
      <c r="H532" s="6">
        <f>HYPERLINK("C:\Projects\Kleinanzeigen-Scraper\offer_images\2825660756", "Link")</f>
        <v/>
      </c>
      <c r="I532" t="inlineStr">
        <is>
          <t>Privat</t>
        </is>
      </c>
      <c r="J532" s="6">
        <f>HYPERLINK("https://www.kleinanzeigen.de/s-bestandsliste.html?userId=14693964", "Link")</f>
        <v/>
      </c>
      <c r="K532" s="7" t="n">
        <v>45549.57280092593</v>
      </c>
      <c r="L532" s="3" t="inlineStr">
        <is>
          <t>376.83</t>
        </is>
      </c>
      <c r="M532" t="inlineStr">
        <is>
          <t>Köln</t>
        </is>
      </c>
    </row>
    <row r="533">
      <c r="A533" t="inlineStr">
        <is>
          <t>Monotampen: Quickfix system for easy installation without disassembling the boom, available in blue (12€) and white (15€)</t>
        </is>
      </c>
      <c r="B533" s="4" t="n">
        <v>12</v>
      </c>
      <c r="C533" t="inlineStr"/>
      <c r="D533" t="inlineStr">
        <is>
          <t>70597 Stuttgart - Degerloch</t>
        </is>
      </c>
      <c r="E533" s="5" t="n">
        <v>45468</v>
      </c>
      <c r="F533" t="inlineStr"/>
      <c r="G533" s="6">
        <f>HYPERLINK("https://www.kleinanzeigen.de/s-anzeige/neilpryde-monotampen-tampen-quickfix/2796918437-230-9297", "Link")</f>
        <v/>
      </c>
      <c r="H533" s="6">
        <f>HYPERLINK("C:\Projects\Kleinanzeigen-Scraper\offer_images\2796918437", "Link")</f>
        <v/>
      </c>
      <c r="I533" t="inlineStr">
        <is>
          <t>Lukas Worbs</t>
        </is>
      </c>
      <c r="J533" s="6">
        <f>HYPERLINK("https://www.kleinanzeigen.de/s-bestandsliste.html?userId=41627552", "Link")</f>
        <v/>
      </c>
      <c r="K533" s="7" t="n">
        <v>45549.57280092593</v>
      </c>
      <c r="L533" s="3" t="inlineStr">
        <is>
          <t>16.37</t>
        </is>
      </c>
      <c r="M533" t="inlineStr">
        <is>
          <t>Böblingen</t>
        </is>
      </c>
    </row>
    <row r="534">
      <c r="A534" t="inlineStr">
        <is>
          <t>Fin: JP Australia Freestyle Fin 19.5 cm (Neu)</t>
        </is>
      </c>
      <c r="B534" s="4" t="n">
        <v>80</v>
      </c>
      <c r="C534" t="inlineStr">
        <is>
          <t>VB</t>
        </is>
      </c>
      <c r="D534" t="inlineStr">
        <is>
          <t>24116 Kiel - Schreventeich-Hasseldieksdamm</t>
        </is>
      </c>
      <c r="E534" s="5" t="n">
        <v>45509</v>
      </c>
      <c r="F534" t="inlineStr"/>
      <c r="G534" s="6">
        <f>HYPERLINK("https://www.kleinanzeigen.de/s-anzeige/2024er-powerbox-jp-australia-freestyle-fin-19-5-cm-neu-/2829822483-230-703", "Link")</f>
        <v/>
      </c>
      <c r="H534" s="6">
        <f>HYPERLINK("C:\Projects\Kleinanzeigen-Scraper\offer_images\2829822483", "Link")</f>
        <v/>
      </c>
      <c r="I534" t="inlineStr">
        <is>
          <t>Luis Ponseti</t>
        </is>
      </c>
      <c r="J534" s="6">
        <f>HYPERLINK("https://www.kleinanzeigen.de/s-bestandsliste.html?userId=33146796", "Link")</f>
        <v/>
      </c>
      <c r="K534" s="7" t="n">
        <v>45549.57277777778</v>
      </c>
      <c r="L534" s="3" t="inlineStr">
        <is>
          <t>432.62</t>
        </is>
      </c>
      <c r="M534" t="inlineStr">
        <is>
          <t>Köln</t>
        </is>
      </c>
    </row>
    <row r="535">
      <c r="A535" t="inlineStr">
        <is>
          <t>Screws: Blue 16mm screws for Duotone Gonzales boards</t>
        </is>
      </c>
      <c r="B535" s="4" t="n">
        <v>5</v>
      </c>
      <c r="C535" t="inlineStr">
        <is>
          <t>VB</t>
        </is>
      </c>
      <c r="D535" t="inlineStr">
        <is>
          <t>74074 Baden-Württemberg - Heilbronn</t>
        </is>
      </c>
      <c r="E535" s="5" t="n">
        <v>45547</v>
      </c>
      <c r="F535" t="inlineStr">
        <is>
          <t>Sold</t>
        </is>
      </c>
      <c r="G535" s="6">
        <f>HYPERLINK("https://www.kleinanzeigen.de/s-anzeige/duotone-entity-ntt-schrauben-fuer-gonzales/2861668002-230-9241", "Link")</f>
        <v/>
      </c>
      <c r="H535" s="6">
        <f>HYPERLINK("C:\Projects\Kleinanzeigen-Scraper\offer_images\2861668002", "Link")</f>
        <v/>
      </c>
      <c r="I535" t="inlineStr">
        <is>
          <t>Timo Haueisen</t>
        </is>
      </c>
      <c r="J535" s="6">
        <f>HYPERLINK("https://www.kleinanzeigen.de/s-bestandsliste.html?userId=39011935", "Link")</f>
        <v/>
      </c>
      <c r="K535" s="7" t="n">
        <v>45549.57275462963</v>
      </c>
      <c r="L535" s="3" t="inlineStr">
        <is>
          <t>54.07</t>
        </is>
      </c>
      <c r="M535" t="inlineStr">
        <is>
          <t>Böblingen</t>
        </is>
      </c>
    </row>
    <row r="536">
      <c r="A536" t="inlineStr">
        <is>
          <t>Trust Bar: Duotone Trust Bar from 2019, 22 m lines, normal wear on the bar</t>
        </is>
      </c>
      <c r="B536" s="4" t="n">
        <v>200</v>
      </c>
      <c r="C536" t="inlineStr"/>
      <c r="D536" t="inlineStr">
        <is>
          <t>22297 Hamburg-Nord - Hamburg Alsterdorf</t>
        </is>
      </c>
      <c r="E536" s="5" t="n">
        <v>45547</v>
      </c>
      <c r="F536" t="inlineStr">
        <is>
          <t>Sold</t>
        </is>
      </c>
      <c r="G536" s="6">
        <f>HYPERLINK("https://www.kleinanzeigen.de/s-anzeige/duotone-trust-bar-2019-/2861358671-230-16438", "Link")</f>
        <v/>
      </c>
      <c r="H536" s="6">
        <f>HYPERLINK("C:\Projects\Kleinanzeigen-Scraper\offer_images\2861358671", "Link")</f>
        <v/>
      </c>
      <c r="I536" t="inlineStr">
        <is>
          <t>Janina</t>
        </is>
      </c>
      <c r="J536" s="6">
        <f>HYPERLINK("https://www.kleinanzeigen.de/s-bestandsliste.html?userId=22360925", "Link")</f>
        <v/>
      </c>
      <c r="K536" s="7" t="n">
        <v>45549.57270833333</v>
      </c>
      <c r="L536" s="3" t="inlineStr">
        <is>
          <t>362.41</t>
        </is>
      </c>
      <c r="M536" t="inlineStr">
        <is>
          <t>Köln</t>
        </is>
      </c>
    </row>
    <row r="537">
      <c r="A537" t="inlineStr">
        <is>
          <t>Fin: JP Australia 22cm, Zustand gut, müsste unten geschliffen werden</t>
        </is>
      </c>
      <c r="B537" s="4" t="n">
        <v>25</v>
      </c>
      <c r="C537" t="inlineStr"/>
      <c r="D537" t="inlineStr">
        <is>
          <t>23568 Schleswig-Holstein - Lübeck</t>
        </is>
      </c>
      <c r="E537" s="5" t="n">
        <v>45515</v>
      </c>
      <c r="F537" t="inlineStr"/>
      <c r="G537" s="6">
        <f>HYPERLINK("https://www.kleinanzeigen.de/s-anzeige/windsurf-finne-jp-australia-22cm/2834699369-230-418", "Link")</f>
        <v/>
      </c>
      <c r="H537" s="6">
        <f>HYPERLINK("C:\Projects\Kleinanzeigen-Scraper\offer_images\2834699369", "Link")</f>
        <v/>
      </c>
      <c r="I537" t="inlineStr">
        <is>
          <t>Bela</t>
        </is>
      </c>
      <c r="J537" s="6">
        <f>HYPERLINK("https://www.kleinanzeigen.de/s-bestandsliste.html?userId=33289558", "Link")</f>
        <v/>
      </c>
      <c r="K537" s="7" t="n">
        <v>45549.57268518519</v>
      </c>
      <c r="L537" s="3" t="inlineStr">
        <is>
          <t>418.25</t>
        </is>
      </c>
      <c r="M537" t="inlineStr">
        <is>
          <t>Köln</t>
        </is>
      </c>
    </row>
    <row r="538">
      <c r="A538" t="inlineStr">
        <is>
          <t>Harness: RRD Shift Pro kitesurfing harness</t>
        </is>
      </c>
      <c r="B538" s="4" t="n">
        <v>90</v>
      </c>
      <c r="C538" t="inlineStr"/>
      <c r="D538" t="inlineStr">
        <is>
          <t>80331 München - Altstadt-Lehel</t>
        </is>
      </c>
      <c r="E538" s="5" t="n">
        <v>45507</v>
      </c>
      <c r="F538" t="inlineStr">
        <is>
          <t>Sold</t>
        </is>
      </c>
      <c r="G538" s="6">
        <f>HYPERLINK("https://www.kleinanzeigen.de/s-anzeige/rrd-shift-pro/2828281009-230-6443", "Link")</f>
        <v/>
      </c>
      <c r="H538" s="6">
        <f>HYPERLINK("C:\Projects\Kleinanzeigen-Scraper\offer_images\2828281009", "Link")</f>
        <v/>
      </c>
      <c r="I538" t="inlineStr">
        <is>
          <t>Lukasz</t>
        </is>
      </c>
      <c r="J538" s="6">
        <f>HYPERLINK("https://www.kleinanzeigen.de/s-bestandsliste.html?userId=39261712", "Link")</f>
        <v/>
      </c>
      <c r="K538" s="7" t="n">
        <v>45549.57263888889</v>
      </c>
      <c r="L538" s="3" t="inlineStr">
        <is>
          <t>0.00</t>
        </is>
      </c>
      <c r="M538" t="inlineStr">
        <is>
          <t>München</t>
        </is>
      </c>
    </row>
    <row r="539">
      <c r="A539" t="inlineStr">
        <is>
          <t>Harness: Gebrauchtes Neilpryde Surftrapez, Größe XL, viel genutzt, aber noch in Ordnung.</t>
        </is>
      </c>
      <c r="B539" s="4" t="n">
        <v>25</v>
      </c>
      <c r="C539" t="inlineStr">
        <is>
          <t>VB</t>
        </is>
      </c>
      <c r="D539" t="inlineStr">
        <is>
          <t>44575 Nordrhein-Westfalen - Castrop-Rauxel</t>
        </is>
      </c>
      <c r="E539" s="5" t="n">
        <v>45518</v>
      </c>
      <c r="F539" t="inlineStr"/>
      <c r="G539" s="6">
        <f>HYPERLINK("https://www.kleinanzeigen.de/s-anzeige/neilpryde-wave-surftrapez/2836549942-230-1997", "Link")</f>
        <v/>
      </c>
      <c r="H539" s="6">
        <f>HYPERLINK("C:\Projects\Kleinanzeigen-Scraper\offer_images\2836549942", "Link")</f>
        <v/>
      </c>
      <c r="I539" t="inlineStr">
        <is>
          <t>Darius Pietrek</t>
        </is>
      </c>
      <c r="J539" s="6">
        <f>HYPERLINK("https://www.kleinanzeigen.de/s-bestandsliste.html?userId=28789847", "Link")</f>
        <v/>
      </c>
      <c r="K539" s="7" t="n">
        <v>45549.57262731482</v>
      </c>
      <c r="L539" s="3" t="inlineStr">
        <is>
          <t>71.83</t>
        </is>
      </c>
      <c r="M539" t="inlineStr">
        <is>
          <t>Köln</t>
        </is>
      </c>
    </row>
    <row r="540">
      <c r="A540" t="inlineStr">
        <is>
          <t>Mast extension: Neilpryde UXT 28, aluminum, good condition with Dyneema rope</t>
        </is>
      </c>
      <c r="B540" s="4" t="n">
        <v>25</v>
      </c>
      <c r="C540" t="inlineStr">
        <is>
          <t>VB</t>
        </is>
      </c>
      <c r="D540" t="inlineStr">
        <is>
          <t>21635 Niedersachsen - Jork</t>
        </is>
      </c>
      <c r="E540" s="5" t="n">
        <v>45538</v>
      </c>
      <c r="F540" t="inlineStr"/>
      <c r="G540" s="6">
        <f>HYPERLINK("https://www.kleinanzeigen.de/s-anzeige/neilpryde-mastverlaengerung-extension-uxt-28/2853368404-230-3291", "Link")</f>
        <v/>
      </c>
      <c r="H540" s="6">
        <f>HYPERLINK("C:\Projects\Kleinanzeigen-Scraper\offer_images\2853368404", "Link")</f>
        <v/>
      </c>
      <c r="I540" t="inlineStr">
        <is>
          <t>MU</t>
        </is>
      </c>
      <c r="J540" s="6">
        <f>HYPERLINK("https://www.kleinanzeigen.de/s-bestandsliste.html?userId=7562773", "Link")</f>
        <v/>
      </c>
      <c r="K540" s="7" t="n">
        <v>45549.57255787037</v>
      </c>
      <c r="L540" s="3" t="inlineStr">
        <is>
          <t>343.43</t>
        </is>
      </c>
      <c r="M540" t="inlineStr">
        <is>
          <t>Köln</t>
        </is>
      </c>
    </row>
    <row r="541">
      <c r="A541" t="inlineStr">
        <is>
          <t>Pads: Naish Pads, never used, stored in the garage</t>
        </is>
      </c>
      <c r="B541" s="4" t="n">
        <v>30</v>
      </c>
      <c r="C541" t="inlineStr"/>
      <c r="D541" t="inlineStr">
        <is>
          <t>18439 Mecklenburg-Vorpommern - Stralsund</t>
        </is>
      </c>
      <c r="E541" s="5" t="n">
        <v>45534</v>
      </c>
      <c r="F541" t="inlineStr"/>
      <c r="G541" s="6">
        <f>HYPERLINK("https://www.kleinanzeigen.de/s-anzeige/naish-pads/2849871708-230-135", "Link")</f>
        <v/>
      </c>
      <c r="H541" s="6">
        <f>HYPERLINK("C:\Projects\Kleinanzeigen-Scraper\offer_images\2849871708", "Link")</f>
        <v/>
      </c>
      <c r="I541" t="inlineStr">
        <is>
          <t>Marko Hartwig</t>
        </is>
      </c>
      <c r="J541" s="6">
        <f>HYPERLINK("https://www.kleinanzeigen.de/s-bestandsliste.html?userId=4110751", "Link")</f>
        <v/>
      </c>
      <c r="K541" s="7" t="n">
        <v>45549.57254629629</v>
      </c>
      <c r="L541" s="3" t="inlineStr">
        <is>
          <t>557.94</t>
        </is>
      </c>
      <c r="M541" t="inlineStr">
        <is>
          <t>Köln</t>
        </is>
      </c>
    </row>
    <row r="542">
      <c r="A542" t="inlineStr">
        <is>
          <t>Leash: Unbenutzte leash von north</t>
        </is>
      </c>
      <c r="B542" s="4" t="n">
        <v>20</v>
      </c>
      <c r="C542" t="inlineStr">
        <is>
          <t>VB</t>
        </is>
      </c>
      <c r="D542" t="inlineStr">
        <is>
          <t>23558 Schleswig-Holstein - Lübeck</t>
        </is>
      </c>
      <c r="E542" s="5" t="n">
        <v>45536</v>
      </c>
      <c r="F542" t="inlineStr">
        <is>
          <t>Sold</t>
        </is>
      </c>
      <c r="G542" s="6">
        <f>HYPERLINK("https://www.kleinanzeigen.de/s-anzeige/north-leash/2851789975-230-416", "Link")</f>
        <v/>
      </c>
      <c r="H542" s="6">
        <f>HYPERLINK("C:\Projects\Kleinanzeigen-Scraper\offer_images\2851789975", "Link")</f>
        <v/>
      </c>
      <c r="I542" t="inlineStr">
        <is>
          <t>Sophie</t>
        </is>
      </c>
      <c r="J542" s="6">
        <f>HYPERLINK("https://www.kleinanzeigen.de/s-bestandsliste.html?userId=10304027", "Link")</f>
        <v/>
      </c>
      <c r="K542" s="7" t="n">
        <v>45549.5724537037</v>
      </c>
      <c r="L542" s="3" t="inlineStr">
        <is>
          <t>410.30</t>
        </is>
      </c>
      <c r="M542" t="inlineStr">
        <is>
          <t>Köln</t>
        </is>
      </c>
    </row>
    <row r="543">
      <c r="A543" t="inlineStr">
        <is>
          <t>Bindings: Naish Apex, Size 9-15, new and unused</t>
        </is>
      </c>
      <c r="B543" s="4" t="n">
        <v>141</v>
      </c>
      <c r="C543" t="inlineStr">
        <is>
          <t>VB</t>
        </is>
      </c>
      <c r="D543" t="inlineStr">
        <is>
          <t>22337 Hamburg-Nord - Hamburg Ohlsdorf</t>
        </is>
      </c>
      <c r="E543" s="5" t="n">
        <v>45538</v>
      </c>
      <c r="F543" t="inlineStr">
        <is>
          <t>Sold</t>
        </is>
      </c>
      <c r="G543" s="6">
        <f>HYPERLINK("https://www.kleinanzeigen.de/s-anzeige/naish-apex-bindung/2853331282-230-9477", "Link")</f>
        <v/>
      </c>
      <c r="H543" s="6">
        <f>HYPERLINK("C:\Projects\Kleinanzeigen-Scraper\offer_images\2853331282", "Link")</f>
        <v/>
      </c>
      <c r="I543" t="inlineStr">
        <is>
          <t>Norman</t>
        </is>
      </c>
      <c r="J543" s="6">
        <f>HYPERLINK("https://www.kleinanzeigen.de/s-bestandsliste.html?userId=12245337", "Link")</f>
        <v/>
      </c>
      <c r="K543" s="7" t="n">
        <v>45549.57238425926</v>
      </c>
      <c r="L543" s="3" t="inlineStr">
        <is>
          <t>365.38</t>
        </is>
      </c>
      <c r="M543" t="inlineStr">
        <is>
          <t>Köln</t>
        </is>
      </c>
    </row>
    <row r="544">
      <c r="A544" t="inlineStr">
        <is>
          <t>Trustbar: 27 m</t>
        </is>
      </c>
      <c r="B544" s="4" t="n">
        <v>300</v>
      </c>
      <c r="C544" t="inlineStr">
        <is>
          <t>VB</t>
        </is>
      </c>
      <c r="D544" t="inlineStr">
        <is>
          <t>13127 Berlin - Pankow</t>
        </is>
      </c>
      <c r="E544" s="5" t="n">
        <v>45546</v>
      </c>
      <c r="F544" t="inlineStr">
        <is>
          <t>Sold</t>
        </is>
      </c>
      <c r="G544" s="6">
        <f>HYPERLINK("https://www.kleinanzeigen.de/s-anzeige/duotone-trustbar-27-m/2860323718-230-3465", "Link")</f>
        <v/>
      </c>
      <c r="H544" s="6">
        <f>HYPERLINK("C:\Projects\Kleinanzeigen-Scraper\offer_images\2860323718", "Link")</f>
        <v/>
      </c>
      <c r="I544" t="inlineStr">
        <is>
          <t>Gebhardt</t>
        </is>
      </c>
      <c r="J544" s="6">
        <f>HYPERLINK("https://www.kleinanzeigen.de/s-bestandsliste.html?userId=3127953", "Link")</f>
        <v/>
      </c>
      <c r="K544" s="7" t="n">
        <v>45549.57230324074</v>
      </c>
      <c r="L544" s="3" t="inlineStr">
        <is>
          <t>482.48</t>
        </is>
      </c>
      <c r="M544" t="inlineStr">
        <is>
          <t>Köln</t>
        </is>
      </c>
    </row>
    <row r="545">
      <c r="A545" t="inlineStr">
        <is>
          <t>Grab Handle: Duotone Grab Handle in used but top condition with screws. Hole spacing 18cm.</t>
        </is>
      </c>
      <c r="B545" s="4" t="n">
        <v>15</v>
      </c>
      <c r="C545" t="inlineStr">
        <is>
          <t>VB</t>
        </is>
      </c>
      <c r="D545" t="inlineStr">
        <is>
          <t>74074 Baden-Württemberg - Heilbronn</t>
        </is>
      </c>
      <c r="E545" s="5" t="n">
        <v>45547</v>
      </c>
      <c r="F545" t="inlineStr">
        <is>
          <t>Sold</t>
        </is>
      </c>
      <c r="G545" s="6">
        <f>HYPERLINK("https://www.kleinanzeigen.de/s-anzeige/duotone-grab-handle-kiteboard-griff/2861659471-230-9241", "Link")</f>
        <v/>
      </c>
      <c r="H545" s="6">
        <f>HYPERLINK("C:\Projects\Kleinanzeigen-Scraper\offer_images\2861659471", "Link")</f>
        <v/>
      </c>
      <c r="I545" t="inlineStr">
        <is>
          <t>Timo Haueisen</t>
        </is>
      </c>
      <c r="J545" s="6">
        <f>HYPERLINK("https://www.kleinanzeigen.de/s-bestandsliste.html?userId=39011935", "Link")</f>
        <v/>
      </c>
      <c r="K545" s="7" t="n">
        <v>45549.57223379629</v>
      </c>
      <c r="L545" s="3" t="inlineStr">
        <is>
          <t>54.07</t>
        </is>
      </c>
      <c r="M545" t="inlineStr">
        <is>
          <t>Böblingen</t>
        </is>
      </c>
    </row>
    <row r="546">
      <c r="A546" t="inlineStr">
        <is>
          <t>Safety Leash: Duotone neoprene covered safety leash in like-new condition, used only a few times.</t>
        </is>
      </c>
      <c r="B546" s="4" t="n">
        <v>38</v>
      </c>
      <c r="C546" t="inlineStr"/>
      <c r="D546" t="inlineStr">
        <is>
          <t>31535 Niedersachsen - Neustadt am Rübenberge</t>
        </is>
      </c>
      <c r="E546" s="5" t="n">
        <v>45547</v>
      </c>
      <c r="F546" t="inlineStr">
        <is>
          <t>Sold</t>
        </is>
      </c>
      <c r="G546" s="6">
        <f>HYPERLINK("https://www.kleinanzeigen.de/s-anzeige/duotone-neoprene-covered-safety-leash-top/2860869489-230-2912", "Link")</f>
        <v/>
      </c>
      <c r="H546" s="6">
        <f>HYPERLINK("C:\Projects\Kleinanzeigen-Scraper\offer_images\2860869489", "Link")</f>
        <v/>
      </c>
      <c r="I546" t="inlineStr">
        <is>
          <t>Meyer kleinanzeigen</t>
        </is>
      </c>
      <c r="J546" s="6">
        <f>HYPERLINK("https://www.kleinanzeigen.de/s-bestandsliste.html?userId=135098908", "Link")</f>
        <v/>
      </c>
      <c r="K546" s="7" t="n">
        <v>45549.57219907407</v>
      </c>
      <c r="L546" s="3" t="inlineStr">
        <is>
          <t>248.74</t>
        </is>
      </c>
      <c r="M546" t="inlineStr">
        <is>
          <t>Köln</t>
        </is>
      </c>
    </row>
    <row r="547">
      <c r="A547" t="inlineStr">
        <is>
          <t>Fins: Various used windsurf fins available, priced between 30 and 99 each.</t>
        </is>
      </c>
      <c r="B547" s="4" t="n">
        <v>30</v>
      </c>
      <c r="C547" t="inlineStr"/>
      <c r="D547" t="inlineStr">
        <is>
          <t>09111 Sachsen - Chemnitz</t>
        </is>
      </c>
      <c r="E547" s="5" t="n">
        <v>45547</v>
      </c>
      <c r="F547" t="inlineStr">
        <is>
          <t>Sold</t>
        </is>
      </c>
      <c r="G547" s="6">
        <f>HYPERLINK("https://www.kleinanzeigen.de/s-anzeige/windsurf-finne-finnen-ab-30-bis-99-pro-stueck-gut-gebrauchte/2861656823-230-3886", "Link")</f>
        <v/>
      </c>
      <c r="H547" s="6">
        <f>HYPERLINK("C:\Projects\Kleinanzeigen-Scraper\offer_images\2861656823", "Link")</f>
        <v/>
      </c>
      <c r="I547" t="inlineStr">
        <is>
          <t>olaf</t>
        </is>
      </c>
      <c r="J547" s="6">
        <f>HYPERLINK("https://www.kleinanzeigen.de/s-bestandsliste.html?userId=8857923", "Link")</f>
        <v/>
      </c>
      <c r="K547" s="7" t="n">
        <v>45549.57217592592</v>
      </c>
      <c r="L547" s="3" t="inlineStr">
        <is>
          <t>315.71</t>
        </is>
      </c>
      <c r="M547" t="inlineStr">
        <is>
          <t>München</t>
        </is>
      </c>
    </row>
    <row r="548">
      <c r="A548" t="inlineStr">
        <is>
          <t>Clickbar: Duotone Clickbar 4 Leiner Gr. M 22-24m, Freestyleloop, very good condition</t>
        </is>
      </c>
      <c r="B548" s="4" t="n">
        <v>439</v>
      </c>
      <c r="C548" t="inlineStr"/>
      <c r="D548" t="inlineStr">
        <is>
          <t>26676 Niedersachsen - Barßel</t>
        </is>
      </c>
      <c r="E548" s="5" t="n">
        <v>45545</v>
      </c>
      <c r="F548" t="inlineStr">
        <is>
          <t>Sold</t>
        </is>
      </c>
      <c r="G548" s="6">
        <f>HYPERLINK("https://www.kleinanzeigen.de/s-anzeige/duotone-clickbar-4-leiner-gr-m-22-24m-freestyleloop-top-zustand/2859797973-230-2762", "Link")</f>
        <v/>
      </c>
      <c r="H548" s="6">
        <f>HYPERLINK("C:\Projects\Kleinanzeigen-Scraper\offer_images\2859797973", "Link")</f>
        <v/>
      </c>
      <c r="I548" t="inlineStr">
        <is>
          <t>C. Burkhardt</t>
        </is>
      </c>
      <c r="J548" s="6">
        <f>HYPERLINK("https://www.kleinanzeigen.de/s-bestandsliste.html?userId=17823651", "Link")</f>
        <v/>
      </c>
      <c r="K548" s="7" t="n">
        <v>45549.57212962963</v>
      </c>
      <c r="L548" s="3" t="inlineStr">
        <is>
          <t>252.13</t>
        </is>
      </c>
      <c r="M548" t="inlineStr">
        <is>
          <t>Köln</t>
        </is>
      </c>
    </row>
    <row r="549">
      <c r="A549" t="inlineStr">
        <is>
          <t>Harness Lines: 24 inch, new</t>
        </is>
      </c>
      <c r="B549" s="4" t="n">
        <v>12</v>
      </c>
      <c r="C549" t="inlineStr"/>
      <c r="D549" t="inlineStr">
        <is>
          <t>85661 Bayern - Forstinning</t>
        </is>
      </c>
      <c r="E549" s="5" t="n">
        <v>45447</v>
      </c>
      <c r="F549" t="inlineStr"/>
      <c r="G549" s="6">
        <f>HYPERLINK("https://www.kleinanzeigen.de/s-anzeige/neilpryde-mono-harness-line-24-neu/2779524089-230-6580", "Link")</f>
        <v/>
      </c>
      <c r="H549" s="6">
        <f>HYPERLINK("C:\Projects\Kleinanzeigen-Scraper\offer_images\2779524089", "Link")</f>
        <v/>
      </c>
      <c r="I549" t="inlineStr">
        <is>
          <t>Marion</t>
        </is>
      </c>
      <c r="J549" s="6">
        <f>HYPERLINK("https://www.kleinanzeigen.de/s-bestandsliste.html?userId=9893242", "Link")</f>
        <v/>
      </c>
      <c r="K549" s="7" t="n">
        <v>45549.57208333333</v>
      </c>
      <c r="L549" s="3" t="inlineStr">
        <is>
          <t>25.53</t>
        </is>
      </c>
      <c r="M549" t="inlineStr">
        <is>
          <t>München</t>
        </is>
      </c>
    </row>
    <row r="550">
      <c r="A550" t="inlineStr">
        <is>
          <t>Leash: Starboard Surf SUP Wing Foil, 10ft, Zustand sehr gut</t>
        </is>
      </c>
      <c r="B550" s="4" t="n">
        <v>15</v>
      </c>
      <c r="C550" t="inlineStr"/>
      <c r="D550" t="inlineStr">
        <is>
          <t>24837 Schleswig-Holstein - Schleswig</t>
        </is>
      </c>
      <c r="E550" s="5" t="n">
        <v>45523</v>
      </c>
      <c r="F550" t="inlineStr">
        <is>
          <t>Sold</t>
        </is>
      </c>
      <c r="G550" s="6">
        <f>HYPERLINK("https://www.kleinanzeigen.de/s-anzeige/starboard-surf-sup-wing-foil-knie-leash-10ft/2840686298-230-558", "Link")</f>
        <v/>
      </c>
      <c r="H550" s="6">
        <f>HYPERLINK("C:\Projects\Kleinanzeigen-Scraper\offer_images\2840686298", "Link")</f>
        <v/>
      </c>
      <c r="I550" t="inlineStr">
        <is>
          <t>Timo Kratzsch</t>
        </is>
      </c>
      <c r="J550" s="6">
        <f>HYPERLINK("https://www.kleinanzeigen.de/s-bestandsliste.html?userId=16920582", "Link")</f>
        <v/>
      </c>
      <c r="K550" s="7" t="n">
        <v>45549.57208333333</v>
      </c>
      <c r="L550" s="3" t="inlineStr">
        <is>
          <t>435.51</t>
        </is>
      </c>
      <c r="M550" t="inlineStr">
        <is>
          <t>Köln</t>
        </is>
      </c>
    </row>
    <row r="551">
      <c r="A551" t="inlineStr">
        <is>
          <t>Iron Heart: Used part for North Click Bar, compatible with Duotone version, fully functional.</t>
        </is>
      </c>
      <c r="B551" s="4" t="n">
        <v>55</v>
      </c>
      <c r="C551" t="inlineStr">
        <is>
          <t>VB</t>
        </is>
      </c>
      <c r="D551" t="inlineStr">
        <is>
          <t>21075 Harburg - Hamburg Heimfeld</t>
        </is>
      </c>
      <c r="E551" s="5" t="n">
        <v>45546</v>
      </c>
      <c r="F551" t="inlineStr">
        <is>
          <t>Sold</t>
        </is>
      </c>
      <c r="G551" s="6">
        <f>HYPERLINK("https://www.kleinanzeigen.de/s-anzeige/north-duotone-iron-heart-with-bearing-click-bar/2860181166-230-16405", "Link")</f>
        <v/>
      </c>
      <c r="H551" s="6">
        <f>HYPERLINK("C:\Projects\Kleinanzeigen-Scraper\offer_images\2860181166", "Link")</f>
        <v/>
      </c>
      <c r="I551" t="inlineStr">
        <is>
          <t>Hartmann</t>
        </is>
      </c>
      <c r="J551" s="6">
        <f>HYPERLINK("https://www.kleinanzeigen.de/s-bestandsliste.html?userId=17377406", "Link")</f>
        <v/>
      </c>
      <c r="K551" s="7" t="n">
        <v>45549.57190972222</v>
      </c>
      <c r="L551" s="3" t="inlineStr">
        <is>
          <t>345.92</t>
        </is>
      </c>
      <c r="M551" t="inlineStr">
        <is>
          <t>Köln</t>
        </is>
      </c>
    </row>
    <row r="552">
      <c r="A552" t="inlineStr">
        <is>
          <t>Bindings: Naish Apex size 9-15 including screws, washers, and replacement pads for hardness adjustment.</t>
        </is>
      </c>
      <c r="B552" s="4" t="n">
        <v>150</v>
      </c>
      <c r="C552" t="inlineStr"/>
      <c r="D552" t="inlineStr">
        <is>
          <t>23936 Nordwestmecklenburg - Landkreis - Grevesmuehlen</t>
        </is>
      </c>
      <c r="E552" s="5" t="n">
        <v>45538</v>
      </c>
      <c r="F552" t="inlineStr">
        <is>
          <t>Sold</t>
        </is>
      </c>
      <c r="G552" s="6">
        <f>HYPERLINK("https://www.kleinanzeigen.de/s-anzeige/naish-apex-bindung/2853695023-230-222", "Link")</f>
        <v/>
      </c>
      <c r="H552" s="6">
        <f>HYPERLINK("C:\Projects\Kleinanzeigen-Scraper\offer_images\2853695023", "Link")</f>
        <v/>
      </c>
      <c r="I552" t="inlineStr">
        <is>
          <t>Tom Splitt</t>
        </is>
      </c>
      <c r="J552" s="6">
        <f>HYPERLINK("https://www.kleinanzeigen.de/s-bestandsliste.html?userId=19366493", "Link")</f>
        <v/>
      </c>
      <c r="K552" s="7" t="n">
        <v>45549.57175925926</v>
      </c>
      <c r="L552" s="3" t="inlineStr">
        <is>
          <t>432.37</t>
        </is>
      </c>
      <c r="M552" t="inlineStr">
        <is>
          <t>Köln</t>
        </is>
      </c>
    </row>
    <row r="553">
      <c r="A553" t="inlineStr">
        <is>
          <t>Helmet: Liquid Force Icon, size L</t>
        </is>
      </c>
      <c r="B553" s="4" t="n">
        <v>35</v>
      </c>
      <c r="C553" t="inlineStr"/>
      <c r="D553" t="inlineStr">
        <is>
          <t>23769 Kreis Ostholstein - Fehmarn</t>
        </is>
      </c>
      <c r="E553" s="5" t="n">
        <v>45548</v>
      </c>
      <c r="F553" t="inlineStr">
        <is>
          <t>Sold</t>
        </is>
      </c>
      <c r="G553" s="6">
        <f>HYPERLINK("https://www.kleinanzeigen.de/s-anzeige/helm-wassersport-wakeboard-kiten-windsurfen-gr-l/2862122435-230-19951", "Link")</f>
        <v/>
      </c>
      <c r="H553" s="6">
        <f>HYPERLINK("C:\Projects\Kleinanzeigen-Scraper\offer_images\2862122435", "Link")</f>
        <v/>
      </c>
      <c r="I553" t="inlineStr">
        <is>
          <t>Sonja</t>
        </is>
      </c>
      <c r="J553" s="6">
        <f>HYPERLINK("https://www.kleinanzeigen.de/s-bestandsliste.html?userId=2273725", "Link")</f>
        <v/>
      </c>
      <c r="K553" s="7" t="n">
        <v>45549.57166666666</v>
      </c>
      <c r="L553" s="3" t="inlineStr">
        <is>
          <t>483.01</t>
        </is>
      </c>
      <c r="M553" t="inlineStr">
        <is>
          <t>Köln</t>
        </is>
      </c>
    </row>
    <row r="554">
      <c r="A554" t="inlineStr">
        <is>
          <t>Fin: JP Australia Supersport Powerbox, 50 cm, in good condition with minor wear</t>
        </is>
      </c>
      <c r="B554" s="4" t="n">
        <v>65</v>
      </c>
      <c r="C554" t="inlineStr"/>
      <c r="D554" t="inlineStr">
        <is>
          <t>78462 Baden-Württemberg - Konstanz</t>
        </is>
      </c>
      <c r="E554" s="5" t="n">
        <v>45548</v>
      </c>
      <c r="F554" t="inlineStr">
        <is>
          <t>Sold</t>
        </is>
      </c>
      <c r="G554" s="6">
        <f>HYPERLINK("https://www.kleinanzeigen.de/s-anzeige/finne-50-jp-australia-supersport-powerbox-windsurf-freeride/2861689689-230-9390", "Link")</f>
        <v/>
      </c>
      <c r="H554" s="6">
        <f>HYPERLINK("C:\Projects\Kleinanzeigen-Scraper\offer_images\2861689689", "Link")</f>
        <v/>
      </c>
      <c r="I554" t="inlineStr">
        <is>
          <t>Timo</t>
        </is>
      </c>
      <c r="J554" s="6">
        <f>HYPERLINK("https://www.kleinanzeigen.de/s-bestandsliste.html?userId=16083478", "Link")</f>
        <v/>
      </c>
      <c r="K554" s="7" t="n">
        <v>45549.57158564815</v>
      </c>
      <c r="L554" s="3" t="inlineStr">
        <is>
          <t>64.75</t>
        </is>
      </c>
      <c r="M554" t="inlineStr">
        <is>
          <t>Bonndorf</t>
        </is>
      </c>
    </row>
    <row r="555">
      <c r="A555" t="inlineStr">
        <is>
          <t>Click Bar: Duotone Click Bar S 22m, includes Freestyle Loop, bag &amp; accessories</t>
        </is>
      </c>
      <c r="B555" s="4" t="n">
        <v>340</v>
      </c>
      <c r="C555" t="inlineStr">
        <is>
          <t>VB</t>
        </is>
      </c>
      <c r="D555" t="inlineStr">
        <is>
          <t>26759 Niedersachsen - Hinte</t>
        </is>
      </c>
      <c r="E555" s="5" t="n">
        <v>45546</v>
      </c>
      <c r="F555" t="inlineStr">
        <is>
          <t>Sold</t>
        </is>
      </c>
      <c r="G555" s="6">
        <f>HYPERLINK("https://www.kleinanzeigen.de/s-anzeige/duotone-click-bar-s-22m-2023/2860662691-230-16994", "Link")</f>
        <v/>
      </c>
      <c r="H555" s="6">
        <f>HYPERLINK("C:\Projects\Kleinanzeigen-Scraper\offer_images\2860662691", "Link")</f>
        <v/>
      </c>
      <c r="I555" t="inlineStr">
        <is>
          <t>Benjamin</t>
        </is>
      </c>
      <c r="J555" s="6">
        <f>HYPERLINK("https://www.kleinanzeigen.de/s-bestandsliste.html?userId=117948239", "Link")</f>
        <v/>
      </c>
      <c r="K555" s="7" t="n">
        <v>45549.57158564815</v>
      </c>
      <c r="L555" s="3" t="inlineStr">
        <is>
          <t>276.68</t>
        </is>
      </c>
      <c r="M555" t="inlineStr">
        <is>
          <t>Köln</t>
        </is>
      </c>
    </row>
    <row r="556">
      <c r="A556" t="inlineStr">
        <is>
          <t>Fin: Unused original Tabou fins with fin bag, available in 46 or 48 size</t>
        </is>
      </c>
      <c r="B556" s="4" t="n">
        <v>95</v>
      </c>
      <c r="C556" t="inlineStr">
        <is>
          <t>VB</t>
        </is>
      </c>
      <c r="D556" t="inlineStr">
        <is>
          <t>29614 Niedersachsen - Soltau</t>
        </is>
      </c>
      <c r="E556" s="5" t="n">
        <v>45507</v>
      </c>
      <c r="F556" t="inlineStr">
        <is>
          <t>Sold</t>
        </is>
      </c>
      <c r="G556" s="6">
        <f>HYPERLINK("https://www.kleinanzeigen.de/s-anzeige/windsurf-finne-powerbox-tabou-46er-oder-48er-windsurfen/2828236920-230-3257", "Link")</f>
        <v/>
      </c>
      <c r="H556" s="6">
        <f>HYPERLINK("C:\Projects\Kleinanzeigen-Scraper\offer_images\2828236920", "Link")</f>
        <v/>
      </c>
      <c r="I556" t="inlineStr">
        <is>
          <t>Dieter</t>
        </is>
      </c>
      <c r="J556" s="6">
        <f>HYPERLINK("https://www.kleinanzeigen.de/s-bestandsliste.html?userId=35923102", "Link")</f>
        <v/>
      </c>
      <c r="K556" s="7" t="n">
        <v>45549.57150462963</v>
      </c>
      <c r="L556" s="3" t="inlineStr">
        <is>
          <t>471.97</t>
        </is>
      </c>
      <c r="M556" t="inlineStr">
        <is>
          <t>Köln</t>
        </is>
      </c>
    </row>
    <row r="557">
      <c r="A557" t="inlineStr">
        <is>
          <t>Click Bar: Duotone Click Bar in size S, available without loop or with Wakestyle loop.</t>
        </is>
      </c>
      <c r="B557" s="4" t="n">
        <v>400</v>
      </c>
      <c r="C557" t="inlineStr"/>
      <c r="D557" t="inlineStr">
        <is>
          <t>22765 Altona - Hamburg Ottensen</t>
        </is>
      </c>
      <c r="E557" s="5" t="n">
        <v>45547</v>
      </c>
      <c r="F557" t="inlineStr">
        <is>
          <t>Sold</t>
        </is>
      </c>
      <c r="G557" s="6">
        <f>HYPERLINK("https://www.kleinanzeigen.de/s-anzeige/duotone-click-bar-clickbar-2024-in-s/2860835728-230-9504", "Link")</f>
        <v/>
      </c>
      <c r="H557" s="6">
        <f>HYPERLINK("C:\Projects\Kleinanzeigen-Scraper\offer_images\2860835728", "Link")</f>
        <v/>
      </c>
      <c r="I557" t="inlineStr">
        <is>
          <t>Basti</t>
        </is>
      </c>
      <c r="J557" s="6">
        <f>HYPERLINK("https://www.kleinanzeigen.de/s-bestandsliste.html?userId=6345680", "Link")</f>
        <v/>
      </c>
      <c r="K557" s="7" t="n">
        <v>45549.57144675926</v>
      </c>
      <c r="L557" s="3" t="inlineStr">
        <is>
          <t>354.49</t>
        </is>
      </c>
      <c r="M557" t="inlineStr">
        <is>
          <t>Köln</t>
        </is>
      </c>
    </row>
    <row r="558">
      <c r="A558" t="inlineStr">
        <is>
          <t>Bindings: Naish Apex size 9-15 for twintip kite board</t>
        </is>
      </c>
      <c r="B558" s="4" t="n">
        <v>145</v>
      </c>
      <c r="C558" t="inlineStr">
        <is>
          <t>VB</t>
        </is>
      </c>
      <c r="D558" t="inlineStr">
        <is>
          <t>10318 Berlin - Karlshorst</t>
        </is>
      </c>
      <c r="E558" s="5" t="n">
        <v>45527</v>
      </c>
      <c r="F558" t="inlineStr">
        <is>
          <t>Sold</t>
        </is>
      </c>
      <c r="G558" s="6">
        <f>HYPERLINK("https://www.kleinanzeigen.de/s-anzeige/naish-apex-9-15-bindungen-kite-board-twintip/2844589772-230-25917", "Link")</f>
        <v/>
      </c>
      <c r="H558" s="6">
        <f>HYPERLINK("C:\Projects\Kleinanzeigen-Scraper\offer_images\2844589772", "Link")</f>
        <v/>
      </c>
      <c r="I558" t="inlineStr">
        <is>
          <t>Oliver</t>
        </is>
      </c>
      <c r="J558" s="6">
        <f>HYPERLINK("https://www.kleinanzeigen.de/s-bestandsliste.html?userId=25770650", "Link")</f>
        <v/>
      </c>
      <c r="K558" s="7" t="n">
        <v>45549.57140046296</v>
      </c>
      <c r="L558" s="3" t="inlineStr">
        <is>
          <t>483.53</t>
        </is>
      </c>
      <c r="M558" t="inlineStr">
        <is>
          <t>Köln</t>
        </is>
      </c>
    </row>
    <row r="559">
      <c r="A559" t="inlineStr">
        <is>
          <t>Mastfoot: North Sails Mastfuss</t>
        </is>
      </c>
      <c r="B559" s="4" t="n">
        <v>35</v>
      </c>
      <c r="C559" t="inlineStr">
        <is>
          <t>VB</t>
        </is>
      </c>
      <c r="D559" t="inlineStr">
        <is>
          <t>52399 Nordrhein-Westfalen - Merzenich</t>
        </is>
      </c>
      <c r="E559" s="5" t="n">
        <v>45538</v>
      </c>
      <c r="F559" t="inlineStr">
        <is>
          <t>Sold</t>
        </is>
      </c>
      <c r="G559" s="6">
        <f>HYPERLINK("https://www.kleinanzeigen.de/s-anzeige/north-sails-mastfuss/2853519106-230-1766", "Link")</f>
        <v/>
      </c>
      <c r="H559" s="6">
        <f>HYPERLINK("C:\Projects\Kleinanzeigen-Scraper\offer_images\2853519106", "Link")</f>
        <v/>
      </c>
      <c r="I559" t="inlineStr">
        <is>
          <t>Mike</t>
        </is>
      </c>
      <c r="J559" s="6">
        <f>HYPERLINK("https://www.kleinanzeigen.de/s-bestandsliste.html?userId=13676787", "Link")</f>
        <v/>
      </c>
      <c r="K559" s="7" t="n">
        <v>45549.57137731482</v>
      </c>
      <c r="L559" s="3" t="inlineStr">
        <is>
          <t>32.32</t>
        </is>
      </c>
      <c r="M559" t="inlineStr">
        <is>
          <t>Köln</t>
        </is>
      </c>
    </row>
    <row r="560">
      <c r="A560" t="inlineStr">
        <is>
          <t>Bar: North Bar lang, pro Stück 199,-</t>
        </is>
      </c>
      <c r="B560" s="4" t="n">
        <v>199</v>
      </c>
      <c r="C560" t="inlineStr"/>
      <c r="D560" t="inlineStr">
        <is>
          <t>27777 Niedersachsen - Ganderkesee</t>
        </is>
      </c>
      <c r="E560" s="5" t="n">
        <v>45539</v>
      </c>
      <c r="F560" t="inlineStr">
        <is>
          <t>Sold</t>
        </is>
      </c>
      <c r="G560" s="6">
        <f>HYPERLINK("https://www.kleinanzeigen.de/s-anzeige/north-bar-lang/2854071795-230-2472", "Link")</f>
        <v/>
      </c>
      <c r="H560" s="6">
        <f>HYPERLINK("C:\Projects\Kleinanzeigen-Scraper\offer_images\2854071795", "Link")</f>
        <v/>
      </c>
      <c r="I560" t="inlineStr">
        <is>
          <t>Blume Pauly Gbr</t>
        </is>
      </c>
      <c r="J560" s="6">
        <f>HYPERLINK("https://www.kleinanzeigen.de/s-bestandsliste.html?userId=83509711", "Link")</f>
        <v/>
      </c>
      <c r="K560" s="7" t="n">
        <v>45549.57135416667</v>
      </c>
      <c r="L560" s="3" t="inlineStr">
        <is>
          <t>258.92</t>
        </is>
      </c>
      <c r="M560" t="inlineStr">
        <is>
          <t>Köln</t>
        </is>
      </c>
    </row>
    <row r="561">
      <c r="A561" t="inlineStr">
        <is>
          <t>Click Bar: Freestyle Loop included</t>
        </is>
      </c>
      <c r="B561" s="4" t="n">
        <v>250</v>
      </c>
      <c r="C561" t="inlineStr">
        <is>
          <t>VB</t>
        </is>
      </c>
      <c r="D561" t="inlineStr">
        <is>
          <t>88131 Bayern - Lindau</t>
        </is>
      </c>
      <c r="E561" s="5" t="n">
        <v>45538</v>
      </c>
      <c r="F561" t="inlineStr">
        <is>
          <t>Sold</t>
        </is>
      </c>
      <c r="G561" s="6">
        <f>HYPERLINK("https://www.kleinanzeigen.de/s-anzeige/duotone-click-bar/2853599335-230-7707", "Link")</f>
        <v/>
      </c>
      <c r="H561" s="6">
        <f>HYPERLINK("C:\Projects\Kleinanzeigen-Scraper\offer_images\2853599335", "Link")</f>
        <v/>
      </c>
      <c r="I561" t="inlineStr">
        <is>
          <t>Johannes</t>
        </is>
      </c>
      <c r="J561" s="6">
        <f>HYPERLINK("https://www.kleinanzeigen.de/s-bestandsliste.html?userId=18450871", "Link")</f>
        <v/>
      </c>
      <c r="K561" s="7" t="n">
        <v>45549.57133101852</v>
      </c>
      <c r="L561" s="3" t="inlineStr">
        <is>
          <t>104.13</t>
        </is>
      </c>
      <c r="M561" t="inlineStr">
        <is>
          <t>Bonndorf</t>
        </is>
      </c>
    </row>
    <row r="562">
      <c r="A562" t="inlineStr">
        <is>
          <t>Mast extension: North Power XT 28 cm, suitable for SDM masts</t>
        </is>
      </c>
      <c r="B562" s="4" t="n">
        <v>70</v>
      </c>
      <c r="C562" t="inlineStr"/>
      <c r="D562" t="inlineStr">
        <is>
          <t>09117 Chemnitz - Rabenstein</t>
        </is>
      </c>
      <c r="E562" s="5" t="n">
        <v>45538</v>
      </c>
      <c r="F562" t="inlineStr">
        <is>
          <t>Sold</t>
        </is>
      </c>
      <c r="G562" s="6">
        <f>HYPERLINK("https://www.kleinanzeigen.de/s-anzeige/north-power-xt-28-sdm-verlaengerung-mit-ratsche/2853442423-230-26066", "Link")</f>
        <v/>
      </c>
      <c r="H562" s="6">
        <f>HYPERLINK("C:\Projects\Kleinanzeigen-Scraper\offer_images\2853442423", "Link")</f>
        <v/>
      </c>
      <c r="I562" t="inlineStr">
        <is>
          <t>Frank Dittmar</t>
        </is>
      </c>
      <c r="J562" s="6">
        <f>HYPERLINK("https://www.kleinanzeigen.de/s-bestandsliste.html?userId=9853269", "Link")</f>
        <v/>
      </c>
      <c r="K562" s="7" t="n">
        <v>45549.57131944445</v>
      </c>
      <c r="L562" s="3" t="inlineStr">
        <is>
          <t>312.37</t>
        </is>
      </c>
      <c r="M562" t="inlineStr">
        <is>
          <t>München</t>
        </is>
      </c>
    </row>
    <row r="563">
      <c r="A563" t="inlineStr">
        <is>
          <t>Neopren Schuhe: 5mm, Größe 39, gut erhalten, mit Aquasure abgedichtet</t>
        </is>
      </c>
      <c r="B563" s="4" t="n">
        <v>15</v>
      </c>
      <c r="C563" t="inlineStr"/>
      <c r="D563" t="inlineStr">
        <is>
          <t>13347 Mitte - Wedding</t>
        </is>
      </c>
      <c r="E563" s="5" t="n">
        <v>45548</v>
      </c>
      <c r="F563" t="inlineStr">
        <is>
          <t>Sold</t>
        </is>
      </c>
      <c r="G563" s="6">
        <f>HYPERLINK("https://www.kleinanzeigen.de/s-anzeige/windsurf-neopren-schuhe-5mm/2861912184-230-3508", "Link")</f>
        <v/>
      </c>
      <c r="H563" s="6">
        <f>HYPERLINK("C:\Projects\Kleinanzeigen-Scraper\offer_images\2861912184", "Link")</f>
        <v/>
      </c>
      <c r="I563" t="inlineStr">
        <is>
          <t>Privat</t>
        </is>
      </c>
      <c r="J563" s="6">
        <f>HYPERLINK("https://www.kleinanzeigen.de/s-bestandsliste.html?userId=14672016", "Link")</f>
        <v/>
      </c>
      <c r="K563" s="7" t="n">
        <v>45549.57129629629</v>
      </c>
      <c r="L563" s="3" t="inlineStr">
        <is>
          <t>476.11</t>
        </is>
      </c>
      <c r="M563" t="inlineStr">
        <is>
          <t>Köln</t>
        </is>
      </c>
    </row>
    <row r="564">
      <c r="A564" t="inlineStr">
        <is>
          <t>Mast extension: Used mast extension for windsurfing, 15 cm</t>
        </is>
      </c>
      <c r="B564" s="4" t="n">
        <v>20</v>
      </c>
      <c r="C564" t="inlineStr"/>
      <c r="D564" t="inlineStr">
        <is>
          <t>24782 Schleswig-Holstein - Büdelsdorf</t>
        </is>
      </c>
      <c r="E564" s="5" t="n">
        <v>45535</v>
      </c>
      <c r="F564" t="inlineStr"/>
      <c r="G564" s="6">
        <f>HYPERLINK("https://www.kleinanzeigen.de/s-anzeige/mastverlaengerung-gun-sails/2850485194-230-18947", "Link")</f>
        <v/>
      </c>
      <c r="H564" s="6">
        <f>HYPERLINK("C:\Projects\Kleinanzeigen-Scraper\offer_images\2850485194", "Link")</f>
        <v/>
      </c>
      <c r="I564" t="inlineStr">
        <is>
          <t>A.E. Privat</t>
        </is>
      </c>
      <c r="J564" s="6">
        <f>HYPERLINK("https://www.kleinanzeigen.de/s-bestandsliste.html?userId=73333298", "Link")</f>
        <v/>
      </c>
      <c r="K564" s="7" t="n">
        <v>45549.57105324074</v>
      </c>
      <c r="L564" s="3" t="inlineStr">
        <is>
          <t>419.12</t>
        </is>
      </c>
      <c r="M564" t="inlineStr">
        <is>
          <t>Köln</t>
        </is>
      </c>
    </row>
    <row r="565">
      <c r="A565" t="inlineStr">
        <is>
          <t>Fins: Fanatic Twin New Wave 17 with normal signs of use</t>
        </is>
      </c>
      <c r="B565" s="4" t="n">
        <v>70</v>
      </c>
      <c r="C565" t="inlineStr">
        <is>
          <t>VB</t>
        </is>
      </c>
      <c r="D565" t="inlineStr">
        <is>
          <t>71711 Baden-Württemberg - Steinheim an der Murr</t>
        </is>
      </c>
      <c r="E565" s="5" t="n">
        <v>45547</v>
      </c>
      <c r="F565" t="inlineStr">
        <is>
          <t>Sold</t>
        </is>
      </c>
      <c r="G565" s="6">
        <f>HYPERLINK("https://www.kleinanzeigen.de/s-anzeige/fanatic-finnen-twin-new-wave-17/2861219893-230-8448", "Link")</f>
        <v/>
      </c>
      <c r="H565" s="6">
        <f>HYPERLINK("C:\Projects\Kleinanzeigen-Scraper\offer_images\2861219893", "Link")</f>
        <v/>
      </c>
      <c r="I565" t="inlineStr">
        <is>
          <t>Martin</t>
        </is>
      </c>
      <c r="J565" s="6">
        <f>HYPERLINK("https://www.kleinanzeigen.de/s-bestandsliste.html?userId=24335550", "Link")</f>
        <v/>
      </c>
      <c r="K565" s="7" t="n">
        <v>45549.57101851852</v>
      </c>
      <c r="L565" s="3" t="inlineStr">
        <is>
          <t>40.09</t>
        </is>
      </c>
      <c r="M565" t="inlineStr">
        <is>
          <t>Böblingen</t>
        </is>
      </c>
    </row>
    <row r="566">
      <c r="A566" t="inlineStr">
        <is>
          <t>Harness: North Styler women's hip harness in size XS, fully functional with no damages or scratches.</t>
        </is>
      </c>
      <c r="B566" s="4" t="n">
        <v>35</v>
      </c>
      <c r="C566" t="inlineStr">
        <is>
          <t>VB</t>
        </is>
      </c>
      <c r="D566" t="inlineStr">
        <is>
          <t>58089 Nordrhein-Westfalen - Hagen</t>
        </is>
      </c>
      <c r="E566" s="5" t="n">
        <v>45541</v>
      </c>
      <c r="F566" t="inlineStr">
        <is>
          <t>Sold</t>
        </is>
      </c>
      <c r="G566" s="6">
        <f>HYPERLINK("https://www.kleinanzeigen.de/s-anzeige/north-damen-huefttrapez-styler/2855725973-230-2010", "Link")</f>
        <v/>
      </c>
      <c r="H566" s="6">
        <f>HYPERLINK("C:\Projects\Kleinanzeigen-Scraper\offer_images\2855725973", "Link")</f>
        <v/>
      </c>
      <c r="I566" t="inlineStr">
        <is>
          <t>D. Grabosch</t>
        </is>
      </c>
      <c r="J566" s="6">
        <f>HYPERLINK("https://www.kleinanzeigen.de/s-bestandsliste.html?userId=3416045", "Link")</f>
        <v/>
      </c>
      <c r="K566" s="7" t="n">
        <v>45549.57100694445</v>
      </c>
      <c r="L566" s="3" t="inlineStr">
        <is>
          <t>59.46</t>
        </is>
      </c>
      <c r="M566" t="inlineStr">
        <is>
          <t>Köln</t>
        </is>
      </c>
    </row>
    <row r="567">
      <c r="A567" t="inlineStr">
        <is>
          <t>Lattensatz: Camber for Neilpryde Hornet 8.7 m², includes various lengths and diameters</t>
        </is>
      </c>
      <c r="B567" s="4" t="n">
        <v>140</v>
      </c>
      <c r="C567" t="inlineStr">
        <is>
          <t>VB</t>
        </is>
      </c>
      <c r="D567" t="inlineStr">
        <is>
          <t>82544 Bayern - Egling</t>
        </is>
      </c>
      <c r="E567" s="5" t="n">
        <v>45520</v>
      </c>
      <c r="F567" t="inlineStr"/>
      <c r="G567" s="6">
        <f>HYPERLINK("https://www.kleinanzeigen.de/s-anzeige/surfsegel-segellatten-lattensatz-camber-neilpryde-hornet-8-7-m2/2837959135-230-5541", "Link")</f>
        <v/>
      </c>
      <c r="H567" s="6">
        <f>HYPERLINK("C:\Projects\Kleinanzeigen-Scraper\offer_images\2837959135", "Link")</f>
        <v/>
      </c>
      <c r="I567" t="inlineStr">
        <is>
          <t>Wolfgang</t>
        </is>
      </c>
      <c r="J567" s="6">
        <f>HYPERLINK("https://www.kleinanzeigen.de/s-bestandsliste.html?userId=29464446", "Link")</f>
        <v/>
      </c>
      <c r="K567" s="7" t="n">
        <v>45549.57082175926</v>
      </c>
      <c r="L567" s="3" t="inlineStr">
        <is>
          <t>23.39</t>
        </is>
      </c>
      <c r="M567" t="inlineStr">
        <is>
          <t>München</t>
        </is>
      </c>
    </row>
    <row r="568">
      <c r="A568" t="inlineStr">
        <is>
          <t>Valve: Duotone NK North Kite Airport self-adhesive inlet valve, brand new in original packaging</t>
        </is>
      </c>
      <c r="B568" s="4" t="n">
        <v>33</v>
      </c>
      <c r="C568" t="inlineStr"/>
      <c r="D568" t="inlineStr">
        <is>
          <t>93128 Bayern - Regenstauf</t>
        </is>
      </c>
      <c r="E568" s="5" t="n">
        <v>45539</v>
      </c>
      <c r="F568" t="inlineStr">
        <is>
          <t>Sold</t>
        </is>
      </c>
      <c r="G568" s="6">
        <f>HYPERLINK("https://www.kleinanzeigen.de/s-anzeige/duotone-nk-north-kite-airport-valve-selbstklebendes-einlassventil/2854137328-230-5781", "Link")</f>
        <v/>
      </c>
      <c r="H568" s="6">
        <f>HYPERLINK("C:\Projects\Kleinanzeigen-Scraper\offer_images\2854137328", "Link")</f>
        <v/>
      </c>
      <c r="I568" t="inlineStr">
        <is>
          <t>Dan</t>
        </is>
      </c>
      <c r="J568" s="6">
        <f>HYPERLINK("https://www.kleinanzeigen.de/s-bestandsliste.html?userId=21958890", "Link")</f>
        <v/>
      </c>
      <c r="K568" s="7" t="n">
        <v>45549.57076388889</v>
      </c>
      <c r="L568" s="3" t="inlineStr">
        <is>
          <t>120.91</t>
        </is>
      </c>
      <c r="M568" t="inlineStr">
        <is>
          <t>München</t>
        </is>
      </c>
    </row>
    <row r="569">
      <c r="A569" t="inlineStr">
        <is>
          <t>Mast extension: 2 RDM extensions, one adjustable up to 39 cm (Tecnolimits - Alu), the other up to 40 cm (brand unknown, carbon), includes mast foot with new joint.</t>
        </is>
      </c>
      <c r="B569" s="4" t="n">
        <v>50</v>
      </c>
      <c r="C569" t="inlineStr"/>
      <c r="D569" t="inlineStr">
        <is>
          <t>14513 Brandenburg - Teltow</t>
        </is>
      </c>
      <c r="E569" s="5" t="n">
        <v>45542</v>
      </c>
      <c r="F569" t="inlineStr">
        <is>
          <t>Sold</t>
        </is>
      </c>
      <c r="G569" s="6">
        <f>HYPERLINK("https://www.kleinanzeigen.de/s-anzeige/rdm-verlaengerungen-windsurfen-mastfuss-carbon/2856327614-230-7939", "Link")</f>
        <v/>
      </c>
      <c r="H569" s="6">
        <f>HYPERLINK("C:\Projects\Kleinanzeigen-Scraper\offer_images\2856327614", "Link")</f>
        <v/>
      </c>
      <c r="I569" t="inlineStr">
        <is>
          <t>Thomas</t>
        </is>
      </c>
      <c r="J569" s="6">
        <f>HYPERLINK("https://www.kleinanzeigen.de/s-bestandsliste.html?userId=25517038", "Link")</f>
        <v/>
      </c>
      <c r="K569" s="7" t="n">
        <v>45548.54952546296</v>
      </c>
      <c r="L569" s="3" t="inlineStr">
        <is>
          <t>464.56</t>
        </is>
      </c>
      <c r="M569" t="inlineStr">
        <is>
          <t>Köln</t>
        </is>
      </c>
    </row>
    <row r="570">
      <c r="A570" t="inlineStr">
        <is>
          <t>Trimsystem: A trim system for windsurfing in good condition.</t>
        </is>
      </c>
      <c r="B570" s="4" t="n">
        <v>40</v>
      </c>
      <c r="C570" t="inlineStr"/>
      <c r="D570" t="inlineStr">
        <is>
          <t>55130 Rheinland-Pfalz - Mainz</t>
        </is>
      </c>
      <c r="E570" s="5" t="n">
        <v>45547</v>
      </c>
      <c r="F570" t="inlineStr">
        <is>
          <t>Sold</t>
        </is>
      </c>
      <c r="G570" s="6">
        <f>HYPERLINK("https://www.kleinanzeigen.de/s-anzeige/trimsystem-regattasport-windsurfen/2861386591-230-5316", "Link")</f>
        <v/>
      </c>
      <c r="H570" s="6">
        <f>HYPERLINK("C:\Projects\Kleinanzeigen-Scraper\offer_images\2861386591", "Link")</f>
        <v/>
      </c>
      <c r="I570" t="inlineStr">
        <is>
          <t>Julian Meckel</t>
        </is>
      </c>
      <c r="J570" s="6">
        <f>HYPERLINK("https://www.kleinanzeigen.de/s-bestandsliste.html?userId=119747628", "Link")</f>
        <v/>
      </c>
      <c r="K570" s="7" t="n">
        <v>45548.54947916666</v>
      </c>
      <c r="L570" s="3" t="inlineStr">
        <is>
          <t>105.20</t>
        </is>
      </c>
      <c r="M570" t="inlineStr">
        <is>
          <t>Karlsruhe</t>
        </is>
      </c>
    </row>
    <row r="571">
      <c r="A571" t="inlineStr">
        <is>
          <t>Fin: Select Fins FW Fast Wave 29 for Powerbox, good condition with minor wear</t>
        </is>
      </c>
      <c r="B571" s="4" t="n">
        <v>79</v>
      </c>
      <c r="C571" t="inlineStr">
        <is>
          <t>VB</t>
        </is>
      </c>
      <c r="D571" t="inlineStr">
        <is>
          <t>82211 Bayern - Herrsching</t>
        </is>
      </c>
      <c r="E571" s="5" t="n">
        <v>45546</v>
      </c>
      <c r="F571" t="inlineStr">
        <is>
          <t>Sold</t>
        </is>
      </c>
      <c r="G571" s="6">
        <f>HYPERLINK("https://www.kleinanzeigen.de/s-anzeige/windsurf-finne-select-fins-fw-fast-wave-29-powerbox/2860799694-230-5520", "Link")</f>
        <v/>
      </c>
      <c r="H571" s="6">
        <f>HYPERLINK("C:\Projects\Kleinanzeigen-Scraper\offer_images\2860799694", "Link")</f>
        <v/>
      </c>
      <c r="I571" t="inlineStr">
        <is>
          <t>Oliver</t>
        </is>
      </c>
      <c r="J571" s="6">
        <f>HYPERLINK("https://www.kleinanzeigen.de/s-bestandsliste.html?userId=17846362", "Link")</f>
        <v/>
      </c>
      <c r="K571" s="7" t="n">
        <v>45548.54938657407</v>
      </c>
      <c r="L571" s="3" t="inlineStr">
        <is>
          <t>32.73</t>
        </is>
      </c>
      <c r="M571" t="inlineStr">
        <is>
          <t>München</t>
        </is>
      </c>
    </row>
    <row r="572">
      <c r="A572" t="inlineStr">
        <is>
          <t>Harness: Sitz-Trapez Gr. S, innen an der Naht aufgerissen, aber voll einsatzbereit</t>
        </is>
      </c>
      <c r="B572" s="4" t="inlineStr">
        <is>
          <t>No price</t>
        </is>
      </c>
      <c r="C572" t="inlineStr"/>
      <c r="D572" t="inlineStr">
        <is>
          <t>71522 Baden-Württemberg - Backnang</t>
        </is>
      </c>
      <c r="E572" s="5" t="n">
        <v>45547</v>
      </c>
      <c r="F572" t="inlineStr">
        <is>
          <t>Sold</t>
        </is>
      </c>
      <c r="G572" s="6">
        <f>HYPERLINK("https://www.kleinanzeigen.de/s-anzeige/zu-verschenken-sitz-trapez-fuer-windsurfen-gr-s-nur-abholung/2861184910-192-8355", "Link")</f>
        <v/>
      </c>
      <c r="H572" s="6">
        <f>HYPERLINK("C:\Projects\Kleinanzeigen-Scraper\offer_images\2861184910", "Link")</f>
        <v/>
      </c>
      <c r="I572" t="inlineStr">
        <is>
          <t>Nicole G</t>
        </is>
      </c>
      <c r="J572" s="6">
        <f>HYPERLINK("https://www.kleinanzeigen.de/s-bestandsliste.html?userId=71120443", "Link")</f>
        <v/>
      </c>
      <c r="K572" s="7" t="n">
        <v>45548.54931712963</v>
      </c>
      <c r="L572" s="3" t="inlineStr">
        <is>
          <t>45.09</t>
        </is>
      </c>
      <c r="M572" t="inlineStr">
        <is>
          <t>Böblingen</t>
        </is>
      </c>
    </row>
    <row r="573">
      <c r="A573" t="inlineStr">
        <is>
          <t>Fin: Select Super Fast 29, Power Box Race</t>
        </is>
      </c>
      <c r="B573" s="4" t="n">
        <v>25</v>
      </c>
      <c r="C573" t="inlineStr"/>
      <c r="D573" t="inlineStr">
        <is>
          <t>47198 Duisburg - Homberg/Ruhrort/Baerl</t>
        </is>
      </c>
      <c r="E573" s="5" t="n">
        <v>45546</v>
      </c>
      <c r="F573" t="inlineStr">
        <is>
          <t>Sold</t>
        </is>
      </c>
      <c r="G573" s="6">
        <f>HYPERLINK("https://www.kleinanzeigen.de/s-anzeige/select-super-fast-29-finne-windsurfen/2860642859-230-2140", "Link")</f>
        <v/>
      </c>
      <c r="H573" s="6">
        <f>HYPERLINK("C:\Projects\Kleinanzeigen-Scraper\offer_images\2860642859", "Link")</f>
        <v/>
      </c>
      <c r="I573" t="inlineStr">
        <is>
          <t>Stephan Kalbertod</t>
        </is>
      </c>
      <c r="J573" s="6">
        <f>HYPERLINK("https://www.kleinanzeigen.de/s-bestandsliste.html?userId=8064073", "Link")</f>
        <v/>
      </c>
      <c r="K573" s="7" t="n">
        <v>45548.54922453704</v>
      </c>
      <c r="L573" s="3" t="inlineStr">
        <is>
          <t>59.95</t>
        </is>
      </c>
      <c r="M573" t="inlineStr">
        <is>
          <t>Köln</t>
        </is>
      </c>
    </row>
    <row r="574">
      <c r="A574" t="inlineStr">
        <is>
          <t>Trimmer: Used windsurf sail trimming aid for mast top</t>
        </is>
      </c>
      <c r="B574" s="4" t="n">
        <v>10</v>
      </c>
      <c r="C574" t="inlineStr"/>
      <c r="D574" t="inlineStr">
        <is>
          <t>76703 Baden-Württemberg - Kraichtal</t>
        </is>
      </c>
      <c r="E574" s="5" t="n">
        <v>45547</v>
      </c>
      <c r="F574" t="inlineStr">
        <is>
          <t>Sold</t>
        </is>
      </c>
      <c r="G574" s="6">
        <f>HYPERLINK("https://www.kleinanzeigen.de/s-anzeige/windsurf-segel-trimhilfe-trimmer-fuer-das-mast-top/2861000806-230-8797", "Link")</f>
        <v/>
      </c>
      <c r="H574" s="6">
        <f>HYPERLINK("C:\Projects\Kleinanzeigen-Scraper\offer_images\2861000806", "Link")</f>
        <v/>
      </c>
      <c r="I574" t="inlineStr">
        <is>
          <t>Frank</t>
        </is>
      </c>
      <c r="J574" s="6">
        <f>HYPERLINK("https://www.kleinanzeigen.de/s-bestandsliste.html?userId=8997097", "Link")</f>
        <v/>
      </c>
      <c r="K574" s="7" t="n">
        <v>45548.54893518519</v>
      </c>
      <c r="L574" s="3" t="inlineStr">
        <is>
          <t>28.53</t>
        </is>
      </c>
      <c r="M574" t="inlineStr">
        <is>
          <t>Karlsruhe</t>
        </is>
      </c>
    </row>
    <row r="575">
      <c r="A575" t="inlineStr">
        <is>
          <t>Fin: Deboichet Proto Speed Finne, lightweight (200g)</t>
        </is>
      </c>
      <c r="B575" s="4" t="n">
        <v>40</v>
      </c>
      <c r="C575" t="inlineStr"/>
      <c r="D575" t="inlineStr">
        <is>
          <t>47198 Duisburg - Homberg/Ruhrort/Baerl</t>
        </is>
      </c>
      <c r="E575" s="5" t="n">
        <v>45546</v>
      </c>
      <c r="F575" t="inlineStr">
        <is>
          <t>Sold</t>
        </is>
      </c>
      <c r="G575" s="6">
        <f>HYPERLINK("https://www.kleinanzeigen.de/s-anzeige/deboichet-proto-speed-finne-windsurfen/2860647234-230-2140", "Link")</f>
        <v/>
      </c>
      <c r="H575" s="6">
        <f>HYPERLINK("C:\Projects\Kleinanzeigen-Scraper\offer_images\2860647234", "Link")</f>
        <v/>
      </c>
      <c r="I575" t="inlineStr">
        <is>
          <t>Stephan Kalbertod</t>
        </is>
      </c>
      <c r="J575" s="6">
        <f>HYPERLINK("https://www.kleinanzeigen.de/s-bestandsliste.html?userId=8064073", "Link")</f>
        <v/>
      </c>
      <c r="K575" s="7" t="n">
        <v>45548.54888888889</v>
      </c>
      <c r="L575" s="3" t="inlineStr">
        <is>
          <t>59.95</t>
        </is>
      </c>
      <c r="M575" t="inlineStr">
        <is>
          <t>Köln</t>
        </is>
      </c>
    </row>
    <row r="576">
      <c r="A576" t="inlineStr">
        <is>
          <t>Harness: Ion Revolt Hip Harness in size XL, lightly used with adjustable features for comfort and support.</t>
        </is>
      </c>
      <c r="B576" s="4" t="n">
        <v>40</v>
      </c>
      <c r="C576" t="inlineStr">
        <is>
          <t>VB</t>
        </is>
      </c>
      <c r="D576" t="inlineStr">
        <is>
          <t>92637 Bayern - Weiden (Oberpfalz)</t>
        </is>
      </c>
      <c r="E576" s="5" t="n">
        <v>45547</v>
      </c>
      <c r="F576" t="inlineStr">
        <is>
          <t>Sold</t>
        </is>
      </c>
      <c r="G576" s="6">
        <f>HYPERLINK("https://www.kleinanzeigen.de/s-anzeige/windsurfen-trapez-ion-huefttrapez-kite-kitetrapez-revolt-xl/2861331940-230-7219", "Link")</f>
        <v/>
      </c>
      <c r="H576" s="6">
        <f>HYPERLINK("C:\Projects\Kleinanzeigen-Scraper\offer_images\2861331940", "Link")</f>
        <v/>
      </c>
      <c r="I576" t="inlineStr">
        <is>
          <t>Ge.Ro.</t>
        </is>
      </c>
      <c r="J576" s="6">
        <f>HYPERLINK("https://www.kleinanzeigen.de/s-bestandsliste.html?userId=32298751", "Link")</f>
        <v/>
      </c>
      <c r="K576" s="7" t="n">
        <v>45548.54888888889</v>
      </c>
      <c r="L576" s="3" t="inlineStr">
        <is>
          <t>176.14</t>
        </is>
      </c>
      <c r="M576" t="inlineStr">
        <is>
          <t>München</t>
        </is>
      </c>
    </row>
    <row r="577">
      <c r="A577" t="inlineStr">
        <is>
          <t>Fins: Munich Fins Freeride 28 with Power Box System</t>
        </is>
      </c>
      <c r="B577" s="4" t="n">
        <v>10</v>
      </c>
      <c r="C577" t="inlineStr"/>
      <c r="D577" t="inlineStr">
        <is>
          <t>47198 Duisburg - Homberg/Ruhrort/Baerl</t>
        </is>
      </c>
      <c r="E577" s="5" t="n">
        <v>45546</v>
      </c>
      <c r="F577" t="inlineStr">
        <is>
          <t>Sold</t>
        </is>
      </c>
      <c r="G577" s="6">
        <f>HYPERLINK("https://www.kleinanzeigen.de/s-anzeige/munich-fins-freeride-28-windsurfen-finnw/2860652171-230-2140", "Link")</f>
        <v/>
      </c>
      <c r="H577" s="6">
        <f>HYPERLINK("C:\Projects\Kleinanzeigen-Scraper\offer_images\2860652171", "Link")</f>
        <v/>
      </c>
      <c r="I577" t="inlineStr">
        <is>
          <t>Stephan Kalbertod</t>
        </is>
      </c>
      <c r="J577" s="6">
        <f>HYPERLINK("https://www.kleinanzeigen.de/s-bestandsliste.html?userId=8064073", "Link")</f>
        <v/>
      </c>
      <c r="K577" s="7" t="n">
        <v>45547.55173611111</v>
      </c>
      <c r="L577" s="3" t="inlineStr">
        <is>
          <t>59.95</t>
        </is>
      </c>
      <c r="M577" t="inlineStr">
        <is>
          <t>Köln</t>
        </is>
      </c>
    </row>
    <row r="578">
      <c r="A578" t="inlineStr">
        <is>
          <t>Fin: Tekknosport G10 Freeride with Power Box System</t>
        </is>
      </c>
      <c r="B578" s="4" t="n">
        <v>10</v>
      </c>
      <c r="C578" t="inlineStr"/>
      <c r="D578" t="inlineStr">
        <is>
          <t>47198 Duisburg - Homberg/Ruhrort/Baerl</t>
        </is>
      </c>
      <c r="E578" s="5" t="n">
        <v>45546</v>
      </c>
      <c r="F578" t="inlineStr">
        <is>
          <t>Sold</t>
        </is>
      </c>
      <c r="G578" s="6">
        <f>HYPERLINK("https://www.kleinanzeigen.de/s-anzeige/tekknosport-g10-freeride-finne-windsurfen/2860650349-230-2140", "Link")</f>
        <v/>
      </c>
      <c r="H578" s="6">
        <f>HYPERLINK("C:\Projects\Kleinanzeigen-Scraper\offer_images\2860650349", "Link")</f>
        <v/>
      </c>
      <c r="I578" t="inlineStr">
        <is>
          <t>Stephan Kalbertod</t>
        </is>
      </c>
      <c r="J578" s="6">
        <f>HYPERLINK("https://www.kleinanzeigen.de/s-bestandsliste.html?userId=8064073", "Link")</f>
        <v/>
      </c>
      <c r="K578" s="7" t="n">
        <v>45547.55171296297</v>
      </c>
      <c r="L578" s="3" t="inlineStr">
        <is>
          <t>59.95</t>
        </is>
      </c>
      <c r="M578" t="inlineStr">
        <is>
          <t>Köln</t>
        </is>
      </c>
    </row>
    <row r="579">
      <c r="A579" t="inlineStr">
        <is>
          <t>Mastfoot: Euro-Pin Windsurfing, functional with normal signs of use</t>
        </is>
      </c>
      <c r="B579" s="4" t="n">
        <v>25</v>
      </c>
      <c r="C579" t="inlineStr"/>
      <c r="D579" t="inlineStr">
        <is>
          <t>81476 München - Thalk.Obersendl.-Forsten-Fürstenr.-Solln</t>
        </is>
      </c>
      <c r="E579" s="5" t="n">
        <v>45546</v>
      </c>
      <c r="F579" t="inlineStr">
        <is>
          <t>Sold</t>
        </is>
      </c>
      <c r="G579" s="6">
        <f>HYPERLINK("https://www.kleinanzeigen.de/s-anzeige/mastfuss-euro-pin-windsurfen/2859964894-230-6436", "Link")</f>
        <v/>
      </c>
      <c r="H579" s="6">
        <f>HYPERLINK("C:\Projects\Kleinanzeigen-Scraper\offer_images\2859964894", "Link")</f>
        <v/>
      </c>
      <c r="I579" t="inlineStr">
        <is>
          <t>Mike</t>
        </is>
      </c>
      <c r="J579" s="6">
        <f>HYPERLINK("https://www.kleinanzeigen.de/s-bestandsliste.html?userId=27971111", "Link")</f>
        <v/>
      </c>
      <c r="K579" s="7" t="n">
        <v>45547.55145833334</v>
      </c>
      <c r="L579" s="3" t="inlineStr">
        <is>
          <t>8.19</t>
        </is>
      </c>
      <c r="M579" t="inlineStr">
        <is>
          <t>München</t>
        </is>
      </c>
    </row>
    <row r="580">
      <c r="A580" t="inlineStr">
        <is>
          <t>Fin: Lessacher Chamäleon 32 cm Weedfin</t>
        </is>
      </c>
      <c r="B580" s="4" t="n">
        <v>39</v>
      </c>
      <c r="C580" t="inlineStr"/>
      <c r="D580" t="inlineStr">
        <is>
          <t>40221 Düsseldorf - Unterbilk</t>
        </is>
      </c>
      <c r="E580" s="5" t="n">
        <v>45546</v>
      </c>
      <c r="F580" t="inlineStr">
        <is>
          <t>Sold</t>
        </is>
      </c>
      <c r="G580" s="6">
        <f>HYPERLINK("https://www.kleinanzeigen.de/s-anzeige/windsurf-finne-lessacher-chamaeleon-32-cm-weedfin-grasfinne/2860228462-230-29950", "Link")</f>
        <v/>
      </c>
      <c r="H580" s="6">
        <f>HYPERLINK("C:\Projects\Kleinanzeigen-Scraper\offer_images\2860228462", "Link")</f>
        <v/>
      </c>
      <c r="I580" t="inlineStr">
        <is>
          <t>So_oder_So</t>
        </is>
      </c>
      <c r="J580" s="6">
        <f>HYPERLINK("https://www.kleinanzeigen.de/s-bestandsliste.html?userId=62512814", "Link")</f>
        <v/>
      </c>
      <c r="K580" s="7" t="n">
        <v>45547.55140046297</v>
      </c>
      <c r="L580" s="3" t="inlineStr">
        <is>
          <t>32.31</t>
        </is>
      </c>
      <c r="M580" t="inlineStr">
        <is>
          <t>Köln</t>
        </is>
      </c>
    </row>
    <row r="581">
      <c r="A581" t="inlineStr">
        <is>
          <t>Fin: Naish Wave Finne 9 1/2 Zoll for old US fin system with neoprene cover. Has a few small scratches on the leading edge.</t>
        </is>
      </c>
      <c r="B581" s="4" t="n">
        <v>15</v>
      </c>
      <c r="C581" t="inlineStr"/>
      <c r="D581" t="inlineStr">
        <is>
          <t>28777 Blumenthal - Farge</t>
        </is>
      </c>
      <c r="E581" s="5" t="n">
        <v>45545</v>
      </c>
      <c r="F581" t="inlineStr"/>
      <c r="G581" s="6">
        <f>HYPERLINK("https://www.kleinanzeigen.de/s-anzeige/naish-wave-finne-windsurfen/2859252913-230-10", "Link")</f>
        <v/>
      </c>
      <c r="H581" s="6">
        <f>HYPERLINK("C:\Projects\Kleinanzeigen-Scraper\offer_images\2859252913", "Link")</f>
        <v/>
      </c>
      <c r="I581" t="inlineStr">
        <is>
          <t>TH</t>
        </is>
      </c>
      <c r="J581" s="6">
        <f>HYPERLINK("https://www.kleinanzeigen.de/s-bestandsliste.html?userId=5815971", "Link")</f>
        <v/>
      </c>
      <c r="K581" s="7" t="n">
        <v>45546.57614583334</v>
      </c>
      <c r="L581" s="3" t="inlineStr">
        <is>
          <t>274.48</t>
        </is>
      </c>
      <c r="M581" t="inlineStr">
        <is>
          <t>Köln</t>
        </is>
      </c>
    </row>
    <row r="582">
      <c r="A582" t="inlineStr">
        <is>
          <t>Fin: Wave 22 cm with US-System, very good condition, no damages</t>
        </is>
      </c>
      <c r="B582" s="4" t="n">
        <v>49</v>
      </c>
      <c r="C582" t="inlineStr"/>
      <c r="D582" t="inlineStr">
        <is>
          <t>22297 Hamburg-Nord - Hamburg Alsterdorf</t>
        </is>
      </c>
      <c r="E582" s="5" t="n">
        <v>45545</v>
      </c>
      <c r="F582" t="inlineStr">
        <is>
          <t>Sold</t>
        </is>
      </c>
      <c r="G582" s="6">
        <f>HYPERLINK("https://www.kleinanzeigen.de/s-anzeige/windsurfen-finne-wave-22-us-system/2859092925-230-16438", "Link")</f>
        <v/>
      </c>
      <c r="H582" s="6">
        <f>HYPERLINK("C:\Projects\Kleinanzeigen-Scraper\offer_images\2859092925", "Link")</f>
        <v/>
      </c>
      <c r="I582" t="inlineStr">
        <is>
          <t>JP</t>
        </is>
      </c>
      <c r="J582" s="6">
        <f>HYPERLINK("https://www.kleinanzeigen.de/s-bestandsliste.html?userId=9476263", "Link")</f>
        <v/>
      </c>
      <c r="K582" s="7" t="n">
        <v>45546.57613425926</v>
      </c>
      <c r="L582" s="3" t="inlineStr">
        <is>
          <t>362.41</t>
        </is>
      </c>
      <c r="M582" t="inlineStr">
        <is>
          <t>Köln</t>
        </is>
      </c>
    </row>
    <row r="583">
      <c r="A583" t="inlineStr">
        <is>
          <t>Trapeztampen: Da Kine, 20 inch</t>
        </is>
      </c>
      <c r="B583" s="4" t="n">
        <v>5</v>
      </c>
      <c r="C583" t="inlineStr"/>
      <c r="D583" t="inlineStr">
        <is>
          <t>10557 Mitte - Tiergarten</t>
        </is>
      </c>
      <c r="E583" s="5" t="n">
        <v>45545</v>
      </c>
      <c r="F583" t="inlineStr">
        <is>
          <t>Sold</t>
        </is>
      </c>
      <c r="G583" s="6">
        <f>HYPERLINK("https://www.kleinanzeigen.de/s-anzeige/trapeztampen-da-kine-20-windsurfern/2859902803-230-3502", "Link")</f>
        <v/>
      </c>
      <c r="H583" s="6">
        <f>HYPERLINK("C:\Projects\Kleinanzeigen-Scraper\offer_images\2859902803", "Link")</f>
        <v/>
      </c>
      <c r="I583" t="inlineStr">
        <is>
          <t>Fabian Becher</t>
        </is>
      </c>
      <c r="J583" s="6">
        <f>HYPERLINK("https://www.kleinanzeigen.de/s-bestandsliste.html?userId=14821328", "Link")</f>
        <v/>
      </c>
      <c r="K583" s="7" t="n">
        <v>45546.57600694444</v>
      </c>
      <c r="L583" s="3" t="inlineStr">
        <is>
          <t>475.20</t>
        </is>
      </c>
      <c r="M583" t="inlineStr">
        <is>
          <t>Köln</t>
        </is>
      </c>
    </row>
    <row r="584">
      <c r="A584" t="inlineStr">
        <is>
          <t>Fin: Seegrasfinne 21 cm with US system, very good condition, no damages</t>
        </is>
      </c>
      <c r="B584" s="4" t="n">
        <v>49</v>
      </c>
      <c r="C584" t="inlineStr"/>
      <c r="D584" t="inlineStr">
        <is>
          <t>22297 Hamburg-Nord - Hamburg Alsterdorf</t>
        </is>
      </c>
      <c r="E584" s="5" t="n">
        <v>45545</v>
      </c>
      <c r="F584" t="inlineStr">
        <is>
          <t>Sold</t>
        </is>
      </c>
      <c r="G584" s="6">
        <f>HYPERLINK("https://www.kleinanzeigen.de/s-anzeige/windsurfen-seegrasfinne-21-us-box/2859215690-230-16438", "Link")</f>
        <v/>
      </c>
      <c r="H584" s="6">
        <f>HYPERLINK("C:\Projects\Kleinanzeigen-Scraper\offer_images\2859215690", "Link")</f>
        <v/>
      </c>
      <c r="I584" t="inlineStr">
        <is>
          <t>JP</t>
        </is>
      </c>
      <c r="J584" s="6">
        <f>HYPERLINK("https://www.kleinanzeigen.de/s-bestandsliste.html?userId=9476263", "Link")</f>
        <v/>
      </c>
      <c r="K584" s="7" t="n">
        <v>45546.57600694444</v>
      </c>
      <c r="L584" s="3" t="inlineStr">
        <is>
          <t>362.41</t>
        </is>
      </c>
      <c r="M584" t="inlineStr">
        <is>
          <t>Köln</t>
        </is>
      </c>
    </row>
    <row r="585">
      <c r="A585" t="inlineStr">
        <is>
          <t>Protektoren: Various protectors for windsurfing, some like new and others with slight wear.</t>
        </is>
      </c>
      <c r="B585" s="4" t="n">
        <v>10</v>
      </c>
      <c r="C585" t="inlineStr">
        <is>
          <t>VB</t>
        </is>
      </c>
      <c r="D585" t="inlineStr">
        <is>
          <t>71336 Baden-Württemberg - Waiblingen</t>
        </is>
      </c>
      <c r="E585" s="5" t="n">
        <v>45545</v>
      </c>
      <c r="F585" t="inlineStr">
        <is>
          <t>Sold</t>
        </is>
      </c>
      <c r="G585" s="6">
        <f>HYPERLINK("https://www.kleinanzeigen.de/s-anzeige/verschiedene-protektoren-windsurfen/2859693118-230-9042", "Link")</f>
        <v/>
      </c>
      <c r="H585" s="6">
        <f>HYPERLINK("C:\Projects\Kleinanzeigen-Scraper\offer_images\2859693118", "Link")</f>
        <v/>
      </c>
      <c r="I585" t="inlineStr">
        <is>
          <t>Tanja</t>
        </is>
      </c>
      <c r="J585" s="6">
        <f>HYPERLINK("https://www.kleinanzeigen.de/s-bestandsliste.html?userId=53774355", "Link")</f>
        <v/>
      </c>
      <c r="K585" s="7" t="n">
        <v>45546.57591435185</v>
      </c>
      <c r="L585" s="3" t="inlineStr">
        <is>
          <t>33.67</t>
        </is>
      </c>
      <c r="M585" t="inlineStr">
        <is>
          <t>Böblingen</t>
        </is>
      </c>
    </row>
    <row r="586">
      <c r="A586" t="inlineStr">
        <is>
          <t>Harness: Ion Riot Windsurf and Kite Harness, size L, good condition with normal wear.</t>
        </is>
      </c>
      <c r="B586" s="4" t="n">
        <v>90</v>
      </c>
      <c r="C586" t="inlineStr"/>
      <c r="D586" t="inlineStr">
        <is>
          <t>12047 Berlin - Neukölln</t>
        </is>
      </c>
      <c r="E586" s="5" t="n">
        <v>45546</v>
      </c>
      <c r="F586" t="inlineStr">
        <is>
          <t>Sold</t>
        </is>
      </c>
      <c r="G586" s="6">
        <f>HYPERLINK("https://www.kleinanzeigen.de/s-anzeige/ion-windsurf-und-kite-trapez-l-huefttrpez/2859961377-230-3395", "Link")</f>
        <v/>
      </c>
      <c r="H586" s="6">
        <f>HYPERLINK("C:\Projects\Kleinanzeigen-Scraper\offer_images\2859961377", "Link")</f>
        <v/>
      </c>
      <c r="I586" t="inlineStr">
        <is>
          <t>Falk Wendt</t>
        </is>
      </c>
      <c r="J586" s="6">
        <f>HYPERLINK("https://www.kleinanzeigen.de/s-bestandsliste.html?userId=88674963", "Link")</f>
        <v/>
      </c>
      <c r="K586" s="7" t="n">
        <v>45546.57570601852</v>
      </c>
      <c r="L586" s="3" t="inlineStr">
        <is>
          <t>478.04</t>
        </is>
      </c>
      <c r="M586" t="inlineStr">
        <is>
          <t>Köln</t>
        </is>
      </c>
    </row>
    <row r="587">
      <c r="A587" t="inlineStr">
        <is>
          <t>Harness: ION jade windsurf trapez in size M</t>
        </is>
      </c>
      <c r="B587" s="4" t="n">
        <v>40</v>
      </c>
      <c r="C587" t="inlineStr">
        <is>
          <t>VB</t>
        </is>
      </c>
      <c r="D587" t="inlineStr">
        <is>
          <t>24118 Kiel - Ravensberg-Brunswik-Düsternbrook</t>
        </is>
      </c>
      <c r="E587" s="5" t="n">
        <v>45544</v>
      </c>
      <c r="F587" t="inlineStr">
        <is>
          <t>Sold</t>
        </is>
      </c>
      <c r="G587" s="6">
        <f>HYPERLINK("https://www.kleinanzeigen.de/s-anzeige/ion-jade-windsurf-trapez-girls-medium-gr-m/2858522804-230-704", "Link")</f>
        <v/>
      </c>
      <c r="H587" s="6">
        <f>HYPERLINK("C:\Projects\Kleinanzeigen-Scraper\offer_images\2858522804", "Link")</f>
        <v/>
      </c>
      <c r="I587" t="inlineStr">
        <is>
          <t>J. Fischer</t>
        </is>
      </c>
      <c r="J587" s="6">
        <f>HYPERLINK("https://www.kleinanzeigen.de/s-bestandsliste.html?userId=21788337", "Link")</f>
        <v/>
      </c>
      <c r="K587" s="7" t="n">
        <v>45545.86159722223</v>
      </c>
      <c r="L587" s="3" t="inlineStr">
        <is>
          <t>434.29</t>
        </is>
      </c>
      <c r="M587" t="inlineStr">
        <is>
          <t>Köln</t>
        </is>
      </c>
    </row>
    <row r="588">
      <c r="A588" t="inlineStr">
        <is>
          <t>Mastfoot Pins: Pins for different mast foot systems</t>
        </is>
      </c>
      <c r="B588" s="4" t="inlineStr"/>
      <c r="C588" t="inlineStr">
        <is>
          <t>VB</t>
        </is>
      </c>
      <c r="D588" t="inlineStr">
        <is>
          <t>32108 Nordrhein-Westfalen - Bad Salzuflen</t>
        </is>
      </c>
      <c r="E588" s="5" t="n">
        <v>45543</v>
      </c>
      <c r="F588" t="inlineStr">
        <is>
          <t>Sold</t>
        </is>
      </c>
      <c r="G588" s="6">
        <f>HYPERLINK("https://www.kleinanzeigen.de/s-anzeige/windsurf-verschiedene-mastfuss-pins/2857655572-230-1900", "Link")</f>
        <v/>
      </c>
      <c r="H588" s="6">
        <f>HYPERLINK("C:\Projects\Kleinanzeigen-Scraper\offer_images\2857655572", "Link")</f>
        <v/>
      </c>
      <c r="I588" t="inlineStr">
        <is>
          <t>ARBS</t>
        </is>
      </c>
      <c r="J588" s="6">
        <f>HYPERLINK("https://www.kleinanzeigen.de/s-bestandsliste.html?userId=4066764", "Link")</f>
        <v/>
      </c>
      <c r="K588" s="7" t="n">
        <v>45545.86106481482</v>
      </c>
      <c r="L588" s="3" t="inlineStr">
        <is>
          <t>180.99</t>
        </is>
      </c>
      <c r="M588" t="inlineStr">
        <is>
          <t>Köln</t>
        </is>
      </c>
    </row>
    <row r="589">
      <c r="A589" t="inlineStr">
        <is>
          <t>Mast extension: Unifiber Windsurf Verlängerung SDM 30</t>
        </is>
      </c>
      <c r="B589" s="4" t="n">
        <v>30</v>
      </c>
      <c r="C589" t="inlineStr">
        <is>
          <t>VB</t>
        </is>
      </c>
      <c r="D589" t="inlineStr">
        <is>
          <t>94315 Bayern - Straubing</t>
        </is>
      </c>
      <c r="E589" s="5" t="n">
        <v>45544</v>
      </c>
      <c r="F589" t="inlineStr">
        <is>
          <t>Sold</t>
        </is>
      </c>
      <c r="G589" s="6">
        <f>HYPERLINK("https://www.kleinanzeigen.de/s-anzeige/unifiber-windsurf-verlaengerung-sdm-30/2858535203-230-7337", "Link")</f>
        <v/>
      </c>
      <c r="H589" s="6">
        <f>HYPERLINK("C:\Projects\Kleinanzeigen-Scraper\offer_images\2858535203", "Link")</f>
        <v/>
      </c>
      <c r="I589" t="inlineStr">
        <is>
          <t>R.M.</t>
        </is>
      </c>
      <c r="J589" s="6">
        <f>HYPERLINK("https://www.kleinanzeigen.de/s-bestandsliste.html?userId=12819128", "Link")</f>
        <v/>
      </c>
      <c r="K589" s="7" t="n">
        <v>45545.86100694445</v>
      </c>
      <c r="L589" s="3" t="inlineStr">
        <is>
          <t>110.14</t>
        </is>
      </c>
      <c r="M589" t="inlineStr">
        <is>
          <t>München</t>
        </is>
      </c>
    </row>
    <row r="590">
      <c r="A590" t="inlineStr">
        <is>
          <t>Harness: Neilpride Anatomic trapeze</t>
        </is>
      </c>
      <c r="B590" s="4" t="n">
        <v>15</v>
      </c>
      <c r="C590" t="inlineStr"/>
      <c r="D590" t="inlineStr">
        <is>
          <t>15378 Brandenburg - Herzfelde</t>
        </is>
      </c>
      <c r="E590" s="5" t="n">
        <v>45544</v>
      </c>
      <c r="F590" t="inlineStr">
        <is>
          <t>Sold</t>
        </is>
      </c>
      <c r="G590" s="6">
        <f>HYPERLINK("https://www.kleinanzeigen.de/s-anzeige/trapez-windsurfen/2858225551-230-7885", "Link")</f>
        <v/>
      </c>
      <c r="H590" s="6">
        <f>HYPERLINK("C:\Projects\Kleinanzeigen-Scraper\offer_images\2858225551", "Link")</f>
        <v/>
      </c>
      <c r="I590" t="inlineStr">
        <is>
          <t>Robert Stolze</t>
        </is>
      </c>
      <c r="J590" s="6">
        <f>HYPERLINK("https://www.kleinanzeigen.de/s-bestandsliste.html?userId=5151415", "Link")</f>
        <v/>
      </c>
      <c r="K590" s="7" t="n">
        <v>45544.74890046296</v>
      </c>
      <c r="L590" s="3" t="inlineStr">
        <is>
          <t>504.89</t>
        </is>
      </c>
      <c r="M590" t="inlineStr">
        <is>
          <t>Köln</t>
        </is>
      </c>
    </row>
    <row r="591">
      <c r="A591" t="inlineStr">
        <is>
          <t>Footstrap: Unused footstrap from Fanatic.</t>
        </is>
      </c>
      <c r="B591" s="4" t="n">
        <v>5</v>
      </c>
      <c r="C591" t="inlineStr">
        <is>
          <t>VB</t>
        </is>
      </c>
      <c r="D591" t="inlineStr">
        <is>
          <t>13507 Berlin - Reinickendorf</t>
        </is>
      </c>
      <c r="E591" s="5" t="n">
        <v>45544</v>
      </c>
      <c r="F591" t="inlineStr">
        <is>
          <t>Sold</t>
        </is>
      </c>
      <c r="G591" s="6">
        <f>HYPERLINK("https://www.kleinanzeigen.de/s-anzeige/fussschlaufe-fanatic-windsurfen/2858138852-230-3453", "Link")</f>
        <v/>
      </c>
      <c r="H591" s="6">
        <f>HYPERLINK("C:\Projects\Kleinanzeigen-Scraper\offer_images\2858138852", "Link")</f>
        <v/>
      </c>
      <c r="I591" t="inlineStr">
        <is>
          <t>Dennis</t>
        </is>
      </c>
      <c r="J591" s="6">
        <f>HYPERLINK("https://www.kleinanzeigen.de/s-bestandsliste.html?userId=21287251", "Link")</f>
        <v/>
      </c>
      <c r="K591" s="7" t="n">
        <v>45544.74885416667</v>
      </c>
      <c r="L591" s="3" t="inlineStr">
        <is>
          <t>471.11</t>
        </is>
      </c>
      <c r="M591" t="inlineStr">
        <is>
          <t>Köln</t>
        </is>
      </c>
    </row>
    <row r="592">
      <c r="A592" t="inlineStr">
        <is>
          <t>Mastfoot: Older windsurf mast foot for sale, no warranty or guarantee.</t>
        </is>
      </c>
      <c r="B592" s="4" t="n">
        <v>15</v>
      </c>
      <c r="C592" t="inlineStr"/>
      <c r="D592" t="inlineStr">
        <is>
          <t>81547 München - Untergiesing-Harlaching</t>
        </is>
      </c>
      <c r="E592" s="5" t="n">
        <v>45543</v>
      </c>
      <c r="F592" t="inlineStr">
        <is>
          <t>Sold</t>
        </is>
      </c>
      <c r="G592" s="6">
        <f>HYPERLINK("https://www.kleinanzeigen.de/s-anzeige/windsurf-mastfuss/2857547118-230-6428", "Link")</f>
        <v/>
      </c>
      <c r="H592" s="6">
        <f>HYPERLINK("C:\Projects\Kleinanzeigen-Scraper\offer_images\2857547118", "Link")</f>
        <v/>
      </c>
      <c r="I592" t="inlineStr">
        <is>
          <t>Stefan Miller</t>
        </is>
      </c>
      <c r="J592" s="6">
        <f>HYPERLINK("https://www.kleinanzeigen.de/s-bestandsliste.html?userId=57108886", "Link")</f>
        <v/>
      </c>
      <c r="K592" s="7" t="n">
        <v>45544.74883101852</v>
      </c>
      <c r="L592" s="3" t="inlineStr">
        <is>
          <t>3.83</t>
        </is>
      </c>
      <c r="M592" t="inlineStr">
        <is>
          <t>München</t>
        </is>
      </c>
    </row>
    <row r="593">
      <c r="A593" t="inlineStr">
        <is>
          <t>Mast extension: Set of 5 high-quality extensions in good condition</t>
        </is>
      </c>
      <c r="B593" s="4" t="n">
        <v>85</v>
      </c>
      <c r="C593" t="inlineStr">
        <is>
          <t>VB</t>
        </is>
      </c>
      <c r="D593" t="inlineStr">
        <is>
          <t>78315 Baden-Württemberg - Radolfzell am Bodensee</t>
        </is>
      </c>
      <c r="E593" s="5" t="n">
        <v>45543</v>
      </c>
      <c r="F593" t="inlineStr">
        <is>
          <t>Sold</t>
        </is>
      </c>
      <c r="G593" s="6">
        <f>HYPERLINK("https://www.kleinanzeigen.de/s-anzeige/5-stueck-mastverlaengerung-set-windsurfen/2858005315-230-8190", "Link")</f>
        <v/>
      </c>
      <c r="H593" s="6">
        <f>HYPERLINK("C:\Projects\Kleinanzeigen-Scraper\offer_images\2858005315", "Link")</f>
        <v/>
      </c>
      <c r="I593" t="inlineStr">
        <is>
          <t>Philip</t>
        </is>
      </c>
      <c r="J593" s="6">
        <f>HYPERLINK("https://www.kleinanzeigen.de/s-bestandsliste.html?userId=2369094", "Link")</f>
        <v/>
      </c>
      <c r="K593" s="7" t="n">
        <v>45544.74876157408</v>
      </c>
      <c r="L593" s="3" t="inlineStr">
        <is>
          <t>48.46</t>
        </is>
      </c>
      <c r="M593" t="inlineStr">
        <is>
          <t>Bonndorf</t>
        </is>
      </c>
    </row>
    <row r="594">
      <c r="A594" t="inlineStr">
        <is>
          <t>Harness: NeilPryde Windsurf Sitztrapez Free Race, Size M, used but in very good condition</t>
        </is>
      </c>
      <c r="B594" s="4" t="n">
        <v>60</v>
      </c>
      <c r="C594" t="inlineStr">
        <is>
          <t>VB</t>
        </is>
      </c>
      <c r="D594" t="inlineStr">
        <is>
          <t>81243 München - Pasing-Obermenzing</t>
        </is>
      </c>
      <c r="E594" s="5" t="n">
        <v>45543</v>
      </c>
      <c r="F594" t="inlineStr"/>
      <c r="G594" s="6">
        <f>HYPERLINK("https://www.kleinanzeigen.de/s-anzeige/neilpryde-windsurf-trapez-sitztrapez-free-race/2857475119-230-6476", "Link")</f>
        <v/>
      </c>
      <c r="H594" s="6">
        <f>HYPERLINK("C:\Projects\Kleinanzeigen-Scraper\offer_images\2857475119", "Link")</f>
        <v/>
      </c>
      <c r="I594" t="inlineStr">
        <is>
          <t>Arnd</t>
        </is>
      </c>
      <c r="J594" s="6">
        <f>HYPERLINK("https://www.kleinanzeigen.de/s-bestandsliste.html?userId=46491776", "Link")</f>
        <v/>
      </c>
      <c r="K594" s="7" t="n">
        <v>45544.74870370371</v>
      </c>
      <c r="L594" s="3" t="inlineStr">
        <is>
          <t>10.14</t>
        </is>
      </c>
      <c r="M594" t="inlineStr">
        <is>
          <t>München</t>
        </is>
      </c>
    </row>
    <row r="595">
      <c r="A595" t="inlineStr">
        <is>
          <t>Harness: Sitztrapez von North Sails, Größe L</t>
        </is>
      </c>
      <c r="B595" s="4" t="n">
        <v>15</v>
      </c>
      <c r="C595" t="inlineStr"/>
      <c r="D595" t="inlineStr">
        <is>
          <t>10783 Berlin - Schöneberg</t>
        </is>
      </c>
      <c r="E595" s="5" t="n">
        <v>45544</v>
      </c>
      <c r="F595" t="inlineStr">
        <is>
          <t>Sold</t>
        </is>
      </c>
      <c r="G595" s="6">
        <f>HYPERLINK("https://www.kleinanzeigen.de/s-anzeige/sitztrapez-north-sails-windsurfen/2858285826-230-3444", "Link")</f>
        <v/>
      </c>
      <c r="H595" s="6">
        <f>HYPERLINK("C:\Projects\Kleinanzeigen-Scraper\offer_images\2858285826", "Link")</f>
        <v/>
      </c>
      <c r="I595" t="inlineStr">
        <is>
          <t>Sancho</t>
        </is>
      </c>
      <c r="J595" s="6">
        <f>HYPERLINK("https://www.kleinanzeigen.de/s-bestandsliste.html?userId=27399683", "Link")</f>
        <v/>
      </c>
      <c r="K595" s="7" t="n">
        <v>45544.74866898148</v>
      </c>
      <c r="L595" s="3" t="inlineStr">
        <is>
          <t>474.09</t>
        </is>
      </c>
      <c r="M595" t="inlineStr">
        <is>
          <t>Köln</t>
        </is>
      </c>
    </row>
    <row r="596">
      <c r="A596" t="inlineStr">
        <is>
          <t>Fins: Wave and slalom carbon fins, priced at 10-15€ each, includes bag.</t>
        </is>
      </c>
      <c r="B596" s="4" t="n">
        <v>15</v>
      </c>
      <c r="C596" t="inlineStr"/>
      <c r="D596" t="inlineStr">
        <is>
          <t>47800 Nordrhein-Westfalen - Krefeld</t>
        </is>
      </c>
      <c r="E596" s="5" t="n">
        <v>45544</v>
      </c>
      <c r="F596" t="inlineStr">
        <is>
          <t>Sold</t>
        </is>
      </c>
      <c r="G596" s="6">
        <f>HYPERLINK("https://www.kleinanzeigen.de/s-anzeige/finnen-windsurfen-10-15-pro-stueck-wave-slalom-carbon-finne/2858705269-230-1975", "Link")</f>
        <v/>
      </c>
      <c r="H596" s="6">
        <f>HYPERLINK("C:\Projects\Kleinanzeigen-Scraper\offer_images\2858705269", "Link")</f>
        <v/>
      </c>
      <c r="I596" t="inlineStr">
        <is>
          <t>Mats</t>
        </is>
      </c>
      <c r="J596" s="6">
        <f>HYPERLINK("https://www.kleinanzeigen.de/s-bestandsliste.html?userId=33403312", "Link")</f>
        <v/>
      </c>
      <c r="K596" s="7" t="n">
        <v>45544.74859953704</v>
      </c>
      <c r="L596" s="3" t="inlineStr">
        <is>
          <t>51.49</t>
        </is>
      </c>
      <c r="M596" t="inlineStr">
        <is>
          <t>Köln</t>
        </is>
      </c>
    </row>
    <row r="597">
      <c r="A597" t="inlineStr">
        <is>
          <t>Impact Vest: Prolimit size M, barely used, suitable for individuals approximately 1.50-1.65m tall and 50-65kg.</t>
        </is>
      </c>
      <c r="B597" s="4" t="n">
        <v>45</v>
      </c>
      <c r="C597" t="inlineStr"/>
      <c r="D597" t="inlineStr">
        <is>
          <t>47800 Nordrhein-Westfalen - Krefeld</t>
        </is>
      </c>
      <c r="E597" s="5" t="n">
        <v>45544</v>
      </c>
      <c r="F597" t="inlineStr">
        <is>
          <t>Sold</t>
        </is>
      </c>
      <c r="G597" s="6">
        <f>HYPERLINK("https://www.kleinanzeigen.de/s-anzeige/prallschutzweste-groesse-m-windsurfen-wave-schutzweste-prolimit/2858717190-230-1975", "Link")</f>
        <v/>
      </c>
      <c r="H597" s="6">
        <f>HYPERLINK("C:\Projects\Kleinanzeigen-Scraper\offer_images\2858717190", "Link")</f>
        <v/>
      </c>
      <c r="I597" t="inlineStr">
        <is>
          <t>Mats</t>
        </is>
      </c>
      <c r="J597" s="6">
        <f>HYPERLINK("https://www.kleinanzeigen.de/s-bestandsliste.html?userId=33403312", "Link")</f>
        <v/>
      </c>
      <c r="K597" s="7" t="n">
        <v>45544.74853009259</v>
      </c>
      <c r="L597" s="3" t="inlineStr">
        <is>
          <t>51.49</t>
        </is>
      </c>
      <c r="M597" t="inlineStr">
        <is>
          <t>Köln</t>
        </is>
      </c>
    </row>
    <row r="598">
      <c r="A598" t="inlineStr">
        <is>
          <t>Fins: Various fins available including Unifiber, Choco, Pro Limit, and Concept X, with prices ranging from 28€ to 79€.</t>
        </is>
      </c>
      <c r="B598" s="4" t="n">
        <v>49</v>
      </c>
      <c r="C598" t="inlineStr"/>
      <c r="D598" t="inlineStr">
        <is>
          <t>45772 Nordrhein-Westfalen - Marl</t>
        </is>
      </c>
      <c r="E598" s="5" t="n">
        <v>45544</v>
      </c>
      <c r="F598" t="inlineStr">
        <is>
          <t>Sold</t>
        </is>
      </c>
      <c r="G598" s="6">
        <f>HYPERLINK("https://www.kleinanzeigen.de/s-anzeige/powerbox-finnen-weed-windsurfen-finne/2858345192-230-1772", "Link")</f>
        <v/>
      </c>
      <c r="H598" s="6">
        <f>HYPERLINK("C:\Projects\Kleinanzeigen-Scraper\offer_images\2858345192", "Link")</f>
        <v/>
      </c>
      <c r="I598" t="inlineStr">
        <is>
          <t>Matrix</t>
        </is>
      </c>
      <c r="J598" s="6">
        <f>HYPERLINK("https://www.kleinanzeigen.de/s-bestandsliste.html?userId=89106594", "Link")</f>
        <v/>
      </c>
      <c r="K598" s="7" t="n">
        <v>45544.74850694444</v>
      </c>
      <c r="L598" s="3" t="inlineStr">
        <is>
          <t>84.29</t>
        </is>
      </c>
      <c r="M598" t="inlineStr">
        <is>
          <t>Köln</t>
        </is>
      </c>
    </row>
    <row r="599">
      <c r="A599" t="inlineStr">
        <is>
          <t>Fins: Drake Freeride Drive 2 490 and additional fins available</t>
        </is>
      </c>
      <c r="B599" s="4" t="n">
        <v>50</v>
      </c>
      <c r="C599" t="inlineStr">
        <is>
          <t>VB</t>
        </is>
      </c>
      <c r="D599" t="inlineStr">
        <is>
          <t>45239 Essen - Essen-Werden</t>
        </is>
      </c>
      <c r="E599" s="5" t="n">
        <v>45543</v>
      </c>
      <c r="F599" t="inlineStr">
        <is>
          <t>Sold</t>
        </is>
      </c>
      <c r="G599" s="6">
        <f>HYPERLINK("https://www.kleinanzeigen.de/s-anzeige/drake-finne-freeride-drive-2-490-und-weitere-windsurfen/2857475524-230-2044", "Link")</f>
        <v/>
      </c>
      <c r="H599" s="6">
        <f>HYPERLINK("C:\Projects\Kleinanzeigen-Scraper\offer_images\2857475524", "Link")</f>
        <v/>
      </c>
      <c r="I599" t="inlineStr">
        <is>
          <t>Weiser</t>
        </is>
      </c>
      <c r="J599" s="6">
        <f>HYPERLINK("https://www.kleinanzeigen.de/s-bestandsliste.html?userId=6631324", "Link")</f>
        <v/>
      </c>
      <c r="K599" s="7" t="n">
        <v>45544.74850694444</v>
      </c>
      <c r="L599" s="3" t="inlineStr">
        <is>
          <t>49.14</t>
        </is>
      </c>
      <c r="M599" t="inlineStr">
        <is>
          <t>Köln</t>
        </is>
      </c>
    </row>
    <row r="600">
      <c r="A600" t="inlineStr">
        <is>
          <t>Mast Protection: Protective cover for mast and board</t>
        </is>
      </c>
      <c r="B600" s="4" t="n">
        <v>20</v>
      </c>
      <c r="C600" t="inlineStr">
        <is>
          <t>VB</t>
        </is>
      </c>
      <c r="D600" t="inlineStr">
        <is>
          <t>81549 Obergiesing-Fasangarten - Obergiesing</t>
        </is>
      </c>
      <c r="E600" s="5" t="n">
        <v>45543</v>
      </c>
      <c r="F600" t="inlineStr">
        <is>
          <t>Sold</t>
        </is>
      </c>
      <c r="G600" s="6">
        <f>HYPERLINK("https://www.kleinanzeigen.de/s-anzeige/mastschutz-boardschutz-windsurf-sdm/2857490502-230-16363", "Link")</f>
        <v/>
      </c>
      <c r="H600" s="6">
        <f>HYPERLINK("C:\Projects\Kleinanzeigen-Scraper\offer_images\2857490502", "Link")</f>
        <v/>
      </c>
      <c r="I600" t="inlineStr">
        <is>
          <t>Paolo</t>
        </is>
      </c>
      <c r="J600" s="6">
        <f>HYPERLINK("https://www.kleinanzeigen.de/s-bestandsliste.html?userId=80420214", "Link")</f>
        <v/>
      </c>
      <c r="K600" s="7" t="n">
        <v>45544.74834490741</v>
      </c>
      <c r="L600" s="3" t="inlineStr">
        <is>
          <t>4.99</t>
        </is>
      </c>
      <c r="M600" t="inlineStr">
        <is>
          <t>München</t>
        </is>
      </c>
    </row>
    <row r="601">
      <c r="A601" t="inlineStr">
        <is>
          <t>Helmet: Mystic MK8 X Helmet, XL, white with outstanding impact resistance and ventilation holes.</t>
        </is>
      </c>
      <c r="B601" s="4" t="n">
        <v>89</v>
      </c>
      <c r="C601" t="inlineStr"/>
      <c r="D601" t="inlineStr">
        <is>
          <t>82319 Bayern - Starnberg</t>
        </is>
      </c>
      <c r="E601" s="5" t="n">
        <v>45543</v>
      </c>
      <c r="F601" t="inlineStr">
        <is>
          <t>Sold</t>
        </is>
      </c>
      <c r="G601" s="6">
        <f>HYPERLINK("https://www.kleinanzeigen.de/s-anzeige/mystic-mk8-x-helmet-xl-white-kite-wing-windsurf-helm/2085557339-230-5525", "Link")</f>
        <v/>
      </c>
      <c r="H601" s="6">
        <f>HYPERLINK("C:\Projects\Kleinanzeigen-Scraper\offer_images\2085557339", "Link")</f>
        <v/>
      </c>
      <c r="I601" t="inlineStr">
        <is>
          <t>No user name</t>
        </is>
      </c>
      <c r="J601" s="6">
        <f>HYPERLINK("https://www.kleinanzeigen.deNo user link", "Link")</f>
        <v/>
      </c>
      <c r="K601" s="7" t="n">
        <v>45544.74831018518</v>
      </c>
      <c r="L601" s="3" t="inlineStr">
        <is>
          <t>23.17</t>
        </is>
      </c>
      <c r="M601" t="inlineStr">
        <is>
          <t>München</t>
        </is>
      </c>
    </row>
    <row r="602">
      <c r="A602" t="inlineStr">
        <is>
          <t>Harness: Prolimit Windsurf- und Kitesurf Trapez, Size L</t>
        </is>
      </c>
      <c r="B602" s="4" t="n">
        <v>55</v>
      </c>
      <c r="C602" t="inlineStr"/>
      <c r="D602" t="inlineStr">
        <is>
          <t>57250 Nordrhein-Westfalen - Netphen</t>
        </is>
      </c>
      <c r="E602" s="5" t="n">
        <v>45543</v>
      </c>
      <c r="F602" t="inlineStr">
        <is>
          <t>Sold</t>
        </is>
      </c>
      <c r="G602" s="6">
        <f>HYPERLINK("https://www.kleinanzeigen.de/s-anzeige/prolimit-windsurf-und-kitesurf-trapez-kitewaist-l/2857633736-230-1524", "Link")</f>
        <v/>
      </c>
      <c r="H602" s="6">
        <f>HYPERLINK("C:\Projects\Kleinanzeigen-Scraper\offer_images\2857633736", "Link")</f>
        <v/>
      </c>
      <c r="I602" t="inlineStr">
        <is>
          <t>Hendrik Pascheke</t>
        </is>
      </c>
      <c r="J602" s="6">
        <f>HYPERLINK("https://www.kleinanzeigen.de/s-bestandsliste.html?userId=13407590", "Link")</f>
        <v/>
      </c>
      <c r="K602" s="7" t="n">
        <v>45544.74809027778</v>
      </c>
      <c r="L602" s="3" t="inlineStr">
        <is>
          <t>86.60</t>
        </is>
      </c>
      <c r="M602" t="inlineStr">
        <is>
          <t>Köln</t>
        </is>
      </c>
    </row>
    <row r="603">
      <c r="A603" t="inlineStr">
        <is>
          <t>Harness: Duotone Radium Trapez Team Series, Size L, in top condition, lightly used.</t>
        </is>
      </c>
      <c r="B603" s="4" t="n">
        <v>150</v>
      </c>
      <c r="C603" t="inlineStr"/>
      <c r="D603" t="inlineStr">
        <is>
          <t>87645 Bayern - Schwangau</t>
        </is>
      </c>
      <c r="E603" s="5" t="n">
        <v>45543</v>
      </c>
      <c r="F603" t="inlineStr">
        <is>
          <t>Sold</t>
        </is>
      </c>
      <c r="G603" s="6">
        <f>HYPERLINK("https://www.kleinanzeigen.de/s-anzeige/duotone-radium-trapez-team-series-groesse-l-windsurfen/2857179721-230-6566", "Link")</f>
        <v/>
      </c>
      <c r="H603" s="6">
        <f>HYPERLINK("C:\Projects\Kleinanzeigen-Scraper\offer_images\2857179721", "Link")</f>
        <v/>
      </c>
      <c r="I603" t="inlineStr">
        <is>
          <t>BS</t>
        </is>
      </c>
      <c r="J603" s="6">
        <f>HYPERLINK("https://www.kleinanzeigen.de/s-bestandsliste.html?userId=9854297", "Link")</f>
        <v/>
      </c>
      <c r="K603" s="7" t="n">
        <v>45543.54896990741</v>
      </c>
      <c r="L603" s="3" t="inlineStr">
        <is>
          <t>87.93</t>
        </is>
      </c>
      <c r="M603" t="inlineStr">
        <is>
          <t>München</t>
        </is>
      </c>
    </row>
    <row r="604">
      <c r="A604" t="inlineStr">
        <is>
          <t>Mast extension: 2 SDM extensions, 26 cm and 28 cm, lightweight and stable</t>
        </is>
      </c>
      <c r="B604" s="4" t="n">
        <v>15</v>
      </c>
      <c r="C604" t="inlineStr"/>
      <c r="D604" t="inlineStr">
        <is>
          <t>48149 Münster (Westfalen) - Gievenbeck</t>
        </is>
      </c>
      <c r="E604" s="5" t="n">
        <v>45541</v>
      </c>
      <c r="F604" t="inlineStr">
        <is>
          <t>Sold</t>
        </is>
      </c>
      <c r="G604" s="6">
        <f>HYPERLINK("https://www.kleinanzeigen.de/s-anzeige/2-mastverlaengerungen-sdm-28-26-cm-super-leicht-windsurfen/2856112304-230-930", "Link")</f>
        <v/>
      </c>
      <c r="H604" s="6">
        <f>HYPERLINK("C:\Projects\Kleinanzeigen-Scraper\offer_images\2856112304", "Link")</f>
        <v/>
      </c>
      <c r="I604" t="inlineStr">
        <is>
          <t>Funsurfer</t>
        </is>
      </c>
      <c r="J604" s="6">
        <f>HYPERLINK("https://www.kleinanzeigen.de/s-bestandsliste.html?userId=22200939", "Link")</f>
        <v/>
      </c>
      <c r="K604" s="7" t="n">
        <v>45543.54871527778</v>
      </c>
      <c r="L604" s="3" t="inlineStr">
        <is>
          <t>122.21</t>
        </is>
      </c>
      <c r="M604" t="inlineStr">
        <is>
          <t>Köln</t>
        </is>
      </c>
    </row>
    <row r="605">
      <c r="A605" t="inlineStr">
        <is>
          <t>Harness: Neil Pryde Hüfttrapez, Größe S, geeignet bis ca. 78cm Taillenumfang</t>
        </is>
      </c>
      <c r="B605" s="4" t="n">
        <v>20</v>
      </c>
      <c r="C605" t="inlineStr">
        <is>
          <t>VB</t>
        </is>
      </c>
      <c r="D605" t="inlineStr">
        <is>
          <t>86574 Bayern - Petersdorf</t>
        </is>
      </c>
      <c r="E605" s="5" t="n">
        <v>45541</v>
      </c>
      <c r="F605" t="inlineStr">
        <is>
          <t>Sold</t>
        </is>
      </c>
      <c r="G605" s="6">
        <f>HYPERLINK("https://www.kleinanzeigen.de/s-anzeige/neilpryde-huefttrapez-windsurfen-groesse-s/2855733451-230-7198", "Link")</f>
        <v/>
      </c>
      <c r="H605" s="6">
        <f>HYPERLINK("C:\Projects\Kleinanzeigen-Scraper\offer_images\2855733451", "Link")</f>
        <v/>
      </c>
      <c r="I605" t="inlineStr">
        <is>
          <t>Fabian Heigemeir</t>
        </is>
      </c>
      <c r="J605" s="6">
        <f>HYPERLINK("https://www.kleinanzeigen.de/s-bestandsliste.html?userId=121280439", "Link")</f>
        <v/>
      </c>
      <c r="K605" s="7" t="n">
        <v>45543.54861111111</v>
      </c>
      <c r="L605" s="3" t="inlineStr">
        <is>
          <t>60.10</t>
        </is>
      </c>
      <c r="M605" t="inlineStr">
        <is>
          <t>München</t>
        </is>
      </c>
    </row>
    <row r="606">
      <c r="A606" t="inlineStr">
        <is>
          <t>Fin: Lars Petersen 230 US-Box, designed for flat water, 23 cm depth, absolutely new and unused.</t>
        </is>
      </c>
      <c r="B606" s="4" t="n">
        <v>60</v>
      </c>
      <c r="C606" t="inlineStr"/>
      <c r="D606" t="inlineStr">
        <is>
          <t>25421 Kreis Pinneberg - Pinneberg</t>
        </is>
      </c>
      <c r="E606" s="5" t="n">
        <v>45542</v>
      </c>
      <c r="F606" t="inlineStr">
        <is>
          <t>Sold</t>
        </is>
      </c>
      <c r="G606" s="6">
        <f>HYPERLINK("https://www.kleinanzeigen.de/s-anzeige/finne-lars-petersen-230-us-box-flachwasser-windsurf-sup-neu/2856205025-230-786", "Link")</f>
        <v/>
      </c>
      <c r="H606" s="6">
        <f>HYPERLINK("C:\Projects\Kleinanzeigen-Scraper\offer_images\2856205025", "Link")</f>
        <v/>
      </c>
      <c r="I606" t="inlineStr">
        <is>
          <t>Neufan</t>
        </is>
      </c>
      <c r="J606" s="6">
        <f>HYPERLINK("https://www.kleinanzeigen.de/s-bestandsliste.html?userId=19392337", "Link")</f>
        <v/>
      </c>
      <c r="K606" s="7" t="n">
        <v>45543.54826388889</v>
      </c>
      <c r="L606" s="3" t="inlineStr">
        <is>
          <t>357.38</t>
        </is>
      </c>
      <c r="M606" t="inlineStr">
        <is>
          <t>Köln</t>
        </is>
      </c>
    </row>
    <row r="607">
      <c r="A607" t="inlineStr">
        <is>
          <t>Fin: f2 choco Fins 28 Jump and Jibe, Powerbox, includes protective cover</t>
        </is>
      </c>
      <c r="B607" s="4" t="n">
        <v>30</v>
      </c>
      <c r="C607" t="inlineStr"/>
      <c r="D607" t="inlineStr">
        <is>
          <t>24937 Schleswig-Holstein - Flensburg</t>
        </is>
      </c>
      <c r="E607" s="5" t="n">
        <v>45541</v>
      </c>
      <c r="F607" t="inlineStr">
        <is>
          <t>Sold</t>
        </is>
      </c>
      <c r="G607" s="6">
        <f>HYPERLINK("https://www.kleinanzeigen.de/s-anzeige/windsurf-finne-f2-choco-fins-28-jump-and-jibe-powerbox/2855681275-230-718", "Link")</f>
        <v/>
      </c>
      <c r="H607" s="6">
        <f>HYPERLINK("C:\Projects\Kleinanzeigen-Scraper\offer_images\2855681275", "Link")</f>
        <v/>
      </c>
      <c r="I607" t="inlineStr">
        <is>
          <t>Dietmar Harbeck</t>
        </is>
      </c>
      <c r="J607" s="6">
        <f>HYPERLINK("https://www.kleinanzeigen.de/s-bestandsliste.html?userId=45089597", "Link")</f>
        <v/>
      </c>
      <c r="K607" s="7" t="n">
        <v>45542.78078703704</v>
      </c>
      <c r="L607" s="3" t="inlineStr">
        <is>
          <t>458.80</t>
        </is>
      </c>
      <c r="M607" t="inlineStr">
        <is>
          <t>Köln</t>
        </is>
      </c>
    </row>
    <row r="608">
      <c r="A608" t="inlineStr">
        <is>
          <t>Windsurf Bag: PROLIMIT Windsurf Sessionbag Freeride 490, designed for masts, booms, and sails.</t>
        </is>
      </c>
      <c r="B608" s="4" t="n">
        <v>125</v>
      </c>
      <c r="C608" t="inlineStr">
        <is>
          <t>VB</t>
        </is>
      </c>
      <c r="D608" t="inlineStr">
        <is>
          <t>82549 Bayern - Königsdorf</t>
        </is>
      </c>
      <c r="E608" s="5" t="n">
        <v>45539</v>
      </c>
      <c r="F608" t="inlineStr">
        <is>
          <t>Sold</t>
        </is>
      </c>
      <c r="G608" s="6">
        <f>HYPERLINK("https://www.kleinanzeigen.de/s-anzeige/prolimit-windsurf-sessionbag-freeride-490/2854585513-230-6331", "Link")</f>
        <v/>
      </c>
      <c r="H608" s="6">
        <f>HYPERLINK("C:\Projects\Kleinanzeigen-Scraper\offer_images\2854585513", "Link")</f>
        <v/>
      </c>
      <c r="I608" t="inlineStr">
        <is>
          <t>Thomas Loibl</t>
        </is>
      </c>
      <c r="J608" s="6">
        <f>HYPERLINK("https://www.kleinanzeigen.de/s-bestandsliste.html?userId=22829407", "Link")</f>
        <v/>
      </c>
      <c r="K608" s="7" t="n">
        <v>45542.78075231481</v>
      </c>
      <c r="L608" s="3" t="inlineStr">
        <is>
          <t>36.23</t>
        </is>
      </c>
      <c r="M608" t="inlineStr">
        <is>
          <t>München</t>
        </is>
      </c>
    </row>
    <row r="609">
      <c r="A609" t="inlineStr">
        <is>
          <t>Fin: Lars Petersen Finne für Flachwasser, 200 US-Box, 20 cm Tiefgang, absolut neu und unbenutzt.</t>
        </is>
      </c>
      <c r="B609" s="4" t="n">
        <v>60</v>
      </c>
      <c r="C609" t="inlineStr"/>
      <c r="D609" t="inlineStr">
        <is>
          <t>25421 Kreis Pinneberg - Pinneberg</t>
        </is>
      </c>
      <c r="E609" s="5" t="n">
        <v>45542</v>
      </c>
      <c r="F609" t="inlineStr">
        <is>
          <t>Sold</t>
        </is>
      </c>
      <c r="G609" s="6">
        <f>HYPERLINK("https://www.kleinanzeigen.de/s-anzeige/finne-lars-petersen-200-us-box-flachwasser-windsurf-sup-neu/2856543840-230-786", "Link")</f>
        <v/>
      </c>
      <c r="H609" s="6">
        <f>HYPERLINK("C:\Projects\Kleinanzeigen-Scraper\offer_images\2856543840", "Link")</f>
        <v/>
      </c>
      <c r="I609" t="inlineStr">
        <is>
          <t>Uli</t>
        </is>
      </c>
      <c r="J609" s="6">
        <f>HYPERLINK("https://www.kleinanzeigen.de/s-bestandsliste.html?userId=19392337", "Link")</f>
        <v/>
      </c>
      <c r="K609" s="7" t="n">
        <v>45542.78053240741</v>
      </c>
      <c r="L609" s="3" t="inlineStr">
        <is>
          <t>357.38</t>
        </is>
      </c>
      <c r="M609" t="inlineStr">
        <is>
          <t>Köln</t>
        </is>
      </c>
    </row>
    <row r="610">
      <c r="A610" t="inlineStr">
        <is>
          <t>Outhaul Trimmsystem: High-quality trimming set for booms with 34-36mm diameter, includes various ropes and clamps.</t>
        </is>
      </c>
      <c r="B610" s="4" t="n">
        <v>57</v>
      </c>
      <c r="C610" t="inlineStr"/>
      <c r="D610" t="inlineStr">
        <is>
          <t>95119 Bayern - Naila</t>
        </is>
      </c>
      <c r="E610" s="5" t="n">
        <v>45539</v>
      </c>
      <c r="F610" t="inlineStr">
        <is>
          <t>Sold</t>
        </is>
      </c>
      <c r="G610" s="6">
        <f>HYPERLINK("https://www.kleinanzeigen.de/s-anzeige/windsurf-outhaul-trimmsystem-wichard-fuer-den-gabelbaum/2854528546-230-7227", "Link")</f>
        <v/>
      </c>
      <c r="H610" s="6">
        <f>HYPERLINK("C:\Projects\Kleinanzeigen-Scraper\offer_images\2854528546", "Link")</f>
        <v/>
      </c>
      <c r="I610" t="inlineStr">
        <is>
          <t>Surf Stuff</t>
        </is>
      </c>
      <c r="J610" s="6">
        <f>HYPERLINK("https://www.kleinanzeigen.de/s-bestandsliste.html?userId=133993288", "Link")</f>
        <v/>
      </c>
      <c r="K610" s="7" t="n">
        <v>45542.77990740741</v>
      </c>
      <c r="L610" s="3" t="inlineStr">
        <is>
          <t>244.09</t>
        </is>
      </c>
      <c r="M610" t="inlineStr">
        <is>
          <t>München</t>
        </is>
      </c>
    </row>
    <row r="611">
      <c r="A611" t="inlineStr">
        <is>
          <t>Fin: Fanatic, 36cm, PT-Box, GFK, Convertible L</t>
        </is>
      </c>
      <c r="B611" s="4" t="n">
        <v>30</v>
      </c>
      <c r="C611" t="inlineStr"/>
      <c r="D611" t="inlineStr">
        <is>
          <t>04808 Sachsen - Wurzen</t>
        </is>
      </c>
      <c r="E611" s="5" t="n">
        <v>45541</v>
      </c>
      <c r="F611" t="inlineStr">
        <is>
          <t>Sold</t>
        </is>
      </c>
      <c r="G611" s="6">
        <f>HYPERLINK("https://www.kleinanzeigen.de/s-anzeige/windsurf-finne-fanatic-36cm-pt-box/2856048469-230-3904", "Link")</f>
        <v/>
      </c>
      <c r="H611" s="6">
        <f>HYPERLINK("C:\Projects\Kleinanzeigen-Scraper\offer_images\2856048469", "Link")</f>
        <v/>
      </c>
      <c r="I611" t="inlineStr">
        <is>
          <t>D.Döring</t>
        </is>
      </c>
      <c r="J611" s="6">
        <f>HYPERLINK("https://www.kleinanzeigen.de/s-bestandsliste.html?userId=3682688", "Link")</f>
        <v/>
      </c>
      <c r="K611" s="7" t="n">
        <v>45542.77957175926</v>
      </c>
      <c r="L611" s="3" t="inlineStr">
        <is>
          <t>371.88</t>
        </is>
      </c>
      <c r="M611" t="inlineStr">
        <is>
          <t>München</t>
        </is>
      </c>
    </row>
    <row r="612">
      <c r="A612" t="inlineStr">
        <is>
          <t>Harness Lines: 22 inch adjustable</t>
        </is>
      </c>
      <c r="B612" s="4" t="n">
        <v>12</v>
      </c>
      <c r="C612" t="inlineStr"/>
      <c r="D612" t="inlineStr">
        <is>
          <t>81476 München - Thalk.Obersendl.-Forsten-Fürstenr.-Solln</t>
        </is>
      </c>
      <c r="E612" s="5" t="n">
        <v>45538</v>
      </c>
      <c r="F612" t="inlineStr">
        <is>
          <t>Sold</t>
        </is>
      </c>
      <c r="G612" s="6">
        <f>HYPERLINK("https://www.kleinanzeigen.de/s-anzeige/trapez-tampen-gun-sails-22-windsurfen/2853654879-230-6436", "Link")</f>
        <v/>
      </c>
      <c r="H612" s="6">
        <f>HYPERLINK("C:\Projects\Kleinanzeigen-Scraper\offer_images\2853654879", "Link")</f>
        <v/>
      </c>
      <c r="I612" t="inlineStr">
        <is>
          <t>Mike</t>
        </is>
      </c>
      <c r="J612" s="6">
        <f>HYPERLINK("https://www.kleinanzeigen.de/s-bestandsliste.html?userId=27971111", "Link")</f>
        <v/>
      </c>
      <c r="K612" s="7" t="n">
        <v>45542.77894675926</v>
      </c>
      <c r="L612" s="3" t="inlineStr">
        <is>
          <t>8.19</t>
        </is>
      </c>
      <c r="M612" t="inlineStr">
        <is>
          <t>München</t>
        </is>
      </c>
    </row>
    <row r="613">
      <c r="A613" t="inlineStr">
        <is>
          <t>Impact Vest: ION Prallweste Größe L, guter Zustand, wenige Male benutzt</t>
        </is>
      </c>
      <c r="B613" s="4" t="n">
        <v>39</v>
      </c>
      <c r="C613" t="inlineStr"/>
      <c r="D613" t="inlineStr">
        <is>
          <t>45772 Nordrhein-Westfalen - Marl</t>
        </is>
      </c>
      <c r="E613" s="5" t="n">
        <v>45540</v>
      </c>
      <c r="F613" t="inlineStr">
        <is>
          <t>Sold</t>
        </is>
      </c>
      <c r="G613" s="6">
        <f>HYPERLINK("https://www.kleinanzeigen.de/s-anzeige/ion-prallweste-l-windsurfen-tabou-fanatic/2854929312-230-1772", "Link")</f>
        <v/>
      </c>
      <c r="H613" s="6">
        <f>HYPERLINK("C:\Projects\Kleinanzeigen-Scraper\offer_images\2854929312", "Link")</f>
        <v/>
      </c>
      <c r="I613" t="inlineStr">
        <is>
          <t>Matrix</t>
        </is>
      </c>
      <c r="J613" s="6">
        <f>HYPERLINK("https://www.kleinanzeigen.de/s-bestandsliste.html?userId=89106594", "Link")</f>
        <v/>
      </c>
      <c r="K613" s="7" t="n">
        <v>45541.56725694444</v>
      </c>
      <c r="L613" s="3" t="inlineStr">
        <is>
          <t>84.29</t>
        </is>
      </c>
      <c r="M613" t="inlineStr">
        <is>
          <t>Köln</t>
        </is>
      </c>
    </row>
    <row r="614">
      <c r="A614" t="inlineStr">
        <is>
          <t>Footstraps: Fanatic footstraps, 3-piece set, new condition</t>
        </is>
      </c>
      <c r="B614" s="4" t="n">
        <v>30</v>
      </c>
      <c r="C614" t="inlineStr"/>
      <c r="D614" t="inlineStr">
        <is>
          <t>57610 Rheinland-Pfalz - Altenkirchen</t>
        </is>
      </c>
      <c r="E614" s="5" t="n">
        <v>45541</v>
      </c>
      <c r="F614" t="inlineStr">
        <is>
          <t>Sold</t>
        </is>
      </c>
      <c r="G614" s="6">
        <f>HYPERLINK("https://www.kleinanzeigen.de/s-anzeige/fanatic-windsurf-fussschlaufen/2855558217-230-1497", "Link")</f>
        <v/>
      </c>
      <c r="H614" s="6">
        <f>HYPERLINK("C:\Projects\Kleinanzeigen-Scraper\offer_images\2855558217", "Link")</f>
        <v/>
      </c>
      <c r="I614" t="inlineStr">
        <is>
          <t>der Junge</t>
        </is>
      </c>
      <c r="J614" s="6">
        <f>HYPERLINK("https://www.kleinanzeigen.de/s-bestandsliste.html?userId=21976362", "Link")</f>
        <v/>
      </c>
      <c r="K614" s="7" t="n">
        <v>45541.56722222222</v>
      </c>
      <c r="L614" s="3" t="inlineStr">
        <is>
          <t>57.37</t>
        </is>
      </c>
      <c r="M614" t="inlineStr">
        <is>
          <t>Köln</t>
        </is>
      </c>
    </row>
    <row r="615">
      <c r="A615" t="inlineStr">
        <is>
          <t>Harness: Hüfttrapez von Mistral, Gesamtlänge des gepolsterten Gurtes 73 cm</t>
        </is>
      </c>
      <c r="B615" s="4" t="n">
        <v>10</v>
      </c>
      <c r="C615" t="inlineStr"/>
      <c r="D615" t="inlineStr">
        <is>
          <t>28759 Vegesack - Grohn</t>
        </is>
      </c>
      <c r="E615" s="5" t="n">
        <v>45541</v>
      </c>
      <c r="F615" t="inlineStr">
        <is>
          <t>Sold</t>
        </is>
      </c>
      <c r="G615" s="6">
        <f>HYPERLINK("https://www.kleinanzeigen.de/s-anzeige/huefttrapez-von-mistral-windsurfen-damen/2855549329-230-11", "Link")</f>
        <v/>
      </c>
      <c r="H615" s="6">
        <f>HYPERLINK("C:\Projects\Kleinanzeigen-Scraper\offer_images\2855549329", "Link")</f>
        <v/>
      </c>
      <c r="I615" t="inlineStr">
        <is>
          <t>Heide Adler</t>
        </is>
      </c>
      <c r="J615" s="6">
        <f>HYPERLINK("https://www.kleinanzeigen.de/s-bestandsliste.html?userId=47145568", "Link")</f>
        <v/>
      </c>
      <c r="K615" s="7" t="n">
        <v>45541.56697916667</v>
      </c>
      <c r="L615" s="3" t="inlineStr">
        <is>
          <t>273.93</t>
        </is>
      </c>
      <c r="M615" t="inlineStr">
        <is>
          <t>Köln</t>
        </is>
      </c>
    </row>
    <row r="616">
      <c r="A616" t="inlineStr">
        <is>
          <t>Harness: ION Windsurf Waist Radium L</t>
        </is>
      </c>
      <c r="B616" s="4" t="n">
        <v>99</v>
      </c>
      <c r="C616" t="inlineStr"/>
      <c r="D616" t="inlineStr">
        <is>
          <t>88400 Baden-Württemberg - Biberach an der Riß</t>
        </is>
      </c>
      <c r="E616" s="5" t="n">
        <v>45541</v>
      </c>
      <c r="F616" t="inlineStr">
        <is>
          <t>Sold</t>
        </is>
      </c>
      <c r="G616" s="6">
        <f>HYPERLINK("https://www.kleinanzeigen.de/s-anzeige/ion-harness-windsurf-waist-radium-l/2855361970-230-8706", "Link")</f>
        <v/>
      </c>
      <c r="H616" s="6">
        <f>HYPERLINK("C:\Projects\Kleinanzeigen-Scraper\offer_images\2855361970", "Link")</f>
        <v/>
      </c>
      <c r="I616" t="inlineStr">
        <is>
          <t>Schneider</t>
        </is>
      </c>
      <c r="J616" s="6">
        <f>HYPERLINK("https://www.kleinanzeigen.de/s-bestandsliste.html?userId=3638597", "Link")</f>
        <v/>
      </c>
      <c r="K616" s="7" t="n">
        <v>45541.56690972222</v>
      </c>
      <c r="L616" s="3" t="inlineStr">
        <is>
          <t>89.53</t>
        </is>
      </c>
      <c r="M616" t="inlineStr">
        <is>
          <t>Böblingen</t>
        </is>
      </c>
    </row>
    <row r="617">
      <c r="A617" t="inlineStr">
        <is>
          <t>Fin: Slalom fin for 8.5 to 10 m² sails</t>
        </is>
      </c>
      <c r="B617" s="4" t="n">
        <v>99</v>
      </c>
      <c r="C617" t="inlineStr"/>
      <c r="D617" t="inlineStr">
        <is>
          <t>67112 Rheinland-Pfalz - Mutterstadt</t>
        </is>
      </c>
      <c r="E617" s="5" t="n">
        <v>45540</v>
      </c>
      <c r="F617" t="inlineStr">
        <is>
          <t>Sold</t>
        </is>
      </c>
      <c r="G617" s="6">
        <f>HYPERLINK("https://www.kleinanzeigen.de/s-anzeige/finne-c-fins-48-slalom-deep-turtlebox-windsurfen/2854914644-230-4958", "Link")</f>
        <v/>
      </c>
      <c r="H617" s="6">
        <f>HYPERLINK("C:\Projects\Kleinanzeigen-Scraper\offer_images\2854914644", "Link")</f>
        <v/>
      </c>
      <c r="I617" t="inlineStr">
        <is>
          <t>Reiner</t>
        </is>
      </c>
      <c r="J617" s="6">
        <f>HYPERLINK("https://www.kleinanzeigen.de/s-bestandsliste.html?userId=16761299", "Link")</f>
        <v/>
      </c>
      <c r="K617" s="7" t="n">
        <v>45541.5667824074</v>
      </c>
      <c r="L617" s="3" t="inlineStr">
        <is>
          <t>48.41</t>
        </is>
      </c>
      <c r="M617" t="inlineStr">
        <is>
          <t>Karlsruhe</t>
        </is>
      </c>
    </row>
    <row r="618">
      <c r="A618" t="inlineStr">
        <is>
          <t>Fin: Lipsticks Freeride 30, Powerbox with minor scratches</t>
        </is>
      </c>
      <c r="B618" s="4" t="n">
        <v>25</v>
      </c>
      <c r="C618" t="inlineStr">
        <is>
          <t>VB</t>
        </is>
      </c>
      <c r="D618" t="inlineStr">
        <is>
          <t>24937 Schleswig-Holstein - Flensburg</t>
        </is>
      </c>
      <c r="E618" s="5" t="n">
        <v>45541</v>
      </c>
      <c r="F618" t="inlineStr">
        <is>
          <t>Sold</t>
        </is>
      </c>
      <c r="G618" s="6">
        <f>HYPERLINK("https://www.kleinanzeigen.de/s-anzeige/windsurf-finne-lipsticks-freeride-30-powerbox/2855663847-230-718", "Link")</f>
        <v/>
      </c>
      <c r="H618" s="6">
        <f>HYPERLINK("C:\Projects\Kleinanzeigen-Scraper\offer_images\2855663847", "Link")</f>
        <v/>
      </c>
      <c r="I618" t="inlineStr">
        <is>
          <t>Dietmar Harbeck</t>
        </is>
      </c>
      <c r="J618" s="6">
        <f>HYPERLINK("https://www.kleinanzeigen.de/s-bestandsliste.html?userId=45089597", "Link")</f>
        <v/>
      </c>
      <c r="K618" s="7" t="n">
        <v>45541.56666666667</v>
      </c>
      <c r="L618" s="3" t="inlineStr">
        <is>
          <t>458.80</t>
        </is>
      </c>
      <c r="M618" t="inlineStr">
        <is>
          <t>Köln</t>
        </is>
      </c>
    </row>
    <row r="619">
      <c r="A619" t="inlineStr">
        <is>
          <t>Fin: FX 35 Designet by Peter Thommen, inkl. original Schutztasche</t>
        </is>
      </c>
      <c r="B619" s="4" t="n">
        <v>35</v>
      </c>
      <c r="C619" t="inlineStr"/>
      <c r="D619" t="inlineStr">
        <is>
          <t>24937 Schleswig-Holstein - Flensburg</t>
        </is>
      </c>
      <c r="E619" s="5" t="n">
        <v>45541</v>
      </c>
      <c r="F619" t="inlineStr">
        <is>
          <t>Sold</t>
        </is>
      </c>
      <c r="G619" s="6">
        <f>HYPERLINK("https://www.kleinanzeigen.de/s-anzeige/windsurf-finne-fx-35-tuttlebox/2855659623-230-718", "Link")</f>
        <v/>
      </c>
      <c r="H619" s="6">
        <f>HYPERLINK("C:\Projects\Kleinanzeigen-Scraper\offer_images\2855659623", "Link")</f>
        <v/>
      </c>
      <c r="I619" t="inlineStr">
        <is>
          <t>Dietmar Harbeck</t>
        </is>
      </c>
      <c r="J619" s="6">
        <f>HYPERLINK("https://www.kleinanzeigen.de/s-bestandsliste.html?userId=45089597", "Link")</f>
        <v/>
      </c>
      <c r="K619" s="7" t="n">
        <v>45541.56664351852</v>
      </c>
      <c r="L619" s="3" t="inlineStr">
        <is>
          <t>458.80</t>
        </is>
      </c>
      <c r="M619" t="inlineStr">
        <is>
          <t>Köln</t>
        </is>
      </c>
    </row>
    <row r="620">
      <c r="A620" t="inlineStr">
        <is>
          <t>Trapeztampen: Duotone Tampen in 26“ gebrauchter Zustand mit optischen Mängeln, North Tampen in 26“ guter Zustand mit leichten optischen Gebrauchsspuren, Duotone Startleine NEU</t>
        </is>
      </c>
      <c r="B620" s="4" t="n">
        <v>15</v>
      </c>
      <c r="C620" t="inlineStr"/>
      <c r="D620" t="inlineStr">
        <is>
          <t>78467 Baden-Württemberg - Konstanz</t>
        </is>
      </c>
      <c r="E620" s="5" t="n">
        <v>45541</v>
      </c>
      <c r="F620" t="inlineStr">
        <is>
          <t>Sold</t>
        </is>
      </c>
      <c r="G620" s="6">
        <f>HYPERLINK("https://www.kleinanzeigen.de/s-anzeige/trapeztampen-26-und-24-und-aufholleine-windsurfen-/2855672004-230-9389", "Link")</f>
        <v/>
      </c>
      <c r="H620" s="6">
        <f>HYPERLINK("C:\Projects\Kleinanzeigen-Scraper\offer_images\2855672004", "Link")</f>
        <v/>
      </c>
      <c r="I620" t="inlineStr">
        <is>
          <t>Fabio</t>
        </is>
      </c>
      <c r="J620" s="6">
        <f>HYPERLINK("https://www.kleinanzeigen.de/s-bestandsliste.html?userId=49077182", "Link")</f>
        <v/>
      </c>
      <c r="K620" s="7" t="n">
        <v>45541.56664351852</v>
      </c>
      <c r="L620" s="3" t="inlineStr">
        <is>
          <t>62.51</t>
        </is>
      </c>
      <c r="M620" t="inlineStr">
        <is>
          <t>Bonndorf</t>
        </is>
      </c>
    </row>
    <row r="621">
      <c r="A621" t="inlineStr">
        <is>
          <t>Fin: Lipsticks Freeride 46, includes protective cover</t>
        </is>
      </c>
      <c r="B621" s="4" t="n">
        <v>35</v>
      </c>
      <c r="C621" t="inlineStr">
        <is>
          <t>VB</t>
        </is>
      </c>
      <c r="D621" t="inlineStr">
        <is>
          <t>24937 Schleswig-Holstein - Flensburg</t>
        </is>
      </c>
      <c r="E621" s="5" t="n">
        <v>45541</v>
      </c>
      <c r="F621" t="inlineStr">
        <is>
          <t>Sold</t>
        </is>
      </c>
      <c r="G621" s="6">
        <f>HYPERLINK("https://www.kleinanzeigen.de/s-anzeige/windsurf-finne-lipsticks-freeride-46-powerbox/2855675673-230-718", "Link")</f>
        <v/>
      </c>
      <c r="H621" s="6">
        <f>HYPERLINK("C:\Projects\Kleinanzeigen-Scraper\offer_images\2855675673", "Link")</f>
        <v/>
      </c>
      <c r="I621" t="inlineStr">
        <is>
          <t>Dietmar Harbeck</t>
        </is>
      </c>
      <c r="J621" s="6">
        <f>HYPERLINK("https://www.kleinanzeigen.de/s-bestandsliste.html?userId=45089597", "Link")</f>
        <v/>
      </c>
      <c r="K621" s="7" t="n">
        <v>45541.56657407407</v>
      </c>
      <c r="L621" s="3" t="inlineStr">
        <is>
          <t>458.80</t>
        </is>
      </c>
      <c r="M621" t="inlineStr">
        <is>
          <t>Köln</t>
        </is>
      </c>
    </row>
    <row r="622">
      <c r="A622" t="inlineStr">
        <is>
          <t>Harness: Not defective and still functional</t>
        </is>
      </c>
      <c r="B622" s="4" t="n">
        <v>29</v>
      </c>
      <c r="C622" t="inlineStr">
        <is>
          <t>VB</t>
        </is>
      </c>
      <c r="D622" t="inlineStr">
        <is>
          <t>01326 Dresden - Loschwitz</t>
        </is>
      </c>
      <c r="E622" s="5" t="n">
        <v>45541</v>
      </c>
      <c r="F622" t="inlineStr">
        <is>
          <t>Sold</t>
        </is>
      </c>
      <c r="G622" s="6">
        <f>HYPERLINK("https://www.kleinanzeigen.de/s-anzeige/trapez-windsurf/2855518008-230-3830", "Link")</f>
        <v/>
      </c>
      <c r="H622" s="6">
        <f>HYPERLINK("C:\Projects\Kleinanzeigen-Scraper\offer_images\2855518008", "Link")</f>
        <v/>
      </c>
      <c r="I622" t="inlineStr">
        <is>
          <t>Injoymed Dresden</t>
        </is>
      </c>
      <c r="J622" s="6">
        <f>HYPERLINK("https://www.kleinanzeigen.de/s-bestandsliste.html?userId=9139755", "Link")</f>
        <v/>
      </c>
      <c r="K622" s="7" t="n">
        <v>45541.56655092593</v>
      </c>
      <c r="L622" s="3" t="inlineStr">
        <is>
          <t>362.41</t>
        </is>
      </c>
      <c r="M622" t="inlineStr">
        <is>
          <t>München</t>
        </is>
      </c>
    </row>
    <row r="623">
      <c r="A623" t="inlineStr">
        <is>
          <t>Fins: 8 used windsurf fins with a matching bag</t>
        </is>
      </c>
      <c r="B623" s="4" t="n">
        <v>39</v>
      </c>
      <c r="C623" t="inlineStr">
        <is>
          <t>VB</t>
        </is>
      </c>
      <c r="D623" t="inlineStr">
        <is>
          <t>41539 Nordrhein-Westfalen - Dormagen</t>
        </is>
      </c>
      <c r="E623" s="5" t="n">
        <v>45533</v>
      </c>
      <c r="F623" t="inlineStr">
        <is>
          <t>Sold</t>
        </is>
      </c>
      <c r="G623" s="6">
        <f>HYPERLINK("https://www.kleinanzeigen.de/s-anzeige/windsurfung-surffinnen-8-stueck/2849051226-230-1879", "Link")</f>
        <v/>
      </c>
      <c r="H623" s="6">
        <f>HYPERLINK("C:\Projects\Kleinanzeigen-Scraper\offer_images\2849051226", "Link")</f>
        <v/>
      </c>
      <c r="I623" t="inlineStr">
        <is>
          <t>Totom</t>
        </is>
      </c>
      <c r="J623" s="6">
        <f>HYPERLINK("https://www.kleinanzeigen.de/s-bestandsliste.html?userId=129016121", "Link")</f>
        <v/>
      </c>
      <c r="K623" s="7" t="n">
        <v>45541.56644675926</v>
      </c>
      <c r="L623" s="3" t="inlineStr">
        <is>
          <t>19.45</t>
        </is>
      </c>
      <c r="M623" t="inlineStr">
        <is>
          <t>Köln</t>
        </is>
      </c>
    </row>
    <row r="624">
      <c r="A624" t="inlineStr">
        <is>
          <t>Fin: 31 cm G10 Powerbox PB Andre Plump</t>
        </is>
      </c>
      <c r="B624" s="4" t="n">
        <v>25</v>
      </c>
      <c r="C624" t="inlineStr"/>
      <c r="D624" t="inlineStr">
        <is>
          <t>09117 Chemnitz - Rabenstein</t>
        </is>
      </c>
      <c r="E624" s="5" t="n">
        <v>45538</v>
      </c>
      <c r="F624" t="inlineStr">
        <is>
          <t>Sold</t>
        </is>
      </c>
      <c r="G624" s="6">
        <f>HYPERLINK("https://www.kleinanzeigen.de/s-anzeige/finne-windsurfen-31-cm-g10-powerbox-pb-andre-plump/2853549928-230-26066", "Link")</f>
        <v/>
      </c>
      <c r="H624" s="6">
        <f>HYPERLINK("C:\Projects\Kleinanzeigen-Scraper\offer_images\2853549928", "Link")</f>
        <v/>
      </c>
      <c r="I624" t="inlineStr">
        <is>
          <t>Frank Dittmar</t>
        </is>
      </c>
      <c r="J624" s="6">
        <f>HYPERLINK("https://www.kleinanzeigen.de/s-bestandsliste.html?userId=9853269", "Link")</f>
        <v/>
      </c>
      <c r="K624" s="7" t="n">
        <v>45540.56428240741</v>
      </c>
      <c r="L624" s="3" t="inlineStr">
        <is>
          <t>312.37</t>
        </is>
      </c>
      <c r="M624" t="inlineStr">
        <is>
          <t>München</t>
        </is>
      </c>
    </row>
    <row r="625">
      <c r="A625" t="inlineStr">
        <is>
          <t>Fin: 42 cm Powerbox PB Freeride, Freecarve with original cover</t>
        </is>
      </c>
      <c r="B625" s="4" t="n">
        <v>33</v>
      </c>
      <c r="C625" t="inlineStr"/>
      <c r="D625" t="inlineStr">
        <is>
          <t>09117 Chemnitz - Rabenstein</t>
        </is>
      </c>
      <c r="E625" s="5" t="n">
        <v>45538</v>
      </c>
      <c r="F625" t="inlineStr">
        <is>
          <t>Sold</t>
        </is>
      </c>
      <c r="G625" s="6">
        <f>HYPERLINK("https://www.kleinanzeigen.de/s-anzeige/finne-windsurfen-42-cm-pb-powerbox/2853563128-230-26066", "Link")</f>
        <v/>
      </c>
      <c r="H625" s="6">
        <f>HYPERLINK("C:\Projects\Kleinanzeigen-Scraper\offer_images\2853563128", "Link")</f>
        <v/>
      </c>
      <c r="I625" t="inlineStr">
        <is>
          <t>Frank Dittmar</t>
        </is>
      </c>
      <c r="J625" s="6">
        <f>HYPERLINK("https://www.kleinanzeigen.de/s-bestandsliste.html?userId=9853269", "Link")</f>
        <v/>
      </c>
      <c r="K625" s="7" t="n">
        <v>45540.56425925926</v>
      </c>
      <c r="L625" s="3" t="inlineStr">
        <is>
          <t>312.37</t>
        </is>
      </c>
      <c r="M625" t="inlineStr">
        <is>
          <t>München</t>
        </is>
      </c>
    </row>
    <row r="626">
      <c r="A626" t="inlineStr">
        <is>
          <t>Life Jacket: Size M in good condition</t>
        </is>
      </c>
      <c r="B626" s="4" t="n">
        <v>30</v>
      </c>
      <c r="C626" t="inlineStr">
        <is>
          <t>VB</t>
        </is>
      </c>
      <c r="D626" t="inlineStr">
        <is>
          <t>72622 Baden-Württemberg - Nürtingen</t>
        </is>
      </c>
      <c r="E626" s="5" t="n">
        <v>45538</v>
      </c>
      <c r="F626" t="inlineStr">
        <is>
          <t>Sold</t>
        </is>
      </c>
      <c r="G626" s="6">
        <f>HYPERLINK("https://www.kleinanzeigen.de/s-anzeige/windsurf-sup-schwimmweste-gr-m/2853556943-230-8219", "Link")</f>
        <v/>
      </c>
      <c r="H626" s="6">
        <f>HYPERLINK("C:\Projects\Kleinanzeigen-Scraper\offer_images\2853556943", "Link")</f>
        <v/>
      </c>
      <c r="I626" t="inlineStr">
        <is>
          <t>Berger Jens</t>
        </is>
      </c>
      <c r="J626" s="6">
        <f>HYPERLINK("https://www.kleinanzeigen.de/s-bestandsliste.html?userId=15554123", "Link")</f>
        <v/>
      </c>
      <c r="K626" s="7" t="n">
        <v>45540.56422453704</v>
      </c>
      <c r="L626" s="3" t="inlineStr">
        <is>
          <t>26.22</t>
        </is>
      </c>
      <c r="M626" t="inlineStr">
        <is>
          <t>Böblingen</t>
        </is>
      </c>
    </row>
    <row r="627">
      <c r="A627" t="inlineStr">
        <is>
          <t>Fin: Select S10 Slalom Windsurf Finne, 43cm lang für Tuttlebox, guter Zustand</t>
        </is>
      </c>
      <c r="B627" s="4" t="n">
        <v>65</v>
      </c>
      <c r="C627" t="inlineStr"/>
      <c r="D627" t="inlineStr">
        <is>
          <t>34121 Hessen - Kassel</t>
        </is>
      </c>
      <c r="E627" s="5" t="n">
        <v>45539</v>
      </c>
      <c r="F627" t="inlineStr">
        <is>
          <t>Sold</t>
        </is>
      </c>
      <c r="G627" s="6">
        <f>HYPERLINK("https://www.kleinanzeigen.de/s-anzeige/select-s10-43-slalom-windsurf-finne/2854468421-230-4924", "Link")</f>
        <v/>
      </c>
      <c r="H627" s="6">
        <f>HYPERLINK("C:\Projects\Kleinanzeigen-Scraper\offer_images\2854468421", "Link")</f>
        <v/>
      </c>
      <c r="I627" t="inlineStr">
        <is>
          <t>Johannes Rützel</t>
        </is>
      </c>
      <c r="J627" s="6">
        <f>HYPERLINK("https://www.kleinanzeigen.de/s-bestandsliste.html?userId=73982335", "Link")</f>
        <v/>
      </c>
      <c r="K627" s="7" t="n">
        <v>45540.56417824074</v>
      </c>
      <c r="L627" s="3" t="inlineStr">
        <is>
          <t>180.90</t>
        </is>
      </c>
      <c r="M627" t="inlineStr">
        <is>
          <t>Köln</t>
        </is>
      </c>
    </row>
    <row r="628">
      <c r="A628" t="inlineStr">
        <is>
          <t>Mastfoot: Includes a second replacement bracket</t>
        </is>
      </c>
      <c r="B628" s="4" t="n">
        <v>3</v>
      </c>
      <c r="C628" t="inlineStr"/>
      <c r="D628" t="inlineStr">
        <is>
          <t>51379 Nordrhein-Westfalen - Leverkusen</t>
        </is>
      </c>
      <c r="E628" s="5" t="n">
        <v>45539</v>
      </c>
      <c r="F628" t="inlineStr">
        <is>
          <t>Sold</t>
        </is>
      </c>
      <c r="G628" s="6">
        <f>HYPERLINK("https://www.kleinanzeigen.de/s-anzeige/mastfusshalterung-windsurfen/2854509985-230-1991", "Link")</f>
        <v/>
      </c>
      <c r="H628" s="6">
        <f>HYPERLINK("C:\Projects\Kleinanzeigen-Scraper\offer_images\2854509985", "Link")</f>
        <v/>
      </c>
      <c r="I628" t="inlineStr">
        <is>
          <t>Thorsten</t>
        </is>
      </c>
      <c r="J628" s="6">
        <f>HYPERLINK("https://www.kleinanzeigen.de/s-bestandsliste.html?userId=3477057", "Link")</f>
        <v/>
      </c>
      <c r="K628" s="7" t="n">
        <v>45540.56413194445</v>
      </c>
      <c r="L628" s="3" t="inlineStr">
        <is>
          <t>14.88</t>
        </is>
      </c>
      <c r="M628" t="inlineStr">
        <is>
          <t>Köln</t>
        </is>
      </c>
    </row>
    <row r="629">
      <c r="A629" t="inlineStr">
        <is>
          <t>Outhaul Trimming System: High-quality trimming set for booms with 34 - 36mm arm diameter or 109 - 112mm circumference.</t>
        </is>
      </c>
      <c r="B629" s="4" t="n">
        <v>64</v>
      </c>
      <c r="C629" t="inlineStr"/>
      <c r="D629" t="inlineStr">
        <is>
          <t>95119 Bayern - Naila</t>
        </is>
      </c>
      <c r="E629" s="5" t="n">
        <v>45539</v>
      </c>
      <c r="F629" t="inlineStr">
        <is>
          <t>Sold</t>
        </is>
      </c>
      <c r="G629" s="6">
        <f>HYPERLINK("https://www.kleinanzeigen.de/s-anzeige/windsurf-outhaul-trimmsystem-allen-fuer-den-gabelbaum/2854466202-230-7227", "Link")</f>
        <v/>
      </c>
      <c r="H629" s="6">
        <f>HYPERLINK("C:\Projects\Kleinanzeigen-Scraper\offer_images\2854466202", "Link")</f>
        <v/>
      </c>
      <c r="I629" t="inlineStr">
        <is>
          <t>Surf Stuff</t>
        </is>
      </c>
      <c r="J629" s="6">
        <f>HYPERLINK("https://www.kleinanzeigen.de/s-bestandsliste.html?userId=133993288", "Link")</f>
        <v/>
      </c>
      <c r="K629" s="7" t="n">
        <v>45540.56385416666</v>
      </c>
      <c r="L629" s="3" t="inlineStr">
        <is>
          <t>244.09</t>
        </is>
      </c>
      <c r="M629" t="inlineStr">
        <is>
          <t>München</t>
        </is>
      </c>
    </row>
    <row r="630">
      <c r="A630" t="inlineStr">
        <is>
          <t>Fin: K2 Fang, Freeride 30mm, Powerbox, neuwertig, nur 1 x gefahren</t>
        </is>
      </c>
      <c r="B630" s="4" t="n">
        <v>35</v>
      </c>
      <c r="C630" t="inlineStr"/>
      <c r="D630" t="inlineStr">
        <is>
          <t>27576 Häfen - Bremerhaven</t>
        </is>
      </c>
      <c r="E630" s="5" t="n">
        <v>45539</v>
      </c>
      <c r="F630" t="inlineStr">
        <is>
          <t>Sold</t>
        </is>
      </c>
      <c r="G630" s="6">
        <f>HYPERLINK("https://www.kleinanzeigen.de/s-anzeige/windsurf-finne-k4-fang-freeride-30mm-powerbox/2854309251-230-58", "Link")</f>
        <v/>
      </c>
      <c r="H630" s="6">
        <f>HYPERLINK("C:\Projects\Kleinanzeigen-Scraper\offer_images\2854309251", "Link")</f>
        <v/>
      </c>
      <c r="I630" t="inlineStr">
        <is>
          <t>Frank</t>
        </is>
      </c>
      <c r="J630" s="6">
        <f>HYPERLINK("https://www.kleinanzeigen.de/s-bestandsliste.html?userId=137861347", "Link")</f>
        <v/>
      </c>
      <c r="K630" s="7" t="n">
        <v>45540.56379629629</v>
      </c>
      <c r="L630" s="3" t="inlineStr">
        <is>
          <t>311.75</t>
        </is>
      </c>
      <c r="M630" t="inlineStr">
        <is>
          <t>Köln</t>
        </is>
      </c>
    </row>
    <row r="631">
      <c r="A631" t="inlineStr">
        <is>
          <t>Locking Mechanism: Metal parts made of stainless VA steel for securing surfboards with US-Box system.</t>
        </is>
      </c>
      <c r="B631" s="4" t="n">
        <v>10</v>
      </c>
      <c r="C631" t="inlineStr"/>
      <c r="D631" t="inlineStr">
        <is>
          <t>51379 Nordrhein-Westfalen - Leverkusen</t>
        </is>
      </c>
      <c r="E631" s="5" t="n">
        <v>45539</v>
      </c>
      <c r="F631" t="inlineStr">
        <is>
          <t>Sold</t>
        </is>
      </c>
      <c r="G631" s="6">
        <f>HYPERLINK("https://www.kleinanzeigen.de/s-anzeige/schloss-surfbrett-fuer-us-box-finnkasten-windsurfen-va-stahl/2854512622-230-1991", "Link")</f>
        <v/>
      </c>
      <c r="H631" s="6">
        <f>HYPERLINK("C:\Projects\Kleinanzeigen-Scraper\offer_images\2854512622", "Link")</f>
        <v/>
      </c>
      <c r="I631" t="inlineStr">
        <is>
          <t>Thorsten</t>
        </is>
      </c>
      <c r="J631" s="6">
        <f>HYPERLINK("https://www.kleinanzeigen.de/s-bestandsliste.html?userId=3477057", "Link")</f>
        <v/>
      </c>
      <c r="K631" s="7" t="n">
        <v>45540.56354166667</v>
      </c>
      <c r="L631" s="3" t="inlineStr">
        <is>
          <t>14.88</t>
        </is>
      </c>
      <c r="M631" t="inlineStr">
        <is>
          <t>Köln</t>
        </is>
      </c>
    </row>
    <row r="632">
      <c r="A632" t="inlineStr">
        <is>
          <t>Mastfoot: Various fully functional mast feet for sale.</t>
        </is>
      </c>
      <c r="B632" s="4" t="n">
        <v>20</v>
      </c>
      <c r="C632" t="inlineStr"/>
      <c r="D632" t="inlineStr">
        <is>
          <t>21465 Herzogtum Lauenburg - Wentorf</t>
        </is>
      </c>
      <c r="E632" s="5" t="n">
        <v>45537</v>
      </c>
      <c r="F632" t="inlineStr">
        <is>
          <t>Sold</t>
        </is>
      </c>
      <c r="G632" s="6">
        <f>HYPERLINK("https://www.kleinanzeigen.de/s-anzeige/verschiedene-mastfuesse-windsurfen/2852834958-230-766", "Link")</f>
        <v/>
      </c>
      <c r="H632" s="6">
        <f>HYPERLINK("C:\Projects\Kleinanzeigen-Scraper\offer_images\2852834958", "Link")</f>
        <v/>
      </c>
      <c r="I632" t="inlineStr">
        <is>
          <t>Wolf</t>
        </is>
      </c>
      <c r="J632" s="6">
        <f>HYPERLINK("https://www.kleinanzeigen.de/s-bestandsliste.html?userId=34465560", "Link")</f>
        <v/>
      </c>
      <c r="K632" s="7" t="n">
        <v>45539.58612268518</v>
      </c>
      <c r="L632" s="3" t="inlineStr">
        <is>
          <t>366.85</t>
        </is>
      </c>
      <c r="M632" t="inlineStr">
        <is>
          <t>Köln</t>
        </is>
      </c>
    </row>
    <row r="633">
      <c r="A633" t="inlineStr">
        <is>
          <t>Cardan Joint Baseplate: Prolimit Cardan Joint Baseplate with standard M10 North Pin, ideal for connecting a rig with your ISUP.</t>
        </is>
      </c>
      <c r="B633" s="4" t="n">
        <v>63</v>
      </c>
      <c r="C633" t="inlineStr">
        <is>
          <t>VB</t>
        </is>
      </c>
      <c r="D633" t="inlineStr">
        <is>
          <t>18586 Mecklenburg-Vorpommern - Mönchgut, Ostseebad</t>
        </is>
      </c>
      <c r="E633" s="5" t="n">
        <v>45539</v>
      </c>
      <c r="F633" t="inlineStr">
        <is>
          <t>Sold</t>
        </is>
      </c>
      <c r="G633" s="6">
        <f>HYPERLINK("https://www.kleinanzeigen.de/s-anzeige/prolimit-cardan-joint-baseplate-windsurf-neu-10-/1311800352-230-120", "Link")</f>
        <v/>
      </c>
      <c r="H633" s="6">
        <f>HYPERLINK("C:\Projects\Kleinanzeigen-Scraper\offer_images\1311800352", "Link")</f>
        <v/>
      </c>
      <c r="I633" t="inlineStr">
        <is>
          <t>No user name</t>
        </is>
      </c>
      <c r="J633" s="6">
        <f>HYPERLINK("https://www.kleinanzeigen.deNo user link", "Link")</f>
        <v/>
      </c>
      <c r="K633" s="7" t="n">
        <v>45539.58546296296</v>
      </c>
      <c r="L633" s="3" t="inlineStr">
        <is>
          <t>591.22</t>
        </is>
      </c>
      <c r="M633" t="inlineStr">
        <is>
          <t>Köln</t>
        </is>
      </c>
    </row>
    <row r="634">
      <c r="A634" t="inlineStr">
        <is>
          <t>Harness: Windsurf Hüfttrapez Gr.L by Tabou in good condition, no damages, lightly used.</t>
        </is>
      </c>
      <c r="B634" s="4" t="n">
        <v>50</v>
      </c>
      <c r="C634" t="inlineStr">
        <is>
          <t>VB</t>
        </is>
      </c>
      <c r="D634" t="inlineStr">
        <is>
          <t>72622 Baden-Württemberg - Nürtingen</t>
        </is>
      </c>
      <c r="E634" s="5" t="n">
        <v>45538</v>
      </c>
      <c r="F634" t="inlineStr">
        <is>
          <t>Sold</t>
        </is>
      </c>
      <c r="G634" s="6">
        <f>HYPERLINK("https://www.kleinanzeigen.de/s-anzeige/windsurf-huefttrapez-gr-l-tabou-guter-zustand/2853312004-154-8219", "Link")</f>
        <v/>
      </c>
      <c r="H634" s="6">
        <f>HYPERLINK("C:\Projects\Kleinanzeigen-Scraper\offer_images\2853312004", "Link")</f>
        <v/>
      </c>
      <c r="I634" t="inlineStr">
        <is>
          <t>Berger Jens</t>
        </is>
      </c>
      <c r="J634" s="6">
        <f>HYPERLINK("https://www.kleinanzeigen.de/s-bestandsliste.html?userId=15554123", "Link")</f>
        <v/>
      </c>
      <c r="K634" s="7" t="n">
        <v>45539.58457175926</v>
      </c>
      <c r="L634" s="3" t="inlineStr">
        <is>
          <t>26.22</t>
        </is>
      </c>
      <c r="M634" t="inlineStr">
        <is>
          <t>Böblingen</t>
        </is>
      </c>
    </row>
    <row r="635">
      <c r="A635" t="inlineStr">
        <is>
          <t>Fin: 28cm Powerbox System, Hifly Move with cover</t>
        </is>
      </c>
      <c r="B635" s="4" t="n">
        <v>19</v>
      </c>
      <c r="C635" t="inlineStr"/>
      <c r="D635" t="inlineStr">
        <is>
          <t>09117 Chemnitz - Rabenstein</t>
        </is>
      </c>
      <c r="E635" s="5" t="n">
        <v>45538</v>
      </c>
      <c r="F635" t="inlineStr">
        <is>
          <t>Sold</t>
        </is>
      </c>
      <c r="G635" s="6">
        <f>HYPERLINK("https://www.kleinanzeigen.de/s-anzeige/finne-28cm-pb-powerbox-windsurfen/2853545214-230-26066", "Link")</f>
        <v/>
      </c>
      <c r="H635" s="6">
        <f>HYPERLINK("C:\Projects\Kleinanzeigen-Scraper\offer_images\2853545214", "Link")</f>
        <v/>
      </c>
      <c r="I635" t="inlineStr">
        <is>
          <t>Frank Dittmar</t>
        </is>
      </c>
      <c r="J635" s="6">
        <f>HYPERLINK("https://www.kleinanzeigen.de/s-bestandsliste.html?userId=9853269", "Link")</f>
        <v/>
      </c>
      <c r="K635" s="7" t="n">
        <v>45539.58429398148</v>
      </c>
      <c r="L635" s="3" t="inlineStr">
        <is>
          <t>312.37</t>
        </is>
      </c>
      <c r="M635" t="inlineStr">
        <is>
          <t>München</t>
        </is>
      </c>
    </row>
    <row r="636">
      <c r="A636" t="inlineStr">
        <is>
          <t>Mast extension: 2 x Alu Verlängerungen 45cm mit Formula Line Tampen</t>
        </is>
      </c>
      <c r="B636" s="4" t="n">
        <v>25</v>
      </c>
      <c r="C636" t="inlineStr">
        <is>
          <t>VB</t>
        </is>
      </c>
      <c r="D636" t="inlineStr">
        <is>
          <t>80639 Neuhausen-Nymphenburg - Neuhausen</t>
        </is>
      </c>
      <c r="E636" s="5" t="n">
        <v>45538</v>
      </c>
      <c r="F636" t="inlineStr">
        <is>
          <t>Sold</t>
        </is>
      </c>
      <c r="G636" s="6">
        <f>HYPERLINK("https://www.kleinanzeigen.de/s-anzeige/1-x-alu-verlaengerungen-45cm-mit-formula-line-tampen-windsurf/2853720143-230-6420", "Link")</f>
        <v/>
      </c>
      <c r="H636" s="6">
        <f>HYPERLINK("C:\Projects\Kleinanzeigen-Scraper\offer_images\2853720143", "Link")</f>
        <v/>
      </c>
      <c r="I636" t="inlineStr">
        <is>
          <t>Torsten Schade</t>
        </is>
      </c>
      <c r="J636" s="6">
        <f>HYPERLINK("https://www.kleinanzeigen.de/s-bestandsliste.html?userId=9084595", "Link")</f>
        <v/>
      </c>
      <c r="K636" s="7" t="n">
        <v>45539.58425925926</v>
      </c>
      <c r="L636" s="3" t="inlineStr">
        <is>
          <t>4.83</t>
        </is>
      </c>
      <c r="M636" t="inlineStr">
        <is>
          <t>München</t>
        </is>
      </c>
    </row>
    <row r="637">
      <c r="A637" t="inlineStr">
        <is>
          <t>Harness: Sitztrapez for windsurfing</t>
        </is>
      </c>
      <c r="B637" s="4" t="n">
        <v>28</v>
      </c>
      <c r="C637" t="inlineStr">
        <is>
          <t>VB</t>
        </is>
      </c>
      <c r="D637" t="inlineStr">
        <is>
          <t>24782 Schleswig-Holstein - Büdelsdorf</t>
        </is>
      </c>
      <c r="E637" s="5" t="n">
        <v>45530</v>
      </c>
      <c r="F637" t="inlineStr">
        <is>
          <t>Sold</t>
        </is>
      </c>
      <c r="G637" s="6">
        <f>HYPERLINK("https://www.kleinanzeigen.de/s-anzeige/sitztrapez-windsurfen/2847045693-230-18947", "Link")</f>
        <v/>
      </c>
      <c r="H637" s="6">
        <f>HYPERLINK("C:\Projects\Kleinanzeigen-Scraper\offer_images\2847045693", "Link")</f>
        <v/>
      </c>
      <c r="I637" t="inlineStr">
        <is>
          <t>Ri</t>
        </is>
      </c>
      <c r="J637" s="6">
        <f>HYPERLINK("https://www.kleinanzeigen.de/s-bestandsliste.html?userId=22381178", "Link")</f>
        <v/>
      </c>
      <c r="K637" s="7" t="n">
        <v>45538.56724537037</v>
      </c>
      <c r="L637" s="3" t="inlineStr">
        <is>
          <t>419.12</t>
        </is>
      </c>
      <c r="M637" t="inlineStr">
        <is>
          <t>Köln</t>
        </is>
      </c>
    </row>
    <row r="638">
      <c r="A638" t="inlineStr">
        <is>
          <t>Fin: Powerbox Windsurf Finne freestyle freeride wave in 30er Ausführung</t>
        </is>
      </c>
      <c r="B638" s="4" t="n">
        <v>43</v>
      </c>
      <c r="C638" t="inlineStr">
        <is>
          <t>VB</t>
        </is>
      </c>
      <c r="D638" t="inlineStr">
        <is>
          <t>52399 Nordrhein-Westfalen - Merzenich</t>
        </is>
      </c>
      <c r="E638" s="5" t="n">
        <v>45538</v>
      </c>
      <c r="F638" t="inlineStr">
        <is>
          <t>Sold</t>
        </is>
      </c>
      <c r="G638" s="6">
        <f>HYPERLINK("https://www.kleinanzeigen.de/s-anzeige/powerbox-windsurf-finne-freestyle/2853219068-230-1766", "Link")</f>
        <v/>
      </c>
      <c r="H638" s="6">
        <f>HYPERLINK("C:\Projects\Kleinanzeigen-Scraper\offer_images\2853219068", "Link")</f>
        <v/>
      </c>
      <c r="I638" t="inlineStr">
        <is>
          <t>Mike</t>
        </is>
      </c>
      <c r="J638" s="6">
        <f>HYPERLINK("https://www.kleinanzeigen.de/s-bestandsliste.html?userId=13676787", "Link")</f>
        <v/>
      </c>
      <c r="K638" s="7" t="n">
        <v>45538.56704861111</v>
      </c>
      <c r="L638" s="3" t="inlineStr">
        <is>
          <t>32.32</t>
        </is>
      </c>
      <c r="M638" t="inlineStr">
        <is>
          <t>Köln</t>
        </is>
      </c>
    </row>
    <row r="639">
      <c r="A639" t="inlineStr">
        <is>
          <t>Impact Vest: Ion Booster X Auftriebsweste for children, size XXS (30-50 KG), suitable for windsurfing and kitesurfing, with trapeze harness cutout.</t>
        </is>
      </c>
      <c r="B639" s="4" t="n">
        <v>45</v>
      </c>
      <c r="C639" t="inlineStr">
        <is>
          <t>VB</t>
        </is>
      </c>
      <c r="D639" t="inlineStr">
        <is>
          <t>33334 Nordrhein-Westfalen - Gütersloh</t>
        </is>
      </c>
      <c r="E639" s="5" t="n">
        <v>45538</v>
      </c>
      <c r="F639" t="inlineStr">
        <is>
          <t>Sold</t>
        </is>
      </c>
      <c r="G639" s="6">
        <f>HYPERLINK("https://www.kleinanzeigen.de/s-anzeige/ion-booster-x-auftriebsweste-weste-windsurfen-kiten-kinder-xxs/2853096680-230-1743", "Link")</f>
        <v/>
      </c>
      <c r="H639" s="6">
        <f>HYPERLINK("C:\Projects\Kleinanzeigen-Scraper\offer_images\2853096680", "Link")</f>
        <v/>
      </c>
      <c r="I639" t="inlineStr">
        <is>
          <t>M. H.</t>
        </is>
      </c>
      <c r="J639" s="6">
        <f>HYPERLINK("https://www.kleinanzeigen.de/s-bestandsliste.html?userId=3033396", "Link")</f>
        <v/>
      </c>
      <c r="K639" s="7" t="n">
        <v>45538.56688657407</v>
      </c>
      <c r="L639" s="3" t="inlineStr">
        <is>
          <t>150.25</t>
        </is>
      </c>
      <c r="M639" t="inlineStr">
        <is>
          <t>Köln</t>
        </is>
      </c>
    </row>
    <row r="640">
      <c r="A640" t="inlineStr">
        <is>
          <t>Fin: Select Windsurf Finne S MAX Slalom Carbon 35 cm Tuttlebox in good condition</t>
        </is>
      </c>
      <c r="B640" s="4" t="n">
        <v>135</v>
      </c>
      <c r="C640" t="inlineStr"/>
      <c r="D640" t="inlineStr">
        <is>
          <t>82211 Bayern - Herrsching</t>
        </is>
      </c>
      <c r="E640" s="5" t="n">
        <v>45537</v>
      </c>
      <c r="F640" t="inlineStr">
        <is>
          <t>Sold</t>
        </is>
      </c>
      <c r="G640" s="6">
        <f>HYPERLINK("https://www.kleinanzeigen.de/s-anzeige/select-windsurf-finne-s-max-slalom-carbon-35-cm-tuttlebox/2852967537-230-5520", "Link")</f>
        <v/>
      </c>
      <c r="H640" s="6">
        <f>HYPERLINK("C:\Projects\Kleinanzeigen-Scraper\offer_images\2852967537", "Link")</f>
        <v/>
      </c>
      <c r="I640" t="inlineStr">
        <is>
          <t>Oliver</t>
        </is>
      </c>
      <c r="J640" s="6">
        <f>HYPERLINK("https://www.kleinanzeigen.de/s-bestandsliste.html?userId=17846362", "Link")</f>
        <v/>
      </c>
      <c r="K640" s="7" t="n">
        <v>45538.56688657407</v>
      </c>
      <c r="L640" s="3" t="inlineStr">
        <is>
          <t>32.73</t>
        </is>
      </c>
      <c r="M640" t="inlineStr">
        <is>
          <t>München</t>
        </is>
      </c>
    </row>
    <row r="641">
      <c r="A641" t="inlineStr">
        <is>
          <t>Fin: 27 cm, Powerbox, good condition with usual signs of use</t>
        </is>
      </c>
      <c r="B641" s="4" t="n">
        <v>35</v>
      </c>
      <c r="C641" t="inlineStr"/>
      <c r="D641" t="inlineStr">
        <is>
          <t>78464 Baden-Württemberg - Konstanz</t>
        </is>
      </c>
      <c r="E641" s="5" t="n">
        <v>45530</v>
      </c>
      <c r="F641" t="inlineStr">
        <is>
          <t>Sold</t>
        </is>
      </c>
      <c r="G641" s="6">
        <f>HYPERLINK("https://www.kleinanzeigen.de/s-anzeige/finne-select-27-cm-windsurfen/2847034678-230-9387", "Link")</f>
        <v/>
      </c>
      <c r="H641" s="6">
        <f>HYPERLINK("C:\Projects\Kleinanzeigen-Scraper\offer_images\2847034678", "Link")</f>
        <v/>
      </c>
      <c r="I641" t="inlineStr">
        <is>
          <t>Patrick Otte</t>
        </is>
      </c>
      <c r="J641" s="6">
        <f>HYPERLINK("https://www.kleinanzeigen.de/s-bestandsliste.html?userId=24052285", "Link")</f>
        <v/>
      </c>
      <c r="K641" s="7" t="n">
        <v>45538.56684027778</v>
      </c>
      <c r="L641" s="3" t="inlineStr">
        <is>
          <t>66.23</t>
        </is>
      </c>
      <c r="M641" t="inlineStr">
        <is>
          <t>Bonndorf</t>
        </is>
      </c>
    </row>
    <row r="642">
      <c r="A642" t="inlineStr">
        <is>
          <t>Impact Vest: Prolimit Auftriebsweste (50N) suitable for Windsurfing and Kitesurfing, size M</t>
        </is>
      </c>
      <c r="B642" s="4" t="n">
        <v>49</v>
      </c>
      <c r="C642" t="inlineStr">
        <is>
          <t>VB</t>
        </is>
      </c>
      <c r="D642" t="inlineStr">
        <is>
          <t>33334 Nordrhein-Westfalen - Gütersloh</t>
        </is>
      </c>
      <c r="E642" s="5" t="n">
        <v>45538</v>
      </c>
      <c r="F642" t="inlineStr">
        <is>
          <t>Sold</t>
        </is>
      </c>
      <c r="G642" s="6">
        <f>HYPERLINK("https://www.kleinanzeigen.de/s-anzeige/prolimit-auftriebsweste-prallschutzweste-windsurfen-kitesurfen-m/2853101274-230-1743", "Link")</f>
        <v/>
      </c>
      <c r="H642" s="6">
        <f>HYPERLINK("C:\Projects\Kleinanzeigen-Scraper\offer_images\2853101274", "Link")</f>
        <v/>
      </c>
      <c r="I642" t="inlineStr">
        <is>
          <t>M. H.</t>
        </is>
      </c>
      <c r="J642" s="6">
        <f>HYPERLINK("https://www.kleinanzeigen.de/s-bestandsliste.html?userId=3033396", "Link")</f>
        <v/>
      </c>
      <c r="K642" s="7" t="n">
        <v>45538.56677083333</v>
      </c>
      <c r="L642" s="3" t="inlineStr">
        <is>
          <t>150.25</t>
        </is>
      </c>
      <c r="M642" t="inlineStr">
        <is>
          <t>Köln</t>
        </is>
      </c>
    </row>
    <row r="643">
      <c r="A643" t="inlineStr">
        <is>
          <t>Fin: Powerbox Windsurf Finne freestyle freeride wave in 32er Ausführung</t>
        </is>
      </c>
      <c r="B643" s="4" t="n">
        <v>45</v>
      </c>
      <c r="C643" t="inlineStr">
        <is>
          <t>VB</t>
        </is>
      </c>
      <c r="D643" t="inlineStr">
        <is>
          <t>52399 Nordrhein-Westfalen - Merzenich</t>
        </is>
      </c>
      <c r="E643" s="5" t="n">
        <v>45538</v>
      </c>
      <c r="F643" t="inlineStr">
        <is>
          <t>Sold</t>
        </is>
      </c>
      <c r="G643" s="6">
        <f>HYPERLINK("https://www.kleinanzeigen.de/s-anzeige/powerbox-windsurf-finne/2853228774-230-1766", "Link")</f>
        <v/>
      </c>
      <c r="H643" s="6">
        <f>HYPERLINK("C:\Projects\Kleinanzeigen-Scraper\offer_images\2853228774", "Link")</f>
        <v/>
      </c>
      <c r="I643" t="inlineStr">
        <is>
          <t>Mike</t>
        </is>
      </c>
      <c r="J643" s="6">
        <f>HYPERLINK("https://www.kleinanzeigen.de/s-bestandsliste.html?userId=13676787", "Link")</f>
        <v/>
      </c>
      <c r="K643" s="7" t="n">
        <v>45538.56670138889</v>
      </c>
      <c r="L643" s="3" t="inlineStr">
        <is>
          <t>32.32</t>
        </is>
      </c>
      <c r="M643" t="inlineStr">
        <is>
          <t>Köln</t>
        </is>
      </c>
    </row>
    <row r="644">
      <c r="A644" t="inlineStr">
        <is>
          <t>Fin: Powerbox Seegras Windsurf Finne freestyle freeride wave in 27er Ausführung</t>
        </is>
      </c>
      <c r="B644" s="4" t="n">
        <v>45</v>
      </c>
      <c r="C644" t="inlineStr">
        <is>
          <t>VB</t>
        </is>
      </c>
      <c r="D644" t="inlineStr">
        <is>
          <t>52399 Nordrhein-Westfalen - Merzenich</t>
        </is>
      </c>
      <c r="E644" s="5" t="n">
        <v>45538</v>
      </c>
      <c r="F644" t="inlineStr">
        <is>
          <t>Sold</t>
        </is>
      </c>
      <c r="G644" s="6">
        <f>HYPERLINK("https://www.kleinanzeigen.de/s-anzeige/powerbox-seegras-windsurf-finne/2853224421-230-1766", "Link")</f>
        <v/>
      </c>
      <c r="H644" s="6">
        <f>HYPERLINK("C:\Projects\Kleinanzeigen-Scraper\offer_images\2853224421", "Link")</f>
        <v/>
      </c>
      <c r="I644" t="inlineStr">
        <is>
          <t>Mike</t>
        </is>
      </c>
      <c r="J644" s="6">
        <f>HYPERLINK("https://www.kleinanzeigen.de/s-bestandsliste.html?userId=13676787", "Link")</f>
        <v/>
      </c>
      <c r="K644" s="7" t="n">
        <v>45538.56670138889</v>
      </c>
      <c r="L644" s="3" t="inlineStr">
        <is>
          <t>32.32</t>
        </is>
      </c>
      <c r="M644" t="inlineStr">
        <is>
          <t>Köln</t>
        </is>
      </c>
    </row>
    <row r="645">
      <c r="A645" t="inlineStr">
        <is>
          <t>Fin: Maui Ultra Fins 32cm SLALOM Tuttlebox with protective cover</t>
        </is>
      </c>
      <c r="B645" s="4" t="n">
        <v>125</v>
      </c>
      <c r="C645" t="inlineStr"/>
      <c r="D645" t="inlineStr">
        <is>
          <t>82211 Bayern - Herrsching</t>
        </is>
      </c>
      <c r="E645" s="5" t="n">
        <v>45537</v>
      </c>
      <c r="F645" t="inlineStr">
        <is>
          <t>Sold</t>
        </is>
      </c>
      <c r="G645" s="6">
        <f>HYPERLINK("https://www.kleinanzeigen.de/s-anzeige/maui-ultra-fins-windsurf-finne-32cm-slalom-tuttlebox/2852968497-230-5520", "Link")</f>
        <v/>
      </c>
      <c r="H645" s="6">
        <f>HYPERLINK("C:\Projects\Kleinanzeigen-Scraper\offer_images\2852968497", "Link")</f>
        <v/>
      </c>
      <c r="I645" t="inlineStr">
        <is>
          <t>Oliver</t>
        </is>
      </c>
      <c r="J645" s="6">
        <f>HYPERLINK("https://www.kleinanzeigen.de/s-bestandsliste.html?userId=17846362", "Link")</f>
        <v/>
      </c>
      <c r="K645" s="7" t="n">
        <v>45538.56655092593</v>
      </c>
      <c r="L645" s="3" t="inlineStr">
        <is>
          <t>32.73</t>
        </is>
      </c>
      <c r="M645" t="inlineStr">
        <is>
          <t>München</t>
        </is>
      </c>
    </row>
    <row r="646">
      <c r="A646" t="inlineStr">
        <is>
          <t>Impact Vest: ION Vector Select, size M, suitable for Kitesurfing, Wingfoiling, and Windsurfing</t>
        </is>
      </c>
      <c r="B646" s="4" t="n">
        <v>90</v>
      </c>
      <c r="C646" t="inlineStr"/>
      <c r="D646" t="inlineStr">
        <is>
          <t>80803 München - Schwabing-West</t>
        </is>
      </c>
      <c r="E646" s="5" t="n">
        <v>45537</v>
      </c>
      <c r="F646" t="inlineStr">
        <is>
          <t>Sold</t>
        </is>
      </c>
      <c r="G646" s="6">
        <f>HYPERLINK("https://www.kleinanzeigen.de/s-anzeige/ion-prallschutzweste-m-kite-windsurf-wingfoil/2852888397-230-6470", "Link")</f>
        <v/>
      </c>
      <c r="H646" s="6">
        <f>HYPERLINK("C:\Projects\Kleinanzeigen-Scraper\offer_images\2852888397", "Link")</f>
        <v/>
      </c>
      <c r="I646" t="inlineStr">
        <is>
          <t>David</t>
        </is>
      </c>
      <c r="J646" s="6">
        <f>HYPERLINK("https://www.kleinanzeigen.de/s-bestandsliste.html?userId=19378640", "Link")</f>
        <v/>
      </c>
      <c r="K646" s="7" t="n">
        <v>45538.56645833333</v>
      </c>
      <c r="L646" s="3" t="inlineStr">
        <is>
          <t>3.05</t>
        </is>
      </c>
      <c r="M646" t="inlineStr">
        <is>
          <t>München</t>
        </is>
      </c>
    </row>
    <row r="647">
      <c r="A647" t="inlineStr">
        <is>
          <t>Fin: SELECT Elite S1, 45cm length, minor wear at the tip</t>
        </is>
      </c>
      <c r="B647" s="4" t="n">
        <v>110</v>
      </c>
      <c r="C647" t="inlineStr"/>
      <c r="D647" t="inlineStr">
        <is>
          <t>47608 Nordrhein-Westfalen - Geldern</t>
        </is>
      </c>
      <c r="E647" s="5" t="n">
        <v>45538</v>
      </c>
      <c r="F647" t="inlineStr">
        <is>
          <t>Sold</t>
        </is>
      </c>
      <c r="G647" s="6">
        <f>HYPERLINK("https://www.kleinanzeigen.de/s-anzeige/select-elite-s1-45cm-slalom-freerace-race-windsurf-finne/2853085675-230-1151", "Link")</f>
        <v/>
      </c>
      <c r="H647" s="6">
        <f>HYPERLINK("C:\Projects\Kleinanzeigen-Scraper\offer_images\2853085675", "Link")</f>
        <v/>
      </c>
      <c r="I647" t="inlineStr">
        <is>
          <t>Mike</t>
        </is>
      </c>
      <c r="J647" s="6">
        <f>HYPERLINK("https://www.kleinanzeigen.de/s-bestandsliste.html?userId=23887043", "Link")</f>
        <v/>
      </c>
      <c r="K647" s="7" t="n">
        <v>45538.56643518519</v>
      </c>
      <c r="L647" s="3" t="inlineStr">
        <is>
          <t>79.36</t>
        </is>
      </c>
      <c r="M647" t="inlineStr">
        <is>
          <t>Köln</t>
        </is>
      </c>
    </row>
    <row r="648">
      <c r="A648" t="inlineStr">
        <is>
          <t>Harness: Naish Trapez suitable for sizes 140-158, good used condition</t>
        </is>
      </c>
      <c r="B648" s="4" t="n">
        <v>45</v>
      </c>
      <c r="C648" t="inlineStr"/>
      <c r="D648" t="inlineStr">
        <is>
          <t>33334 Nordrhein-Westfalen - Gütersloh</t>
        </is>
      </c>
      <c r="E648" s="5" t="n">
        <v>45538</v>
      </c>
      <c r="F648" t="inlineStr">
        <is>
          <t>Sold</t>
        </is>
      </c>
      <c r="G648" s="6">
        <f>HYPERLINK("https://www.kleinanzeigen.de/s-anzeige/naish-trapez-kindertrapez-140-146-152-158-windsurfen-kitesurfen/2853193882-230-1743", "Link")</f>
        <v/>
      </c>
      <c r="H648" s="6">
        <f>HYPERLINK("C:\Projects\Kleinanzeigen-Scraper\offer_images\2853193882", "Link")</f>
        <v/>
      </c>
      <c r="I648" t="inlineStr">
        <is>
          <t>M. H.</t>
        </is>
      </c>
      <c r="J648" s="6">
        <f>HYPERLINK("https://www.kleinanzeigen.de/s-bestandsliste.html?userId=3033396", "Link")</f>
        <v/>
      </c>
      <c r="K648" s="7" t="n">
        <v>45538.56641203703</v>
      </c>
      <c r="L648" s="3" t="inlineStr">
        <is>
          <t>150.25</t>
        </is>
      </c>
      <c r="M648" t="inlineStr">
        <is>
          <t>Köln</t>
        </is>
      </c>
    </row>
    <row r="649">
      <c r="A649" t="inlineStr">
        <is>
          <t>Mast Protektor: SDM Mast Protektor von Ion, selten genutzt</t>
        </is>
      </c>
      <c r="B649" s="4" t="n">
        <v>30</v>
      </c>
      <c r="C649" t="inlineStr">
        <is>
          <t>VB</t>
        </is>
      </c>
      <c r="D649" t="inlineStr">
        <is>
          <t>82256 Bayern - Fürstenfeldbruck</t>
        </is>
      </c>
      <c r="E649" s="5" t="n">
        <v>45537</v>
      </c>
      <c r="F649" t="inlineStr">
        <is>
          <t>Sold</t>
        </is>
      </c>
      <c r="G649" s="6">
        <f>HYPERLINK("https://www.kleinanzeigen.de/s-anzeige/ion-mast-protektor-sdm-windsurf-neuwertig/2852484691-230-6311", "Link")</f>
        <v/>
      </c>
      <c r="H649" s="6">
        <f>HYPERLINK("C:\Projects\Kleinanzeigen-Scraper\offer_images\2852484691", "Link")</f>
        <v/>
      </c>
      <c r="I649" t="inlineStr">
        <is>
          <t>Florian</t>
        </is>
      </c>
      <c r="J649" s="6">
        <f>HYPERLINK("https://www.kleinanzeigen.de/s-bestandsliste.html?userId=58735837", "Link")</f>
        <v/>
      </c>
      <c r="K649" s="7" t="n">
        <v>45537.57851851852</v>
      </c>
      <c r="L649" s="3" t="inlineStr">
        <is>
          <t>25.37</t>
        </is>
      </c>
      <c r="M649" t="inlineStr">
        <is>
          <t>München</t>
        </is>
      </c>
    </row>
    <row r="650">
      <c r="A650" t="inlineStr">
        <is>
          <t>Fins: Powerbox Windsurf fins</t>
        </is>
      </c>
      <c r="B650" s="4" t="n">
        <v>111</v>
      </c>
      <c r="C650" t="inlineStr">
        <is>
          <t>VB</t>
        </is>
      </c>
      <c r="D650" t="inlineStr">
        <is>
          <t>51467 Nordrhein-Westfalen - Bergisch Gladbach</t>
        </is>
      </c>
      <c r="E650" s="5" t="n">
        <v>45537</v>
      </c>
      <c r="F650" t="inlineStr">
        <is>
          <t>Sold</t>
        </is>
      </c>
      <c r="G650" s="6">
        <f>HYPERLINK("https://www.kleinanzeigen.de/s-anzeige/windsurf-finnen/2852351743-230-1589", "Link")</f>
        <v/>
      </c>
      <c r="H650" s="6">
        <f>HYPERLINK("C:\Projects\Kleinanzeigen-Scraper\offer_images\2852351743", "Link")</f>
        <v/>
      </c>
      <c r="I650" t="inlineStr">
        <is>
          <t>Stefan</t>
        </is>
      </c>
      <c r="J650" s="6">
        <f>HYPERLINK("https://www.kleinanzeigen.de/s-bestandsliste.html?userId=14372329", "Link")</f>
        <v/>
      </c>
      <c r="K650" s="7" t="n">
        <v>45537.57833333333</v>
      </c>
      <c r="L650" s="3" t="inlineStr">
        <is>
          <t>12.13</t>
        </is>
      </c>
      <c r="M650" t="inlineStr">
        <is>
          <t>Köln</t>
        </is>
      </c>
    </row>
    <row r="651">
      <c r="A651" t="inlineStr">
        <is>
          <t>Harness: Pat Love Hüftrapez, size estimated 50-52, used once, condition good (hook like new)</t>
        </is>
      </c>
      <c r="B651" s="4" t="n">
        <v>40</v>
      </c>
      <c r="C651" t="inlineStr">
        <is>
          <t>VB</t>
        </is>
      </c>
      <c r="D651" t="inlineStr">
        <is>
          <t>51467 Nordrhein-Westfalen - Bergisch Gladbach</t>
        </is>
      </c>
      <c r="E651" s="5" t="n">
        <v>45537</v>
      </c>
      <c r="F651" t="inlineStr">
        <is>
          <t>Sold</t>
        </is>
      </c>
      <c r="G651" s="6">
        <f>HYPERLINK("https://www.kleinanzeigen.de/s-anzeige/hueftrapez-windsurfen/2852346699-230-1589", "Link")</f>
        <v/>
      </c>
      <c r="H651" s="6">
        <f>HYPERLINK("C:\Projects\Kleinanzeigen-Scraper\offer_images\2852346699", "Link")</f>
        <v/>
      </c>
      <c r="I651" t="inlineStr">
        <is>
          <t>Stefan</t>
        </is>
      </c>
      <c r="J651" s="6">
        <f>HYPERLINK("https://www.kleinanzeigen.de/s-bestandsliste.html?userId=14372329", "Link")</f>
        <v/>
      </c>
      <c r="K651" s="7" t="n">
        <v>45537.57774305555</v>
      </c>
      <c r="L651" s="3" t="inlineStr">
        <is>
          <t>12.13</t>
        </is>
      </c>
      <c r="M651" t="inlineStr">
        <is>
          <t>Köln</t>
        </is>
      </c>
    </row>
    <row r="652">
      <c r="A652" t="inlineStr">
        <is>
          <t>Impact Vest: Nagelneue Prallschutzweste in Größe XS ideal zum Kiten/Windsurfen</t>
        </is>
      </c>
      <c r="B652" s="4" t="n">
        <v>70</v>
      </c>
      <c r="C652" t="inlineStr">
        <is>
          <t>VB</t>
        </is>
      </c>
      <c r="D652" t="inlineStr">
        <is>
          <t>81541 München - Au-Haidhausen</t>
        </is>
      </c>
      <c r="E652" s="5" t="n">
        <v>45530</v>
      </c>
      <c r="F652" t="inlineStr">
        <is>
          <t>Sold</t>
        </is>
      </c>
      <c r="G652" s="6">
        <f>HYPERLINK("https://www.kleinanzeigen.de/s-anzeige/nagelneu-prallschutzweste-zum-kiten-windsurfen/2846963629-230-6426", "Link")</f>
        <v/>
      </c>
      <c r="H652" s="6">
        <f>HYPERLINK("C:\Projects\Kleinanzeigen-Scraper\offer_images\2846963629", "Link")</f>
        <v/>
      </c>
      <c r="I652" t="inlineStr">
        <is>
          <t>Andra Rozor</t>
        </is>
      </c>
      <c r="J652" s="6">
        <f>HYPERLINK("https://www.kleinanzeigen.de/s-bestandsliste.html?userId=60689377", "Link")</f>
        <v/>
      </c>
      <c r="K652" s="7" t="n">
        <v>45536.97879629629</v>
      </c>
      <c r="L652" s="3" t="inlineStr">
        <is>
          <t>1.89</t>
        </is>
      </c>
      <c r="M652" t="inlineStr">
        <is>
          <t>München</t>
        </is>
      </c>
    </row>
    <row r="653">
      <c r="A653" t="inlineStr">
        <is>
          <t>Harness: Energy Harness size M, used twice, in top condition</t>
        </is>
      </c>
      <c r="B653" s="4" t="n">
        <v>130</v>
      </c>
      <c r="C653" t="inlineStr">
        <is>
          <t>VB</t>
        </is>
      </c>
      <c r="D653" t="inlineStr">
        <is>
          <t>85053 Bayern - Ingolstadt</t>
        </is>
      </c>
      <c r="E653" s="5" t="n">
        <v>45530</v>
      </c>
      <c r="F653" t="inlineStr">
        <is>
          <t>Sold</t>
        </is>
      </c>
      <c r="G653" s="6">
        <f>HYPERLINK("https://www.kleinanzeigen.de/s-anzeige/trapez-energy-harness-gr-m-windsurfen/2847183638-230-7614", "Link")</f>
        <v/>
      </c>
      <c r="H653" s="6">
        <f>HYPERLINK("C:\Projects\Kleinanzeigen-Scraper\offer_images\2847183638", "Link")</f>
        <v/>
      </c>
      <c r="I653" t="inlineStr">
        <is>
          <t>Stefanie Ruble</t>
        </is>
      </c>
      <c r="J653" s="6">
        <f>HYPERLINK("https://www.kleinanzeigen.de/s-bestandsliste.html?userId=35530954", "Link")</f>
        <v/>
      </c>
      <c r="K653" s="7" t="n">
        <v>45536.97873842593</v>
      </c>
      <c r="L653" s="3" t="inlineStr">
        <is>
          <t>68.84</t>
        </is>
      </c>
      <c r="M653" t="inlineStr">
        <is>
          <t>München</t>
        </is>
      </c>
    </row>
    <row r="654">
      <c r="A654" t="inlineStr">
        <is>
          <t>Harness: Windsurf-Trapez von Interwind, rot/gelb</t>
        </is>
      </c>
      <c r="B654" s="4" t="n">
        <v>15</v>
      </c>
      <c r="C654" t="inlineStr"/>
      <c r="D654" t="inlineStr">
        <is>
          <t>45770 Nordrhein-Westfalen - Marl</t>
        </is>
      </c>
      <c r="E654" s="5" t="n">
        <v>45532</v>
      </c>
      <c r="F654" t="inlineStr">
        <is>
          <t>Sold</t>
        </is>
      </c>
      <c r="G654" s="6">
        <f>HYPERLINK("https://www.kleinanzeigen.de/s-anzeige/windsurf-trapez-interwind/2848493683-230-1773", "Link")</f>
        <v/>
      </c>
      <c r="H654" s="6">
        <f>HYPERLINK("C:\Projects\Kleinanzeigen-Scraper\offer_images\2848493683", "Link")</f>
        <v/>
      </c>
      <c r="I654" t="inlineStr">
        <is>
          <t>Michael</t>
        </is>
      </c>
      <c r="J654" s="6">
        <f>HYPERLINK("https://www.kleinanzeigen.de/s-bestandsliste.html?userId=4447421", "Link")</f>
        <v/>
      </c>
      <c r="K654" s="7" t="n">
        <v>45536.97833333333</v>
      </c>
      <c r="L654" s="3" t="inlineStr">
        <is>
          <t>84.53</t>
        </is>
      </c>
      <c r="M654" t="inlineStr">
        <is>
          <t>Köln</t>
        </is>
      </c>
    </row>
    <row r="655">
      <c r="A655" t="inlineStr">
        <is>
          <t>Mastfoot: Chinook Two Bolt</t>
        </is>
      </c>
      <c r="B655" s="4" t="n">
        <v>15</v>
      </c>
      <c r="C655" t="inlineStr">
        <is>
          <t>VB</t>
        </is>
      </c>
      <c r="D655" t="inlineStr">
        <is>
          <t>18069 Rostock - Reutershagen</t>
        </is>
      </c>
      <c r="E655" s="5" t="n">
        <v>45530</v>
      </c>
      <c r="F655" t="inlineStr">
        <is>
          <t>Sold</t>
        </is>
      </c>
      <c r="G655" s="6">
        <f>HYPERLINK("https://www.kleinanzeigen.de/s-anzeige/windsurfen-mastfuss-chinook-two-bolt/2846536905-230-159", "Link")</f>
        <v/>
      </c>
      <c r="H655" s="6">
        <f>HYPERLINK("C:\Projects\Kleinanzeigen-Scraper\offer_images\2846536905", "Link")</f>
        <v/>
      </c>
      <c r="I655" t="inlineStr">
        <is>
          <t>Thomas Harms</t>
        </is>
      </c>
      <c r="J655" s="6">
        <f>HYPERLINK("https://www.kleinanzeigen.de/s-bestandsliste.html?userId=9450238", "Link")</f>
        <v/>
      </c>
      <c r="K655" s="7" t="n">
        <v>45536.97819444445</v>
      </c>
      <c r="L655" s="3" t="inlineStr">
        <is>
          <t>493.58</t>
        </is>
      </c>
      <c r="M655" t="inlineStr">
        <is>
          <t>Köln</t>
        </is>
      </c>
    </row>
    <row r="656">
      <c r="A656" t="inlineStr">
        <is>
          <t>Fin: Wave fin, 26 cm, US-Box</t>
        </is>
      </c>
      <c r="B656" s="4" t="n">
        <v>20</v>
      </c>
      <c r="C656" t="inlineStr"/>
      <c r="D656" t="inlineStr">
        <is>
          <t>10557 Mitte - Tiergarten</t>
        </is>
      </c>
      <c r="E656" s="5" t="n">
        <v>45536</v>
      </c>
      <c r="F656" t="inlineStr">
        <is>
          <t>Sold</t>
        </is>
      </c>
      <c r="G656" s="6">
        <f>HYPERLINK("https://www.kleinanzeigen.de/s-anzeige/finne-us-box-26-cm-windsurfen/2852169514-230-3502", "Link")</f>
        <v/>
      </c>
      <c r="H656" s="6">
        <f>HYPERLINK("C:\Projects\Kleinanzeigen-Scraper\offer_images\2852169514", "Link")</f>
        <v/>
      </c>
      <c r="I656" t="inlineStr">
        <is>
          <t>Fabian Becher</t>
        </is>
      </c>
      <c r="J656" s="6">
        <f>HYPERLINK("https://www.kleinanzeigen.de/s-bestandsliste.html?userId=14821328", "Link")</f>
        <v/>
      </c>
      <c r="K656" s="7" t="n">
        <v>45536.97818287037</v>
      </c>
      <c r="L656" s="3" t="inlineStr">
        <is>
          <t>475.20</t>
        </is>
      </c>
      <c r="M656" t="inlineStr">
        <is>
          <t>Köln</t>
        </is>
      </c>
    </row>
    <row r="657">
      <c r="A657" t="inlineStr">
        <is>
          <t>Various Windsurf Accessories: Includes mast foot, harness lines, ropes, and other miscellaneous items.</t>
        </is>
      </c>
      <c r="B657" s="4" t="inlineStr"/>
      <c r="C657" t="inlineStr">
        <is>
          <t>VB</t>
        </is>
      </c>
      <c r="D657" t="inlineStr">
        <is>
          <t>63500 Hessen - Seligenstadt</t>
        </is>
      </c>
      <c r="E657" s="5" t="n">
        <v>45528</v>
      </c>
      <c r="F657" t="inlineStr">
        <is>
          <t>Sold</t>
        </is>
      </c>
      <c r="G657" s="6">
        <f>HYPERLINK("https://www.kleinanzeigen.de/s-anzeige/diverses-windsurf-zubehoer/2845398553-230-4823", "Link")</f>
        <v/>
      </c>
      <c r="H657" s="6">
        <f>HYPERLINK("C:\Projects\Kleinanzeigen-Scraper\offer_images\2845398553", "Link")</f>
        <v/>
      </c>
      <c r="I657" t="inlineStr">
        <is>
          <t>F. Heller</t>
        </is>
      </c>
      <c r="J657" s="6">
        <f>HYPERLINK("https://www.kleinanzeigen.de/s-bestandsliste.html?userId=10658753", "Link")</f>
        <v/>
      </c>
      <c r="K657" s="7" t="n">
        <v>45536.97813657407</v>
      </c>
      <c r="L657" s="3" t="inlineStr">
        <is>
          <t>121.05</t>
        </is>
      </c>
      <c r="M657" t="inlineStr">
        <is>
          <t>Karlsruhe</t>
        </is>
      </c>
    </row>
    <row r="658">
      <c r="A658" t="inlineStr">
        <is>
          <t>Outhaul System: Point 7 Trimmsystem, used twice, in good working condition.</t>
        </is>
      </c>
      <c r="B658" s="4" t="n">
        <v>30</v>
      </c>
      <c r="C658" t="inlineStr">
        <is>
          <t>VB</t>
        </is>
      </c>
      <c r="D658" t="inlineStr">
        <is>
          <t>22397 Wandsbek - Hamburg Duvenstedt</t>
        </is>
      </c>
      <c r="E658" s="5" t="n">
        <v>45532</v>
      </c>
      <c r="F658" t="inlineStr"/>
      <c r="G658" s="6">
        <f>HYPERLINK("https://www.kleinanzeigen.de/s-anzeige/point-7-outhaul-system-trimmsystem-windsurfen/2848465648-230-9473", "Link")</f>
        <v/>
      </c>
      <c r="H658" s="6">
        <f>HYPERLINK("C:\Projects\Kleinanzeigen-Scraper\offer_images\2848465648", "Link")</f>
        <v/>
      </c>
      <c r="I658" t="inlineStr">
        <is>
          <t>Oliver</t>
        </is>
      </c>
      <c r="J658" s="6">
        <f>HYPERLINK("https://www.kleinanzeigen.de/s-bestandsliste.html?userId=14519056", "Link")</f>
        <v/>
      </c>
      <c r="K658" s="7" t="n">
        <v>45536.97805555556</v>
      </c>
      <c r="L658" s="3" t="inlineStr">
        <is>
          <t>373.25</t>
        </is>
      </c>
      <c r="M658" t="inlineStr">
        <is>
          <t>Köln</t>
        </is>
      </c>
    </row>
    <row r="659">
      <c r="A659" t="inlineStr">
        <is>
          <t>Fin: Unused slalom fin from Tekknosport, 36 cm, includes fin bag.</t>
        </is>
      </c>
      <c r="B659" s="4" t="n">
        <v>69</v>
      </c>
      <c r="C659" t="inlineStr">
        <is>
          <t>VB</t>
        </is>
      </c>
      <c r="D659" t="inlineStr">
        <is>
          <t>23775 Kreis Ostholstein - Großenbrode</t>
        </is>
      </c>
      <c r="E659" s="5" t="n">
        <v>45532</v>
      </c>
      <c r="F659" t="inlineStr">
        <is>
          <t>Sold</t>
        </is>
      </c>
      <c r="G659" s="6">
        <f>HYPERLINK("https://www.kleinanzeigen.de/s-anzeige/windsurf-finne-powerbox-tekknosport-36-cm-andere-groessen/2848208196-230-429", "Link")</f>
        <v/>
      </c>
      <c r="H659" s="6">
        <f>HYPERLINK("C:\Projects\Kleinanzeigen-Scraper\offer_images\2848208196", "Link")</f>
        <v/>
      </c>
      <c r="I659" t="inlineStr">
        <is>
          <t>Dieter</t>
        </is>
      </c>
      <c r="J659" s="6">
        <f>HYPERLINK("https://www.kleinanzeigen.de/s-bestandsliste.html?userId=35923102", "Link")</f>
        <v/>
      </c>
      <c r="K659" s="7" t="n">
        <v>45536.96865740741</v>
      </c>
      <c r="L659" s="3" t="inlineStr">
        <is>
          <t>471.97</t>
        </is>
      </c>
      <c r="M659" t="inlineStr">
        <is>
          <t>Köln</t>
        </is>
      </c>
    </row>
    <row r="660">
      <c r="A660" t="inlineStr">
        <is>
          <t>Fin: André Plump Design Pro Racing 380 with matching cover</t>
        </is>
      </c>
      <c r="B660" s="4" t="inlineStr"/>
      <c r="C660" t="inlineStr">
        <is>
          <t>VB</t>
        </is>
      </c>
      <c r="D660" t="inlineStr">
        <is>
          <t>63500 Hessen - Seligenstadt</t>
        </is>
      </c>
      <c r="E660" s="5" t="n">
        <v>45528</v>
      </c>
      <c r="F660" t="inlineStr">
        <is>
          <t>Sold</t>
        </is>
      </c>
      <c r="G660" s="6">
        <f>HYPERLINK("https://www.kleinanzeigen.de/s-anzeige/windsurf-finne-andr-plump-design-pro-racing-380/2845397056-230-4823", "Link")</f>
        <v/>
      </c>
      <c r="H660" s="6">
        <f>HYPERLINK("C:\Projects\Kleinanzeigen-Scraper\offer_images\2845397056", "Link")</f>
        <v/>
      </c>
      <c r="I660" t="inlineStr">
        <is>
          <t>F. Heller</t>
        </is>
      </c>
      <c r="J660" s="6">
        <f>HYPERLINK("https://www.kleinanzeigen.de/s-bestandsliste.html?userId=10658753", "Link")</f>
        <v/>
      </c>
      <c r="K660" s="7" t="n">
        <v>45536.96850694445</v>
      </c>
      <c r="L660" s="3" t="inlineStr">
        <is>
          <t>121.05</t>
        </is>
      </c>
      <c r="M660" t="inlineStr">
        <is>
          <t>Karlsruhe</t>
        </is>
      </c>
    </row>
    <row r="661">
      <c r="A661" t="inlineStr">
        <is>
          <t>Harness: Wavetoys trapeze for windsurfing</t>
        </is>
      </c>
      <c r="B661" s="4" t="n">
        <v>35</v>
      </c>
      <c r="C661" t="inlineStr">
        <is>
          <t>VB</t>
        </is>
      </c>
      <c r="D661" t="inlineStr">
        <is>
          <t>63500 Hessen - Seligenstadt</t>
        </is>
      </c>
      <c r="E661" s="5" t="n">
        <v>45528</v>
      </c>
      <c r="F661" t="inlineStr">
        <is>
          <t>Sold</t>
        </is>
      </c>
      <c r="G661" s="6">
        <f>HYPERLINK("https://www.kleinanzeigen.de/s-anzeige/windsurf-trapez-wavetoys/2845395897-230-4823", "Link")</f>
        <v/>
      </c>
      <c r="H661" s="6">
        <f>HYPERLINK("C:\Projects\Kleinanzeigen-Scraper\offer_images\2845395897", "Link")</f>
        <v/>
      </c>
      <c r="I661" t="inlineStr">
        <is>
          <t>F. Heller</t>
        </is>
      </c>
      <c r="J661" s="6">
        <f>HYPERLINK("https://www.kleinanzeigen.de/s-bestandsliste.html?userId=10658753", "Link")</f>
        <v/>
      </c>
      <c r="K661" s="7" t="n">
        <v>45536.96818287037</v>
      </c>
      <c r="L661" s="3" t="inlineStr">
        <is>
          <t>121.05</t>
        </is>
      </c>
      <c r="M661" t="inlineStr">
        <is>
          <t>Karlsruhe</t>
        </is>
      </c>
    </row>
    <row r="662">
      <c r="A662" t="inlineStr">
        <is>
          <t>Mast extension: Duotone mast extensions with ratchet system, price is for each one</t>
        </is>
      </c>
      <c r="B662" s="4" t="n">
        <v>85</v>
      </c>
      <c r="C662" t="inlineStr">
        <is>
          <t>VB</t>
        </is>
      </c>
      <c r="D662" t="inlineStr">
        <is>
          <t>13581 Berlin - Spandau</t>
        </is>
      </c>
      <c r="E662" s="5" t="n">
        <v>45530</v>
      </c>
      <c r="F662" t="inlineStr">
        <is>
          <t>Sold</t>
        </is>
      </c>
      <c r="G662" s="6">
        <f>HYPERLINK("https://www.kleinanzeigen.de/s-anzeige/windsurf-mastverlaengerung-mit-ratsche-2-stueck/2847072725-230-3439", "Link")</f>
        <v/>
      </c>
      <c r="H662" s="6">
        <f>HYPERLINK("C:\Projects\Kleinanzeigen-Scraper\offer_images\2847072725", "Link")</f>
        <v/>
      </c>
      <c r="I662" t="inlineStr">
        <is>
          <t>Heiko</t>
        </is>
      </c>
      <c r="J662" s="6">
        <f>HYPERLINK("https://www.kleinanzeigen.de/s-bestandsliste.html?userId=134503809", "Link")</f>
        <v/>
      </c>
      <c r="K662" s="7" t="n">
        <v>45536.9681712963</v>
      </c>
      <c r="L662" s="3" t="inlineStr">
        <is>
          <t>464.09</t>
        </is>
      </c>
      <c r="M662" t="inlineStr">
        <is>
          <t>Köln</t>
        </is>
      </c>
    </row>
    <row r="663">
      <c r="A663" t="inlineStr">
        <is>
          <t>Fins: Various models including Unifiber, Choco, Lipsticks, Pro Limit, and others, with sizes ranging from 24 to 46 cm.</t>
        </is>
      </c>
      <c r="B663" s="4" t="n">
        <v>69</v>
      </c>
      <c r="C663" t="inlineStr"/>
      <c r="D663" t="inlineStr">
        <is>
          <t>45772 Nordrhein-Westfalen - Marl</t>
        </is>
      </c>
      <c r="E663" s="5" t="n">
        <v>45532</v>
      </c>
      <c r="F663" t="inlineStr">
        <is>
          <t>Sold</t>
        </is>
      </c>
      <c r="G663" s="6">
        <f>HYPERLINK("https://www.kleinanzeigen.de/s-anzeige/pb-weed-finnen-windsurfen-fanatic-tabou-lessacher/2848348514-230-1772", "Link")</f>
        <v/>
      </c>
      <c r="H663" s="6">
        <f>HYPERLINK("C:\Projects\Kleinanzeigen-Scraper\offer_images\2848348514", "Link")</f>
        <v/>
      </c>
      <c r="I663" t="inlineStr">
        <is>
          <t>Matrix</t>
        </is>
      </c>
      <c r="J663" s="6">
        <f>HYPERLINK("https://www.kleinanzeigen.de/s-bestandsliste.html?userId=89106594", "Link")</f>
        <v/>
      </c>
      <c r="K663" s="7" t="n">
        <v>45536.96811342592</v>
      </c>
      <c r="L663" s="3" t="inlineStr">
        <is>
          <t>84.29</t>
        </is>
      </c>
      <c r="M663" t="inlineStr">
        <is>
          <t>Köln</t>
        </is>
      </c>
    </row>
    <row r="664">
      <c r="A664" t="inlineStr">
        <is>
          <t>Gabelbaum Kopfstück: Robustes Kopfstück mit herausnehmbarem RDM-Adapter, also für SDM und RDM nutzbar.</t>
        </is>
      </c>
      <c r="B664" s="4" t="n">
        <v>20</v>
      </c>
      <c r="C664" t="inlineStr"/>
      <c r="D664" t="inlineStr">
        <is>
          <t>44229 Dortmund</t>
        </is>
      </c>
      <c r="E664" s="5" t="n">
        <v>45518</v>
      </c>
      <c r="F664" t="inlineStr"/>
      <c r="G664" s="6">
        <f>HYPERLINK("https://www.dailydose.de/kleinanzeigen/detail.htm?ai=420843&amp;cf=kk&amp;pg=3&amp;ci=13", "Link")</f>
        <v/>
      </c>
      <c r="H664" s="6">
        <f>HYPERLINK("C:\Projects\Kleinanzeigen-Scraper\offer_images\420843", "Link")</f>
        <v/>
      </c>
      <c r="I664" t="inlineStr">
        <is>
          <t>RRD-Surfer</t>
        </is>
      </c>
      <c r="J664" s="6">
        <f>HYPERLINK("https://www.dailydose.de/kleinanzeigen/user/20399", "Link")</f>
        <v/>
      </c>
      <c r="K664" s="7" t="n">
        <v>45536.91289351852</v>
      </c>
      <c r="L664" s="3" t="inlineStr">
        <is>
          <t>66.96</t>
        </is>
      </c>
      <c r="M664" t="inlineStr">
        <is>
          <t>Köln</t>
        </is>
      </c>
    </row>
    <row r="665">
      <c r="A665" t="inlineStr">
        <is>
          <t>Endstück: AL 360 Carbon Slalom Endstück, kaum benutzt, wie neu</t>
        </is>
      </c>
      <c r="B665" s="4" t="n">
        <v>95</v>
      </c>
      <c r="C665" t="inlineStr"/>
      <c r="D665" t="inlineStr">
        <is>
          <t>Kassel</t>
        </is>
      </c>
      <c r="E665" s="5" t="n">
        <v>45535</v>
      </c>
      <c r="F665" t="inlineStr"/>
      <c r="G665" s="6">
        <f>HYPERLINK("https://www.dailydose.de/kleinanzeigen/detail.htm?ai=421844&amp;cf=kk&amp;pg=3&amp;ci=13", "Link")</f>
        <v/>
      </c>
      <c r="H665" s="6">
        <f>HYPERLINK("C:\Projects\Kleinanzeigen-Scraper\offer_images\421844", "Link")</f>
        <v/>
      </c>
      <c r="I665" t="inlineStr">
        <is>
          <t>Micha_2</t>
        </is>
      </c>
      <c r="J665" s="6">
        <f>HYPERLINK("https://www.dailydose.de/kleinanzeigen/user/16307", "Link")</f>
        <v/>
      </c>
      <c r="K665" s="7" t="n">
        <v>45536.91211805555</v>
      </c>
      <c r="L665" s="3" t="inlineStr">
        <is>
          <t>182.03</t>
        </is>
      </c>
      <c r="M665" t="inlineStr">
        <is>
          <t>Köln</t>
        </is>
      </c>
    </row>
    <row r="666">
      <c r="A666" t="inlineStr">
        <is>
          <t>Windsurf Zubehör: Various small parts including safety washers, mast sleeves, foot straps, and more.</t>
        </is>
      </c>
      <c r="B666" s="4" t="n">
        <v>15</v>
      </c>
      <c r="C666" t="inlineStr"/>
      <c r="D666" t="inlineStr">
        <is>
          <t>48149 Münster</t>
        </is>
      </c>
      <c r="E666" s="5" t="n">
        <v>45528</v>
      </c>
      <c r="F666" t="inlineStr">
        <is>
          <t>Sold</t>
        </is>
      </c>
      <c r="G666" s="6">
        <f>HYPERLINK("https://www.dailydose.de/kleinanzeigen/detail.htm?ai=421383&amp;cf=kk&amp;pg=5&amp;ci=11", "Link")</f>
        <v/>
      </c>
      <c r="H666" s="6">
        <f>HYPERLINK("C:\Projects\Kleinanzeigen-Scraper\offer_images\421383", "Link")</f>
        <v/>
      </c>
      <c r="I666" t="inlineStr">
        <is>
          <t>Funsurfer234</t>
        </is>
      </c>
      <c r="J666" s="6">
        <f>HYPERLINK("https://www.dailydose.de/kleinanzeigen/user/18422", "Link")</f>
        <v/>
      </c>
      <c r="K666" s="7" t="n">
        <v>45536.910625</v>
      </c>
      <c r="L666" s="3" t="inlineStr">
        <is>
          <t>122.21</t>
        </is>
      </c>
      <c r="M666" t="inlineStr">
        <is>
          <t>Köln</t>
        </is>
      </c>
    </row>
    <row r="667">
      <c r="A667" t="inlineStr">
        <is>
          <t>Harness: Prolimit Pure Girl hip harness for girls, size XS, with light signs of use, adjustable</t>
        </is>
      </c>
      <c r="B667" s="4" t="n">
        <v>30</v>
      </c>
      <c r="C667" t="inlineStr"/>
      <c r="D667" t="inlineStr">
        <is>
          <t>58456 Nordrhein-Westfalen - Witten</t>
        </is>
      </c>
      <c r="E667" s="5" t="n">
        <v>45528</v>
      </c>
      <c r="F667" t="inlineStr">
        <is>
          <t>Sold</t>
        </is>
      </c>
      <c r="G667" s="6">
        <f>HYPERLINK("https://www.kleinanzeigen.de/s-anzeige/prolimit-hueft-trapez-maedchen-windsurfen-xs/2845247843-230-1019", "Link")</f>
        <v/>
      </c>
      <c r="H667" s="6">
        <f>HYPERLINK("C:\Projects\Kleinanzeigen-Scraper\offer_images\2845247843", "Link")</f>
        <v/>
      </c>
      <c r="I667" t="inlineStr">
        <is>
          <t>L.H.</t>
        </is>
      </c>
      <c r="J667" s="6">
        <f>HYPERLINK("https://www.kleinanzeigen.de/s-bestandsliste.html?userId=135363532", "Link")</f>
        <v/>
      </c>
      <c r="K667" s="7" t="n">
        <v>45536.9105324074</v>
      </c>
      <c r="L667" s="3" t="inlineStr">
        <is>
          <t>56.10</t>
        </is>
      </c>
      <c r="M667" t="inlineStr">
        <is>
          <t>Köln</t>
        </is>
      </c>
    </row>
    <row r="668">
      <c r="A668" t="inlineStr">
        <is>
          <t>Footstrap: JP footstrap with twist protection and screws, Drake footstrap, both unused</t>
        </is>
      </c>
      <c r="B668" s="4" t="n">
        <v>10</v>
      </c>
      <c r="C668" t="inlineStr"/>
      <c r="D668" t="inlineStr">
        <is>
          <t>55263 Rheinland-Pfalz - Wackernheim</t>
        </is>
      </c>
      <c r="E668" s="5" t="n">
        <v>45533</v>
      </c>
      <c r="F668" t="inlineStr">
        <is>
          <t>Sold</t>
        </is>
      </c>
      <c r="G668" s="6">
        <f>HYPERLINK("https://www.kleinanzeigen.de/s-anzeige/fussschlaufe-windsurfen-surfen/2848988316-230-5123", "Link")</f>
        <v/>
      </c>
      <c r="H668" s="6">
        <f>HYPERLINK("C:\Projects\Kleinanzeigen-Scraper\offer_images\2848988316", "Link")</f>
        <v/>
      </c>
      <c r="I668" t="inlineStr">
        <is>
          <t>Stefan</t>
        </is>
      </c>
      <c r="J668" s="6">
        <f>HYPERLINK("https://www.kleinanzeigen.de/s-bestandsliste.html?userId=11437246", "Link")</f>
        <v/>
      </c>
      <c r="K668" s="7" t="n">
        <v>45536.91052083333</v>
      </c>
      <c r="L668" s="3" t="inlineStr">
        <is>
          <t>108.27</t>
        </is>
      </c>
      <c r="M668" t="inlineStr">
        <is>
          <t>Karlsruhe</t>
        </is>
      </c>
    </row>
    <row r="669">
      <c r="A669" t="inlineStr">
        <is>
          <t>Fin: JP-Australia Powerbox 36 cm, used with fin bag</t>
        </is>
      </c>
      <c r="B669" s="4" t="n">
        <v>49</v>
      </c>
      <c r="C669" t="inlineStr">
        <is>
          <t>VB</t>
        </is>
      </c>
      <c r="D669" t="inlineStr">
        <is>
          <t>23775 Kreis Ostholstein - Großenbrode</t>
        </is>
      </c>
      <c r="E669" s="5" t="n">
        <v>45532</v>
      </c>
      <c r="F669" t="inlineStr">
        <is>
          <t>Sold</t>
        </is>
      </c>
      <c r="G669" s="6">
        <f>HYPERLINK("https://www.kleinanzeigen.de/s-anzeige/windsurf-finne-powerbox-jp-36-cm-windsurfen/2848199149-230-429", "Link")</f>
        <v/>
      </c>
      <c r="H669" s="6">
        <f>HYPERLINK("C:\Projects\Kleinanzeigen-Scraper\offer_images\2848199149", "Link")</f>
        <v/>
      </c>
      <c r="I669" t="inlineStr">
        <is>
          <t>Dieter</t>
        </is>
      </c>
      <c r="J669" s="6">
        <f>HYPERLINK("https://www.kleinanzeigen.de/s-bestandsliste.html?userId=35923102", "Link")</f>
        <v/>
      </c>
      <c r="K669" s="7" t="n">
        <v>45536.91050925926</v>
      </c>
      <c r="L669" s="3" t="inlineStr">
        <is>
          <t>471.97</t>
        </is>
      </c>
      <c r="M669" t="inlineStr">
        <is>
          <t>Köln</t>
        </is>
      </c>
    </row>
    <row r="670">
      <c r="A670" t="inlineStr">
        <is>
          <t>Impact Vest: Soöruz Weste in Größe M, geeignet für Wakeboard und Windsurf als Auftrieb oder Prallschutz, in sehr gutem Zustand.</t>
        </is>
      </c>
      <c r="B670" s="4" t="n">
        <v>55</v>
      </c>
      <c r="C670" t="inlineStr"/>
      <c r="D670" t="inlineStr">
        <is>
          <t>80937 München - Milbertshofen - Am Hart</t>
        </is>
      </c>
      <c r="E670" s="5" t="n">
        <v>45528</v>
      </c>
      <c r="F670" t="inlineStr">
        <is>
          <t>Sold</t>
        </is>
      </c>
      <c r="G670" s="6">
        <f>HYPERLINK("https://www.kleinanzeigen.de/s-anzeige/sooeruz-weste-m-wakeboard-windsurf-auftrieb-prallschutz/2845012729-230-6451", "Link")</f>
        <v/>
      </c>
      <c r="H670" s="6">
        <f>HYPERLINK("C:\Projects\Kleinanzeigen-Scraper\offer_images\2845012729", "Link")</f>
        <v/>
      </c>
      <c r="I670" t="inlineStr">
        <is>
          <t>Münchner Kindl</t>
        </is>
      </c>
      <c r="J670" s="6">
        <f>HYPERLINK("https://www.kleinanzeigen.de/s-bestandsliste.html?userId=21356298", "Link")</f>
        <v/>
      </c>
      <c r="K670" s="7" t="n">
        <v>45536.91049768519</v>
      </c>
      <c r="L670" s="3" t="inlineStr">
        <is>
          <t>9.35</t>
        </is>
      </c>
      <c r="M670" t="inlineStr">
        <is>
          <t>München</t>
        </is>
      </c>
    </row>
    <row r="671">
      <c r="A671" t="inlineStr">
        <is>
          <t>Harness: Mystic Warrior Kite and Windsurf Hip Harness, size L, used but fully functional</t>
        </is>
      </c>
      <c r="B671" s="4" t="n">
        <v>60</v>
      </c>
      <c r="C671" t="inlineStr"/>
      <c r="D671" t="inlineStr">
        <is>
          <t>30938 Niedersachsen - Burgwedel</t>
        </is>
      </c>
      <c r="E671" s="5" t="n">
        <v>45530</v>
      </c>
      <c r="F671" t="inlineStr">
        <is>
          <t>Sold</t>
        </is>
      </c>
      <c r="G671" s="6">
        <f>HYPERLINK("https://www.kleinanzeigen.de/s-anzeige/mystic-warrior-kite-o-windsurf-huefttrapez-groesse-l/2846741743-230-2901", "Link")</f>
        <v/>
      </c>
      <c r="H671" s="6">
        <f>HYPERLINK("C:\Projects\Kleinanzeigen-Scraper\offer_images\2846741743", "Link")</f>
        <v/>
      </c>
      <c r="I671" t="inlineStr">
        <is>
          <t>TT</t>
        </is>
      </c>
      <c r="J671" s="6">
        <f>HYPERLINK("https://www.kleinanzeigen.de/s-bestandsliste.html?userId=135426860", "Link")</f>
        <v/>
      </c>
      <c r="K671" s="7" t="n">
        <v>45536.91048611111</v>
      </c>
      <c r="L671" s="3" t="inlineStr">
        <is>
          <t>268.41</t>
        </is>
      </c>
      <c r="M671" t="inlineStr">
        <is>
          <t>Köln</t>
        </is>
      </c>
    </row>
    <row r="672">
      <c r="A672" t="inlineStr">
        <is>
          <t>Fin: 22 cm Weed Fin for US Box, like new</t>
        </is>
      </c>
      <c r="B672" s="4" t="n">
        <v>50</v>
      </c>
      <c r="C672" t="inlineStr"/>
      <c r="D672" t="inlineStr">
        <is>
          <t>51373 Nordrhein-Westfalen - Leverkusen</t>
        </is>
      </c>
      <c r="E672" s="5" t="n">
        <v>45533</v>
      </c>
      <c r="F672" t="inlineStr">
        <is>
          <t>Sold</t>
        </is>
      </c>
      <c r="G672" s="6">
        <f>HYPERLINK("https://www.kleinanzeigen.de/s-anzeige/windsurfen-finne-22-weed-us-box/2849472587-230-1993", "Link")</f>
        <v/>
      </c>
      <c r="H672" s="6">
        <f>HYPERLINK("C:\Projects\Kleinanzeigen-Scraper\offer_images\2849472587", "Link")</f>
        <v/>
      </c>
      <c r="I672" t="inlineStr">
        <is>
          <t>Ditze</t>
        </is>
      </c>
      <c r="J672" s="6">
        <f>HYPERLINK("https://www.kleinanzeigen.de/s-bestandsliste.html?userId=16415319", "Link")</f>
        <v/>
      </c>
      <c r="K672" s="7" t="n">
        <v>45536.91048611111</v>
      </c>
      <c r="L672" s="3" t="inlineStr">
        <is>
          <t>10.23</t>
        </is>
      </c>
      <c r="M672" t="inlineStr">
        <is>
          <t>Köln</t>
        </is>
      </c>
    </row>
    <row r="673">
      <c r="A673" t="inlineStr">
        <is>
          <t>Harness: Mystic trapeze in XXL, lightly used, no rust, all closures functional</t>
        </is>
      </c>
      <c r="B673" s="4" t="n">
        <v>85</v>
      </c>
      <c r="C673" t="inlineStr">
        <is>
          <t>VB</t>
        </is>
      </c>
      <c r="D673" t="inlineStr">
        <is>
          <t>12309 Berlin - Tempelhof</t>
        </is>
      </c>
      <c r="E673" s="5" t="n">
        <v>45536</v>
      </c>
      <c r="F673" t="inlineStr">
        <is>
          <t>Sold</t>
        </is>
      </c>
      <c r="G673" s="6">
        <f>HYPERLINK("https://www.kleinanzeigen.de/s-anzeige/trapez-von-mystic-in-xxl-fuer-windsurfen/2851460119-187-3411", "Link")</f>
        <v/>
      </c>
      <c r="H673" s="6">
        <f>HYPERLINK("C:\Projects\Kleinanzeigen-Scraper\offer_images\2851460119", "Link")</f>
        <v/>
      </c>
      <c r="I673" t="inlineStr">
        <is>
          <t>Kieselbach, Katrin</t>
        </is>
      </c>
      <c r="J673" s="6">
        <f>HYPERLINK("https://www.kleinanzeigen.de/s-bestandsliste.html?userId=11081276", "Link")</f>
        <v/>
      </c>
      <c r="K673" s="7" t="n">
        <v>45536.91043981481</v>
      </c>
      <c r="L673" s="3" t="inlineStr">
        <is>
          <t>473.85</t>
        </is>
      </c>
      <c r="M673" t="inlineStr">
        <is>
          <t>Köln</t>
        </is>
      </c>
    </row>
    <row r="674">
      <c r="A674" t="inlineStr">
        <is>
          <t>Mastbag: Red nylon mast bag for EUROPE carbon mast, 490 cm long and 16 cm wide, UV protection.</t>
        </is>
      </c>
      <c r="B674" s="4" t="n">
        <v>29</v>
      </c>
      <c r="C674" t="inlineStr"/>
      <c r="D674" t="inlineStr">
        <is>
          <t>37124 Niedersachsen - Rosdorf</t>
        </is>
      </c>
      <c r="E674" s="5" t="n">
        <v>45565</v>
      </c>
      <c r="F674" t="inlineStr"/>
      <c r="G674" s="6">
        <f>HYPERLINK("https://www.kleinanzeigen.de/s-anzeige/masttasche-europe-windsurfer-4-90-m-nylon-2716-/2826190720-211-3133", "Link")</f>
        <v/>
      </c>
      <c r="H674" s="6">
        <f>HYPERLINK("C:\Projects\Kleinanzeigen-Scraper\offer_images\2826190720", "Link")</f>
        <v/>
      </c>
      <c r="I674" t="inlineStr">
        <is>
          <t>No user name</t>
        </is>
      </c>
      <c r="J674" s="6">
        <f>HYPERLINK("https://www.kleinanzeigen.deNo user link", "Link")</f>
        <v/>
      </c>
      <c r="K674" s="7" t="n">
        <v>45536.91043981481</v>
      </c>
      <c r="L674" s="3" t="inlineStr">
        <is>
          <t>214.72</t>
        </is>
      </c>
      <c r="M674" t="inlineStr">
        <is>
          <t>Köln</t>
        </is>
      </c>
    </row>
    <row r="675">
      <c r="A675" t="inlineStr">
        <is>
          <t>Fin: NEU Tekknosport Finne G-10 Weed Race</t>
        </is>
      </c>
      <c r="B675" s="4" t="n">
        <v>57</v>
      </c>
      <c r="C675" t="inlineStr"/>
      <c r="D675" t="inlineStr">
        <is>
          <t>50858 Köln - Junkersdorf</t>
        </is>
      </c>
      <c r="E675" s="5" t="n">
        <v>45530</v>
      </c>
      <c r="F675" t="inlineStr">
        <is>
          <t>Sold</t>
        </is>
      </c>
      <c r="G675" s="6">
        <f>HYPERLINK("https://www.kleinanzeigen.de/s-anzeige/neu-tekknosport-finne-g-10-weed-race-windsurfen/2847292794-230-17139", "Link")</f>
        <v/>
      </c>
      <c r="H675" s="6">
        <f>HYPERLINK("C:\Projects\Kleinanzeigen-Scraper\offer_images\2847292794", "Link")</f>
        <v/>
      </c>
      <c r="I675" t="inlineStr">
        <is>
          <t>Ingo Riemann</t>
        </is>
      </c>
      <c r="J675" s="6">
        <f>HYPERLINK("https://www.kleinanzeigen.de/s-bestandsliste.html?userId=54165116", "Link")</f>
        <v/>
      </c>
      <c r="K675" s="7" t="n">
        <v>45536.91039351852</v>
      </c>
      <c r="L675" s="3" t="inlineStr">
        <is>
          <t>7.26</t>
        </is>
      </c>
      <c r="M675" t="inlineStr">
        <is>
          <t>Köln</t>
        </is>
      </c>
    </row>
    <row r="676">
      <c r="A676" t="inlineStr">
        <is>
          <t>Bag: Neil Pryde Gabelbaumbag for 1-3 booms, size 65 x 220 cm, functional zipper, small tear, otherwise in good condition.</t>
        </is>
      </c>
      <c r="B676" s="4" t="n">
        <v>50</v>
      </c>
      <c r="C676" t="inlineStr">
        <is>
          <t>VB</t>
        </is>
      </c>
      <c r="D676" t="inlineStr">
        <is>
          <t>26215 Niedersachsen - Wiefelstede</t>
        </is>
      </c>
      <c r="E676" s="5" t="n">
        <v>45531</v>
      </c>
      <c r="F676" t="inlineStr">
        <is>
          <t>Sold</t>
        </is>
      </c>
      <c r="G676" s="6">
        <f>HYPERLINK("https://www.kleinanzeigen.de/s-anzeige/windsurfen-gabelbaumbag-neil-pryde/2847946614-230-2576", "Link")</f>
        <v/>
      </c>
      <c r="H676" s="6">
        <f>HYPERLINK("C:\Projects\Kleinanzeigen-Scraper\offer_images\2847946614", "Link")</f>
        <v/>
      </c>
      <c r="I676" t="inlineStr">
        <is>
          <t>tommy62</t>
        </is>
      </c>
      <c r="J676" s="6">
        <f>HYPERLINK("https://www.kleinanzeigen.de/s-bestandsliste.html?userId=142197119", "Link")</f>
        <v/>
      </c>
      <c r="K676" s="7" t="n">
        <v>45536.91039351852</v>
      </c>
      <c r="L676" s="3" t="inlineStr">
        <is>
          <t>269.48</t>
        </is>
      </c>
      <c r="M676" t="inlineStr">
        <is>
          <t>Köln</t>
        </is>
      </c>
    </row>
    <row r="677">
      <c r="A677" t="inlineStr">
        <is>
          <t>Harness: Mystic Warrior Windsurf Waist Harness, available in multiple sizes and colors.</t>
        </is>
      </c>
      <c r="B677" s="4" t="n">
        <v>219</v>
      </c>
      <c r="C677" t="inlineStr"/>
      <c r="D677" t="inlineStr">
        <is>
          <t>82319 Bayern - Starnberg</t>
        </is>
      </c>
      <c r="E677" s="5" t="n">
        <v>45556</v>
      </c>
      <c r="F677" t="inlineStr"/>
      <c r="G677" s="6">
        <f>HYPERLINK("https://www.kleinanzeigen.de/s-anzeige/mystic-warrior-windsurf-waist-harness/2070495696-230-5525", "Link")</f>
        <v/>
      </c>
      <c r="H677" s="6">
        <f>HYPERLINK("C:\Projects\Kleinanzeigen-Scraper\offer_images\2070495696", "Link")</f>
        <v/>
      </c>
      <c r="I677" t="inlineStr">
        <is>
          <t>No user name</t>
        </is>
      </c>
      <c r="J677" s="6">
        <f>HYPERLINK("https://www.kleinanzeigen.deNo user link", "Link")</f>
        <v/>
      </c>
      <c r="K677" s="7" t="n">
        <v>45536.91037037037</v>
      </c>
      <c r="L677" s="3" t="inlineStr">
        <is>
          <t>23.17</t>
        </is>
      </c>
      <c r="M677" t="inlineStr">
        <is>
          <t>München</t>
        </is>
      </c>
    </row>
    <row r="678">
      <c r="A678" t="inlineStr">
        <is>
          <t>Mast extension: 2 SDM extensions, 26 cm and 28 cm, lightweight and stable</t>
        </is>
      </c>
      <c r="B678" s="4" t="n">
        <v>15</v>
      </c>
      <c r="C678" t="inlineStr"/>
      <c r="D678" t="inlineStr">
        <is>
          <t>48149 Münster (Westfalen) - Gievenbeck</t>
        </is>
      </c>
      <c r="E678" s="5" t="n">
        <v>45535</v>
      </c>
      <c r="F678" t="inlineStr">
        <is>
          <t>Sold</t>
        </is>
      </c>
      <c r="G678" s="6">
        <f>HYPERLINK("https://www.kleinanzeigen.de/s-anzeige/2-mastverlaengerungen-sdm-28-26-cm-super-leicht-windsurfen/2851103849-230-930", "Link")</f>
        <v/>
      </c>
      <c r="H678" s="6">
        <f>HYPERLINK("C:\Projects\Kleinanzeigen-Scraper\offer_images\2851103849", "Link")</f>
        <v/>
      </c>
      <c r="I678" t="inlineStr">
        <is>
          <t>Funsurfer</t>
        </is>
      </c>
      <c r="J678" s="6">
        <f>HYPERLINK("https://www.kleinanzeigen.de/s-bestandsliste.html?userId=22200939", "Link")</f>
        <v/>
      </c>
      <c r="K678" s="7" t="n">
        <v>45536.91037037037</v>
      </c>
      <c r="L678" s="3" t="inlineStr">
        <is>
          <t>122.21</t>
        </is>
      </c>
      <c r="M678" t="inlineStr">
        <is>
          <t>Köln</t>
        </is>
      </c>
    </row>
    <row r="679">
      <c r="A679" t="inlineStr">
        <is>
          <t>Fin: Select Vmax 39cm Slalom Windsurf Finne in good condition, no repairs.</t>
        </is>
      </c>
      <c r="B679" s="4" t="n">
        <v>140</v>
      </c>
      <c r="C679" t="inlineStr"/>
      <c r="D679" t="inlineStr">
        <is>
          <t>34121 Hessen - Kassel</t>
        </is>
      </c>
      <c r="E679" s="5" t="n">
        <v>45536</v>
      </c>
      <c r="F679" t="inlineStr">
        <is>
          <t>Sold</t>
        </is>
      </c>
      <c r="G679" s="6">
        <f>HYPERLINK("https://www.kleinanzeigen.de/s-anzeige/select-vmax-4-0-39cm-slalom-windsurf-finne/2851380598-230-4924", "Link")</f>
        <v/>
      </c>
      <c r="H679" s="6">
        <f>HYPERLINK("C:\Projects\Kleinanzeigen-Scraper\offer_images\2851380598", "Link")</f>
        <v/>
      </c>
      <c r="I679" t="inlineStr">
        <is>
          <t>Johannes Rützel</t>
        </is>
      </c>
      <c r="J679" s="6">
        <f>HYPERLINK("https://www.kleinanzeigen.de/s-bestandsliste.html?userId=73982335", "Link")</f>
        <v/>
      </c>
      <c r="K679" s="7" t="n">
        <v>45536.9103587963</v>
      </c>
      <c r="L679" s="3" t="inlineStr">
        <is>
          <t>180.90</t>
        </is>
      </c>
      <c r="M679" t="inlineStr">
        <is>
          <t>Köln</t>
        </is>
      </c>
    </row>
    <row r="680">
      <c r="A680" t="inlineStr">
        <is>
          <t>Mastfoot: Aeron, Length 50cm, Outer Diameter 48mm</t>
        </is>
      </c>
      <c r="B680" s="4" t="n">
        <v>20</v>
      </c>
      <c r="C680" t="inlineStr"/>
      <c r="D680" t="inlineStr">
        <is>
          <t>81369 München - Sendling</t>
        </is>
      </c>
      <c r="E680" s="5" t="n">
        <v>45533</v>
      </c>
      <c r="F680" t="inlineStr">
        <is>
          <t>Sold</t>
        </is>
      </c>
      <c r="G680" s="6">
        <f>HYPERLINK("https://www.kleinanzeigen.de/s-anzeige/mastfuss-base-windsurfen-48mm-50cm-aeron/2849133914-230-16382", "Link")</f>
        <v/>
      </c>
      <c r="H680" s="6">
        <f>HYPERLINK("C:\Projects\Kleinanzeigen-Scraper\offer_images\2849133914", "Link")</f>
        <v/>
      </c>
      <c r="I680" t="inlineStr">
        <is>
          <t>Moritz von Unold</t>
        </is>
      </c>
      <c r="J680" s="6">
        <f>HYPERLINK("https://www.kleinanzeigen.de/s-bestandsliste.html?userId=24552406", "Link")</f>
        <v/>
      </c>
      <c r="K680" s="7" t="n">
        <v>45536.91034722222</v>
      </c>
      <c r="L680" s="3" t="inlineStr">
        <is>
          <t>4.53</t>
        </is>
      </c>
      <c r="M680" t="inlineStr">
        <is>
          <t>München</t>
        </is>
      </c>
    </row>
    <row r="681">
      <c r="A681" t="inlineStr">
        <is>
          <t>Mastfoot: SDM 48mm Nullbase with U-Pin and Tampen, suitable for standard masts</t>
        </is>
      </c>
      <c r="B681" s="4" t="n">
        <v>14</v>
      </c>
      <c r="C681" t="inlineStr">
        <is>
          <t>VB</t>
        </is>
      </c>
      <c r="D681" t="inlineStr">
        <is>
          <t>86825 Bayern - Bad Wörishofen</t>
        </is>
      </c>
      <c r="E681" s="5" t="n">
        <v>45526</v>
      </c>
      <c r="F681" t="inlineStr">
        <is>
          <t>Sold</t>
        </is>
      </c>
      <c r="G681" s="6">
        <f>HYPERLINK("https://www.kleinanzeigen.de/s-anzeige/mastfuss-nullbase-trimmadapter-trimmbecher-windsurfen-standard/2843168510-230-7257", "Link")</f>
        <v/>
      </c>
      <c r="H681" s="6">
        <f>HYPERLINK("C:\Projects\Kleinanzeigen-Scraper\offer_images\2843168510", "Link")</f>
        <v/>
      </c>
      <c r="I681" t="inlineStr">
        <is>
          <t>peckmick</t>
        </is>
      </c>
      <c r="J681" s="6">
        <f>HYPERLINK("https://www.kleinanzeigen.de/s-bestandsliste.html?userId=75769172", "Link")</f>
        <v/>
      </c>
      <c r="K681" s="7" t="n">
        <v>45536.9103125</v>
      </c>
      <c r="L681" s="3" t="inlineStr">
        <is>
          <t>74.63</t>
        </is>
      </c>
      <c r="M681" t="inlineStr">
        <is>
          <t>München</t>
        </is>
      </c>
    </row>
    <row r="682">
      <c r="A682" t="inlineStr">
        <is>
          <t>Harness: Windsurf Trapez 'Race' Größe L from North Sails</t>
        </is>
      </c>
      <c r="B682" s="4" t="n">
        <v>29</v>
      </c>
      <c r="C682" t="inlineStr"/>
      <c r="D682" t="inlineStr">
        <is>
          <t>46240 Nordrhein-Westfalen - Bottrop</t>
        </is>
      </c>
      <c r="E682" s="5" t="n">
        <v>45528</v>
      </c>
      <c r="F682" t="inlineStr">
        <is>
          <t>Sold</t>
        </is>
      </c>
      <c r="G682" s="6">
        <f>HYPERLINK("https://www.kleinanzeigen.de/s-anzeige/windsurf-trapez-race-groesse-l-north-sails/2845035825-230-1955", "Link")</f>
        <v/>
      </c>
      <c r="H682" s="6">
        <f>HYPERLINK("C:\Projects\Kleinanzeigen-Scraper\offer_images\2845035825", "Link")</f>
        <v/>
      </c>
      <c r="I682" t="inlineStr">
        <is>
          <t>Felix</t>
        </is>
      </c>
      <c r="J682" s="6">
        <f>HYPERLINK("https://www.kleinanzeigen.de/s-bestandsliste.html?userId=13841676", "Link")</f>
        <v/>
      </c>
      <c r="K682" s="7" t="n">
        <v>45536.9103125</v>
      </c>
      <c r="L682" s="3" t="inlineStr">
        <is>
          <t>67.73</t>
        </is>
      </c>
      <c r="M682" t="inlineStr">
        <is>
          <t>Köln</t>
        </is>
      </c>
    </row>
    <row r="683">
      <c r="A683" t="inlineStr">
        <is>
          <t>Mast extension: 3 pieces of mast extensions in various lengths from Neil Pryde, Mistral, and NorthSails, fully functional condition.</t>
        </is>
      </c>
      <c r="B683" s="4" t="n">
        <v>8</v>
      </c>
      <c r="C683" t="inlineStr"/>
      <c r="D683" t="inlineStr">
        <is>
          <t>20259 Eimsbüttel - Hamburg Eimsbüttel (Stadtteil)</t>
        </is>
      </c>
      <c r="E683" s="5" t="n">
        <v>45531</v>
      </c>
      <c r="F683" t="inlineStr">
        <is>
          <t>Sold</t>
        </is>
      </c>
      <c r="G683" s="6">
        <f>HYPERLINK("https://www.kleinanzeigen.de/s-anzeige/3-x-mastfussverlaengerungen-windsurfen-neilp-mistral/2847904712-230-9427", "Link")</f>
        <v/>
      </c>
      <c r="H683" s="6">
        <f>HYPERLINK("C:\Projects\Kleinanzeigen-Scraper\offer_images\2847904712", "Link")</f>
        <v/>
      </c>
      <c r="I683" t="inlineStr">
        <is>
          <t>AnnaSas</t>
        </is>
      </c>
      <c r="J683" s="6">
        <f>HYPERLINK("https://www.kleinanzeigen.de/s-bestandsliste.html?userId=140552053", "Link")</f>
        <v/>
      </c>
      <c r="K683" s="7" t="n">
        <v>45536.91028935185</v>
      </c>
      <c r="L683" s="3" t="inlineStr">
        <is>
          <t>356.92</t>
        </is>
      </c>
      <c r="M683" t="inlineStr">
        <is>
          <t>Köln</t>
        </is>
      </c>
    </row>
    <row r="684">
      <c r="A684" t="inlineStr">
        <is>
          <t>Harness Mount: K4 Fins Windsurf Kitesurf GoPro Mount with extra-long pole for optimal shots.</t>
        </is>
      </c>
      <c r="B684" s="4" t="n">
        <v>50</v>
      </c>
      <c r="C684" t="inlineStr"/>
      <c r="D684" t="inlineStr">
        <is>
          <t>24939 Schleswig-Holstein - Flensburg</t>
        </is>
      </c>
      <c r="E684" s="5" t="n">
        <v>45528</v>
      </c>
      <c r="F684" t="inlineStr">
        <is>
          <t>Sold</t>
        </is>
      </c>
      <c r="G684" s="6">
        <f>HYPERLINK("https://www.kleinanzeigen.de/s-anzeige/harness-mount-von-k4-fins-windsurf-kitesurf-gopro-mount-insta-360/2844896438-245-717", "Link")</f>
        <v/>
      </c>
      <c r="H684" s="6">
        <f>HYPERLINK("C:\Projects\Kleinanzeigen-Scraper\offer_images\2844896438", "Link")</f>
        <v/>
      </c>
      <c r="I684" t="inlineStr">
        <is>
          <t>Ramon</t>
        </is>
      </c>
      <c r="J684" s="6">
        <f>HYPERLINK("https://www.kleinanzeigen.de/s-bestandsliste.html?userId=21077256", "Link")</f>
        <v/>
      </c>
      <c r="K684" s="7" t="n">
        <v>45536.91028935185</v>
      </c>
      <c r="L684" s="3" t="inlineStr">
        <is>
          <t>460.36</t>
        </is>
      </c>
      <c r="M684" t="inlineStr">
        <is>
          <t>Köln</t>
        </is>
      </c>
    </row>
    <row r="685">
      <c r="A685" t="inlineStr">
        <is>
          <t>Harness: Size L 'Slalom' from North Sails, used but in good condition</t>
        </is>
      </c>
      <c r="B685" s="4" t="n">
        <v>35</v>
      </c>
      <c r="C685" t="inlineStr"/>
      <c r="D685" t="inlineStr">
        <is>
          <t>46240 Nordrhein-Westfalen - Bottrop</t>
        </is>
      </c>
      <c r="E685" s="5" t="n">
        <v>45528</v>
      </c>
      <c r="F685" t="inlineStr">
        <is>
          <t>Sold</t>
        </is>
      </c>
      <c r="G685" s="6">
        <f>HYPERLINK("https://www.kleinanzeigen.de/s-anzeige/windsurf-trapez-groesse-l-slalom-north-sails/2845031708-230-1955", "Link")</f>
        <v/>
      </c>
      <c r="H685" s="6">
        <f>HYPERLINK("C:\Projects\Kleinanzeigen-Scraper\offer_images\2845031708", "Link")</f>
        <v/>
      </c>
      <c r="I685" t="inlineStr">
        <is>
          <t>Felix</t>
        </is>
      </c>
      <c r="J685" s="6">
        <f>HYPERLINK("https://www.kleinanzeigen.de/s-bestandsliste.html?userId=13841676", "Link")</f>
        <v/>
      </c>
      <c r="K685" s="7" t="n">
        <v>45536.91028935185</v>
      </c>
      <c r="L685" s="3" t="inlineStr">
        <is>
          <t>67.73</t>
        </is>
      </c>
      <c r="M685" t="inlineStr">
        <is>
          <t>Köln</t>
        </is>
      </c>
    </row>
    <row r="686">
      <c r="A686" t="inlineStr">
        <is>
          <t>Harness: Ride Engine Momentum Hüfttrapez in Größe XL (94cm-112cm), leicht gebraucht, 2021</t>
        </is>
      </c>
      <c r="B686" s="4" t="n">
        <v>95</v>
      </c>
      <c r="C686" t="inlineStr"/>
      <c r="D686" t="inlineStr">
        <is>
          <t>45259 Essen - Essen-Ruhrhalbinsel</t>
        </is>
      </c>
      <c r="E686" s="5" t="n">
        <v>45534</v>
      </c>
      <c r="F686" t="inlineStr">
        <is>
          <t>Sold</t>
        </is>
      </c>
      <c r="G686" s="6">
        <f>HYPERLINK("https://www.kleinanzeigen.de/s-anzeige/ride-engine-momentum-windsurf-kitesurf-hueft-trapez-gr-xl/2849688716-230-2038", "Link")</f>
        <v/>
      </c>
      <c r="H686" s="6">
        <f>HYPERLINK("C:\Projects\Kleinanzeigen-Scraper\offer_images\2849688716", "Link")</f>
        <v/>
      </c>
      <c r="I686" t="inlineStr">
        <is>
          <t>Pia</t>
        </is>
      </c>
      <c r="J686" s="6">
        <f>HYPERLINK("https://www.kleinanzeigen.de/s-bestandsliste.html?userId=15374774", "Link")</f>
        <v/>
      </c>
      <c r="K686" s="7" t="n">
        <v>45536.9102662037</v>
      </c>
      <c r="L686" s="3" t="inlineStr">
        <is>
          <t>52.13</t>
        </is>
      </c>
      <c r="M686" t="inlineStr">
        <is>
          <t>Köln</t>
        </is>
      </c>
    </row>
    <row r="687">
      <c r="A687" t="inlineStr">
        <is>
          <t>Harness: surf Windsurf Trapetz Gr. M/L 50/52 with quick release and back padding, very comfortable with various adjustment options</t>
        </is>
      </c>
      <c r="B687" s="4" t="n">
        <v>35</v>
      </c>
      <c r="C687" t="inlineStr"/>
      <c r="D687" t="inlineStr">
        <is>
          <t>24848 Schleswig-Holstein - Kropp</t>
        </is>
      </c>
      <c r="E687" s="5" t="n">
        <v>45526</v>
      </c>
      <c r="F687" t="inlineStr">
        <is>
          <t>Sold</t>
        </is>
      </c>
      <c r="G687" s="6">
        <f>HYPERLINK("https://www.kleinanzeigen.de/s-anzeige/surf-windsurf-trapetz-gr-m-l-50-52-schnellverschluss-rueckenpolste/2843385234-230-18102", "Link")</f>
        <v/>
      </c>
      <c r="H687" s="6">
        <f>HYPERLINK("C:\Projects\Kleinanzeigen-Scraper\offer_images\2843385234", "Link")</f>
        <v/>
      </c>
      <c r="I687" t="inlineStr">
        <is>
          <t>Sven</t>
        </is>
      </c>
      <c r="J687" s="6">
        <f>HYPERLINK("https://www.kleinanzeigen.de/s-bestandsliste.html?userId=6330471", "Link")</f>
        <v/>
      </c>
      <c r="K687" s="7" t="n">
        <v>45536.91024305556</v>
      </c>
      <c r="L687" s="3" t="inlineStr">
        <is>
          <t>421.42</t>
        </is>
      </c>
      <c r="M687" t="inlineStr">
        <is>
          <t>Köln</t>
        </is>
      </c>
    </row>
    <row r="688">
      <c r="A688" t="inlineStr">
        <is>
          <t>Harness: ION Ruler size M, supports the back well, few signs of use.</t>
        </is>
      </c>
      <c r="B688" s="4" t="n">
        <v>55</v>
      </c>
      <c r="C688" t="inlineStr"/>
      <c r="D688" t="inlineStr">
        <is>
          <t>83646 Bayern - Bad Tölz</t>
        </is>
      </c>
      <c r="E688" s="5" t="n">
        <v>45536</v>
      </c>
      <c r="F688" t="inlineStr">
        <is>
          <t>Sold</t>
        </is>
      </c>
      <c r="G688" s="6">
        <f>HYPERLINK("https://www.kleinanzeigen.de/s-anzeige/windsurf-trapez-ion-ruler-gr-m/2851860398-230-5883", "Link")</f>
        <v/>
      </c>
      <c r="H688" s="6">
        <f>HYPERLINK("C:\Projects\Kleinanzeigen-Scraper\offer_images\2851860398", "Link")</f>
        <v/>
      </c>
      <c r="I688" t="inlineStr">
        <is>
          <t>Michael Mittermair</t>
        </is>
      </c>
      <c r="J688" s="6">
        <f>HYPERLINK("https://www.kleinanzeigen.de/s-bestandsliste.html?userId=16159941", "Link")</f>
        <v/>
      </c>
      <c r="K688" s="7" t="n">
        <v>45536.9102199074</v>
      </c>
      <c r="L688" s="3" t="inlineStr">
        <is>
          <t>43.27</t>
        </is>
      </c>
      <c r="M688" t="inlineStr">
        <is>
          <t>München</t>
        </is>
      </c>
    </row>
    <row r="689">
      <c r="A689" t="inlineStr">
        <is>
          <t>Dachträger-Polster: Diverse Polster für Windsurfer und Bootstransporte, Länge ca. 45 cm, aus festem Dralon-Gewebe, NEU mit leichten Lagerungsverschmutzungen.</t>
        </is>
      </c>
      <c r="B689" s="4" t="n">
        <v>10</v>
      </c>
      <c r="C689" t="inlineStr">
        <is>
          <t>VB</t>
        </is>
      </c>
      <c r="D689" t="inlineStr">
        <is>
          <t>37124 Niedersachsen - Rosdorf</t>
        </is>
      </c>
      <c r="E689" s="5" t="n">
        <v>45561</v>
      </c>
      <c r="F689" t="inlineStr"/>
      <c r="G689" s="6">
        <f>HYPERLINK("https://www.kleinanzeigen.de/s-anzeige/diverse-dachtraeger-polster-f-z-b-windsurfer-boote-etc-2163-/2177808588-211-3133", "Link")</f>
        <v/>
      </c>
      <c r="H689" s="6">
        <f>HYPERLINK("C:\Projects\Kleinanzeigen-Scraper\offer_images\2177808588", "Link")</f>
        <v/>
      </c>
      <c r="I689" t="inlineStr">
        <is>
          <t>No user name</t>
        </is>
      </c>
      <c r="J689" s="6">
        <f>HYPERLINK("https://www.kleinanzeigen.deNo user link", "Link")</f>
        <v/>
      </c>
      <c r="K689" s="7" t="n">
        <v>45536.91020833333</v>
      </c>
      <c r="L689" s="3" t="inlineStr">
        <is>
          <t>214.72</t>
        </is>
      </c>
      <c r="M689" t="inlineStr">
        <is>
          <t>Köln</t>
        </is>
      </c>
    </row>
    <row r="690">
      <c r="A690" t="inlineStr">
        <is>
          <t>Harness: Hüfttrapez von ION in Größe 54, kaum getragen, sehr guter Zustand</t>
        </is>
      </c>
      <c r="B690" s="4" t="n">
        <v>85</v>
      </c>
      <c r="C690" t="inlineStr">
        <is>
          <t>VB</t>
        </is>
      </c>
      <c r="D690" t="inlineStr">
        <is>
          <t>12309 Berlin - Tempelhof</t>
        </is>
      </c>
      <c r="E690" s="5" t="n">
        <v>45536</v>
      </c>
      <c r="F690" t="inlineStr">
        <is>
          <t>Sold</t>
        </is>
      </c>
      <c r="G690" s="6">
        <f>HYPERLINK("https://www.kleinanzeigen.de/s-anzeige/hueft-trapez-windsurfen-in-54-top/2851430682-230-3411", "Link")</f>
        <v/>
      </c>
      <c r="H690" s="6">
        <f>HYPERLINK("C:\Projects\Kleinanzeigen-Scraper\offer_images\2851430682", "Link")</f>
        <v/>
      </c>
      <c r="I690" t="inlineStr">
        <is>
          <t>Kieselbach, Katrin</t>
        </is>
      </c>
      <c r="J690" s="6">
        <f>HYPERLINK("https://www.kleinanzeigen.de/s-bestandsliste.html?userId=11081276", "Link")</f>
        <v/>
      </c>
      <c r="K690" s="7" t="n">
        <v>45536.91020833333</v>
      </c>
      <c r="L690" s="3" t="inlineStr">
        <is>
          <t>473.85</t>
        </is>
      </c>
      <c r="M690" t="inlineStr">
        <is>
          <t>Köln</t>
        </is>
      </c>
    </row>
    <row r="691">
      <c r="A691" t="inlineStr">
        <is>
          <t>Fin: MFC FS-PRO 240, guter Zustand mit einer kleinen rein optischen Macke</t>
        </is>
      </c>
      <c r="B691" s="4" t="n">
        <v>25</v>
      </c>
      <c r="C691" t="inlineStr">
        <is>
          <t>VB</t>
        </is>
      </c>
      <c r="D691" t="inlineStr">
        <is>
          <t>44789 Bochum - Bochum-Süd</t>
        </is>
      </c>
      <c r="E691" s="5" t="n">
        <v>45535</v>
      </c>
      <c r="F691" t="inlineStr">
        <is>
          <t>Sold</t>
        </is>
      </c>
      <c r="G691" s="6">
        <f>HYPERLINK("https://www.kleinanzeigen.de/s-anzeige/mfc-fs-pro-240-windsurf-finne-freestyle/2850323024-230-1945", "Link")</f>
        <v/>
      </c>
      <c r="H691" s="6">
        <f>HYPERLINK("C:\Projects\Kleinanzeigen-Scraper\offer_images\2850323024", "Link")</f>
        <v/>
      </c>
      <c r="I691" t="inlineStr">
        <is>
          <t>Julius</t>
        </is>
      </c>
      <c r="J691" s="6">
        <f>HYPERLINK("https://www.kleinanzeigen.de/s-bestandsliste.html?userId=33239781", "Link")</f>
        <v/>
      </c>
      <c r="K691" s="7" t="n">
        <v>45536.91019675926</v>
      </c>
      <c r="L691" s="3" t="inlineStr">
        <is>
          <t>61.88</t>
        </is>
      </c>
      <c r="M691" t="inlineStr">
        <is>
          <t>Köln</t>
        </is>
      </c>
    </row>
    <row r="692">
      <c r="A692" t="inlineStr">
        <is>
          <t>Mastfoot: Set of two mast feet for windsurfing</t>
        </is>
      </c>
      <c r="B692" s="4" t="n">
        <v>25</v>
      </c>
      <c r="C692" t="inlineStr"/>
      <c r="D692" t="inlineStr">
        <is>
          <t>78315 Baden-Württemberg - Radolfzell am Bodensee</t>
        </is>
      </c>
      <c r="E692" s="5" t="n">
        <v>45535</v>
      </c>
      <c r="F692" t="inlineStr">
        <is>
          <t>Sold</t>
        </is>
      </c>
      <c r="G692" s="6">
        <f>HYPERLINK("https://www.kleinanzeigen.de/s-anzeige/2x-mastfuss-windsurfen-north-pryde-set/2850683457-230-8190", "Link")</f>
        <v/>
      </c>
      <c r="H692" s="6">
        <f>HYPERLINK("C:\Projects\Kleinanzeigen-Scraper\offer_images\2850683457", "Link")</f>
        <v/>
      </c>
      <c r="I692" t="inlineStr">
        <is>
          <t>Philip</t>
        </is>
      </c>
      <c r="J692" s="6">
        <f>HYPERLINK("https://www.kleinanzeigen.de/s-bestandsliste.html?userId=2369094", "Link")</f>
        <v/>
      </c>
      <c r="K692" s="7" t="n">
        <v>45536.91018518519</v>
      </c>
      <c r="L692" s="3" t="inlineStr">
        <is>
          <t>48.46</t>
        </is>
      </c>
      <c r="M692" t="inlineStr">
        <is>
          <t>Bonndorf</t>
        </is>
      </c>
    </row>
    <row r="693">
      <c r="A693" t="inlineStr">
        <is>
          <t>Harness: Mystic Stealth Waist Harness, Carbon composite, without hook</t>
        </is>
      </c>
      <c r="B693" s="4" t="n">
        <v>399</v>
      </c>
      <c r="C693" t="inlineStr"/>
      <c r="D693" t="inlineStr">
        <is>
          <t>82319 Bayern - Starnberg</t>
        </is>
      </c>
      <c r="E693" s="5" t="n">
        <v>45556</v>
      </c>
      <c r="F693" t="inlineStr">
        <is>
          <t>Sold</t>
        </is>
      </c>
      <c r="G693" s="6">
        <f>HYPERLINK("https://www.kleinanzeigen.de/s-anzeige/mystic-stealth-waist-harness-kite-windsurf-carbon-hueft-trapez/2070455042-230-5525", "Link")</f>
        <v/>
      </c>
      <c r="H693" s="6">
        <f>HYPERLINK("C:\Projects\Kleinanzeigen-Scraper\offer_images\2070455042", "Link")</f>
        <v/>
      </c>
      <c r="I693" t="inlineStr">
        <is>
          <t>No user name</t>
        </is>
      </c>
      <c r="J693" s="6">
        <f>HYPERLINK("https://www.kleinanzeigen.deNo user link", "Link")</f>
        <v/>
      </c>
      <c r="K693" s="7" t="n">
        <v>45536.91018518519</v>
      </c>
      <c r="L693" s="3" t="inlineStr">
        <is>
          <t>23.17</t>
        </is>
      </c>
      <c r="M693" t="inlineStr">
        <is>
          <t>München</t>
        </is>
      </c>
    </row>
    <row r="694">
      <c r="A694" t="inlineStr">
        <is>
          <t>Harness: AXXIS 4 Windsurf Trapez Herren, Size 48, Waist: 74-84 cm, in excellent condition, includes ION C_Bar and steel hook.</t>
        </is>
      </c>
      <c r="B694" s="4" t="n">
        <v>65</v>
      </c>
      <c r="C694" t="inlineStr"/>
      <c r="D694" t="inlineStr">
        <is>
          <t>88279 Baden-Württemberg - Amtzell</t>
        </is>
      </c>
      <c r="E694" s="5" t="n">
        <v>45559</v>
      </c>
      <c r="F694" t="inlineStr"/>
      <c r="G694" s="6">
        <f>HYPERLINK("https://www.kleinanzeigen.de/s-anzeige/axxis-4-windsurf-trapez-herren-48-s/2837508927-230-7319", "Link")</f>
        <v/>
      </c>
      <c r="H694" s="6">
        <f>HYPERLINK("C:\Projects\Kleinanzeigen-Scraper\offer_images\2837508927", "Link")</f>
        <v/>
      </c>
      <c r="I694" t="inlineStr">
        <is>
          <t>Waltenheimer</t>
        </is>
      </c>
      <c r="J694" s="6">
        <f>HYPERLINK("https://www.kleinanzeigen.de/s-bestandsliste.html?userId=10995078", "Link")</f>
        <v/>
      </c>
      <c r="K694" s="7" t="n">
        <v>45536.91016203703</v>
      </c>
      <c r="L694" s="3" t="inlineStr">
        <is>
          <t>106.48</t>
        </is>
      </c>
      <c r="M694" t="inlineStr">
        <is>
          <t>Bonndorf</t>
        </is>
      </c>
    </row>
    <row r="695">
      <c r="A695" t="inlineStr">
        <is>
          <t>Fin: MFC Windsurf Finne Freewave 320, neuwertig, ideal für Freewave Bedingungen</t>
        </is>
      </c>
      <c r="B695" s="4" t="n">
        <v>90</v>
      </c>
      <c r="C695" t="inlineStr"/>
      <c r="D695" t="inlineStr">
        <is>
          <t>82547 Bayern - Eurasburg</t>
        </is>
      </c>
      <c r="E695" s="5" t="n">
        <v>45535</v>
      </c>
      <c r="F695" t="inlineStr">
        <is>
          <t>Sold</t>
        </is>
      </c>
      <c r="G695" s="6">
        <f>HYPERLINK("https://www.kleinanzeigen.de/s-anzeige/mfc-windsurf-finne-freewave-320-wie-neu/2850676798-230-6329", "Link")</f>
        <v/>
      </c>
      <c r="H695" s="6">
        <f>HYPERLINK("C:\Projects\Kleinanzeigen-Scraper\offer_images\2850676798", "Link")</f>
        <v/>
      </c>
      <c r="I695" t="inlineStr">
        <is>
          <t>Klaus</t>
        </is>
      </c>
      <c r="J695" s="6">
        <f>HYPERLINK("https://www.kleinanzeigen.de/s-bestandsliste.html?userId=17057014", "Link")</f>
        <v/>
      </c>
      <c r="K695" s="7" t="n">
        <v>45536.91013888889</v>
      </c>
      <c r="L695" s="3" t="inlineStr">
        <is>
          <t>33.53</t>
        </is>
      </c>
      <c r="M695" t="inlineStr">
        <is>
          <t>München</t>
        </is>
      </c>
    </row>
    <row r="696">
      <c r="A696" t="inlineStr">
        <is>
          <t>Windsurf Trapez: Kinder Windsurftrapez von NP, Größe für 11-12 Jährige</t>
        </is>
      </c>
      <c r="B696" s="4" t="n">
        <v>40</v>
      </c>
      <c r="C696" t="inlineStr">
        <is>
          <t>VB</t>
        </is>
      </c>
      <c r="D696" t="inlineStr">
        <is>
          <t>18211 Bad Doberan - Landkreis - Rethwisch</t>
        </is>
      </c>
      <c r="E696" s="5" t="n">
        <v>45535</v>
      </c>
      <c r="F696" t="inlineStr">
        <is>
          <t>Sold</t>
        </is>
      </c>
      <c r="G696" s="6">
        <f>HYPERLINK("https://www.kleinanzeigen.de/s-anzeige/windsurf-trapez-kids-np-kind/2850890130-230-16587", "Link")</f>
        <v/>
      </c>
      <c r="H696" s="6">
        <f>HYPERLINK("C:\Projects\Kleinanzeigen-Scraper\offer_images\2850890130", "Link")</f>
        <v/>
      </c>
      <c r="I696" t="inlineStr">
        <is>
          <t>Jan Brökel</t>
        </is>
      </c>
      <c r="J696" s="6">
        <f>HYPERLINK("https://www.kleinanzeigen.de/s-bestandsliste.html?userId=5315978", "Link")</f>
        <v/>
      </c>
      <c r="K696" s="7" t="n">
        <v>45536.91013888889</v>
      </c>
      <c r="L696" s="3" t="inlineStr">
        <is>
          <t>490.50</t>
        </is>
      </c>
      <c r="M696" t="inlineStr">
        <is>
          <t>Köln</t>
        </is>
      </c>
    </row>
    <row r="697">
      <c r="A697" t="inlineStr">
        <is>
          <t>Harness: North Sails trapeze in size M, adjustable, includes trapeze lines</t>
        </is>
      </c>
      <c r="B697" s="4" t="n">
        <v>30</v>
      </c>
      <c r="C697" t="inlineStr"/>
      <c r="D697" t="inlineStr">
        <is>
          <t>25746 Dithmarschen - Lohe-Rickelshof</t>
        </is>
      </c>
      <c r="E697" s="5" t="n">
        <v>45536</v>
      </c>
      <c r="F697" t="inlineStr">
        <is>
          <t>Sold</t>
        </is>
      </c>
      <c r="G697" s="6">
        <f>HYPERLINK("https://www.kleinanzeigen.de/s-anzeige/windsurfen-north-sails-trapez-inklusive-trapeztampen/2851693190-230-16650", "Link")</f>
        <v/>
      </c>
      <c r="H697" s="6">
        <f>HYPERLINK("C:\Projects\Kleinanzeigen-Scraper\offer_images\2851693190", "Link")</f>
        <v/>
      </c>
      <c r="I697" t="inlineStr">
        <is>
          <t>Olli</t>
        </is>
      </c>
      <c r="J697" s="6">
        <f>HYPERLINK("https://www.kleinanzeigen.de/s-bestandsliste.html?userId=9062935", "Link")</f>
        <v/>
      </c>
      <c r="K697" s="7" t="n">
        <v>45536.91011574074</v>
      </c>
      <c r="L697" s="3" t="inlineStr">
        <is>
          <t>389.26</t>
        </is>
      </c>
      <c r="M697" t="inlineStr">
        <is>
          <t>Köln</t>
        </is>
      </c>
    </row>
    <row r="698">
      <c r="A698" t="inlineStr">
        <is>
          <t>Harness: Prolimit Type-T, Size XL, neuwertig</t>
        </is>
      </c>
      <c r="B698" s="4" t="n">
        <v>100</v>
      </c>
      <c r="C698" t="inlineStr"/>
      <c r="D698" t="inlineStr">
        <is>
          <t>17309 Mecklenburg-Vorpommern - Pasewalk</t>
        </is>
      </c>
      <c r="E698" s="5" t="n">
        <v>45532</v>
      </c>
      <c r="F698" t="inlineStr">
        <is>
          <t>Sold</t>
        </is>
      </c>
      <c r="G698" s="6">
        <f>HYPERLINK("https://www.kleinanzeigen.de/s-anzeige/windsurf-trapez-prolimit-type-t/2848146922-230-17942", "Link")</f>
        <v/>
      </c>
      <c r="H698" s="6">
        <f>HYPERLINK("C:\Projects\Kleinanzeigen-Scraper\offer_images\2848146922", "Link")</f>
        <v/>
      </c>
      <c r="I698" t="inlineStr">
        <is>
          <t>Andreas</t>
        </is>
      </c>
      <c r="J698" s="6">
        <f>HYPERLINK("https://www.kleinanzeigen.de/s-bestandsliste.html?userId=41351720", "Link")</f>
        <v/>
      </c>
      <c r="K698" s="7" t="n">
        <v>45536.9100925926</v>
      </c>
      <c r="L698" s="3" t="inlineStr">
        <is>
          <t>557.87</t>
        </is>
      </c>
      <c r="M698" t="inlineStr">
        <is>
          <t>Köln</t>
        </is>
      </c>
    </row>
    <row r="699">
      <c r="A699" t="inlineStr">
        <is>
          <t>Harness: Neuwertiges Surf-Sitztrapez von Neil Pryde in Größe L</t>
        </is>
      </c>
      <c r="B699" s="4" t="n">
        <v>18</v>
      </c>
      <c r="C699" t="inlineStr"/>
      <c r="D699" t="inlineStr">
        <is>
          <t>32760 Nordrhein-Westfalen - Detmold</t>
        </is>
      </c>
      <c r="E699" s="5" t="n">
        <v>45528</v>
      </c>
      <c r="F699" t="inlineStr">
        <is>
          <t>Sold</t>
        </is>
      </c>
      <c r="G699" s="6">
        <f>HYPERLINK("https://www.kleinanzeigen.de/s-anzeige/windsurf-sitztapez-gr-l-von-neil-pryde/2845183451-230-1795", "Link")</f>
        <v/>
      </c>
      <c r="H699" s="6">
        <f>HYPERLINK("C:\Projects\Kleinanzeigen-Scraper\offer_images\2845183451", "Link")</f>
        <v/>
      </c>
      <c r="I699" t="inlineStr">
        <is>
          <t>Privat</t>
        </is>
      </c>
      <c r="J699" s="6">
        <f>HYPERLINK("https://www.kleinanzeigen.de/s-bestandsliste.html?userId=17823233", "Link")</f>
        <v/>
      </c>
      <c r="K699" s="7" t="n">
        <v>45536.91006944444</v>
      </c>
      <c r="L699" s="3" t="inlineStr">
        <is>
          <t>172.40</t>
        </is>
      </c>
      <c r="M699" t="inlineStr">
        <is>
          <t>Köln</t>
        </is>
      </c>
    </row>
    <row r="700">
      <c r="A700" t="inlineStr">
        <is>
          <t>Fin: Tectonics Maui Talon 28cm TB - PWA Slalom Windsurf Fin, new and unused, made from USA Military G10 material.</t>
        </is>
      </c>
      <c r="B700" s="4" t="n">
        <v>199</v>
      </c>
      <c r="C700" t="inlineStr"/>
      <c r="D700" t="inlineStr">
        <is>
          <t>67659 Rheinland-Pfalz - Kaiserslautern</t>
        </is>
      </c>
      <c r="E700" s="5" t="n">
        <v>45536</v>
      </c>
      <c r="F700" t="inlineStr">
        <is>
          <t>Sold</t>
        </is>
      </c>
      <c r="G700" s="6">
        <f>HYPERLINK("https://www.kleinanzeigen.de/s-anzeige/tectonics-maui-talon-28cm-tb-pwa-slalom-windsurf-finne-neu/2852036483-230-5469", "Link")</f>
        <v/>
      </c>
      <c r="H700" s="6">
        <f>HYPERLINK("C:\Projects\Kleinanzeigen-Scraper\offer_images\2852036483", "Link")</f>
        <v/>
      </c>
      <c r="I700" t="inlineStr">
        <is>
          <t>Shredder</t>
        </is>
      </c>
      <c r="J700" s="6">
        <f>HYPERLINK("https://www.kleinanzeigen.de/s-bestandsliste.html?userId=50941966", "Link")</f>
        <v/>
      </c>
      <c r="K700" s="7" t="n">
        <v>45536.91006944444</v>
      </c>
      <c r="L700" s="3" t="inlineStr">
        <is>
          <t>69.63</t>
        </is>
      </c>
      <c r="M700" t="inlineStr">
        <is>
          <t>Karlsruhe</t>
        </is>
      </c>
    </row>
    <row r="701">
      <c r="A701" t="inlineStr">
        <is>
          <t>Windsurf Zubehör: Various small parts including safety washers, mast plugs, mast sleeves, foot straps, and more.</t>
        </is>
      </c>
      <c r="B701" s="4" t="n">
        <v>15</v>
      </c>
      <c r="C701" t="inlineStr"/>
      <c r="D701" t="inlineStr">
        <is>
          <t>48149 Münster (Westfalen) - Gievenbeck</t>
        </is>
      </c>
      <c r="E701" s="5" t="n">
        <v>45535</v>
      </c>
      <c r="F701" t="inlineStr">
        <is>
          <t>Sold</t>
        </is>
      </c>
      <c r="G701" s="6">
        <f>HYPERLINK("https://www.kleinanzeigen.de/s-anzeige/windsurf-zubehoer-safety-washer-maststopfen-mastmanschette-usw-/2851100757-230-930", "Link")</f>
        <v/>
      </c>
      <c r="H701" s="6">
        <f>HYPERLINK("C:\Projects\Kleinanzeigen-Scraper\offer_images\2851100757", "Link")</f>
        <v/>
      </c>
      <c r="I701" t="inlineStr">
        <is>
          <t>Funsurfer</t>
        </is>
      </c>
      <c r="J701" s="6">
        <f>HYPERLINK("https://www.kleinanzeigen.de/s-bestandsliste.html?userId=22200939", "Link")</f>
        <v/>
      </c>
      <c r="K701" s="7" t="n">
        <v>45536.91006944444</v>
      </c>
      <c r="L701" s="3" t="inlineStr">
        <is>
          <t>122.21</t>
        </is>
      </c>
      <c r="M701" t="inlineStr">
        <is>
          <t>Köln</t>
        </is>
      </c>
    </row>
    <row r="702">
      <c r="A702" t="inlineStr">
        <is>
          <t>Fin: 46 cm GTX carbon, Tuttle Box from Drake, includes cover, in excellent condition</t>
        </is>
      </c>
      <c r="B702" s="4" t="n">
        <v>42</v>
      </c>
      <c r="C702" t="inlineStr"/>
      <c r="D702" t="inlineStr">
        <is>
          <t>80637 Neuhausen-Nymphenburg - Neuhausen</t>
        </is>
      </c>
      <c r="E702" s="5" t="n">
        <v>45531</v>
      </c>
      <c r="F702" t="inlineStr">
        <is>
          <t>Sold</t>
        </is>
      </c>
      <c r="G702" s="6">
        <f>HYPERLINK("https://www.kleinanzeigen.de/s-anzeige/finne-windsurfen-46-cm-gtx-carbon-tuttle-box-von-drake/2847768504-230-6422", "Link")</f>
        <v/>
      </c>
      <c r="H702" s="6">
        <f>HYPERLINK("C:\Projects\Kleinanzeigen-Scraper\offer_images\2847768504", "Link")</f>
        <v/>
      </c>
      <c r="I702" t="inlineStr">
        <is>
          <t>Klaus</t>
        </is>
      </c>
      <c r="J702" s="6">
        <f>HYPERLINK("https://www.kleinanzeigen.de/s-bestandsliste.html?userId=27325379", "Link")</f>
        <v/>
      </c>
      <c r="K702" s="7" t="n">
        <v>45536.91002314815</v>
      </c>
      <c r="L702" s="3" t="inlineStr">
        <is>
          <t>3.94</t>
        </is>
      </c>
      <c r="M702" t="inlineStr">
        <is>
          <t>München</t>
        </is>
      </c>
    </row>
    <row r="703">
      <c r="A703" t="inlineStr">
        <is>
          <t>Fin: JP Australia Freeride 28 cm, G10 quality with yellow cover</t>
        </is>
      </c>
      <c r="B703" s="4" t="n">
        <v>39</v>
      </c>
      <c r="C703" t="inlineStr">
        <is>
          <t>VB</t>
        </is>
      </c>
      <c r="D703" t="inlineStr">
        <is>
          <t>82205 Bayern - Gilching</t>
        </is>
      </c>
      <c r="E703" s="5" t="n">
        <v>45533</v>
      </c>
      <c r="F703" t="inlineStr">
        <is>
          <t>Sold</t>
        </is>
      </c>
      <c r="G703" s="6">
        <f>HYPERLINK("https://www.kleinanzeigen.de/s-anzeige/windsurf-finne-jp-freeride-28-cm/2849004191-230-15740", "Link")</f>
        <v/>
      </c>
      <c r="H703" s="6">
        <f>HYPERLINK("C:\Projects\Kleinanzeigen-Scraper\offer_images\2849004191", "Link")</f>
        <v/>
      </c>
      <c r="I703" t="inlineStr">
        <is>
          <t>Peter Grießhammer</t>
        </is>
      </c>
      <c r="J703" s="6">
        <f>HYPERLINK("https://www.kleinanzeigen.de/s-bestandsliste.html?userId=41812856", "Link")</f>
        <v/>
      </c>
      <c r="K703" s="7" t="n">
        <v>45536.91001157407</v>
      </c>
      <c r="L703" s="3" t="inlineStr">
        <is>
          <t>23.04</t>
        </is>
      </c>
      <c r="M703" t="inlineStr">
        <is>
          <t>München</t>
        </is>
      </c>
    </row>
    <row r="704">
      <c r="A704" t="inlineStr">
        <is>
          <t>Hüfttrapez: Various sizes available, new, prices range from 150 € to 420 €</t>
        </is>
      </c>
      <c r="B704" s="4" t="n">
        <v>139</v>
      </c>
      <c r="C704" t="inlineStr">
        <is>
          <t>VB</t>
        </is>
      </c>
      <c r="D704" t="inlineStr">
        <is>
          <t>37124 Niedersachsen - Rosdorf</t>
        </is>
      </c>
      <c r="E704" s="5" t="n">
        <v>45565</v>
      </c>
      <c r="F704" t="inlineStr"/>
      <c r="G704" s="6">
        <f>HYPERLINK("https://www.kleinanzeigen.de/s-anzeige/huefttrapez-windsurfen-div-groessen-ab-139-neu-2667-/2621869503-230-3133", "Link")</f>
        <v/>
      </c>
      <c r="H704" s="6">
        <f>HYPERLINK("C:\Projects\Kleinanzeigen-Scraper\offer_images\2621869503", "Link")</f>
        <v/>
      </c>
      <c r="I704" t="inlineStr">
        <is>
          <t>No user name</t>
        </is>
      </c>
      <c r="J704" s="6">
        <f>HYPERLINK("https://www.kleinanzeigen.deNo user link", "Link")</f>
        <v/>
      </c>
      <c r="K704" s="7" t="n">
        <v>45536.90998842593</v>
      </c>
      <c r="L704" s="3" t="inlineStr">
        <is>
          <t>214.72</t>
        </is>
      </c>
      <c r="M704" t="inlineStr">
        <is>
          <t>Köln</t>
        </is>
      </c>
    </row>
    <row r="705">
      <c r="A705" t="inlineStr">
        <is>
          <t>Harness: Ion Radium 7 Hüfttrapez, size L, used</t>
        </is>
      </c>
      <c r="B705" s="4" t="n">
        <v>95</v>
      </c>
      <c r="C705" t="inlineStr">
        <is>
          <t>VB</t>
        </is>
      </c>
      <c r="D705" t="inlineStr">
        <is>
          <t>16515 Brandenburg - Oranienburg</t>
        </is>
      </c>
      <c r="E705" s="5" t="n">
        <v>45536</v>
      </c>
      <c r="F705" t="inlineStr">
        <is>
          <t>Sold</t>
        </is>
      </c>
      <c r="G705" s="6">
        <f>HYPERLINK("https://www.kleinanzeigen.de/s-anzeige/ion-radium-7-huefttrapez-trapez-windsurfen-herren-gr-l-52/2851207264-230-7814", "Link")</f>
        <v/>
      </c>
      <c r="H705" s="6">
        <f>HYPERLINK("C:\Projects\Kleinanzeigen-Scraper\offer_images\2851207264", "Link")</f>
        <v/>
      </c>
      <c r="I705" t="inlineStr">
        <is>
          <t>DW</t>
        </is>
      </c>
      <c r="J705" s="6">
        <f>HYPERLINK("https://www.kleinanzeigen.de/s-bestandsliste.html?userId=7064273", "Link")</f>
        <v/>
      </c>
      <c r="K705" s="7" t="n">
        <v>45536.90998842593</v>
      </c>
      <c r="L705" s="3" t="inlineStr">
        <is>
          <t>483.59</t>
        </is>
      </c>
      <c r="M705" t="inlineStr">
        <is>
          <t>Köln</t>
        </is>
      </c>
    </row>
    <row r="706">
      <c r="A706" t="inlineStr">
        <is>
          <t>Hüfttrapez: Various used hip harnesses from different brands, unused but older stock.</t>
        </is>
      </c>
      <c r="B706" s="4" t="n">
        <v>25</v>
      </c>
      <c r="C706" t="inlineStr">
        <is>
          <t>VB</t>
        </is>
      </c>
      <c r="D706" t="inlineStr">
        <is>
          <t>37124 Niedersachsen - Rosdorf</t>
        </is>
      </c>
      <c r="E706" s="5" t="n">
        <v>45565</v>
      </c>
      <c r="F706" t="inlineStr"/>
      <c r="G706" s="6">
        <f>HYPERLINK("https://www.kleinanzeigen.de/s-anzeige/windsurfer-huefttrapez-div-neuwertig-ab-25-2668-/2621900151-230-3133", "Link")</f>
        <v/>
      </c>
      <c r="H706" s="6">
        <f>HYPERLINK("C:\Projects\Kleinanzeigen-Scraper\offer_images\2621900151", "Link")</f>
        <v/>
      </c>
      <c r="I706" t="inlineStr">
        <is>
          <t>No user name</t>
        </is>
      </c>
      <c r="J706" s="6">
        <f>HYPERLINK("https://www.kleinanzeigen.deNo user link", "Link")</f>
        <v/>
      </c>
      <c r="K706" s="7" t="n">
        <v>45536.90996527778</v>
      </c>
      <c r="L706" s="3" t="inlineStr">
        <is>
          <t>214.72</t>
        </is>
      </c>
      <c r="M706" t="inlineStr">
        <is>
          <t>Köln</t>
        </is>
      </c>
    </row>
    <row r="707">
      <c r="A707" t="inlineStr">
        <is>
          <t>Harness: Neilpryde hip harness</t>
        </is>
      </c>
      <c r="B707" s="4" t="n">
        <v>25</v>
      </c>
      <c r="C707" t="inlineStr">
        <is>
          <t>VB</t>
        </is>
      </c>
      <c r="D707" t="inlineStr">
        <is>
          <t>44267 Dortmund - Benninghofen</t>
        </is>
      </c>
      <c r="E707" s="5" t="n">
        <v>45531</v>
      </c>
      <c r="F707" t="inlineStr">
        <is>
          <t>Sold</t>
        </is>
      </c>
      <c r="G707" s="6">
        <f>HYPERLINK("https://www.kleinanzeigen.de/s-anzeige/windsurf-huefttrapez-neilpryde/2847868045-230-1088", "Link")</f>
        <v/>
      </c>
      <c r="H707" s="6">
        <f>HYPERLINK("C:\Projects\Kleinanzeigen-Scraper\offer_images\2847868045", "Link")</f>
        <v/>
      </c>
      <c r="I707" t="inlineStr">
        <is>
          <t>Nina Baars</t>
        </is>
      </c>
      <c r="J707" s="6">
        <f>HYPERLINK("https://www.kleinanzeigen.de/s-bestandsliste.html?userId=19043935", "Link")</f>
        <v/>
      </c>
      <c r="K707" s="7" t="n">
        <v>45536.90996527778</v>
      </c>
      <c r="L707" s="3" t="inlineStr">
        <is>
          <t>70.17</t>
        </is>
      </c>
      <c r="M707" t="inlineStr">
        <is>
          <t>Köln</t>
        </is>
      </c>
    </row>
    <row r="708">
      <c r="A708" t="inlineStr">
        <is>
          <t>Waist Harness: Mystic Majestic X Waist Harness for Windsurfing and Kitesurfing, available in multiple sizes and colors.</t>
        </is>
      </c>
      <c r="B708" s="4" t="n">
        <v>389</v>
      </c>
      <c r="C708" t="inlineStr"/>
      <c r="D708" t="inlineStr">
        <is>
          <t>82319 Bayern - Starnberg</t>
        </is>
      </c>
      <c r="E708" s="5" t="n">
        <v>45556</v>
      </c>
      <c r="F708" t="inlineStr">
        <is>
          <t>Sold</t>
        </is>
      </c>
      <c r="G708" s="6">
        <f>HYPERLINK("https://www.kleinanzeigen.de/s-anzeige/mystic-majestic-x-waist-harness-windsurf-kite-hueft-trapez-neu/2070406450-230-5525", "Link")</f>
        <v/>
      </c>
      <c r="H708" s="6">
        <f>HYPERLINK("C:\Projects\Kleinanzeigen-Scraper\offer_images\2070406450", "Link")</f>
        <v/>
      </c>
      <c r="I708" t="inlineStr">
        <is>
          <t>No user name</t>
        </is>
      </c>
      <c r="J708" s="6">
        <f>HYPERLINK("https://www.kleinanzeigen.deNo user link", "Link")</f>
        <v/>
      </c>
      <c r="K708" s="7" t="n">
        <v>45536.90994212963</v>
      </c>
      <c r="L708" s="3" t="inlineStr">
        <is>
          <t>23.17</t>
        </is>
      </c>
      <c r="M708" t="inlineStr">
        <is>
          <t>München</t>
        </is>
      </c>
    </row>
    <row r="709">
      <c r="A709" t="inlineStr">
        <is>
          <t>Mastschutz: Windschutz für Masten, mehrere Teile, 4-5 cm Durchmesser</t>
        </is>
      </c>
      <c r="B709" s="4" t="inlineStr">
        <is>
          <t>Zu verschenken</t>
        </is>
      </c>
      <c r="C709" t="inlineStr"/>
      <c r="D709" t="inlineStr">
        <is>
          <t>81929 München - Bogenhausen</t>
        </is>
      </c>
      <c r="E709" s="5" t="n">
        <v>45528</v>
      </c>
      <c r="F709" t="inlineStr">
        <is>
          <t>Sold</t>
        </is>
      </c>
      <c r="G709" s="6">
        <f>HYPERLINK("https://www.kleinanzeigen.de/s-anzeige/windsurf-mastschutz-4-5-cm-4x-alle-zusammen/2844904354-230-6526", "Link")</f>
        <v/>
      </c>
      <c r="H709" s="6">
        <f>HYPERLINK("C:\Projects\Kleinanzeigen-Scraper\offer_images\2844904354", "Link")</f>
        <v/>
      </c>
      <c r="I709" t="inlineStr">
        <is>
          <t>Thomas</t>
        </is>
      </c>
      <c r="J709" s="6">
        <f>HYPERLINK("https://www.kleinanzeigen.de/s-bestandsliste.html?userId=7284801", "Link")</f>
        <v/>
      </c>
      <c r="K709" s="7" t="n">
        <v>45536.90994212963</v>
      </c>
      <c r="L709" s="3" t="inlineStr">
        <is>
          <t>6.89</t>
        </is>
      </c>
      <c r="M709" t="inlineStr">
        <is>
          <t>München</t>
        </is>
      </c>
    </row>
    <row r="710">
      <c r="A710" t="inlineStr">
        <is>
          <t>Nose Protector: 3-piece, size M, suitable for medium boards (approx. 100-140 liters)</t>
        </is>
      </c>
      <c r="B710" s="4" t="n">
        <v>35</v>
      </c>
      <c r="C710" t="inlineStr"/>
      <c r="D710" t="inlineStr">
        <is>
          <t>22880 Kreis Pinneberg - Wedel</t>
        </is>
      </c>
      <c r="E710" s="5" t="n">
        <v>45531</v>
      </c>
      <c r="F710" t="inlineStr">
        <is>
          <t>Sold</t>
        </is>
      </c>
      <c r="G710" s="6">
        <f>HYPERLINK("https://www.kleinanzeigen.de/s-anzeige/patrik-eva-nose-protector-3-teilig-gr-m-windsurf-foil-slalom/2847800160-230-756", "Link")</f>
        <v/>
      </c>
      <c r="H710" s="6">
        <f>HYPERLINK("C:\Projects\Kleinanzeigen-Scraper\offer_images\2847800160", "Link")</f>
        <v/>
      </c>
      <c r="I710" t="inlineStr">
        <is>
          <t>Jahn</t>
        </is>
      </c>
      <c r="J710" s="6">
        <f>HYPERLINK("https://www.kleinanzeigen.de/s-bestandsliste.html?userId=16125684", "Link")</f>
        <v/>
      </c>
      <c r="K710" s="7" t="n">
        <v>45536.90991898148</v>
      </c>
      <c r="L710" s="3" t="inlineStr">
        <is>
          <t>349.30</t>
        </is>
      </c>
      <c r="M710" t="inlineStr">
        <is>
          <t>Köln</t>
        </is>
      </c>
    </row>
    <row r="711">
      <c r="A711" t="inlineStr">
        <is>
          <t>Fin: Winheller Slalom LTD 40, Carbon, TT-Box</t>
        </is>
      </c>
      <c r="B711" s="4" t="n">
        <v>150</v>
      </c>
      <c r="C711" t="inlineStr">
        <is>
          <t>VB</t>
        </is>
      </c>
      <c r="D711" t="inlineStr">
        <is>
          <t>32108 Nordrhein-Westfalen - Bad Salzuflen</t>
        </is>
      </c>
      <c r="E711" s="5" t="n">
        <v>45533</v>
      </c>
      <c r="F711" t="inlineStr">
        <is>
          <t>Sold</t>
        </is>
      </c>
      <c r="G711" s="6">
        <f>HYPERLINK("https://www.kleinanzeigen.de/s-anzeige/windsurf-finne-winheller-slalom-ltd-40-tt-box/2849320216-230-1900", "Link")</f>
        <v/>
      </c>
      <c r="H711" s="6">
        <f>HYPERLINK("C:\Projects\Kleinanzeigen-Scraper\offer_images\2849320216", "Link")</f>
        <v/>
      </c>
      <c r="I711" t="inlineStr">
        <is>
          <t>ARBS</t>
        </is>
      </c>
      <c r="J711" s="6">
        <f>HYPERLINK("https://www.kleinanzeigen.de/s-bestandsliste.html?userId=4066764", "Link")</f>
        <v/>
      </c>
      <c r="K711" s="7" t="n">
        <v>45536.90991898148</v>
      </c>
      <c r="L711" s="3" t="inlineStr">
        <is>
          <t>180.99</t>
        </is>
      </c>
      <c r="M711" t="inlineStr">
        <is>
          <t>Köln</t>
        </is>
      </c>
    </row>
    <row r="712">
      <c r="A712" t="inlineStr">
        <is>
          <t>Fins: Various fins for windsurfing, Footstraps: New, Mastfoot: Included, and Protective Cover</t>
        </is>
      </c>
      <c r="B712" s="4" t="n">
        <v>95</v>
      </c>
      <c r="C712" t="inlineStr">
        <is>
          <t>VB</t>
        </is>
      </c>
      <c r="D712" t="inlineStr">
        <is>
          <t>42699 Nordrhein-Westfalen - Solingen</t>
        </is>
      </c>
      <c r="E712" s="5" t="n">
        <v>45536</v>
      </c>
      <c r="F712" t="inlineStr">
        <is>
          <t>Sold</t>
        </is>
      </c>
      <c r="G712" s="6">
        <f>HYPERLINK("https://www.kleinanzeigen.de/s-anzeige/windsurfen-finnen-mastfuss-und-schoner/2851934120-230-2124", "Link")</f>
        <v/>
      </c>
      <c r="H712" s="6">
        <f>HYPERLINK("C:\Projects\Kleinanzeigen-Scraper\offer_images\2851934120", "Link")</f>
        <v/>
      </c>
      <c r="I712" t="inlineStr">
        <is>
          <t>Menzel</t>
        </is>
      </c>
      <c r="J712" s="6">
        <f>HYPERLINK("https://www.kleinanzeigen.de/s-bestandsliste.html?userId=5766831", "Link")</f>
        <v/>
      </c>
      <c r="K712" s="7" t="n">
        <v>45536.90989583333</v>
      </c>
      <c r="L712" s="3" t="inlineStr">
        <is>
          <t>23.02</t>
        </is>
      </c>
      <c r="M712" t="inlineStr">
        <is>
          <t>Köln</t>
        </is>
      </c>
    </row>
    <row r="713">
      <c r="A713" t="inlineStr">
        <is>
          <t>Fin: Tuttle Box, 40 cm</t>
        </is>
      </c>
      <c r="B713" s="4" t="n">
        <v>55</v>
      </c>
      <c r="C713" t="inlineStr"/>
      <c r="D713" t="inlineStr">
        <is>
          <t>50858 Köln - Junkersdorf</t>
        </is>
      </c>
      <c r="E713" s="5" t="n">
        <v>45530</v>
      </c>
      <c r="F713" t="inlineStr">
        <is>
          <t>Sold</t>
        </is>
      </c>
      <c r="G713" s="6">
        <f>HYPERLINK("https://www.kleinanzeigen.de/s-anzeige/maui-ultra-fins-finne-race-slalom-windsurfen/2847297792-230-17139", "Link")</f>
        <v/>
      </c>
      <c r="H713" s="6">
        <f>HYPERLINK("C:\Projects\Kleinanzeigen-Scraper\offer_images\2847297792", "Link")</f>
        <v/>
      </c>
      <c r="I713" t="inlineStr">
        <is>
          <t>Ingo Riemann</t>
        </is>
      </c>
      <c r="J713" s="6">
        <f>HYPERLINK("https://www.kleinanzeigen.de/s-bestandsliste.html?userId=54165116", "Link")</f>
        <v/>
      </c>
      <c r="K713" s="7" t="n">
        <v>45536.90987268519</v>
      </c>
      <c r="L713" s="3" t="inlineStr">
        <is>
          <t>7.26</t>
        </is>
      </c>
      <c r="M713" t="inlineStr">
        <is>
          <t>Köln</t>
        </is>
      </c>
    </row>
    <row r="714">
      <c r="A714" t="inlineStr">
        <is>
          <t>Harness: ASCAN Windsurf Hüfttrapez, Size M, new</t>
        </is>
      </c>
      <c r="B714" s="4" t="n">
        <v>60</v>
      </c>
      <c r="C714" t="inlineStr"/>
      <c r="D714" t="inlineStr">
        <is>
          <t>04207 Leipzig - Kleinzschocher</t>
        </is>
      </c>
      <c r="E714" s="5" t="n">
        <v>45536</v>
      </c>
      <c r="F714" t="inlineStr">
        <is>
          <t>Sold</t>
        </is>
      </c>
      <c r="G714" s="6">
        <f>HYPERLINK("https://www.kleinanzeigen.de/s-anzeige/ascan-windsurf-huefttrapez/2851981542-230-4249", "Link")</f>
        <v/>
      </c>
      <c r="H714" s="6">
        <f>HYPERLINK("C:\Projects\Kleinanzeigen-Scraper\offer_images\2851981542", "Link")</f>
        <v/>
      </c>
      <c r="I714" t="inlineStr">
        <is>
          <t>Holger Gottschalk</t>
        </is>
      </c>
      <c r="J714" s="6">
        <f>HYPERLINK("https://www.kleinanzeigen.de/s-bestandsliste.html?userId=72504454", "Link")</f>
        <v/>
      </c>
      <c r="K714" s="7" t="n">
        <v>45536.90987268519</v>
      </c>
      <c r="L714" s="3" t="inlineStr">
        <is>
          <t>356.56</t>
        </is>
      </c>
      <c r="M714" t="inlineStr">
        <is>
          <t>München</t>
        </is>
      </c>
    </row>
    <row r="715">
      <c r="A715" t="inlineStr">
        <is>
          <t>Harness: Sitztrapez für Windsurfen</t>
        </is>
      </c>
      <c r="B715" s="4" t="n">
        <v>30</v>
      </c>
      <c r="C715" t="inlineStr">
        <is>
          <t>VB</t>
        </is>
      </c>
      <c r="D715" t="inlineStr">
        <is>
          <t>24782 Schleswig-Holstein - Büdelsdorf</t>
        </is>
      </c>
      <c r="E715" s="5" t="n">
        <v>45530</v>
      </c>
      <c r="F715" t="inlineStr">
        <is>
          <t>Sold</t>
        </is>
      </c>
      <c r="G715" s="6">
        <f>HYPERLINK("https://www.kleinanzeigen.de/s-anzeige/sitztrapez-windsurfen-wassersport/2847047187-230-18947", "Link")</f>
        <v/>
      </c>
      <c r="H715" s="6">
        <f>HYPERLINK("C:\Projects\Kleinanzeigen-Scraper\offer_images\2847047187", "Link")</f>
        <v/>
      </c>
      <c r="I715" t="inlineStr">
        <is>
          <t>Ri</t>
        </is>
      </c>
      <c r="J715" s="6">
        <f>HYPERLINK("https://www.kleinanzeigen.de/s-bestandsliste.html?userId=22381178", "Link")</f>
        <v/>
      </c>
      <c r="K715" s="7" t="n">
        <v>45536.90984953703</v>
      </c>
      <c r="L715" s="3" t="inlineStr">
        <is>
          <t>419.12</t>
        </is>
      </c>
      <c r="M715" t="inlineStr">
        <is>
          <t>Köln</t>
        </is>
      </c>
    </row>
    <row r="716">
      <c r="A716" t="inlineStr">
        <is>
          <t>Harness: Used trapeze from Northsails, size L, shipping possible</t>
        </is>
      </c>
      <c r="B716" s="4" t="n">
        <v>20</v>
      </c>
      <c r="C716" t="inlineStr">
        <is>
          <t>VB</t>
        </is>
      </c>
      <c r="D716" t="inlineStr">
        <is>
          <t>45359 Essen - Essen-Borbeck</t>
        </is>
      </c>
      <c r="E716" s="5" t="n">
        <v>45530</v>
      </c>
      <c r="F716" t="inlineStr">
        <is>
          <t>Sold</t>
        </is>
      </c>
      <c r="G716" s="6">
        <f>HYPERLINK("https://www.kleinanzeigen.de/s-anzeige/windsurfen-northsails-trapez-/2847047174-241-2034", "Link")</f>
        <v/>
      </c>
      <c r="H716" s="6">
        <f>HYPERLINK("C:\Projects\Kleinanzeigen-Scraper\offer_images\2847047174", "Link")</f>
        <v/>
      </c>
      <c r="I716" t="inlineStr">
        <is>
          <t>Klaus Wientgens</t>
        </is>
      </c>
      <c r="J716" s="6">
        <f>HYPERLINK("https://www.kleinanzeigen.de/s-bestandsliste.html?userId=4524911", "Link")</f>
        <v/>
      </c>
      <c r="K716" s="7" t="n">
        <v>45536.90983796296</v>
      </c>
      <c r="L716" s="3" t="inlineStr">
        <is>
          <t>58.66</t>
        </is>
      </c>
      <c r="M716" t="inlineStr">
        <is>
          <t>Köln</t>
        </is>
      </c>
    </row>
    <row r="717">
      <c r="A717" t="inlineStr">
        <is>
          <t>Mast extension: Various lengths, includes 1x 20cm with and without tampen, and 1x 0-base with tampen, all in good condition.</t>
        </is>
      </c>
      <c r="B717" s="4" t="n">
        <v>50</v>
      </c>
      <c r="C717" t="inlineStr"/>
      <c r="D717" t="inlineStr">
        <is>
          <t>78315 Baden-Württemberg - Radolfzell am Bodensee</t>
        </is>
      </c>
      <c r="E717" s="5" t="n">
        <v>45535</v>
      </c>
      <c r="F717" t="inlineStr">
        <is>
          <t>Sold</t>
        </is>
      </c>
      <c r="G717" s="6">
        <f>HYPERLINK("https://www.kleinanzeigen.de/s-anzeige/3-stueck-surf-mastverlaengerung-verschiedene-groessen-windsurfen/2850693783-230-8190", "Link")</f>
        <v/>
      </c>
      <c r="H717" s="6">
        <f>HYPERLINK("C:\Projects\Kleinanzeigen-Scraper\offer_images\2850693783", "Link")</f>
        <v/>
      </c>
      <c r="I717" t="inlineStr">
        <is>
          <t>Philip</t>
        </is>
      </c>
      <c r="J717" s="6">
        <f>HYPERLINK("https://www.kleinanzeigen.de/s-bestandsliste.html?userId=2369094", "Link")</f>
        <v/>
      </c>
      <c r="K717" s="7" t="n">
        <v>45536.90983796296</v>
      </c>
      <c r="L717" s="3" t="inlineStr">
        <is>
          <t>48.46</t>
        </is>
      </c>
      <c r="M717" t="inlineStr">
        <is>
          <t>Bonndorf</t>
        </is>
      </c>
    </row>
    <row r="718">
      <c r="A718" t="inlineStr">
        <is>
          <t>Mastfoot: Mastfuß mit Base, Aussendurchmesser 48mm</t>
        </is>
      </c>
      <c r="B718" s="4" t="n">
        <v>20</v>
      </c>
      <c r="C718" t="inlineStr"/>
      <c r="D718" t="inlineStr">
        <is>
          <t>81369 München - Sendling</t>
        </is>
      </c>
      <c r="E718" s="5" t="n">
        <v>45533</v>
      </c>
      <c r="F718" t="inlineStr">
        <is>
          <t>Sold</t>
        </is>
      </c>
      <c r="G718" s="6">
        <f>HYPERLINK("https://www.kleinanzeigen.de/s-anzeige/mastfuss-windsurfen-48mm/2849139480-230-16382", "Link")</f>
        <v/>
      </c>
      <c r="H718" s="6">
        <f>HYPERLINK("C:\Projects\Kleinanzeigen-Scraper\offer_images\2849139480", "Link")</f>
        <v/>
      </c>
      <c r="I718" t="inlineStr">
        <is>
          <t>Moritz von Unold</t>
        </is>
      </c>
      <c r="J718" s="6">
        <f>HYPERLINK("https://www.kleinanzeigen.de/s-bestandsliste.html?userId=24552406", "Link")</f>
        <v/>
      </c>
      <c r="K718" s="7" t="n">
        <v>45536.90982638889</v>
      </c>
      <c r="L718" s="3" t="inlineStr">
        <is>
          <t>4.53</t>
        </is>
      </c>
      <c r="M718" t="inlineStr">
        <is>
          <t>München</t>
        </is>
      </c>
    </row>
    <row r="719">
      <c r="A719" t="inlineStr">
        <is>
          <t>Harness: Mystic Marshall Seat Harness, available in sizes L, XL, XXL, XS, S, M, new</t>
        </is>
      </c>
      <c r="B719" s="4" t="n">
        <v>239</v>
      </c>
      <c r="C719" t="inlineStr"/>
      <c r="D719" t="inlineStr">
        <is>
          <t>82319 Bayern - Starnberg</t>
        </is>
      </c>
      <c r="E719" s="5" t="n">
        <v>45556</v>
      </c>
      <c r="F719" t="inlineStr">
        <is>
          <t>Sold</t>
        </is>
      </c>
      <c r="G719" s="6">
        <f>HYPERLINK("https://www.kleinanzeigen.de/s-anzeige/mystic-marshall-seat-harness-sitz-trapez-kite-windsurf-neu/2070314992-230-5525", "Link")</f>
        <v/>
      </c>
      <c r="H719" s="6">
        <f>HYPERLINK("C:\Projects\Kleinanzeigen-Scraper\offer_images\2070314992", "Link")</f>
        <v/>
      </c>
      <c r="I719" t="inlineStr">
        <is>
          <t>No user name</t>
        </is>
      </c>
      <c r="J719" s="6">
        <f>HYPERLINK("https://www.kleinanzeigen.deNo user link", "Link")</f>
        <v/>
      </c>
      <c r="K719" s="7" t="n">
        <v>45536.90979166667</v>
      </c>
      <c r="L719" s="3" t="inlineStr">
        <is>
          <t>23.17</t>
        </is>
      </c>
      <c r="M719" t="inlineStr">
        <is>
          <t>München</t>
        </is>
      </c>
    </row>
    <row r="720">
      <c r="A720" t="inlineStr">
        <is>
          <t>Fin: Mistral PRO-Aim Crossover Finne for Powerbox, used with typical scratches on the tip.</t>
        </is>
      </c>
      <c r="B720" s="4" t="n">
        <v>25</v>
      </c>
      <c r="C720" t="inlineStr"/>
      <c r="D720" t="inlineStr">
        <is>
          <t>71296 Baden-Württemberg - Heimsheim</t>
        </is>
      </c>
      <c r="E720" s="5" t="n">
        <v>45536</v>
      </c>
      <c r="F720" t="inlineStr">
        <is>
          <t>Sold</t>
        </is>
      </c>
      <c r="G720" s="6">
        <f>HYPERLINK("https://www.kleinanzeigen.de/s-anzeige/mistral-pro-aim-crossover-finne-windsurfen-surfbrett-koester/2851969247-230-8405", "Link")</f>
        <v/>
      </c>
      <c r="H720" s="6">
        <f>HYPERLINK("C:\Projects\Kleinanzeigen-Scraper\offer_images\2851969247", "Link")</f>
        <v/>
      </c>
      <c r="I720" t="inlineStr">
        <is>
          <t>Treuth</t>
        </is>
      </c>
      <c r="J720" s="6">
        <f>HYPERLINK("https://www.kleinanzeigen.de/s-bestandsliste.html?userId=25699107", "Link")</f>
        <v/>
      </c>
      <c r="K720" s="7" t="n">
        <v>45536.90979166667</v>
      </c>
      <c r="L720" s="3" t="inlineStr">
        <is>
          <t>16.81</t>
        </is>
      </c>
      <c r="M720" t="inlineStr">
        <is>
          <t>Böblingen</t>
        </is>
      </c>
    </row>
    <row r="721">
      <c r="A721" t="inlineStr">
        <is>
          <t>Harness: Da Kine hip harness in top condition, lightly used, includes safety lines.</t>
        </is>
      </c>
      <c r="B721" s="4" t="n">
        <v>80</v>
      </c>
      <c r="C721" t="inlineStr">
        <is>
          <t>VB</t>
        </is>
      </c>
      <c r="D721" t="inlineStr">
        <is>
          <t>66740 Saarland - Saarlouis</t>
        </is>
      </c>
      <c r="E721" s="5" t="n">
        <v>45535</v>
      </c>
      <c r="F721" t="inlineStr">
        <is>
          <t>Sold</t>
        </is>
      </c>
      <c r="G721" s="6">
        <f>HYPERLINK("https://www.kleinanzeigen.de/s-anzeige/windsurf-huefttrapez-da-kine/2850749146-230-369", "Link")</f>
        <v/>
      </c>
      <c r="H721" s="6">
        <f>HYPERLINK("C:\Projects\Kleinanzeigen-Scraper\offer_images\2850749146", "Link")</f>
        <v/>
      </c>
      <c r="I721" t="inlineStr">
        <is>
          <t>Peter</t>
        </is>
      </c>
      <c r="J721" s="6">
        <f>HYPERLINK("https://www.kleinanzeigen.de/s-bestandsliste.html?userId=21245490", "Link")</f>
        <v/>
      </c>
      <c r="K721" s="7" t="n">
        <v>45536.90976851852</v>
      </c>
      <c r="L721" s="3" t="inlineStr">
        <is>
          <t>124.87</t>
        </is>
      </c>
      <c r="M721" t="inlineStr">
        <is>
          <t>Karlsruhe</t>
        </is>
      </c>
    </row>
    <row r="722">
      <c r="A722" t="inlineStr">
        <is>
          <t>Harness: Hüfttrapez für Windsurfen oder Kitesurfen, sehr guter Zustand</t>
        </is>
      </c>
      <c r="B722" s="4" t="n">
        <v>50</v>
      </c>
      <c r="C722" t="inlineStr">
        <is>
          <t>VB</t>
        </is>
      </c>
      <c r="D722" t="inlineStr">
        <is>
          <t>13158 Berlin - Pankow</t>
        </is>
      </c>
      <c r="E722" s="5" t="n">
        <v>45530</v>
      </c>
      <c r="F722" t="inlineStr">
        <is>
          <t>Sold</t>
        </is>
      </c>
      <c r="G722" s="6">
        <f>HYPERLINK("https://www.kleinanzeigen.de/s-anzeige/huefttrapez-fuer-windsurfen-oder-kitesurfen/2846767181-230-3470", "Link")</f>
        <v/>
      </c>
      <c r="H722" s="6">
        <f>HYPERLINK("C:\Projects\Kleinanzeigen-Scraper\offer_images\2846767181", "Link")</f>
        <v/>
      </c>
      <c r="I722" t="inlineStr">
        <is>
          <t>Artem</t>
        </is>
      </c>
      <c r="J722" s="6">
        <f>HYPERLINK("https://www.kleinanzeigen.de/s-bestandsliste.html?userId=85309350", "Link")</f>
        <v/>
      </c>
      <c r="K722" s="7" t="n">
        <v>45536.90972222222</v>
      </c>
      <c r="L722" s="3" t="inlineStr">
        <is>
          <t>478.92</t>
        </is>
      </c>
      <c r="M722" t="inlineStr">
        <is>
          <t>Köln</t>
        </is>
      </c>
    </row>
    <row r="723">
      <c r="A723" t="inlineStr">
        <is>
          <t>Harness: Fanatic Sitztrapez with light signs of use, especially on the hook.</t>
        </is>
      </c>
      <c r="B723" s="4" t="n">
        <v>17</v>
      </c>
      <c r="C723" t="inlineStr">
        <is>
          <t>VB</t>
        </is>
      </c>
      <c r="D723" t="inlineStr">
        <is>
          <t>28816 Niedersachsen - Stuhr</t>
        </is>
      </c>
      <c r="E723" s="5" t="n">
        <v>45534</v>
      </c>
      <c r="F723" t="inlineStr">
        <is>
          <t>Sold</t>
        </is>
      </c>
      <c r="G723" s="6">
        <f>HYPERLINK("https://www.kleinanzeigen.de/s-anzeige/fanatic-sitztrapez-windsurfen/2850240470-230-2735", "Link")</f>
        <v/>
      </c>
      <c r="H723" s="6">
        <f>HYPERLINK("C:\Projects\Kleinanzeigen-Scraper\offer_images\2850240470", "Link")</f>
        <v/>
      </c>
      <c r="I723" t="inlineStr">
        <is>
          <t>CKö</t>
        </is>
      </c>
      <c r="J723" s="6">
        <f>HYPERLINK("https://www.kleinanzeigen.de/s-bestandsliste.html?userId=43904820", "Link")</f>
        <v/>
      </c>
      <c r="K723" s="7" t="n">
        <v>45536.9096875</v>
      </c>
      <c r="L723" s="3" t="inlineStr">
        <is>
          <t>259.72</t>
        </is>
      </c>
      <c r="M723" t="inlineStr">
        <is>
          <t>Köln</t>
        </is>
      </c>
    </row>
    <row r="724">
      <c r="A724" t="inlineStr">
        <is>
          <t>Trapeztampen: New set of trapeze lines from Duotone, 26cm</t>
        </is>
      </c>
      <c r="B724" s="4" t="n">
        <v>20</v>
      </c>
      <c r="C724" t="inlineStr"/>
      <c r="D724" t="inlineStr">
        <is>
          <t>24975 Schleswig-Holstein - Maasbüll</t>
        </is>
      </c>
      <c r="E724" s="5" t="n">
        <v>45528</v>
      </c>
      <c r="F724" t="inlineStr">
        <is>
          <t>Sold</t>
        </is>
      </c>
      <c r="G724" s="6">
        <f>HYPERLINK("https://www.kleinanzeigen.de/s-anzeige/windsurfen-trapeztampen-neu-duotone-26cm/2844717385-230-725", "Link")</f>
        <v/>
      </c>
      <c r="H724" s="6">
        <f>HYPERLINK("C:\Projects\Kleinanzeigen-Scraper\offer_images\2844717385", "Link")</f>
        <v/>
      </c>
      <c r="I724" t="inlineStr">
        <is>
          <t>Tom Swane</t>
        </is>
      </c>
      <c r="J724" s="6">
        <f>HYPERLINK("https://www.kleinanzeigen.de/s-bestandsliste.html?userId=8423221", "Link")</f>
        <v/>
      </c>
      <c r="K724" s="7" t="n">
        <v>45536.90966435185</v>
      </c>
      <c r="L724" s="3" t="inlineStr">
        <is>
          <t>458.46</t>
        </is>
      </c>
      <c r="M724" t="inlineStr">
        <is>
          <t>Köln</t>
        </is>
      </c>
    </row>
    <row r="725">
      <c r="A725" t="inlineStr">
        <is>
          <t>Harness: Sitztrapez für Windsurfer oder Kiter, Hersteller: Niel Pryde International, Größe: M, Farbe: weiß, schwarz &amp; hellblau</t>
        </is>
      </c>
      <c r="B725" s="4" t="n">
        <v>30</v>
      </c>
      <c r="C725" t="inlineStr">
        <is>
          <t>VB</t>
        </is>
      </c>
      <c r="D725" t="inlineStr">
        <is>
          <t>22305 Hamburg-Nord - Hamburg Barmbek</t>
        </is>
      </c>
      <c r="E725" s="5" t="n">
        <v>45536</v>
      </c>
      <c r="F725" t="inlineStr">
        <is>
          <t>Sold</t>
        </is>
      </c>
      <c r="G725" s="6">
        <f>HYPERLINK("https://www.kleinanzeigen.de/s-anzeige/trapez-fuer-windsurfer/2851600364-230-9448", "Link")</f>
        <v/>
      </c>
      <c r="H725" s="6">
        <f>HYPERLINK("C:\Projects\Kleinanzeigen-Scraper\offer_images\2851600364", "Link")</f>
        <v/>
      </c>
      <c r="I725" t="inlineStr">
        <is>
          <t>Wolff Mattuschka</t>
        </is>
      </c>
      <c r="J725" s="6">
        <f>HYPERLINK("https://www.kleinanzeigen.de/s-bestandsliste.html?userId=39504204", "Link")</f>
        <v/>
      </c>
      <c r="K725" s="7" t="n">
        <v>45536.90966435185</v>
      </c>
      <c r="L725" s="3" t="inlineStr">
        <is>
          <t>362.38</t>
        </is>
      </c>
      <c r="M725" t="inlineStr">
        <is>
          <t>Köln</t>
        </is>
      </c>
    </row>
    <row r="726">
      <c r="A726" t="inlineStr">
        <is>
          <t>Fin: T-Zone Wave 260cm in used condition, Powerbox</t>
        </is>
      </c>
      <c r="B726" s="4" t="n">
        <v>20</v>
      </c>
      <c r="C726" t="inlineStr">
        <is>
          <t>VB</t>
        </is>
      </c>
      <c r="D726" t="inlineStr">
        <is>
          <t>24582 Schleswig-Holstein - Bordesholm</t>
        </is>
      </c>
      <c r="E726" s="5" t="n">
        <v>45528</v>
      </c>
      <c r="F726" t="inlineStr">
        <is>
          <t>Sold</t>
        </is>
      </c>
      <c r="G726" s="6">
        <f>HYPERLINK("https://www.kleinanzeigen.de/s-anzeige/t-zone-wave-26-windsurf-finne/2844955156-230-10590", "Link")</f>
        <v/>
      </c>
      <c r="H726" s="6">
        <f>HYPERLINK("C:\Projects\Kleinanzeigen-Scraper\offer_images\2844955156", "Link")</f>
        <v/>
      </c>
      <c r="I726" t="inlineStr">
        <is>
          <t>Herbst</t>
        </is>
      </c>
      <c r="J726" s="6">
        <f>HYPERLINK("https://www.kleinanzeigen.de/s-bestandsliste.html?userId=22981411", "Link")</f>
        <v/>
      </c>
      <c r="K726" s="7" t="n">
        <v>45536.90966435185</v>
      </c>
      <c r="L726" s="3" t="inlineStr">
        <is>
          <t>413.93</t>
        </is>
      </c>
      <c r="M726" t="inlineStr">
        <is>
          <t>Köln</t>
        </is>
      </c>
    </row>
    <row r="727">
      <c r="A727" t="inlineStr">
        <is>
          <t>Uphall: New Gunsails Aufholleine with a used Pryde included</t>
        </is>
      </c>
      <c r="B727" s="4" t="n">
        <v>10</v>
      </c>
      <c r="C727" t="inlineStr"/>
      <c r="D727" t="inlineStr">
        <is>
          <t>78315 Baden-Württemberg - Radolfzell am Bodensee</t>
        </is>
      </c>
      <c r="E727" s="5" t="n">
        <v>45535</v>
      </c>
      <c r="F727" t="inlineStr">
        <is>
          <t>Sold</t>
        </is>
      </c>
      <c r="G727" s="6">
        <f>HYPERLINK("https://www.kleinanzeigen.de/s-anzeige/gunsails-startschot-neu-windsurfen-aufholleine-uphall/2850685970-230-8190", "Link")</f>
        <v/>
      </c>
      <c r="H727" s="6">
        <f>HYPERLINK("C:\Projects\Kleinanzeigen-Scraper\offer_images\2850685970", "Link")</f>
        <v/>
      </c>
      <c r="I727" t="inlineStr">
        <is>
          <t>Philip</t>
        </is>
      </c>
      <c r="J727" s="6">
        <f>HYPERLINK("https://www.kleinanzeigen.de/s-bestandsliste.html?userId=2369094", "Link")</f>
        <v/>
      </c>
      <c r="K727" s="7" t="n">
        <v>45536.9096412037</v>
      </c>
      <c r="L727" s="3" t="inlineStr">
        <is>
          <t>48.46</t>
        </is>
      </c>
      <c r="M727" t="inlineStr">
        <is>
          <t>Bonndorf</t>
        </is>
      </c>
    </row>
    <row r="728">
      <c r="A728" t="inlineStr">
        <is>
          <t>Fins: Various Freestyle fins, all Powerbox, used but fully functional. Prices: F2 fins at 25€, MISTRAL at 20€, MfC at 40€.</t>
        </is>
      </c>
      <c r="B728" s="4" t="n">
        <v>20</v>
      </c>
      <c r="C728" t="inlineStr"/>
      <c r="D728" t="inlineStr">
        <is>
          <t>78315 Baden-Württemberg - Radolfzell am Bodensee</t>
        </is>
      </c>
      <c r="E728" s="5" t="n">
        <v>45535</v>
      </c>
      <c r="F728" t="inlineStr">
        <is>
          <t>Sold</t>
        </is>
      </c>
      <c r="G728" s="6">
        <f>HYPERLINK("https://www.kleinanzeigen.de/s-anzeige/freestyle-finnen-windsurfen-ab-20-cm/2850691011-230-8190", "Link")</f>
        <v/>
      </c>
      <c r="H728" s="6">
        <f>HYPERLINK("C:\Projects\Kleinanzeigen-Scraper\offer_images\2850691011", "Link")</f>
        <v/>
      </c>
      <c r="I728" t="inlineStr">
        <is>
          <t>Philip</t>
        </is>
      </c>
      <c r="J728" s="6">
        <f>HYPERLINK("https://www.kleinanzeigen.de/s-bestandsliste.html?userId=2369094", "Link")</f>
        <v/>
      </c>
      <c r="K728" s="7" t="n">
        <v>45536.90961805556</v>
      </c>
      <c r="L728" s="3" t="inlineStr">
        <is>
          <t>48.46</t>
        </is>
      </c>
      <c r="M728" t="inlineStr">
        <is>
          <t>Bonndorf</t>
        </is>
      </c>
    </row>
    <row r="729">
      <c r="A729" t="inlineStr">
        <is>
          <t>Mastfoot: Streamlined Tendon Slalom, neuwertig, max. Kraftübertragung</t>
        </is>
      </c>
      <c r="B729" s="4" t="n">
        <v>65</v>
      </c>
      <c r="C729" t="inlineStr">
        <is>
          <t>VB</t>
        </is>
      </c>
      <c r="D729" t="inlineStr">
        <is>
          <t>24975 Schleswig-Holstein - Maasbüll</t>
        </is>
      </c>
      <c r="E729" s="5" t="n">
        <v>45526</v>
      </c>
      <c r="F729" t="inlineStr">
        <is>
          <t>Sold</t>
        </is>
      </c>
      <c r="G729" s="6">
        <f>HYPERLINK("https://www.kleinanzeigen.de/s-anzeige/mastfuss-windsurfen-streamlined-tendon-slalom/2843748659-230-725", "Link")</f>
        <v/>
      </c>
      <c r="H729" s="6">
        <f>HYPERLINK("C:\Projects\Kleinanzeigen-Scraper\offer_images\2843748659", "Link")</f>
        <v/>
      </c>
      <c r="I729" t="inlineStr">
        <is>
          <t>Tom Swane</t>
        </is>
      </c>
      <c r="J729" s="6">
        <f>HYPERLINK("https://www.kleinanzeigen.de/s-bestandsliste.html?userId=8423221", "Link")</f>
        <v/>
      </c>
      <c r="K729" s="7" t="n">
        <v>45536.90959490741</v>
      </c>
      <c r="L729" s="3" t="inlineStr">
        <is>
          <t>458.46</t>
        </is>
      </c>
      <c r="M729" t="inlineStr">
        <is>
          <t>Köln</t>
        </is>
      </c>
    </row>
    <row r="730">
      <c r="A730" t="inlineStr">
        <is>
          <t>Harness: Mystic Dazzled Waist Harness for Women, color Phantom Grey, available sizes L, XS, S, M</t>
        </is>
      </c>
      <c r="B730" s="4" t="n">
        <v>189</v>
      </c>
      <c r="C730" t="inlineStr"/>
      <c r="D730" t="inlineStr">
        <is>
          <t>82319 Bayern - Starnberg</t>
        </is>
      </c>
      <c r="E730" s="5" t="n">
        <v>45556</v>
      </c>
      <c r="F730" t="inlineStr"/>
      <c r="G730" s="6">
        <f>HYPERLINK("https://www.kleinanzeigen.de/s-anzeige/mystic-dazzled-waist-harness-windsurf-women-phantom-grey-hueft/2070507635-230-5525", "Link")</f>
        <v/>
      </c>
      <c r="H730" s="6">
        <f>HYPERLINK("C:\Projects\Kleinanzeigen-Scraper\offer_images\2070507635", "Link")</f>
        <v/>
      </c>
      <c r="I730" t="inlineStr">
        <is>
          <t>No user name</t>
        </is>
      </c>
      <c r="J730" s="6">
        <f>HYPERLINK("https://www.kleinanzeigen.deNo user link", "Link")</f>
        <v/>
      </c>
      <c r="K730" s="7" t="n">
        <v>45536.90958333333</v>
      </c>
      <c r="L730" s="3" t="inlineStr">
        <is>
          <t>23.17</t>
        </is>
      </c>
      <c r="M730" t="inlineStr">
        <is>
          <t>München</t>
        </is>
      </c>
    </row>
    <row r="731">
      <c r="A731" t="inlineStr">
        <is>
          <t>Fin: TEKKNO SPORT Dynamite 215, new and unused</t>
        </is>
      </c>
      <c r="B731" s="4" t="n">
        <v>35</v>
      </c>
      <c r="C731" t="inlineStr">
        <is>
          <t>VB</t>
        </is>
      </c>
      <c r="D731" t="inlineStr">
        <is>
          <t>26817 Niedersachsen - Rhauderfehn</t>
        </is>
      </c>
      <c r="E731" s="5" t="n">
        <v>45527</v>
      </c>
      <c r="F731" t="inlineStr">
        <is>
          <t>Sold</t>
        </is>
      </c>
      <c r="G731" s="6">
        <f>HYPERLINK("https://www.kleinanzeigen.de/s-anzeige/finne-tekkno-sport-dynamite-215neu-windsurfen-surfen-zu-verkaufen/2843924210-230-2761", "Link")</f>
        <v/>
      </c>
      <c r="H731" s="6">
        <f>HYPERLINK("C:\Projects\Kleinanzeigen-Scraper\offer_images\2843924210", "Link")</f>
        <v/>
      </c>
      <c r="I731" t="inlineStr">
        <is>
          <t>Prins</t>
        </is>
      </c>
      <c r="J731" s="6">
        <f>HYPERLINK("https://www.kleinanzeigen.de/s-bestandsliste.html?userId=8738393", "Link")</f>
        <v/>
      </c>
      <c r="K731" s="7" t="n">
        <v>45536.90956018519</v>
      </c>
      <c r="L731" s="3" t="inlineStr">
        <is>
          <t>247.02</t>
        </is>
      </c>
      <c r="M731" t="inlineStr">
        <is>
          <t>Köln</t>
        </is>
      </c>
    </row>
    <row r="732">
      <c r="A732" t="inlineStr">
        <is>
          <t>Harness: ION RADIUM WINDSURF TRAPEZ HERREN 52/L, Model 2024, new and used once</t>
        </is>
      </c>
      <c r="B732" s="4" t="n">
        <v>210</v>
      </c>
      <c r="C732" t="inlineStr"/>
      <c r="D732" t="inlineStr">
        <is>
          <t>81479 Bayern - Pullach im Isartal</t>
        </is>
      </c>
      <c r="E732" s="5" t="n">
        <v>45534</v>
      </c>
      <c r="F732" t="inlineStr">
        <is>
          <t>Sold</t>
        </is>
      </c>
      <c r="G732" s="6">
        <f>HYPERLINK("https://www.kleinanzeigen.de/s-anzeige/ion-radium-windsurf-trapez-herren-52-l-modell-2024-/2817332452-230-16369", "Link")</f>
        <v/>
      </c>
      <c r="H732" s="6">
        <f>HYPERLINK("C:\Projects\Kleinanzeigen-Scraper\offer_images\2817332452", "Link")</f>
        <v/>
      </c>
      <c r="I732" t="inlineStr">
        <is>
          <t>Stephan</t>
        </is>
      </c>
      <c r="J732" s="6">
        <f>HYPERLINK("https://www.kleinanzeigen.de/s-bestandsliste.html?userId=44055402", "Link")</f>
        <v/>
      </c>
      <c r="K732" s="7" t="n">
        <v>45536.90952546296</v>
      </c>
      <c r="L732" s="3" t="inlineStr">
        <is>
          <t>7.59</t>
        </is>
      </c>
      <c r="M732" t="inlineStr">
        <is>
          <t>München</t>
        </is>
      </c>
    </row>
    <row r="733">
      <c r="A733" t="inlineStr">
        <is>
          <t>Harness: RRD Energy Waist Harness, size M, like new, used a few times in freshwater</t>
        </is>
      </c>
      <c r="B733" s="4" t="n">
        <v>99</v>
      </c>
      <c r="C733" t="inlineStr"/>
      <c r="D733" t="inlineStr">
        <is>
          <t>82194 Bayern - Gröbenzell</t>
        </is>
      </c>
      <c r="E733" s="5" t="n">
        <v>45533</v>
      </c>
      <c r="F733" t="inlineStr"/>
      <c r="G733" s="6">
        <f>HYPERLINK("https://www.kleinanzeigen.de/s-anzeige/windsurf-huefttrapez-trapez-gr-m-rrd-energy-harness-waist/2849309746-230-6350", "Link")</f>
        <v/>
      </c>
      <c r="H733" s="6">
        <f>HYPERLINK("C:\Projects\Kleinanzeigen-Scraper\offer_images\2849309746", "Link")</f>
        <v/>
      </c>
      <c r="I733" t="inlineStr">
        <is>
          <t>Maggie</t>
        </is>
      </c>
      <c r="J733" s="6">
        <f>HYPERLINK("https://www.kleinanzeigen.de/s-bestandsliste.html?userId=27957834", "Link")</f>
        <v/>
      </c>
      <c r="K733" s="7" t="n">
        <v>45536.90949074074</v>
      </c>
      <c r="L733" s="3" t="inlineStr">
        <is>
          <t>15.82</t>
        </is>
      </c>
      <c r="M733" t="inlineStr">
        <is>
          <t>München</t>
        </is>
      </c>
    </row>
    <row r="734">
      <c r="A734" t="inlineStr">
        <is>
          <t>Fin: Drake Finne with US Box, 28 cm, used condition with wear at the tip</t>
        </is>
      </c>
      <c r="B734" s="4" t="n">
        <v>35</v>
      </c>
      <c r="C734" t="inlineStr"/>
      <c r="D734" t="inlineStr">
        <is>
          <t>55263 Rheinland-Pfalz - Wackernheim</t>
        </is>
      </c>
      <c r="E734" s="5" t="n">
        <v>45531</v>
      </c>
      <c r="F734" t="inlineStr">
        <is>
          <t>Sold</t>
        </is>
      </c>
      <c r="G734" s="6">
        <f>HYPERLINK("https://www.kleinanzeigen.de/s-anzeige/drake-mfc-finne-28-windsurfen-surfen-fin/2847475751-230-5123", "Link")</f>
        <v/>
      </c>
      <c r="H734" s="6">
        <f>HYPERLINK("C:\Projects\Kleinanzeigen-Scraper\offer_images\2847475751", "Link")</f>
        <v/>
      </c>
      <c r="I734" t="inlineStr">
        <is>
          <t>Stefan</t>
        </is>
      </c>
      <c r="J734" s="6">
        <f>HYPERLINK("https://www.kleinanzeigen.de/s-bestandsliste.html?userId=11437246", "Link")</f>
        <v/>
      </c>
      <c r="K734" s="7" t="n">
        <v>45536.90949074074</v>
      </c>
      <c r="L734" s="3" t="inlineStr">
        <is>
          <t>108.27</t>
        </is>
      </c>
      <c r="M734" t="inlineStr">
        <is>
          <t>Karlsruhe</t>
        </is>
      </c>
    </row>
    <row r="735">
      <c r="A735" t="inlineStr">
        <is>
          <t>Spreader Bar: Mystic Stealth Bar Windsurf, sizes 240mm, 280mm, 320mm</t>
        </is>
      </c>
      <c r="B735" s="4" t="n">
        <v>119</v>
      </c>
      <c r="C735" t="inlineStr"/>
      <c r="D735" t="inlineStr">
        <is>
          <t>82319 Bayern - Starnberg</t>
        </is>
      </c>
      <c r="E735" s="5" t="n">
        <v>45560</v>
      </c>
      <c r="F735" t="inlineStr"/>
      <c r="G735" s="6">
        <f>HYPERLINK("https://www.kleinanzeigen.de/s-anzeige/mystic-stealth-bar-windsurf/1513343797-230-5525", "Link")</f>
        <v/>
      </c>
      <c r="H735" s="6">
        <f>HYPERLINK("C:\Projects\Kleinanzeigen-Scraper\offer_images\1513343797", "Link")</f>
        <v/>
      </c>
      <c r="I735" t="inlineStr">
        <is>
          <t>No user name</t>
        </is>
      </c>
      <c r="J735" s="6">
        <f>HYPERLINK("https://www.kleinanzeigen.deNo user link", "Link")</f>
        <v/>
      </c>
      <c r="K735" s="7" t="n">
        <v>45536.9094675926</v>
      </c>
      <c r="L735" s="3" t="inlineStr">
        <is>
          <t>23.17</t>
        </is>
      </c>
      <c r="M735" t="inlineStr">
        <is>
          <t>München</t>
        </is>
      </c>
    </row>
    <row r="736">
      <c r="A736" t="inlineStr">
        <is>
          <t>Harness: North Sails Sitztrapez, fully functional</t>
        </is>
      </c>
      <c r="B736" s="4" t="n">
        <v>25</v>
      </c>
      <c r="C736" t="inlineStr">
        <is>
          <t>VB</t>
        </is>
      </c>
      <c r="D736" t="inlineStr">
        <is>
          <t>18057 Rostock - Kröpeliner-Tor-Vorstadt</t>
        </is>
      </c>
      <c r="E736" s="5" t="n">
        <v>45531</v>
      </c>
      <c r="F736" t="inlineStr">
        <is>
          <t>Sold</t>
        </is>
      </c>
      <c r="G736" s="6">
        <f>HYPERLINK("https://www.kleinanzeigen.de/s-anzeige/north-sails-sitztrapez-windsurfen/2847585631-230-156", "Link")</f>
        <v/>
      </c>
      <c r="H736" s="6">
        <f>HYPERLINK("C:\Projects\Kleinanzeigen-Scraper\offer_images\2847585631", "Link")</f>
        <v/>
      </c>
      <c r="I736" t="inlineStr">
        <is>
          <t>Celine</t>
        </is>
      </c>
      <c r="J736" s="6">
        <f>HYPERLINK("https://www.kleinanzeigen.de/s-bestandsliste.html?userId=76641911", "Link")</f>
        <v/>
      </c>
      <c r="K736" s="7" t="n">
        <v>45536.9094675926</v>
      </c>
      <c r="L736" s="3" t="inlineStr">
        <is>
          <t>494.07</t>
        </is>
      </c>
      <c r="M736" t="inlineStr">
        <is>
          <t>Köln</t>
        </is>
      </c>
    </row>
    <row r="737">
      <c r="A737" t="inlineStr">
        <is>
          <t>Mastfoot: SDM 48mm Nullbase with U-Pin and Tampen, suitable for standard masts</t>
        </is>
      </c>
      <c r="B737" s="4" t="n">
        <v>14</v>
      </c>
      <c r="C737" t="inlineStr">
        <is>
          <t>VB</t>
        </is>
      </c>
      <c r="D737" t="inlineStr">
        <is>
          <t>86825 Bayern - Bad Wörishofen</t>
        </is>
      </c>
      <c r="E737" s="5" t="n">
        <v>45526</v>
      </c>
      <c r="F737" t="inlineStr">
        <is>
          <t>Sold</t>
        </is>
      </c>
      <c r="G737" s="6">
        <f>HYPERLINK("https://www.kleinanzeigen.de/s-anzeige/mastfuss-nullbase-trimmadapter-trimmbecher-windsurfen-standard/2843169878-230-7257", "Link")</f>
        <v/>
      </c>
      <c r="H737" s="6">
        <f>HYPERLINK("C:\Projects\Kleinanzeigen-Scraper\offer_images\2843169878", "Link")</f>
        <v/>
      </c>
      <c r="I737" t="inlineStr">
        <is>
          <t>peckmick</t>
        </is>
      </c>
      <c r="J737" s="6">
        <f>HYPERLINK("https://www.kleinanzeigen.de/s-bestandsliste.html?userId=75769172", "Link")</f>
        <v/>
      </c>
      <c r="K737" s="7" t="n">
        <v>45536.9094675926</v>
      </c>
      <c r="L737" s="3" t="inlineStr">
        <is>
          <t>74.63</t>
        </is>
      </c>
      <c r="M737" t="inlineStr">
        <is>
          <t>München</t>
        </is>
      </c>
    </row>
    <row r="738">
      <c r="A738" t="inlineStr">
        <is>
          <t>Fins: Used windsurf fins from MFC</t>
        </is>
      </c>
      <c r="B738" s="4" t="n">
        <v>50</v>
      </c>
      <c r="C738" t="inlineStr"/>
      <c r="D738" t="inlineStr">
        <is>
          <t>71336 Baden-Württemberg - Waiblingen</t>
        </is>
      </c>
      <c r="E738" s="5" t="n">
        <v>45535</v>
      </c>
      <c r="F738" t="inlineStr">
        <is>
          <t>Sold</t>
        </is>
      </c>
      <c r="G738" s="6">
        <f>HYPERLINK("https://www.kleinanzeigen.de/s-anzeige/windsurf-finnen-mfc/2850900000-230-9042", "Link")</f>
        <v/>
      </c>
      <c r="H738" s="6">
        <f>HYPERLINK("C:\Projects\Kleinanzeigen-Scraper\offer_images\2850900000", "Link")</f>
        <v/>
      </c>
      <c r="I738" t="inlineStr">
        <is>
          <t>Maria</t>
        </is>
      </c>
      <c r="J738" s="6">
        <f>HYPERLINK("https://www.kleinanzeigen.de/s-bestandsliste.html?userId=40893197", "Link")</f>
        <v/>
      </c>
      <c r="K738" s="7" t="n">
        <v>45536.54796296296</v>
      </c>
      <c r="L738" s="3" t="inlineStr">
        <is>
          <t>33.67</t>
        </is>
      </c>
      <c r="M738" t="inlineStr">
        <is>
          <t>Böblingen</t>
        </is>
      </c>
    </row>
    <row r="739">
      <c r="A739" t="inlineStr">
        <is>
          <t>Fin: JP Australia 44cm Slalom, in good condition</t>
        </is>
      </c>
      <c r="B739" s="4" t="n">
        <v>75</v>
      </c>
      <c r="C739" t="inlineStr">
        <is>
          <t>VB</t>
        </is>
      </c>
      <c r="D739" t="inlineStr">
        <is>
          <t>67346 Rheinland-Pfalz - Speyer</t>
        </is>
      </c>
      <c r="E739" s="5" t="n">
        <v>45535</v>
      </c>
      <c r="F739" t="inlineStr"/>
      <c r="G739" s="6">
        <f>HYPERLINK("https://www.kleinanzeigen.de/s-anzeige/jp-australia-windsurf-finne-44cm-slalom/2850596786-230-5365", "Link")</f>
        <v/>
      </c>
      <c r="H739" s="6">
        <f>HYPERLINK("C:\Projects\Kleinanzeigen-Scraper\offer_images\2850596786", "Link")</f>
        <v/>
      </c>
      <c r="I739" t="inlineStr">
        <is>
          <t>D. Ertel</t>
        </is>
      </c>
      <c r="J739" s="6">
        <f>HYPERLINK("https://www.kleinanzeigen.de/s-bestandsliste.html?userId=13322828", "Link")</f>
        <v/>
      </c>
      <c r="K739" s="7" t="n">
        <v>45535.5934375</v>
      </c>
      <c r="L739" s="3" t="inlineStr">
        <is>
          <t>35.76</t>
        </is>
      </c>
      <c r="M739" t="inlineStr">
        <is>
          <t>Karlsruhe</t>
        </is>
      </c>
    </row>
    <row r="740">
      <c r="A740" t="inlineStr">
        <is>
          <t>Harness: Kite Windsurf Sitz oder Brusttrapez XL, adjustable for sitting or chest use</t>
        </is>
      </c>
      <c r="B740" s="4" t="n">
        <v>55</v>
      </c>
      <c r="C740" t="inlineStr"/>
      <c r="D740" t="inlineStr">
        <is>
          <t>77974 Baden-Württemberg - Meißenheim</t>
        </is>
      </c>
      <c r="E740" s="5" t="n">
        <v>45531</v>
      </c>
      <c r="F740" t="inlineStr">
        <is>
          <t>Sold</t>
        </is>
      </c>
      <c r="G740" s="6">
        <f>HYPERLINK("https://www.kleinanzeigen.de/s-anzeige/kite-windsurf-trapez-xl-sitz-oder-brusttrapez/2847596069-230-8043", "Link")</f>
        <v/>
      </c>
      <c r="H740" s="6">
        <f>HYPERLINK("C:\Projects\Kleinanzeigen-Scraper\offer_images\2847596069", "Link")</f>
        <v/>
      </c>
      <c r="I740" t="inlineStr">
        <is>
          <t>Zimmermann</t>
        </is>
      </c>
      <c r="J740" s="6">
        <f>HYPERLINK("https://www.kleinanzeigen.de/s-bestandsliste.html?userId=19111257", "Link")</f>
        <v/>
      </c>
      <c r="K740" s="7" t="n">
        <v>45535.59321759259</v>
      </c>
      <c r="L740" s="3" t="inlineStr">
        <is>
          <t>77.90</t>
        </is>
      </c>
      <c r="M740" t="inlineStr">
        <is>
          <t>Bonndorf</t>
        </is>
      </c>
    </row>
    <row r="741">
      <c r="A741" t="inlineStr">
        <is>
          <t>Harness: Tribord Wave pro size M, new condition</t>
        </is>
      </c>
      <c r="B741" s="4" t="n">
        <v>35</v>
      </c>
      <c r="C741" t="inlineStr">
        <is>
          <t>VB</t>
        </is>
      </c>
      <c r="D741" t="inlineStr">
        <is>
          <t>70794 Baden-Württemberg - Filderstadt</t>
        </is>
      </c>
      <c r="E741" s="5" t="n">
        <v>45534</v>
      </c>
      <c r="F741" t="inlineStr">
        <is>
          <t>Sold</t>
        </is>
      </c>
      <c r="G741" s="6">
        <f>HYPERLINK("https://www.kleinanzeigen.de/s-anzeige/kiteboarding-trapez-gr-m-neu-windsurfen-kitesurfen-tribord/2849870732-230-8892", "Link")</f>
        <v/>
      </c>
      <c r="H741" s="6">
        <f>HYPERLINK("C:\Projects\Kleinanzeigen-Scraper\offer_images\2849870732", "Link")</f>
        <v/>
      </c>
      <c r="I741" t="inlineStr">
        <is>
          <t>Till Sepke</t>
        </is>
      </c>
      <c r="J741" s="6">
        <f>HYPERLINK("https://www.kleinanzeigen.de/s-bestandsliste.html?userId=10781844", "Link")</f>
        <v/>
      </c>
      <c r="K741" s="7" t="n">
        <v>45535.59290509259</v>
      </c>
      <c r="L741" s="3" t="inlineStr">
        <is>
          <t>17.11</t>
        </is>
      </c>
      <c r="M741" t="inlineStr">
        <is>
          <t>Böblingen</t>
        </is>
      </c>
    </row>
    <row r="742">
      <c r="A742" t="inlineStr">
        <is>
          <t>Harness: ION Radium Hüfttrapez, size L, used with usual signs of wear</t>
        </is>
      </c>
      <c r="B742" s="4" t="n">
        <v>75</v>
      </c>
      <c r="C742" t="inlineStr">
        <is>
          <t>VB</t>
        </is>
      </c>
      <c r="D742" t="inlineStr">
        <is>
          <t>55291 Rheinland-Pfalz - Saulheim</t>
        </is>
      </c>
      <c r="E742" s="5" t="n">
        <v>45534</v>
      </c>
      <c r="F742" t="inlineStr">
        <is>
          <t>Sold</t>
        </is>
      </c>
      <c r="G742" s="6">
        <f>HYPERLINK("https://www.kleinanzeigen.de/s-anzeige/ion-radium-huefttrapez-gr-l-windsurfen-trapez/2849994898-230-5332", "Link")</f>
        <v/>
      </c>
      <c r="H742" s="6">
        <f>HYPERLINK("C:\Projects\Kleinanzeigen-Scraper\offer_images\2849994898", "Link")</f>
        <v/>
      </c>
      <c r="I742" t="inlineStr">
        <is>
          <t>Michael</t>
        </is>
      </c>
      <c r="J742" s="6">
        <f>HYPERLINK("https://www.kleinanzeigen.de/s-bestandsliste.html?userId=120338761", "Link")</f>
        <v/>
      </c>
      <c r="K742" s="7" t="n">
        <v>45535.59282407408</v>
      </c>
      <c r="L742" s="3" t="inlineStr">
        <is>
          <t>97.88</t>
        </is>
      </c>
      <c r="M742" t="inlineStr">
        <is>
          <t>Karlsruhe</t>
        </is>
      </c>
    </row>
    <row r="743">
      <c r="A743" t="inlineStr">
        <is>
          <t>Mastfoot: Windsurf mast base for attachment</t>
        </is>
      </c>
      <c r="B743" s="4" t="n">
        <v>15</v>
      </c>
      <c r="C743" t="inlineStr"/>
      <c r="D743" t="inlineStr">
        <is>
          <t>70186 Stuttgart - Stuttgart-Ost</t>
        </is>
      </c>
      <c r="E743" s="5" t="n">
        <v>45534</v>
      </c>
      <c r="F743" t="inlineStr">
        <is>
          <t>Sold</t>
        </is>
      </c>
      <c r="G743" s="6">
        <f>HYPERLINK("https://www.kleinanzeigen.de/s-anzeige/windsurf-mastfuss/2849965685-230-9285", "Link")</f>
        <v/>
      </c>
      <c r="H743" s="6">
        <f>HYPERLINK("C:\Projects\Kleinanzeigen-Scraper\offer_images\2849965685", "Link")</f>
        <v/>
      </c>
      <c r="I743" t="inlineStr">
        <is>
          <t>A.Scharf</t>
        </is>
      </c>
      <c r="J743" s="6">
        <f>HYPERLINK("https://www.kleinanzeigen.de/s-bestandsliste.html?userId=39730963", "Link")</f>
        <v/>
      </c>
      <c r="K743" s="7" t="n">
        <v>45535.59259259259</v>
      </c>
      <c r="L743" s="3" t="inlineStr">
        <is>
          <t>19.90</t>
        </is>
      </c>
      <c r="M743" t="inlineStr">
        <is>
          <t>Böblingen</t>
        </is>
      </c>
    </row>
    <row r="744">
      <c r="A744" t="inlineStr">
        <is>
          <t>Mastfoot: Functional mast foot for windsurfing, sold as seen.</t>
        </is>
      </c>
      <c r="B744" s="4" t="n">
        <v>30</v>
      </c>
      <c r="C744" t="inlineStr"/>
      <c r="D744" t="inlineStr">
        <is>
          <t>70374 Stuttgart - Bad Cannstatt</t>
        </is>
      </c>
      <c r="E744" s="5" t="n">
        <v>45533</v>
      </c>
      <c r="F744" t="inlineStr">
        <is>
          <t>Sold</t>
        </is>
      </c>
      <c r="G744" s="6">
        <f>HYPERLINK("https://www.kleinanzeigen.de/s-anzeige/mastfuss-windsurfen/2848967905-230-9335", "Link")</f>
        <v/>
      </c>
      <c r="H744" s="6">
        <f>HYPERLINK("C:\Projects\Kleinanzeigen-Scraper\offer_images\2848967905", "Link")</f>
        <v/>
      </c>
      <c r="I744" t="inlineStr">
        <is>
          <t>Stephan</t>
        </is>
      </c>
      <c r="J744" s="6">
        <f>HYPERLINK("https://www.kleinanzeigen.de/s-bestandsliste.html?userId=35669520", "Link")</f>
        <v/>
      </c>
      <c r="K744" s="7" t="n">
        <v>45533.55917824074</v>
      </c>
      <c r="L744" s="3" t="inlineStr">
        <is>
          <t>24.40</t>
        </is>
      </c>
      <c r="M744" t="inlineStr">
        <is>
          <t>Böblingen</t>
        </is>
      </c>
    </row>
    <row r="745">
      <c r="A745" t="inlineStr">
        <is>
          <t>Fin: 34cm Finne von Tekkno Sport Explorer mit passender Hülle</t>
        </is>
      </c>
      <c r="B745" s="4" t="n">
        <v>50</v>
      </c>
      <c r="C745" t="inlineStr"/>
      <c r="D745" t="inlineStr">
        <is>
          <t>70374 Stuttgart - Bad Cannstatt</t>
        </is>
      </c>
      <c r="E745" s="5" t="n">
        <v>45533</v>
      </c>
      <c r="F745" t="inlineStr">
        <is>
          <t>Sold</t>
        </is>
      </c>
      <c r="G745" s="6">
        <f>HYPERLINK("https://www.kleinanzeigen.de/s-anzeige/finne-tekkno-sport-explorer-34-windsurfen/2848962459-230-9335", "Link")</f>
        <v/>
      </c>
      <c r="H745" s="6">
        <f>HYPERLINK("C:\Projects\Kleinanzeigen-Scraper\offer_images\2848962459", "Link")</f>
        <v/>
      </c>
      <c r="I745" t="inlineStr">
        <is>
          <t>Stephan</t>
        </is>
      </c>
      <c r="J745" s="6">
        <f>HYPERLINK("https://www.kleinanzeigen.de/s-bestandsliste.html?userId=35669520", "Link")</f>
        <v/>
      </c>
      <c r="K745" s="7" t="n">
        <v>45533.55907407407</v>
      </c>
      <c r="L745" s="3" t="inlineStr">
        <is>
          <t>24.40</t>
        </is>
      </c>
      <c r="M745" t="inlineStr">
        <is>
          <t>Böblingen</t>
        </is>
      </c>
    </row>
    <row r="746">
      <c r="A746" t="inlineStr">
        <is>
          <t>Various Accessories: Includes boom, mast holders, and other surf accessories.</t>
        </is>
      </c>
      <c r="B746" s="4" t="inlineStr"/>
      <c r="C746" t="inlineStr">
        <is>
          <t>VB</t>
        </is>
      </c>
      <c r="D746" t="inlineStr">
        <is>
          <t>68649 Hessen - Groß-Rohrheim</t>
        </is>
      </c>
      <c r="E746" s="5" t="n">
        <v>45531</v>
      </c>
      <c r="F746" t="inlineStr">
        <is>
          <t>Sold</t>
        </is>
      </c>
      <c r="G746" s="6">
        <f>HYPERLINK("https://www.kleinanzeigen.de/s-anzeige/surfen-surf-zubehoer-gabelbaum-stangen-halter-usw-windsurfen/2847879762-230-4758", "Link")</f>
        <v/>
      </c>
      <c r="H746" s="6">
        <f>HYPERLINK("C:\Projects\Kleinanzeigen-Scraper\offer_images\2847879762", "Link")</f>
        <v/>
      </c>
      <c r="I746" t="inlineStr">
        <is>
          <t>Daniel</t>
        </is>
      </c>
      <c r="J746" s="6">
        <f>HYPERLINK("https://www.kleinanzeigen.de/s-bestandsliste.html?userId=15416374", "Link")</f>
        <v/>
      </c>
      <c r="K746" s="7" t="n">
        <v>45533.55902777778</v>
      </c>
      <c r="L746" s="3" t="inlineStr">
        <is>
          <t>78.85</t>
        </is>
      </c>
      <c r="M746" t="inlineStr">
        <is>
          <t>Karlsruhe</t>
        </is>
      </c>
    </row>
    <row r="747">
      <c r="A747" t="inlineStr">
        <is>
          <t>Mastfoot: Nautix, 50cm long, SDM, fully functional</t>
        </is>
      </c>
      <c r="B747" s="4" t="n">
        <v>25</v>
      </c>
      <c r="C747" t="inlineStr"/>
      <c r="D747" t="inlineStr">
        <is>
          <t>76149 Baden-Württemberg - Karlsruhe</t>
        </is>
      </c>
      <c r="E747" s="5" t="n">
        <v>45527</v>
      </c>
      <c r="F747" t="inlineStr">
        <is>
          <t>Sold</t>
        </is>
      </c>
      <c r="G747" s="6">
        <f>HYPERLINK("https://www.kleinanzeigen.de/s-anzeige/mastfuss-windsurfen-50cm-nautix/2844398717-230-9196", "Link")</f>
        <v/>
      </c>
      <c r="H747" s="6">
        <f>HYPERLINK("C:\Projects\Kleinanzeigen-Scraper\offer_images\2844398717", "Link")</f>
        <v/>
      </c>
      <c r="I747" t="inlineStr">
        <is>
          <t>THJ</t>
        </is>
      </c>
      <c r="J747" s="6">
        <f>HYPERLINK("https://www.kleinanzeigen.de/s-bestandsliste.html?userId=21189431", "Link")</f>
        <v/>
      </c>
      <c r="K747" s="7" t="n">
        <v>45531.3791550926</v>
      </c>
      <c r="L747" s="3" t="inlineStr">
        <is>
          <t>4.81</t>
        </is>
      </c>
      <c r="M747" t="inlineStr">
        <is>
          <t>Karlsruhe</t>
        </is>
      </c>
    </row>
    <row r="748">
      <c r="A748" t="inlineStr">
        <is>
          <t>Harness: North ergo Slalom, size 48/50</t>
        </is>
      </c>
      <c r="B748" s="4" t="n">
        <v>40</v>
      </c>
      <c r="C748" t="inlineStr"/>
      <c r="D748" t="inlineStr">
        <is>
          <t>76448 Baden-Württemberg - Durmersheim</t>
        </is>
      </c>
      <c r="E748" s="5" t="n">
        <v>45524</v>
      </c>
      <c r="F748" t="inlineStr">
        <is>
          <t>Sold</t>
        </is>
      </c>
      <c r="G748" s="6">
        <f>HYPERLINK("https://www.kleinanzeigen.de/s-anzeige/trapez-windsurfen-north-ergo-slalom/2842148781-230-8165", "Link")</f>
        <v/>
      </c>
      <c r="H748" s="6">
        <f>HYPERLINK("C:\Projects\Kleinanzeigen-Scraper\offer_images\2842148781", "Link")</f>
        <v/>
      </c>
      <c r="I748" t="inlineStr">
        <is>
          <t>Thomas S.</t>
        </is>
      </c>
      <c r="J748" s="6">
        <f>HYPERLINK("https://www.kleinanzeigen.de/s-bestandsliste.html?userId=61821198", "Link")</f>
        <v/>
      </c>
      <c r="K748" s="7" t="n">
        <v>45531.37902777778</v>
      </c>
      <c r="L748" s="3" t="inlineStr">
        <is>
          <t>10.55</t>
        </is>
      </c>
      <c r="M748" t="inlineStr">
        <is>
          <t>Karlsruhe</t>
        </is>
      </c>
    </row>
    <row r="749">
      <c r="A749" t="inlineStr">
        <is>
          <t>Harness: Extremely stable seat harness from North Sails with various adjustment options, very good condition.</t>
        </is>
      </c>
      <c r="B749" s="4" t="n">
        <v>50</v>
      </c>
      <c r="C749" t="inlineStr"/>
      <c r="D749" t="inlineStr">
        <is>
          <t>71254 Baden-Württemberg - Ditzingen</t>
        </is>
      </c>
      <c r="E749" s="5" t="n">
        <v>45528</v>
      </c>
      <c r="F749" t="inlineStr">
        <is>
          <t>Sold</t>
        </is>
      </c>
      <c r="G749" s="6">
        <f>HYPERLINK("https://www.kleinanzeigen.de/s-anzeige/trapez-z-windsurfen-segeln-sitztrapez-surftrapez-north-sails/2845266916-230-8865", "Link")</f>
        <v/>
      </c>
      <c r="H749" s="6">
        <f>HYPERLINK("C:\Projects\Kleinanzeigen-Scraper\offer_images\2845266916", "Link")</f>
        <v/>
      </c>
      <c r="I749" t="inlineStr">
        <is>
          <t>Johannes Gaechter</t>
        </is>
      </c>
      <c r="J749" s="6">
        <f>HYPERLINK("https://www.kleinanzeigen.de/s-bestandsliste.html?userId=2640764", "Link")</f>
        <v/>
      </c>
      <c r="K749" s="7" t="n">
        <v>45531.37873842593</v>
      </c>
      <c r="L749" s="3" t="inlineStr">
        <is>
          <t>18.57</t>
        </is>
      </c>
      <c r="M749" t="inlineStr">
        <is>
          <t>Böblingen</t>
        </is>
      </c>
    </row>
    <row r="750">
      <c r="A750" t="inlineStr">
        <is>
          <t>Harness: Dakine Wahine Trapez, size XS, floral pattern, barely used</t>
        </is>
      </c>
      <c r="B750" s="4" t="n">
        <v>25</v>
      </c>
      <c r="C750" t="inlineStr"/>
      <c r="D750" t="inlineStr">
        <is>
          <t>73760 Baden-Württemberg - Ostfildern</t>
        </is>
      </c>
      <c r="E750" s="5" t="n">
        <v>45523</v>
      </c>
      <c r="F750" t="inlineStr">
        <is>
          <t>Sold</t>
        </is>
      </c>
      <c r="G750" s="6">
        <f>HYPERLINK("https://www.kleinanzeigen.de/s-anzeige/dakine-wahine-trapez-windsurfen-xs/2841308907-230-8437", "Link")</f>
        <v/>
      </c>
      <c r="H750" s="6">
        <f>HYPERLINK("C:\Projects\Kleinanzeigen-Scraper\offer_images\2841308907", "Link")</f>
        <v/>
      </c>
      <c r="I750" t="inlineStr">
        <is>
          <t>Familie Hauser</t>
        </is>
      </c>
      <c r="J750" s="6">
        <f>HYPERLINK("https://www.kleinanzeigen.de/s-bestandsliste.html?userId=21885528", "Link")</f>
        <v/>
      </c>
      <c r="K750" s="7" t="n">
        <v>45531.3786574074</v>
      </c>
      <c r="L750" s="3" t="inlineStr">
        <is>
          <t>21.07</t>
        </is>
      </c>
      <c r="M750" t="inlineStr">
        <is>
          <t>Böblingen</t>
        </is>
      </c>
    </row>
    <row r="751">
      <c r="A751" t="inlineStr">
        <is>
          <t>Various Accessories: Includes 43cm fin, 2x mast foot (40cm/short), compatible power joint, size 52 neoprene sleeve, mast protector, boom head bag, lines, mast foot cover.</t>
        </is>
      </c>
      <c r="B751" s="4" t="n">
        <v>45</v>
      </c>
      <c r="C751" t="inlineStr"/>
      <c r="D751" t="inlineStr">
        <is>
          <t>75196 Baden-Württemberg - Remchingen</t>
        </is>
      </c>
      <c r="E751" s="5" t="n">
        <v>45523</v>
      </c>
      <c r="F751" t="inlineStr">
        <is>
          <t>Sold</t>
        </is>
      </c>
      <c r="G751" s="6">
        <f>HYPERLINK("https://www.kleinanzeigen.de/s-anzeige/windsurf-zubehoer/2841129022-230-8245", "Link")</f>
        <v/>
      </c>
      <c r="H751" s="6">
        <f>HYPERLINK("C:\Projects\Kleinanzeigen-Scraper\offer_images\2841129022", "Link")</f>
        <v/>
      </c>
      <c r="I751" t="inlineStr">
        <is>
          <t>A. M.</t>
        </is>
      </c>
      <c r="J751" s="6">
        <f>HYPERLINK("https://www.kleinanzeigen.de/s-bestandsliste.html?userId=57310534", "Link")</f>
        <v/>
      </c>
      <c r="K751" s="7" t="n">
        <v>45531.3786574074</v>
      </c>
      <c r="L751" s="3" t="inlineStr">
        <is>
          <t>15.74</t>
        </is>
      </c>
      <c r="M751" t="inlineStr">
        <is>
          <t>Karlsruhe</t>
        </is>
      </c>
    </row>
    <row r="752">
      <c r="A752" t="inlineStr">
        <is>
          <t>Harness: Prolimit Seven, Size M</t>
        </is>
      </c>
      <c r="B752" s="4" t="n">
        <v>49</v>
      </c>
      <c r="C752" t="inlineStr"/>
      <c r="D752" t="inlineStr">
        <is>
          <t>71720 Baden-Württemberg - Oberstenfeld</t>
        </is>
      </c>
      <c r="E752" s="5" t="n">
        <v>45525</v>
      </c>
      <c r="F752" t="inlineStr">
        <is>
          <t>Sold</t>
        </is>
      </c>
      <c r="G752" s="6">
        <f>HYPERLINK("https://www.kleinanzeigen.de/s-anzeige/hueft-trapez-windsurfen-prolimit-seven-gr-m/2842701563-230-19390", "Link")</f>
        <v/>
      </c>
      <c r="H752" s="6">
        <f>HYPERLINK("C:\Projects\Kleinanzeigen-Scraper\offer_images\2842701563", "Link")</f>
        <v/>
      </c>
      <c r="I752" t="inlineStr">
        <is>
          <t>Thomas Kröner</t>
        </is>
      </c>
      <c r="J752" s="6">
        <f>HYPERLINK("https://www.kleinanzeigen.de/s-bestandsliste.html?userId=40359933", "Link")</f>
        <v/>
      </c>
      <c r="K752" s="7" t="n">
        <v>45531.37856481481</v>
      </c>
      <c r="L752" s="3" t="inlineStr">
        <is>
          <t>48.50</t>
        </is>
      </c>
      <c r="M752" t="inlineStr">
        <is>
          <t>Böblingen</t>
        </is>
      </c>
    </row>
    <row r="753">
      <c r="A753" t="inlineStr">
        <is>
          <t>Mastfoot with variable extension</t>
        </is>
      </c>
      <c r="B753" s="4" t="n">
        <v>39</v>
      </c>
      <c r="C753" t="inlineStr"/>
      <c r="D753" t="inlineStr">
        <is>
          <t>71296 Baden-Württemberg - Heimsheim</t>
        </is>
      </c>
      <c r="E753" s="5" t="n">
        <v>45520</v>
      </c>
      <c r="F753" t="inlineStr">
        <is>
          <t>Sold</t>
        </is>
      </c>
      <c r="G753" s="6">
        <f>HYPERLINK("https://www.kleinanzeigen.de/s-anzeige/mastfuss-mit-variabler-verlaengerung-windsurfen-surfbrett/2838315627-230-8405", "Link")</f>
        <v/>
      </c>
      <c r="H753" s="6">
        <f>HYPERLINK("C:\Projects\Kleinanzeigen-Scraper\offer_images\2838315627", "Link")</f>
        <v/>
      </c>
      <c r="I753" t="inlineStr">
        <is>
          <t>Treuth</t>
        </is>
      </c>
      <c r="J753" s="6">
        <f>HYPERLINK("https://www.kleinanzeigen.de/s-bestandsliste.html?userId=25699107", "Link")</f>
        <v/>
      </c>
      <c r="K753" s="7" t="n">
        <v>45522.63958333333</v>
      </c>
      <c r="L753" s="3" t="inlineStr">
        <is>
          <t>16.81</t>
        </is>
      </c>
      <c r="M753" t="inlineStr">
        <is>
          <t>Böblingen</t>
        </is>
      </c>
    </row>
    <row r="754">
      <c r="A754" t="inlineStr">
        <is>
          <t>Mastfoot, Mast extension, Aufholleine</t>
        </is>
      </c>
      <c r="B754" s="4" t="n">
        <v>5</v>
      </c>
      <c r="C754" t="inlineStr">
        <is>
          <t>VB</t>
        </is>
      </c>
      <c r="D754" t="inlineStr">
        <is>
          <t>71706 Baden-Württemberg - Markgröningen</t>
        </is>
      </c>
      <c r="E754" s="5" t="n">
        <v>45522</v>
      </c>
      <c r="F754" t="inlineStr">
        <is>
          <t>Sold</t>
        </is>
      </c>
      <c r="G754" s="6">
        <f>HYPERLINK("https://www.kleinanzeigen.de/s-anzeige/windsurfen-zubehoer-mastfuss-aufholleine/2839981995-230-8410", "Link")</f>
        <v/>
      </c>
      <c r="H754" s="6">
        <f>HYPERLINK("C:\Projects\Kleinanzeigen-Scraper\offer_images\2839981995", "Link")</f>
        <v/>
      </c>
      <c r="I754" t="inlineStr">
        <is>
          <t>Jere</t>
        </is>
      </c>
      <c r="J754" s="6">
        <f>HYPERLINK("https://www.kleinanzeigen.de/s-bestandsliste.html?userId=17813406", "Link")</f>
        <v/>
      </c>
      <c r="K754" s="7" t="n">
        <v>45522.63950231481</v>
      </c>
      <c r="L754" s="3" t="inlineStr">
        <is>
          <t>27.05</t>
        </is>
      </c>
      <c r="M754" t="inlineStr">
        <is>
          <t>Böblingen</t>
        </is>
      </c>
    </row>
    <row r="755">
      <c r="A755" t="inlineStr">
        <is>
          <t>Trapeztampen</t>
        </is>
      </c>
      <c r="B755" s="4" t="n">
        <v>19</v>
      </c>
      <c r="C755" t="inlineStr">
        <is>
          <t>VB</t>
        </is>
      </c>
      <c r="D755" t="inlineStr">
        <is>
          <t>72141 Baden-Württemberg - Walddorfhäslach</t>
        </is>
      </c>
      <c r="E755" s="5" t="n">
        <v>45522</v>
      </c>
      <c r="F755" t="inlineStr">
        <is>
          <t>Sold</t>
        </is>
      </c>
      <c r="G755" s="6">
        <f>HYPERLINK("https://www.kleinanzeigen.de/s-anzeige/windsurf-trapeztampen-chinook-26-/2839650752-230-8891", "Link")</f>
        <v/>
      </c>
      <c r="H755" s="6">
        <f>HYPERLINK("C:\Projects\Kleinanzeigen-Scraper\offer_images\2839650752", "Link")</f>
        <v/>
      </c>
      <c r="I755" t="inlineStr">
        <is>
          <t>Katharina &amp; Jan</t>
        </is>
      </c>
      <c r="J755" s="6">
        <f>HYPERLINK("https://www.kleinanzeigen.de/s-bestandsliste.html?userId=5363487", "Link")</f>
        <v/>
      </c>
      <c r="K755" s="7" t="n">
        <v>45522.63949074074</v>
      </c>
      <c r="L755" s="3" t="inlineStr">
        <is>
          <t>16.87</t>
        </is>
      </c>
      <c r="M755" t="inlineStr">
        <is>
          <t>Böblingen</t>
        </is>
      </c>
    </row>
    <row r="756">
      <c r="A756" t="inlineStr">
        <is>
          <t>Trapeztampen</t>
        </is>
      </c>
      <c r="B756" s="4" t="n">
        <v>60</v>
      </c>
      <c r="C756" t="inlineStr">
        <is>
          <t>VB</t>
        </is>
      </c>
      <c r="D756" t="inlineStr">
        <is>
          <t>72141 Baden-Württemberg - Walddorfhäslach</t>
        </is>
      </c>
      <c r="E756" s="5" t="n">
        <v>45522</v>
      </c>
      <c r="F756" t="inlineStr">
        <is>
          <t>Sold</t>
        </is>
      </c>
      <c r="G756" s="6">
        <f>HYPERLINK("https://www.kleinanzeigen.de/s-anzeige/windsurf-foil-trapeztampen-sideon-regatta-pro-white-26-48-/2839647620-230-8891", "Link")</f>
        <v/>
      </c>
      <c r="H756" s="6">
        <f>HYPERLINK("C:\Projects\Kleinanzeigen-Scraper\offer_images\2839647620", "Link")</f>
        <v/>
      </c>
      <c r="I756" t="inlineStr">
        <is>
          <t>Katharina &amp; Jan</t>
        </is>
      </c>
      <c r="J756" s="6">
        <f>HYPERLINK("https://www.kleinanzeigen.de/s-bestandsliste.html?userId=5363487", "Link")</f>
        <v/>
      </c>
      <c r="K756" s="7" t="n">
        <v>45522.63936342593</v>
      </c>
      <c r="L756" s="3" t="inlineStr">
        <is>
          <t>16.87</t>
        </is>
      </c>
      <c r="M756" t="inlineStr">
        <is>
          <t>Böblingen</t>
        </is>
      </c>
    </row>
    <row r="757">
      <c r="A757" t="inlineStr">
        <is>
          <t>Fin</t>
        </is>
      </c>
      <c r="B757" s="4" t="n">
        <v>40</v>
      </c>
      <c r="C757" t="inlineStr"/>
      <c r="D757" t="inlineStr">
        <is>
          <t>73235 Baden-Württemberg - Weilheim an der Teck</t>
        </is>
      </c>
      <c r="E757" s="5" t="n">
        <v>45522</v>
      </c>
      <c r="F757" t="inlineStr">
        <is>
          <t>Sold</t>
        </is>
      </c>
      <c r="G757" s="6">
        <f>HYPERLINK("https://www.kleinanzeigen.de/s-anzeige/finne-40cm-tuttle-box-free-ride-windsurfen/2839620870-230-8465", "Link")</f>
        <v/>
      </c>
      <c r="H757" s="6">
        <f>HYPERLINK("C:\Projects\Kleinanzeigen-Scraper\offer_images\2839620870", "Link")</f>
        <v/>
      </c>
      <c r="I757" t="inlineStr">
        <is>
          <t>Oli</t>
        </is>
      </c>
      <c r="J757" s="6">
        <f>HYPERLINK("https://www.kleinanzeigen.de/s-bestandsliste.html?userId=71624275", "Link")</f>
        <v/>
      </c>
      <c r="K757" s="7" t="n">
        <v>45522.63922453704</v>
      </c>
      <c r="L757" s="3" t="inlineStr">
        <is>
          <t>42.84</t>
        </is>
      </c>
      <c r="M757" t="inlineStr">
        <is>
          <t>Böblingen</t>
        </is>
      </c>
    </row>
    <row r="758">
      <c r="A758" t="inlineStr">
        <is>
          <t>Trapez</t>
        </is>
      </c>
      <c r="B758" s="4" t="n">
        <v>100</v>
      </c>
      <c r="C758" t="inlineStr">
        <is>
          <t>VB</t>
        </is>
      </c>
      <c r="D758" t="inlineStr">
        <is>
          <t>72131 Baden-Württemberg - Ofterdingen</t>
        </is>
      </c>
      <c r="E758" s="5" t="n">
        <v>45520</v>
      </c>
      <c r="F758" t="inlineStr">
        <is>
          <t>Sold</t>
        </is>
      </c>
      <c r="G758" s="6">
        <f>HYPERLINK("https://www.kleinanzeigen.de/s-anzeige/ion-riot-curv-9-windsurf-kite-trapez-52-l/2838303193-230-8005", "Link")</f>
        <v/>
      </c>
      <c r="H758" s="6">
        <f>HYPERLINK("C:\Projects\Kleinanzeigen-Scraper\offer_images\2838303193", "Link")</f>
        <v/>
      </c>
      <c r="I758" t="inlineStr">
        <is>
          <t>Yannick</t>
        </is>
      </c>
      <c r="J758" s="6">
        <f>HYPERLINK("https://www.kleinanzeigen.de/s-bestandsliste.html?userId=18506662", "Link")</f>
        <v/>
      </c>
      <c r="K758" s="7" t="n">
        <v>45522.63921296296</v>
      </c>
      <c r="L758" s="3" t="inlineStr">
        <is>
          <t>28.74</t>
        </is>
      </c>
      <c r="M758" t="inlineStr">
        <is>
          <t>Böblingen</t>
        </is>
      </c>
    </row>
    <row r="759">
      <c r="A759" t="inlineStr">
        <is>
          <t>Fin</t>
        </is>
      </c>
      <c r="B759" s="4" t="n">
        <v>18</v>
      </c>
      <c r="C759" t="inlineStr"/>
      <c r="D759" t="inlineStr">
        <is>
          <t>71296 Baden-Württemberg - Heimsheim</t>
        </is>
      </c>
      <c r="E759" s="5" t="n">
        <v>45520</v>
      </c>
      <c r="F759" t="inlineStr">
        <is>
          <t>Sold</t>
        </is>
      </c>
      <c r="G759" s="6">
        <f>HYPERLINK("https://www.kleinanzeigen.de/s-anzeige/finne-mistral-race-340-powerbox-windsurfen-surfbrett/2838321635-230-8405", "Link")</f>
        <v/>
      </c>
      <c r="H759" s="6">
        <f>HYPERLINK("C:\Projects\Kleinanzeigen-Scraper\offer_images\2838321635", "Link")</f>
        <v/>
      </c>
      <c r="I759" t="inlineStr">
        <is>
          <t>Treuth</t>
        </is>
      </c>
      <c r="J759" s="6">
        <f>HYPERLINK("https://www.kleinanzeigen.de/s-bestandsliste.html?userId=25699107", "Link")</f>
        <v/>
      </c>
      <c r="K759" s="7" t="n">
        <v>45522.63905092593</v>
      </c>
      <c r="L759" s="3" t="inlineStr">
        <is>
          <t>16.81</t>
        </is>
      </c>
      <c r="M759" t="inlineStr">
        <is>
          <t>Böblingen</t>
        </is>
      </c>
    </row>
    <row r="760">
      <c r="A760" t="inlineStr">
        <is>
          <t>Fussschlaufen</t>
        </is>
      </c>
      <c r="B760" s="4" t="n">
        <v>65</v>
      </c>
      <c r="C760" t="inlineStr">
        <is>
          <t>VB</t>
        </is>
      </c>
      <c r="D760" t="inlineStr">
        <is>
          <t>73235 Baden-Württemberg - Weilheim an der Teck</t>
        </is>
      </c>
      <c r="E760" s="5" t="n">
        <v>45522</v>
      </c>
      <c r="F760" t="inlineStr">
        <is>
          <t>Sold</t>
        </is>
      </c>
      <c r="G760" s="6">
        <f>HYPERLINK("https://www.kleinanzeigen.de/s-anzeige/fanatic-fussschlaufen-neu-und-unbenutzt-windsurfen/2839627298-230-8465", "Link")</f>
        <v/>
      </c>
      <c r="H760" s="6">
        <f>HYPERLINK("C:\Projects\Kleinanzeigen-Scraper\offer_images\2839627298", "Link")</f>
        <v/>
      </c>
      <c r="I760" t="inlineStr">
        <is>
          <t>Oli</t>
        </is>
      </c>
      <c r="J760" s="6">
        <f>HYPERLINK("https://www.kleinanzeigen.de/s-bestandsliste.html?userId=71624275", "Link")</f>
        <v/>
      </c>
      <c r="K760" s="7" t="n">
        <v>45522.63875</v>
      </c>
      <c r="L760" s="3" t="inlineStr">
        <is>
          <t>42.84</t>
        </is>
      </c>
      <c r="M760" t="inlineStr">
        <is>
          <t>Böblingen</t>
        </is>
      </c>
    </row>
    <row r="761">
      <c r="A761" t="inlineStr">
        <is>
          <t>Various windsurfing accessories</t>
        </is>
      </c>
      <c r="B761" s="4" t="inlineStr">
        <is>
          <t>Zu verschenken</t>
        </is>
      </c>
      <c r="C761" t="inlineStr"/>
      <c r="D761" t="inlineStr">
        <is>
          <t>78187 Baden-Württemberg - Geisingen</t>
        </is>
      </c>
      <c r="E761" s="5" t="n">
        <v>45519</v>
      </c>
      <c r="F761" t="inlineStr">
        <is>
          <t>Sold</t>
        </is>
      </c>
      <c r="G761" s="6">
        <f>HYPERLINK("https://www.kleinanzeigen.de/s-anzeige/windsurf-zubehoer/2837399677-230-8860", "Link")</f>
        <v/>
      </c>
      <c r="H761" s="6">
        <f>HYPERLINK("C:\Projects\Kleinanzeigen-Scraper\offer_images\2837399677", "Link")</f>
        <v/>
      </c>
      <c r="I761" t="inlineStr">
        <is>
          <t>JR</t>
        </is>
      </c>
      <c r="J761" s="6">
        <f>HYPERLINK("https://www.kleinanzeigen.de/s-bestandsliste.html?userId=23707142", "Link")</f>
        <v/>
      </c>
      <c r="K761" s="7" t="n">
        <v>45522.63849537037</v>
      </c>
      <c r="L761" s="3" t="inlineStr">
        <is>
          <t>24.74</t>
        </is>
      </c>
      <c r="M761" t="inlineStr">
        <is>
          <t>Bonndorf</t>
        </is>
      </c>
    </row>
    <row r="762">
      <c r="A762" t="inlineStr">
        <is>
          <t>Fin</t>
        </is>
      </c>
      <c r="B762" s="4" t="n">
        <v>39</v>
      </c>
      <c r="C762" t="inlineStr"/>
      <c r="D762" t="inlineStr">
        <is>
          <t>71296 Baden-Württemberg - Heimsheim</t>
        </is>
      </c>
      <c r="E762" s="5" t="n">
        <v>45516</v>
      </c>
      <c r="F762" t="inlineStr">
        <is>
          <t>Sold</t>
        </is>
      </c>
      <c r="G762" s="6">
        <f>HYPERLINK("https://www.kleinanzeigen.de/s-anzeige/finne-windsurfen-powerbox-tekkno-sport-freeride-310/2835470446-230-8405", "Link")</f>
        <v/>
      </c>
      <c r="H762" s="6">
        <f>HYPERLINK("C:\Projects\Kleinanzeigen-Scraper\offer_images\2835470446", "Link")</f>
        <v/>
      </c>
      <c r="I762" t="inlineStr">
        <is>
          <t>Treuth</t>
        </is>
      </c>
      <c r="J762" s="6">
        <f>HYPERLINK("https://www.kleinanzeigen.de/s-bestandsliste.html?userId=25699107", "Link")</f>
        <v/>
      </c>
      <c r="K762" s="7" t="n">
        <v>45517.57670138889</v>
      </c>
      <c r="L762" s="3" t="inlineStr">
        <is>
          <t>16.81</t>
        </is>
      </c>
      <c r="M762" t="inlineStr">
        <is>
          <t>Böblingen</t>
        </is>
      </c>
    </row>
    <row r="763">
      <c r="A763" t="inlineStr">
        <is>
          <t>Fin</t>
        </is>
      </c>
      <c r="B763" s="4" t="n">
        <v>15</v>
      </c>
      <c r="C763" t="inlineStr"/>
      <c r="D763" t="inlineStr">
        <is>
          <t>67281 Rheinland-Pfalz - Kirchheim an der Weinstraße</t>
        </is>
      </c>
      <c r="E763" s="5" t="n">
        <v>45514</v>
      </c>
      <c r="F763" t="inlineStr">
        <is>
          <t>Sold</t>
        </is>
      </c>
      <c r="G763" s="6">
        <f>HYPERLINK("https://www.kleinanzeigen.de/s-anzeige/windsurfen-finne-fanatic-freestyle/2833505460-230-5350", "Link")</f>
        <v/>
      </c>
      <c r="H763" s="6">
        <f>HYPERLINK("C:\Projects\Kleinanzeigen-Scraper\offer_images\2833505460", "Link")</f>
        <v/>
      </c>
      <c r="I763" t="inlineStr">
        <is>
          <t>C. Richter</t>
        </is>
      </c>
      <c r="J763" s="6">
        <f>HYPERLINK("https://www.kleinanzeigen.de/s-bestandsliste.html?userId=16494723", "Link")</f>
        <v/>
      </c>
      <c r="K763" s="7" t="n">
        <v>45514.64854166667</v>
      </c>
      <c r="L763" s="3" t="inlineStr">
        <is>
          <t>61.06</t>
        </is>
      </c>
      <c r="M763" t="inlineStr">
        <is>
          <t>Karlsruhe</t>
        </is>
      </c>
    </row>
    <row r="764">
      <c r="A764" t="inlineStr">
        <is>
          <t>Gabelbaum, Stangen, Halter</t>
        </is>
      </c>
      <c r="B764" s="4" t="inlineStr"/>
      <c r="C764" t="inlineStr">
        <is>
          <t>VB</t>
        </is>
      </c>
      <c r="D764" t="inlineStr">
        <is>
          <t>68649 Hessen - Groß-Rohrheim</t>
        </is>
      </c>
      <c r="E764" s="5" t="n">
        <v>45513</v>
      </c>
      <c r="F764" t="inlineStr">
        <is>
          <t>Sold</t>
        </is>
      </c>
      <c r="G764" s="6">
        <f>HYPERLINK("https://www.kleinanzeigen.de/s-anzeige/surfen-surf-zubehoer-gabelbaum-stangen-halter-usw-windsurfen/2832760258-230-4758", "Link")</f>
        <v/>
      </c>
      <c r="H764" s="6">
        <f>HYPERLINK("C:\Projects\Kleinanzeigen-Scraper\offer_images\2832760258", "Link")</f>
        <v/>
      </c>
      <c r="I764" t="inlineStr">
        <is>
          <t>Daniel</t>
        </is>
      </c>
      <c r="J764" s="6">
        <f>HYPERLINK("https://www.kleinanzeigen.de/s-bestandsliste.html?userId=15416374", "Link")</f>
        <v/>
      </c>
      <c r="K764" s="7" t="n">
        <v>45514.36207175926</v>
      </c>
      <c r="L764" s="3" t="inlineStr">
        <is>
          <t>78.85</t>
        </is>
      </c>
      <c r="M764" t="inlineStr">
        <is>
          <t>Karlsruhe</t>
        </is>
      </c>
    </row>
    <row r="765">
      <c r="A765" t="inlineStr">
        <is>
          <t>Deep Tuttle Adapter</t>
        </is>
      </c>
      <c r="B765" s="4" t="n">
        <v>50</v>
      </c>
      <c r="C765" t="inlineStr">
        <is>
          <t>VB</t>
        </is>
      </c>
      <c r="D765" t="inlineStr">
        <is>
          <t>74199 Baden-Württemberg - Untergruppenbach</t>
        </is>
      </c>
      <c r="E765" s="5" t="n">
        <v>45511</v>
      </c>
      <c r="F765" t="inlineStr">
        <is>
          <t>Sold</t>
        </is>
      </c>
      <c r="G765" s="6">
        <f>HYPERLINK("https://www.kleinanzeigen.de/s-anzeige/indiana-deep-tuttle-adapter-windsurfen/2831358940-230-9244", "Link")</f>
        <v/>
      </c>
      <c r="H765" s="6">
        <f>HYPERLINK("C:\Projects\Kleinanzeigen-Scraper\offer_images\2831358940", "Link")</f>
        <v/>
      </c>
      <c r="I765" t="inlineStr">
        <is>
          <t>L. Pfahl</t>
        </is>
      </c>
      <c r="J765" s="6">
        <f>HYPERLINK("https://www.kleinanzeigen.de/s-bestandsliste.html?userId=37135288", "Link")</f>
        <v/>
      </c>
      <c r="K765" s="7" t="n">
        <v>45512.64690972222</v>
      </c>
      <c r="L765" s="3" t="inlineStr">
        <is>
          <t>52.92</t>
        </is>
      </c>
      <c r="M765" t="inlineStr">
        <is>
          <t>Böblingen</t>
        </is>
      </c>
    </row>
    <row r="766">
      <c r="A766" t="inlineStr">
        <is>
          <t>Fin</t>
        </is>
      </c>
      <c r="B766" s="4" t="n">
        <v>395</v>
      </c>
      <c r="C766" t="inlineStr"/>
      <c r="D766" t="inlineStr">
        <is>
          <t>71720 Baden-Württemberg - Oberstenfeld</t>
        </is>
      </c>
      <c r="E766" s="5" t="n">
        <v>45512</v>
      </c>
      <c r="F766" t="inlineStr">
        <is>
          <t>Sold</t>
        </is>
      </c>
      <c r="G766" s="6">
        <f>HYPERLINK("https://www.kleinanzeigen.de/s-anzeige/nolo-windsurf-speed-finne-44-6-021/2831862094-230-19390", "Link")</f>
        <v/>
      </c>
      <c r="H766" s="6">
        <f>HYPERLINK("C:\Projects\Kleinanzeigen-Scraper\offer_images\2831862094", "Link")</f>
        <v/>
      </c>
      <c r="I766" t="inlineStr">
        <is>
          <t>Thomas Kröner</t>
        </is>
      </c>
      <c r="J766" s="6">
        <f>HYPERLINK("https://www.kleinanzeigen.de/s-bestandsliste.html?userId=40359933", "Link")</f>
        <v/>
      </c>
      <c r="K766" s="7" t="n">
        <v>45512.64631944444</v>
      </c>
      <c r="L766" s="3" t="inlineStr">
        <is>
          <t>48.50</t>
        </is>
      </c>
      <c r="M766" t="inlineStr">
        <is>
          <t>Böblingen</t>
        </is>
      </c>
    </row>
    <row r="767">
      <c r="A767" t="inlineStr">
        <is>
          <t>Mastfoot</t>
        </is>
      </c>
      <c r="B767" s="4" t="n">
        <v>20</v>
      </c>
      <c r="C767" t="inlineStr"/>
      <c r="D767" t="inlineStr">
        <is>
          <t>71093 Baden-Württemberg - Weil im Schönbuch</t>
        </is>
      </c>
      <c r="E767" s="5" t="n">
        <v>45511</v>
      </c>
      <c r="F767" t="inlineStr">
        <is>
          <t>Sold</t>
        </is>
      </c>
      <c r="G767" s="6">
        <f>HYPERLINK("https://www.kleinanzeigen.de/s-anzeige/mastfuesse-windsurfen-powerjoint/2831237629-230-8785", "Link")</f>
        <v/>
      </c>
      <c r="H767" s="6">
        <f>HYPERLINK("C:\Projects\Kleinanzeigen-Scraper\offer_images\2831237629", "Link")</f>
        <v/>
      </c>
      <c r="I767" t="inlineStr">
        <is>
          <t>Schorschi</t>
        </is>
      </c>
      <c r="J767" s="6">
        <f>HYPERLINK("https://www.kleinanzeigen.de/s-bestandsliste.html?userId=71398211", "Link")</f>
        <v/>
      </c>
      <c r="K767" s="7" t="n">
        <v>45511.55994212963</v>
      </c>
      <c r="L767" s="3" t="inlineStr">
        <is>
          <t>9.52</t>
        </is>
      </c>
      <c r="M767" t="inlineStr">
        <is>
          <t>Böblingen</t>
        </is>
      </c>
    </row>
    <row r="768">
      <c r="A768" t="inlineStr">
        <is>
          <t>Mast extension</t>
        </is>
      </c>
      <c r="B768" s="4" t="n">
        <v>125</v>
      </c>
      <c r="C768" t="inlineStr"/>
      <c r="D768" t="inlineStr">
        <is>
          <t>67112 Rheinland-Pfalz - Mutterstadt</t>
        </is>
      </c>
      <c r="E768" s="5" t="n">
        <v>45511</v>
      </c>
      <c r="F768" t="inlineStr">
        <is>
          <t>Sold</t>
        </is>
      </c>
      <c r="G768" s="6">
        <f>HYPERLINK("https://www.kleinanzeigen.de/s-anzeige/power-xt-2-0-duotone-42cm-windsurfen-foilen/2831219456-230-4958", "Link")</f>
        <v/>
      </c>
      <c r="H768" s="6">
        <f>HYPERLINK("C:\Projects\Kleinanzeigen-Scraper\offer_images\2831219456", "Link")</f>
        <v/>
      </c>
      <c r="I768" t="inlineStr">
        <is>
          <t>Reiner</t>
        </is>
      </c>
      <c r="J768" s="6">
        <f>HYPERLINK("https://www.kleinanzeigen.de/s-bestandsliste.html?userId=16761299", "Link")</f>
        <v/>
      </c>
      <c r="K768" s="7" t="n">
        <v>45511.55976851852</v>
      </c>
      <c r="L768" s="3" t="inlineStr">
        <is>
          <t>48.41</t>
        </is>
      </c>
      <c r="M768" t="inlineStr">
        <is>
          <t>Karlsruhe</t>
        </is>
      </c>
    </row>
    <row r="769">
      <c r="A769" t="inlineStr">
        <is>
          <t>Booms</t>
        </is>
      </c>
      <c r="B769" s="4" t="n">
        <v>250</v>
      </c>
      <c r="C769" t="inlineStr"/>
      <c r="D769" t="inlineStr">
        <is>
          <t>66386 St. Ingbert</t>
        </is>
      </c>
      <c r="E769" s="5" t="n">
        <v>45509</v>
      </c>
      <c r="F769" t="inlineStr">
        <is>
          <t>Sold</t>
        </is>
      </c>
      <c r="G769" s="6">
        <f>HYPERLINK("https://www.dailydose.de/kleinanzeigen/detail.htm?ai=420466&amp;cf=kk&amp;pg=2&amp;ci=13", "Link")</f>
        <v/>
      </c>
      <c r="H769" s="6">
        <f>HYPERLINK("C:\Projects\Kleinanzeigen-Scraper\offer_images\420466", "Link")</f>
        <v/>
      </c>
      <c r="I769" t="inlineStr">
        <is>
          <t>Peter Elze</t>
        </is>
      </c>
      <c r="J769" s="6">
        <f>HYPERLINK("https://www.dailydose.de/kleinanzeigen/user/18910", "Link")</f>
        <v/>
      </c>
      <c r="K769" s="7" t="n">
        <v>45510.63089120371</v>
      </c>
      <c r="L769" s="3" t="inlineStr">
        <is>
          <t>96.65</t>
        </is>
      </c>
      <c r="M769" t="inlineStr">
        <is>
          <t>Karlsruhe</t>
        </is>
      </c>
    </row>
    <row r="770">
      <c r="A770" t="inlineStr">
        <is>
          <t>Fin</t>
        </is>
      </c>
      <c r="B770" s="4" t="n">
        <v>45</v>
      </c>
      <c r="C770" t="inlineStr">
        <is>
          <t>VB</t>
        </is>
      </c>
      <c r="D770" t="inlineStr">
        <is>
          <t>69469 Baden-Württemberg - Weinheim</t>
        </is>
      </c>
      <c r="E770" s="5" t="n">
        <v>45507</v>
      </c>
      <c r="F770" t="inlineStr">
        <is>
          <t>Sold</t>
        </is>
      </c>
      <c r="G770" s="6">
        <f>HYPERLINK("https://www.kleinanzeigen.de/s-anzeige/k4-fins-fang-windsurf-freeride-finne/2828162475-230-8266", "Link")</f>
        <v/>
      </c>
      <c r="H770" s="6">
        <f>HYPERLINK("C:\Projects\Kleinanzeigen-Scraper\offer_images\2828162475", "Link")</f>
        <v/>
      </c>
      <c r="I770" t="inlineStr">
        <is>
          <t>Philipp</t>
        </is>
      </c>
      <c r="J770" s="6">
        <f>HYPERLINK("https://www.kleinanzeigen.de/s-bestandsliste.html?userId=120464512", "Link")</f>
        <v/>
      </c>
      <c r="K770" s="7" t="n">
        <v>45509.55446759259</v>
      </c>
      <c r="L770" s="3" t="inlineStr">
        <is>
          <t>62.48</t>
        </is>
      </c>
      <c r="M770" t="inlineStr">
        <is>
          <t>Karlsruhe</t>
        </is>
      </c>
    </row>
    <row r="771">
      <c r="A771" t="inlineStr">
        <is>
          <t>Windsurf Trapez</t>
        </is>
      </c>
      <c r="B771" s="4" t="n">
        <v>20</v>
      </c>
      <c r="C771" t="inlineStr"/>
      <c r="D771" t="inlineStr">
        <is>
          <t>72555 Baden-Württemberg - Metzingen</t>
        </is>
      </c>
      <c r="E771" s="5" t="n">
        <v>45508</v>
      </c>
      <c r="F771" t="inlineStr">
        <is>
          <t>Sold</t>
        </is>
      </c>
      <c r="G771" s="6">
        <f>HYPERLINK("https://www.kleinanzeigen.de/s-anzeige/windsurf-trapez-xs/2829094315-230-7995", "Link")</f>
        <v/>
      </c>
      <c r="H771" s="6">
        <f>HYPERLINK("C:\Projects\Kleinanzeigen-Scraper\offer_images\2829094315", "Link")</f>
        <v/>
      </c>
      <c r="I771" t="inlineStr">
        <is>
          <t>Yaron</t>
        </is>
      </c>
      <c r="J771" s="6">
        <f>HYPERLINK("https://www.kleinanzeigen.de/s-bestandsliste.html?userId=41744883", "Link")</f>
        <v/>
      </c>
      <c r="K771" s="7" t="n">
        <v>45509.55440972222</v>
      </c>
      <c r="L771" s="3" t="inlineStr">
        <is>
          <t>28.19</t>
        </is>
      </c>
      <c r="M771" t="inlineStr">
        <is>
          <t>Böblingen</t>
        </is>
      </c>
    </row>
    <row r="772">
      <c r="A772" t="inlineStr">
        <is>
          <t>quiver-bag</t>
        </is>
      </c>
      <c r="B772" s="4" t="n">
        <v>169</v>
      </c>
      <c r="C772" t="inlineStr">
        <is>
          <t>VB</t>
        </is>
      </c>
      <c r="D772" t="inlineStr">
        <is>
          <t>71384 Baden-Württemberg - Weinstadt</t>
        </is>
      </c>
      <c r="E772" s="5" t="n">
        <v>45507</v>
      </c>
      <c r="F772" t="inlineStr">
        <is>
          <t>Sold</t>
        </is>
      </c>
      <c r="G772" s="6">
        <f>HYPERLINK("https://www.kleinanzeigen.de/s-anzeige/unifiber-windsurf-roofrack-quiver-bag-260x80/2828295649-230-8386", "Link")</f>
        <v/>
      </c>
      <c r="H772" s="6">
        <f>HYPERLINK("C:\Projects\Kleinanzeigen-Scraper\offer_images\2828295649", "Link")</f>
        <v/>
      </c>
      <c r="I772" t="inlineStr">
        <is>
          <t>Tobias Ulrich</t>
        </is>
      </c>
      <c r="J772" s="6">
        <f>HYPERLINK("https://www.kleinanzeigen.de/s-bestandsliste.html?userId=125612531", "Link")</f>
        <v/>
      </c>
      <c r="K772" s="7" t="n">
        <v>45508.57011574074</v>
      </c>
      <c r="L772" s="3" t="inlineStr">
        <is>
          <t>33.53</t>
        </is>
      </c>
      <c r="M772" t="inlineStr">
        <is>
          <t>Böblingen</t>
        </is>
      </c>
    </row>
    <row r="773">
      <c r="A773" t="inlineStr">
        <is>
          <t>Harness</t>
        </is>
      </c>
      <c r="B773" s="4" t="n">
        <v>30</v>
      </c>
      <c r="C773" t="inlineStr">
        <is>
          <t>VB</t>
        </is>
      </c>
      <c r="D773" t="inlineStr">
        <is>
          <t>69121 Baden-Württemberg - Heidelberg</t>
        </is>
      </c>
      <c r="E773" s="5" t="n">
        <v>45507</v>
      </c>
      <c r="F773" t="inlineStr">
        <is>
          <t>Sold</t>
        </is>
      </c>
      <c r="G773" s="6">
        <f>HYPERLINK("https://www.kleinanzeigen.de/s-anzeige/trapetz-mystic-sitztrapetz-windsurf-kitesurf/2828060974-230-9180", "Link")</f>
        <v/>
      </c>
      <c r="H773" s="6">
        <f>HYPERLINK("C:\Projects\Kleinanzeigen-Scraper\offer_images\2828060974", "Link")</f>
        <v/>
      </c>
      <c r="I773" t="inlineStr">
        <is>
          <t>Michael Ott</t>
        </is>
      </c>
      <c r="J773" s="6">
        <f>HYPERLINK("https://www.kleinanzeigen.de/s-bestandsliste.html?userId=4363240", "Link")</f>
        <v/>
      </c>
      <c r="K773" s="7" t="n">
        <v>45508.56988425926</v>
      </c>
      <c r="L773" s="3" t="inlineStr">
        <is>
          <t>52.06</t>
        </is>
      </c>
      <c r="M773" t="inlineStr">
        <is>
          <t>Karlsruhe</t>
        </is>
      </c>
    </row>
    <row r="774">
      <c r="A774" t="inlineStr">
        <is>
          <t>Mastfoot and Mast Extensions</t>
        </is>
      </c>
      <c r="B774" s="4" t="n">
        <v>1</v>
      </c>
      <c r="C774" t="inlineStr"/>
      <c r="D774" t="inlineStr">
        <is>
          <t>67067 Rheinland-Pfalz - Ludwigshafen</t>
        </is>
      </c>
      <c r="E774" s="5" t="n">
        <v>45502</v>
      </c>
      <c r="F774" t="inlineStr">
        <is>
          <t>Sold</t>
        </is>
      </c>
      <c r="G774" s="6">
        <f>HYPERLINK("https://www.kleinanzeigen.de/s-anzeige/windsurf-mast-fuesse-u-verlaengerungen/2824466871-230-5384", "Link")</f>
        <v/>
      </c>
      <c r="H774" s="6">
        <f>HYPERLINK("C:\Projects\Kleinanzeigen-Scraper\offer_images\2824466871", "Link")</f>
        <v/>
      </c>
      <c r="I774" t="inlineStr">
        <is>
          <t>GPfeiffer</t>
        </is>
      </c>
      <c r="J774" s="6">
        <f>HYPERLINK("https://www.kleinanzeigen.de/s-bestandsliste.html?userId=38525979", "Link")</f>
        <v/>
      </c>
      <c r="K774" s="7" t="n">
        <v>45503.40006944445</v>
      </c>
      <c r="L774" s="3" t="inlineStr">
        <is>
          <t>50.44</t>
        </is>
      </c>
      <c r="M774" t="inlineStr">
        <is>
          <t>Karlsruhe</t>
        </is>
      </c>
    </row>
    <row r="775">
      <c r="A775" t="inlineStr">
        <is>
          <t>Protector for Boom</t>
        </is>
      </c>
      <c r="B775" s="4" t="n">
        <v>5</v>
      </c>
      <c r="C775" t="inlineStr"/>
      <c r="D775" t="inlineStr">
        <is>
          <t>64739 Höchst i. Odw.</t>
        </is>
      </c>
      <c r="E775" s="5" t="n">
        <v>45472</v>
      </c>
      <c r="F775" t="inlineStr"/>
      <c r="G775" s="6">
        <f>HYPERLINK("https://www.dailydose.de/kleinanzeigen/detail.htm?ai=418598&amp;cf=kk&amp;pg=4&amp;ci=13", "Link")</f>
        <v/>
      </c>
      <c r="H775" s="6">
        <f>HYPERLINK("C:\Projects\Kleinanzeigen-Scraper\offer_images\418598", "Link")</f>
        <v/>
      </c>
      <c r="I775" t="inlineStr">
        <is>
          <t>Annelsbacher</t>
        </is>
      </c>
      <c r="J775" s="6">
        <f>HYPERLINK("https://www.dailydose.de/kleinanzeigen/user/15568", "Link")</f>
        <v/>
      </c>
      <c r="K775" s="7" t="n">
        <v>45502.78530092593</v>
      </c>
      <c r="L775" s="3" t="inlineStr">
        <is>
          <t>96.83</t>
        </is>
      </c>
      <c r="M775" t="inlineStr">
        <is>
          <t>Karlsruhe</t>
        </is>
      </c>
    </row>
    <row r="776">
      <c r="A776" t="inlineStr">
        <is>
          <t>Finne, Mastschoner, Gabelbaum-Nasenschoner</t>
        </is>
      </c>
      <c r="B776" s="4" t="n">
        <v>1</v>
      </c>
      <c r="C776" t="inlineStr">
        <is>
          <t>VB</t>
        </is>
      </c>
      <c r="D776" t="inlineStr">
        <is>
          <t>67067 Rheinland-Pfalz - Ludwigshafen</t>
        </is>
      </c>
      <c r="E776" s="5" t="n">
        <v>45501</v>
      </c>
      <c r="F776" t="inlineStr">
        <is>
          <t>Sold</t>
        </is>
      </c>
      <c r="G776" s="6">
        <f>HYPERLINK("https://www.kleinanzeigen.de/s-anzeige/windsurf-zubehoer-40-cm-finne-mastschoner-u-a-/2823779405-230-5384", "Link")</f>
        <v/>
      </c>
      <c r="H776" s="6">
        <f>HYPERLINK("C:\Projects\Kleinanzeigen-Scraper\offer_images\2823779405", "Link")</f>
        <v/>
      </c>
      <c r="I776" t="inlineStr">
        <is>
          <t>GPfeiffer</t>
        </is>
      </c>
      <c r="J776" s="6">
        <f>HYPERLINK("https://www.kleinanzeigen.de/s-bestandsliste.html?userId=38525979", "Link")</f>
        <v/>
      </c>
      <c r="K776" s="7" t="n">
        <v>45502.78420138889</v>
      </c>
      <c r="L776" s="3" t="inlineStr">
        <is>
          <t>50.44</t>
        </is>
      </c>
      <c r="M776" t="inlineStr">
        <is>
          <t>Karlsruhe</t>
        </is>
      </c>
    </row>
    <row r="777">
      <c r="A777" t="inlineStr">
        <is>
          <t>Trapeztampen</t>
        </is>
      </c>
      <c r="B777" s="4" t="n">
        <v>10</v>
      </c>
      <c r="C777" t="inlineStr"/>
      <c r="D777" t="inlineStr">
        <is>
          <t>69198 Baden-Württemberg - Schriesheim</t>
        </is>
      </c>
      <c r="E777" s="5" t="n">
        <v>45502</v>
      </c>
      <c r="F777" t="inlineStr">
        <is>
          <t>Sold</t>
        </is>
      </c>
      <c r="G777" s="6">
        <f>HYPERLINK("https://www.kleinanzeigen.de/s-anzeige/gunsails-vario-trapeztampen-windsurfen-28-34/2823990827-230-8270", "Link")</f>
        <v/>
      </c>
      <c r="H777" s="6">
        <f>HYPERLINK("C:\Projects\Kleinanzeigen-Scraper\offer_images\2823990827", "Link")</f>
        <v/>
      </c>
      <c r="I777" t="inlineStr">
        <is>
          <t>L. Götz</t>
        </is>
      </c>
      <c r="J777" s="6">
        <f>HYPERLINK("https://www.kleinanzeigen.de/s-bestandsliste.html?userId=119868044", "Link")</f>
        <v/>
      </c>
      <c r="K777" s="7" t="n">
        <v>45502.78409722223</v>
      </c>
      <c r="L777" s="3" t="inlineStr">
        <is>
          <t>57.18</t>
        </is>
      </c>
      <c r="M777" t="inlineStr">
        <is>
          <t>Karlsruhe</t>
        </is>
      </c>
    </row>
    <row r="778">
      <c r="A778" t="inlineStr">
        <is>
          <t>Gabelbaum, Stangen, Halter</t>
        </is>
      </c>
      <c r="B778" s="4" t="inlineStr"/>
      <c r="C778" t="inlineStr">
        <is>
          <t>VB</t>
        </is>
      </c>
      <c r="D778" t="inlineStr">
        <is>
          <t>68649 Hessen - Groß-Rohrheim</t>
        </is>
      </c>
      <c r="E778" s="5" t="n">
        <v>45501</v>
      </c>
      <c r="F778" t="inlineStr">
        <is>
          <t>Sold</t>
        </is>
      </c>
      <c r="G778" s="6">
        <f>HYPERLINK("https://www.kleinanzeigen.de/s-anzeige/surfen-surf-zubehoer-gabelbaum-stangen-halter-usw-windsurfen/2822826562-230-4758", "Link")</f>
        <v/>
      </c>
      <c r="H778" s="6">
        <f>HYPERLINK("C:\Projects\Kleinanzeigen-Scraper\offer_images\2822826562", "Link")</f>
        <v/>
      </c>
      <c r="I778" t="inlineStr">
        <is>
          <t>Daniel</t>
        </is>
      </c>
      <c r="J778" s="6">
        <f>HYPERLINK("https://www.kleinanzeigen.de/s-bestandsliste.html?userId=15416374", "Link")</f>
        <v/>
      </c>
      <c r="K778" s="7" t="n">
        <v>45502.78399305556</v>
      </c>
      <c r="L778" s="3" t="inlineStr">
        <is>
          <t>78.85</t>
        </is>
      </c>
      <c r="M778" t="inlineStr">
        <is>
          <t>Karlsruhe</t>
        </is>
      </c>
    </row>
    <row r="779">
      <c r="A779" t="inlineStr">
        <is>
          <t>Fin</t>
        </is>
      </c>
      <c r="B779" s="4" t="n">
        <v>65</v>
      </c>
      <c r="C779" t="inlineStr"/>
      <c r="D779" t="inlineStr">
        <is>
          <t>69198 Baden-Württemberg - Schriesheim</t>
        </is>
      </c>
      <c r="E779" s="5" t="n">
        <v>45502</v>
      </c>
      <c r="F779" t="inlineStr">
        <is>
          <t>Sold</t>
        </is>
      </c>
      <c r="G779" s="6">
        <f>HYPERLINK("https://www.kleinanzeigen.de/s-anzeige/tide-delta-finne-windsurfen-deep-tuttle-box/2823992031-230-8270", "Link")</f>
        <v/>
      </c>
      <c r="H779" s="6">
        <f>HYPERLINK("C:\Projects\Kleinanzeigen-Scraper\offer_images\2823992031", "Link")</f>
        <v/>
      </c>
      <c r="I779" t="inlineStr">
        <is>
          <t>L. Götz</t>
        </is>
      </c>
      <c r="J779" s="6">
        <f>HYPERLINK("https://www.kleinanzeigen.de/s-bestandsliste.html?userId=119868044", "Link")</f>
        <v/>
      </c>
      <c r="K779" s="7" t="n">
        <v>45502.78359953704</v>
      </c>
      <c r="L779" s="3" t="inlineStr">
        <is>
          <t>57.18</t>
        </is>
      </c>
      <c r="M779" t="inlineStr">
        <is>
          <t>Karlsruhe</t>
        </is>
      </c>
    </row>
    <row r="780">
      <c r="A780" t="inlineStr">
        <is>
          <t>Fin</t>
        </is>
      </c>
      <c r="B780" s="4" t="n">
        <v>70</v>
      </c>
      <c r="C780" t="inlineStr"/>
      <c r="D780" t="inlineStr">
        <is>
          <t>76437 Baden-Württemberg - Rastatt</t>
        </is>
      </c>
      <c r="E780" s="5" t="n">
        <v>45501</v>
      </c>
      <c r="F780" t="inlineStr">
        <is>
          <t>Sold</t>
        </is>
      </c>
      <c r="G780" s="6">
        <f>HYPERLINK("https://www.kleinanzeigen.de/s-anzeige/windsurf-finne/2823332908-230-8199", "Link")</f>
        <v/>
      </c>
      <c r="H780" s="6">
        <f>HYPERLINK("C:\Projects\Kleinanzeigen-Scraper\offer_images\2823332908", "Link")</f>
        <v/>
      </c>
      <c r="I780" t="inlineStr">
        <is>
          <t>Alex</t>
        </is>
      </c>
      <c r="J780" s="6">
        <f>HYPERLINK("https://www.kleinanzeigen.de/s-bestandsliste.html?userId=60819966", "Link")</f>
        <v/>
      </c>
      <c r="K780" s="7" t="n">
        <v>45502.78325231482</v>
      </c>
      <c r="L780" s="3" t="inlineStr">
        <is>
          <t>22.54</t>
        </is>
      </c>
      <c r="M780" t="inlineStr">
        <is>
          <t>Karlsruhe</t>
        </is>
      </c>
    </row>
    <row r="781">
      <c r="A781" t="inlineStr">
        <is>
          <t>Windsurf trapeze with integrated life jacket</t>
        </is>
      </c>
      <c r="B781" s="4" t="n">
        <v>20</v>
      </c>
      <c r="C781" t="inlineStr"/>
      <c r="D781" t="inlineStr">
        <is>
          <t>69151 Baden-Württemberg - Neckargemünd</t>
        </is>
      </c>
      <c r="E781" s="5" t="n">
        <v>45500</v>
      </c>
      <c r="F781" t="inlineStr">
        <is>
          <t>Sold</t>
        </is>
      </c>
      <c r="G781" s="6">
        <f>HYPERLINK("https://www.kleinanzeigen.de/s-anzeige/windsurf-trapez/2822782928-230-9185", "Link")</f>
        <v/>
      </c>
      <c r="H781" s="6">
        <f>HYPERLINK("C:\Projects\Kleinanzeigen-Scraper\offer_images\2822782928", "Link")</f>
        <v/>
      </c>
      <c r="I781" t="inlineStr">
        <is>
          <t>Bruno Eberspächer</t>
        </is>
      </c>
      <c r="J781" s="6">
        <f>HYPERLINK("https://www.kleinanzeigen.de/s-bestandsliste.html?userId=8988280", "Link")</f>
        <v/>
      </c>
      <c r="K781" s="7" t="n">
        <v>45500.97319444444</v>
      </c>
      <c r="L781" s="3" t="inlineStr">
        <is>
          <t>53.06</t>
        </is>
      </c>
      <c r="M781" t="inlineStr">
        <is>
          <t>Karlsruhe</t>
        </is>
      </c>
    </row>
    <row r="782">
      <c r="A782" t="inlineStr">
        <is>
          <t>Windsurf gloves</t>
        </is>
      </c>
      <c r="B782" s="4" t="n">
        <v>10</v>
      </c>
      <c r="C782" t="inlineStr"/>
      <c r="D782" t="inlineStr">
        <is>
          <t>71384 Baden-Württemberg - Weinstadt</t>
        </is>
      </c>
      <c r="E782" s="5" t="n">
        <v>45474</v>
      </c>
      <c r="F782" t="inlineStr">
        <is>
          <t>Sold</t>
        </is>
      </c>
      <c r="G782" s="6">
        <f>HYPERLINK("https://www.kleinanzeigen.de/s-anzeige/windsurf-handschuhe-auch-radfahren-/2801393900-230-8386", "Link")</f>
        <v/>
      </c>
      <c r="H782" s="6">
        <f>HYPERLINK("C:\Projects\Kleinanzeigen-Scraper\offer_images\2801393900", "Link")</f>
        <v/>
      </c>
      <c r="I782" t="inlineStr">
        <is>
          <t>Herr Bühler</t>
        </is>
      </c>
      <c r="J782" s="6">
        <f>HYPERLINK("https://www.kleinanzeigen.de/s-bestandsliste.html?userId=52329124", "Link")</f>
        <v/>
      </c>
      <c r="K782" s="7" t="n">
        <v>45500.72447916667</v>
      </c>
      <c r="L782" s="3" t="inlineStr">
        <is>
          <t>33.53</t>
        </is>
      </c>
      <c r="M782" t="inlineStr">
        <is>
          <t>Böblingen</t>
        </is>
      </c>
    </row>
    <row r="783">
      <c r="A783" t="inlineStr">
        <is>
          <t>Trapeztampen</t>
        </is>
      </c>
      <c r="B783" s="4" t="n">
        <v>19</v>
      </c>
      <c r="C783" t="inlineStr"/>
      <c r="D783" t="inlineStr">
        <is>
          <t>72762 Baden-Württemberg - Reutlingen</t>
        </is>
      </c>
      <c r="E783" s="5" t="n">
        <v>45489</v>
      </c>
      <c r="F783" t="inlineStr">
        <is>
          <t>Sold</t>
        </is>
      </c>
      <c r="G783" s="6">
        <f>HYPERLINK("https://www.kleinanzeigen.de/s-anzeige/windsurf-trapeztampen-gaastra/2813808706-230-9351", "Link")</f>
        <v/>
      </c>
      <c r="H783" s="6">
        <f>HYPERLINK("C:\Projects\Kleinanzeigen-Scraper\offer_images\2813808706", "Link")</f>
        <v/>
      </c>
      <c r="I783" t="inlineStr">
        <is>
          <t>Gerhard Kühne</t>
        </is>
      </c>
      <c r="J783" s="6">
        <f>HYPERLINK("https://www.kleinanzeigen.de/s-bestandsliste.html?userId=26064227", "Link")</f>
        <v/>
      </c>
      <c r="K783" s="7" t="n">
        <v>45500.72446759259</v>
      </c>
      <c r="L783" s="3" t="inlineStr">
        <is>
          <t>27.24</t>
        </is>
      </c>
      <c r="M783" t="inlineStr">
        <is>
          <t>Böblingen</t>
        </is>
      </c>
    </row>
    <row r="784">
      <c r="A784" t="inlineStr">
        <is>
          <t>Fins</t>
        </is>
      </c>
      <c r="B784" s="4" t="n">
        <v>20</v>
      </c>
      <c r="C784" t="inlineStr">
        <is>
          <t>VB</t>
        </is>
      </c>
      <c r="D784" t="inlineStr">
        <is>
          <t>75045 Baden-Württemberg - Walzbachtal</t>
        </is>
      </c>
      <c r="E784" s="5" t="n">
        <v>45363</v>
      </c>
      <c r="F784" t="inlineStr">
        <is>
          <t>Sold</t>
        </is>
      </c>
      <c r="G784" s="6">
        <f>HYPERLINK("https://www.kleinanzeigen.de/s-anzeige/windsurffinnen-windsurfen-fanatic/2704748483-230-8248", "Link")</f>
        <v/>
      </c>
      <c r="H784" s="6">
        <f>HYPERLINK("C:\Projects\Kleinanzeigen-Scraper\offer_images\2704748483", "Link")</f>
        <v/>
      </c>
      <c r="I784" t="inlineStr">
        <is>
          <t>Carsten</t>
        </is>
      </c>
      <c r="J784" s="6">
        <f>HYPERLINK("https://www.kleinanzeigen.de/s-bestandsliste.html?userId=21241938", "Link")</f>
        <v/>
      </c>
      <c r="K784" s="7" t="n">
        <v>45500.72445601852</v>
      </c>
      <c r="L784" s="3" t="inlineStr">
        <is>
          <t>15.32</t>
        </is>
      </c>
      <c r="M784" t="inlineStr">
        <is>
          <t>Karlsruhe</t>
        </is>
      </c>
    </row>
    <row r="785">
      <c r="A785" t="inlineStr">
        <is>
          <t>Neopren-Schuhe</t>
        </is>
      </c>
      <c r="B785" s="4" t="n">
        <v>10</v>
      </c>
      <c r="C785" t="inlineStr"/>
      <c r="D785" t="inlineStr">
        <is>
          <t>76703 Baden-Württemberg - Kraichtal</t>
        </is>
      </c>
      <c r="E785" s="5" t="n">
        <v>45488</v>
      </c>
      <c r="F785" t="inlineStr">
        <is>
          <t>Sold</t>
        </is>
      </c>
      <c r="G785" s="6">
        <f>HYPERLINK("https://www.kleinanzeigen.de/s-anzeige/neopren-schuhe-bade-surf-windsurf-sup-foil-schwimmen-gr-40/2812885238-230-8797", "Link")</f>
        <v/>
      </c>
      <c r="H785" s="6">
        <f>HYPERLINK("C:\Projects\Kleinanzeigen-Scraper\offer_images\2812885238", "Link")</f>
        <v/>
      </c>
      <c r="I785" t="inlineStr">
        <is>
          <t>Frank</t>
        </is>
      </c>
      <c r="J785" s="6">
        <f>HYPERLINK("https://www.kleinanzeigen.de/s-bestandsliste.html?userId=8997097", "Link")</f>
        <v/>
      </c>
      <c r="K785" s="7" t="n">
        <v>45500.72444444444</v>
      </c>
      <c r="L785" s="3" t="inlineStr">
        <is>
          <t>28.53</t>
        </is>
      </c>
      <c r="M785" t="inlineStr">
        <is>
          <t>Karlsruhe</t>
        </is>
      </c>
    </row>
    <row r="786">
      <c r="A786" t="inlineStr">
        <is>
          <t>Trapeztampen</t>
        </is>
      </c>
      <c r="B786" s="4" t="n">
        <v>25</v>
      </c>
      <c r="C786" t="inlineStr"/>
      <c r="D786" t="inlineStr">
        <is>
          <t>75045 Baden-Württemberg - Walzbachtal</t>
        </is>
      </c>
      <c r="E786" s="5" t="n">
        <v>45242</v>
      </c>
      <c r="F786" t="inlineStr">
        <is>
          <t>Sold</t>
        </is>
      </c>
      <c r="G786" s="6">
        <f>HYPERLINK("https://www.kleinanzeigen.de/s-anzeige/north-sails-trapeztampen-22-windsurfen/2601050818-230-8248", "Link")</f>
        <v/>
      </c>
      <c r="H786" s="6">
        <f>HYPERLINK("C:\Projects\Kleinanzeigen-Scraper\offer_images\2601050818", "Link")</f>
        <v/>
      </c>
      <c r="I786" t="inlineStr">
        <is>
          <t>Carsten</t>
        </is>
      </c>
      <c r="J786" s="6">
        <f>HYPERLINK("https://www.kleinanzeigen.de/s-bestandsliste.html?userId=21241938", "Link")</f>
        <v/>
      </c>
      <c r="K786" s="7" t="n">
        <v>45500.7244212963</v>
      </c>
      <c r="L786" s="3" t="inlineStr">
        <is>
          <t>15.32</t>
        </is>
      </c>
      <c r="M786" t="inlineStr">
        <is>
          <t>Karlsruhe</t>
        </is>
      </c>
    </row>
    <row r="787">
      <c r="A787" t="inlineStr">
        <is>
          <t>Harness</t>
        </is>
      </c>
      <c r="B787" s="4" t="n">
        <v>25</v>
      </c>
      <c r="C787" t="inlineStr">
        <is>
          <t>VB</t>
        </is>
      </c>
      <c r="D787" t="inlineStr">
        <is>
          <t>67240 Rheinland-Pfalz - Bobenheim-Roxheim</t>
        </is>
      </c>
      <c r="E787" s="5" t="n">
        <v>45443</v>
      </c>
      <c r="F787" t="inlineStr">
        <is>
          <t>Sold</t>
        </is>
      </c>
      <c r="G787" s="6">
        <f>HYPERLINK("https://www.kleinanzeigen.de/s-anzeige/trapez-windsurfen-groesse-s/2776053678-230-5187", "Link")</f>
        <v/>
      </c>
      <c r="H787" s="6">
        <f>HYPERLINK("C:\Projects\Kleinanzeigen-Scraper\offer_images\2776053678", "Link")</f>
        <v/>
      </c>
      <c r="I787" t="inlineStr">
        <is>
          <t>Frank Ipsen2</t>
        </is>
      </c>
      <c r="J787" s="6">
        <f>HYPERLINK("https://www.kleinanzeigen.de/s-bestandsliste.html?userId=138607218", "Link")</f>
        <v/>
      </c>
      <c r="K787" s="7" t="n">
        <v>45500.72439814815</v>
      </c>
      <c r="L787" s="3" t="inlineStr">
        <is>
          <t>63.50</t>
        </is>
      </c>
      <c r="M787" t="inlineStr">
        <is>
          <t>Karlsruhe</t>
        </is>
      </c>
    </row>
    <row r="788">
      <c r="A788" t="inlineStr">
        <is>
          <t>Sitz-Trapez</t>
        </is>
      </c>
      <c r="B788" s="4" t="n">
        <v>20</v>
      </c>
      <c r="C788" t="inlineStr"/>
      <c r="D788" t="inlineStr">
        <is>
          <t>71720 Baden-Württemberg - Oberstenfeld</t>
        </is>
      </c>
      <c r="E788" s="5" t="n">
        <v>45438</v>
      </c>
      <c r="F788" t="inlineStr">
        <is>
          <t>Sold</t>
        </is>
      </c>
      <c r="G788" s="6">
        <f>HYPERLINK("https://www.kleinanzeigen.de/s-anzeige/sitz-trapez-windsurfen-ziener-m-32-34/2771574524-230-19390", "Link")</f>
        <v/>
      </c>
      <c r="H788" s="6">
        <f>HYPERLINK("C:\Projects\Kleinanzeigen-Scraper\offer_images\2771574524", "Link")</f>
        <v/>
      </c>
      <c r="I788" t="inlineStr">
        <is>
          <t>Thomas Kröner</t>
        </is>
      </c>
      <c r="J788" s="6">
        <f>HYPERLINK("https://www.kleinanzeigen.de/s-bestandsliste.html?userId=40359933", "Link")</f>
        <v/>
      </c>
      <c r="K788" s="7" t="n">
        <v>45500.72439814815</v>
      </c>
      <c r="L788" s="3" t="inlineStr">
        <is>
          <t>48.50</t>
        </is>
      </c>
      <c r="M788" t="inlineStr">
        <is>
          <t>Böblingen</t>
        </is>
      </c>
    </row>
    <row r="789">
      <c r="A789" t="inlineStr">
        <is>
          <t>Fin</t>
        </is>
      </c>
      <c r="B789" s="4" t="n">
        <v>50</v>
      </c>
      <c r="C789" t="inlineStr"/>
      <c r="D789" t="inlineStr">
        <is>
          <t>88433 Baden-Württemberg - Schemmerhofen</t>
        </is>
      </c>
      <c r="E789" s="5" t="n">
        <v>45461</v>
      </c>
      <c r="F789" t="inlineStr">
        <is>
          <t>Sold</t>
        </is>
      </c>
      <c r="G789" s="6">
        <f>HYPERLINK("https://www.kleinanzeigen.de/s-anzeige/wind-surf-slalom-wave-finne-34-cm/2791430162-230-8713", "Link")</f>
        <v/>
      </c>
      <c r="H789" s="6">
        <f>HYPERLINK("C:\Projects\Kleinanzeigen-Scraper\offer_images\2791430162", "Link")</f>
        <v/>
      </c>
      <c r="I789" t="inlineStr">
        <is>
          <t>F. Bumiller</t>
        </is>
      </c>
      <c r="J789" s="6">
        <f>HYPERLINK("https://www.kleinanzeigen.de/s-bestandsliste.html?userId=25342094", "Link")</f>
        <v/>
      </c>
      <c r="K789" s="7" t="n">
        <v>45500.72439814815</v>
      </c>
      <c r="L789" s="3" t="inlineStr">
        <is>
          <t>81.86</t>
        </is>
      </c>
      <c r="M789" t="inlineStr">
        <is>
          <t>Böblingen</t>
        </is>
      </c>
    </row>
    <row r="790">
      <c r="A790" t="inlineStr">
        <is>
          <t>Mast Protector</t>
        </is>
      </c>
      <c r="B790" s="4" t="n">
        <v>10</v>
      </c>
      <c r="C790" t="inlineStr"/>
      <c r="D790" t="inlineStr">
        <is>
          <t>73252 Baden-Württemberg - Lenningen</t>
        </is>
      </c>
      <c r="E790" s="5" t="n">
        <v>44788</v>
      </c>
      <c r="F790" t="inlineStr">
        <is>
          <t>Sold</t>
        </is>
      </c>
      <c r="G790" s="6">
        <f>HYPERLINK("https://www.kleinanzeigen.de/s-anzeige/windsurfen-mast-protector/2183743787-230-8466", "Link")</f>
        <v/>
      </c>
      <c r="H790" s="6">
        <f>HYPERLINK("C:\Projects\Kleinanzeigen-Scraper\offer_images\2183743787", "Link")</f>
        <v/>
      </c>
      <c r="I790" t="inlineStr">
        <is>
          <t>Andi</t>
        </is>
      </c>
      <c r="J790" s="6">
        <f>HYPERLINK("https://www.kleinanzeigen.de/s-bestandsliste.html?userId=9893215", "Link")</f>
        <v/>
      </c>
      <c r="K790" s="7" t="n">
        <v>45500.72439814815</v>
      </c>
      <c r="L790" s="3" t="inlineStr">
        <is>
          <t>38.52</t>
        </is>
      </c>
      <c r="M790" t="inlineStr">
        <is>
          <t>Böblingen</t>
        </is>
      </c>
    </row>
    <row r="791">
      <c r="A791" t="inlineStr">
        <is>
          <t>Windsurf-Diebstahlsicherung</t>
        </is>
      </c>
      <c r="B791" s="4" t="n">
        <v>20</v>
      </c>
      <c r="C791" t="inlineStr">
        <is>
          <t>VB</t>
        </is>
      </c>
      <c r="D791" t="inlineStr">
        <is>
          <t>67373 Speyer - Dudenhofen</t>
        </is>
      </c>
      <c r="E791" s="5" t="n">
        <v>45442</v>
      </c>
      <c r="F791" t="inlineStr">
        <is>
          <t>Sold</t>
        </is>
      </c>
      <c r="G791" s="6">
        <f>HYPERLINK("https://www.kleinanzeigen.de/s-anzeige/windsurf-diebstahlsicherung/2774750942-230-5368", "Link")</f>
        <v/>
      </c>
      <c r="H791" s="6">
        <f>HYPERLINK("C:\Projects\Kleinanzeigen-Scraper\offer_images\2774750942", "Link")</f>
        <v/>
      </c>
      <c r="I791" t="inlineStr">
        <is>
          <t>Uli</t>
        </is>
      </c>
      <c r="J791" s="6">
        <f>HYPERLINK("https://www.kleinanzeigen.de/s-bestandsliste.html?userId=92238343", "Link")</f>
        <v/>
      </c>
      <c r="K791" s="7" t="n">
        <v>45500.72438657407</v>
      </c>
      <c r="L791" s="3" t="inlineStr">
        <is>
          <t>34.41</t>
        </is>
      </c>
      <c r="M791" t="inlineStr">
        <is>
          <t>Karlsruhe</t>
        </is>
      </c>
    </row>
    <row r="792">
      <c r="A792" t="inlineStr">
        <is>
          <t>Fin</t>
        </is>
      </c>
      <c r="B792" s="4" t="n">
        <v>20</v>
      </c>
      <c r="C792" t="inlineStr">
        <is>
          <t>VB</t>
        </is>
      </c>
      <c r="D792" t="inlineStr">
        <is>
          <t>55291 Rheinland-Pfalz - Saulheim</t>
        </is>
      </c>
      <c r="E792" s="5" t="n">
        <v>45357</v>
      </c>
      <c r="F792" t="inlineStr">
        <is>
          <t>Sold</t>
        </is>
      </c>
      <c r="G792" s="6">
        <f>HYPERLINK("https://www.kleinanzeigen.de/s-anzeige/jp-finne-us-box-laenge-20-5-cm-inkl-versand-windsurfen/2698939715-230-5332", "Link")</f>
        <v/>
      </c>
      <c r="H792" s="6">
        <f>HYPERLINK("C:\Projects\Kleinanzeigen-Scraper\offer_images\2698939715", "Link")</f>
        <v/>
      </c>
      <c r="I792" t="inlineStr">
        <is>
          <t>Michael</t>
        </is>
      </c>
      <c r="J792" s="6">
        <f>HYPERLINK("https://www.kleinanzeigen.de/s-bestandsliste.html?userId=120338761", "Link")</f>
        <v/>
      </c>
      <c r="K792" s="7" t="n">
        <v>45500.724375</v>
      </c>
      <c r="L792" s="3" t="inlineStr">
        <is>
          <t>97.88</t>
        </is>
      </c>
      <c r="M792" t="inlineStr">
        <is>
          <t>Karlsruhe</t>
        </is>
      </c>
    </row>
    <row r="793">
      <c r="A793" t="inlineStr">
        <is>
          <t>Harness</t>
        </is>
      </c>
      <c r="B793" s="4" t="n">
        <v>15</v>
      </c>
      <c r="C793" t="inlineStr"/>
      <c r="D793" t="inlineStr">
        <is>
          <t>71384 Baden-Württemberg - Weinstadt</t>
        </is>
      </c>
      <c r="E793" s="5" t="n">
        <v>45466</v>
      </c>
      <c r="F793" t="inlineStr">
        <is>
          <t>Sold</t>
        </is>
      </c>
      <c r="G793" s="6">
        <f>HYPERLINK("https://www.kleinanzeigen.de/s-anzeige/windsurf-trapez-gr-l-marke-north-shore/2795445454-230-8386", "Link")</f>
        <v/>
      </c>
      <c r="H793" s="6">
        <f>HYPERLINK("C:\Projects\Kleinanzeigen-Scraper\offer_images\2795445454", "Link")</f>
        <v/>
      </c>
      <c r="I793" t="inlineStr">
        <is>
          <t>Herr Bühler</t>
        </is>
      </c>
      <c r="J793" s="6">
        <f>HYPERLINK("https://www.kleinanzeigen.de/s-bestandsliste.html?userId=52329124", "Link")</f>
        <v/>
      </c>
      <c r="K793" s="7" t="n">
        <v>45500.72436342593</v>
      </c>
      <c r="L793" s="3" t="inlineStr">
        <is>
          <t>33.53</t>
        </is>
      </c>
      <c r="M793" t="inlineStr">
        <is>
          <t>Böblingen</t>
        </is>
      </c>
    </row>
    <row r="794">
      <c r="A794" t="inlineStr">
        <is>
          <t>gearbag</t>
        </is>
      </c>
      <c r="B794" s="4" t="n">
        <v>45</v>
      </c>
      <c r="C794" t="inlineStr">
        <is>
          <t>VB</t>
        </is>
      </c>
      <c r="D794" t="inlineStr">
        <is>
          <t>67346 Rheinland-Pfalz - Speyer</t>
        </is>
      </c>
      <c r="E794" s="5" t="n">
        <v>45453</v>
      </c>
      <c r="F794" t="inlineStr">
        <is>
          <t>Sold</t>
        </is>
      </c>
      <c r="G794" s="6">
        <f>HYPERLINK("https://www.kleinanzeigen.de/s-anzeige/gunsails-windsurf-gearbag/2784717837-230-5365", "Link")</f>
        <v/>
      </c>
      <c r="H794" s="6">
        <f>HYPERLINK("C:\Projects\Kleinanzeigen-Scraper\offer_images\2784717837", "Link")</f>
        <v/>
      </c>
      <c r="I794" t="inlineStr">
        <is>
          <t>D. Ertel</t>
        </is>
      </c>
      <c r="J794" s="6">
        <f>HYPERLINK("https://www.kleinanzeigen.de/s-bestandsliste.html?userId=13322828", "Link")</f>
        <v/>
      </c>
      <c r="K794" s="7" t="n">
        <v>45500.72436342593</v>
      </c>
      <c r="L794" s="3" t="inlineStr">
        <is>
          <t>35.76</t>
        </is>
      </c>
      <c r="M794" t="inlineStr">
        <is>
          <t>Karlsruhe</t>
        </is>
      </c>
    </row>
    <row r="795">
      <c r="A795" t="inlineStr">
        <is>
          <t>Trapeztampen</t>
        </is>
      </c>
      <c r="B795" s="4" t="n">
        <v>18</v>
      </c>
      <c r="C795" t="inlineStr">
        <is>
          <t>VB</t>
        </is>
      </c>
      <c r="D795" t="inlineStr">
        <is>
          <t>88459 Baden-Württemberg - Tannheim</t>
        </is>
      </c>
      <c r="E795" s="5" t="n">
        <v>45500</v>
      </c>
      <c r="F795" t="inlineStr">
        <is>
          <t>Sold</t>
        </is>
      </c>
      <c r="G795" s="6">
        <f>HYPERLINK("https://www.kleinanzeigen.de/s-anzeige/vario-trapeztampen-windsurfen/2822490968-230-17514", "Link")</f>
        <v/>
      </c>
      <c r="H795" s="6">
        <f>HYPERLINK("C:\Projects\Kleinanzeigen-Scraper\offer_images\2822490968", "Link")</f>
        <v/>
      </c>
      <c r="I795" t="inlineStr">
        <is>
          <t>Bernd Biffar</t>
        </is>
      </c>
      <c r="J795" s="6">
        <f>HYPERLINK("https://www.kleinanzeigen.de/s-bestandsliste.html?userId=12484866", "Link")</f>
        <v/>
      </c>
      <c r="K795" s="7" t="n">
        <v>45500.72434027777</v>
      </c>
      <c r="L795" s="3" t="inlineStr">
        <is>
          <t>111.14</t>
        </is>
      </c>
      <c r="M795" t="inlineStr">
        <is>
          <t>Böblingen</t>
        </is>
      </c>
    </row>
    <row r="796">
      <c r="A796" t="inlineStr">
        <is>
          <t>Wassersport Helm</t>
        </is>
      </c>
      <c r="B796" s="4" t="n">
        <v>35</v>
      </c>
      <c r="C796" t="inlineStr"/>
      <c r="D796" t="inlineStr">
        <is>
          <t>71088 Baden-Württemberg - Holzgerlingen</t>
        </is>
      </c>
      <c r="E796" s="5" t="n">
        <v>45498</v>
      </c>
      <c r="F796" t="inlineStr">
        <is>
          <t>Sold</t>
        </is>
      </c>
      <c r="G796" s="6">
        <f>HYPERLINK("https://www.kleinanzeigen.de/s-anzeige/gunsails-wassersport-helm-surf-kite-wake-windsurf-kanu-kajak/2820711939-230-8786", "Link")</f>
        <v/>
      </c>
      <c r="H796" s="6">
        <f>HYPERLINK("C:\Projects\Kleinanzeigen-Scraper\offer_images\2820711939", "Link")</f>
        <v/>
      </c>
      <c r="I796" t="inlineStr">
        <is>
          <t>Jürgen Rommel</t>
        </is>
      </c>
      <c r="J796" s="6">
        <f>HYPERLINK("https://www.kleinanzeigen.de/s-bestandsliste.html?userId=128051520", "Link")</f>
        <v/>
      </c>
      <c r="K796" s="7" t="n">
        <v>45500.72434027777</v>
      </c>
      <c r="L796" s="3" t="inlineStr">
        <is>
          <t>4.76</t>
        </is>
      </c>
      <c r="M796" t="inlineStr">
        <is>
          <t>Böblingen</t>
        </is>
      </c>
    </row>
    <row r="797">
      <c r="A797" t="inlineStr">
        <is>
          <t>Fin</t>
        </is>
      </c>
      <c r="B797" s="4" t="n">
        <v>20</v>
      </c>
      <c r="C797" t="inlineStr">
        <is>
          <t>VB</t>
        </is>
      </c>
      <c r="D797" t="inlineStr">
        <is>
          <t>55291 Rheinland-Pfalz - Saulheim</t>
        </is>
      </c>
      <c r="E797" s="5" t="n">
        <v>45357</v>
      </c>
      <c r="F797" t="inlineStr">
        <is>
          <t>Sold</t>
        </is>
      </c>
      <c r="G797" s="6">
        <f>HYPERLINK("https://www.kleinanzeigen.de/s-anzeige/finne-us-box-laenge-22-cm-inkl-versand-windsurfen/2698942600-230-5332", "Link")</f>
        <v/>
      </c>
      <c r="H797" s="6">
        <f>HYPERLINK("C:\Projects\Kleinanzeigen-Scraper\offer_images\2698942600", "Link")</f>
        <v/>
      </c>
      <c r="I797" t="inlineStr">
        <is>
          <t>Michael</t>
        </is>
      </c>
      <c r="J797" s="6">
        <f>HYPERLINK("https://www.kleinanzeigen.de/s-bestandsliste.html?userId=120338761", "Link")</f>
        <v/>
      </c>
      <c r="K797" s="7" t="n">
        <v>45500.72432870371</v>
      </c>
      <c r="L797" s="3" t="inlineStr">
        <is>
          <t>97.88</t>
        </is>
      </c>
      <c r="M797" t="inlineStr">
        <is>
          <t>Karlsruhe</t>
        </is>
      </c>
    </row>
    <row r="798">
      <c r="A798" t="inlineStr">
        <is>
          <t>Shoulder Harness</t>
        </is>
      </c>
      <c r="B798" s="4" t="n">
        <v>10</v>
      </c>
      <c r="C798" t="inlineStr"/>
      <c r="D798" t="inlineStr">
        <is>
          <t>64380 Hessen - Roßdorf</t>
        </is>
      </c>
      <c r="E798" s="5" t="n">
        <v>45473</v>
      </c>
      <c r="F798" t="inlineStr">
        <is>
          <t>Sold</t>
        </is>
      </c>
      <c r="G798" s="6">
        <f>HYPERLINK("https://www.kleinanzeigen.de/s-anzeige/windsurf-schultertrapez-chiemsee-/2800656751-230-4448", "Link")</f>
        <v/>
      </c>
      <c r="H798" s="6">
        <f>HYPERLINK("C:\Projects\Kleinanzeigen-Scraper\offer_images\2800656751", "Link")</f>
        <v/>
      </c>
      <c r="I798" t="inlineStr">
        <is>
          <t>Menhir</t>
        </is>
      </c>
      <c r="J798" s="6">
        <f>HYPERLINK("https://www.kleinanzeigen.de/s-bestandsliste.html?userId=142170507", "Link")</f>
        <v/>
      </c>
      <c r="K798" s="7" t="n">
        <v>45500.72432870371</v>
      </c>
      <c r="L798" s="3" t="inlineStr">
        <is>
          <t>98.80</t>
        </is>
      </c>
      <c r="M798" t="inlineStr">
        <is>
          <t>Karlsruhe</t>
        </is>
      </c>
    </row>
    <row r="799">
      <c r="A799" t="inlineStr">
        <is>
          <t>Fin</t>
        </is>
      </c>
      <c r="B799" s="4" t="n">
        <v>45</v>
      </c>
      <c r="C799" t="inlineStr"/>
      <c r="D799" t="inlineStr">
        <is>
          <t>71296 Baden-Württemberg - Heimsheim</t>
        </is>
      </c>
      <c r="E799" s="5" t="n">
        <v>45461</v>
      </c>
      <c r="F799" t="inlineStr">
        <is>
          <t>Sold</t>
        </is>
      </c>
      <c r="G799" s="6">
        <f>HYPERLINK("https://www.kleinanzeigen.de/s-anzeige/finne-tekkno-sport-freeride-310-g10-fuer-powerbox-windsurfen/2791204549-230-8405", "Link")</f>
        <v/>
      </c>
      <c r="H799" s="6">
        <f>HYPERLINK("C:\Projects\Kleinanzeigen-Scraper\offer_images\2791204549", "Link")</f>
        <v/>
      </c>
      <c r="I799" t="inlineStr">
        <is>
          <t>Treuth</t>
        </is>
      </c>
      <c r="J799" s="6">
        <f>HYPERLINK("https://www.kleinanzeigen.de/s-bestandsliste.html?userId=25699107", "Link")</f>
        <v/>
      </c>
      <c r="K799" s="7" t="n">
        <v>45500.72431712963</v>
      </c>
      <c r="L799" s="3" t="inlineStr">
        <is>
          <t>16.81</t>
        </is>
      </c>
      <c r="M799" t="inlineStr">
        <is>
          <t>Böblingen</t>
        </is>
      </c>
    </row>
    <row r="800">
      <c r="A800" t="inlineStr">
        <is>
          <t>Fin</t>
        </is>
      </c>
      <c r="B800" s="4" t="n">
        <v>59</v>
      </c>
      <c r="C800" t="inlineStr"/>
      <c r="D800" t="inlineStr">
        <is>
          <t>79102 Baden-Württemberg - Freiburg im Breisgau</t>
        </is>
      </c>
      <c r="E800" s="5" t="n">
        <v>45453</v>
      </c>
      <c r="F800" t="inlineStr"/>
      <c r="G800" s="6">
        <f>HYPERLINK("https://www.kleinanzeigen.de/s-anzeige/rrd-razor-finne-freerace-slalom-40-cm-powerbox-windsurf/2784357117-230-9364", "Link")</f>
        <v/>
      </c>
      <c r="H800" s="6">
        <f>HYPERLINK("C:\Projects\Kleinanzeigen-Scraper\offer_images\2784357117", "Link")</f>
        <v/>
      </c>
      <c r="I800" t="inlineStr">
        <is>
          <t>Tobias</t>
        </is>
      </c>
      <c r="J800" s="6">
        <f>HYPERLINK("https://www.kleinanzeigen.de/s-bestandsliste.html?userId=11261079", "Link")</f>
        <v/>
      </c>
      <c r="K800" s="7" t="n">
        <v>45500.72430555556</v>
      </c>
      <c r="L800" s="3" t="inlineStr">
        <is>
          <t>40.20</t>
        </is>
      </c>
      <c r="M800" t="inlineStr">
        <is>
          <t>Bonndorf</t>
        </is>
      </c>
    </row>
    <row r="801">
      <c r="A801" t="inlineStr">
        <is>
          <t>Fin</t>
        </is>
      </c>
      <c r="B801" s="4" t="n">
        <v>19</v>
      </c>
      <c r="C801" t="inlineStr">
        <is>
          <t>VB</t>
        </is>
      </c>
      <c r="D801" t="inlineStr">
        <is>
          <t>71296 Baden-Württemberg - Heimsheim</t>
        </is>
      </c>
      <c r="E801" s="5" t="n">
        <v>45486</v>
      </c>
      <c r="F801" t="inlineStr">
        <is>
          <t>Sold</t>
        </is>
      </c>
      <c r="G801" s="6">
        <f>HYPERLINK("https://www.kleinanzeigen.de/s-anzeige/mistral-race-finne-powerbox-windsurfen/2810923959-230-8405", "Link")</f>
        <v/>
      </c>
      <c r="H801" s="6">
        <f>HYPERLINK("C:\Projects\Kleinanzeigen-Scraper\offer_images\2810923959", "Link")</f>
        <v/>
      </c>
      <c r="I801" t="inlineStr">
        <is>
          <t>Treuth</t>
        </is>
      </c>
      <c r="J801" s="6">
        <f>HYPERLINK("https://www.kleinanzeigen.de/s-bestandsliste.html?userId=25699107", "Link")</f>
        <v/>
      </c>
      <c r="K801" s="7" t="n">
        <v>45500.72429398148</v>
      </c>
      <c r="L801" s="3" t="inlineStr">
        <is>
          <t>16.81</t>
        </is>
      </c>
      <c r="M801" t="inlineStr">
        <is>
          <t>Böblingen</t>
        </is>
      </c>
    </row>
    <row r="802">
      <c r="A802" t="inlineStr">
        <is>
          <t>Fin</t>
        </is>
      </c>
      <c r="B802" s="4" t="n">
        <v>70</v>
      </c>
      <c r="C802" t="inlineStr">
        <is>
          <t>VB</t>
        </is>
      </c>
      <c r="D802" t="inlineStr">
        <is>
          <t>67346 Rheinland-Pfalz - Speyer</t>
        </is>
      </c>
      <c r="E802" s="5" t="n">
        <v>45498</v>
      </c>
      <c r="F802" t="inlineStr">
        <is>
          <t>Sold</t>
        </is>
      </c>
      <c r="G802" s="6">
        <f>HYPERLINK("https://www.kleinanzeigen.de/s-anzeige/makani-fins-windsurf-finne-31-cm/2820912540-230-5365", "Link")</f>
        <v/>
      </c>
      <c r="H802" s="6">
        <f>HYPERLINK("C:\Projects\Kleinanzeigen-Scraper\offer_images\2820912540", "Link")</f>
        <v/>
      </c>
      <c r="I802" t="inlineStr">
        <is>
          <t>D. Ertel</t>
        </is>
      </c>
      <c r="J802" s="6">
        <f>HYPERLINK("https://www.kleinanzeigen.de/s-bestandsliste.html?userId=13322828", "Link")</f>
        <v/>
      </c>
      <c r="K802" s="7" t="n">
        <v>45500.72429398148</v>
      </c>
      <c r="L802" s="3" t="inlineStr">
        <is>
          <t>35.76</t>
        </is>
      </c>
      <c r="M802" t="inlineStr">
        <is>
          <t>Karlsruhe</t>
        </is>
      </c>
    </row>
    <row r="803">
      <c r="A803" t="inlineStr">
        <is>
          <t>Fin</t>
        </is>
      </c>
      <c r="B803" s="4" t="n">
        <v>16</v>
      </c>
      <c r="C803" t="inlineStr"/>
      <c r="D803" t="inlineStr">
        <is>
          <t>76139 Baden-Württemberg - Karlsruhe</t>
        </is>
      </c>
      <c r="E803" s="5" t="n">
        <v>45360</v>
      </c>
      <c r="F803" t="inlineStr">
        <is>
          <t>Sold</t>
        </is>
      </c>
      <c r="G803" s="6">
        <f>HYPERLINK("https://www.kleinanzeigen.de/s-anzeige/finne-concrete-wave-windsurfen/2700951383-230-9191", "Link")</f>
        <v/>
      </c>
      <c r="H803" s="6">
        <f>HYPERLINK("C:\Projects\Kleinanzeigen-Scraper\offer_images\2700951383", "Link")</f>
        <v/>
      </c>
      <c r="I803" t="inlineStr">
        <is>
          <t>SM.MAISENBACHER</t>
        </is>
      </c>
      <c r="J803" s="6">
        <f>HYPERLINK("https://www.kleinanzeigen.de/s-bestandsliste.html?userId=61570274", "Link")</f>
        <v/>
      </c>
      <c r="K803" s="7" t="n">
        <v>45500.72427083334</v>
      </c>
      <c r="L803" s="3" t="inlineStr">
        <is>
          <t>5.55</t>
        </is>
      </c>
      <c r="M803" t="inlineStr">
        <is>
          <t>Karlsruhe</t>
        </is>
      </c>
    </row>
    <row r="804">
      <c r="A804" t="inlineStr">
        <is>
          <t>Booms</t>
        </is>
      </c>
      <c r="B804" s="4" t="n">
        <v>15</v>
      </c>
      <c r="C804" t="inlineStr">
        <is>
          <t>VB</t>
        </is>
      </c>
      <c r="D804" t="inlineStr">
        <is>
          <t>70191 Stuttgart - Stuttgart-Nord</t>
        </is>
      </c>
      <c r="E804" s="5" t="n">
        <v>45190</v>
      </c>
      <c r="F804" t="inlineStr">
        <is>
          <t>Sold</t>
        </is>
      </c>
      <c r="G804" s="6">
        <f>HYPERLINK("https://www.kleinanzeigen.de/s-anzeige/verschiedene-gabeln-windsurfen-alle-groessen/2551705109-230-9293", "Link")</f>
        <v/>
      </c>
      <c r="H804" s="6">
        <f>HYPERLINK("C:\Projects\Kleinanzeigen-Scraper\offer_images\2551705109", "Link")</f>
        <v/>
      </c>
      <c r="I804" t="inlineStr">
        <is>
          <t>Nico</t>
        </is>
      </c>
      <c r="J804" s="6">
        <f>HYPERLINK("https://www.kleinanzeigen.de/s-bestandsliste.html?userId=55986286", "Link")</f>
        <v/>
      </c>
      <c r="K804" s="7" t="n">
        <v>45500.72424768518</v>
      </c>
      <c r="L804" s="3" t="inlineStr">
        <is>
          <t>20.53</t>
        </is>
      </c>
      <c r="M804" t="inlineStr">
        <is>
          <t>Böblingen</t>
        </is>
      </c>
    </row>
    <row r="805">
      <c r="A805" t="inlineStr">
        <is>
          <t>Harness</t>
        </is>
      </c>
      <c r="B805" s="4" t="n">
        <v>80</v>
      </c>
      <c r="C805" t="inlineStr"/>
      <c r="D805" t="inlineStr">
        <is>
          <t>72250 Baden-Württemberg - Freudenstadt</t>
        </is>
      </c>
      <c r="E805" s="5" t="n">
        <v>45413</v>
      </c>
      <c r="F805" t="inlineStr">
        <is>
          <t>Sold</t>
        </is>
      </c>
      <c r="G805" s="6">
        <f>HYPERLINK("https://www.kleinanzeigen.de/s-anzeige/prolimit-trapez-windsurfen/2750505205-230-8980", "Link")</f>
        <v/>
      </c>
      <c r="H805" s="6">
        <f>HYPERLINK("C:\Projects\Kleinanzeigen-Scraper\offer_images\2750505205", "Link")</f>
        <v/>
      </c>
      <c r="I805" t="inlineStr">
        <is>
          <t>Max</t>
        </is>
      </c>
      <c r="J805" s="6">
        <f>HYPERLINK("https://www.kleinanzeigen.de/s-bestandsliste.html?userId=59599322", "Link")</f>
        <v/>
      </c>
      <c r="K805" s="7" t="n">
        <v>45500.72423611111</v>
      </c>
      <c r="L805" s="3" t="inlineStr">
        <is>
          <t>47.96</t>
        </is>
      </c>
      <c r="M805" t="inlineStr">
        <is>
          <t>Böblingen</t>
        </is>
      </c>
    </row>
    <row r="806">
      <c r="A806" t="inlineStr">
        <is>
          <t>Mastfoot Extension</t>
        </is>
      </c>
      <c r="B806" s="4" t="n">
        <v>18</v>
      </c>
      <c r="C806" t="inlineStr">
        <is>
          <t>VB</t>
        </is>
      </c>
      <c r="D806" t="inlineStr">
        <is>
          <t>72762 Baden-Württemberg - Reutlingen</t>
        </is>
      </c>
      <c r="E806" s="5" t="n">
        <v>45489</v>
      </c>
      <c r="F806" t="inlineStr">
        <is>
          <t>Sold</t>
        </is>
      </c>
      <c r="G806" s="6">
        <f>HYPERLINK("https://www.kleinanzeigen.de/s-anzeige/windsurf-mastfuss-verlaengerung-f2-vario/2813833804-230-9351", "Link")</f>
        <v/>
      </c>
      <c r="H806" s="6">
        <f>HYPERLINK("C:\Projects\Kleinanzeigen-Scraper\offer_images\2813833804", "Link")</f>
        <v/>
      </c>
      <c r="I806" t="inlineStr">
        <is>
          <t>Gerhard Kühne</t>
        </is>
      </c>
      <c r="J806" s="6">
        <f>HYPERLINK("https://www.kleinanzeigen.de/s-bestandsliste.html?userId=26064227", "Link")</f>
        <v/>
      </c>
      <c r="K806" s="7" t="n">
        <v>45500.72421296296</v>
      </c>
      <c r="L806" s="3" t="inlineStr">
        <is>
          <t>27.24</t>
        </is>
      </c>
      <c r="M806" t="inlineStr">
        <is>
          <t>Böblingen</t>
        </is>
      </c>
    </row>
    <row r="807">
      <c r="A807" t="inlineStr">
        <is>
          <t>Mast or Boom Protector</t>
        </is>
      </c>
      <c r="B807" s="4" t="n">
        <v>10</v>
      </c>
      <c r="C807" t="inlineStr"/>
      <c r="D807" t="inlineStr">
        <is>
          <t>75045 Baden-Württemberg - Walzbachtal</t>
        </is>
      </c>
      <c r="E807" s="5" t="n">
        <v>45212</v>
      </c>
      <c r="F807" t="inlineStr">
        <is>
          <t>Sold</t>
        </is>
      </c>
      <c r="G807" s="6">
        <f>HYPERLINK("https://www.kleinanzeigen.de/s-anzeige/windsurfen-mast-oder-boom-protector-protektor-ascan-neil-pryde/2570987407-230-8248", "Link")</f>
        <v/>
      </c>
      <c r="H807" s="6">
        <f>HYPERLINK("C:\Projects\Kleinanzeigen-Scraper\offer_images\2570987407", "Link")</f>
        <v/>
      </c>
      <c r="I807" t="inlineStr">
        <is>
          <t>Carsten</t>
        </is>
      </c>
      <c r="J807" s="6">
        <f>HYPERLINK("https://www.kleinanzeigen.de/s-bestandsliste.html?userId=21241938", "Link")</f>
        <v/>
      </c>
      <c r="K807" s="7" t="n">
        <v>45500.72420138889</v>
      </c>
      <c r="L807" s="3" t="inlineStr">
        <is>
          <t>15.32</t>
        </is>
      </c>
      <c r="M807" t="inlineStr">
        <is>
          <t>Karlsruhe</t>
        </is>
      </c>
    </row>
    <row r="808">
      <c r="A808" t="inlineStr">
        <is>
          <t>Mastfoot</t>
        </is>
      </c>
      <c r="B808" s="4" t="n">
        <v>49</v>
      </c>
      <c r="C808" t="inlineStr"/>
      <c r="D808" t="inlineStr">
        <is>
          <t>79235 Baden-Württemberg - Vogtsburg</t>
        </is>
      </c>
      <c r="E808" s="5" t="n">
        <v>45094</v>
      </c>
      <c r="F808" t="inlineStr">
        <is>
          <t>Sold</t>
        </is>
      </c>
      <c r="G808" s="6">
        <f>HYPERLINK("https://www.kleinanzeigen.de/s-anzeige/f2-mastfuss-windsurf-sup-mastfuss-boge-joint-base-pin-powerjoint/2470508619-230-8902", "Link")</f>
        <v/>
      </c>
      <c r="H808" s="6">
        <f>HYPERLINK("C:\Projects\Kleinanzeigen-Scraper\offer_images\2470508619", "Link")</f>
        <v/>
      </c>
      <c r="I808" t="inlineStr">
        <is>
          <t>BACKSIDE180</t>
        </is>
      </c>
      <c r="J808" s="6">
        <f>HYPERLINK("https://www.kleinanzeigen.de/s-bestandsliste.html?userId=83228138", "Link")</f>
        <v/>
      </c>
      <c r="K808" s="7" t="n">
        <v>45500.72416666667</v>
      </c>
      <c r="L808" s="3" t="inlineStr">
        <is>
          <t>60.53</t>
        </is>
      </c>
      <c r="M808" t="inlineStr">
        <is>
          <t>Bonndorf</t>
        </is>
      </c>
    </row>
    <row r="809">
      <c r="A809" t="inlineStr">
        <is>
          <t>Fins</t>
        </is>
      </c>
      <c r="B809" s="4" t="n">
        <v>40</v>
      </c>
      <c r="C809" t="inlineStr"/>
      <c r="D809" t="inlineStr">
        <is>
          <t>66271 Saarland - Kleinblittersdorf</t>
        </is>
      </c>
      <c r="E809" s="5" t="n">
        <v>45153</v>
      </c>
      <c r="F809" t="inlineStr">
        <is>
          <t>Sold</t>
        </is>
      </c>
      <c r="G809" s="6">
        <f>HYPERLINK("https://www.kleinanzeigen.de/s-anzeige/finne-surffinne-concrete-wave-select-windsurfen-surfbrett/2520930712-230-399", "Link")</f>
        <v/>
      </c>
      <c r="H809" s="6">
        <f>HYPERLINK("C:\Projects\Kleinanzeigen-Scraper\offer_images\2520930712", "Link")</f>
        <v/>
      </c>
      <c r="I809" t="inlineStr">
        <is>
          <t>S.Pitz</t>
        </is>
      </c>
      <c r="J809" s="6">
        <f>HYPERLINK("https://www.kleinanzeigen.de/s-bestandsliste.html?userId=8639796", "Link")</f>
        <v/>
      </c>
      <c r="K809" s="7" t="n">
        <v>45500.72415509259</v>
      </c>
      <c r="L809" s="3" t="inlineStr">
        <is>
          <t>97.88</t>
        </is>
      </c>
      <c r="M809" t="inlineStr">
        <is>
          <t>Karlsruhe</t>
        </is>
      </c>
    </row>
    <row r="810">
      <c r="A810" t="inlineStr">
        <is>
          <t>Boardbag</t>
        </is>
      </c>
      <c r="B810" s="4" t="n">
        <v>90</v>
      </c>
      <c r="C810" t="inlineStr">
        <is>
          <t>VB</t>
        </is>
      </c>
      <c r="D810" t="inlineStr">
        <is>
          <t>64295 Hessen - Darmstadt</t>
        </is>
      </c>
      <c r="E810" s="5" t="n">
        <v>45379</v>
      </c>
      <c r="F810" t="inlineStr">
        <is>
          <t>Sold</t>
        </is>
      </c>
      <c r="G810" s="6">
        <f>HYPERLINK("https://www.kleinanzeigen.de/s-anzeige/boardbag-board-bag-2-55-m-x-80-cm-fuer-windsurf-brett/2719334936-230-4889", "Link")</f>
        <v/>
      </c>
      <c r="H810" s="6">
        <f>HYPERLINK("C:\Projects\Kleinanzeigen-Scraper\offer_images\2719334936", "Link")</f>
        <v/>
      </c>
      <c r="I810" t="inlineStr">
        <is>
          <t>bert8811</t>
        </is>
      </c>
      <c r="J810" s="6">
        <f>HYPERLINK("https://www.kleinanzeigen.de/s-bestandsliste.html?userId=19749391", "Link")</f>
        <v/>
      </c>
      <c r="K810" s="7" t="n">
        <v>45500.72413194444</v>
      </c>
      <c r="L810" s="3" t="inlineStr">
        <is>
          <t>94.84</t>
        </is>
      </c>
      <c r="M810" t="inlineStr">
        <is>
          <t>Karlsruhe</t>
        </is>
      </c>
    </row>
    <row r="811">
      <c r="A811" t="inlineStr">
        <is>
          <t>Mast extension</t>
        </is>
      </c>
      <c r="B811" s="4" t="n">
        <v>119</v>
      </c>
      <c r="C811" t="inlineStr"/>
      <c r="D811" t="inlineStr">
        <is>
          <t>79114 Baden-Württemberg - Freiburg im Breisgau</t>
        </is>
      </c>
      <c r="E811" s="5" t="n">
        <v>45434</v>
      </c>
      <c r="F811" t="inlineStr">
        <is>
          <t>Sold</t>
        </is>
      </c>
      <c r="G811" s="6">
        <f>HYPERLINK("https://www.kleinanzeigen.de/s-anzeige/windsurfen-mastverlaengerung-duotone-unit-xt-rdm-36-neu-/2768359016-230-9367", "Link")</f>
        <v/>
      </c>
      <c r="H811" s="6">
        <f>HYPERLINK("C:\Projects\Kleinanzeigen-Scraper\offer_images\2768359016", "Link")</f>
        <v/>
      </c>
      <c r="I811" t="inlineStr">
        <is>
          <t>goofy, snowboarding ,SUP+more</t>
        </is>
      </c>
      <c r="J811" s="6">
        <f>HYPERLINK("https://www.kleinanzeigen.de/s-bestandsliste.html?userId=74344460", "Link")</f>
        <v/>
      </c>
      <c r="K811" s="7" t="n">
        <v>45500.72412037037</v>
      </c>
      <c r="L811" s="3" t="inlineStr">
        <is>
          <t>44.06</t>
        </is>
      </c>
      <c r="M811" t="inlineStr">
        <is>
          <t>Bonndorf</t>
        </is>
      </c>
    </row>
    <row r="812">
      <c r="A812" t="inlineStr">
        <is>
          <t>Gabelbaumschutz</t>
        </is>
      </c>
      <c r="B812" s="4" t="n">
        <v>5</v>
      </c>
      <c r="C812" t="inlineStr"/>
      <c r="D812" t="inlineStr">
        <is>
          <t>67346 Rheinland-Pfalz - Speyer</t>
        </is>
      </c>
      <c r="E812" s="5" t="n">
        <v>45453</v>
      </c>
      <c r="F812" t="inlineStr"/>
      <c r="G812" s="6">
        <f>HYPERLINK("https://www.kleinanzeigen.de/s-anzeige/neilpryde-windsurf-gabelbaumschutz/2784731792-230-5365", "Link")</f>
        <v/>
      </c>
      <c r="H812" s="6">
        <f>HYPERLINK("C:\Projects\Kleinanzeigen-Scraper\offer_images\2784731792", "Link")</f>
        <v/>
      </c>
      <c r="I812" t="inlineStr">
        <is>
          <t>D. Ertel</t>
        </is>
      </c>
      <c r="J812" s="6">
        <f>HYPERLINK("https://www.kleinanzeigen.de/s-bestandsliste.html?userId=13322828", "Link")</f>
        <v/>
      </c>
      <c r="K812" s="7" t="n">
        <v>45500.7241087963</v>
      </c>
      <c r="L812" s="3" t="inlineStr">
        <is>
          <t>35.76</t>
        </is>
      </c>
      <c r="M812" t="inlineStr">
        <is>
          <t>Karlsruhe</t>
        </is>
      </c>
    </row>
    <row r="813">
      <c r="A813" t="inlineStr">
        <is>
          <t>Fin</t>
        </is>
      </c>
      <c r="B813" s="4" t="n">
        <v>12</v>
      </c>
      <c r="C813" t="inlineStr"/>
      <c r="D813" t="inlineStr">
        <is>
          <t>76139 Baden-Württemberg - Karlsruhe</t>
        </is>
      </c>
      <c r="E813" s="5" t="n">
        <v>45390</v>
      </c>
      <c r="F813" t="inlineStr">
        <is>
          <t>Sold</t>
        </is>
      </c>
      <c r="G813" s="6">
        <f>HYPERLINK("https://www.kleinanzeigen.de/s-anzeige/windsurfen-finne/2729565371-230-9191", "Link")</f>
        <v/>
      </c>
      <c r="H813" s="6">
        <f>HYPERLINK("C:\Projects\Kleinanzeigen-Scraper\offer_images\2729565371", "Link")</f>
        <v/>
      </c>
      <c r="I813" t="inlineStr">
        <is>
          <t>SM.MAISENBACHER</t>
        </is>
      </c>
      <c r="J813" s="6">
        <f>HYPERLINK("https://www.kleinanzeigen.de/s-bestandsliste.html?userId=61570274", "Link")</f>
        <v/>
      </c>
      <c r="K813" s="7" t="n">
        <v>45500.72408564815</v>
      </c>
      <c r="L813" s="3" t="inlineStr">
        <is>
          <t>5.55</t>
        </is>
      </c>
      <c r="M813" t="inlineStr">
        <is>
          <t>Karlsruhe</t>
        </is>
      </c>
    </row>
    <row r="814">
      <c r="A814" t="inlineStr">
        <is>
          <t>Fin</t>
        </is>
      </c>
      <c r="B814" s="4" t="n">
        <v>30</v>
      </c>
      <c r="C814" t="inlineStr"/>
      <c r="D814" t="inlineStr">
        <is>
          <t>73235 Baden-Württemberg - Weilheim an der Teck</t>
        </is>
      </c>
      <c r="E814" s="5" t="n">
        <v>45413</v>
      </c>
      <c r="F814" t="inlineStr">
        <is>
          <t>Sold</t>
        </is>
      </c>
      <c r="G814" s="6">
        <f>HYPERLINK("https://www.kleinanzeigen.de/s-anzeige/xess-finne-330mm-powerbox-windsurfen/2750254363-230-8465", "Link")</f>
        <v/>
      </c>
      <c r="H814" s="6">
        <f>HYPERLINK("C:\Projects\Kleinanzeigen-Scraper\offer_images\2750254363", "Link")</f>
        <v/>
      </c>
      <c r="I814" t="inlineStr">
        <is>
          <t>Oli</t>
        </is>
      </c>
      <c r="J814" s="6">
        <f>HYPERLINK("https://www.kleinanzeigen.de/s-bestandsliste.html?userId=71624275", "Link")</f>
        <v/>
      </c>
      <c r="K814" s="7" t="n">
        <v>45500.72407407407</v>
      </c>
      <c r="L814" s="3" t="inlineStr">
        <is>
          <t>42.84</t>
        </is>
      </c>
      <c r="M814" t="inlineStr">
        <is>
          <t>Böblingen</t>
        </is>
      </c>
    </row>
    <row r="815">
      <c r="A815" t="inlineStr">
        <is>
          <t>Startschot</t>
        </is>
      </c>
      <c r="B815" s="4" t="n">
        <v>7</v>
      </c>
      <c r="C815" t="inlineStr">
        <is>
          <t>VB</t>
        </is>
      </c>
      <c r="D815" t="inlineStr">
        <is>
          <t>72762 Baden-Württemberg - Reutlingen</t>
        </is>
      </c>
      <c r="E815" s="5" t="n">
        <v>45489</v>
      </c>
      <c r="F815" t="inlineStr">
        <is>
          <t>Sold</t>
        </is>
      </c>
      <c r="G815" s="6">
        <f>HYPERLINK("https://www.kleinanzeigen.de/s-anzeige/windsurf-startschot/2813816193-230-9351", "Link")</f>
        <v/>
      </c>
      <c r="H815" s="6">
        <f>HYPERLINK("C:\Projects\Kleinanzeigen-Scraper\offer_images\2813816193", "Link")</f>
        <v/>
      </c>
      <c r="I815" t="inlineStr">
        <is>
          <t>Gerhard Kühne</t>
        </is>
      </c>
      <c r="J815" s="6">
        <f>HYPERLINK("https://www.kleinanzeigen.de/s-bestandsliste.html?userId=26064227", "Link")</f>
        <v/>
      </c>
      <c r="K815" s="7" t="n">
        <v>45500.72407407407</v>
      </c>
      <c r="L815" s="3" t="inlineStr">
        <is>
          <t>27.24</t>
        </is>
      </c>
      <c r="M815" t="inlineStr">
        <is>
          <t>Böblingen</t>
        </is>
      </c>
    </row>
    <row r="816">
      <c r="A816" t="inlineStr">
        <is>
          <t>Fin</t>
        </is>
      </c>
      <c r="B816" s="4" t="n">
        <v>40</v>
      </c>
      <c r="C816" t="inlineStr"/>
      <c r="D816" t="inlineStr">
        <is>
          <t>73235 Baden-Württemberg - Weilheim an der Teck</t>
        </is>
      </c>
      <c r="E816" s="5" t="n">
        <v>45413</v>
      </c>
      <c r="F816" t="inlineStr">
        <is>
          <t>Sold</t>
        </is>
      </c>
      <c r="G816" s="6">
        <f>HYPERLINK("https://www.kleinanzeigen.de/s-anzeige/finne-mistral-350mm-powerbox-windsurfen/2750251969-230-8465", "Link")</f>
        <v/>
      </c>
      <c r="H816" s="6">
        <f>HYPERLINK("C:\Projects\Kleinanzeigen-Scraper\offer_images\2750251969", "Link")</f>
        <v/>
      </c>
      <c r="I816" t="inlineStr">
        <is>
          <t>Oli</t>
        </is>
      </c>
      <c r="J816" s="6">
        <f>HYPERLINK("https://www.kleinanzeigen.de/s-bestandsliste.html?userId=71624275", "Link")</f>
        <v/>
      </c>
      <c r="K816" s="7" t="n">
        <v>45500.7240625</v>
      </c>
      <c r="L816" s="3" t="inlineStr">
        <is>
          <t>42.84</t>
        </is>
      </c>
      <c r="M816" t="inlineStr">
        <is>
          <t>Böblingen</t>
        </is>
      </c>
    </row>
    <row r="817">
      <c r="A817" t="inlineStr">
        <is>
          <t>Fin</t>
        </is>
      </c>
      <c r="B817" s="4" t="n">
        <v>35</v>
      </c>
      <c r="C817" t="inlineStr"/>
      <c r="D817" t="inlineStr">
        <is>
          <t>78187 Baden-Württemberg - Geisingen</t>
        </is>
      </c>
      <c r="E817" s="5" t="n">
        <v>45443</v>
      </c>
      <c r="F817" t="inlineStr">
        <is>
          <t>Sold</t>
        </is>
      </c>
      <c r="G817" s="6">
        <f>HYPERLINK("https://www.kleinanzeigen.de/s-anzeige/windsurfen-finne-k4-stubby-18cm-powerbox/2776081697-230-8860", "Link")</f>
        <v/>
      </c>
      <c r="H817" s="6">
        <f>HYPERLINK("C:\Projects\Kleinanzeigen-Scraper\offer_images\2776081697", "Link")</f>
        <v/>
      </c>
      <c r="I817" t="inlineStr">
        <is>
          <t>Tobias B.</t>
        </is>
      </c>
      <c r="J817" s="6">
        <f>HYPERLINK("https://www.kleinanzeigen.de/s-bestandsliste.html?userId=35855171", "Link")</f>
        <v/>
      </c>
      <c r="K817" s="7" t="n">
        <v>45500.7240625</v>
      </c>
      <c r="L817" s="3" t="inlineStr">
        <is>
          <t>24.74</t>
        </is>
      </c>
      <c r="M817" t="inlineStr">
        <is>
          <t>Bonndorf</t>
        </is>
      </c>
    </row>
    <row r="818">
      <c r="A818" t="inlineStr">
        <is>
          <t>Diebstahl-Sicherung für Windsurf Mast</t>
        </is>
      </c>
      <c r="B818" s="4" t="n">
        <v>5</v>
      </c>
      <c r="C818" t="inlineStr"/>
      <c r="D818" t="inlineStr">
        <is>
          <t>76703 Baden-Württemberg - Kraichtal</t>
        </is>
      </c>
      <c r="E818" s="5" t="n">
        <v>45468</v>
      </c>
      <c r="F818" t="inlineStr">
        <is>
          <t>Sold</t>
        </is>
      </c>
      <c r="G818" s="6">
        <f>HYPERLINK("https://www.kleinanzeigen.de/s-anzeige/diebstahl-sicherung-fuer-windsurf-mast/2797241823-230-8797", "Link")</f>
        <v/>
      </c>
      <c r="H818" s="6">
        <f>HYPERLINK("C:\Projects\Kleinanzeigen-Scraper\offer_images\2797241823", "Link")</f>
        <v/>
      </c>
      <c r="I818" t="inlineStr">
        <is>
          <t>Frank</t>
        </is>
      </c>
      <c r="J818" s="6">
        <f>HYPERLINK("https://www.kleinanzeigen.de/s-bestandsliste.html?userId=8997097", "Link")</f>
        <v/>
      </c>
      <c r="K818" s="7" t="n">
        <v>45500.7240625</v>
      </c>
      <c r="L818" s="3" t="inlineStr">
        <is>
          <t>28.53</t>
        </is>
      </c>
      <c r="M818" t="inlineStr">
        <is>
          <t>Karlsruhe</t>
        </is>
      </c>
    </row>
    <row r="819">
      <c r="A819" t="inlineStr">
        <is>
          <t>Mastbase Protector</t>
        </is>
      </c>
      <c r="B819" s="4" t="n">
        <v>8</v>
      </c>
      <c r="C819" t="inlineStr"/>
      <c r="D819" t="inlineStr">
        <is>
          <t>79249 Baden-Württemberg - Merzhausen</t>
        </is>
      </c>
      <c r="E819" s="5" t="n">
        <v>45443</v>
      </c>
      <c r="F819" t="inlineStr">
        <is>
          <t>Sold</t>
        </is>
      </c>
      <c r="G819" s="6">
        <f>HYPERLINK("https://www.kleinanzeigen.de/s-anzeige/north-mastbase-protektor-windsurfen/2776213319-230-9382", "Link")</f>
        <v/>
      </c>
      <c r="H819" s="6">
        <f>HYPERLINK("C:\Projects\Kleinanzeigen-Scraper\offer_images\2776213319", "Link")</f>
        <v/>
      </c>
      <c r="I819" t="inlineStr">
        <is>
          <t>G. Groß</t>
        </is>
      </c>
      <c r="J819" s="6">
        <f>HYPERLINK("https://www.kleinanzeigen.de/s-bestandsliste.html?userId=93931047", "Link")</f>
        <v/>
      </c>
      <c r="K819" s="7" t="n">
        <v>45500.72402777777</v>
      </c>
      <c r="L819" s="3" t="inlineStr">
        <is>
          <t>41.53</t>
        </is>
      </c>
      <c r="M819" t="inlineStr">
        <is>
          <t>Bonndorf</t>
        </is>
      </c>
    </row>
    <row r="820">
      <c r="A820" t="inlineStr">
        <is>
          <t>Windsurf Sitz / Hüfttrapez</t>
        </is>
      </c>
      <c r="B820" s="4" t="n">
        <v>49</v>
      </c>
      <c r="C820" t="inlineStr"/>
      <c r="D820" t="inlineStr">
        <is>
          <t>71720 Baden-Württemberg - Oberstenfeld</t>
        </is>
      </c>
      <c r="E820" s="5" t="n">
        <v>45438</v>
      </c>
      <c r="F820" t="inlineStr">
        <is>
          <t>Sold</t>
        </is>
      </c>
      <c r="G820" s="6">
        <f>HYPERLINK("https://www.kleinanzeigen.de/s-anzeige/windsurf-sitz-huefttrapez-north-sails-x-over-gr-m/2771651061-230-19390", "Link")</f>
        <v/>
      </c>
      <c r="H820" s="6">
        <f>HYPERLINK("C:\Projects\Kleinanzeigen-Scraper\offer_images\2771651061", "Link")</f>
        <v/>
      </c>
      <c r="I820" t="inlineStr">
        <is>
          <t>Thomas Kröner</t>
        </is>
      </c>
      <c r="J820" s="6">
        <f>HYPERLINK("https://www.kleinanzeigen.de/s-bestandsliste.html?userId=40359933", "Link")</f>
        <v/>
      </c>
      <c r="K820" s="7" t="n">
        <v>45500.72400462963</v>
      </c>
      <c r="L820" s="3" t="inlineStr">
        <is>
          <t>48.50</t>
        </is>
      </c>
      <c r="M820" t="inlineStr">
        <is>
          <t>Böblingen</t>
        </is>
      </c>
    </row>
    <row r="821">
      <c r="A821" t="inlineStr">
        <is>
          <t>Surf-Trapez</t>
        </is>
      </c>
      <c r="B821" s="4" t="n">
        <v>22</v>
      </c>
      <c r="C821" t="inlineStr">
        <is>
          <t>VB</t>
        </is>
      </c>
      <c r="D821" t="inlineStr">
        <is>
          <t>72768 Baden-Württemberg - Reutlingen</t>
        </is>
      </c>
      <c r="E821" s="5" t="n">
        <v>45447</v>
      </c>
      <c r="F821" t="inlineStr">
        <is>
          <t>Sold</t>
        </is>
      </c>
      <c r="G821" s="6">
        <f>HYPERLINK("https://www.kleinanzeigen.de/s-anzeige/surf-trapez-zum-windsurfen/2779690546-230-9348", "Link")</f>
        <v/>
      </c>
      <c r="H821" s="6">
        <f>HYPERLINK("C:\Projects\Kleinanzeigen-Scraper\offer_images\2779690546", "Link")</f>
        <v/>
      </c>
      <c r="I821" t="inlineStr">
        <is>
          <t>Thumm Wolfram</t>
        </is>
      </c>
      <c r="J821" s="6">
        <f>HYPERLINK("https://www.kleinanzeigen.de/s-bestandsliste.html?userId=11023584", "Link")</f>
        <v/>
      </c>
      <c r="K821" s="7" t="n">
        <v>45500.72398148148</v>
      </c>
      <c r="L821" s="3" t="inlineStr">
        <is>
          <t>22.53</t>
        </is>
      </c>
      <c r="M821" t="inlineStr">
        <is>
          <t>Böblingen</t>
        </is>
      </c>
    </row>
    <row r="822">
      <c r="A822" t="inlineStr">
        <is>
          <t>Mast Protector</t>
        </is>
      </c>
      <c r="B822" s="4" t="n">
        <v>10</v>
      </c>
      <c r="C822" t="inlineStr"/>
      <c r="D822" t="inlineStr">
        <is>
          <t>73252 Baden-Württemberg - Lenningen</t>
        </is>
      </c>
      <c r="E822" s="5" t="n">
        <v>44788</v>
      </c>
      <c r="F822" t="inlineStr">
        <is>
          <t>Sold</t>
        </is>
      </c>
      <c r="G822" s="6">
        <f>HYPERLINK("https://www.kleinanzeigen.de/s-anzeige/windsurfen-mast-protector/2183743057-230-8466", "Link")</f>
        <v/>
      </c>
      <c r="H822" s="6">
        <f>HYPERLINK("C:\Projects\Kleinanzeigen-Scraper\offer_images\2183743057", "Link")</f>
        <v/>
      </c>
      <c r="I822" t="inlineStr">
        <is>
          <t>Andi</t>
        </is>
      </c>
      <c r="J822" s="6">
        <f>HYPERLINK("https://www.kleinanzeigen.de/s-bestandsliste.html?userId=9893215", "Link")</f>
        <v/>
      </c>
      <c r="K822" s="7" t="n">
        <v>45500.72395833334</v>
      </c>
      <c r="L822" s="3" t="inlineStr">
        <is>
          <t>38.52</t>
        </is>
      </c>
      <c r="M822" t="inlineStr">
        <is>
          <t>Böblingen</t>
        </is>
      </c>
    </row>
    <row r="823">
      <c r="A823" t="inlineStr">
        <is>
          <t>Mastfoot extension</t>
        </is>
      </c>
      <c r="B823" s="4" t="n">
        <v>35</v>
      </c>
      <c r="C823" t="inlineStr">
        <is>
          <t>VB</t>
        </is>
      </c>
      <c r="D823" t="inlineStr">
        <is>
          <t>72224 Baden-Württemberg - Ebhausen</t>
        </is>
      </c>
      <c r="E823" s="5" t="n">
        <v>45437</v>
      </c>
      <c r="F823" t="inlineStr">
        <is>
          <t>Sold</t>
        </is>
      </c>
      <c r="G823" s="6">
        <f>HYPERLINK("https://www.kleinanzeigen.de/s-anzeige/verlaengerung-mastfuss-segel-windsurfen/2771046596-230-8235", "Link")</f>
        <v/>
      </c>
      <c r="H823" s="6">
        <f>HYPERLINK("C:\Projects\Kleinanzeigen-Scraper\offer_images\2771046596", "Link")</f>
        <v/>
      </c>
      <c r="I823" t="inlineStr">
        <is>
          <t>P. Thiel</t>
        </is>
      </c>
      <c r="J823" s="6">
        <f>HYPERLINK("https://www.kleinanzeigen.de/s-bestandsliste.html?userId=10458185", "Link")</f>
        <v/>
      </c>
      <c r="K823" s="7" t="n">
        <v>45500.72394675926</v>
      </c>
      <c r="L823" s="3" t="inlineStr">
        <is>
          <t>23.23</t>
        </is>
      </c>
      <c r="M823" t="inlineStr">
        <is>
          <t>Böblingen</t>
        </is>
      </c>
    </row>
    <row r="824">
      <c r="A824" t="inlineStr">
        <is>
          <t>Fins</t>
        </is>
      </c>
      <c r="B824" s="4" t="n">
        <v>45</v>
      </c>
      <c r="C824" t="inlineStr">
        <is>
          <t>VB</t>
        </is>
      </c>
      <c r="D824" t="inlineStr">
        <is>
          <t>67346 Rheinland-Pfalz - Speyer</t>
        </is>
      </c>
      <c r="E824" s="5" t="n">
        <v>45498</v>
      </c>
      <c r="F824" t="inlineStr">
        <is>
          <t>Sold</t>
        </is>
      </c>
      <c r="G824" s="6">
        <f>HYPERLINK("https://www.kleinanzeigen.de/s-anzeige/drops-fins-speed-finne-windsurfen-25cm/2820920573-230-5365", "Link")</f>
        <v/>
      </c>
      <c r="H824" s="6">
        <f>HYPERLINK("C:\Projects\Kleinanzeigen-Scraper\offer_images\2820920573", "Link")</f>
        <v/>
      </c>
      <c r="I824" t="inlineStr">
        <is>
          <t>D. Ertel</t>
        </is>
      </c>
      <c r="J824" s="6">
        <f>HYPERLINK("https://www.kleinanzeigen.de/s-bestandsliste.html?userId=13322828", "Link")</f>
        <v/>
      </c>
      <c r="K824" s="7" t="n">
        <v>45500.72393518518</v>
      </c>
      <c r="L824" s="3" t="inlineStr">
        <is>
          <t>35.76</t>
        </is>
      </c>
      <c r="M824" t="inlineStr">
        <is>
          <t>Karlsruhe</t>
        </is>
      </c>
    </row>
    <row r="825">
      <c r="A825" t="inlineStr">
        <is>
          <t>Mastfoot Trimmer</t>
        </is>
      </c>
      <c r="B825" s="4" t="n">
        <v>8</v>
      </c>
      <c r="C825" t="inlineStr"/>
      <c r="D825" t="inlineStr">
        <is>
          <t>76703 Baden-Württemberg - Kraichtal</t>
        </is>
      </c>
      <c r="E825" s="5" t="n">
        <v>45468</v>
      </c>
      <c r="F825" t="inlineStr">
        <is>
          <t>Sold</t>
        </is>
      </c>
      <c r="G825" s="6">
        <f>HYPERLINK("https://www.kleinanzeigen.de/s-anzeige/windsurf-segel-trimhilfe-trimmer-fuer-das-mast-top/2797248193-230-8797", "Link")</f>
        <v/>
      </c>
      <c r="H825" s="6">
        <f>HYPERLINK("C:\Projects\Kleinanzeigen-Scraper\offer_images\2797248193", "Link")</f>
        <v/>
      </c>
      <c r="I825" t="inlineStr">
        <is>
          <t>Frank</t>
        </is>
      </c>
      <c r="J825" s="6">
        <f>HYPERLINK("https://www.kleinanzeigen.de/s-bestandsliste.html?userId=8997097", "Link")</f>
        <v/>
      </c>
      <c r="K825" s="7" t="n">
        <v>45500.72393518518</v>
      </c>
      <c r="L825" s="3" t="inlineStr">
        <is>
          <t>28.53</t>
        </is>
      </c>
      <c r="M825" t="inlineStr">
        <is>
          <t>Karlsruhe</t>
        </is>
      </c>
    </row>
    <row r="826">
      <c r="A826" t="inlineStr">
        <is>
          <t>Gabelbaum, Stangen, Halter</t>
        </is>
      </c>
      <c r="B826" s="4" t="inlineStr"/>
      <c r="C826" t="inlineStr">
        <is>
          <t>VB</t>
        </is>
      </c>
      <c r="D826" t="inlineStr">
        <is>
          <t>68649 Hessen - Groß-Rohrheim</t>
        </is>
      </c>
      <c r="E826" s="5" t="n">
        <v>45494</v>
      </c>
      <c r="F826" t="inlineStr">
        <is>
          <t>Sold</t>
        </is>
      </c>
      <c r="G826" s="6">
        <f>HYPERLINK("https://www.kleinanzeigen.de/s-anzeige/surfen-surf-zubehoer-gabelbaum-stangen-halter-usw-windsurfen/2817713579-230-4758", "Link")</f>
        <v/>
      </c>
      <c r="H826" s="6">
        <f>HYPERLINK("C:\Projects\Kleinanzeigen-Scraper\offer_images\2817713579", "Link")</f>
        <v/>
      </c>
      <c r="I826" t="inlineStr">
        <is>
          <t>Daniel</t>
        </is>
      </c>
      <c r="J826" s="6">
        <f>HYPERLINK("https://www.kleinanzeigen.de/s-bestandsliste.html?userId=15416374", "Link")</f>
        <v/>
      </c>
      <c r="K826" s="7" t="n">
        <v>45500.72391203704</v>
      </c>
      <c r="L826" s="3" t="inlineStr">
        <is>
          <t>78.85</t>
        </is>
      </c>
      <c r="M826" t="inlineStr">
        <is>
          <t>Karlsruhe</t>
        </is>
      </c>
    </row>
    <row r="827">
      <c r="A827" t="inlineStr">
        <is>
          <t>Harness</t>
        </is>
      </c>
      <c r="B827" s="4" t="n">
        <v>75</v>
      </c>
      <c r="C827" t="inlineStr"/>
      <c r="D827" t="inlineStr">
        <is>
          <t>69245 Baden-Württemberg - Bammental</t>
        </is>
      </c>
      <c r="E827" s="5" t="n">
        <v>45445</v>
      </c>
      <c r="F827" t="inlineStr">
        <is>
          <t>Sold</t>
        </is>
      </c>
      <c r="G827" s="6">
        <f>HYPERLINK("https://www.kleinanzeigen.de/s-anzeige/trapez-kite-windsurfen-/2778234301-230-9173", "Link")</f>
        <v/>
      </c>
      <c r="H827" s="6">
        <f>HYPERLINK("C:\Projects\Kleinanzeigen-Scraper\offer_images\2778234301", "Link")</f>
        <v/>
      </c>
      <c r="I827" t="inlineStr">
        <is>
          <t>Finn Eric Regele</t>
        </is>
      </c>
      <c r="J827" s="6">
        <f>HYPERLINK("https://www.kleinanzeigen.de/s-bestandsliste.html?userId=58590294", "Link")</f>
        <v/>
      </c>
      <c r="K827" s="7" t="n">
        <v>45500.72391203704</v>
      </c>
      <c r="L827" s="3" t="inlineStr">
        <is>
          <t>47.57</t>
        </is>
      </c>
      <c r="M827" t="inlineStr">
        <is>
          <t>Karlsruhe</t>
        </is>
      </c>
    </row>
    <row r="828">
      <c r="A828" t="inlineStr">
        <is>
          <t>Mast Extension</t>
        </is>
      </c>
      <c r="B828" s="4" t="n">
        <v>19</v>
      </c>
      <c r="C828" t="inlineStr">
        <is>
          <t>VB</t>
        </is>
      </c>
      <c r="D828" t="inlineStr">
        <is>
          <t>72141 Baden-Württemberg - Walddorfhäslach</t>
        </is>
      </c>
      <c r="E828" s="5" t="n">
        <v>45293</v>
      </c>
      <c r="F828" t="inlineStr">
        <is>
          <t>Sold</t>
        </is>
      </c>
      <c r="G828" s="6">
        <f>HYPERLINK("https://www.kleinanzeigen.de/s-anzeige/windsurf-30-cm-verlaengerung-sdm-sehr-guter-zustand/2642128110-230-8891", "Link")</f>
        <v/>
      </c>
      <c r="H828" s="6">
        <f>HYPERLINK("C:\Projects\Kleinanzeigen-Scraper\offer_images\2642128110", "Link")</f>
        <v/>
      </c>
      <c r="I828" t="inlineStr">
        <is>
          <t>Katharina &amp; Jan</t>
        </is>
      </c>
      <c r="J828" s="6">
        <f>HYPERLINK("https://www.kleinanzeigen.de/s-bestandsliste.html?userId=5363487", "Link")</f>
        <v/>
      </c>
      <c r="K828" s="7" t="n">
        <v>45500.72390046297</v>
      </c>
      <c r="L828" s="3" t="inlineStr">
        <is>
          <t>16.87</t>
        </is>
      </c>
      <c r="M828" t="inlineStr">
        <is>
          <t>Böblingen</t>
        </is>
      </c>
    </row>
    <row r="829">
      <c r="A829" t="inlineStr">
        <is>
          <t>Various accessories</t>
        </is>
      </c>
      <c r="B829" s="4" t="n">
        <v>20</v>
      </c>
      <c r="C829" t="inlineStr">
        <is>
          <t>VB</t>
        </is>
      </c>
      <c r="D829" t="inlineStr">
        <is>
          <t>72224 Baden-Württemberg - Ebhausen</t>
        </is>
      </c>
      <c r="E829" s="5" t="n">
        <v>45437</v>
      </c>
      <c r="F829" t="inlineStr">
        <is>
          <t>Sold</t>
        </is>
      </c>
      <c r="G829" s="6">
        <f>HYPERLINK("https://www.kleinanzeigen.de/s-anzeige/windsurf-zubehoer-aufnahmen-usw-/2771057636-230-8235", "Link")</f>
        <v/>
      </c>
      <c r="H829" s="6">
        <f>HYPERLINK("C:\Projects\Kleinanzeigen-Scraper\offer_images\2771057636", "Link")</f>
        <v/>
      </c>
      <c r="I829" t="inlineStr">
        <is>
          <t>P. Thiel</t>
        </is>
      </c>
      <c r="J829" s="6">
        <f>HYPERLINK("https://www.kleinanzeigen.de/s-bestandsliste.html?userId=10458185", "Link")</f>
        <v/>
      </c>
      <c r="K829" s="7" t="n">
        <v>45500.72390046297</v>
      </c>
      <c r="L829" s="3" t="inlineStr">
        <is>
          <t>23.23</t>
        </is>
      </c>
      <c r="M829" t="inlineStr">
        <is>
          <t>Böblingen</t>
        </is>
      </c>
    </row>
    <row r="830">
      <c r="A830" t="inlineStr">
        <is>
          <t>Sitztrapez</t>
        </is>
      </c>
      <c r="B830" s="4" t="n">
        <v>25</v>
      </c>
      <c r="C830" t="inlineStr"/>
      <c r="D830" t="inlineStr">
        <is>
          <t>71543 Baden-Württemberg - Wüstenrot</t>
        </is>
      </c>
      <c r="E830" s="5" t="n">
        <v>44756</v>
      </c>
      <c r="F830" t="inlineStr">
        <is>
          <t>Sold</t>
        </is>
      </c>
      <c r="G830" s="6">
        <f>HYPERLINK("https://www.kleinanzeigen.de/s-anzeige/sitztrapez-groesse-l-windsurf-trapez-/2157517300-230-8373", "Link")</f>
        <v/>
      </c>
      <c r="H830" s="6">
        <f>HYPERLINK("C:\Projects\Kleinanzeigen-Scraper\offer_images\2157517300", "Link")</f>
        <v/>
      </c>
      <c r="I830" t="inlineStr">
        <is>
          <t>DaLoop</t>
        </is>
      </c>
      <c r="J830" s="6">
        <f>HYPERLINK("https://www.kleinanzeigen.de/s-bestandsliste.html?userId=14880219", "Link")</f>
        <v/>
      </c>
      <c r="K830" s="7" t="n">
        <v>45500.72388888889</v>
      </c>
      <c r="L830" s="3" t="inlineStr">
        <is>
          <t>58.67</t>
        </is>
      </c>
      <c r="M830" t="inlineStr">
        <is>
          <t>Böblingen</t>
        </is>
      </c>
    </row>
    <row r="831">
      <c r="A831" t="inlineStr">
        <is>
          <t>Trapeztampen</t>
        </is>
      </c>
      <c r="B831" s="4" t="n">
        <v>12</v>
      </c>
      <c r="C831" t="inlineStr">
        <is>
          <t>VB</t>
        </is>
      </c>
      <c r="D831" t="inlineStr">
        <is>
          <t>72141 Baden-Württemberg - Walddorfhäslach</t>
        </is>
      </c>
      <c r="E831" s="5" t="n">
        <v>45386</v>
      </c>
      <c r="F831" t="inlineStr">
        <is>
          <t>Sold</t>
        </is>
      </c>
      <c r="G831" s="6">
        <f>HYPERLINK("https://www.kleinanzeigen.de/s-anzeige/gunsails-trapeztampen-30-windsurf/2726127243-230-8891", "Link")</f>
        <v/>
      </c>
      <c r="H831" s="6">
        <f>HYPERLINK("C:\Projects\Kleinanzeigen-Scraper\offer_images\2726127243", "Link")</f>
        <v/>
      </c>
      <c r="I831" t="inlineStr">
        <is>
          <t>Katharina &amp; Jan</t>
        </is>
      </c>
      <c r="J831" s="6">
        <f>HYPERLINK("https://www.kleinanzeigen.de/s-bestandsliste.html?userId=5363487", "Link")</f>
        <v/>
      </c>
      <c r="K831" s="7" t="n">
        <v>45500.72387731481</v>
      </c>
      <c r="L831" s="3" t="inlineStr">
        <is>
          <t>16.87</t>
        </is>
      </c>
      <c r="M831" t="inlineStr">
        <is>
          <t>Böblingen</t>
        </is>
      </c>
    </row>
    <row r="832">
      <c r="A832" t="inlineStr">
        <is>
          <t>Harness</t>
        </is>
      </c>
      <c r="B832" s="4" t="n">
        <v>20</v>
      </c>
      <c r="C832" t="inlineStr"/>
      <c r="D832" t="inlineStr">
        <is>
          <t>71254 Baden-Württemberg - Ditzingen</t>
        </is>
      </c>
      <c r="E832" s="5" t="n">
        <v>45425</v>
      </c>
      <c r="F832" t="inlineStr">
        <is>
          <t>Sold</t>
        </is>
      </c>
      <c r="G832" s="6">
        <f>HYPERLINK("https://www.kleinanzeigen.de/s-anzeige/north-sails-trapez-zum-surfen-windsurfen-sitztrapez/2760783003-230-8865", "Link")</f>
        <v/>
      </c>
      <c r="H832" s="6">
        <f>HYPERLINK("C:\Projects\Kleinanzeigen-Scraper\offer_images\2760783003", "Link")</f>
        <v/>
      </c>
      <c r="I832" t="inlineStr">
        <is>
          <t>Johannes Gaechter</t>
        </is>
      </c>
      <c r="J832" s="6">
        <f>HYPERLINK("https://www.kleinanzeigen.de/s-bestandsliste.html?userId=2640764", "Link")</f>
        <v/>
      </c>
      <c r="K832" s="7" t="n">
        <v>45500.72385416667</v>
      </c>
      <c r="L832" s="3" t="inlineStr">
        <is>
          <t>18.57</t>
        </is>
      </c>
      <c r="M832" t="inlineStr">
        <is>
          <t>Böblingen</t>
        </is>
      </c>
    </row>
    <row r="833">
      <c r="A833" t="inlineStr">
        <is>
          <t>Fin</t>
        </is>
      </c>
      <c r="B833" s="4" t="n">
        <v>56</v>
      </c>
      <c r="C833" t="inlineStr">
        <is>
          <t>VB</t>
        </is>
      </c>
      <c r="D833" t="inlineStr">
        <is>
          <t>68199 Baden-Württemberg - Mannheim</t>
        </is>
      </c>
      <c r="E833" s="5" t="n">
        <v>45416</v>
      </c>
      <c r="F833" t="inlineStr">
        <is>
          <t>Sold</t>
        </is>
      </c>
      <c r="G833" s="6">
        <f>HYPERLINK("https://www.kleinanzeigen.de/s-anzeige/sup-windsurf-finne-mistral-pacifico-28-cm-pb-powerbox-g10/2752497477-230-7986", "Link")</f>
        <v/>
      </c>
      <c r="H833" s="6">
        <f>HYPERLINK("C:\Projects\Kleinanzeigen-Scraper\offer_images\2752497477", "Link")</f>
        <v/>
      </c>
      <c r="I833" t="inlineStr">
        <is>
          <t>Andre Frischmann</t>
        </is>
      </c>
      <c r="J833" s="6">
        <f>HYPERLINK("https://www.kleinanzeigen.de/s-bestandsliste.html?userId=29844481", "Link")</f>
        <v/>
      </c>
      <c r="K833" s="7" t="n">
        <v>45500.72384259259</v>
      </c>
      <c r="L833" s="3" t="inlineStr">
        <is>
          <t>50.45</t>
        </is>
      </c>
      <c r="M833" t="inlineStr">
        <is>
          <t>Karlsruhe</t>
        </is>
      </c>
    </row>
    <row r="834">
      <c r="A834" t="inlineStr">
        <is>
          <t>Harness</t>
        </is>
      </c>
      <c r="B834" s="4" t="n">
        <v>25</v>
      </c>
      <c r="C834" t="inlineStr"/>
      <c r="D834" t="inlineStr">
        <is>
          <t>72250 Baden-Württemberg - Freudenstadt</t>
        </is>
      </c>
      <c r="E834" s="5" t="n">
        <v>45413</v>
      </c>
      <c r="F834" t="inlineStr">
        <is>
          <t>Sold</t>
        </is>
      </c>
      <c r="G834" s="6">
        <f>HYPERLINK("https://www.kleinanzeigen.de/s-anzeige/prolimit-trapez-windsurfen/2750502544-230-8980", "Link")</f>
        <v/>
      </c>
      <c r="H834" s="6">
        <f>HYPERLINK("C:\Projects\Kleinanzeigen-Scraper\offer_images\2750502544", "Link")</f>
        <v/>
      </c>
      <c r="I834" t="inlineStr">
        <is>
          <t>Max</t>
        </is>
      </c>
      <c r="J834" s="6">
        <f>HYPERLINK("https://www.kleinanzeigen.de/s-bestandsliste.html?userId=59599322", "Link")</f>
        <v/>
      </c>
      <c r="K834" s="7" t="n">
        <v>45500.72383101852</v>
      </c>
      <c r="L834" s="3" t="inlineStr">
        <is>
          <t>47.96</t>
        </is>
      </c>
      <c r="M834" t="inlineStr">
        <is>
          <t>Böblingen</t>
        </is>
      </c>
    </row>
    <row r="835">
      <c r="A835" t="inlineStr">
        <is>
          <t>Aufholleine</t>
        </is>
      </c>
      <c r="B835" s="4" t="n">
        <v>10</v>
      </c>
      <c r="C835" t="inlineStr"/>
      <c r="D835" t="inlineStr">
        <is>
          <t>75045 Baden-Württemberg - Walzbachtal</t>
        </is>
      </c>
      <c r="E835" s="5" t="n">
        <v>45212</v>
      </c>
      <c r="F835" t="inlineStr">
        <is>
          <t>Sold</t>
        </is>
      </c>
      <c r="G835" s="6">
        <f>HYPERLINK("https://www.kleinanzeigen.de/s-anzeige/windsurfen-startshot-aufholleine-north-ascan/2570983208-230-8248", "Link")</f>
        <v/>
      </c>
      <c r="H835" s="6">
        <f>HYPERLINK("C:\Projects\Kleinanzeigen-Scraper\offer_images\2570983208", "Link")</f>
        <v/>
      </c>
      <c r="I835" t="inlineStr">
        <is>
          <t>Carsten</t>
        </is>
      </c>
      <c r="J835" s="6">
        <f>HYPERLINK("https://www.kleinanzeigen.de/s-bestandsliste.html?userId=21241938", "Link")</f>
        <v/>
      </c>
      <c r="K835" s="7" t="n">
        <v>45500.72383101852</v>
      </c>
      <c r="L835" s="3" t="inlineStr">
        <is>
          <t>15.32</t>
        </is>
      </c>
      <c r="M835" t="inlineStr">
        <is>
          <t>Karlsruhe</t>
        </is>
      </c>
    </row>
    <row r="836">
      <c r="A836" t="inlineStr">
        <is>
          <t>Hüfttrapez</t>
        </is>
      </c>
      <c r="B836" s="4" t="n">
        <v>30</v>
      </c>
      <c r="C836" t="inlineStr">
        <is>
          <t>VB</t>
        </is>
      </c>
      <c r="D836" t="inlineStr">
        <is>
          <t>70439 Stuttgart - Stammheim</t>
        </is>
      </c>
      <c r="E836" s="5" t="n">
        <v>45452</v>
      </c>
      <c r="F836" t="inlineStr">
        <is>
          <t>Sold</t>
        </is>
      </c>
      <c r="G836" s="6">
        <f>HYPERLINK("https://www.kleinanzeigen.de/s-anzeige/huefttrapez-gun-sails-gr-s-windsurfen-/2783819666-230-9308", "Link")</f>
        <v/>
      </c>
      <c r="H836" s="6">
        <f>HYPERLINK("C:\Projects\Kleinanzeigen-Scraper\offer_images\2783819666", "Link")</f>
        <v/>
      </c>
      <c r="I836" t="inlineStr">
        <is>
          <t>Bettina Heinzel</t>
        </is>
      </c>
      <c r="J836" s="6">
        <f>HYPERLINK("https://www.kleinanzeigen.de/s-bestandsliste.html?userId=130858534", "Link")</f>
        <v/>
      </c>
      <c r="K836" s="7" t="n">
        <v>45500.72381944444</v>
      </c>
      <c r="L836" s="3" t="inlineStr">
        <is>
          <t>23.06</t>
        </is>
      </c>
      <c r="M836" t="inlineStr">
        <is>
          <t>Böblingen</t>
        </is>
      </c>
    </row>
    <row r="837">
      <c r="A837" t="inlineStr">
        <is>
          <t>Sailbag</t>
        </is>
      </c>
      <c r="B837" s="4" t="n">
        <v>75</v>
      </c>
      <c r="C837" t="inlineStr"/>
      <c r="D837" t="inlineStr">
        <is>
          <t>72070 Baden-Württemberg - Tübingen</t>
        </is>
      </c>
      <c r="E837" s="5" t="n">
        <v>45440</v>
      </c>
      <c r="F837" t="inlineStr">
        <is>
          <t>Sold</t>
        </is>
      </c>
      <c r="G837" s="6">
        <f>HYPERLINK("https://www.kleinanzeigen.de/s-anzeige/sailbag-windsurf-equipment-tasche-segeltasche/2773784812-230-9093", "Link")</f>
        <v/>
      </c>
      <c r="H837" s="6">
        <f>HYPERLINK("C:\Projects\Kleinanzeigen-Scraper\offer_images\2773784812", "Link")</f>
        <v/>
      </c>
      <c r="I837" t="inlineStr">
        <is>
          <t>Wassen</t>
        </is>
      </c>
      <c r="J837" s="6">
        <f>HYPERLINK("https://www.kleinanzeigen.de/s-bestandsliste.html?userId=3367053", "Link")</f>
        <v/>
      </c>
      <c r="K837" s="7" t="n">
        <v>45500.7237962963</v>
      </c>
      <c r="L837" s="3" t="inlineStr">
        <is>
          <t>17.20</t>
        </is>
      </c>
      <c r="M837" t="inlineStr">
        <is>
          <t>Böblingen</t>
        </is>
      </c>
    </row>
    <row r="838">
      <c r="A838" t="inlineStr">
        <is>
          <t>Hüfttrapez</t>
        </is>
      </c>
      <c r="B838" s="4" t="n">
        <v>100</v>
      </c>
      <c r="C838" t="inlineStr">
        <is>
          <t>VB</t>
        </is>
      </c>
      <c r="D838" t="inlineStr">
        <is>
          <t>73733 Baden-Württemberg - Esslingen</t>
        </is>
      </c>
      <c r="E838" s="5" t="n">
        <v>45545</v>
      </c>
      <c r="F838" t="inlineStr">
        <is>
          <t>Sold</t>
        </is>
      </c>
      <c r="G838" s="6">
        <f>HYPERLINK("https://www.kleinanzeigen.de/s-anzeige/ion-axxis-ws-4-windsurf-huefttrapez-2022-black-xl-54/2816326151-230-9071", "Link")</f>
        <v/>
      </c>
      <c r="H838" s="6">
        <f>HYPERLINK("C:\Projects\Kleinanzeigen-Scraper\offer_images\2816326151", "Link")</f>
        <v/>
      </c>
      <c r="I838" t="inlineStr">
        <is>
          <t>Andi</t>
        </is>
      </c>
      <c r="J838" s="6">
        <f>HYPERLINK("https://www.kleinanzeigen.de/s-bestandsliste.html?userId=23836079", "Link")</f>
        <v/>
      </c>
      <c r="K838" s="7" t="n">
        <v>45500.72377314815</v>
      </c>
      <c r="L838" s="3" t="inlineStr">
        <is>
          <t>25.19</t>
        </is>
      </c>
      <c r="M838" t="inlineStr">
        <is>
          <t>Böblingen</t>
        </is>
      </c>
    </row>
    <row r="839">
      <c r="A839" t="inlineStr">
        <is>
          <t>Windsurf Trapez</t>
        </is>
      </c>
      <c r="B839" s="4" t="n">
        <v>40</v>
      </c>
      <c r="C839" t="inlineStr"/>
      <c r="D839" t="inlineStr">
        <is>
          <t>79100 Freiburg im Breisgau - Wiehre</t>
        </is>
      </c>
      <c r="E839" s="5" t="n">
        <v>45400</v>
      </c>
      <c r="F839" t="inlineStr">
        <is>
          <t>Sold</t>
        </is>
      </c>
      <c r="G839" s="6">
        <f>HYPERLINK("https://www.kleinanzeigen.de/s-anzeige/pro-limit-windsurf-trapez-groesse-l/2738687885-230-9368", "Link")</f>
        <v/>
      </c>
      <c r="H839" s="6">
        <f>HYPERLINK("C:\Projects\Kleinanzeigen-Scraper\offer_images\2738687885", "Link")</f>
        <v/>
      </c>
      <c r="I839" t="inlineStr">
        <is>
          <t>Daniel Priegnitz</t>
        </is>
      </c>
      <c r="J839" s="6">
        <f>HYPERLINK("https://www.kleinanzeigen.de/s-bestandsliste.html?userId=25522726", "Link")</f>
        <v/>
      </c>
      <c r="K839" s="7" t="n">
        <v>45500.72376157407</v>
      </c>
      <c r="L839" s="3" t="inlineStr">
        <is>
          <t>39.95</t>
        </is>
      </c>
      <c r="M839" t="inlineStr">
        <is>
          <t>Bonndorf</t>
        </is>
      </c>
    </row>
    <row r="840">
      <c r="A840" t="inlineStr">
        <is>
          <t>Kite Harness</t>
        </is>
      </c>
      <c r="B840" s="4" t="n">
        <v>79</v>
      </c>
      <c r="C840" t="inlineStr"/>
      <c r="D840" t="inlineStr">
        <is>
          <t>72793 Baden-Württemberg - Pfullingen</t>
        </is>
      </c>
      <c r="E840" s="5" t="n">
        <v>45482</v>
      </c>
      <c r="F840" t="inlineStr">
        <is>
          <t>Sold</t>
        </is>
      </c>
      <c r="G840" s="6">
        <f>HYPERLINK("https://www.kleinanzeigen.de/s-anzeige/prolimit-kitetrapez-trapez-zum-windsurfen-kite-hueftttrapez/2807997475-230-8202", "Link")</f>
        <v/>
      </c>
      <c r="H840" s="6">
        <f>HYPERLINK("C:\Projects\Kleinanzeigen-Scraper\offer_images\2807997475", "Link")</f>
        <v/>
      </c>
      <c r="I840" t="inlineStr">
        <is>
          <t>Christopher Roosen</t>
        </is>
      </c>
      <c r="J840" s="6">
        <f>HYPERLINK("https://www.kleinanzeigen.de/s-bestandsliste.html?userId=17476726", "Link")</f>
        <v/>
      </c>
      <c r="K840" s="7" t="n">
        <v>45500.72376157407</v>
      </c>
      <c r="L840" s="3" t="inlineStr">
        <is>
          <t>29.93</t>
        </is>
      </c>
      <c r="M840" t="inlineStr">
        <is>
          <t>Böblingen</t>
        </is>
      </c>
    </row>
    <row r="841">
      <c r="A841" t="inlineStr">
        <is>
          <t>Mastfoot with Neil-Pryde Null-Base</t>
        </is>
      </c>
      <c r="B841" s="4" t="n">
        <v>12</v>
      </c>
      <c r="C841" t="inlineStr"/>
      <c r="D841" t="inlineStr">
        <is>
          <t>67245 Rheinland-Pfalz - Lambsheim</t>
        </is>
      </c>
      <c r="E841" s="5" t="n">
        <v>45480</v>
      </c>
      <c r="F841" t="inlineStr">
        <is>
          <t>Sold</t>
        </is>
      </c>
      <c r="G841" s="6">
        <f>HYPERLINK("https://www.kleinanzeigen.de/s-anzeige/f2-mastfuss-mit-neil-pryde-null-base-windsurfen-surfbrett-segel/2807043626-230-5186", "Link")</f>
        <v/>
      </c>
      <c r="H841" s="6">
        <f>HYPERLINK("C:\Projects\Kleinanzeigen-Scraper\offer_images\2807043626", "Link")</f>
        <v/>
      </c>
      <c r="I841" t="inlineStr">
        <is>
          <t>Privat</t>
        </is>
      </c>
      <c r="J841" s="6">
        <f>HYPERLINK("https://www.kleinanzeigen.de/s-bestandsliste.html?userId=60526185", "Link")</f>
        <v/>
      </c>
      <c r="K841" s="7" t="n">
        <v>45500.72375</v>
      </c>
      <c r="L841" s="3" t="inlineStr">
        <is>
          <t>56.18</t>
        </is>
      </c>
      <c r="M841" t="inlineStr">
        <is>
          <t>Karlsruhe</t>
        </is>
      </c>
    </row>
    <row r="842">
      <c r="A842" t="inlineStr">
        <is>
          <t>Nierengurt (Neoprene)</t>
        </is>
      </c>
      <c r="B842" s="4" t="n">
        <v>5</v>
      </c>
      <c r="C842" t="inlineStr"/>
      <c r="D842" t="inlineStr">
        <is>
          <t>70563 Stuttgart - Vaihingen</t>
        </is>
      </c>
      <c r="E842" s="5" t="n">
        <v>45389</v>
      </c>
      <c r="F842" t="inlineStr">
        <is>
          <t>Sold</t>
        </is>
      </c>
      <c r="G842" s="6">
        <f>HYPERLINK("https://www.kleinanzeigen.de/s-anzeige/nierengurt-neopren-windsurf/2728573092-230-9301", "Link")</f>
        <v/>
      </c>
      <c r="H842" s="6">
        <f>HYPERLINK("C:\Projects\Kleinanzeigen-Scraper\offer_images\2728573092", "Link")</f>
        <v/>
      </c>
      <c r="I842" t="inlineStr">
        <is>
          <t>privat</t>
        </is>
      </c>
      <c r="J842" s="6">
        <f>HYPERLINK("https://www.kleinanzeigen.de/s-bestandsliste.html?userId=19224586", "Link")</f>
        <v/>
      </c>
      <c r="K842" s="7" t="n">
        <v>45500.72373842593</v>
      </c>
      <c r="L842" s="3" t="inlineStr">
        <is>
          <t>10.79</t>
        </is>
      </c>
      <c r="M842" t="inlineStr">
        <is>
          <t>Böblingen</t>
        </is>
      </c>
    </row>
    <row r="843">
      <c r="A843" t="inlineStr">
        <is>
          <t>Hüfttrapez</t>
        </is>
      </c>
      <c r="B843" s="4" t="n">
        <v>20</v>
      </c>
      <c r="C843" t="inlineStr"/>
      <c r="D843" t="inlineStr">
        <is>
          <t>78132 Baden-Württemberg - Hornberg</t>
        </is>
      </c>
      <c r="E843" s="5" t="n">
        <v>45494</v>
      </c>
      <c r="F843" t="inlineStr">
        <is>
          <t>Sold</t>
        </is>
      </c>
      <c r="G843" s="6">
        <f>HYPERLINK("https://www.kleinanzeigen.de/s-anzeige/huefttrapez-trapez-windsurfen/2817454124-230-8536", "Link")</f>
        <v/>
      </c>
      <c r="H843" s="6">
        <f>HYPERLINK("C:\Projects\Kleinanzeigen-Scraper\offer_images\2817454124", "Link")</f>
        <v/>
      </c>
      <c r="I843" t="inlineStr">
        <is>
          <t>Didi Albrecht</t>
        </is>
      </c>
      <c r="J843" s="6">
        <f>HYPERLINK("https://www.kleinanzeigen.de/s-bestandsliste.html?userId=52538312", "Link")</f>
        <v/>
      </c>
      <c r="K843" s="7" t="n">
        <v>45500.72372685185</v>
      </c>
      <c r="L843" s="3" t="inlineStr">
        <is>
          <t>44.45</t>
        </is>
      </c>
      <c r="M843" t="inlineStr">
        <is>
          <t>Bonndorf</t>
        </is>
      </c>
    </row>
    <row r="844">
      <c r="A844" t="inlineStr">
        <is>
          <t>Mastverlängerungen</t>
        </is>
      </c>
      <c r="B844" s="4" t="n">
        <v>10</v>
      </c>
      <c r="C844" t="inlineStr">
        <is>
          <t>VB</t>
        </is>
      </c>
      <c r="D844" t="inlineStr">
        <is>
          <t>75045 Baden-Württemberg - Walzbachtal</t>
        </is>
      </c>
      <c r="E844" s="5" t="n">
        <v>45363</v>
      </c>
      <c r="F844" t="inlineStr">
        <is>
          <t>Sold</t>
        </is>
      </c>
      <c r="G844" s="6">
        <f>HYPERLINK("https://www.kleinanzeigen.de/s-anzeige/windsurfen-mastverlaengerungen-verschiedene-modell/2704750047-242-8248", "Link")</f>
        <v/>
      </c>
      <c r="H844" s="6">
        <f>HYPERLINK("C:\Projects\Kleinanzeigen-Scraper\offer_images\2704750047", "Link")</f>
        <v/>
      </c>
      <c r="I844" t="inlineStr">
        <is>
          <t>Carsten</t>
        </is>
      </c>
      <c r="J844" s="6">
        <f>HYPERLINK("https://www.kleinanzeigen.de/s-bestandsliste.html?userId=21241938", "Link")</f>
        <v/>
      </c>
      <c r="K844" s="7" t="n">
        <v>45500.72372685185</v>
      </c>
      <c r="L844" s="3" t="inlineStr">
        <is>
          <t>15.32</t>
        </is>
      </c>
      <c r="M844" t="inlineStr">
        <is>
          <t>Karlsruhe</t>
        </is>
      </c>
    </row>
    <row r="845">
      <c r="A845" t="inlineStr">
        <is>
          <t>Tampen</t>
        </is>
      </c>
      <c r="B845" s="4" t="n">
        <v>10</v>
      </c>
      <c r="C845" t="inlineStr"/>
      <c r="D845" t="inlineStr">
        <is>
          <t>79249 Baden-Württemberg - Merzhausen</t>
        </is>
      </c>
      <c r="E845" s="5" t="n">
        <v>45442</v>
      </c>
      <c r="F845" t="inlineStr">
        <is>
          <t>Sold</t>
        </is>
      </c>
      <c r="G845" s="6">
        <f>HYPERLINK("https://www.kleinanzeigen.de/s-anzeige/trapez-tampen-windsurf-22cm/2775497530-230-9382", "Link")</f>
        <v/>
      </c>
      <c r="H845" s="6">
        <f>HYPERLINK("C:\Projects\Kleinanzeigen-Scraper\offer_images\2775497530", "Link")</f>
        <v/>
      </c>
      <c r="I845" t="inlineStr">
        <is>
          <t>G. Groß</t>
        </is>
      </c>
      <c r="J845" s="6">
        <f>HYPERLINK("https://www.kleinanzeigen.de/s-bestandsliste.html?userId=93931047", "Link")</f>
        <v/>
      </c>
      <c r="K845" s="7" t="n">
        <v>45500.72371527777</v>
      </c>
      <c r="L845" s="3" t="inlineStr">
        <is>
          <t>41.53</t>
        </is>
      </c>
      <c r="M845" t="inlineStr">
        <is>
          <t>Bonndorf</t>
        </is>
      </c>
    </row>
    <row r="846">
      <c r="A846" t="inlineStr">
        <is>
          <t>Trimmhaken, Trimmblock</t>
        </is>
      </c>
      <c r="B846" s="4" t="n">
        <v>10</v>
      </c>
      <c r="C846" t="inlineStr">
        <is>
          <t>VB</t>
        </is>
      </c>
      <c r="D846" t="inlineStr">
        <is>
          <t>75045 Baden-Württemberg - Walzbachtal</t>
        </is>
      </c>
      <c r="E846" s="5" t="n">
        <v>45215</v>
      </c>
      <c r="F846" t="inlineStr">
        <is>
          <t>Sold</t>
        </is>
      </c>
      <c r="G846" s="6">
        <f>HYPERLINK("https://www.kleinanzeigen.de/s-anzeige/windsurfen-trimmhaken-trimmhilfe/2574829811-230-8248", "Link")</f>
        <v/>
      </c>
      <c r="H846" s="6">
        <f>HYPERLINK("C:\Projects\Kleinanzeigen-Scraper\offer_images\2574829811", "Link")</f>
        <v/>
      </c>
      <c r="I846" t="inlineStr">
        <is>
          <t>Carsten</t>
        </is>
      </c>
      <c r="J846" s="6">
        <f>HYPERLINK("https://www.kleinanzeigen.de/s-bestandsliste.html?userId=21241938", "Link")</f>
        <v/>
      </c>
      <c r="K846" s="7" t="n">
        <v>45500.72369212963</v>
      </c>
      <c r="L846" s="3" t="inlineStr">
        <is>
          <t>15.32</t>
        </is>
      </c>
      <c r="M846" t="inlineStr">
        <is>
          <t>Karlsruhe</t>
        </is>
      </c>
    </row>
    <row r="847">
      <c r="A847" t="inlineStr">
        <is>
          <t>Sitztrapez</t>
        </is>
      </c>
      <c r="B847" s="4" t="n">
        <v>120</v>
      </c>
      <c r="C847" t="inlineStr">
        <is>
          <t>VB</t>
        </is>
      </c>
      <c r="D847" t="inlineStr">
        <is>
          <t>75389 Baden-Württemberg - Neuweiler</t>
        </is>
      </c>
      <c r="E847" s="5" t="n">
        <v>45123</v>
      </c>
      <c r="F847" t="inlineStr">
        <is>
          <t>Sold</t>
        </is>
      </c>
      <c r="G847" s="6">
        <f>HYPERLINK("https://www.kleinanzeigen.de/s-anzeige/windsurf-sitztrapez-prolimit-rambler/2494763077-230-8767", "Link")</f>
        <v/>
      </c>
      <c r="H847" s="6">
        <f>HYPERLINK("C:\Projects\Kleinanzeigen-Scraper\offer_images\2494763077", "Link")</f>
        <v/>
      </c>
      <c r="I847" t="inlineStr">
        <is>
          <t>Klaus Hölzel</t>
        </is>
      </c>
      <c r="J847" s="6">
        <f>HYPERLINK("https://www.kleinanzeigen.de/s-bestandsliste.html?userId=4508945", "Link")</f>
        <v/>
      </c>
      <c r="K847" s="7" t="n">
        <v>45500.72368055556</v>
      </c>
      <c r="L847" s="3" t="inlineStr">
        <is>
          <t>28.01</t>
        </is>
      </c>
      <c r="M847" t="inlineStr">
        <is>
          <t>Böblingen</t>
        </is>
      </c>
    </row>
    <row r="848">
      <c r="A848" t="inlineStr">
        <is>
          <t>Schwimmweste</t>
        </is>
      </c>
      <c r="B848" s="4" t="n">
        <v>30</v>
      </c>
      <c r="C848" t="inlineStr"/>
      <c r="D848" t="inlineStr">
        <is>
          <t>73252 Baden-Württemberg - Lenningen</t>
        </is>
      </c>
      <c r="E848" s="5" t="n">
        <v>45221</v>
      </c>
      <c r="F848" t="inlineStr">
        <is>
          <t>Sold</t>
        </is>
      </c>
      <c r="G848" s="6">
        <f>HYPERLINK("https://www.kleinanzeigen.de/s-anzeige/windsurfen-schwimmweste/2580574229-230-8466", "Link")</f>
        <v/>
      </c>
      <c r="H848" s="6">
        <f>HYPERLINK("C:\Projects\Kleinanzeigen-Scraper\offer_images\2580574229", "Link")</f>
        <v/>
      </c>
      <c r="I848" t="inlineStr">
        <is>
          <t>Andi</t>
        </is>
      </c>
      <c r="J848" s="6">
        <f>HYPERLINK("https://www.kleinanzeigen.de/s-bestandsliste.html?userId=9893215", "Link")</f>
        <v/>
      </c>
      <c r="K848" s="7" t="n">
        <v>45500.72366898148</v>
      </c>
      <c r="L848" s="3" t="inlineStr">
        <is>
          <t>38.52</t>
        </is>
      </c>
      <c r="M848" t="inlineStr">
        <is>
          <t>Böblingen</t>
        </is>
      </c>
    </row>
    <row r="849">
      <c r="A849" t="inlineStr">
        <is>
          <t>Doppel Boardbag</t>
        </is>
      </c>
      <c r="B849" s="4" t="n">
        <v>100</v>
      </c>
      <c r="C849" t="inlineStr"/>
      <c r="D849" t="inlineStr">
        <is>
          <t>76227 Baden-Württemberg - Karlsruhe</t>
        </is>
      </c>
      <c r="E849" s="5" t="n">
        <v>45465</v>
      </c>
      <c r="F849" t="inlineStr">
        <is>
          <t>Sold</t>
        </is>
      </c>
      <c r="G849" s="6">
        <f>HYPERLINK("https://www.kleinanzeigen.de/s-anzeige/windsurfen-doppel-boardbag-pat-love-270-mit-rollen-fluggeeignet/2794247342-230-9197", "Link")</f>
        <v/>
      </c>
      <c r="H849" s="6">
        <f>HYPERLINK("C:\Projects\Kleinanzeigen-Scraper\offer_images\2794247342", "Link")</f>
        <v/>
      </c>
      <c r="I849" t="inlineStr">
        <is>
          <t>HARALD WITTE</t>
        </is>
      </c>
      <c r="J849" s="6">
        <f>HYPERLINK("https://www.kleinanzeigen.de/s-bestandsliste.html?userId=83886327", "Link")</f>
        <v/>
      </c>
      <c r="K849" s="7" t="n">
        <v>45500.7236574074</v>
      </c>
      <c r="L849" s="3" t="inlineStr">
        <is>
          <t>6.23</t>
        </is>
      </c>
      <c r="M849" t="inlineStr">
        <is>
          <t>Karlsruhe</t>
        </is>
      </c>
    </row>
    <row r="850">
      <c r="A850" t="inlineStr">
        <is>
          <t>Fin</t>
        </is>
      </c>
      <c r="B850" s="4" t="n">
        <v>35</v>
      </c>
      <c r="C850" t="inlineStr"/>
      <c r="D850" t="inlineStr">
        <is>
          <t>67346 Rheinland-Pfalz - Speyer</t>
        </is>
      </c>
      <c r="E850" s="5" t="n">
        <v>45498</v>
      </c>
      <c r="F850" t="inlineStr">
        <is>
          <t>Sold</t>
        </is>
      </c>
      <c r="G850" s="6">
        <f>HYPERLINK("https://www.kleinanzeigen.de/s-anzeige/windsurf-speed-finne-28cm-carbon/2820922431-230-5365", "Link")</f>
        <v/>
      </c>
      <c r="H850" s="6">
        <f>HYPERLINK("C:\Projects\Kleinanzeigen-Scraper\offer_images\2820922431", "Link")</f>
        <v/>
      </c>
      <c r="I850" t="inlineStr">
        <is>
          <t>D. Ertel</t>
        </is>
      </c>
      <c r="J850" s="6">
        <f>HYPERLINK("https://www.kleinanzeigen.de/s-bestandsliste.html?userId=13322828", "Link")</f>
        <v/>
      </c>
      <c r="K850" s="7" t="n">
        <v>45500.72364583334</v>
      </c>
      <c r="L850" s="3" t="inlineStr">
        <is>
          <t>35.76</t>
        </is>
      </c>
      <c r="M850" t="inlineStr">
        <is>
          <t>Karlsruhe</t>
        </is>
      </c>
    </row>
    <row r="851">
      <c r="A851" t="inlineStr">
        <is>
          <t>Trapezhacken</t>
        </is>
      </c>
      <c r="B851" s="4" t="n">
        <v>10</v>
      </c>
      <c r="C851" t="inlineStr"/>
      <c r="D851" t="inlineStr">
        <is>
          <t>70173 Stuttgart - Stuttgart-Mitte</t>
        </is>
      </c>
      <c r="E851" s="5" t="n">
        <v>45446</v>
      </c>
      <c r="F851" t="inlineStr">
        <is>
          <t>Sold</t>
        </is>
      </c>
      <c r="G851" s="6">
        <f>HYPERLINK("https://www.kleinanzeigen.de/s-anzeige/trapezhacken-surfen-windsurfen-kitesurfen/2779059065-230-9283", "Link")</f>
        <v/>
      </c>
      <c r="H851" s="6">
        <f>HYPERLINK("C:\Projects\Kleinanzeigen-Scraper\offer_images\2779059065", "Link")</f>
        <v/>
      </c>
      <c r="I851" t="inlineStr">
        <is>
          <t>Daniel von Strandsurfer</t>
        </is>
      </c>
      <c r="J851" s="6">
        <f>HYPERLINK("https://www.kleinanzeigen.de/s-bestandsliste.html?userId=124245015", "Link")</f>
        <v/>
      </c>
      <c r="K851" s="7" t="n">
        <v>45500.72364583334</v>
      </c>
      <c r="L851" s="3" t="inlineStr">
        <is>
          <t>19.17</t>
        </is>
      </c>
      <c r="M851" t="inlineStr">
        <is>
          <t>Böblingen</t>
        </is>
      </c>
    </row>
    <row r="852">
      <c r="A852" t="inlineStr">
        <is>
          <t>Hüfttrapez</t>
        </is>
      </c>
      <c r="B852" s="4" t="n">
        <v>35</v>
      </c>
      <c r="C852" t="inlineStr"/>
      <c r="D852" t="inlineStr">
        <is>
          <t>70186 Stuttgart - Stuttgart-Ost</t>
        </is>
      </c>
      <c r="E852" s="5" t="n">
        <v>45424</v>
      </c>
      <c r="F852" t="inlineStr">
        <is>
          <t>Sold</t>
        </is>
      </c>
      <c r="G852" s="6">
        <f>HYPERLINK("https://www.kleinanzeigen.de/s-anzeige/windsurf-huefttrapez/2759381353-230-9285", "Link")</f>
        <v/>
      </c>
      <c r="H852" s="6">
        <f>HYPERLINK("C:\Projects\Kleinanzeigen-Scraper\offer_images\2759381353", "Link")</f>
        <v/>
      </c>
      <c r="I852" t="inlineStr">
        <is>
          <t>Niko</t>
        </is>
      </c>
      <c r="J852" s="6">
        <f>HYPERLINK("https://www.kleinanzeigen.de/s-bestandsliste.html?userId=52023756", "Link")</f>
        <v/>
      </c>
      <c r="K852" s="7" t="n">
        <v>45500.72363425926</v>
      </c>
      <c r="L852" s="3" t="inlineStr">
        <is>
          <t>19.90</t>
        </is>
      </c>
      <c r="M852" t="inlineStr">
        <is>
          <t>Böblingen</t>
        </is>
      </c>
    </row>
    <row r="853">
      <c r="A853" t="inlineStr">
        <is>
          <t>Mastfoot extension</t>
        </is>
      </c>
      <c r="B853" s="4" t="n">
        <v>105</v>
      </c>
      <c r="C853" t="inlineStr"/>
      <c r="D853" t="inlineStr">
        <is>
          <t>79100 Freiburg im Breisgau - Wiehre</t>
        </is>
      </c>
      <c r="E853" s="5" t="n">
        <v>45088</v>
      </c>
      <c r="F853" t="inlineStr">
        <is>
          <t>Sold</t>
        </is>
      </c>
      <c r="G853" s="6">
        <f>HYPERLINK("https://www.kleinanzeigen.de/s-anzeige/windsurfen-mastfussverlaengerung-north-uni-xt-shox-rdm-42-base/2466224578-230-9368", "Link")</f>
        <v/>
      </c>
      <c r="H853" s="6">
        <f>HYPERLINK("C:\Projects\Kleinanzeigen-Scraper\offer_images\2466224578", "Link")</f>
        <v/>
      </c>
      <c r="I853" t="inlineStr">
        <is>
          <t>Daniel Priegnitz</t>
        </is>
      </c>
      <c r="J853" s="6">
        <f>HYPERLINK("https://www.kleinanzeigen.de/s-bestandsliste.html?userId=25522726", "Link")</f>
        <v/>
      </c>
      <c r="K853" s="7" t="n">
        <v>45500.72362268518</v>
      </c>
      <c r="L853" s="3" t="inlineStr">
        <is>
          <t>39.95</t>
        </is>
      </c>
      <c r="M853" t="inlineStr">
        <is>
          <t>Bonndorf</t>
        </is>
      </c>
    </row>
    <row r="854">
      <c r="A854" t="inlineStr">
        <is>
          <t>Gabelschoner</t>
        </is>
      </c>
      <c r="B854" s="4" t="n">
        <v>10</v>
      </c>
      <c r="C854" t="inlineStr">
        <is>
          <t>VB</t>
        </is>
      </c>
      <c r="D854" t="inlineStr">
        <is>
          <t>67346 Rheinland-Pfalz - Speyer</t>
        </is>
      </c>
      <c r="E854" s="5" t="n">
        <v>45453</v>
      </c>
      <c r="F854" t="inlineStr">
        <is>
          <t>Sold</t>
        </is>
      </c>
      <c r="G854" s="6">
        <f>HYPERLINK("https://www.kleinanzeigen.de/s-anzeige/maui-magic-windsurf-mast-und-gabelschoner/2784730192-230-5365", "Link")</f>
        <v/>
      </c>
      <c r="H854" s="6">
        <f>HYPERLINK("C:\Projects\Kleinanzeigen-Scraper\offer_images\2784730192", "Link")</f>
        <v/>
      </c>
      <c r="I854" t="inlineStr">
        <is>
          <t>D. Ertel</t>
        </is>
      </c>
      <c r="J854" s="6">
        <f>HYPERLINK("https://www.kleinanzeigen.de/s-bestandsliste.html?userId=13322828", "Link")</f>
        <v/>
      </c>
      <c r="K854" s="7" t="n">
        <v>45500.72362268518</v>
      </c>
      <c r="L854" s="3" t="inlineStr">
        <is>
          <t>35.76</t>
        </is>
      </c>
      <c r="M854" t="inlineStr">
        <is>
          <t>Karlsruhe</t>
        </is>
      </c>
    </row>
    <row r="855">
      <c r="A855" t="inlineStr">
        <is>
          <t>Windsurf Trapez</t>
        </is>
      </c>
      <c r="B855" s="4" t="n">
        <v>20</v>
      </c>
      <c r="C855" t="inlineStr">
        <is>
          <t>VB</t>
        </is>
      </c>
      <c r="D855" t="inlineStr">
        <is>
          <t>69234 Baden-Württemberg - Dielheim</t>
        </is>
      </c>
      <c r="E855" s="5" t="n">
        <v>45396</v>
      </c>
      <c r="F855" t="inlineStr">
        <is>
          <t>Sold</t>
        </is>
      </c>
      <c r="G855" s="6">
        <f>HYPERLINK("https://www.kleinanzeigen.de/s-anzeige/neil-pryde-kite-windsurf-trapez-damen-kinder-groesse-38-40/2734272361-230-8254", "Link")</f>
        <v/>
      </c>
      <c r="H855" s="6">
        <f>HYPERLINK("C:\Projects\Kleinanzeigen-Scraper\offer_images\2734272361", "Link")</f>
        <v/>
      </c>
      <c r="I855" t="inlineStr">
        <is>
          <t>AS</t>
        </is>
      </c>
      <c r="J855" s="6">
        <f>HYPERLINK("https://www.kleinanzeigen.de/s-bestandsliste.html?userId=80489876", "Link")</f>
        <v/>
      </c>
      <c r="K855" s="7" t="n">
        <v>45500.72362268518</v>
      </c>
      <c r="L855" s="3" t="inlineStr">
        <is>
          <t>41.03</t>
        </is>
      </c>
      <c r="M855" t="inlineStr">
        <is>
          <t>Karlsruhe</t>
        </is>
      </c>
    </row>
    <row r="856">
      <c r="A856" t="inlineStr">
        <is>
          <t>Hüfttrapez</t>
        </is>
      </c>
      <c r="B856" s="4" t="n">
        <v>50</v>
      </c>
      <c r="C856" t="inlineStr"/>
      <c r="D856" t="inlineStr">
        <is>
          <t>70439 Stuttgart - Stammheim</t>
        </is>
      </c>
      <c r="E856" s="5" t="n">
        <v>45452</v>
      </c>
      <c r="F856" t="inlineStr"/>
      <c r="G856" s="6">
        <f>HYPERLINK("https://www.kleinanzeigen.de/s-anzeige/huefttrapez-gaastra-gr-l-windsurfen-/2783815852-230-9308", "Link")</f>
        <v/>
      </c>
      <c r="H856" s="6">
        <f>HYPERLINK("C:\Projects\Kleinanzeigen-Scraper\offer_images\2783815852", "Link")</f>
        <v/>
      </c>
      <c r="I856" t="inlineStr">
        <is>
          <t>Bettina Heinzel</t>
        </is>
      </c>
      <c r="J856" s="6">
        <f>HYPERLINK("https://www.kleinanzeigen.de/s-bestandsliste.html?userId=130858534", "Link")</f>
        <v/>
      </c>
      <c r="K856" s="7" t="n">
        <v>45500.72358796297</v>
      </c>
      <c r="L856" s="3" t="inlineStr">
        <is>
          <t>23.06</t>
        </is>
      </c>
      <c r="M856" t="inlineStr">
        <is>
          <t>Böblingen</t>
        </is>
      </c>
    </row>
    <row r="857">
      <c r="A857" t="inlineStr">
        <is>
          <t>Mastfoot Extension</t>
        </is>
      </c>
      <c r="B857" s="4" t="n">
        <v>40</v>
      </c>
      <c r="C857" t="inlineStr"/>
      <c r="D857" t="inlineStr">
        <is>
          <t>70186 Stuttgart - Stuttgart-Ost</t>
        </is>
      </c>
      <c r="E857" s="5" t="n">
        <v>45424</v>
      </c>
      <c r="F857" t="inlineStr">
        <is>
          <t>Sold</t>
        </is>
      </c>
      <c r="G857" s="6">
        <f>HYPERLINK("https://www.kleinanzeigen.de/s-anzeige/windsurf-masstfussverlaengerung/2759379792-230-9285", "Link")</f>
        <v/>
      </c>
      <c r="H857" s="6">
        <f>HYPERLINK("C:\Projects\Kleinanzeigen-Scraper\offer_images\2759379792", "Link")</f>
        <v/>
      </c>
      <c r="I857" t="inlineStr">
        <is>
          <t>Niko</t>
        </is>
      </c>
      <c r="J857" s="6">
        <f>HYPERLINK("https://www.kleinanzeigen.de/s-bestandsliste.html?userId=52023756", "Link")</f>
        <v/>
      </c>
      <c r="K857" s="7" t="n">
        <v>45500.72357638889</v>
      </c>
      <c r="L857" s="3" t="inlineStr">
        <is>
          <t>19.90</t>
        </is>
      </c>
      <c r="M857" t="inlineStr">
        <is>
          <t>Böblingen</t>
        </is>
      </c>
    </row>
    <row r="858">
      <c r="A858" t="inlineStr">
        <is>
          <t>Mast extension</t>
        </is>
      </c>
      <c r="B858" s="4" t="n">
        <v>45</v>
      </c>
      <c r="C858" t="inlineStr"/>
      <c r="D858" t="inlineStr">
        <is>
          <t>79102 Baden-Württemberg - Freiburg im Breisgau</t>
        </is>
      </c>
      <c r="E858" s="5" t="n">
        <v>45466</v>
      </c>
      <c r="F858" t="inlineStr"/>
      <c r="G858" s="6">
        <f>HYPERLINK("https://www.kleinanzeigen.de/s-anzeige/verlaengerung-windsurfen-gaastra/2795602858-230-9364", "Link")</f>
        <v/>
      </c>
      <c r="H858" s="6">
        <f>HYPERLINK("C:\Projects\Kleinanzeigen-Scraper\offer_images\2795602858", "Link")</f>
        <v/>
      </c>
      <c r="I858" t="inlineStr">
        <is>
          <t>Julia</t>
        </is>
      </c>
      <c r="J858" s="6">
        <f>HYPERLINK("https://www.kleinanzeigen.de/s-bestandsliste.html?userId=17274062", "Link")</f>
        <v/>
      </c>
      <c r="K858" s="7" t="n">
        <v>45500.72355324074</v>
      </c>
      <c r="L858" s="3" t="inlineStr">
        <is>
          <t>40.20</t>
        </is>
      </c>
      <c r="M858" t="inlineStr">
        <is>
          <t>Bonndorf</t>
        </is>
      </c>
    </row>
    <row r="859">
      <c r="A859" t="inlineStr">
        <is>
          <t>Trapeztampen</t>
        </is>
      </c>
      <c r="B859" s="4" t="n">
        <v>10</v>
      </c>
      <c r="C859" t="inlineStr"/>
      <c r="D859" t="inlineStr">
        <is>
          <t>71384 Baden-Württemberg - Weinstadt</t>
        </is>
      </c>
      <c r="E859" s="5" t="n">
        <v>45466</v>
      </c>
      <c r="F859" t="inlineStr">
        <is>
          <t>Sold</t>
        </is>
      </c>
      <c r="G859" s="6">
        <f>HYPERLINK("https://www.kleinanzeigen.de/s-anzeige/windsurf-trapeztampen-24-fixed-marke-b3/2795438798-230-8386", "Link")</f>
        <v/>
      </c>
      <c r="H859" s="6">
        <f>HYPERLINK("C:\Projects\Kleinanzeigen-Scraper\offer_images\2795438798", "Link")</f>
        <v/>
      </c>
      <c r="I859" t="inlineStr">
        <is>
          <t>Herr Bühler</t>
        </is>
      </c>
      <c r="J859" s="6">
        <f>HYPERLINK("https://www.kleinanzeigen.de/s-bestandsliste.html?userId=52329124", "Link")</f>
        <v/>
      </c>
      <c r="K859" s="7" t="n">
        <v>45500.72354166667</v>
      </c>
      <c r="L859" s="3" t="inlineStr">
        <is>
          <t>33.53</t>
        </is>
      </c>
      <c r="M859" t="inlineStr">
        <is>
          <t>Böblingen</t>
        </is>
      </c>
    </row>
    <row r="860">
      <c r="A860" t="inlineStr">
        <is>
          <t>Fin</t>
        </is>
      </c>
      <c r="B860" s="4" t="n">
        <v>10</v>
      </c>
      <c r="C860" t="inlineStr">
        <is>
          <t>VB</t>
        </is>
      </c>
      <c r="D860" t="inlineStr">
        <is>
          <t>76307 Baden-Württemberg - Karlsbad</t>
        </is>
      </c>
      <c r="E860" s="5" t="n">
        <v>45409</v>
      </c>
      <c r="F860" t="inlineStr">
        <is>
          <t>Sold</t>
        </is>
      </c>
      <c r="G860" s="6">
        <f>HYPERLINK("https://www.kleinanzeigen.de/s-anzeige/windsurf-finne-us-box/2746997163-230-8119", "Link")</f>
        <v/>
      </c>
      <c r="H860" s="6">
        <f>HYPERLINK("C:\Projects\Kleinanzeigen-Scraper\offer_images\2746997163", "Link")</f>
        <v/>
      </c>
      <c r="I860" t="inlineStr">
        <is>
          <t>Volker</t>
        </is>
      </c>
      <c r="J860" s="6">
        <f>HYPERLINK("https://www.kleinanzeigen.de/s-bestandsliste.html?userId=55944979", "Link")</f>
        <v/>
      </c>
      <c r="K860" s="7" t="n">
        <v>45500.72354166667</v>
      </c>
      <c r="L860" s="3" t="inlineStr">
        <is>
          <t>13.72</t>
        </is>
      </c>
      <c r="M860" t="inlineStr">
        <is>
          <t>Karlsruhe</t>
        </is>
      </c>
    </row>
    <row r="861">
      <c r="A861" t="inlineStr">
        <is>
          <t>Hüfttrapez</t>
        </is>
      </c>
      <c r="B861" s="4" t="n">
        <v>60</v>
      </c>
      <c r="C861" t="inlineStr"/>
      <c r="D861" t="inlineStr">
        <is>
          <t>74182 Baden-Württemberg - Obersulm</t>
        </is>
      </c>
      <c r="E861" s="5" t="n">
        <v>45495</v>
      </c>
      <c r="F861" t="inlineStr">
        <is>
          <t>Sold</t>
        </is>
      </c>
      <c r="G861" s="6">
        <f>HYPERLINK("https://www.kleinanzeigen.de/s-anzeige/huefttrapez-prolimit-m-windsurfen-2022/2818565596-230-9243", "Link")</f>
        <v/>
      </c>
      <c r="H861" s="6">
        <f>HYPERLINK("C:\Projects\Kleinanzeigen-Scraper\offer_images\2818565596", "Link")</f>
        <v/>
      </c>
      <c r="I861" t="inlineStr">
        <is>
          <t>Timo</t>
        </is>
      </c>
      <c r="J861" s="6">
        <f>HYPERLINK("https://www.kleinanzeigen.de/s-bestandsliste.html?userId=10293424", "Link")</f>
        <v/>
      </c>
      <c r="K861" s="7" t="n">
        <v>45500.72350694444</v>
      </c>
      <c r="L861" s="3" t="inlineStr">
        <is>
          <t>59.38</t>
        </is>
      </c>
      <c r="M861" t="inlineStr">
        <is>
          <t>Böblingen</t>
        </is>
      </c>
    </row>
    <row r="862">
      <c r="A862" t="inlineStr">
        <is>
          <t>Sitztrapez</t>
        </is>
      </c>
      <c r="B862" s="4" t="n">
        <v>28</v>
      </c>
      <c r="C862" t="inlineStr"/>
      <c r="D862" t="inlineStr">
        <is>
          <t>73252 Baden-Württemberg - Lenningen</t>
        </is>
      </c>
      <c r="E862" s="5" t="n">
        <v>45221</v>
      </c>
      <c r="F862" t="inlineStr">
        <is>
          <t>Sold</t>
        </is>
      </c>
      <c r="G862" s="6">
        <f>HYPERLINK("https://www.kleinanzeigen.de/s-anzeige/windsurfen-sitztrapez/2580572117-230-8466", "Link")</f>
        <v/>
      </c>
      <c r="H862" s="6">
        <f>HYPERLINK("C:\Projects\Kleinanzeigen-Scraper\offer_images\2580572117", "Link")</f>
        <v/>
      </c>
      <c r="I862" t="inlineStr">
        <is>
          <t>Andi</t>
        </is>
      </c>
      <c r="J862" s="6">
        <f>HYPERLINK("https://www.kleinanzeigen.de/s-bestandsliste.html?userId=9893215", "Link")</f>
        <v/>
      </c>
      <c r="K862" s="7" t="n">
        <v>45500.72349537037</v>
      </c>
      <c r="L862" s="3" t="inlineStr">
        <is>
          <t>38.52</t>
        </is>
      </c>
      <c r="M862" t="inlineStr">
        <is>
          <t>Böblingen</t>
        </is>
      </c>
    </row>
    <row r="863">
      <c r="A863" t="inlineStr">
        <is>
          <t>Mastfoot Adapter SDM</t>
        </is>
      </c>
      <c r="B863" s="4" t="n">
        <v>13</v>
      </c>
      <c r="C863" t="inlineStr">
        <is>
          <t>VB</t>
        </is>
      </c>
      <c r="D863" t="inlineStr">
        <is>
          <t>71384 Baden-Württemberg - Weinstadt</t>
        </is>
      </c>
      <c r="E863" s="5" t="n">
        <v>45466</v>
      </c>
      <c r="F863" t="inlineStr">
        <is>
          <t>Sold</t>
        </is>
      </c>
      <c r="G863" s="6">
        <f>HYPERLINK("https://www.kleinanzeigen.de/s-anzeige/windsurf-mastfuss-adapter-sdm/2795435343-230-8386", "Link")</f>
        <v/>
      </c>
      <c r="H863" s="6">
        <f>HYPERLINK("C:\Projects\Kleinanzeigen-Scraper\offer_images\2795435343", "Link")</f>
        <v/>
      </c>
      <c r="I863" t="inlineStr">
        <is>
          <t>Herr Bühler</t>
        </is>
      </c>
      <c r="J863" s="6">
        <f>HYPERLINK("https://www.kleinanzeigen.de/s-bestandsliste.html?userId=52329124", "Link")</f>
        <v/>
      </c>
      <c r="K863" s="7" t="n">
        <v>45500.72349537037</v>
      </c>
      <c r="L863" s="3" t="inlineStr">
        <is>
          <t>33.53</t>
        </is>
      </c>
      <c r="M863" t="inlineStr">
        <is>
          <t>Böblingen</t>
        </is>
      </c>
    </row>
    <row r="864">
      <c r="A864" t="inlineStr">
        <is>
          <t>Fin</t>
        </is>
      </c>
      <c r="B864" s="4" t="n">
        <v>20</v>
      </c>
      <c r="C864" t="inlineStr">
        <is>
          <t>VB</t>
        </is>
      </c>
      <c r="D864" t="inlineStr">
        <is>
          <t>24643 Schleswig-Holstein - Struvenhütten</t>
        </is>
      </c>
      <c r="E864" s="5" t="n">
        <v>45500</v>
      </c>
      <c r="F864" t="inlineStr">
        <is>
          <t>Sold</t>
        </is>
      </c>
      <c r="G864" s="6">
        <f>HYPERLINK("https://www.kleinanzeigen.de/s-anzeige/finne-sun-shine-wave-24cm-waveboard-windsurfen/2822421775-230-815", "Link")</f>
        <v/>
      </c>
      <c r="H864" s="6">
        <f>HYPERLINK("C:\Projects\Kleinanzeigen-Scraper\offer_images\2822421775", "Link")</f>
        <v/>
      </c>
      <c r="I864" t="inlineStr">
        <is>
          <t>Matthias Lück</t>
        </is>
      </c>
      <c r="J864" s="6">
        <f>HYPERLINK("https://www.kleinanzeigen.de/s-bestandsliste.html?userId=31061361", "Link")</f>
        <v/>
      </c>
      <c r="K864" s="7" t="n">
        <v>45500.7234837963</v>
      </c>
      <c r="L864" s="3" t="inlineStr">
        <is>
          <t>387.66</t>
        </is>
      </c>
      <c r="M864" t="inlineStr">
        <is>
          <t>Köln</t>
        </is>
      </c>
    </row>
    <row r="865">
      <c r="A865" t="inlineStr">
        <is>
          <t>Hüfttrapez</t>
        </is>
      </c>
      <c r="B865" s="4" t="n">
        <v>75</v>
      </c>
      <c r="C865" t="inlineStr"/>
      <c r="D865" t="inlineStr">
        <is>
          <t>68542 Baden-Württemberg - Heddesheim</t>
        </is>
      </c>
      <c r="E865" s="5" t="n">
        <v>45481</v>
      </c>
      <c r="F865" t="inlineStr">
        <is>
          <t>Sold</t>
        </is>
      </c>
      <c r="G865" s="6">
        <f>HYPERLINK("https://www.kleinanzeigen.de/s-anzeige/unifiber-windsurf-hueft-trapez/2807813157-230-4766", "Link")</f>
        <v/>
      </c>
      <c r="H865" s="6">
        <f>HYPERLINK("C:\Projects\Kleinanzeigen-Scraper\offer_images\2807813157", "Link")</f>
        <v/>
      </c>
      <c r="I865" t="inlineStr">
        <is>
          <t>Roland</t>
        </is>
      </c>
      <c r="J865" s="6">
        <f>HYPERLINK("https://www.kleinanzeigen.de/s-bestandsliste.html?userId=78836961", "Link")</f>
        <v/>
      </c>
      <c r="K865" s="7" t="n">
        <v>45500.7234837963</v>
      </c>
      <c r="L865" s="3" t="inlineStr">
        <is>
          <t>59.08</t>
        </is>
      </c>
      <c r="M865" t="inlineStr">
        <is>
          <t>Karlsruhe</t>
        </is>
      </c>
    </row>
    <row r="866">
      <c r="A866" t="inlineStr">
        <is>
          <t>Windsurf Harness</t>
        </is>
      </c>
      <c r="B866" s="4" t="n">
        <v>20</v>
      </c>
      <c r="C866" t="inlineStr">
        <is>
          <t>VB</t>
        </is>
      </c>
      <c r="D866" t="inlineStr">
        <is>
          <t>71706 Baden-Württemberg - Markgröningen</t>
        </is>
      </c>
      <c r="E866" s="5" t="n">
        <v>45438</v>
      </c>
      <c r="F866" t="inlineStr">
        <is>
          <t>Sold</t>
        </is>
      </c>
      <c r="G866" s="6">
        <f>HYPERLINK("https://www.kleinanzeigen.de/s-anzeige/dakine-windsurf-trapez-inkl-trapezhaken-size-s/2771958656-230-8410", "Link")</f>
        <v/>
      </c>
      <c r="H866" s="6">
        <f>HYPERLINK("C:\Projects\Kleinanzeigen-Scraper\offer_images\2771958656", "Link")</f>
        <v/>
      </c>
      <c r="I866" t="inlineStr">
        <is>
          <t>Sabrina K.</t>
        </is>
      </c>
      <c r="J866" s="6">
        <f>HYPERLINK("https://www.kleinanzeigen.de/s-bestandsliste.html?userId=7878121", "Link")</f>
        <v/>
      </c>
      <c r="K866" s="7" t="n">
        <v>45500.72347222222</v>
      </c>
      <c r="L866" s="3" t="inlineStr">
        <is>
          <t>27.05</t>
        </is>
      </c>
      <c r="M866" t="inlineStr">
        <is>
          <t>Böblingen</t>
        </is>
      </c>
    </row>
    <row r="867">
      <c r="A867" t="inlineStr">
        <is>
          <t>Neopren Gloves</t>
        </is>
      </c>
      <c r="B867" s="4" t="n">
        <v>44</v>
      </c>
      <c r="C867" t="inlineStr"/>
      <c r="D867" t="inlineStr">
        <is>
          <t>70378 Stuttgart - Mühlhausen</t>
        </is>
      </c>
      <c r="E867" s="5" t="n">
        <v>45189</v>
      </c>
      <c r="F867" t="inlineStr">
        <is>
          <t>Sold</t>
        </is>
      </c>
      <c r="G867" s="6">
        <f>HYPERLINK("https://www.kleinanzeigen.de/s-anzeige/-neue-neopren-handschuhe-s-windsurfen-wakeboard-surfen-wasserski/2550225095-230-9334", "Link")</f>
        <v/>
      </c>
      <c r="H867" s="6">
        <f>HYPERLINK("C:\Projects\Kleinanzeigen-Scraper\offer_images\2550225095", "Link")</f>
        <v/>
      </c>
      <c r="I867" t="inlineStr">
        <is>
          <t>WV</t>
        </is>
      </c>
      <c r="J867" s="6">
        <f>HYPERLINK("https://www.kleinanzeigen.de/s-bestandsliste.html?userId=54770472", "Link")</f>
        <v/>
      </c>
      <c r="K867" s="7" t="n">
        <v>45500.72346064815</v>
      </c>
      <c r="L867" s="3" t="inlineStr">
        <is>
          <t>25.30</t>
        </is>
      </c>
      <c r="M867" t="inlineStr">
        <is>
          <t>Böblingen</t>
        </is>
      </c>
    </row>
    <row r="868">
      <c r="A868" t="inlineStr">
        <is>
          <t>Windsurf Trapezgurt</t>
        </is>
      </c>
      <c r="B868" s="4" t="n">
        <v>35</v>
      </c>
      <c r="C868" t="inlineStr">
        <is>
          <t>VB</t>
        </is>
      </c>
      <c r="D868" t="inlineStr">
        <is>
          <t>72224 Baden-Württemberg - Ebhausen</t>
        </is>
      </c>
      <c r="E868" s="5" t="n">
        <v>45437</v>
      </c>
      <c r="F868" t="inlineStr">
        <is>
          <t>Sold</t>
        </is>
      </c>
      <c r="G868" s="6">
        <f>HYPERLINK("https://www.kleinanzeigen.de/s-anzeige/windsurf-trapezgurt-2x-sehr-guter-zustand/2771056330-230-8235", "Link")</f>
        <v/>
      </c>
      <c r="H868" s="6">
        <f>HYPERLINK("C:\Projects\Kleinanzeigen-Scraper\offer_images\2771056330", "Link")</f>
        <v/>
      </c>
      <c r="I868" t="inlineStr">
        <is>
          <t>P. Thiel</t>
        </is>
      </c>
      <c r="J868" s="6">
        <f>HYPERLINK("https://www.kleinanzeigen.de/s-bestandsliste.html?userId=10458185", "Link")</f>
        <v/>
      </c>
      <c r="K868" s="7" t="n">
        <v>45500.72346064815</v>
      </c>
      <c r="L868" s="3" t="inlineStr">
        <is>
          <t>23.23</t>
        </is>
      </c>
      <c r="M868" t="inlineStr">
        <is>
          <t>Böblingen</t>
        </is>
      </c>
    </row>
    <row r="869">
      <c r="A869" t="inlineStr">
        <is>
          <t>Fin</t>
        </is>
      </c>
      <c r="B869" s="4" t="n">
        <v>30</v>
      </c>
      <c r="C869" t="inlineStr">
        <is>
          <t>VB</t>
        </is>
      </c>
      <c r="D869" t="inlineStr">
        <is>
          <t>24643 Schleswig-Holstein - Struvenhütten</t>
        </is>
      </c>
      <c r="E869" s="5" t="n">
        <v>45500</v>
      </c>
      <c r="F869" t="inlineStr">
        <is>
          <t>Sold</t>
        </is>
      </c>
      <c r="G869" s="6">
        <f>HYPERLINK("https://www.kleinanzeigen.de/s-anzeige/naish-wavefinne-8-1-2-waveboard-windsurfen/2822405714-230-815", "Link")</f>
        <v/>
      </c>
      <c r="H869" s="6">
        <f>HYPERLINK("C:\Projects\Kleinanzeigen-Scraper\offer_images\2822405714", "Link")</f>
        <v/>
      </c>
      <c r="I869" t="inlineStr">
        <is>
          <t>Matthias Lück</t>
        </is>
      </c>
      <c r="J869" s="6">
        <f>HYPERLINK("https://www.kleinanzeigen.de/s-bestandsliste.html?userId=31061361", "Link")</f>
        <v/>
      </c>
      <c r="K869" s="7" t="n">
        <v>45500.72344907407</v>
      </c>
      <c r="L869" s="3" t="inlineStr">
        <is>
          <t>387.66</t>
        </is>
      </c>
      <c r="M869" t="inlineStr">
        <is>
          <t>Köln</t>
        </is>
      </c>
    </row>
    <row r="870">
      <c r="A870" t="inlineStr">
        <is>
          <t>Fin</t>
        </is>
      </c>
      <c r="B870" s="4" t="n">
        <v>65</v>
      </c>
      <c r="C870" t="inlineStr">
        <is>
          <t>VB</t>
        </is>
      </c>
      <c r="D870" t="inlineStr">
        <is>
          <t>67346 Rheinland-Pfalz - Speyer</t>
        </is>
      </c>
      <c r="E870" s="5" t="n">
        <v>45498</v>
      </c>
      <c r="F870" t="inlineStr">
        <is>
          <t>Sold</t>
        </is>
      </c>
      <c r="G870" s="6">
        <f>HYPERLINK("https://www.kleinanzeigen.de/s-anzeige/windsurf-speed-finne-23cm-tuttlebox/2820915510-230-5365", "Link")</f>
        <v/>
      </c>
      <c r="H870" s="6">
        <f>HYPERLINK("C:\Projects\Kleinanzeigen-Scraper\offer_images\2820915510", "Link")</f>
        <v/>
      </c>
      <c r="I870" t="inlineStr">
        <is>
          <t>D. Ertel</t>
        </is>
      </c>
      <c r="J870" s="6">
        <f>HYPERLINK("https://www.kleinanzeigen.de/s-bestandsliste.html?userId=13322828", "Link")</f>
        <v/>
      </c>
      <c r="K870" s="7" t="n">
        <v>45500.72344907407</v>
      </c>
      <c r="L870" s="3" t="inlineStr">
        <is>
          <t>35.76</t>
        </is>
      </c>
      <c r="M870" t="inlineStr">
        <is>
          <t>Karlsruhe</t>
        </is>
      </c>
    </row>
    <row r="871">
      <c r="A871" t="inlineStr">
        <is>
          <t>Sitz-Trapez</t>
        </is>
      </c>
      <c r="B871" s="4" t="n">
        <v>50</v>
      </c>
      <c r="C871" t="inlineStr"/>
      <c r="D871" t="inlineStr">
        <is>
          <t>71720 Baden-Württemberg - Oberstenfeld</t>
        </is>
      </c>
      <c r="E871" s="5" t="n">
        <v>45438</v>
      </c>
      <c r="F871" t="inlineStr">
        <is>
          <t>Sold</t>
        </is>
      </c>
      <c r="G871" s="6">
        <f>HYPERLINK("https://www.kleinanzeigen.de/s-anzeige/sitz-trapez-windsurfen-prolimit-m-32-34/2771567264-230-19390", "Link")</f>
        <v/>
      </c>
      <c r="H871" s="6">
        <f>HYPERLINK("C:\Projects\Kleinanzeigen-Scraper\offer_images\2771567264", "Link")</f>
        <v/>
      </c>
      <c r="I871" t="inlineStr">
        <is>
          <t>Thomas Kröner</t>
        </is>
      </c>
      <c r="J871" s="6">
        <f>HYPERLINK("https://www.kleinanzeigen.de/s-bestandsliste.html?userId=40359933", "Link")</f>
        <v/>
      </c>
      <c r="K871" s="7" t="n">
        <v>45500.7234375</v>
      </c>
      <c r="L871" s="3" t="inlineStr">
        <is>
          <t>48.50</t>
        </is>
      </c>
      <c r="M871" t="inlineStr">
        <is>
          <t>Böblingen</t>
        </is>
      </c>
    </row>
    <row r="872">
      <c r="A872" t="inlineStr">
        <is>
          <t>Mastfoot</t>
        </is>
      </c>
      <c r="B872" s="4" t="n">
        <v>10</v>
      </c>
      <c r="C872" t="inlineStr">
        <is>
          <t>VB</t>
        </is>
      </c>
      <c r="D872" t="inlineStr">
        <is>
          <t>67346 Rheinland-Pfalz - Speyer</t>
        </is>
      </c>
      <c r="E872" s="5" t="n">
        <v>45321</v>
      </c>
      <c r="F872" t="inlineStr">
        <is>
          <t>Sold</t>
        </is>
      </c>
      <c r="G872" s="6">
        <f>HYPERLINK("https://www.kleinanzeigen.de/s-anzeige/0-base-sdm-windsurfen/2666547823-230-5365", "Link")</f>
        <v/>
      </c>
      <c r="H872" s="6">
        <f>HYPERLINK("C:\Projects\Kleinanzeigen-Scraper\offer_images\2666547823", "Link")</f>
        <v/>
      </c>
      <c r="I872" t="inlineStr">
        <is>
          <t>D. Ertel</t>
        </is>
      </c>
      <c r="J872" s="6">
        <f>HYPERLINK("https://www.kleinanzeigen.de/s-bestandsliste.html?userId=13322828", "Link")</f>
        <v/>
      </c>
      <c r="K872" s="7" t="n">
        <v>45500.7234375</v>
      </c>
      <c r="L872" s="3" t="inlineStr">
        <is>
          <t>35.76</t>
        </is>
      </c>
      <c r="M872" t="inlineStr">
        <is>
          <t>Karlsruhe</t>
        </is>
      </c>
    </row>
    <row r="873">
      <c r="A873" t="inlineStr">
        <is>
          <t>Wetsuit</t>
        </is>
      </c>
      <c r="B873" s="4" t="n">
        <v>25</v>
      </c>
      <c r="C873" t="inlineStr"/>
      <c r="D873" t="inlineStr">
        <is>
          <t>79106 Baden-Württemberg - Freiburg im Breisgau</t>
        </is>
      </c>
      <c r="E873" s="5" t="n">
        <v>45450</v>
      </c>
      <c r="F873" t="inlineStr">
        <is>
          <t>Sold</t>
        </is>
      </c>
      <c r="G873" s="6">
        <f>HYPERLINK("https://www.kleinanzeigen.de/s-anzeige/neopren-surfen-tauchen-windsurfen-kitesurfen/2782005390-230-9360", "Link")</f>
        <v/>
      </c>
      <c r="H873" s="6">
        <f>HYPERLINK("C:\Projects\Kleinanzeigen-Scraper\offer_images\2782005390", "Link")</f>
        <v/>
      </c>
      <c r="I873" t="inlineStr">
        <is>
          <t>Nico</t>
        </is>
      </c>
      <c r="J873" s="6">
        <f>HYPERLINK("https://www.kleinanzeigen.de/s-bestandsliste.html?userId=37428761", "Link")</f>
        <v/>
      </c>
      <c r="K873" s="7" t="n">
        <v>45500.72342592593</v>
      </c>
      <c r="L873" s="3" t="inlineStr">
        <is>
          <t>42.73</t>
        </is>
      </c>
      <c r="M873" t="inlineStr">
        <is>
          <t>Bonndorf</t>
        </is>
      </c>
    </row>
    <row r="874">
      <c r="A874" t="inlineStr">
        <is>
          <t>Fin</t>
        </is>
      </c>
      <c r="B874" s="4" t="n">
        <v>95</v>
      </c>
      <c r="C874" t="inlineStr">
        <is>
          <t>VB</t>
        </is>
      </c>
      <c r="D874" t="inlineStr">
        <is>
          <t>67346 Rheinland-Pfalz - Speyer</t>
        </is>
      </c>
      <c r="E874" s="5" t="n">
        <v>45212</v>
      </c>
      <c r="F874" t="inlineStr">
        <is>
          <t>Sold</t>
        </is>
      </c>
      <c r="G874" s="6">
        <f>HYPERLINK("https://www.kleinanzeigen.de/s-anzeige/maui-ultra-fins-windsurf-finne-delta-sl-c-22cm/2570986438-230-5365", "Link")</f>
        <v/>
      </c>
      <c r="H874" s="6">
        <f>HYPERLINK("C:\Projects\Kleinanzeigen-Scraper\offer_images\2570986438", "Link")</f>
        <v/>
      </c>
      <c r="I874" t="inlineStr">
        <is>
          <t>D. Ertel</t>
        </is>
      </c>
      <c r="J874" s="6">
        <f>HYPERLINK("https://www.kleinanzeigen.de/s-bestandsliste.html?userId=13322828", "Link")</f>
        <v/>
      </c>
      <c r="K874" s="7" t="n">
        <v>45500.72342592593</v>
      </c>
      <c r="L874" s="3" t="inlineStr">
        <is>
          <t>35.76</t>
        </is>
      </c>
      <c r="M874" t="inlineStr">
        <is>
          <t>Karlsruhe</t>
        </is>
      </c>
    </row>
    <row r="875">
      <c r="A875" t="inlineStr">
        <is>
          <t>Fin</t>
        </is>
      </c>
      <c r="B875" s="4" t="n">
        <v>20</v>
      </c>
      <c r="C875" t="inlineStr">
        <is>
          <t>VB</t>
        </is>
      </c>
      <c r="D875" t="inlineStr">
        <is>
          <t>24643 Schleswig-Holstein - Struvenhütten</t>
        </is>
      </c>
      <c r="E875" s="5" t="n">
        <v>45500</v>
      </c>
      <c r="F875" t="inlineStr">
        <is>
          <t>Sold</t>
        </is>
      </c>
      <c r="G875" s="6">
        <f>HYPERLINK("https://www.kleinanzeigen.de/s-anzeige/finne-sun-shine-wave-20cm-windsurfen/2822427542-230-815", "Link")</f>
        <v/>
      </c>
      <c r="H875" s="6">
        <f>HYPERLINK("C:\Projects\Kleinanzeigen-Scraper\offer_images\2822427542", "Link")</f>
        <v/>
      </c>
      <c r="I875" t="inlineStr">
        <is>
          <t>Matthias Lück</t>
        </is>
      </c>
      <c r="J875" s="6">
        <f>HYPERLINK("https://www.kleinanzeigen.de/s-bestandsliste.html?userId=31061361", "Link")</f>
        <v/>
      </c>
      <c r="K875" s="7" t="n">
        <v>45500.72341435185</v>
      </c>
      <c r="L875" s="3" t="inlineStr">
        <is>
          <t>387.66</t>
        </is>
      </c>
      <c r="M875" t="inlineStr">
        <is>
          <t>Köln</t>
        </is>
      </c>
    </row>
    <row r="876">
      <c r="A876" t="inlineStr">
        <is>
          <t>Footstrap</t>
        </is>
      </c>
      <c r="B876" s="4" t="n">
        <v>8</v>
      </c>
      <c r="C876" t="inlineStr"/>
      <c r="D876" t="inlineStr">
        <is>
          <t>76703 Baden-Württemberg - Kraichtal</t>
        </is>
      </c>
      <c r="E876" s="5" t="n">
        <v>45468</v>
      </c>
      <c r="F876" t="inlineStr">
        <is>
          <t>Sold</t>
        </is>
      </c>
      <c r="G876" s="6">
        <f>HYPERLINK("https://www.kleinanzeigen.de/s-anzeige/fanatic-windsurf-fussschlaufe-fussschlaufe-unbenutzt-m-schrauben/2797253310-230-8797", "Link")</f>
        <v/>
      </c>
      <c r="H876" s="6">
        <f>HYPERLINK("C:\Projects\Kleinanzeigen-Scraper\offer_images\2797253310", "Link")</f>
        <v/>
      </c>
      <c r="I876" t="inlineStr">
        <is>
          <t>Frank</t>
        </is>
      </c>
      <c r="J876" s="6">
        <f>HYPERLINK("https://www.kleinanzeigen.de/s-bestandsliste.html?userId=8997097", "Link")</f>
        <v/>
      </c>
      <c r="K876" s="7" t="n">
        <v>45500.72340277778</v>
      </c>
      <c r="L876" s="3" t="inlineStr">
        <is>
          <t>28.53</t>
        </is>
      </c>
      <c r="M876" t="inlineStr">
        <is>
          <t>Karlsruhe</t>
        </is>
      </c>
    </row>
    <row r="877">
      <c r="A877" t="inlineStr">
        <is>
          <t>Mastprotektor</t>
        </is>
      </c>
      <c r="B877" s="4" t="n">
        <v>35</v>
      </c>
      <c r="C877" t="inlineStr">
        <is>
          <t>VB</t>
        </is>
      </c>
      <c r="D877" t="inlineStr">
        <is>
          <t>67346 Rheinland-Pfalz - Speyer</t>
        </is>
      </c>
      <c r="E877" s="5" t="n">
        <v>45498</v>
      </c>
      <c r="F877" t="inlineStr">
        <is>
          <t>Sold</t>
        </is>
      </c>
      <c r="G877" s="6">
        <f>HYPERLINK("https://www.kleinanzeigen.de/s-anzeige/ion-windsurf-mastprotektor-rdm/2820909948-230-5365", "Link")</f>
        <v/>
      </c>
      <c r="H877" s="6">
        <f>HYPERLINK("C:\Projects\Kleinanzeigen-Scraper\offer_images\2820909948", "Link")</f>
        <v/>
      </c>
      <c r="I877" t="inlineStr">
        <is>
          <t>D. Ertel</t>
        </is>
      </c>
      <c r="J877" s="6">
        <f>HYPERLINK("https://www.kleinanzeigen.de/s-bestandsliste.html?userId=13322828", "Link")</f>
        <v/>
      </c>
      <c r="K877" s="7" t="n">
        <v>45500.7233912037</v>
      </c>
      <c r="L877" s="3" t="inlineStr">
        <is>
          <t>35.76</t>
        </is>
      </c>
      <c r="M877" t="inlineStr">
        <is>
          <t>Karlsruhe</t>
        </is>
      </c>
    </row>
    <row r="878">
      <c r="A878" t="inlineStr">
        <is>
          <t>Trapeztampen</t>
        </is>
      </c>
      <c r="B878" s="4" t="n">
        <v>49</v>
      </c>
      <c r="C878" t="inlineStr">
        <is>
          <t>VB</t>
        </is>
      </c>
      <c r="D878" t="inlineStr">
        <is>
          <t>71686 Baden-Württemberg - Remseck am Neckar</t>
        </is>
      </c>
      <c r="E878" s="5" t="n">
        <v>45487</v>
      </c>
      <c r="F878" t="inlineStr">
        <is>
          <t>Sold</t>
        </is>
      </c>
      <c r="G878" s="6">
        <f>HYPERLINK("https://www.kleinanzeigen.de/s-anzeige/windsurf-trapeztampen/2811860274-230-8422", "Link")</f>
        <v/>
      </c>
      <c r="H878" s="6">
        <f>HYPERLINK("C:\Projects\Kleinanzeigen-Scraper\offer_images\2811860274", "Link")</f>
        <v/>
      </c>
      <c r="I878" t="inlineStr">
        <is>
          <t>Felix</t>
        </is>
      </c>
      <c r="J878" s="6">
        <f>HYPERLINK("https://www.kleinanzeigen.de/s-bestandsliste.html?userId=49985470", "Link")</f>
        <v/>
      </c>
      <c r="K878" s="7" t="n">
        <v>45500.72337962963</v>
      </c>
      <c r="L878" s="3" t="inlineStr">
        <is>
          <t>31.75</t>
        </is>
      </c>
      <c r="M878" t="inlineStr">
        <is>
          <t>Böblingen</t>
        </is>
      </c>
    </row>
    <row r="879">
      <c r="A879" t="inlineStr">
        <is>
          <t>Windsurf Trapez</t>
        </is>
      </c>
      <c r="B879" s="4" t="n">
        <v>25</v>
      </c>
      <c r="C879" t="inlineStr"/>
      <c r="D879" t="inlineStr">
        <is>
          <t>71282 Baden-Württemberg - Hemmingen</t>
        </is>
      </c>
      <c r="E879" s="5" t="n">
        <v>45473</v>
      </c>
      <c r="F879" t="inlineStr">
        <is>
          <t>Sold</t>
        </is>
      </c>
      <c r="G879" s="6">
        <f>HYPERLINK("https://www.kleinanzeigen.de/s-anzeige/windsurf-trapez/2801001333-230-2897", "Link")</f>
        <v/>
      </c>
      <c r="H879" s="6">
        <f>HYPERLINK("C:\Projects\Kleinanzeigen-Scraper\offer_images\2801001333", "Link")</f>
        <v/>
      </c>
      <c r="I879" t="inlineStr">
        <is>
          <t>Michael Henselmann</t>
        </is>
      </c>
      <c r="J879" s="6">
        <f>HYPERLINK("https://www.kleinanzeigen.de/s-bestandsliste.html?userId=25700661", "Link")</f>
        <v/>
      </c>
      <c r="K879" s="7" t="n">
        <v>45500.72336805556</v>
      </c>
      <c r="L879" s="3" t="inlineStr">
        <is>
          <t>21.27</t>
        </is>
      </c>
      <c r="M879" t="inlineStr">
        <is>
          <t>Böblingen</t>
        </is>
      </c>
    </row>
    <row r="880">
      <c r="A880" t="inlineStr">
        <is>
          <t>Hüfttrapez</t>
        </is>
      </c>
      <c r="B880" s="4" t="n">
        <v>85</v>
      </c>
      <c r="C880" t="inlineStr">
        <is>
          <t>VB</t>
        </is>
      </c>
      <c r="D880" t="inlineStr">
        <is>
          <t>55291 Rheinland-Pfalz - Saulheim</t>
        </is>
      </c>
      <c r="E880" s="5" t="n">
        <v>45492</v>
      </c>
      <c r="F880" t="inlineStr">
        <is>
          <t>Sold</t>
        </is>
      </c>
      <c r="G880" s="6">
        <f>HYPERLINK("https://www.kleinanzeigen.de/s-anzeige/ion-radium-huefttrapez-gr-l-windsurfen-trapez/2815808431-230-5332", "Link")</f>
        <v/>
      </c>
      <c r="H880" s="6">
        <f>HYPERLINK("C:\Projects\Kleinanzeigen-Scraper\offer_images\2815808431", "Link")</f>
        <v/>
      </c>
      <c r="I880" t="inlineStr">
        <is>
          <t>Michael</t>
        </is>
      </c>
      <c r="J880" s="6">
        <f>HYPERLINK("https://www.kleinanzeigen.de/s-bestandsliste.html?userId=120338761", "Link")</f>
        <v/>
      </c>
      <c r="K880" s="7" t="n">
        <v>45500.72331018518</v>
      </c>
      <c r="L880" s="3" t="inlineStr">
        <is>
          <t>97.88</t>
        </is>
      </c>
      <c r="M880" t="inlineStr">
        <is>
          <t>Karlsruhe</t>
        </is>
      </c>
    </row>
    <row r="881">
      <c r="A881" t="inlineStr">
        <is>
          <t>Trapezhacken</t>
        </is>
      </c>
      <c r="B881" s="4" t="n">
        <v>10</v>
      </c>
      <c r="C881" t="inlineStr"/>
      <c r="D881" t="inlineStr">
        <is>
          <t>70173 Stuttgart - Stuttgart-Mitte</t>
        </is>
      </c>
      <c r="E881" s="5" t="n">
        <v>45446</v>
      </c>
      <c r="F881" t="inlineStr">
        <is>
          <t>Sold</t>
        </is>
      </c>
      <c r="G881" s="6">
        <f>HYPERLINK("https://www.kleinanzeigen.de/s-anzeige/trapezhacken-surfen-windsurfen-kiten-kitesurfen/2779053710-230-9283", "Link")</f>
        <v/>
      </c>
      <c r="H881" s="6">
        <f>HYPERLINK("C:\Projects\Kleinanzeigen-Scraper\offer_images\2779053710", "Link")</f>
        <v/>
      </c>
      <c r="I881" t="inlineStr">
        <is>
          <t>Daniel von Strandsurfer</t>
        </is>
      </c>
      <c r="J881" s="6">
        <f>HYPERLINK("https://www.kleinanzeigen.de/s-bestandsliste.html?userId=124245015", "Link")</f>
        <v/>
      </c>
      <c r="K881" s="7" t="n">
        <v>45500.72331018518</v>
      </c>
      <c r="L881" s="3" t="inlineStr">
        <is>
          <t>19.17</t>
        </is>
      </c>
      <c r="M881" t="inlineStr">
        <is>
          <t>Böblingen</t>
        </is>
      </c>
    </row>
    <row r="882">
      <c r="A882" t="inlineStr">
        <is>
          <t>Boardbag</t>
        </is>
      </c>
      <c r="B882" s="4" t="n">
        <v>35</v>
      </c>
      <c r="C882" t="inlineStr"/>
      <c r="D882" t="inlineStr">
        <is>
          <t>76227 Baden-Württemberg - Karlsruhe</t>
        </is>
      </c>
      <c r="E882" s="5" t="n">
        <v>45465</v>
      </c>
      <c r="F882" t="inlineStr">
        <is>
          <t>Sold</t>
        </is>
      </c>
      <c r="G882" s="6">
        <f>HYPERLINK("https://www.kleinanzeigen.de/s-anzeige/windsurfen-boardbag-wavetoys-270/2794253475-230-9197", "Link")</f>
        <v/>
      </c>
      <c r="H882" s="6">
        <f>HYPERLINK("C:\Projects\Kleinanzeigen-Scraper\offer_images\2794253475", "Link")</f>
        <v/>
      </c>
      <c r="I882" t="inlineStr">
        <is>
          <t>HARALD WITTE</t>
        </is>
      </c>
      <c r="J882" s="6">
        <f>HYPERLINK("https://www.kleinanzeigen.de/s-bestandsliste.html?userId=83886327", "Link")</f>
        <v/>
      </c>
      <c r="K882" s="7" t="n">
        <v>45500.46230324074</v>
      </c>
      <c r="L882" s="3" t="inlineStr">
        <is>
          <t>6.23</t>
        </is>
      </c>
      <c r="M882" t="inlineStr">
        <is>
          <t>Karlsruhe</t>
        </is>
      </c>
    </row>
    <row r="883">
      <c r="A883" t="inlineStr">
        <is>
          <t>Trapeztampen</t>
        </is>
      </c>
      <c r="B883" s="4" t="n">
        <v>11</v>
      </c>
      <c r="C883" t="inlineStr">
        <is>
          <t>VB</t>
        </is>
      </c>
      <c r="D883" t="inlineStr">
        <is>
          <t>72141 Baden-Württemberg - Walddorfhäslach</t>
        </is>
      </c>
      <c r="E883" s="5" t="n">
        <v>45293</v>
      </c>
      <c r="F883" t="inlineStr">
        <is>
          <t>Sold</t>
        </is>
      </c>
      <c r="G883" s="6">
        <f>HYPERLINK("https://www.kleinanzeigen.de/s-anzeige/windsurf-trapeztampen-neu-originalverpackt-26er/2642124080-230-8891", "Link")</f>
        <v/>
      </c>
      <c r="H883" s="6">
        <f>HYPERLINK("C:\Projects\Kleinanzeigen-Scraper\offer_images\2642124080", "Link")</f>
        <v/>
      </c>
      <c r="I883" t="inlineStr">
        <is>
          <t>Katharina &amp; Jan</t>
        </is>
      </c>
      <c r="J883" s="6">
        <f>HYPERLINK("https://www.kleinanzeigen.de/s-bestandsliste.html?userId=5363487", "Link")</f>
        <v/>
      </c>
      <c r="K883" s="7" t="n">
        <v>45500.46223379629</v>
      </c>
      <c r="L883" s="3" t="inlineStr">
        <is>
          <t>16.87</t>
        </is>
      </c>
      <c r="M883" t="inlineStr">
        <is>
          <t>Böblingen</t>
        </is>
      </c>
    </row>
  </sheetData>
  <autoFilter ref="A1:M883"/>
  <pageMargins left="0.75" right="0.75" top="1" bottom="1" header="0.5" footer="0.5"/>
</worksheet>
</file>

<file path=xl/worksheets/sheet8.xml><?xml version="1.0" encoding="utf-8"?>
<worksheet xmlns="http://schemas.openxmlformats.org/spreadsheetml/2006/main">
  <sheetPr>
    <outlinePr summaryBelow="1" summaryRight="1"/>
    <pageSetUpPr/>
  </sheetPr>
  <dimension ref="A1:M2926"/>
  <sheetViews>
    <sheetView workbookViewId="0">
      <selection activeCell="A1" sqref="A1"/>
    </sheetView>
  </sheetViews>
  <sheetFormatPr baseColWidth="8" defaultRowHeight="15"/>
  <cols>
    <col width="77" customWidth="1" min="1" max="1"/>
    <col width="18" customWidth="1" min="2" max="2"/>
    <col width="6" customWidth="1" min="3" max="3"/>
    <col width="67" customWidth="1" min="4" max="4"/>
    <col width="10" customWidth="1" min="5" max="5"/>
    <col width="8" customWidth="1" min="6" max="6"/>
    <col width="10" customWidth="1" min="7" max="7"/>
    <col width="10" customWidth="1" min="8" max="8"/>
    <col width="34" customWidth="1" min="9" max="9"/>
    <col width="20" customWidth="1" min="10" max="10"/>
    <col width="23" customWidth="1" min="11" max="11"/>
    <col width="21" customWidth="1" min="12" max="12"/>
    <col width="17" customWidth="1" min="13" max="13"/>
  </cols>
  <sheetData>
    <row r="1">
      <c r="A1" s="1" t="inlineStr">
        <is>
          <t>Title</t>
        </is>
      </c>
      <c r="B1" s="1" t="inlineStr">
        <is>
          <t>Price</t>
        </is>
      </c>
      <c r="C1" s="1" t="inlineStr">
        <is>
          <t>VB</t>
        </is>
      </c>
      <c r="D1" s="1" t="inlineStr">
        <is>
          <t>Location</t>
        </is>
      </c>
      <c r="E1" s="1" t="inlineStr">
        <is>
          <t>Date</t>
        </is>
      </c>
      <c r="F1" s="1" t="inlineStr">
        <is>
          <t>Sold</t>
        </is>
      </c>
      <c r="G1" s="1" t="inlineStr">
        <is>
          <t>Link</t>
        </is>
      </c>
      <c r="H1" s="1" t="inlineStr">
        <is>
          <t>Images</t>
        </is>
      </c>
      <c r="I1" s="1" t="inlineStr">
        <is>
          <t>User name</t>
        </is>
      </c>
      <c r="J1" s="1" t="inlineStr">
        <is>
          <t>All other offers</t>
        </is>
      </c>
      <c r="K1" s="1" t="inlineStr">
        <is>
          <t>Scraped on</t>
        </is>
      </c>
      <c r="L1" s="1" t="inlineStr">
        <is>
          <t>Min Distance (km)</t>
        </is>
      </c>
      <c r="M1" s="1" t="inlineStr">
        <is>
          <t>Closest place</t>
        </is>
      </c>
    </row>
    <row r="2">
      <c r="A2" t="inlineStr">
        <is>
          <t>Vorzelt Isabella Capri North</t>
        </is>
      </c>
      <c r="B2" s="4" t="n">
        <v>1.55</v>
      </c>
      <c r="C2" t="inlineStr">
        <is>
          <t>VB</t>
        </is>
      </c>
      <c r="D2" t="inlineStr">
        <is>
          <t>79618 Baden-Württemberg - Rheinfelden (Baden)</t>
        </is>
      </c>
      <c r="E2" s="5" t="n">
        <v>45568</v>
      </c>
      <c r="F2" t="inlineStr"/>
      <c r="G2" s="6">
        <f>HYPERLINK("https://www.kleinanzeigen.de/s-anzeige/vorzelt-isabella-capri-north/2881398293-230-8169", "Link")</f>
        <v/>
      </c>
      <c r="H2" s="6">
        <f>HYPERLINK("C:\Projects\Kleinanzeigen-Scraper\offer_images\2881398293", "Link")</f>
        <v/>
      </c>
      <c r="I2" t="inlineStr">
        <is>
          <t>Karlheinz Steinegger</t>
        </is>
      </c>
      <c r="J2" s="6">
        <f>HYPERLINK("https://www.kleinanzeigen.de/s-bestandsliste.html?userId=118287915", "Link")</f>
        <v/>
      </c>
      <c r="K2" s="7" t="n">
        <v>45568.7532175926</v>
      </c>
      <c r="L2" s="3" t="inlineStr">
        <is>
          <t>49.46</t>
        </is>
      </c>
      <c r="M2" t="inlineStr">
        <is>
          <t>Bonndorf</t>
        </is>
      </c>
    </row>
    <row r="3">
      <c r="A3" t="inlineStr">
        <is>
          <t>Karnevalsorden Simmern Hunsrück 2006 Prinzenpaar Dirk und Dajana</t>
        </is>
      </c>
      <c r="B3" s="4" t="n">
        <v>10</v>
      </c>
      <c r="C3" t="inlineStr">
        <is>
          <t>VB</t>
        </is>
      </c>
      <c r="D3" t="inlineStr">
        <is>
          <t>56329 Rheinland-Pfalz - Sankt Goar</t>
        </is>
      </c>
      <c r="E3" s="5" t="n">
        <v>45568</v>
      </c>
      <c r="F3" t="inlineStr"/>
      <c r="G3" s="6">
        <f>HYPERLINK("https://www.kleinanzeigen.de/s-anzeige/karnevalsorden-simmern-hunsrueck-2006-prinzenpaar-dirk-und-dajana/2880965009-234-4980", "Link")</f>
        <v/>
      </c>
      <c r="H3" s="6">
        <f>HYPERLINK("C:\Projects\Kleinanzeigen-Scraper\offer_images\2880965009", "Link")</f>
        <v/>
      </c>
      <c r="I3" t="inlineStr">
        <is>
          <t>Jan Karweik</t>
        </is>
      </c>
      <c r="J3" s="6">
        <f>HYPERLINK("https://www.kleinanzeigen.de/s-bestandsliste.html?userId=31274922", "Link")</f>
        <v/>
      </c>
      <c r="K3" s="7" t="n">
        <v>45568.7532175926</v>
      </c>
      <c r="L3" s="3" t="inlineStr">
        <is>
          <t>102.71</t>
        </is>
      </c>
      <c r="M3" t="inlineStr">
        <is>
          <t>Köln</t>
        </is>
      </c>
    </row>
    <row r="4">
      <c r="A4" t="inlineStr">
        <is>
          <t>North Carolina Tar Heels Wincraft Wimpel 90er Jahre USA College</t>
        </is>
      </c>
      <c r="B4" s="4" t="n">
        <v>5</v>
      </c>
      <c r="C4" t="inlineStr"/>
      <c r="D4" t="inlineStr">
        <is>
          <t>67685 Rheinland-Pfalz - Weilerbach</t>
        </is>
      </c>
      <c r="E4" s="5" t="n">
        <v>45568</v>
      </c>
      <c r="F4" t="inlineStr"/>
      <c r="G4" s="6">
        <f>HYPERLINK("https://www.kleinanzeigen.de/s-anzeige/north-carolina-tar-heels-wincraft-wimpel-90er-jahre-usa-college/2881253876-242-5480", "Link")</f>
        <v/>
      </c>
      <c r="H4" s="6">
        <f>HYPERLINK("C:\Projects\Kleinanzeigen-Scraper\offer_images\2881253876", "Link")</f>
        <v/>
      </c>
      <c r="I4" t="inlineStr">
        <is>
          <t>Norman Haag</t>
        </is>
      </c>
      <c r="J4" s="6">
        <f>HYPERLINK("https://www.kleinanzeigen.de/s-bestandsliste.html?userId=49353393", "Link")</f>
        <v/>
      </c>
      <c r="K4" s="7" t="n">
        <v>45568.75302083333</v>
      </c>
      <c r="L4" s="3" t="inlineStr">
        <is>
          <t>76.44</t>
        </is>
      </c>
      <c r="M4" t="inlineStr">
        <is>
          <t>Karlsruhe</t>
        </is>
      </c>
    </row>
    <row r="5">
      <c r="A5" t="inlineStr">
        <is>
          <t>Royal Mail - Northern Ireland - Book Of Stamps Briefmarken TOP</t>
        </is>
      </c>
      <c r="B5" s="4" t="inlineStr"/>
      <c r="C5" t="inlineStr">
        <is>
          <t>VB</t>
        </is>
      </c>
      <c r="D5" t="inlineStr">
        <is>
          <t>96450 Bayern - Coburg</t>
        </is>
      </c>
      <c r="E5" s="5" t="n">
        <v>45568</v>
      </c>
      <c r="F5" t="inlineStr"/>
      <c r="G5" s="6">
        <f>HYPERLINK("https://www.kleinanzeigen.de/s-anzeige/royal-mail-northern-ireland-book-of-stamps-briefmarken-top/2880804388-234-6936", "Link")</f>
        <v/>
      </c>
      <c r="H5" s="6">
        <f>HYPERLINK("C:\Projects\Kleinanzeigen-Scraper\offer_images\2880804388", "Link")</f>
        <v/>
      </c>
      <c r="I5" t="inlineStr">
        <is>
          <t>Frau S.</t>
        </is>
      </c>
      <c r="J5" s="6">
        <f>HYPERLINK("https://www.kleinanzeigen.de/s-bestandsliste.html?userId=31415255", "Link")</f>
        <v/>
      </c>
      <c r="K5" s="7" t="n">
        <v>45568.75299768519</v>
      </c>
      <c r="L5" s="3" t="inlineStr">
        <is>
          <t>226.42</t>
        </is>
      </c>
      <c r="M5" t="inlineStr">
        <is>
          <t>Böblingen</t>
        </is>
      </c>
    </row>
    <row r="6">
      <c r="A6" t="inlineStr">
        <is>
          <t>Starboard Allstar Dry Suit Trockenanzug SUP Suit S</t>
        </is>
      </c>
      <c r="B6" s="4" t="n">
        <v>320</v>
      </c>
      <c r="C6" t="inlineStr"/>
      <c r="D6" t="inlineStr">
        <is>
          <t>56072 Koblenz - Güls</t>
        </is>
      </c>
      <c r="E6" s="5" t="n">
        <v>45568</v>
      </c>
      <c r="F6" t="inlineStr"/>
      <c r="G6" s="6">
        <f>HYPERLINK("https://www.kleinanzeigen.de/s-anzeige/starboard-allstar-dry-suit-trockenanzug-sup-suit-s/2881574150-230-29486", "Link")</f>
        <v/>
      </c>
      <c r="H6" s="6">
        <f>HYPERLINK("C:\Projects\Kleinanzeigen-Scraper\offer_images\2881574150", "Link")</f>
        <v/>
      </c>
      <c r="I6" t="inlineStr">
        <is>
          <t>J.John</t>
        </is>
      </c>
      <c r="J6" s="6">
        <f>HYPERLINK("https://www.kleinanzeigen.de/s-bestandsliste.html?userId=17873153", "Link")</f>
        <v/>
      </c>
      <c r="K6" s="7" t="n">
        <v>45568.75284722223</v>
      </c>
      <c r="L6" s="3" t="inlineStr">
        <is>
          <t>76.49</t>
        </is>
      </c>
      <c r="M6" t="inlineStr">
        <is>
          <t>Köln</t>
        </is>
      </c>
    </row>
    <row r="7">
      <c r="A7" t="inlineStr">
        <is>
          <t>Neu: NBA retro Jersey Trikot Michael Jordan Nike North Carolina</t>
        </is>
      </c>
      <c r="B7" s="4" t="n">
        <v>45</v>
      </c>
      <c r="C7" t="inlineStr"/>
      <c r="D7" t="inlineStr">
        <is>
          <t>52078 Aachen - Aachen-Brand</t>
        </is>
      </c>
      <c r="E7" s="5" t="n">
        <v>45568</v>
      </c>
      <c r="F7" t="inlineStr"/>
      <c r="G7" s="6">
        <f>HYPERLINK("https://www.kleinanzeigen.de/s-anzeige/neu-nba-retro-jersey-trikot-michael-jordan-nike-north-carolina/2880795122-230-1926", "Link")</f>
        <v/>
      </c>
      <c r="H7" s="6">
        <f>HYPERLINK("C:\Projects\Kleinanzeigen-Scraper\offer_images\2880795122", "Link")</f>
        <v/>
      </c>
      <c r="I7" t="inlineStr">
        <is>
          <t>RF</t>
        </is>
      </c>
      <c r="J7" s="6">
        <f>HYPERLINK("https://www.kleinanzeigen.de/s-bestandsliste.html?userId=33653620", "Link")</f>
        <v/>
      </c>
      <c r="K7" s="7" t="n">
        <v>45568.75263888889</v>
      </c>
      <c r="L7" s="3" t="inlineStr">
        <is>
          <t>59.31</t>
        </is>
      </c>
      <c r="M7" t="inlineStr">
        <is>
          <t>Köln</t>
        </is>
      </c>
    </row>
    <row r="8">
      <c r="A8" t="inlineStr">
        <is>
          <t>FANATIC Foil Mast-Fuselage Set AL 3.0 82 Mast 78 Fuselage</t>
        </is>
      </c>
      <c r="B8" s="4" t="n">
        <v>350</v>
      </c>
      <c r="C8" t="inlineStr"/>
      <c r="D8" t="inlineStr">
        <is>
          <t>82178 Bayern - Puchheim</t>
        </is>
      </c>
      <c r="E8" s="5" t="n">
        <v>45568</v>
      </c>
      <c r="F8" t="inlineStr"/>
      <c r="G8" s="6">
        <f>HYPERLINK("https://www.kleinanzeigen.de/s-anzeige/fanatic-foil-mast-fuselage-set-al-3-0-82-mast-78-fuselage/2881355321-230-5599", "Link")</f>
        <v/>
      </c>
      <c r="H8" s="6">
        <f>HYPERLINK("C:\Projects\Kleinanzeigen-Scraper\offer_images\2881355321", "Link")</f>
        <v/>
      </c>
      <c r="I8" t="inlineStr">
        <is>
          <t>Michael Nanini</t>
        </is>
      </c>
      <c r="J8" s="6">
        <f>HYPERLINK("https://www.kleinanzeigen.de/s-bestandsliste.html?userId=11859414", "Link")</f>
        <v/>
      </c>
      <c r="K8" s="7" t="n">
        <v>45568.75247685185</v>
      </c>
      <c r="L8" s="3" t="inlineStr">
        <is>
          <t>17.38</t>
        </is>
      </c>
      <c r="M8" t="inlineStr">
        <is>
          <t>München</t>
        </is>
      </c>
    </row>
    <row r="9">
      <c r="A9" t="inlineStr">
        <is>
          <t>Simms G3 Wathose Größe M, Sage, Orvis, G.Loomis, Meerforelle</t>
        </is>
      </c>
      <c r="B9" s="4" t="n">
        <v>100</v>
      </c>
      <c r="C9" t="inlineStr"/>
      <c r="D9" t="inlineStr">
        <is>
          <t>20253 Eimsbüttel - Hamburg Eimsbüttel (Stadtteil)</t>
        </is>
      </c>
      <c r="E9" s="5" t="n">
        <v>45568</v>
      </c>
      <c r="F9" t="inlineStr"/>
      <c r="G9" s="6">
        <f>HYPERLINK("https://www.kleinanzeigen.de/s-anzeige/simms-g3-wathose-groesse-m-sage-orvis-g-loomis-meerforelle/2881437580-242-9430", "Link")</f>
        <v/>
      </c>
      <c r="H9" s="6">
        <f>HYPERLINK("C:\Projects\Kleinanzeigen-Scraper\offer_images\2881437580", "Link")</f>
        <v/>
      </c>
      <c r="I9" t="inlineStr">
        <is>
          <t>BoGa</t>
        </is>
      </c>
      <c r="J9" s="6">
        <f>HYPERLINK("https://www.kleinanzeigen.de/s-bestandsliste.html?userId=7072278", "Link")</f>
        <v/>
      </c>
      <c r="K9" s="7" t="n">
        <v>45568.7524537037</v>
      </c>
      <c r="L9" s="3" t="inlineStr">
        <is>
          <t>357.98</t>
        </is>
      </c>
      <c r="M9" t="inlineStr">
        <is>
          <t>Köln</t>
        </is>
      </c>
    </row>
    <row r="10">
      <c r="A10" t="inlineStr">
        <is>
          <t>Fanatic Ray Air Premium 11,6 Zoll – Stand-Up-Paddleboot SUP</t>
        </is>
      </c>
      <c r="B10" s="4" t="n">
        <v>479</v>
      </c>
      <c r="C10" t="inlineStr"/>
      <c r="D10" t="inlineStr">
        <is>
          <t>83395 Bayern - Freilassing</t>
        </is>
      </c>
      <c r="E10" s="5" t="n">
        <v>45567</v>
      </c>
      <c r="F10" t="inlineStr"/>
      <c r="G10" s="6">
        <f>HYPERLINK("https://www.kleinanzeigen.de/s-anzeige/fanatic-ray-air-premium-11-6-zoll-stand-up-paddleboot-sup/2880585233-230-6273", "Link")</f>
        <v/>
      </c>
      <c r="H10" s="6">
        <f>HYPERLINK("C:\Projects\Kleinanzeigen-Scraper\offer_images\2880585233", "Link")</f>
        <v/>
      </c>
      <c r="I10" t="inlineStr">
        <is>
          <t>Gerhard</t>
        </is>
      </c>
      <c r="J10" s="6">
        <f>HYPERLINK("https://www.kleinanzeigen.de/s-bestandsliste.html?userId=19587672", "Link")</f>
        <v/>
      </c>
      <c r="K10" s="7" t="n">
        <v>45568.75195601852</v>
      </c>
      <c r="L10" s="3" t="inlineStr">
        <is>
          <t>108.85</t>
        </is>
      </c>
      <c r="M10" t="inlineStr">
        <is>
          <t>München</t>
        </is>
      </c>
    </row>
    <row r="11">
      <c r="A11" t="inlineStr">
        <is>
          <t>Simms ProDry Hose</t>
        </is>
      </c>
      <c r="B11" s="4" t="n">
        <v>780</v>
      </c>
      <c r="C11" t="inlineStr">
        <is>
          <t>VB</t>
        </is>
      </c>
      <c r="D11" t="inlineStr">
        <is>
          <t>24870 Schleswig-Holstein - Ellingstedt</t>
        </is>
      </c>
      <c r="E11" s="5" t="n">
        <v>45567</v>
      </c>
      <c r="F11" t="inlineStr"/>
      <c r="G11" s="6">
        <f>HYPERLINK("https://www.kleinanzeigen.de/s-anzeige/simms-prodry-hose/2880674749-230-538", "Link")</f>
        <v/>
      </c>
      <c r="H11" s="6">
        <f>HYPERLINK("C:\Projects\Kleinanzeigen-Scraper\offer_images\2880674749", "Link")</f>
        <v/>
      </c>
      <c r="I11" t="inlineStr">
        <is>
          <t>Pelle c.</t>
        </is>
      </c>
      <c r="J11" s="6">
        <f>HYPERLINK("https://www.kleinanzeigen.de/s-bestandsliste.html?userId=18944459", "Link")</f>
        <v/>
      </c>
      <c r="K11" s="7" t="n">
        <v>45568.75160879629</v>
      </c>
      <c r="L11" s="3" t="inlineStr">
        <is>
          <t>427.04</t>
        </is>
      </c>
      <c r="M11" t="inlineStr">
        <is>
          <t>Köln</t>
        </is>
      </c>
    </row>
    <row r="12">
      <c r="A12" t="inlineStr">
        <is>
          <t>Neilpryde Flight AL Foil</t>
        </is>
      </c>
      <c r="B12" s="4" t="n">
        <v>100</v>
      </c>
      <c r="C12" t="inlineStr">
        <is>
          <t>VB</t>
        </is>
      </c>
      <c r="D12" t="inlineStr">
        <is>
          <t>25436 Kreis Pinneberg - Uetersen</t>
        </is>
      </c>
      <c r="E12" s="5" t="n">
        <v>45567</v>
      </c>
      <c r="F12" t="inlineStr"/>
      <c r="G12" s="6">
        <f>HYPERLINK("https://www.kleinanzeigen.de/s-anzeige/neilpryde-flight-al-foil/2880493338-230-622", "Link")</f>
        <v/>
      </c>
      <c r="H12" s="6">
        <f>HYPERLINK("C:\Projects\Kleinanzeigen-Scraper\offer_images\2880493338", "Link")</f>
        <v/>
      </c>
      <c r="I12" t="inlineStr">
        <is>
          <t>Ich</t>
        </is>
      </c>
      <c r="J12" s="6">
        <f>HYPERLINK("https://www.kleinanzeigen.de/s-bestandsliste.html?userId=1339480", "Link")</f>
        <v/>
      </c>
      <c r="K12" s="7" t="n">
        <v>45568.7512037037</v>
      </c>
      <c r="L12" s="3" t="inlineStr">
        <is>
          <t>356.69</t>
        </is>
      </c>
      <c r="M12" t="inlineStr">
        <is>
          <t>Köln</t>
        </is>
      </c>
    </row>
    <row r="13">
      <c r="A13" t="inlineStr">
        <is>
          <t>Naish Pivot 12m 2024 Gelb</t>
        </is>
      </c>
      <c r="B13" s="4" t="n">
        <v>950</v>
      </c>
      <c r="C13" t="inlineStr">
        <is>
          <t>VB</t>
        </is>
      </c>
      <c r="D13" t="inlineStr">
        <is>
          <t>86150 Bayern - Augsburg</t>
        </is>
      </c>
      <c r="E13" s="5" t="n">
        <v>45568</v>
      </c>
      <c r="F13" t="inlineStr"/>
      <c r="G13" s="6">
        <f>HYPERLINK("https://www.kleinanzeigen.de/s-anzeige/naish-pivot-12m-2024-gelb/2880907829-230-7522", "Link")</f>
        <v/>
      </c>
      <c r="H13" s="6">
        <f>HYPERLINK("C:\Projects\Kleinanzeigen-Scraper\offer_images\2880907829", "Link")</f>
        <v/>
      </c>
      <c r="I13" t="inlineStr">
        <is>
          <t>Robert</t>
        </is>
      </c>
      <c r="J13" s="6">
        <f>HYPERLINK("https://www.kleinanzeigen.de/s-bestandsliste.html?userId=4568311", "Link")</f>
        <v/>
      </c>
      <c r="K13" s="7" t="n">
        <v>45568.75100694445</v>
      </c>
      <c r="L13" s="3" t="inlineStr">
        <is>
          <t>56.35</t>
        </is>
      </c>
      <c r="M13" t="inlineStr">
        <is>
          <t>München</t>
        </is>
      </c>
    </row>
    <row r="14">
      <c r="A14" t="inlineStr">
        <is>
          <t>Vandal Elderflame Valorant Cosplay 3D</t>
        </is>
      </c>
      <c r="B14" s="4" t="n">
        <v>100</v>
      </c>
      <c r="C14" t="inlineStr"/>
      <c r="D14" t="inlineStr">
        <is>
          <t>47800 Nordrhein-Westfalen - Krefeld</t>
        </is>
      </c>
      <c r="E14" s="5" t="n">
        <v>45568</v>
      </c>
      <c r="F14" t="inlineStr"/>
      <c r="G14" s="6">
        <f>HYPERLINK("https://www.kleinanzeigen.de/s-anzeige/vandal-elderflame-valorant-cosplay-3d/2880745489-249-1975", "Link")</f>
        <v/>
      </c>
      <c r="H14" s="6">
        <f>HYPERLINK("C:\Projects\Kleinanzeigen-Scraper\offer_images\2880745489", "Link")</f>
        <v/>
      </c>
      <c r="I14" t="inlineStr">
        <is>
          <t>Lena</t>
        </is>
      </c>
      <c r="J14" s="6">
        <f>HYPERLINK("https://www.kleinanzeigen.de/s-bestandsliste.html?userId=15684217", "Link")</f>
        <v/>
      </c>
      <c r="K14" s="7" t="n">
        <v>45568.75081018519</v>
      </c>
      <c r="L14" s="3" t="inlineStr">
        <is>
          <t>51.49</t>
        </is>
      </c>
      <c r="M14" t="inlineStr">
        <is>
          <t>Köln</t>
        </is>
      </c>
    </row>
    <row r="15">
      <c r="A15" t="inlineStr">
        <is>
          <t>Simms G4 Pro Watjacke Black XL</t>
        </is>
      </c>
      <c r="B15" s="4" t="n">
        <v>550</v>
      </c>
      <c r="C15" t="inlineStr">
        <is>
          <t>VB</t>
        </is>
      </c>
      <c r="D15" t="inlineStr">
        <is>
          <t>14558 Brandenburg - Nuthetal</t>
        </is>
      </c>
      <c r="E15" s="5" t="n">
        <v>45564</v>
      </c>
      <c r="F15" t="inlineStr"/>
      <c r="G15" s="6">
        <f>HYPERLINK("https://www.kleinanzeigen.de/s-anzeige/simms-g4-pro-watjacke-black-xl/2876948110-230-13420", "Link")</f>
        <v/>
      </c>
      <c r="H15" s="6">
        <f>HYPERLINK("C:\Projects\Kleinanzeigen-Scraper\offer_images\2876948110", "Link")</f>
        <v/>
      </c>
      <c r="I15" t="inlineStr">
        <is>
          <t>Alex</t>
        </is>
      </c>
      <c r="J15" s="6">
        <f>HYPERLINK("https://www.kleinanzeigen.de/s-bestandsliste.html?userId=9002097", "Link")</f>
        <v/>
      </c>
      <c r="K15" s="7" t="n">
        <v>45568.75081018519</v>
      </c>
      <c r="L15" s="3" t="inlineStr">
        <is>
          <t>453.79</t>
        </is>
      </c>
      <c r="M15" t="inlineStr">
        <is>
          <t>Köln</t>
        </is>
      </c>
    </row>
    <row r="16">
      <c r="A16" t="inlineStr">
        <is>
          <t>Snowboardschuhe der Marke North Wave</t>
        </is>
      </c>
      <c r="B16" s="4" t="n">
        <v>30</v>
      </c>
      <c r="C16" t="inlineStr"/>
      <c r="D16" t="inlineStr">
        <is>
          <t>80803 München - Schwabing-West</t>
        </is>
      </c>
      <c r="E16" s="5" t="n">
        <v>45567</v>
      </c>
      <c r="F16" t="inlineStr"/>
      <c r="G16" s="6">
        <f>HYPERLINK("https://www.kleinanzeigen.de/s-anzeige/snowboardschuhe-der-marke-north-wave/2880506941-230-6470", "Link")</f>
        <v/>
      </c>
      <c r="H16" s="6">
        <f>HYPERLINK("C:\Projects\Kleinanzeigen-Scraper\offer_images\2880506941", "Link")</f>
        <v/>
      </c>
      <c r="I16" t="inlineStr">
        <is>
          <t>Gros</t>
        </is>
      </c>
      <c r="J16" s="6">
        <f>HYPERLINK("https://www.kleinanzeigen.de/s-bestandsliste.html?userId=37922107", "Link")</f>
        <v/>
      </c>
      <c r="K16" s="7" t="n">
        <v>45568.75069444445</v>
      </c>
      <c r="L16" s="3" t="inlineStr">
        <is>
          <t>3.05</t>
        </is>
      </c>
      <c r="M16" t="inlineStr">
        <is>
          <t>München</t>
        </is>
      </c>
    </row>
    <row r="17">
      <c r="A17" t="inlineStr">
        <is>
          <t>Naish Pivot S26 10m</t>
        </is>
      </c>
      <c r="B17" s="4" t="n">
        <v>350</v>
      </c>
      <c r="C17" t="inlineStr"/>
      <c r="D17" t="inlineStr">
        <is>
          <t>22607 Altona - Hamburg Groß Flottbek</t>
        </is>
      </c>
      <c r="E17" s="5" t="n">
        <v>45542</v>
      </c>
      <c r="F17" t="inlineStr"/>
      <c r="G17" s="6">
        <f>HYPERLINK("https://www.kleinanzeigen.de/s-anzeige/naish-pivot-s26-10m/2856616915-230-9500", "Link")</f>
        <v/>
      </c>
      <c r="H17" s="6">
        <f>HYPERLINK("C:\Projects\Kleinanzeigen-Scraper\offer_images\2856616915", "Link")</f>
        <v/>
      </c>
      <c r="I17" t="inlineStr">
        <is>
          <t>Henri zu knyphausen</t>
        </is>
      </c>
      <c r="J17" s="6">
        <f>HYPERLINK("https://www.kleinanzeigen.de/s-bestandsliste.html?userId=66918470", "Link")</f>
        <v/>
      </c>
      <c r="K17" s="7" t="n">
        <v>45568.75068287037</v>
      </c>
      <c r="L17" s="3" t="inlineStr">
        <is>
          <t>354.01</t>
        </is>
      </c>
      <c r="M17" t="inlineStr">
        <is>
          <t>Köln</t>
        </is>
      </c>
    </row>
    <row r="18">
      <c r="A18" t="inlineStr">
        <is>
          <t>Acryl Malfarben 250 ml Solo Goya ungebraucht fast alle</t>
        </is>
      </c>
      <c r="B18" s="4" t="n">
        <v>4</v>
      </c>
      <c r="C18" t="inlineStr"/>
      <c r="D18" t="inlineStr">
        <is>
          <t>64807 Hessen - Dieburg</t>
        </is>
      </c>
      <c r="E18" s="5" t="n">
        <v>45568</v>
      </c>
      <c r="F18" t="inlineStr"/>
      <c r="G18" s="6">
        <f>HYPERLINK("https://www.kleinanzeigen.de/s-anzeige/acryl-malfarben-250-ml-solo-goya-ungebraucht-fast-alle/2880760555-282-4499", "Link")</f>
        <v/>
      </c>
      <c r="H18" s="6">
        <f>HYPERLINK("C:\Projects\Kleinanzeigen-Scraper\offer_images\2880760555", "Link")</f>
        <v/>
      </c>
      <c r="I18" t="inlineStr">
        <is>
          <t>Privat</t>
        </is>
      </c>
      <c r="J18" s="6">
        <f>HYPERLINK("https://www.kleinanzeigen.de/s-bestandsliste.html?userId=6983520", "Link")</f>
        <v/>
      </c>
      <c r="K18" s="7" t="n">
        <v>45568.75053240741</v>
      </c>
      <c r="L18" s="3" t="inlineStr">
        <is>
          <t>104.48</t>
        </is>
      </c>
      <c r="M18" t="inlineStr">
        <is>
          <t>Karlsruhe</t>
        </is>
      </c>
    </row>
    <row r="19">
      <c r="A19" t="inlineStr">
        <is>
          <t>Simms Watschuhe "Tributary"</t>
        </is>
      </c>
      <c r="B19" s="4" t="n">
        <v>30</v>
      </c>
      <c r="C19" t="inlineStr"/>
      <c r="D19" t="inlineStr">
        <is>
          <t>24814 Schleswig-Holstein - Sehestedt</t>
        </is>
      </c>
      <c r="E19" s="5" t="n">
        <v>45568</v>
      </c>
      <c r="F19" t="inlineStr"/>
      <c r="G19" s="6">
        <f>HYPERLINK("https://www.kleinanzeigen.de/s-anzeige/simms-watschuhe-tributary-/2881676277-230-508", "Link")</f>
        <v/>
      </c>
      <c r="H19" s="6">
        <f>HYPERLINK("C:\Projects\Kleinanzeigen-Scraper\offer_images\2881676277", "Link")</f>
        <v/>
      </c>
      <c r="I19" t="inlineStr">
        <is>
          <t>Günther B.</t>
        </is>
      </c>
      <c r="J19" s="6">
        <f>HYPERLINK("https://www.kleinanzeigen.de/s-bestandsliste.html?userId=14270075", "Link")</f>
        <v/>
      </c>
      <c r="K19" s="7" t="n">
        <v>45568.74958333333</v>
      </c>
      <c r="L19" s="3" t="inlineStr">
        <is>
          <t>427.56</t>
        </is>
      </c>
      <c r="M19" t="inlineStr">
        <is>
          <t>Köln</t>
        </is>
      </c>
    </row>
    <row r="20">
      <c r="A20" t="inlineStr">
        <is>
          <t>PLAYMOBIL Windsurfer, Strandrennfahrer, Windracer mit Segel 4216</t>
        </is>
      </c>
      <c r="B20" s="4" t="n">
        <v>10</v>
      </c>
      <c r="C20" t="inlineStr"/>
      <c r="D20" t="inlineStr">
        <is>
          <t>47475 Nordrhein-Westfalen - Kamp-Lintfort</t>
        </is>
      </c>
      <c r="E20" s="5" t="n">
        <v>45568</v>
      </c>
      <c r="F20" t="inlineStr"/>
      <c r="G20" s="6">
        <f>HYPERLINK("https://www.kleinanzeigen.de/s-anzeige/playmobil-windsurfer-strandrennfahrer-windracer-mit-segel-4216/2880888551-23-1130", "Link")</f>
        <v/>
      </c>
      <c r="H20" s="6">
        <f>HYPERLINK("C:\Projects\Kleinanzeigen-Scraper\offer_images\2880888551", "Link")</f>
        <v/>
      </c>
      <c r="I20" t="inlineStr">
        <is>
          <t>Ben</t>
        </is>
      </c>
      <c r="J20" s="6">
        <f>HYPERLINK("https://www.kleinanzeigen.de/s-bestandsliste.html?userId=122323998", "Link")</f>
        <v/>
      </c>
      <c r="K20" s="7" t="n">
        <v>45568.74922453704</v>
      </c>
      <c r="L20" s="3" t="inlineStr">
        <is>
          <t>70.88</t>
        </is>
      </c>
      <c r="M20" t="inlineStr">
        <is>
          <t>Köln</t>
        </is>
      </c>
    </row>
    <row r="21">
      <c r="A21" t="inlineStr">
        <is>
          <t>Simms Freestone Watstiefel Größe 46</t>
        </is>
      </c>
      <c r="B21" s="4" t="n">
        <v>100</v>
      </c>
      <c r="C21" t="inlineStr">
        <is>
          <t>VB</t>
        </is>
      </c>
      <c r="D21" t="inlineStr">
        <is>
          <t>21720 Niedersachsen - Guderhandviertel</t>
        </is>
      </c>
      <c r="E21" s="5" t="n">
        <v>45568</v>
      </c>
      <c r="F21" t="inlineStr"/>
      <c r="G21" s="6">
        <f>HYPERLINK("https://www.kleinanzeigen.de/s-anzeige/simms-freestone-watstiefel-groesse-46/2880887825-230-21021", "Link")</f>
        <v/>
      </c>
      <c r="H21" s="6">
        <f>HYPERLINK("C:\Projects\Kleinanzeigen-Scraper\offer_images\2880887825", "Link")</f>
        <v/>
      </c>
      <c r="I21" t="inlineStr">
        <is>
          <t>Femke</t>
        </is>
      </c>
      <c r="J21" s="6">
        <f>HYPERLINK("https://www.kleinanzeigen.de/s-bestandsliste.html?userId=55377140", "Link")</f>
        <v/>
      </c>
      <c r="K21" s="7" t="n">
        <v>45568.74883101852</v>
      </c>
      <c r="L21" s="3" t="inlineStr">
        <is>
          <t>341.95</t>
        </is>
      </c>
      <c r="M21" t="inlineStr">
        <is>
          <t>Köln</t>
        </is>
      </c>
    </row>
    <row r="22">
      <c r="A22" t="inlineStr">
        <is>
          <t>Simms Flyweight Watschuhe Boot Vibram Gr. 9, EUR 42 Steel Gray</t>
        </is>
      </c>
      <c r="B22" s="4" t="n">
        <v>200</v>
      </c>
      <c r="C22" t="inlineStr"/>
      <c r="D22" t="inlineStr">
        <is>
          <t>44894 Bochum - Bochum-Ost</t>
        </is>
      </c>
      <c r="E22" s="5" t="n">
        <v>45568</v>
      </c>
      <c r="F22" t="inlineStr"/>
      <c r="G22" s="6">
        <f>HYPERLINK("https://www.kleinanzeigen.de/s-anzeige/simms-flyweight-watschuhe-boot-vibram-gr-9-eur-42-steel-gray/2881689209-242-1936", "Link")</f>
        <v/>
      </c>
      <c r="H22" s="6">
        <f>HYPERLINK("C:\Projects\Kleinanzeigen-Scraper\offer_images\2881689209", "Link")</f>
        <v/>
      </c>
      <c r="I22" t="inlineStr">
        <is>
          <t>Marc</t>
        </is>
      </c>
      <c r="J22" s="6">
        <f>HYPERLINK("https://www.kleinanzeigen.de/s-bestandsliste.html?userId=16901102", "Link")</f>
        <v/>
      </c>
      <c r="K22" s="7" t="n">
        <v>45568.74802083334</v>
      </c>
      <c r="L22" s="3" t="inlineStr">
        <is>
          <t>66.34</t>
        </is>
      </c>
      <c r="M22" t="inlineStr">
        <is>
          <t>Köln</t>
        </is>
      </c>
    </row>
    <row r="23">
      <c r="A23" t="inlineStr">
        <is>
          <t>Windsurf Boardbag</t>
        </is>
      </c>
      <c r="B23" s="4" t="n">
        <v>45</v>
      </c>
      <c r="C23" t="inlineStr"/>
      <c r="D23" t="inlineStr">
        <is>
          <t>13597 Berlin - Spandau</t>
        </is>
      </c>
      <c r="E23" s="5" t="n">
        <v>45568</v>
      </c>
      <c r="F23" t="inlineStr"/>
      <c r="G23" s="6">
        <f>HYPERLINK("https://www.kleinanzeigen.de/s-anzeige/windsurf-boardbag/2881371077-230-3431", "Link")</f>
        <v/>
      </c>
      <c r="H23" s="6">
        <f>HYPERLINK("C:\Projects\Kleinanzeigen-Scraper\offer_images\2881371077", "Link")</f>
        <v/>
      </c>
      <c r="I23" t="inlineStr">
        <is>
          <t>Tobias</t>
        </is>
      </c>
      <c r="J23" s="6">
        <f>HYPERLINK("https://www.kleinanzeigen.de/s-bestandsliste.html?userId=33453558", "Link")</f>
        <v/>
      </c>
      <c r="K23" s="7" t="n">
        <v>45568.74774305556</v>
      </c>
      <c r="L23" s="3" t="inlineStr">
        <is>
          <t>465.78</t>
        </is>
      </c>
      <c r="M23" t="inlineStr">
        <is>
          <t>Köln</t>
        </is>
      </c>
    </row>
    <row r="24">
      <c r="A24" t="inlineStr">
        <is>
          <t>Airfix Bausatz 1:72 North American Harvard II OVP</t>
        </is>
      </c>
      <c r="B24" s="4" t="n">
        <v>8</v>
      </c>
      <c r="C24" t="inlineStr"/>
      <c r="D24" t="inlineStr">
        <is>
          <t>53721 Nordrhein-Westfalen - Siegburg</t>
        </is>
      </c>
      <c r="E24" s="5" t="n">
        <v>45568</v>
      </c>
      <c r="F24" t="inlineStr"/>
      <c r="G24" s="6">
        <f>HYPERLINK("https://www.kleinanzeigen.de/s-anzeige/airfix-bausatz-1-72-north-american-harvard-ii-ovp/2880806081-249-1670", "Link")</f>
        <v/>
      </c>
      <c r="H24" s="6">
        <f>HYPERLINK("C:\Projects\Kleinanzeigen-Scraper\offer_images\2880806081", "Link")</f>
        <v/>
      </c>
      <c r="I24" t="inlineStr">
        <is>
          <t>C.Kurpiers</t>
        </is>
      </c>
      <c r="J24" s="6">
        <f>HYPERLINK("https://www.kleinanzeigen.de/s-bestandsliste.html?userId=22348530", "Link")</f>
        <v/>
      </c>
      <c r="K24" s="7" t="n">
        <v>45568.7475462963</v>
      </c>
      <c r="L24" s="3" t="inlineStr">
        <is>
          <t>23.77</t>
        </is>
      </c>
      <c r="M24" t="inlineStr">
        <is>
          <t>Köln</t>
        </is>
      </c>
    </row>
    <row r="25">
      <c r="A25" t="inlineStr">
        <is>
          <t>Solo Goya Staffelei</t>
        </is>
      </c>
      <c r="B25" s="4" t="n">
        <v>20</v>
      </c>
      <c r="C25" t="inlineStr"/>
      <c r="D25" t="inlineStr">
        <is>
          <t>55129 Rheinland-Pfalz - Mainz</t>
        </is>
      </c>
      <c r="E25" s="5" t="n">
        <v>45563</v>
      </c>
      <c r="F25" t="inlineStr"/>
      <c r="G25" s="6">
        <f>HYPERLINK("https://www.kleinanzeigen.de/s-anzeige/solo-goya-staffelei/2876106295-282-5324", "Link")</f>
        <v/>
      </c>
      <c r="H25" s="6">
        <f>HYPERLINK("C:\Projects\Kleinanzeigen-Scraper\offer_images\2876106295", "Link")</f>
        <v/>
      </c>
      <c r="I25" t="inlineStr">
        <is>
          <t>Privat</t>
        </is>
      </c>
      <c r="J25" s="6">
        <f>HYPERLINK("https://www.kleinanzeigen.de/s-bestandsliste.html?userId=39521225", "Link")</f>
        <v/>
      </c>
      <c r="K25" s="7" t="n">
        <v>45568.74752314815</v>
      </c>
      <c r="L25" s="3" t="inlineStr">
        <is>
          <t>104.29</t>
        </is>
      </c>
      <c r="M25" t="inlineStr">
        <is>
          <t>Karlsruhe</t>
        </is>
      </c>
    </row>
    <row r="26">
      <c r="A26" t="inlineStr">
        <is>
          <t>Naish Bar S26 mit 22m Lines</t>
        </is>
      </c>
      <c r="B26" s="4" t="n">
        <v>200</v>
      </c>
      <c r="C26" t="inlineStr"/>
      <c r="D26" t="inlineStr">
        <is>
          <t>22607 Altona - Hamburg Groß Flottbek</t>
        </is>
      </c>
      <c r="E26" s="5" t="n">
        <v>45543</v>
      </c>
      <c r="F26" t="inlineStr"/>
      <c r="G26" s="6">
        <f>HYPERLINK("https://www.kleinanzeigen.de/s-anzeige/naish-bar-s26-mit-22m-lines/2857507497-230-9500", "Link")</f>
        <v/>
      </c>
      <c r="H26" s="6">
        <f>HYPERLINK("C:\Projects\Kleinanzeigen-Scraper\offer_images\2857507497", "Link")</f>
        <v/>
      </c>
      <c r="I26" t="inlineStr">
        <is>
          <t>Henri zu knyphausen</t>
        </is>
      </c>
      <c r="J26" s="6">
        <f>HYPERLINK("https://www.kleinanzeigen.de/s-bestandsliste.html?userId=66918470", "Link")</f>
        <v/>
      </c>
      <c r="K26" s="7" t="n">
        <v>45568.74738425926</v>
      </c>
      <c r="L26" s="3" t="inlineStr">
        <is>
          <t>354.01</t>
        </is>
      </c>
      <c r="M26" t="inlineStr">
        <is>
          <t>Köln</t>
        </is>
      </c>
    </row>
    <row r="27">
      <c r="A27" t="inlineStr">
        <is>
          <t>Balzer 71 north boat 40 2,20m Norwegen Hochsee</t>
        </is>
      </c>
      <c r="B27" s="4" t="n">
        <v>55</v>
      </c>
      <c r="C27" t="inlineStr"/>
      <c r="D27" t="inlineStr">
        <is>
          <t>21220 Niedersachsen - Seevetal</t>
        </is>
      </c>
      <c r="E27" s="5" t="n">
        <v>45568</v>
      </c>
      <c r="F27" t="inlineStr"/>
      <c r="G27" s="6">
        <f>HYPERLINK("https://www.kleinanzeigen.de/s-anzeige/balzer-71-north-boat-40-2-20m-norwegen-hochsee/2880792888-230-2813", "Link")</f>
        <v/>
      </c>
      <c r="H27" s="6">
        <f>HYPERLINK("C:\Projects\Kleinanzeigen-Scraper\offer_images\2880792888", "Link")</f>
        <v/>
      </c>
      <c r="I27" t="inlineStr">
        <is>
          <t>S. Foltin</t>
        </is>
      </c>
      <c r="J27" s="6">
        <f>HYPERLINK("https://www.kleinanzeigen.de/s-bestandsliste.html?userId=48055918", "Link")</f>
        <v/>
      </c>
      <c r="K27" s="7" t="n">
        <v>45568.7472337963</v>
      </c>
      <c r="L27" s="3" t="inlineStr">
        <is>
          <t>342.14</t>
        </is>
      </c>
      <c r="M27" t="inlineStr">
        <is>
          <t>Köln</t>
        </is>
      </c>
    </row>
    <row r="28">
      <c r="A28" t="inlineStr">
        <is>
          <t>SUP von NAISH Alana 10,6</t>
        </is>
      </c>
      <c r="B28" s="4" t="n">
        <v>390</v>
      </c>
      <c r="C28" t="inlineStr"/>
      <c r="D28" t="inlineStr">
        <is>
          <t>21129 Hamburg-Mitte - Finkenwerder</t>
        </is>
      </c>
      <c r="E28" s="5" t="n">
        <v>45568</v>
      </c>
      <c r="F28" t="inlineStr"/>
      <c r="G28" s="6">
        <f>HYPERLINK("https://www.kleinanzeigen.de/s-anzeige/sup-von-naish-alana-10-6/2881443291-230-19906", "Link")</f>
        <v/>
      </c>
      <c r="H28" s="6">
        <f>HYPERLINK("C:\Projects\Kleinanzeigen-Scraper\offer_images\2881443291", "Link")</f>
        <v/>
      </c>
      <c r="I28" t="inlineStr">
        <is>
          <t>Susanne Schmidt</t>
        </is>
      </c>
      <c r="J28" s="6">
        <f>HYPERLINK("https://www.kleinanzeigen.de/s-bestandsliste.html?userId=3041613", "Link")</f>
        <v/>
      </c>
      <c r="K28" s="7" t="n">
        <v>45568.74722222222</v>
      </c>
      <c r="L28" s="3" t="inlineStr">
        <is>
          <t>347.86</t>
        </is>
      </c>
      <c r="M28" t="inlineStr">
        <is>
          <t>Köln</t>
        </is>
      </c>
    </row>
    <row r="29">
      <c r="A29" t="inlineStr">
        <is>
          <t>Starboard Quick Lock II Fuselage</t>
        </is>
      </c>
      <c r="B29" s="4" t="n">
        <v>118</v>
      </c>
      <c r="C29" t="inlineStr"/>
      <c r="D29" t="inlineStr">
        <is>
          <t>14089 Berlin - Gatow</t>
        </is>
      </c>
      <c r="E29" s="5" t="n">
        <v>45568</v>
      </c>
      <c r="F29" t="inlineStr"/>
      <c r="G29" s="6">
        <f>HYPERLINK("https://www.kleinanzeigen.de/s-anzeige/starboard-quick-lock-ii-fuselage/2880917745-230-23975", "Link")</f>
        <v/>
      </c>
      <c r="H29" s="6">
        <f>HYPERLINK("C:\Projects\Kleinanzeigen-Scraper\offer_images\2880917745", "Link")</f>
        <v/>
      </c>
      <c r="I29" t="inlineStr">
        <is>
          <t>Henrik</t>
        </is>
      </c>
      <c r="J29" s="6">
        <f>HYPERLINK("https://www.kleinanzeigen.de/s-bestandsliste.html?userId=5762713", "Link")</f>
        <v/>
      </c>
      <c r="K29" s="7" t="n">
        <v>45568.74710648148</v>
      </c>
      <c r="L29" s="3" t="inlineStr">
        <is>
          <t>459.79</t>
        </is>
      </c>
      <c r="M29" t="inlineStr">
        <is>
          <t>Köln</t>
        </is>
      </c>
    </row>
    <row r="30">
      <c r="A30" t="inlineStr">
        <is>
          <t>Isabella Cyrrus Air North 400 Nagelneu</t>
        </is>
      </c>
      <c r="B30" s="4" t="n">
        <v>1.65</v>
      </c>
      <c r="C30" t="inlineStr">
        <is>
          <t>VB</t>
        </is>
      </c>
      <c r="D30" t="inlineStr">
        <is>
          <t>45326 Essen - Altenessen</t>
        </is>
      </c>
      <c r="E30" s="5" t="n">
        <v>45568</v>
      </c>
      <c r="F30" t="inlineStr"/>
      <c r="G30" s="6">
        <f>HYPERLINK("https://www.kleinanzeigen.de/s-anzeige/isabella-cyrrus-air-north-400-nagelneu/2881667574-230-2036", "Link")</f>
        <v/>
      </c>
      <c r="H30" s="6">
        <f>HYPERLINK("C:\Projects\Kleinanzeigen-Scraper\offer_images\2881667574", "Link")</f>
        <v/>
      </c>
      <c r="I30" t="inlineStr">
        <is>
          <t>Witt</t>
        </is>
      </c>
      <c r="J30" s="6">
        <f>HYPERLINK("https://www.kleinanzeigen.de/s-bestandsliste.html?userId=144848826", "Link")</f>
        <v/>
      </c>
      <c r="K30" s="7" t="n">
        <v>45568.74689814815</v>
      </c>
      <c r="L30" s="3" t="inlineStr">
        <is>
          <t>60.55</t>
        </is>
      </c>
      <c r="M30" t="inlineStr">
        <is>
          <t>Köln</t>
        </is>
      </c>
    </row>
    <row r="31">
      <c r="A31" t="inlineStr">
        <is>
          <t>Damenskihose " NORTH BEND" schwarz,  Gr. 44</t>
        </is>
      </c>
      <c r="B31" s="4" t="n">
        <v>40</v>
      </c>
      <c r="C31" t="inlineStr"/>
      <c r="D31" t="inlineStr">
        <is>
          <t>35112 Hessen - Fronhausen</t>
        </is>
      </c>
      <c r="E31" s="5" t="n">
        <v>45568</v>
      </c>
      <c r="F31" t="inlineStr"/>
      <c r="G31" s="6">
        <f>HYPERLINK("https://www.kleinanzeigen.de/s-anzeige/damenskihose-north-bend-schwarz-gr-44/2880965924-230-4836", "Link")</f>
        <v/>
      </c>
      <c r="H31" s="6">
        <f>HYPERLINK("C:\Projects\Kleinanzeigen-Scraper\offer_images\2880965924", "Link")</f>
        <v/>
      </c>
      <c r="I31" t="inlineStr">
        <is>
          <t>B P</t>
        </is>
      </c>
      <c r="J31" s="6">
        <f>HYPERLINK("https://www.kleinanzeigen.de/s-bestandsliste.html?userId=15251175", "Link")</f>
        <v/>
      </c>
      <c r="K31" s="7" t="n">
        <v>45568.74688657407</v>
      </c>
      <c r="L31" s="3" t="inlineStr">
        <is>
          <t>126.21</t>
        </is>
      </c>
      <c r="M31" t="inlineStr">
        <is>
          <t>Köln</t>
        </is>
      </c>
    </row>
    <row r="32">
      <c r="A32" t="inlineStr">
        <is>
          <t>Naish mach 1 900</t>
        </is>
      </c>
      <c r="B32" s="4" t="n">
        <v>150</v>
      </c>
      <c r="C32" t="inlineStr"/>
      <c r="D32" t="inlineStr">
        <is>
          <t>22549 Altona - Hamburg Bahrenfeld</t>
        </is>
      </c>
      <c r="E32" s="5" t="n">
        <v>45567</v>
      </c>
      <c r="F32" t="inlineStr"/>
      <c r="G32" s="6">
        <f>HYPERLINK("https://www.kleinanzeigen.de/s-anzeige/naish-mach-1-900/2880543259-230-26483", "Link")</f>
        <v/>
      </c>
      <c r="H32" s="6">
        <f>HYPERLINK("C:\Projects\Kleinanzeigen-Scraper\offer_images\2880543259", "Link")</f>
        <v/>
      </c>
      <c r="I32" t="inlineStr">
        <is>
          <t>F. Jacobs</t>
        </is>
      </c>
      <c r="J32" s="6">
        <f>HYPERLINK("https://www.kleinanzeigen.de/s-bestandsliste.html?userId=11056941", "Link")</f>
        <v/>
      </c>
      <c r="K32" s="7" t="n">
        <v>45568.74685185185</v>
      </c>
      <c r="L32" s="3" t="inlineStr">
        <is>
          <t>354.40</t>
        </is>
      </c>
      <c r="M32" t="inlineStr">
        <is>
          <t>Köln</t>
        </is>
      </c>
    </row>
    <row r="33">
      <c r="A33" t="inlineStr">
        <is>
          <t>SUP Paddel Starboard Lima</t>
        </is>
      </c>
      <c r="B33" s="4" t="n">
        <v>350</v>
      </c>
      <c r="C33" t="inlineStr"/>
      <c r="D33" t="inlineStr">
        <is>
          <t>22393 Wandsbek - Hamburg Sasel</t>
        </is>
      </c>
      <c r="E33" s="5" t="n">
        <v>45568</v>
      </c>
      <c r="F33" t="inlineStr"/>
      <c r="G33" s="6">
        <f>HYPERLINK("https://www.kleinanzeigen.de/s-anzeige/sup-paddel-starboard-lima/2881135127-230-18783", "Link")</f>
        <v/>
      </c>
      <c r="H33" s="6">
        <f>HYPERLINK("C:\Projects\Kleinanzeigen-Scraper\offer_images\2881135127", "Link")</f>
        <v/>
      </c>
      <c r="I33" t="inlineStr">
        <is>
          <t>Roglev</t>
        </is>
      </c>
      <c r="J33" s="6">
        <f>HYPERLINK("https://www.kleinanzeigen.de/s-bestandsliste.html?userId=46912001", "Link")</f>
        <v/>
      </c>
      <c r="K33" s="7" t="n">
        <v>45568.74681712963</v>
      </c>
      <c r="L33" s="3" t="inlineStr">
        <is>
          <t>370.55</t>
        </is>
      </c>
      <c r="M33" t="inlineStr">
        <is>
          <t>Köln</t>
        </is>
      </c>
    </row>
    <row r="34">
      <c r="A34" t="inlineStr">
        <is>
          <t>Island ,Fliegenfischen auf Lachs  North Guiding</t>
        </is>
      </c>
      <c r="B34" s="4" t="n">
        <v>8</v>
      </c>
      <c r="C34" t="inlineStr"/>
      <c r="D34" t="inlineStr">
        <is>
          <t>23863 Schleswig-Holstein - Bargfeld-Stegen</t>
        </is>
      </c>
      <c r="E34" s="5" t="n">
        <v>45567</v>
      </c>
      <c r="F34" t="inlineStr"/>
      <c r="G34" s="6">
        <f>HYPERLINK("https://www.kleinanzeigen.de/s-anzeige/island-fliegenfischen-auf-lachs-north-guiding/2880705459-230-19519", "Link")</f>
        <v/>
      </c>
      <c r="H34" s="6">
        <f>HYPERLINK("C:\Projects\Kleinanzeigen-Scraper\offer_images\2880705459", "Link")</f>
        <v/>
      </c>
      <c r="I34" t="inlineStr">
        <is>
          <t>Privat</t>
        </is>
      </c>
      <c r="J34" s="6">
        <f>HYPERLINK("https://www.kleinanzeigen.de/s-bestandsliste.html?userId=11620851", "Link")</f>
        <v/>
      </c>
      <c r="K34" s="7" t="n">
        <v>45568.74674768518</v>
      </c>
      <c r="L34" s="3" t="inlineStr">
        <is>
          <t>383.95</t>
        </is>
      </c>
      <c r="M34" t="inlineStr">
        <is>
          <t>Köln</t>
        </is>
      </c>
    </row>
    <row r="35">
      <c r="A35" t="inlineStr">
        <is>
          <t>Snowboard K2 Vandal 145</t>
        </is>
      </c>
      <c r="B35" s="4" t="n">
        <v>80</v>
      </c>
      <c r="C35" t="inlineStr"/>
      <c r="D35" t="inlineStr">
        <is>
          <t>85653 Kr. München - Aying</t>
        </is>
      </c>
      <c r="E35" s="5" t="n">
        <v>45568</v>
      </c>
      <c r="F35" t="inlineStr"/>
      <c r="G35" s="6">
        <f>HYPERLINK("https://www.kleinanzeigen.de/s-anzeige/snowboard-k2-vandal-145/2881054202-230-6197", "Link")</f>
        <v/>
      </c>
      <c r="H35" s="6">
        <f>HYPERLINK("C:\Projects\Kleinanzeigen-Scraper\offer_images\2881054202", "Link")</f>
        <v/>
      </c>
      <c r="I35" t="inlineStr">
        <is>
          <t>Julia J.</t>
        </is>
      </c>
      <c r="J35" s="6">
        <f>HYPERLINK("https://www.kleinanzeigen.de/s-bestandsliste.html?userId=38515553", "Link")</f>
        <v/>
      </c>
      <c r="K35" s="7" t="n">
        <v>45568.74672453704</v>
      </c>
      <c r="L35" s="3" t="inlineStr">
        <is>
          <t>23.26</t>
        </is>
      </c>
      <c r="M35" t="inlineStr">
        <is>
          <t>München</t>
        </is>
      </c>
    </row>
    <row r="36">
      <c r="A36" t="inlineStr">
        <is>
          <t>Fanatic Falcon 98</t>
        </is>
      </c>
      <c r="B36" s="4" t="n">
        <v>750</v>
      </c>
      <c r="C36" t="inlineStr">
        <is>
          <t>VB</t>
        </is>
      </c>
      <c r="D36" t="inlineStr">
        <is>
          <t>38100 Niedersachsen - Braunschweig</t>
        </is>
      </c>
      <c r="E36" s="5" t="n">
        <v>45568</v>
      </c>
      <c r="F36" t="inlineStr"/>
      <c r="G36" s="6">
        <f>HYPERLINK("https://www.kleinanzeigen.de/s-anzeige/fanatic-falcon-98/2881278202-230-2462", "Link")</f>
        <v/>
      </c>
      <c r="H36" s="6">
        <f>HYPERLINK("C:\Projects\Kleinanzeigen-Scraper\offer_images\2881278202", "Link")</f>
        <v/>
      </c>
      <c r="I36" t="inlineStr">
        <is>
          <t>Patrice</t>
        </is>
      </c>
      <c r="J36" s="6">
        <f>HYPERLINK("https://www.kleinanzeigen.de/s-bestandsliste.html?userId=16234121", "Link")</f>
        <v/>
      </c>
      <c r="K36" s="7" t="n">
        <v>45568.74666666667</v>
      </c>
      <c r="L36" s="3" t="inlineStr">
        <is>
          <t>287.00</t>
        </is>
      </c>
      <c r="M36" t="inlineStr">
        <is>
          <t>Köln</t>
        </is>
      </c>
    </row>
    <row r="37">
      <c r="A37" t="inlineStr">
        <is>
          <t>Neilpryde Combat Pro 4,7 2023</t>
        </is>
      </c>
      <c r="B37" s="4" t="n">
        <v>450</v>
      </c>
      <c r="C37" t="inlineStr">
        <is>
          <t>VB</t>
        </is>
      </c>
      <c r="D37" t="inlineStr">
        <is>
          <t>21035 Bergedorf - Hamburg Allermöhe</t>
        </is>
      </c>
      <c r="E37" s="5" t="n">
        <v>45563</v>
      </c>
      <c r="F37" t="inlineStr"/>
      <c r="G37" s="6">
        <f>HYPERLINK("https://www.kleinanzeigen.de/s-anzeige/neilpryde-combat-pro-4-7-2023/2876743114-230-9517", "Link")</f>
        <v/>
      </c>
      <c r="H37" s="6">
        <f>HYPERLINK("C:\Projects\Kleinanzeigen-Scraper\offer_images\2876743114", "Link")</f>
        <v/>
      </c>
      <c r="I37" t="inlineStr">
        <is>
          <t>Erik</t>
        </is>
      </c>
      <c r="J37" s="6">
        <f>HYPERLINK("https://www.kleinanzeigen.de/s-bestandsliste.html?userId=45943178", "Link")</f>
        <v/>
      </c>
      <c r="K37" s="7" t="n">
        <v>45568.74666666667</v>
      </c>
      <c r="L37" s="3" t="inlineStr">
        <is>
          <t>357.47</t>
        </is>
      </c>
      <c r="M37" t="inlineStr">
        <is>
          <t>Köln</t>
        </is>
      </c>
    </row>
    <row r="38">
      <c r="A38" t="inlineStr">
        <is>
          <t>Fanatic Fuselage AL 3.0 680</t>
        </is>
      </c>
      <c r="B38" s="4" t="n">
        <v>120</v>
      </c>
      <c r="C38" t="inlineStr">
        <is>
          <t>VB</t>
        </is>
      </c>
      <c r="D38" t="inlineStr">
        <is>
          <t>81547 München - Untergiesing-Harlaching</t>
        </is>
      </c>
      <c r="E38" s="5" t="n">
        <v>45568</v>
      </c>
      <c r="F38" t="inlineStr"/>
      <c r="G38" s="6">
        <f>HYPERLINK("https://www.kleinanzeigen.de/s-anzeige/fanatic-fuselage-al-3-0-680/2880731758-230-6428", "Link")</f>
        <v/>
      </c>
      <c r="H38" s="6">
        <f>HYPERLINK("C:\Projects\Kleinanzeigen-Scraper\offer_images\2880731758", "Link")</f>
        <v/>
      </c>
      <c r="I38" t="inlineStr">
        <is>
          <t>M. S.</t>
        </is>
      </c>
      <c r="J38" s="6">
        <f>HYPERLINK("https://www.kleinanzeigen.de/s-bestandsliste.html?userId=22976109", "Link")</f>
        <v/>
      </c>
      <c r="K38" s="7" t="n">
        <v>45568.74662037037</v>
      </c>
      <c r="L38" s="3" t="inlineStr">
        <is>
          <t>3.83</t>
        </is>
      </c>
      <c r="M38" t="inlineStr">
        <is>
          <t>München</t>
        </is>
      </c>
    </row>
    <row r="39">
      <c r="A39" t="inlineStr">
        <is>
          <t>FANATIC Foil Set Complete AL Aero 1750 + 82 Mast + 76 Fuselage</t>
        </is>
      </c>
      <c r="B39" s="4" t="n">
        <v>650</v>
      </c>
      <c r="C39" t="inlineStr"/>
      <c r="D39" t="inlineStr">
        <is>
          <t>82178 Bayern - Puchheim</t>
        </is>
      </c>
      <c r="E39" s="5" t="n">
        <v>45568</v>
      </c>
      <c r="F39" t="inlineStr"/>
      <c r="G39" s="6">
        <f>HYPERLINK("https://www.kleinanzeigen.de/s-anzeige/fanatic-foil-set-complete-al-aero-1750-82-mast-76-fuselage/2881316785-230-5599", "Link")</f>
        <v/>
      </c>
      <c r="H39" s="6">
        <f>HYPERLINK("C:\Projects\Kleinanzeigen-Scraper\offer_images\2881316785", "Link")</f>
        <v/>
      </c>
      <c r="I39" t="inlineStr">
        <is>
          <t>Michael Nanini</t>
        </is>
      </c>
      <c r="J39" s="6">
        <f>HYPERLINK("https://www.kleinanzeigen.de/s-bestandsliste.html?userId=11859414", "Link")</f>
        <v/>
      </c>
      <c r="K39" s="7" t="n">
        <v>45568.74622685185</v>
      </c>
      <c r="L39" s="3" t="inlineStr">
        <is>
          <t>17.38</t>
        </is>
      </c>
      <c r="M39" t="inlineStr">
        <is>
          <t>München</t>
        </is>
      </c>
    </row>
    <row r="40">
      <c r="A40" t="inlineStr">
        <is>
          <t>Vierteldollar / Quarter Dollar North Dakota</t>
        </is>
      </c>
      <c r="B40" s="4" t="inlineStr"/>
      <c r="C40" t="inlineStr">
        <is>
          <t>VB</t>
        </is>
      </c>
      <c r="D40" t="inlineStr">
        <is>
          <t>40468 Düsseldorf - Lichtenbroich</t>
        </is>
      </c>
      <c r="E40" s="5" t="n">
        <v>45568</v>
      </c>
      <c r="F40" t="inlineStr"/>
      <c r="G40" s="6">
        <f>HYPERLINK("https://www.kleinanzeigen.de/s-anzeige/vierteldollar-quarter-dollar-north-dakota/2881498615-234-16739", "Link")</f>
        <v/>
      </c>
      <c r="H40" s="6">
        <f>HYPERLINK("C:\Projects\Kleinanzeigen-Scraper\offer_images\2881498615", "Link")</f>
        <v/>
      </c>
      <c r="I40" t="inlineStr">
        <is>
          <t>Fabian</t>
        </is>
      </c>
      <c r="J40" s="6">
        <f>HYPERLINK("https://www.kleinanzeigen.de/s-bestandsliste.html?userId=26319454", "Link")</f>
        <v/>
      </c>
      <c r="K40" s="7" t="n">
        <v>45568.74619212963</v>
      </c>
      <c r="L40" s="3" t="inlineStr">
        <is>
          <t>37.89</t>
        </is>
      </c>
      <c r="M40" t="inlineStr">
        <is>
          <t>Köln</t>
        </is>
      </c>
    </row>
    <row r="41">
      <c r="A41" t="inlineStr">
        <is>
          <t>Windsurf Segel</t>
        </is>
      </c>
      <c r="B41" s="4" t="n">
        <v>25</v>
      </c>
      <c r="C41" t="inlineStr">
        <is>
          <t>VB</t>
        </is>
      </c>
      <c r="D41" t="inlineStr">
        <is>
          <t>31712 Niedersachsen - Niedernwöhren</t>
        </is>
      </c>
      <c r="E41" s="5" t="n">
        <v>45568</v>
      </c>
      <c r="F41" t="inlineStr"/>
      <c r="G41" s="6">
        <f>HYPERLINK("https://www.kleinanzeigen.de/s-anzeige/windsurf-segel/2881677452-211-2507", "Link")</f>
        <v/>
      </c>
      <c r="H41" s="6">
        <f>HYPERLINK("C:\Projects\Kleinanzeigen-Scraper\offer_images\2881677452", "Link")</f>
        <v/>
      </c>
      <c r="I41" t="inlineStr">
        <is>
          <t>Xenia</t>
        </is>
      </c>
      <c r="J41" s="6">
        <f>HYPERLINK("https://www.kleinanzeigen.de/s-bestandsliste.html?userId=86598697", "Link")</f>
        <v/>
      </c>
      <c r="K41" s="7" t="n">
        <v>45568.74609953703</v>
      </c>
      <c r="L41" s="3" t="inlineStr">
        <is>
          <t>218.72</t>
        </is>
      </c>
      <c r="M41" t="inlineStr">
        <is>
          <t>Köln</t>
        </is>
      </c>
    </row>
    <row r="42">
      <c r="A42" t="inlineStr">
        <is>
          <t>Lehrbuch Windsurfen ( Windsurfsegel Segel Mast Gabelbaum</t>
        </is>
      </c>
      <c r="B42" s="4" t="n">
        <v>6</v>
      </c>
      <c r="C42" t="inlineStr"/>
      <c r="D42" t="inlineStr">
        <is>
          <t>20253 Eimsbüttel - Hamburg Eimsbüttel (Stadtteil)</t>
        </is>
      </c>
      <c r="E42" s="5" t="n">
        <v>45568</v>
      </c>
      <c r="F42" t="inlineStr"/>
      <c r="G42" s="6">
        <f>HYPERLINK("https://www.kleinanzeigen.de/s-anzeige/lehrbuch-windsurfen-windsurfsegel-segel-mast-gabelbaum/2880719036-230-9430", "Link")</f>
        <v/>
      </c>
      <c r="H42" s="6">
        <f>HYPERLINK("C:\Projects\Kleinanzeigen-Scraper\offer_images\2880719036", "Link")</f>
        <v/>
      </c>
      <c r="I42" t="inlineStr">
        <is>
          <t>FiMe</t>
        </is>
      </c>
      <c r="J42" s="6">
        <f>HYPERLINK("https://www.kleinanzeigen.de/s-bestandsliste.html?userId=447739", "Link")</f>
        <v/>
      </c>
      <c r="K42" s="7" t="n">
        <v>45568.74572916667</v>
      </c>
      <c r="L42" s="3" t="inlineStr">
        <is>
          <t>357.98</t>
        </is>
      </c>
      <c r="M42" t="inlineStr">
        <is>
          <t>Köln</t>
        </is>
      </c>
    </row>
    <row r="43">
      <c r="A43" t="inlineStr">
        <is>
          <t>North Wave Rad  Wasserfester Winterschuh  Größe 47</t>
        </is>
      </c>
      <c r="B43" s="4" t="n">
        <v>50</v>
      </c>
      <c r="C43" t="inlineStr">
        <is>
          <t>VB</t>
        </is>
      </c>
      <c r="D43" t="inlineStr">
        <is>
          <t>22457 Eimsbüttel - Hamburg Schnelsen</t>
        </is>
      </c>
      <c r="E43" s="5" t="n">
        <v>45568</v>
      </c>
      <c r="F43" t="inlineStr"/>
      <c r="G43" s="6">
        <f>HYPERLINK("https://www.kleinanzeigen.de/s-anzeige/north-wave-rad-wasserfester-winterschuh-groesse-47/2880795736-230-9492", "Link")</f>
        <v/>
      </c>
      <c r="H43" s="6">
        <f>HYPERLINK("C:\Projects\Kleinanzeigen-Scraper\offer_images\2880795736", "Link")</f>
        <v/>
      </c>
      <c r="I43" t="inlineStr">
        <is>
          <t>Jan</t>
        </is>
      </c>
      <c r="J43" s="6">
        <f>HYPERLINK("https://www.kleinanzeigen.de/s-bestandsliste.html?userId=17710421", "Link")</f>
        <v/>
      </c>
      <c r="K43" s="7" t="n">
        <v>45568.74570601852</v>
      </c>
      <c r="L43" s="3" t="inlineStr">
        <is>
          <t>362.41</t>
        </is>
      </c>
      <c r="M43" t="inlineStr">
        <is>
          <t>Köln</t>
        </is>
      </c>
    </row>
    <row r="44">
      <c r="A44" t="inlineStr">
        <is>
          <t>Skihose North Bend Gr. 36</t>
        </is>
      </c>
      <c r="B44" s="4" t="n">
        <v>25</v>
      </c>
      <c r="C44" t="inlineStr"/>
      <c r="D44" t="inlineStr">
        <is>
          <t>85405 Bayern - Nandlstadt</t>
        </is>
      </c>
      <c r="E44" s="5" t="n">
        <v>45567</v>
      </c>
      <c r="F44" t="inlineStr"/>
      <c r="G44" s="6">
        <f>HYPERLINK("https://www.kleinanzeigen.de/s-anzeige/skihose-north-bend-gr-36/2880572010-230-6534", "Link")</f>
        <v/>
      </c>
      <c r="H44" s="6">
        <f>HYPERLINK("C:\Projects\Kleinanzeigen-Scraper\offer_images\2880572010", "Link")</f>
        <v/>
      </c>
      <c r="I44" t="inlineStr">
        <is>
          <t>Fam. D.</t>
        </is>
      </c>
      <c r="J44" s="6">
        <f>HYPERLINK("https://www.kleinanzeigen.de/s-bestandsliste.html?userId=8554204", "Link")</f>
        <v/>
      </c>
      <c r="K44" s="7" t="n">
        <v>45568.74564814815</v>
      </c>
      <c r="L44" s="3" t="inlineStr">
        <is>
          <t>46.51</t>
        </is>
      </c>
      <c r="M44" t="inlineStr">
        <is>
          <t>München</t>
        </is>
      </c>
    </row>
    <row r="45">
      <c r="A45" t="inlineStr">
        <is>
          <t>Bella Sara Karten Serie: Northern Lights EN (13 Karten)</t>
        </is>
      </c>
      <c r="B45" s="4" t="n">
        <v>5</v>
      </c>
      <c r="C45" t="inlineStr">
        <is>
          <t>VB</t>
        </is>
      </c>
      <c r="D45" t="inlineStr">
        <is>
          <t>66119 Saarbrücken-Mitte - St Arnual</t>
        </is>
      </c>
      <c r="E45" s="5" t="n">
        <v>45567</v>
      </c>
      <c r="F45" t="inlineStr"/>
      <c r="G45" s="6">
        <f>HYPERLINK("https://www.kleinanzeigen.de/s-anzeige/bella-sara-karten-serie-northern-lights-en-13-karten-/2880554818-234-27351", "Link")</f>
        <v/>
      </c>
      <c r="H45" s="6">
        <f>HYPERLINK("C:\Projects\Kleinanzeigen-Scraper\offer_images\2880554818", "Link")</f>
        <v/>
      </c>
      <c r="I45" t="inlineStr">
        <is>
          <t>Laura Schmidt</t>
        </is>
      </c>
      <c r="J45" s="6">
        <f>HYPERLINK("https://www.kleinanzeigen.de/s-bestandsliste.html?userId=52983538", "Link")</f>
        <v/>
      </c>
      <c r="K45" s="7" t="n">
        <v>45568.7455787037</v>
      </c>
      <c r="L45" s="3" t="inlineStr">
        <is>
          <t>103.38</t>
        </is>
      </c>
      <c r="M45" t="inlineStr">
        <is>
          <t>Karlsruhe</t>
        </is>
      </c>
    </row>
    <row r="46">
      <c r="A46" t="inlineStr">
        <is>
          <t>Heller 80277 1:72 North American F-86F Sabre</t>
        </is>
      </c>
      <c r="B46" s="4" t="n">
        <v>9</v>
      </c>
      <c r="C46" t="inlineStr">
        <is>
          <t>VB</t>
        </is>
      </c>
      <c r="D46" t="inlineStr">
        <is>
          <t>47169 Duisburg - Röttgersbach</t>
        </is>
      </c>
      <c r="E46" s="5" t="n">
        <v>45568</v>
      </c>
      <c r="F46" t="inlineStr"/>
      <c r="G46" s="6">
        <f>HYPERLINK("https://www.kleinanzeigen.de/s-anzeige/heller-80277-1-72-north-american-f-86f-sabre/2881303356-249-23951", "Link")</f>
        <v/>
      </c>
      <c r="H46" s="6">
        <f>HYPERLINK("C:\Projects\Kleinanzeigen-Scraper\offer_images\2881303356", "Link")</f>
        <v/>
      </c>
      <c r="I46" t="inlineStr">
        <is>
          <t>Haeffs/Hlobik</t>
        </is>
      </c>
      <c r="J46" s="6">
        <f>HYPERLINK("https://www.kleinanzeigen.de/s-bestandsliste.html?userId=43501739", "Link")</f>
        <v/>
      </c>
      <c r="K46" s="7" t="n">
        <v>45568.74556712963</v>
      </c>
      <c r="L46" s="3" t="inlineStr">
        <is>
          <t>65.16</t>
        </is>
      </c>
      <c r="M46" t="inlineStr">
        <is>
          <t>Köln</t>
        </is>
      </c>
    </row>
    <row r="47">
      <c r="A47" t="inlineStr">
        <is>
          <t>SIMMS G4 Pro Wathose greystone  XLT</t>
        </is>
      </c>
      <c r="B47" s="4" t="n">
        <v>590</v>
      </c>
      <c r="C47" t="inlineStr">
        <is>
          <t>VB</t>
        </is>
      </c>
      <c r="D47" t="inlineStr">
        <is>
          <t>14558 Brandenburg - Nuthetal</t>
        </is>
      </c>
      <c r="E47" s="5" t="n">
        <v>45564</v>
      </c>
      <c r="F47" t="inlineStr"/>
      <c r="G47" s="6">
        <f>HYPERLINK("https://www.kleinanzeigen.de/s-anzeige/simms-g4-pro-wathose-greystone-xlt/2876951224-230-13420", "Link")</f>
        <v/>
      </c>
      <c r="H47" s="6">
        <f>HYPERLINK("C:\Projects\Kleinanzeigen-Scraper\offer_images\2876951224", "Link")</f>
        <v/>
      </c>
      <c r="I47" t="inlineStr">
        <is>
          <t>Alex</t>
        </is>
      </c>
      <c r="J47" s="6">
        <f>HYPERLINK("https://www.kleinanzeigen.de/s-bestandsliste.html?userId=9002097", "Link")</f>
        <v/>
      </c>
      <c r="K47" s="7" t="n">
        <v>45568.74518518519</v>
      </c>
      <c r="L47" s="3" t="inlineStr">
        <is>
          <t>453.79</t>
        </is>
      </c>
      <c r="M47" t="inlineStr">
        <is>
          <t>Köln</t>
        </is>
      </c>
    </row>
    <row r="48">
      <c r="A48" t="inlineStr">
        <is>
          <t>Windsurfen vom Anfänger zum Könner ISBN 3405120950 blv sport 1980</t>
        </is>
      </c>
      <c r="B48" s="4" t="n">
        <v>4</v>
      </c>
      <c r="C48" t="inlineStr"/>
      <c r="D48" t="inlineStr">
        <is>
          <t>55257 Rheinland-Pfalz - Budenheim</t>
        </is>
      </c>
      <c r="E48" s="5" t="n">
        <v>45568</v>
      </c>
      <c r="F48" t="inlineStr"/>
      <c r="G48" s="6">
        <f>HYPERLINK("https://www.kleinanzeigen.de/s-anzeige/windsurfen-vom-anfaenger-zum-koenner-isbn-3405120950-blv-sport-1980/2881155385-76-4803", "Link")</f>
        <v/>
      </c>
      <c r="H48" s="6">
        <f>HYPERLINK("C:\Projects\Kleinanzeigen-Scraper\offer_images\2881155385", "Link")</f>
        <v/>
      </c>
      <c r="I48" t="inlineStr">
        <is>
          <t>Jacqueline</t>
        </is>
      </c>
      <c r="J48" s="6">
        <f>HYPERLINK("https://www.kleinanzeigen.de/s-bestandsliste.html?userId=31405948", "Link")</f>
        <v/>
      </c>
      <c r="K48" s="7" t="n">
        <v>45568.74511574074</v>
      </c>
      <c r="L48" s="3" t="inlineStr">
        <is>
          <t>114.25</t>
        </is>
      </c>
      <c r="M48" t="inlineStr">
        <is>
          <t>Karlsruhe</t>
        </is>
      </c>
    </row>
    <row r="49">
      <c r="A49" t="inlineStr">
        <is>
          <t>Fanatic FlyAir SUP 10.6" 323cm + Pumpe, Paddel + Tasche</t>
        </is>
      </c>
      <c r="B49" s="4" t="n">
        <v>80</v>
      </c>
      <c r="C49" t="inlineStr">
        <is>
          <t>VB</t>
        </is>
      </c>
      <c r="D49" t="inlineStr">
        <is>
          <t>86551 Bayern - Aichach</t>
        </is>
      </c>
      <c r="E49" s="5" t="n">
        <v>45568</v>
      </c>
      <c r="F49" t="inlineStr"/>
      <c r="G49" s="6">
        <f>HYPERLINK("https://www.kleinanzeigen.de/s-anzeige/fanatic-flyair-sup-10-6-323cm-pumpe-paddel-tasche/2881096609-230-7194", "Link")</f>
        <v/>
      </c>
      <c r="H49" s="6">
        <f>HYPERLINK("C:\Projects\Kleinanzeigen-Scraper\offer_images\2881096609", "Link")</f>
        <v/>
      </c>
      <c r="I49" t="inlineStr">
        <is>
          <t>Schöffel Mathias</t>
        </is>
      </c>
      <c r="J49" s="6">
        <f>HYPERLINK("https://www.kleinanzeigen.de/s-bestandsliste.html?userId=3486046", "Link")</f>
        <v/>
      </c>
      <c r="K49" s="7" t="n">
        <v>45568.74508101852</v>
      </c>
      <c r="L49" s="3" t="inlineStr">
        <is>
          <t>47.87</t>
        </is>
      </c>
      <c r="M49" t="inlineStr">
        <is>
          <t>München</t>
        </is>
      </c>
    </row>
    <row r="50">
      <c r="A50" t="inlineStr">
        <is>
          <t>Outwell Goya Night Blue Camping-Stuhl EK122</t>
        </is>
      </c>
      <c r="B50" s="4" t="n">
        <v>25</v>
      </c>
      <c r="C50" t="inlineStr"/>
      <c r="D50" t="inlineStr">
        <is>
          <t>36093 Hessen - Künzell</t>
        </is>
      </c>
      <c r="E50" s="5" t="n">
        <v>45551</v>
      </c>
      <c r="F50" t="inlineStr"/>
      <c r="G50" s="6">
        <f>HYPERLINK("https://www.kleinanzeigen.de/s-anzeige/outwell-goya-night-blue-camping-stuhl-ek122/2865428082-230-4619", "Link")</f>
        <v/>
      </c>
      <c r="H50" s="6">
        <f>HYPERLINK("C:\Projects\Kleinanzeigen-Scraper\offer_images\2865428082", "Link")</f>
        <v/>
      </c>
      <c r="I50" t="inlineStr">
        <is>
          <t>Fam. Otto</t>
        </is>
      </c>
      <c r="J50" s="6">
        <f>HYPERLINK("https://www.kleinanzeigen.de/s-bestandsliste.html?userId=59583696", "Link")</f>
        <v/>
      </c>
      <c r="K50" s="7" t="n">
        <v>45568.74475694444</v>
      </c>
      <c r="L50" s="3" t="inlineStr">
        <is>
          <t>195.06</t>
        </is>
      </c>
      <c r="M50" t="inlineStr">
        <is>
          <t>Karlsruhe</t>
        </is>
      </c>
    </row>
    <row r="51">
      <c r="A51" t="inlineStr">
        <is>
          <t>Simms Watstock Wading Stoff Carbon</t>
        </is>
      </c>
      <c r="B51" s="4" t="n">
        <v>89</v>
      </c>
      <c r="C51" t="inlineStr"/>
      <c r="D51" t="inlineStr">
        <is>
          <t>17039 Mecklenburg-Strelitz - Landkreis - Neverin</t>
        </is>
      </c>
      <c r="E51" s="5" t="n">
        <v>45567</v>
      </c>
      <c r="F51" t="inlineStr">
        <is>
          <t>Sold</t>
        </is>
      </c>
      <c r="G51" s="6">
        <f>HYPERLINK("https://www.kleinanzeigen.de/s-anzeige/simms-watstock-wading-stoff-carbon/2880451163-187-21178", "Link")</f>
        <v/>
      </c>
      <c r="H51" s="6">
        <f>HYPERLINK("C:\Projects\Kleinanzeigen-Scraper\offer_images\2880451163", "Link")</f>
        <v/>
      </c>
      <c r="I51" t="inlineStr">
        <is>
          <t>Torsten Golke</t>
        </is>
      </c>
      <c r="J51" s="6">
        <f>HYPERLINK("https://www.kleinanzeigen.de/s-bestandsliste.html?userId=57732095", "Link")</f>
        <v/>
      </c>
      <c r="K51" s="7" t="n">
        <v>45567.75326388889</v>
      </c>
      <c r="L51" s="3" t="inlineStr">
        <is>
          <t>522.86</t>
        </is>
      </c>
      <c r="M51" t="inlineStr">
        <is>
          <t>Köln</t>
        </is>
      </c>
    </row>
    <row r="52">
      <c r="A52" t="inlineStr">
        <is>
          <t>Foil Slingshot Hover Glide Fwind Windsurf</t>
        </is>
      </c>
      <c r="B52" s="4" t="n">
        <v>360</v>
      </c>
      <c r="C52" t="inlineStr">
        <is>
          <t>VB</t>
        </is>
      </c>
      <c r="D52" t="inlineStr">
        <is>
          <t>78462 Baden-Württemberg - Konstanz</t>
        </is>
      </c>
      <c r="E52" s="5" t="n">
        <v>45566</v>
      </c>
      <c r="F52" t="inlineStr"/>
      <c r="G52" s="6">
        <f>HYPERLINK("https://www.kleinanzeigen.de/s-anzeige/foil-slingshot-hover-glide-fwind-windsurf/2879700964-230-9390", "Link")</f>
        <v/>
      </c>
      <c r="H52" s="6">
        <f>HYPERLINK("C:\Projects\Kleinanzeigen-Scraper\offer_images\2879700964", "Link")</f>
        <v/>
      </c>
      <c r="I52" t="inlineStr">
        <is>
          <t>Timo</t>
        </is>
      </c>
      <c r="J52" s="6">
        <f>HYPERLINK("https://www.kleinanzeigen.de/s-bestandsliste.html?userId=47413442", "Link")</f>
        <v/>
      </c>
      <c r="K52" s="7" t="n">
        <v>45567.75326388889</v>
      </c>
      <c r="L52" s="3" t="inlineStr">
        <is>
          <t>64.75</t>
        </is>
      </c>
      <c r="M52" t="inlineStr">
        <is>
          <t>Bonndorf</t>
        </is>
      </c>
    </row>
    <row r="53">
      <c r="A53" t="inlineStr">
        <is>
          <t>Uhr Chronograph Neil Pryde Neilpryde</t>
        </is>
      </c>
      <c r="B53" s="4" t="n">
        <v>119</v>
      </c>
      <c r="C53" t="inlineStr">
        <is>
          <t>VB</t>
        </is>
      </c>
      <c r="D53" t="inlineStr">
        <is>
          <t>76229 Baden-Württemberg - Karlsruhe</t>
        </is>
      </c>
      <c r="E53" s="5" t="n">
        <v>45566</v>
      </c>
      <c r="F53" t="inlineStr"/>
      <c r="G53" s="6">
        <f>HYPERLINK("https://www.kleinanzeigen.de/s-anzeige/uhr-chronograph-neil-pryde-neilpryde/2879691104-234-9199", "Link")</f>
        <v/>
      </c>
      <c r="H53" s="6">
        <f>HYPERLINK("C:\Projects\Kleinanzeigen-Scraper\offer_images\2879691104", "Link")</f>
        <v/>
      </c>
      <c r="I53" t="inlineStr">
        <is>
          <t>Harald Mohrhardt</t>
        </is>
      </c>
      <c r="J53" s="6">
        <f>HYPERLINK("https://www.kleinanzeigen.de/s-bestandsliste.html?userId=24500979", "Link")</f>
        <v/>
      </c>
      <c r="K53" s="7" t="n">
        <v>45567.753125</v>
      </c>
      <c r="L53" s="3" t="inlineStr">
        <is>
          <t>7.41</t>
        </is>
      </c>
      <c r="M53" t="inlineStr">
        <is>
          <t>Karlsruhe</t>
        </is>
      </c>
    </row>
    <row r="54">
      <c r="A54" t="inlineStr">
        <is>
          <t>Horue Vini V2 Pro Carbon Foil Windsurf Freeride Freerace 3 Flügel</t>
        </is>
      </c>
      <c r="B54" s="4" t="n">
        <v>850</v>
      </c>
      <c r="C54" t="inlineStr">
        <is>
          <t>VB</t>
        </is>
      </c>
      <c r="D54" t="inlineStr">
        <is>
          <t>80637 Neuhausen-Nymphenburg - Neuhausen</t>
        </is>
      </c>
      <c r="E54" s="5" t="n">
        <v>45567</v>
      </c>
      <c r="F54" t="inlineStr"/>
      <c r="G54" s="6">
        <f>HYPERLINK("https://www.kleinanzeigen.de/s-anzeige/horue-vini-v2-pro-carbon-foil-windsurf-freeride-freerace-3-fluegel/2880172622-230-6422", "Link")</f>
        <v/>
      </c>
      <c r="H54" s="6">
        <f>HYPERLINK("C:\Projects\Kleinanzeigen-Scraper\offer_images\2880172622", "Link")</f>
        <v/>
      </c>
      <c r="I54" t="inlineStr">
        <is>
          <t>Michael</t>
        </is>
      </c>
      <c r="J54" s="6">
        <f>HYPERLINK("https://www.kleinanzeigen.de/s-bestandsliste.html?userId=14242997", "Link")</f>
        <v/>
      </c>
      <c r="K54" s="7" t="n">
        <v>45567.75298611111</v>
      </c>
      <c r="L54" s="3" t="inlineStr">
        <is>
          <t>3.94</t>
        </is>
      </c>
      <c r="M54" t="inlineStr">
        <is>
          <t>München</t>
        </is>
      </c>
    </row>
    <row r="55">
      <c r="A55" t="inlineStr">
        <is>
          <t>Isabella Boden für das Luftzelt Cirrus North 300</t>
        </is>
      </c>
      <c r="B55" s="4" t="n">
        <v>145</v>
      </c>
      <c r="C55" t="inlineStr">
        <is>
          <t>VB</t>
        </is>
      </c>
      <c r="D55" t="inlineStr">
        <is>
          <t>50129 Nordrhein-Westfalen - Bergheim</t>
        </is>
      </c>
      <c r="E55" s="5" t="n">
        <v>45561</v>
      </c>
      <c r="F55" t="inlineStr">
        <is>
          <t>Sold</t>
        </is>
      </c>
      <c r="G55" s="6">
        <f>HYPERLINK("https://www.kleinanzeigen.de/s-anzeige/isabella-boden-fuer-das-luftzelt-cirrus-north-300/2874740763-230-1876", "Link")</f>
        <v/>
      </c>
      <c r="H55" s="6">
        <f>HYPERLINK("C:\Projects\Kleinanzeigen-Scraper\offer_images\2874740763", "Link")</f>
        <v/>
      </c>
      <c r="I55" t="inlineStr">
        <is>
          <t>Christian</t>
        </is>
      </c>
      <c r="J55" s="6">
        <f>HYPERLINK("https://www.kleinanzeigen.de/s-bestandsliste.html?userId=121911153", "Link")</f>
        <v/>
      </c>
      <c r="K55" s="7" t="n">
        <v>45567.75263888889</v>
      </c>
      <c r="L55" s="3" t="inlineStr">
        <is>
          <t>18.04</t>
        </is>
      </c>
      <c r="M55" t="inlineStr">
        <is>
          <t>Köln</t>
        </is>
      </c>
    </row>
    <row r="56">
      <c r="A56" t="inlineStr">
        <is>
          <t>Isabella Vorzelt Capri North G18 (975-999cm)</t>
        </is>
      </c>
      <c r="B56" s="4" t="n">
        <v>1.75</v>
      </c>
      <c r="C56" t="inlineStr">
        <is>
          <t>VB</t>
        </is>
      </c>
      <c r="D56" t="inlineStr">
        <is>
          <t>63741 Bayern - Aschaffenburg</t>
        </is>
      </c>
      <c r="E56" s="5" t="n">
        <v>45567</v>
      </c>
      <c r="F56" t="inlineStr"/>
      <c r="G56" s="6">
        <f>HYPERLINK("https://www.kleinanzeigen.de/s-anzeige/isabella-vorzelt-capri-north-g18-975-999cm-/2879954739-230-7436", "Link")</f>
        <v/>
      </c>
      <c r="H56" s="6">
        <f>HYPERLINK("C:\Projects\Kleinanzeigen-Scraper\offer_images\2879954739", "Link")</f>
        <v/>
      </c>
      <c r="I56" t="inlineStr">
        <is>
          <t>Joe</t>
        </is>
      </c>
      <c r="J56" s="6">
        <f>HYPERLINK("https://www.kleinanzeigen.de/s-bestandsliste.html?userId=127476875", "Link")</f>
        <v/>
      </c>
      <c r="K56" s="7" t="n">
        <v>45567.75261574074</v>
      </c>
      <c r="L56" s="3" t="inlineStr">
        <is>
          <t>121.64</t>
        </is>
      </c>
      <c r="M56" t="inlineStr">
        <is>
          <t>Karlsruhe</t>
        </is>
      </c>
    </row>
    <row r="57">
      <c r="A57" t="inlineStr">
        <is>
          <t>Trockenanzug Starboard All Star SUP  Damen</t>
        </is>
      </c>
      <c r="B57" s="4" t="n">
        <v>280</v>
      </c>
      <c r="C57" t="inlineStr">
        <is>
          <t>VB</t>
        </is>
      </c>
      <c r="D57" t="inlineStr">
        <is>
          <t>24211 Schleswig-Holstein - Preetz</t>
        </is>
      </c>
      <c r="E57" s="5" t="n">
        <v>45567</v>
      </c>
      <c r="F57" t="inlineStr"/>
      <c r="G57" s="6">
        <f>HYPERLINK("https://www.kleinanzeigen.de/s-anzeige/trockenanzug-starboard-all-star-sup-damen/2880196375-230-473", "Link")</f>
        <v/>
      </c>
      <c r="H57" s="6">
        <f>HYPERLINK("C:\Projects\Kleinanzeigen-Scraper\offer_images\2880196375", "Link")</f>
        <v/>
      </c>
      <c r="I57" t="inlineStr">
        <is>
          <t>Grigo</t>
        </is>
      </c>
      <c r="J57" s="6">
        <f>HYPERLINK("https://www.kleinanzeigen.de/s-bestandsliste.html?userId=46186827", "Link")</f>
        <v/>
      </c>
      <c r="K57" s="7" t="n">
        <v>45567.75223379629</v>
      </c>
      <c r="L57" s="3" t="inlineStr">
        <is>
          <t>429.47</t>
        </is>
      </c>
      <c r="M57" t="inlineStr">
        <is>
          <t>Köln</t>
        </is>
      </c>
    </row>
    <row r="58">
      <c r="A58" t="inlineStr">
        <is>
          <t>A.R. Penck - „Northern Darkness“ (signiert &amp; nummeriert)</t>
        </is>
      </c>
      <c r="B58" s="4" t="n">
        <v>1.45</v>
      </c>
      <c r="C58" t="inlineStr"/>
      <c r="D58" t="inlineStr">
        <is>
          <t>50825 Köln - Ehrenfeld</t>
        </is>
      </c>
      <c r="E58" s="5" t="n">
        <v>45561</v>
      </c>
      <c r="F58" t="inlineStr">
        <is>
          <t>Sold</t>
        </is>
      </c>
      <c r="G58" s="6">
        <f>HYPERLINK("https://www.kleinanzeigen.de/s-anzeige/a-r-penck-northern-darkness-signiert-nummeriert-/2848025045-240-951", "Link")</f>
        <v/>
      </c>
      <c r="H58" s="6">
        <f>HYPERLINK("C:\Projects\Kleinanzeigen-Scraper\offer_images\2848025045", "Link")</f>
        <v/>
      </c>
      <c r="I58" t="inlineStr">
        <is>
          <t>No user name</t>
        </is>
      </c>
      <c r="J58" s="6">
        <f>HYPERLINK("https://www.kleinanzeigen.deNo user link", "Link")</f>
        <v/>
      </c>
      <c r="K58" s="7" t="n">
        <v>45567.75173611111</v>
      </c>
      <c r="L58" s="3" t="inlineStr">
        <is>
          <t>3.33</t>
        </is>
      </c>
      <c r="M58" t="inlineStr">
        <is>
          <t>Köln</t>
        </is>
      </c>
    </row>
    <row r="59">
      <c r="A59" t="inlineStr">
        <is>
          <t>Neu: NBA retro college Trikot Michael Jordan North Carolina Nike</t>
        </is>
      </c>
      <c r="B59" s="4" t="n">
        <v>52</v>
      </c>
      <c r="C59" t="inlineStr"/>
      <c r="D59" t="inlineStr">
        <is>
          <t>52078 Aachen - Aachen-Brand</t>
        </is>
      </c>
      <c r="E59" s="5" t="n">
        <v>45566</v>
      </c>
      <c r="F59" t="inlineStr">
        <is>
          <t>Sold</t>
        </is>
      </c>
      <c r="G59" s="6">
        <f>HYPERLINK("https://www.kleinanzeigen.de/s-anzeige/neu-nba-retro-college-trikot-michael-jordan-north-carolina-nike/2879739342-230-1926", "Link")</f>
        <v/>
      </c>
      <c r="H59" s="6">
        <f>HYPERLINK("C:\Projects\Kleinanzeigen-Scraper\offer_images\2879739342", "Link")</f>
        <v/>
      </c>
      <c r="I59" t="inlineStr">
        <is>
          <t>RF</t>
        </is>
      </c>
      <c r="J59" s="6">
        <f>HYPERLINK("https://www.kleinanzeigen.de/s-bestandsliste.html?userId=33653620", "Link")</f>
        <v/>
      </c>
      <c r="K59" s="7" t="n">
        <v>45567.75150462963</v>
      </c>
      <c r="L59" s="3" t="inlineStr">
        <is>
          <t>59.31</t>
        </is>
      </c>
      <c r="M59" t="inlineStr">
        <is>
          <t>Köln</t>
        </is>
      </c>
    </row>
    <row r="60">
      <c r="A60" t="inlineStr">
        <is>
          <t>Diverse Bücher, Pons, Windsurfen, DIY</t>
        </is>
      </c>
      <c r="B60" s="4" t="inlineStr"/>
      <c r="C60" t="inlineStr">
        <is>
          <t>VB</t>
        </is>
      </c>
      <c r="D60" t="inlineStr">
        <is>
          <t>49809 Niedersachsen - Lingen (Ems)</t>
        </is>
      </c>
      <c r="E60" s="5" t="n">
        <v>45566</v>
      </c>
      <c r="F60" t="inlineStr"/>
      <c r="G60" s="6">
        <f>HYPERLINK("https://www.kleinanzeigen.de/s-anzeige/diverse-buecher-pons-windsurfen-diy/2879610374-76-2564", "Link")</f>
        <v/>
      </c>
      <c r="H60" s="6">
        <f>HYPERLINK("C:\Projects\Kleinanzeigen-Scraper\offer_images\2879610374", "Link")</f>
        <v/>
      </c>
      <c r="I60" t="inlineStr">
        <is>
          <t>T. S.</t>
        </is>
      </c>
      <c r="J60" s="6">
        <f>HYPERLINK("https://www.kleinanzeigen.de/s-bestandsliste.html?userId=37632044", "Link")</f>
        <v/>
      </c>
      <c r="K60" s="7" t="n">
        <v>45567.75137731482</v>
      </c>
      <c r="L60" s="3" t="inlineStr">
        <is>
          <t>176.85</t>
        </is>
      </c>
      <c r="M60" t="inlineStr">
        <is>
          <t>Köln</t>
        </is>
      </c>
    </row>
    <row r="61">
      <c r="A61" t="inlineStr">
        <is>
          <t>Army Painter Fanatic Mega Set 110 Farben</t>
        </is>
      </c>
      <c r="B61" s="4" t="n">
        <v>275</v>
      </c>
      <c r="C61" t="inlineStr">
        <is>
          <t>VB</t>
        </is>
      </c>
      <c r="D61" t="inlineStr">
        <is>
          <t>38100 Niedersachsen - Braunschweig</t>
        </is>
      </c>
      <c r="E61" s="5" t="n">
        <v>45567</v>
      </c>
      <c r="F61" t="inlineStr"/>
      <c r="G61" s="6">
        <f>HYPERLINK("https://www.kleinanzeigen.de/s-anzeige/army-painter-fanatic-mega-set-110-farben/2880464517-234-2462", "Link")</f>
        <v/>
      </c>
      <c r="H61" s="6">
        <f>HYPERLINK("C:\Projects\Kleinanzeigen-Scraper\offer_images\2880464517", "Link")</f>
        <v/>
      </c>
      <c r="I61" t="inlineStr">
        <is>
          <t>Florian Stefan</t>
        </is>
      </c>
      <c r="J61" s="6">
        <f>HYPERLINK("https://www.kleinanzeigen.de/s-bestandsliste.html?userId=18238959", "Link")</f>
        <v/>
      </c>
      <c r="K61" s="7" t="n">
        <v>45567.75123842592</v>
      </c>
      <c r="L61" s="3" t="inlineStr">
        <is>
          <t>287.00</t>
        </is>
      </c>
      <c r="M61" t="inlineStr">
        <is>
          <t>Köln</t>
        </is>
      </c>
    </row>
    <row r="62">
      <c r="A62" t="inlineStr">
        <is>
          <t>North Navigator Bar 2024</t>
        </is>
      </c>
      <c r="B62" s="4" t="n">
        <v>300</v>
      </c>
      <c r="C62" t="inlineStr"/>
      <c r="D62" t="inlineStr">
        <is>
          <t>80638 Neuhausen-Nymphenburg - Nymphenburg</t>
        </is>
      </c>
      <c r="E62" s="5" t="n">
        <v>45567</v>
      </c>
      <c r="F62" t="inlineStr"/>
      <c r="G62" s="6">
        <f>HYPERLINK("https://www.kleinanzeigen.de/s-anzeige/north-navigator-bar-2024/2880110529-230-6421", "Link")</f>
        <v/>
      </c>
      <c r="H62" s="6">
        <f>HYPERLINK("C:\Projects\Kleinanzeigen-Scraper\offer_images\2880110529", "Link")</f>
        <v/>
      </c>
      <c r="I62" t="inlineStr">
        <is>
          <t>Loui</t>
        </is>
      </c>
      <c r="J62" s="6">
        <f>HYPERLINK("https://www.kleinanzeigen.de/s-bestandsliste.html?userId=67174608", "Link")</f>
        <v/>
      </c>
      <c r="K62" s="7" t="n">
        <v>45567.75104166667</v>
      </c>
      <c r="L62" s="3" t="inlineStr">
        <is>
          <t>5.88</t>
        </is>
      </c>
      <c r="M62" t="inlineStr">
        <is>
          <t>München</t>
        </is>
      </c>
    </row>
    <row r="63">
      <c r="A63" t="inlineStr">
        <is>
          <t>North Orbit - Orbit Pro - Code Zero - 2023-2024-2025</t>
        </is>
      </c>
      <c r="B63" s="4" t="n">
        <v>830</v>
      </c>
      <c r="C63" t="inlineStr"/>
      <c r="D63" t="inlineStr">
        <is>
          <t>78467 Baden-Württemberg - Konstanz</t>
        </is>
      </c>
      <c r="E63" s="5" t="n">
        <v>45561</v>
      </c>
      <c r="F63" t="inlineStr">
        <is>
          <t>Sold</t>
        </is>
      </c>
      <c r="G63" s="6">
        <f>HYPERLINK("https://www.kleinanzeigen.de/s-anzeige/north-orbit-orbit-pro-code-zero-2023-2024-2025/2874687939-230-9389", "Link")</f>
        <v/>
      </c>
      <c r="H63" s="6">
        <f>HYPERLINK("C:\Projects\Kleinanzeigen-Scraper\offer_images\2874687939", "Link")</f>
        <v/>
      </c>
      <c r="I63" t="inlineStr">
        <is>
          <t>Vermithor</t>
        </is>
      </c>
      <c r="J63" s="6">
        <f>HYPERLINK("https://www.kleinanzeigen.de/s-bestandsliste.html?userId=144664538", "Link")</f>
        <v/>
      </c>
      <c r="K63" s="7" t="n">
        <v>45567.75067129629</v>
      </c>
      <c r="L63" s="3" t="inlineStr">
        <is>
          <t>62.51</t>
        </is>
      </c>
      <c r="M63" t="inlineStr">
        <is>
          <t>Bonndorf</t>
        </is>
      </c>
    </row>
    <row r="64">
      <c r="A64" t="inlineStr">
        <is>
          <t>Alte Zigaretten Blech Schachtel, North State Cigarettes</t>
        </is>
      </c>
      <c r="B64" s="4" t="n">
        <v>9</v>
      </c>
      <c r="C64" t="inlineStr">
        <is>
          <t>VB</t>
        </is>
      </c>
      <c r="D64" t="inlineStr">
        <is>
          <t>25560 Schleswig-Holstein - Puls</t>
        </is>
      </c>
      <c r="E64" s="5" t="n">
        <v>45561</v>
      </c>
      <c r="F64" t="inlineStr">
        <is>
          <t>Sold</t>
        </is>
      </c>
      <c r="G64" s="6">
        <f>HYPERLINK("https://www.kleinanzeigen.de/s-anzeige/alte-zigaretten-blech-schachtel-north-state-cigarettes/2874660641-234-19418", "Link")</f>
        <v/>
      </c>
      <c r="H64" s="6">
        <f>HYPERLINK("C:\Projects\Kleinanzeigen-Scraper\offer_images\2874660641", "Link")</f>
        <v/>
      </c>
      <c r="I64" t="inlineStr">
        <is>
          <t>Privat</t>
        </is>
      </c>
      <c r="J64" s="6">
        <f>HYPERLINK("https://www.kleinanzeigen.de/s-bestandsliste.html?userId=226333", "Link")</f>
        <v/>
      </c>
      <c r="K64" s="7" t="n">
        <v>45567.75055555555</v>
      </c>
      <c r="L64" s="3" t="inlineStr">
        <is>
          <t>385.61</t>
        </is>
      </c>
      <c r="M64" t="inlineStr">
        <is>
          <t>Köln</t>
        </is>
      </c>
    </row>
    <row r="65">
      <c r="A65" t="inlineStr">
        <is>
          <t>Fanatic Skihose Größe XL inkl. Versand €25,00</t>
        </is>
      </c>
      <c r="B65" s="4" t="n">
        <v>25</v>
      </c>
      <c r="C65" t="inlineStr"/>
      <c r="D65" t="inlineStr">
        <is>
          <t>88213 Baden-Württemberg - Ravensburg</t>
        </is>
      </c>
      <c r="E65" s="5" t="n">
        <v>45566</v>
      </c>
      <c r="F65" t="inlineStr">
        <is>
          <t>Sold</t>
        </is>
      </c>
      <c r="G65" s="6">
        <f>HYPERLINK("https://www.kleinanzeigen.de/s-anzeige/fanatic-skihose-groesse-xl-inkl-versand-25-00/2879803521-187-9222", "Link")</f>
        <v/>
      </c>
      <c r="H65" s="6">
        <f>HYPERLINK("C:\Projects\Kleinanzeigen-Scraper\offer_images\2879803521", "Link")</f>
        <v/>
      </c>
      <c r="I65" t="inlineStr">
        <is>
          <t>Lynnejo15</t>
        </is>
      </c>
      <c r="J65" s="6">
        <f>HYPERLINK("https://www.kleinanzeigen.de/s-bestandsliste.html?userId=142489362", "Link")</f>
        <v/>
      </c>
      <c r="K65" s="7" t="n">
        <v>45567.75015046296</v>
      </c>
      <c r="L65" s="3" t="inlineStr">
        <is>
          <t>90.52</t>
        </is>
      </c>
      <c r="M65" t="inlineStr">
        <is>
          <t>Bonndorf</t>
        </is>
      </c>
    </row>
    <row r="66">
      <c r="A66" t="inlineStr">
        <is>
          <t>Rodcraft Multi Range 12ft Karpfen Ruten North West</t>
        </is>
      </c>
      <c r="B66" s="4" t="n">
        <v>250</v>
      </c>
      <c r="C66" t="inlineStr">
        <is>
          <t>VB</t>
        </is>
      </c>
      <c r="D66" t="inlineStr">
        <is>
          <t>63477 Hessen - Maintal</t>
        </is>
      </c>
      <c r="E66" s="5" t="n">
        <v>45560</v>
      </c>
      <c r="F66" t="inlineStr"/>
      <c r="G66" s="6">
        <f>HYPERLINK("https://www.kleinanzeigen.de/s-anzeige/rodcraft-multi-range-12ft-karpfen-ruten-north-west/2873453680-230-4289", "Link")</f>
        <v/>
      </c>
      <c r="H66" s="6">
        <f>HYPERLINK("C:\Projects\Kleinanzeigen-Scraper\offer_images\2873453680", "Link")</f>
        <v/>
      </c>
      <c r="I66" t="inlineStr">
        <is>
          <t>Benthook</t>
        </is>
      </c>
      <c r="J66" s="6">
        <f>HYPERLINK("https://www.kleinanzeigen.de/s-bestandsliste.html?userId=138691607", "Link")</f>
        <v/>
      </c>
      <c r="K66" s="7" t="n">
        <v>45567.75009259259</v>
      </c>
      <c r="L66" s="3" t="inlineStr">
        <is>
          <t>130.57</t>
        </is>
      </c>
      <c r="M66" t="inlineStr">
        <is>
          <t>Karlsruhe</t>
        </is>
      </c>
    </row>
    <row r="67">
      <c r="A67" t="inlineStr">
        <is>
          <t>Starboard SUP Bag</t>
        </is>
      </c>
      <c r="B67" s="4" t="n">
        <v>30</v>
      </c>
      <c r="C67" t="inlineStr"/>
      <c r="D67" t="inlineStr">
        <is>
          <t>82319 Bayern - Starnberg</t>
        </is>
      </c>
      <c r="E67" s="5" t="n">
        <v>45561</v>
      </c>
      <c r="F67" t="inlineStr">
        <is>
          <t>Sold</t>
        </is>
      </c>
      <c r="G67" s="6">
        <f>HYPERLINK("https://www.kleinanzeigen.de/s-anzeige/starboard-sup-bag/2874231701-230-5525", "Link")</f>
        <v/>
      </c>
      <c r="H67" s="6">
        <f>HYPERLINK("C:\Projects\Kleinanzeigen-Scraper\offer_images\2874231701", "Link")</f>
        <v/>
      </c>
      <c r="I67" t="inlineStr">
        <is>
          <t>Michaela_star</t>
        </is>
      </c>
      <c r="J67" s="6">
        <f>HYPERLINK("https://www.kleinanzeigen.de/s-bestandsliste.html?userId=144651965", "Link")</f>
        <v/>
      </c>
      <c r="K67" s="7" t="n">
        <v>45567.75006944445</v>
      </c>
      <c r="L67" s="3" t="inlineStr">
        <is>
          <t>23.17</t>
        </is>
      </c>
      <c r="M67" t="inlineStr">
        <is>
          <t>München</t>
        </is>
      </c>
    </row>
    <row r="68">
      <c r="A68" t="inlineStr">
        <is>
          <t>Surfsegel Segel windsurfen</t>
        </is>
      </c>
      <c r="B68" s="4" t="inlineStr">
        <is>
          <t>Zu verschenken</t>
        </is>
      </c>
      <c r="C68" t="inlineStr"/>
      <c r="D68" t="inlineStr">
        <is>
          <t>22926 Schleswig-Holstein - Ahrensburg</t>
        </is>
      </c>
      <c r="E68" s="5" t="n">
        <v>45566</v>
      </c>
      <c r="F68" t="inlineStr"/>
      <c r="G68" s="6">
        <f>HYPERLINK("https://www.kleinanzeigen.de/s-anzeige/surfsegel-segel-windsurfen/2879592384-230-922", "Link")</f>
        <v/>
      </c>
      <c r="H68" s="6">
        <f>HYPERLINK("C:\Projects\Kleinanzeigen-Scraper\offer_images\2879592384", "Link")</f>
        <v/>
      </c>
      <c r="I68" t="inlineStr">
        <is>
          <t>Gud</t>
        </is>
      </c>
      <c r="J68" s="6">
        <f>HYPERLINK("https://www.kleinanzeigen.de/s-bestandsliste.html?userId=122850210", "Link")</f>
        <v/>
      </c>
      <c r="K68" s="7" t="n">
        <v>45567.74947916667</v>
      </c>
      <c r="L68" s="3" t="inlineStr">
        <is>
          <t>377.16</t>
        </is>
      </c>
      <c r="M68" t="inlineStr">
        <is>
          <t>Köln</t>
        </is>
      </c>
    </row>
    <row r="69">
      <c r="A69" t="inlineStr">
        <is>
          <t>Simms Windbreaker, Fliegenfischen, Simms Jacke, L</t>
        </is>
      </c>
      <c r="B69" s="4" t="n">
        <v>90</v>
      </c>
      <c r="C69" t="inlineStr">
        <is>
          <t>VB</t>
        </is>
      </c>
      <c r="D69" t="inlineStr">
        <is>
          <t>53819 Nordrhein-Westfalen - Neunkirchen-Seelscheid</t>
        </is>
      </c>
      <c r="E69" s="5" t="n">
        <v>45567</v>
      </c>
      <c r="F69" t="inlineStr"/>
      <c r="G69" s="6">
        <f>HYPERLINK("https://www.kleinanzeigen.de/s-anzeige/simms-windbreaker-fliegenfischen-simms-jacke-l/2880259674-230-1676", "Link")</f>
        <v/>
      </c>
      <c r="H69" s="6">
        <f>HYPERLINK("C:\Projects\Kleinanzeigen-Scraper\offer_images\2880259674", "Link")</f>
        <v/>
      </c>
      <c r="I69" t="inlineStr">
        <is>
          <t>Marcel B</t>
        </is>
      </c>
      <c r="J69" s="6">
        <f>HYPERLINK("https://www.kleinanzeigen.de/s-bestandsliste.html?userId=12067221", "Link")</f>
        <v/>
      </c>
      <c r="K69" s="7" t="n">
        <v>45567.74940972222</v>
      </c>
      <c r="L69" s="3" t="inlineStr">
        <is>
          <t>28.08</t>
        </is>
      </c>
      <c r="M69" t="inlineStr">
        <is>
          <t>Köln</t>
        </is>
      </c>
    </row>
    <row r="70">
      <c r="A70" t="inlineStr">
        <is>
          <t>Norfin Mirage Regenanzug, Angelanzug, no Simms, no Geoff Anderson</t>
        </is>
      </c>
      <c r="B70" s="4" t="n">
        <v>140</v>
      </c>
      <c r="C70" t="inlineStr">
        <is>
          <t>VB</t>
        </is>
      </c>
      <c r="D70" t="inlineStr">
        <is>
          <t>79395 Baden-Württemberg - Neuenburg am Rhein</t>
        </is>
      </c>
      <c r="E70" s="5" t="n">
        <v>45566</v>
      </c>
      <c r="F70" t="inlineStr"/>
      <c r="G70" s="6">
        <f>HYPERLINK("https://www.kleinanzeigen.de/s-anzeige/norfin-mirage-regenanzug-angelanzug-no-simms-no-geoff-anderson/2879813276-187-8032", "Link")</f>
        <v/>
      </c>
      <c r="H70" s="6">
        <f>HYPERLINK("C:\Projects\Kleinanzeigen-Scraper\offer_images\2879813276", "Link")</f>
        <v/>
      </c>
      <c r="I70" t="inlineStr">
        <is>
          <t>Anbieter</t>
        </is>
      </c>
      <c r="J70" s="6">
        <f>HYPERLINK("https://www.kleinanzeigen.de/s-bestandsliste.html?userId=7587046", "Link")</f>
        <v/>
      </c>
      <c r="K70" s="7" t="n">
        <v>45567.74881944444</v>
      </c>
      <c r="L70" s="3" t="inlineStr">
        <is>
          <t>56.92</t>
        </is>
      </c>
      <c r="M70" t="inlineStr">
        <is>
          <t>Bonndorf</t>
        </is>
      </c>
    </row>
    <row r="71">
      <c r="A71" t="inlineStr">
        <is>
          <t>Surf Magazin Sammlung 1991 bis 2012 200x Ausgaben Windsurf Surf</t>
        </is>
      </c>
      <c r="B71" s="4" t="n">
        <v>200</v>
      </c>
      <c r="C71" t="inlineStr"/>
      <c r="D71" t="inlineStr">
        <is>
          <t>30916 Niedersachsen - Isernhagen</t>
        </is>
      </c>
      <c r="E71" s="5" t="n">
        <v>45566</v>
      </c>
      <c r="F71" t="inlineStr"/>
      <c r="G71" s="6">
        <f>HYPERLINK("https://www.kleinanzeigen.de/s-anzeige/surf-magazin-sammlung-1991-bis-2012-200x-ausgaben-windsurf-surf/2879674941-76-2895", "Link")</f>
        <v/>
      </c>
      <c r="H71" s="6">
        <f>HYPERLINK("C:\Projects\Kleinanzeigen-Scraper\offer_images\2879674941", "Link")</f>
        <v/>
      </c>
      <c r="I71" t="inlineStr">
        <is>
          <t>Jan</t>
        </is>
      </c>
      <c r="J71" s="6">
        <f>HYPERLINK("https://www.kleinanzeigen.de/s-bestandsliste.html?userId=9566232", "Link")</f>
        <v/>
      </c>
      <c r="K71" s="7" t="n">
        <v>45567.74814814814</v>
      </c>
      <c r="L71" s="3" t="inlineStr">
        <is>
          <t>261.21</t>
        </is>
      </c>
      <c r="M71" t="inlineStr">
        <is>
          <t>Köln</t>
        </is>
      </c>
    </row>
    <row r="72">
      <c r="A72" t="inlineStr">
        <is>
          <t>Vorzeit Isabella Commodore North G19, mit Anbau &amp; Catbon X Frame</t>
        </is>
      </c>
      <c r="B72" s="4" t="n">
        <v>1.8</v>
      </c>
      <c r="C72" t="inlineStr">
        <is>
          <t>VB</t>
        </is>
      </c>
      <c r="D72" t="inlineStr">
        <is>
          <t>42857 Nordrhein-Westfalen - Remscheid</t>
        </is>
      </c>
      <c r="E72" s="5" t="n">
        <v>45566</v>
      </c>
      <c r="F72" t="inlineStr">
        <is>
          <t>Sold</t>
        </is>
      </c>
      <c r="G72" s="6">
        <f>HYPERLINK("https://www.kleinanzeigen.de/s-anzeige/vorzeit-isabella-commodore-north-g19-mit-anbau-catbon-x-frame/2879674725-230-1034", "Link")</f>
        <v/>
      </c>
      <c r="H72" s="6">
        <f>HYPERLINK("C:\Projects\Kleinanzeigen-Scraper\offer_images\2879674725", "Link")</f>
        <v/>
      </c>
      <c r="I72" t="inlineStr">
        <is>
          <t>Ralf</t>
        </is>
      </c>
      <c r="J72" s="6">
        <f>HYPERLINK("https://www.kleinanzeigen.de/s-bestandsliste.html?userId=24013740", "Link")</f>
        <v/>
      </c>
      <c r="K72" s="7" t="n">
        <v>45567.7478587963</v>
      </c>
      <c r="L72" s="3" t="inlineStr">
        <is>
          <t>29.34</t>
        </is>
      </c>
      <c r="M72" t="inlineStr">
        <is>
          <t>Köln</t>
        </is>
      </c>
    </row>
    <row r="73">
      <c r="A73" t="inlineStr">
        <is>
          <t>RRD Boardbag WS 240x 60 Waveboard Windsurfen guter Zustand</t>
        </is>
      </c>
      <c r="B73" s="4" t="n">
        <v>66</v>
      </c>
      <c r="C73" t="inlineStr">
        <is>
          <t>VB</t>
        </is>
      </c>
      <c r="D73" t="inlineStr">
        <is>
          <t>21629 Niedersachsen - Neu Wulmstorf</t>
        </is>
      </c>
      <c r="E73" s="5" t="n">
        <v>45567</v>
      </c>
      <c r="F73" t="inlineStr">
        <is>
          <t>Sold</t>
        </is>
      </c>
      <c r="G73" s="6">
        <f>HYPERLINK("https://www.kleinanzeigen.de/s-anzeige/rrd-boardbag-ws-240x-60-waveboard-windsurfen-guter-zustand/2880186388-230-2807", "Link")</f>
        <v/>
      </c>
      <c r="H73" s="6">
        <f>HYPERLINK("C:\Projects\Kleinanzeigen-Scraper\offer_images\2880186388", "Link")</f>
        <v/>
      </c>
      <c r="I73" t="inlineStr">
        <is>
          <t>Familie Rahlf</t>
        </is>
      </c>
      <c r="J73" s="6">
        <f>HYPERLINK("https://www.kleinanzeigen.de/s-bestandsliste.html?userId=16189628", "Link")</f>
        <v/>
      </c>
      <c r="K73" s="7" t="n">
        <v>45567.74769675926</v>
      </c>
      <c r="L73" s="3" t="inlineStr">
        <is>
          <t>339.04</t>
        </is>
      </c>
      <c r="M73" t="inlineStr">
        <is>
          <t>Köln</t>
        </is>
      </c>
    </row>
    <row r="74">
      <c r="A74" t="inlineStr">
        <is>
          <t>North Wave Fahrradschuhe Winter Gore Tex Wibram 45 / 46</t>
        </is>
      </c>
      <c r="B74" s="4" t="n">
        <v>49</v>
      </c>
      <c r="C74" t="inlineStr">
        <is>
          <t>VB</t>
        </is>
      </c>
      <c r="D74" t="inlineStr">
        <is>
          <t>81243 München - Pasing-Obermenzing</t>
        </is>
      </c>
      <c r="E74" s="5" t="n">
        <v>45567</v>
      </c>
      <c r="F74" t="inlineStr"/>
      <c r="G74" s="6">
        <f>HYPERLINK("https://www.kleinanzeigen.de/s-anzeige/north-wave-fahrradschuhe-winter-gore-tex-wibram-45-46/2880058879-230-6476", "Link")</f>
        <v/>
      </c>
      <c r="H74" s="6">
        <f>HYPERLINK("C:\Projects\Kleinanzeigen-Scraper\offer_images\2880058879", "Link")</f>
        <v/>
      </c>
      <c r="I74" t="inlineStr">
        <is>
          <t>schwarz</t>
        </is>
      </c>
      <c r="J74" s="6">
        <f>HYPERLINK("https://www.kleinanzeigen.de/s-bestandsliste.html?userId=14025518", "Link")</f>
        <v/>
      </c>
      <c r="K74" s="7" t="n">
        <v>45567.74747685185</v>
      </c>
      <c r="L74" s="3" t="inlineStr">
        <is>
          <t>10.14</t>
        </is>
      </c>
      <c r="M74" t="inlineStr">
        <is>
          <t>München</t>
        </is>
      </c>
    </row>
    <row r="75">
      <c r="A75" t="inlineStr">
        <is>
          <t>Kostenloser Versand Discmania Fanatic Sky Rucksack Discgolf</t>
        </is>
      </c>
      <c r="B75" s="4" t="n">
        <v>70</v>
      </c>
      <c r="C75" t="inlineStr"/>
      <c r="D75" t="inlineStr">
        <is>
          <t>79689 Baden-Württemberg - Maulburg</t>
        </is>
      </c>
      <c r="E75" s="5" t="n">
        <v>45567</v>
      </c>
      <c r="F75" t="inlineStr"/>
      <c r="G75" s="6">
        <f>HYPERLINK("https://www.kleinanzeigen.de/s-anzeige/kostenloser-versand-discmania-fanatic-sky-rucksack-discgolf/2880072406-230-8182", "Link")</f>
        <v/>
      </c>
      <c r="H75" s="6">
        <f>HYPERLINK("C:\Projects\Kleinanzeigen-Scraper\offer_images\2880072406", "Link")</f>
        <v/>
      </c>
      <c r="I75" t="inlineStr">
        <is>
          <t>Jotte</t>
        </is>
      </c>
      <c r="J75" s="6">
        <f>HYPERLINK("https://www.kleinanzeigen.de/s-bestandsliste.html?userId=13406411", "Link")</f>
        <v/>
      </c>
      <c r="K75" s="7" t="n">
        <v>45567.74730324074</v>
      </c>
      <c r="L75" s="3" t="inlineStr">
        <is>
          <t>46.08</t>
        </is>
      </c>
      <c r="M75" t="inlineStr">
        <is>
          <t>Bonndorf</t>
        </is>
      </c>
    </row>
    <row r="76">
      <c r="A76" t="inlineStr">
        <is>
          <t>Neil Pryde HELLCAT 7,2  - Freerace No Cam</t>
        </is>
      </c>
      <c r="B76" s="4" t="n">
        <v>175</v>
      </c>
      <c r="C76" t="inlineStr">
        <is>
          <t>VB</t>
        </is>
      </c>
      <c r="D76" t="inlineStr">
        <is>
          <t>23909 Ratzeburg</t>
        </is>
      </c>
      <c r="E76" s="5" t="n">
        <v>45566</v>
      </c>
      <c r="F76" t="inlineStr"/>
      <c r="G76" s="6">
        <f>HYPERLINK("https://www.dailydose.de/kleinanzeigen/detail.htm?ai=423488&amp;cf=kk&amp;pg=2&amp;ci=5", "Link")</f>
        <v/>
      </c>
      <c r="H76" s="6">
        <f>HYPERLINK("C:\Projects\Kleinanzeigen-Scraper\offer_images\423488", "Link")</f>
        <v/>
      </c>
      <c r="I76" t="inlineStr">
        <is>
          <t>Insider</t>
        </is>
      </c>
      <c r="J76" s="6">
        <f>HYPERLINK("https://www.dailydose.de/kleinanzeigen/user/20603", "Link")</f>
        <v/>
      </c>
      <c r="K76" s="7" t="n">
        <v>45566.74386574074</v>
      </c>
      <c r="L76" s="3" t="inlineStr">
        <is>
          <t>401.75</t>
        </is>
      </c>
      <c r="M76" t="inlineStr">
        <is>
          <t>Köln</t>
        </is>
      </c>
    </row>
    <row r="77">
      <c r="A77" t="inlineStr">
        <is>
          <t>Tabou Rocket 125l Ltd edition 100% carbon</t>
        </is>
      </c>
      <c r="B77" s="4" t="n">
        <v>1100</v>
      </c>
      <c r="C77" t="inlineStr"/>
      <c r="D77" t="inlineStr">
        <is>
          <t>53757 Sankt Augustin</t>
        </is>
      </c>
      <c r="E77" s="5" t="n">
        <v>45566</v>
      </c>
      <c r="F77" t="inlineStr"/>
      <c r="G77" s="6">
        <f>HYPERLINK("https://www.dailydose.de/kleinanzeigen/detail.htm?ai=423471&amp;cf=kk&amp;pg=1&amp;ci=11", "Link")</f>
        <v/>
      </c>
      <c r="H77" s="6">
        <f>HYPERLINK("C:\Projects\Kleinanzeigen-Scraper\offer_images\423471", "Link")</f>
        <v/>
      </c>
      <c r="I77" t="inlineStr">
        <is>
          <t>to481</t>
        </is>
      </c>
      <c r="J77" s="6">
        <f>HYPERLINK("https://www.dailydose.de/kleinanzeigen/user/1517", "Link")</f>
        <v/>
      </c>
      <c r="K77" s="7" t="n">
        <v>45566.7433912037</v>
      </c>
      <c r="L77" s="3" t="inlineStr">
        <is>
          <t>26.47</t>
        </is>
      </c>
      <c r="M77" t="inlineStr">
        <is>
          <t>Köln</t>
        </is>
      </c>
    </row>
    <row r="78">
      <c r="A78" t="inlineStr">
        <is>
          <t>Severne Enigma Carbon Boom 170-220</t>
        </is>
      </c>
      <c r="B78" s="4" t="n">
        <v>450</v>
      </c>
      <c r="C78" t="inlineStr"/>
      <c r="D78" t="inlineStr">
        <is>
          <t>53757 Sankt Augustin</t>
        </is>
      </c>
      <c r="E78" s="5" t="n">
        <v>45566</v>
      </c>
      <c r="F78" t="inlineStr"/>
      <c r="G78" s="6">
        <f>HYPERLINK("https://www.dailydose.de/kleinanzeigen/detail.htm?ai=423472&amp;cf=kk&amp;pg=1&amp;ci=13", "Link")</f>
        <v/>
      </c>
      <c r="H78" s="6">
        <f>HYPERLINK("C:\Projects\Kleinanzeigen-Scraper\offer_images\423472", "Link")</f>
        <v/>
      </c>
      <c r="I78" t="inlineStr">
        <is>
          <t>to481</t>
        </is>
      </c>
      <c r="J78" s="6">
        <f>HYPERLINK("https://www.dailydose.de/kleinanzeigen/user/1517", "Link")</f>
        <v/>
      </c>
      <c r="K78" s="7" t="n">
        <v>45566.74253472222</v>
      </c>
      <c r="L78" s="3" t="inlineStr">
        <is>
          <t>26.47</t>
        </is>
      </c>
      <c r="M78" t="inlineStr">
        <is>
          <t>Köln</t>
        </is>
      </c>
    </row>
    <row r="79">
      <c r="A79" t="inlineStr">
        <is>
          <t>Gabelbaum Neilpryde X 6</t>
        </is>
      </c>
      <c r="B79" s="4" t="n">
        <v>90</v>
      </c>
      <c r="C79" t="inlineStr"/>
      <c r="D79" t="inlineStr">
        <is>
          <t>57078 Siegen</t>
        </is>
      </c>
      <c r="E79" s="5" t="n">
        <v>45566</v>
      </c>
      <c r="F79" t="inlineStr"/>
      <c r="G79" s="6">
        <f>HYPERLINK("https://www.dailydose.de/kleinanzeigen/detail.htm?ai=423497&amp;cf=kk&amp;pg=1&amp;ci=13", "Link")</f>
        <v/>
      </c>
      <c r="H79" s="6">
        <f>HYPERLINK("C:\Projects\Kleinanzeigen-Scraper\offer_images\423497", "Link")</f>
        <v/>
      </c>
      <c r="I79" t="inlineStr">
        <is>
          <t>Rudolf Sinz</t>
        </is>
      </c>
      <c r="J79" s="6">
        <f>HYPERLINK("https://www.dailydose.de/kleinanzeigen/user/20432", "Link")</f>
        <v/>
      </c>
      <c r="K79" s="7" t="n">
        <v>45566.74150462963</v>
      </c>
      <c r="L79" s="3" t="inlineStr">
        <is>
          <t>72.53</t>
        </is>
      </c>
      <c r="M79" t="inlineStr">
        <is>
          <t>Köln</t>
        </is>
      </c>
    </row>
    <row r="80">
      <c r="A80" t="inlineStr">
        <is>
          <t>JP ALLRIDE 116 - top Freerider/Freemover mit 116 l</t>
        </is>
      </c>
      <c r="B80" s="4" t="n">
        <v>375</v>
      </c>
      <c r="C80" t="inlineStr">
        <is>
          <t>VB</t>
        </is>
      </c>
      <c r="D80" t="inlineStr">
        <is>
          <t>23909 Ratzeburg</t>
        </is>
      </c>
      <c r="E80" s="5" t="n">
        <v>45566</v>
      </c>
      <c r="F80" t="inlineStr"/>
      <c r="G80" s="6">
        <f>HYPERLINK("https://www.dailydose.de/kleinanzeigen/detail.htm?ai=423481&amp;cf=kk&amp;pg=1&amp;ci=11", "Link")</f>
        <v/>
      </c>
      <c r="H80" s="6">
        <f>HYPERLINK("C:\Projects\Kleinanzeigen-Scraper\offer_images\423481", "Link")</f>
        <v/>
      </c>
      <c r="I80" t="inlineStr">
        <is>
          <t>Insider</t>
        </is>
      </c>
      <c r="J80" s="6">
        <f>HYPERLINK("https://www.dailydose.de/kleinanzeigen/user/20603", "Link")</f>
        <v/>
      </c>
      <c r="K80" s="7" t="n">
        <v>45566.74109953704</v>
      </c>
      <c r="L80" s="3" t="inlineStr">
        <is>
          <t>401.75</t>
        </is>
      </c>
      <c r="M80" t="inlineStr">
        <is>
          <t>Köln</t>
        </is>
      </c>
    </row>
    <row r="81">
      <c r="A81" t="inlineStr">
        <is>
          <t>NeilPryde MastBag für Masten und Segel</t>
        </is>
      </c>
      <c r="B81" s="4" t="n">
        <v>15</v>
      </c>
      <c r="C81" t="inlineStr"/>
      <c r="D81" t="inlineStr">
        <is>
          <t>14089 Berlin - Kladow</t>
        </is>
      </c>
      <c r="E81" s="5" t="n">
        <v>45566</v>
      </c>
      <c r="F81" t="inlineStr"/>
      <c r="G81" s="6">
        <f>HYPERLINK("https://www.kleinanzeigen.de/s-anzeige/neilpryde-mastbag-fuer-masten-und-segel/2879277315-230-23977", "Link")</f>
        <v/>
      </c>
      <c r="H81" s="6">
        <f>HYPERLINK("C:\Projects\Kleinanzeigen-Scraper\offer_images\2879277315", "Link")</f>
        <v/>
      </c>
      <c r="I81" t="inlineStr">
        <is>
          <t>Christoph Poloczek</t>
        </is>
      </c>
      <c r="J81" s="6">
        <f>HYPERLINK("https://www.kleinanzeigen.de/s-bestandsliste.html?userId=5747183", "Link")</f>
        <v/>
      </c>
      <c r="K81" s="7" t="n">
        <v>45566.74056712963</v>
      </c>
      <c r="L81" s="3" t="inlineStr">
        <is>
          <t>459.79</t>
        </is>
      </c>
      <c r="M81" t="inlineStr">
        <is>
          <t>Köln</t>
        </is>
      </c>
    </row>
    <row r="82">
      <c r="A82" t="inlineStr">
        <is>
          <t>SUP Pumpe Neu / Fa. Fanatic</t>
        </is>
      </c>
      <c r="B82" s="4" t="n">
        <v>10</v>
      </c>
      <c r="C82" t="inlineStr"/>
      <c r="D82" t="inlineStr">
        <is>
          <t>24107 Kiel - Suchsdorf</t>
        </is>
      </c>
      <c r="E82" s="5" t="n">
        <v>45565</v>
      </c>
      <c r="F82" t="inlineStr">
        <is>
          <t>Sold</t>
        </is>
      </c>
      <c r="G82" s="6">
        <f>HYPERLINK("https://www.kleinanzeigen.de/s-anzeige/sup-pumpe-neu-fa-fanatic/2878843665-230-11840", "Link")</f>
        <v/>
      </c>
      <c r="H82" s="6">
        <f>HYPERLINK("C:\Projects\Kleinanzeigen-Scraper\offer_images\2878843665", "Link")</f>
        <v/>
      </c>
      <c r="I82" t="inlineStr">
        <is>
          <t>Peselmeier</t>
        </is>
      </c>
      <c r="J82" s="6">
        <f>HYPERLINK("https://www.kleinanzeigen.de/s-bestandsliste.html?userId=136986792", "Link")</f>
        <v/>
      </c>
      <c r="K82" s="7" t="n">
        <v>45566.74050925926</v>
      </c>
      <c r="L82" s="3" t="inlineStr">
        <is>
          <t>432.01</t>
        </is>
      </c>
      <c r="M82" t="inlineStr">
        <is>
          <t>Köln</t>
        </is>
      </c>
    </row>
    <row r="83">
      <c r="A83" t="inlineStr">
        <is>
          <t>Naish Jet 1650 Foil set</t>
        </is>
      </c>
      <c r="B83" s="4" t="n">
        <v>550</v>
      </c>
      <c r="C83" t="inlineStr">
        <is>
          <t>VB</t>
        </is>
      </c>
      <c r="D83" t="inlineStr">
        <is>
          <t>12623 Berlin - Hellersdorf</t>
        </is>
      </c>
      <c r="E83" s="5" t="n">
        <v>45566</v>
      </c>
      <c r="F83" t="inlineStr"/>
      <c r="G83" s="6">
        <f>HYPERLINK("https://www.kleinanzeigen.de/s-anzeige/naish-jet-1650-foil-set/2879578058-230-3512", "Link")</f>
        <v/>
      </c>
      <c r="H83" s="6">
        <f>HYPERLINK("C:\Projects\Kleinanzeigen-Scraper\offer_images\2879578058", "Link")</f>
        <v/>
      </c>
      <c r="I83" t="inlineStr">
        <is>
          <t>Ricardo Lacasa</t>
        </is>
      </c>
      <c r="J83" s="6">
        <f>HYPERLINK("https://www.kleinanzeigen.de/s-bestandsliste.html?userId=3204524", "Link")</f>
        <v/>
      </c>
      <c r="K83" s="7" t="n">
        <v>45566.74041666667</v>
      </c>
      <c r="L83" s="3" t="inlineStr">
        <is>
          <t>490.00</t>
        </is>
      </c>
      <c r="M83" t="inlineStr">
        <is>
          <t>Köln</t>
        </is>
      </c>
    </row>
    <row r="84">
      <c r="A84" t="inlineStr">
        <is>
          <t>Gaastra Herren Jacke Übergangsjacke / S / UVP € 179,00</t>
        </is>
      </c>
      <c r="B84" s="4" t="n">
        <v>55</v>
      </c>
      <c r="C84" t="inlineStr"/>
      <c r="D84" t="inlineStr">
        <is>
          <t>59759 Nordrhein-Westfalen - Arnsberg</t>
        </is>
      </c>
      <c r="E84" s="5" t="n">
        <v>45565</v>
      </c>
      <c r="F84" t="inlineStr">
        <is>
          <t>Sold</t>
        </is>
      </c>
      <c r="G84" s="6">
        <f>HYPERLINK("https://www.kleinanzeigen.de/s-anzeige/gaastra-herren-jacke-uebergangsjacke-s-uvp-179-00/2878917092-230-1814", "Link")</f>
        <v/>
      </c>
      <c r="H84" s="6">
        <f>HYPERLINK("C:\Projects\Kleinanzeigen-Scraper\offer_images\2878917092", "Link")</f>
        <v/>
      </c>
      <c r="I84" t="inlineStr">
        <is>
          <t>D. P.</t>
        </is>
      </c>
      <c r="J84" s="6">
        <f>HYPERLINK("https://www.kleinanzeigen.de/s-bestandsliste.html?userId=33181430", "Link")</f>
        <v/>
      </c>
      <c r="K84" s="7" t="n">
        <v>45566.74015046296</v>
      </c>
      <c r="L84" s="3" t="inlineStr">
        <is>
          <t>92.04</t>
        </is>
      </c>
      <c r="M84" t="inlineStr">
        <is>
          <t>Köln</t>
        </is>
      </c>
    </row>
    <row r="85">
      <c r="A85" t="inlineStr">
        <is>
          <t>Revell North American T-6G Texan 1:48</t>
        </is>
      </c>
      <c r="B85" s="4" t="n">
        <v>25</v>
      </c>
      <c r="C85" t="inlineStr">
        <is>
          <t>VB</t>
        </is>
      </c>
      <c r="D85" t="inlineStr">
        <is>
          <t>86674 Bayern - Baar i. Schwaben</t>
        </is>
      </c>
      <c r="E85" s="5" t="n">
        <v>45565</v>
      </c>
      <c r="F85" t="inlineStr"/>
      <c r="G85" s="6">
        <f>HYPERLINK("https://www.kleinanzeigen.de/s-anzeige/revell-north-american-t-6g-texan-1-48/2878921944-249-7192", "Link")</f>
        <v/>
      </c>
      <c r="H85" s="6">
        <f>HYPERLINK("C:\Projects\Kleinanzeigen-Scraper\offer_images\2878921944", "Link")</f>
        <v/>
      </c>
      <c r="I85" t="inlineStr">
        <is>
          <t>Patrick</t>
        </is>
      </c>
      <c r="J85" s="6">
        <f>HYPERLINK("https://www.kleinanzeigen.de/s-bestandsliste.html?userId=61209456", "Link")</f>
        <v/>
      </c>
      <c r="K85" s="7" t="n">
        <v>45566.74001157407</v>
      </c>
      <c r="L85" s="3" t="inlineStr">
        <is>
          <t>66.81</t>
        </is>
      </c>
      <c r="M85" t="inlineStr">
        <is>
          <t>München</t>
        </is>
      </c>
    </row>
    <row r="86">
      <c r="A86" t="inlineStr">
        <is>
          <t>Weihnachten Villeroy Spielzeug Lichterhaus North Pole RARITÄT</t>
        </is>
      </c>
      <c r="B86" s="4" t="n">
        <v>120</v>
      </c>
      <c r="C86" t="inlineStr"/>
      <c r="D86" t="inlineStr">
        <is>
          <t>26810 Niedersachsen - Westoverledingen</t>
        </is>
      </c>
      <c r="E86" s="5" t="n">
        <v>45566</v>
      </c>
      <c r="F86" t="inlineStr"/>
      <c r="G86" s="6">
        <f>HYPERLINK("https://www.kleinanzeigen.de/s-anzeige/weihnachten-villeroy-spielzeug-lichterhaus-north-pole-raritaet/2879402416-234-2743", "Link")</f>
        <v/>
      </c>
      <c r="H86" s="6">
        <f>HYPERLINK("C:\Projects\Kleinanzeigen-Scraper\offer_images\2879402416", "Link")</f>
        <v/>
      </c>
      <c r="I86" t="inlineStr">
        <is>
          <t>Privaterand Anbieter</t>
        </is>
      </c>
      <c r="J86" s="6">
        <f>HYPERLINK("https://www.kleinanzeigen.de/s-bestandsliste.html?userId=7070834", "Link")</f>
        <v/>
      </c>
      <c r="K86" s="7" t="n">
        <v>45566.73984953704</v>
      </c>
      <c r="L86" s="3" t="inlineStr">
        <is>
          <t>246.66</t>
        </is>
      </c>
      <c r="M86" t="inlineStr">
        <is>
          <t>Köln</t>
        </is>
      </c>
    </row>
    <row r="87">
      <c r="A87" t="inlineStr">
        <is>
          <t>North Orbit 12 2024 + Navigator Bar 2024 *Neuwertig</t>
        </is>
      </c>
      <c r="B87" s="4" t="n">
        <v>1.3</v>
      </c>
      <c r="C87" t="inlineStr"/>
      <c r="D87" t="inlineStr">
        <is>
          <t>76137 Baden-Württemberg - Karlsruhe</t>
        </is>
      </c>
      <c r="E87" s="5" t="n">
        <v>45566</v>
      </c>
      <c r="F87" t="inlineStr"/>
      <c r="G87" s="6">
        <f>HYPERLINK("https://www.kleinanzeigen.de/s-anzeige/north-orbit-12-2024-navigator-bar-2024-neuwertig/2879054791-230-9192", "Link")</f>
        <v/>
      </c>
      <c r="H87" s="6">
        <f>HYPERLINK("C:\Projects\Kleinanzeigen-Scraper\offer_images\2879054791", "Link")</f>
        <v/>
      </c>
      <c r="I87" t="inlineStr">
        <is>
          <t>Fabio</t>
        </is>
      </c>
      <c r="J87" s="6">
        <f>HYPERLINK("https://www.kleinanzeigen.de/s-bestandsliste.html?userId=29755210", "Link")</f>
        <v/>
      </c>
      <c r="K87" s="7" t="n">
        <v>45566.73951388889</v>
      </c>
      <c r="L87" s="3" t="inlineStr">
        <is>
          <t>1.87</t>
        </is>
      </c>
      <c r="M87" t="inlineStr">
        <is>
          <t>Karlsruhe</t>
        </is>
      </c>
    </row>
    <row r="88">
      <c r="A88" t="inlineStr">
        <is>
          <t>SURF VIDEOS SURFEN LERNEN WINDSURFEN SNOWBOARD VHS KASSETTEN</t>
        </is>
      </c>
      <c r="B88" s="4" t="n">
        <v>30</v>
      </c>
      <c r="C88" t="inlineStr"/>
      <c r="D88" t="inlineStr">
        <is>
          <t>97708 Bayern - Bad Bocklet</t>
        </is>
      </c>
      <c r="E88" s="5" t="n">
        <v>45566</v>
      </c>
      <c r="F88" t="inlineStr"/>
      <c r="G88" s="6">
        <f>HYPERLINK("https://www.kleinanzeigen.de/s-anzeige/surf-videos-surfen-lernen-windsurfen-snowboard-vhs-kassetten/2879550836-77-6748", "Link")</f>
        <v/>
      </c>
      <c r="H88" s="6">
        <f>HYPERLINK("C:\Projects\Kleinanzeigen-Scraper\offer_images\2879550836", "Link")</f>
        <v/>
      </c>
      <c r="I88" t="inlineStr">
        <is>
          <t>Wolfgang Krug</t>
        </is>
      </c>
      <c r="J88" s="6">
        <f>HYPERLINK("https://www.kleinanzeigen.de/s-bestandsliste.html?userId=22104741", "Link")</f>
        <v/>
      </c>
      <c r="K88" s="7" t="n">
        <v>45566.73946759259</v>
      </c>
      <c r="L88" s="3" t="inlineStr">
        <is>
          <t>184.90</t>
        </is>
      </c>
      <c r="M88" t="inlineStr">
        <is>
          <t>Karlsruhe</t>
        </is>
      </c>
    </row>
    <row r="89">
      <c r="A89" t="inlineStr">
        <is>
          <t>Francisco de Goya 32 heraustrennbare Postkarten Harenberg Edition</t>
        </is>
      </c>
      <c r="B89" s="4" t="inlineStr"/>
      <c r="C89" t="inlineStr">
        <is>
          <t>VB</t>
        </is>
      </c>
      <c r="D89" t="inlineStr">
        <is>
          <t>67346 Rheinland-Pfalz - Speyer</t>
        </is>
      </c>
      <c r="E89" s="5" t="n">
        <v>45321</v>
      </c>
      <c r="F89" t="inlineStr">
        <is>
          <t>Sold</t>
        </is>
      </c>
      <c r="G89" s="6">
        <f>HYPERLINK("https://www.kleinanzeigen.de/s-anzeige/francisco-de-goya-32-heraustrennbare-postkarten-harenberg-edition/2666473741-234-5365", "Link")</f>
        <v/>
      </c>
      <c r="H89" s="6">
        <f>HYPERLINK("C:\Projects\Kleinanzeigen-Scraper\offer_images\2666473741", "Link")</f>
        <v/>
      </c>
      <c r="I89" t="inlineStr">
        <is>
          <t>Monika</t>
        </is>
      </c>
      <c r="J89" s="6">
        <f>HYPERLINK("https://www.kleinanzeigen.de/s-bestandsliste.html?userId=72950303", "Link")</f>
        <v/>
      </c>
      <c r="K89" s="7" t="n">
        <v>45566.73946759259</v>
      </c>
      <c r="L89" s="3" t="inlineStr">
        <is>
          <t>35.76</t>
        </is>
      </c>
      <c r="M89" t="inlineStr">
        <is>
          <t>Karlsruhe</t>
        </is>
      </c>
    </row>
    <row r="90">
      <c r="A90" t="inlineStr">
        <is>
          <t>Surfsegel Windsurfen Segel Surfen Neilpryde Street Racer 7,5</t>
        </is>
      </c>
      <c r="B90" s="4" t="inlineStr"/>
      <c r="C90" t="inlineStr">
        <is>
          <t>VB</t>
        </is>
      </c>
      <c r="D90" t="inlineStr">
        <is>
          <t>68649 Hessen - Groß-Rohrheim</t>
        </is>
      </c>
      <c r="E90" s="5" t="n">
        <v>45565</v>
      </c>
      <c r="F90" t="inlineStr"/>
      <c r="G90" s="6">
        <f>HYPERLINK("https://www.kleinanzeigen.de/s-anzeige/surfsegel-windsurfen-segel-surfen-neilpryde-street-racer-7-5/2878718166-230-4758", "Link")</f>
        <v/>
      </c>
      <c r="H90" s="6">
        <f>HYPERLINK("C:\Projects\Kleinanzeigen-Scraper\offer_images\2878718166", "Link")</f>
        <v/>
      </c>
      <c r="I90" t="inlineStr">
        <is>
          <t>Daniel</t>
        </is>
      </c>
      <c r="J90" s="6">
        <f>HYPERLINK("https://www.kleinanzeigen.de/s-bestandsliste.html?userId=15416374", "Link")</f>
        <v/>
      </c>
      <c r="K90" s="7" t="n">
        <v>45566.73930555556</v>
      </c>
      <c r="L90" s="3" t="inlineStr">
        <is>
          <t>78.85</t>
        </is>
      </c>
      <c r="M90" t="inlineStr">
        <is>
          <t>Karlsruhe</t>
        </is>
      </c>
    </row>
    <row r="91">
      <c r="A91" t="inlineStr">
        <is>
          <t>Starboard Fuselage PWA IQ Foil 105+</t>
        </is>
      </c>
      <c r="B91" s="4" t="n">
        <v>123</v>
      </c>
      <c r="C91" t="inlineStr">
        <is>
          <t>VB</t>
        </is>
      </c>
      <c r="D91" t="inlineStr">
        <is>
          <t>83562 Bayern - Rechtmehring</t>
        </is>
      </c>
      <c r="E91" s="5" t="n">
        <v>45565</v>
      </c>
      <c r="F91" t="inlineStr"/>
      <c r="G91" s="6">
        <f>HYPERLINK("https://www.kleinanzeigen.de/s-anzeige/starboard-fuselage-pwa-iq-foil-105-/2878766992-230-6059", "Link")</f>
        <v/>
      </c>
      <c r="H91" s="6">
        <f>HYPERLINK("C:\Projects\Kleinanzeigen-Scraper\offer_images\2878766992", "Link")</f>
        <v/>
      </c>
      <c r="I91" t="inlineStr">
        <is>
          <t>TH</t>
        </is>
      </c>
      <c r="J91" s="6">
        <f>HYPERLINK("https://www.kleinanzeigen.de/s-bestandsliste.html?userId=38229286", "Link")</f>
        <v/>
      </c>
      <c r="K91" s="7" t="n">
        <v>45566.73881944444</v>
      </c>
      <c r="L91" s="3" t="inlineStr">
        <is>
          <t>43.60</t>
        </is>
      </c>
      <c r="M91" t="inlineStr">
        <is>
          <t>München</t>
        </is>
      </c>
    </row>
    <row r="92">
      <c r="A92" t="inlineStr">
        <is>
          <t>Trockentauchanzug Trilaminat Northern Divers Vortex SE Größe ML</t>
        </is>
      </c>
      <c r="B92" s="4" t="n">
        <v>270</v>
      </c>
      <c r="C92" t="inlineStr"/>
      <c r="D92" t="inlineStr">
        <is>
          <t>81667 München - Au-Haidhausen</t>
        </is>
      </c>
      <c r="E92" s="5" t="n">
        <v>45566</v>
      </c>
      <c r="F92" t="inlineStr">
        <is>
          <t>Sold</t>
        </is>
      </c>
      <c r="G92" s="6">
        <f>HYPERLINK("https://www.kleinanzeigen.de/s-anzeige/trockentauchanzug-trilaminat-northern-divers-vortex-se-groesse-ml/2879487471-230-6454", "Link")</f>
        <v/>
      </c>
      <c r="H92" s="6">
        <f>HYPERLINK("C:\Projects\Kleinanzeigen-Scraper\offer_images\2879487471", "Link")</f>
        <v/>
      </c>
      <c r="I92" t="inlineStr">
        <is>
          <t>Julian</t>
        </is>
      </c>
      <c r="J92" s="6">
        <f>HYPERLINK("https://www.kleinanzeigen.de/s-bestandsliste.html?userId=78395718", "Link")</f>
        <v/>
      </c>
      <c r="K92" s="7" t="n">
        <v>45566.73826388889</v>
      </c>
      <c r="L92" s="3" t="inlineStr">
        <is>
          <t>2.06</t>
        </is>
      </c>
      <c r="M92" t="inlineStr">
        <is>
          <t>München</t>
        </is>
      </c>
    </row>
    <row r="93">
      <c r="A93" t="inlineStr">
        <is>
          <t>Surfmaterial Transport Segel und Masttasche Neilpryde</t>
        </is>
      </c>
      <c r="B93" s="4" t="n">
        <v>40</v>
      </c>
      <c r="C93" t="inlineStr">
        <is>
          <t>VB</t>
        </is>
      </c>
      <c r="D93" t="inlineStr">
        <is>
          <t>44789 Bochum - Bochum-Süd</t>
        </is>
      </c>
      <c r="E93" s="5" t="n">
        <v>45529</v>
      </c>
      <c r="F93" t="inlineStr">
        <is>
          <t>Sold</t>
        </is>
      </c>
      <c r="G93" s="6">
        <f>HYPERLINK("https://www.kleinanzeigen.de/s-anzeige/surfmaterial-transport-segel-und-masttasche-neilpryde/2845958321-230-1945", "Link")</f>
        <v/>
      </c>
      <c r="H93" s="6">
        <f>HYPERLINK("C:\Projects\Kleinanzeigen-Scraper\offer_images\2845958321", "Link")</f>
        <v/>
      </c>
      <c r="I93" t="inlineStr">
        <is>
          <t>Dirk</t>
        </is>
      </c>
      <c r="J93" s="6">
        <f>HYPERLINK("https://www.kleinanzeigen.de/s-bestandsliste.html?userId=15054269", "Link")</f>
        <v/>
      </c>
      <c r="K93" s="7" t="n">
        <v>45566.73796296296</v>
      </c>
      <c r="L93" s="3" t="inlineStr">
        <is>
          <t>61.88</t>
        </is>
      </c>
      <c r="M93" t="inlineStr">
        <is>
          <t>Köln</t>
        </is>
      </c>
    </row>
    <row r="94">
      <c r="A94" t="inlineStr">
        <is>
          <t>North Rebel 10qm (jetzt Duotone)</t>
        </is>
      </c>
      <c r="B94" s="4" t="n">
        <v>248</v>
      </c>
      <c r="C94" t="inlineStr">
        <is>
          <t>VB</t>
        </is>
      </c>
      <c r="D94" t="inlineStr">
        <is>
          <t>41189 Nordrhein-Westfalen - Mönchengladbach</t>
        </is>
      </c>
      <c r="E94" s="5" t="n">
        <v>45565</v>
      </c>
      <c r="F94" t="inlineStr"/>
      <c r="G94" s="6">
        <f>HYPERLINK("https://www.kleinanzeigen.de/s-anzeige/north-rebel-10qm-jetzt-duotone-/2878931294-230-1959", "Link")</f>
        <v/>
      </c>
      <c r="H94" s="6">
        <f>HYPERLINK("C:\Projects\Kleinanzeigen-Scraper\offer_images\2878931294", "Link")</f>
        <v/>
      </c>
      <c r="I94" t="inlineStr">
        <is>
          <t>Brockmann</t>
        </is>
      </c>
      <c r="J94" s="6">
        <f>HYPERLINK("https://www.kleinanzeigen.de/s-bestandsliste.html?userId=13740340", "Link")</f>
        <v/>
      </c>
      <c r="K94" s="7" t="n">
        <v>45566.73780092593</v>
      </c>
      <c r="L94" s="3" t="inlineStr">
        <is>
          <t>43.31</t>
        </is>
      </c>
      <c r="M94" t="inlineStr">
        <is>
          <t>Köln</t>
        </is>
      </c>
    </row>
    <row r="95">
      <c r="A95" t="inlineStr">
        <is>
          <t>Naish Foil HA 1400 komplett</t>
        </is>
      </c>
      <c r="B95" s="4" t="n">
        <v>490</v>
      </c>
      <c r="C95" t="inlineStr">
        <is>
          <t>VB</t>
        </is>
      </c>
      <c r="D95" t="inlineStr">
        <is>
          <t>27476 Niedersachsen - Cuxhaven</t>
        </is>
      </c>
      <c r="E95" s="5" t="n">
        <v>45566</v>
      </c>
      <c r="F95" t="inlineStr"/>
      <c r="G95" s="6">
        <f>HYPERLINK("https://www.kleinanzeigen.de/s-anzeige/naish-foil-ha-1400-komplett/2879091061-230-3299", "Link")</f>
        <v/>
      </c>
      <c r="H95" s="6">
        <f>HYPERLINK("C:\Projects\Kleinanzeigen-Scraper\offer_images\2879091061", "Link")</f>
        <v/>
      </c>
      <c r="I95" t="inlineStr">
        <is>
          <t>Lars</t>
        </is>
      </c>
      <c r="J95" s="6">
        <f>HYPERLINK("https://www.kleinanzeigen.de/s-bestandsliste.html?userId=74371854", "Link")</f>
        <v/>
      </c>
      <c r="K95" s="7" t="n">
        <v>45566.73771990741</v>
      </c>
      <c r="L95" s="3" t="inlineStr">
        <is>
          <t>344.28</t>
        </is>
      </c>
      <c r="M95" t="inlineStr">
        <is>
          <t>Köln</t>
        </is>
      </c>
    </row>
    <row r="96">
      <c r="A96" t="inlineStr">
        <is>
          <t>Breyer Danash's Northern Tempest</t>
        </is>
      </c>
      <c r="B96" s="4" t="n">
        <v>100</v>
      </c>
      <c r="C96" t="inlineStr">
        <is>
          <t>VB</t>
        </is>
      </c>
      <c r="D96" t="inlineStr">
        <is>
          <t>44807 Bochum - Bochum-Nord</t>
        </is>
      </c>
      <c r="E96" s="5" t="n">
        <v>45566</v>
      </c>
      <c r="F96" t="inlineStr"/>
      <c r="G96" s="6">
        <f>HYPERLINK("https://www.kleinanzeigen.de/s-anzeige/breyer-danash-s-northern-tempest/2879355248-234-1942", "Link")</f>
        <v/>
      </c>
      <c r="H96" s="6">
        <f>HYPERLINK("C:\Projects\Kleinanzeigen-Scraper\offer_images\2879355248", "Link")</f>
        <v/>
      </c>
      <c r="I96" t="inlineStr">
        <is>
          <t>Stella</t>
        </is>
      </c>
      <c r="J96" s="6">
        <f>HYPERLINK("https://www.kleinanzeigen.de/s-bestandsliste.html?userId=127301227", "Link")</f>
        <v/>
      </c>
      <c r="K96" s="7" t="n">
        <v>45566.7372337963</v>
      </c>
      <c r="L96" s="3" t="inlineStr">
        <is>
          <t>66.42</t>
        </is>
      </c>
      <c r="M96" t="inlineStr">
        <is>
          <t>Köln</t>
        </is>
      </c>
    </row>
    <row r="97">
      <c r="A97" t="inlineStr">
        <is>
          <t>Isabella Commodore North 1025/ GR 19</t>
        </is>
      </c>
      <c r="B97" s="4" t="n">
        <v>2.399</v>
      </c>
      <c r="C97" t="inlineStr">
        <is>
          <t>VB</t>
        </is>
      </c>
      <c r="D97" t="inlineStr">
        <is>
          <t>27751 Niedersachsen - Delmenhorst</t>
        </is>
      </c>
      <c r="E97" s="5" t="n">
        <v>45566</v>
      </c>
      <c r="F97" t="inlineStr"/>
      <c r="G97" s="6">
        <f>HYPERLINK("https://www.kleinanzeigen.de/s-anzeige/isabella-commodore-north-1025-gr-19/2879396966-230-2468", "Link")</f>
        <v/>
      </c>
      <c r="H97" s="6">
        <f>HYPERLINK("C:\Projects\Kleinanzeigen-Scraper\offer_images\2879396966", "Link")</f>
        <v/>
      </c>
      <c r="I97" t="inlineStr">
        <is>
          <t>Andre Paetz</t>
        </is>
      </c>
      <c r="J97" s="6">
        <f>HYPERLINK("https://www.kleinanzeigen.de/s-bestandsliste.html?userId=4011441", "Link")</f>
        <v/>
      </c>
      <c r="K97" s="7" t="n">
        <v>45566.73711805556</v>
      </c>
      <c r="L97" s="3" t="inlineStr">
        <is>
          <t>262.60</t>
        </is>
      </c>
      <c r="M97" t="inlineStr">
        <is>
          <t>Köln</t>
        </is>
      </c>
    </row>
    <row r="98">
      <c r="A98" t="inlineStr">
        <is>
          <t>Neilpryde x9 Carbon Windsurfgabel - Race - 200-250cm</t>
        </is>
      </c>
      <c r="B98" s="4" t="n">
        <v>150</v>
      </c>
      <c r="C98" t="inlineStr">
        <is>
          <t>VB</t>
        </is>
      </c>
      <c r="D98" t="inlineStr">
        <is>
          <t>18211 Bad Doberan - Landkreis - Bargeshagen</t>
        </is>
      </c>
      <c r="E98" s="5" t="n">
        <v>45566</v>
      </c>
      <c r="F98" t="inlineStr"/>
      <c r="G98" s="6">
        <f>HYPERLINK("https://www.kleinanzeigen.de/s-anzeige/neilpryde-x9-carbon-windsurfgabel-race-200-250cm/2879401256-230-16583", "Link")</f>
        <v/>
      </c>
      <c r="H98" s="6">
        <f>HYPERLINK("C:\Projects\Kleinanzeigen-Scraper\offer_images\2879401256", "Link")</f>
        <v/>
      </c>
      <c r="I98" t="inlineStr">
        <is>
          <t>Dirk</t>
        </is>
      </c>
      <c r="J98" s="6">
        <f>HYPERLINK("https://www.kleinanzeigen.de/s-bestandsliste.html?userId=141661148", "Link")</f>
        <v/>
      </c>
      <c r="K98" s="7" t="n">
        <v>45566.73711805556</v>
      </c>
      <c r="L98" s="3" t="inlineStr">
        <is>
          <t>490.50</t>
        </is>
      </c>
      <c r="M98" t="inlineStr">
        <is>
          <t>Köln</t>
        </is>
      </c>
    </row>
    <row r="99">
      <c r="A99" t="inlineStr">
        <is>
          <t>Museum Collection - Münzbarren - The Nude Maja Francisco Goya</t>
        </is>
      </c>
      <c r="B99" s="4" t="n">
        <v>20</v>
      </c>
      <c r="C99" t="inlineStr"/>
      <c r="D99" t="inlineStr">
        <is>
          <t>84100 Bayern - Niederaichbach</t>
        </is>
      </c>
      <c r="E99" s="5" t="n">
        <v>45313</v>
      </c>
      <c r="F99" t="inlineStr"/>
      <c r="G99" s="6">
        <f>HYPERLINK("https://www.kleinanzeigen.de/s-anzeige/museum-collection-muenzbarren-the-nude-maja-francisco-goya/2659725484-234-6401", "Link")</f>
        <v/>
      </c>
      <c r="H99" s="6">
        <f>HYPERLINK("C:\Projects\Kleinanzeigen-Scraper\offer_images\2659725484", "Link")</f>
        <v/>
      </c>
      <c r="I99" t="inlineStr">
        <is>
          <t>Olaf</t>
        </is>
      </c>
      <c r="J99" s="6">
        <f>HYPERLINK("https://www.kleinanzeigen.de/s-bestandsliste.html?userId=19814196", "Link")</f>
        <v/>
      </c>
      <c r="K99" s="7" t="n">
        <v>45566.73690972223</v>
      </c>
      <c r="L99" s="3" t="inlineStr">
        <is>
          <t>74.82</t>
        </is>
      </c>
      <c r="M99" t="inlineStr">
        <is>
          <t>München</t>
        </is>
      </c>
    </row>
    <row r="100">
      <c r="A100" t="inlineStr">
        <is>
          <t>Neilpryde SLR 700 2022/2023 windfoil</t>
        </is>
      </c>
      <c r="B100" s="4" t="n">
        <v>900</v>
      </c>
      <c r="C100" t="inlineStr"/>
      <c r="D100" t="inlineStr">
        <is>
          <t>83365 Bayern - Nußdorf</t>
        </is>
      </c>
      <c r="E100" s="5" t="n">
        <v>45534</v>
      </c>
      <c r="F100" t="inlineStr">
        <is>
          <t>Sold</t>
        </is>
      </c>
      <c r="G100" s="6">
        <f>HYPERLINK("https://www.kleinanzeigen.de/s-anzeige/neilpryde-slr-700-2022-2023-windfoil/2849608892-230-5730", "Link")</f>
        <v/>
      </c>
      <c r="H100" s="6">
        <f>HYPERLINK("C:\Projects\Kleinanzeigen-Scraper\offer_images\2849608892", "Link")</f>
        <v/>
      </c>
      <c r="I100" t="inlineStr">
        <is>
          <t>Thomas</t>
        </is>
      </c>
      <c r="J100" s="6">
        <f>HYPERLINK("https://www.kleinanzeigen.de/s-bestandsliste.html?userId=25828657", "Link")</f>
        <v/>
      </c>
      <c r="K100" s="7" t="n">
        <v>45566.73685185185</v>
      </c>
      <c r="L100" s="3" t="inlineStr">
        <is>
          <t>80.26</t>
        </is>
      </c>
      <c r="M100" t="inlineStr">
        <is>
          <t>München</t>
        </is>
      </c>
    </row>
    <row r="101">
      <c r="A101" t="inlineStr">
        <is>
          <t>Starboard Race Foil</t>
        </is>
      </c>
      <c r="B101" s="4" t="n">
        <v>890</v>
      </c>
      <c r="C101" t="inlineStr">
        <is>
          <t>VB</t>
        </is>
      </c>
      <c r="D101" t="inlineStr">
        <is>
          <t>85391 Bayern - Allershausen</t>
        </is>
      </c>
      <c r="E101" s="5" t="n">
        <v>45560</v>
      </c>
      <c r="F101" t="inlineStr">
        <is>
          <t>Sold</t>
        </is>
      </c>
      <c r="G101" s="6">
        <f>HYPERLINK("https://www.kleinanzeigen.de/s-anzeige/starboard-race-foil/2873971313-230-6267", "Link")</f>
        <v/>
      </c>
      <c r="H101" s="6">
        <f>HYPERLINK("C:\Projects\Kleinanzeigen-Scraper\offer_images\2873971313", "Link")</f>
        <v/>
      </c>
      <c r="I101" t="inlineStr">
        <is>
          <t>Buchner Markus</t>
        </is>
      </c>
      <c r="J101" s="6">
        <f>HYPERLINK("https://www.kleinanzeigen.de/s-bestandsliste.html?userId=120799156", "Link")</f>
        <v/>
      </c>
      <c r="K101" s="7" t="n">
        <v>45566.73664351852</v>
      </c>
      <c r="L101" s="3" t="inlineStr">
        <is>
          <t>32.76</t>
        </is>
      </c>
      <c r="M101" t="inlineStr">
        <is>
          <t>München</t>
        </is>
      </c>
    </row>
    <row r="102">
      <c r="A102" t="inlineStr">
        <is>
          <t>Tabou Freestyle Finne 24cm US-Box *NEU*</t>
        </is>
      </c>
      <c r="B102" s="4" t="n">
        <v>30</v>
      </c>
      <c r="C102" t="inlineStr"/>
      <c r="D102" t="inlineStr">
        <is>
          <t>22145 Hamburg - Hamburg-Nord</t>
        </is>
      </c>
      <c r="E102" s="5" t="n">
        <v>45566</v>
      </c>
      <c r="F102" t="inlineStr"/>
      <c r="G102" s="6">
        <f>HYPERLINK("https://www.kleinanzeigen.de/s-anzeige/tabou-freestyle-finne-24cm-us-box-neu-/2879077109-230-17006", "Link")</f>
        <v/>
      </c>
      <c r="H102" s="6">
        <f>HYPERLINK("C:\Projects\Kleinanzeigen-Scraper\offer_images\2879077109", "Link")</f>
        <v/>
      </c>
      <c r="I102" t="inlineStr">
        <is>
          <t>Ulf</t>
        </is>
      </c>
      <c r="J102" s="6">
        <f>HYPERLINK("https://www.kleinanzeigen.de/s-bestandsliste.html?userId=50449475", "Link")</f>
        <v/>
      </c>
      <c r="K102" s="7" t="n">
        <v>45566.73660879629</v>
      </c>
      <c r="L102" s="3" t="inlineStr">
        <is>
          <t>371.39</t>
        </is>
      </c>
      <c r="M102" t="inlineStr">
        <is>
          <t>Köln</t>
        </is>
      </c>
    </row>
    <row r="103">
      <c r="A103" t="inlineStr">
        <is>
          <t>Zelt Isabella Capri North G19+Sonnendach Eclipse</t>
        </is>
      </c>
      <c r="B103" s="4" t="n">
        <v>1.5</v>
      </c>
      <c r="C103" t="inlineStr"/>
      <c r="D103" t="inlineStr">
        <is>
          <t>64560 Hessen - Riedstadt</t>
        </is>
      </c>
      <c r="E103" s="5" t="n">
        <v>45566</v>
      </c>
      <c r="F103" t="inlineStr"/>
      <c r="G103" s="6">
        <f>HYPERLINK("https://www.kleinanzeigen.de/s-anzeige/zelt-isabella-capri-north-g19-sonnendach-eclipse/2879023868-230-4460", "Link")</f>
        <v/>
      </c>
      <c r="H103" s="6">
        <f>HYPERLINK("C:\Projects\Kleinanzeigen-Scraper\offer_images\2879023868", "Link")</f>
        <v/>
      </c>
      <c r="I103" t="inlineStr">
        <is>
          <t>Katrin Frähsdorf</t>
        </is>
      </c>
      <c r="J103" s="6">
        <f>HYPERLINK("https://www.kleinanzeigen.de/s-bestandsliste.html?userId=30208836", "Link")</f>
        <v/>
      </c>
      <c r="K103" s="7" t="n">
        <v>45566.73649305556</v>
      </c>
      <c r="L103" s="3" t="inlineStr">
        <is>
          <t>93.16</t>
        </is>
      </c>
      <c r="M103" t="inlineStr">
        <is>
          <t>Karlsruhe</t>
        </is>
      </c>
    </row>
    <row r="104">
      <c r="A104" t="inlineStr">
        <is>
          <t>2 Campingstühle Anglerstuhl North Camp</t>
        </is>
      </c>
      <c r="B104" s="4" t="n">
        <v>50</v>
      </c>
      <c r="C104" t="inlineStr"/>
      <c r="D104" t="inlineStr">
        <is>
          <t>21465 Schleswig-Holstein - Reinbek</t>
        </is>
      </c>
      <c r="E104" s="5" t="n">
        <v>45566</v>
      </c>
      <c r="F104" t="inlineStr"/>
      <c r="G104" s="6">
        <f>HYPERLINK("https://www.kleinanzeigen.de/s-anzeige/2-campingstuehle-anglerstuhl-north-camp/2879354202-230-13590", "Link")</f>
        <v/>
      </c>
      <c r="H104" s="6">
        <f>HYPERLINK("C:\Projects\Kleinanzeigen-Scraper\offer_images\2879354202", "Link")</f>
        <v/>
      </c>
      <c r="I104" t="inlineStr">
        <is>
          <t>Privat</t>
        </is>
      </c>
      <c r="J104" s="6">
        <f>HYPERLINK("https://www.kleinanzeigen.de/s-bestandsliste.html?userId=35155532", "Link")</f>
        <v/>
      </c>
      <c r="K104" s="7" t="n">
        <v>45566.73648148148</v>
      </c>
      <c r="L104" s="3" t="inlineStr">
        <is>
          <t>366.85</t>
        </is>
      </c>
      <c r="M104" t="inlineStr">
        <is>
          <t>Köln</t>
        </is>
      </c>
    </row>
    <row r="105">
      <c r="A105" t="inlineStr">
        <is>
          <t>Neilpryde Atlas 4.5qm - Windsurfsegel NEU</t>
        </is>
      </c>
      <c r="B105" s="4" t="n">
        <v>350</v>
      </c>
      <c r="C105" t="inlineStr">
        <is>
          <t>VB</t>
        </is>
      </c>
      <c r="D105" t="inlineStr">
        <is>
          <t>18211 Bad Doberan - Landkreis - Bargeshagen</t>
        </is>
      </c>
      <c r="E105" s="5" t="n">
        <v>45566</v>
      </c>
      <c r="F105" t="inlineStr"/>
      <c r="G105" s="6">
        <f>HYPERLINK("https://www.kleinanzeigen.de/s-anzeige/neilpryde-atlas-4-5qm-windsurfsegel-neu/2879368369-230-16583", "Link")</f>
        <v/>
      </c>
      <c r="H105" s="6">
        <f>HYPERLINK("C:\Projects\Kleinanzeigen-Scraper\offer_images\2879368369", "Link")</f>
        <v/>
      </c>
      <c r="I105" t="inlineStr">
        <is>
          <t>Dirk</t>
        </is>
      </c>
      <c r="J105" s="6">
        <f>HYPERLINK("https://www.kleinanzeigen.de/s-bestandsliste.html?userId=141661148", "Link")</f>
        <v/>
      </c>
      <c r="K105" s="7" t="n">
        <v>45566.73644675926</v>
      </c>
      <c r="L105" s="3" t="inlineStr">
        <is>
          <t>490.50</t>
        </is>
      </c>
      <c r="M105" t="inlineStr">
        <is>
          <t>Köln</t>
        </is>
      </c>
    </row>
    <row r="106">
      <c r="A106" t="inlineStr">
        <is>
          <t>Naish Dash 9m S25</t>
        </is>
      </c>
      <c r="B106" s="4" t="n">
        <v>450</v>
      </c>
      <c r="C106" t="inlineStr">
        <is>
          <t>VB</t>
        </is>
      </c>
      <c r="D106" t="inlineStr">
        <is>
          <t>17489 Mecklenburg-Vorpommern - Greifswald</t>
        </is>
      </c>
      <c r="E106" s="5" t="n">
        <v>45565</v>
      </c>
      <c r="F106" t="inlineStr"/>
      <c r="G106" s="6">
        <f>HYPERLINK("https://www.kleinanzeigen.de/s-anzeige/naish-dash-9m-s25/2878910884-230-243", "Link")</f>
        <v/>
      </c>
      <c r="H106" s="6">
        <f>HYPERLINK("C:\Projects\Kleinanzeigen-Scraper\offer_images\2878910884", "Link")</f>
        <v/>
      </c>
      <c r="I106" t="inlineStr">
        <is>
          <t>Sophie Japp</t>
        </is>
      </c>
      <c r="J106" s="6">
        <f>HYPERLINK("https://www.kleinanzeigen.de/s-bestandsliste.html?userId=11453404", "Link")</f>
        <v/>
      </c>
      <c r="K106" s="7" t="n">
        <v>45566.73641203704</v>
      </c>
      <c r="L106" s="3" t="inlineStr">
        <is>
          <t>557.31</t>
        </is>
      </c>
      <c r="M106" t="inlineStr">
        <is>
          <t>Köln</t>
        </is>
      </c>
    </row>
    <row r="107">
      <c r="A107" t="inlineStr">
        <is>
          <t>Fanatic SUP &amp; Naish Carbon Paddel</t>
        </is>
      </c>
      <c r="B107" s="4" t="n">
        <v>450</v>
      </c>
      <c r="C107" t="inlineStr">
        <is>
          <t>VB</t>
        </is>
      </c>
      <c r="D107" t="inlineStr">
        <is>
          <t>83435 Bayern - Bad Reichenhall</t>
        </is>
      </c>
      <c r="E107" s="5" t="n">
        <v>45565</v>
      </c>
      <c r="F107" t="inlineStr"/>
      <c r="G107" s="6">
        <f>HYPERLINK("https://www.kleinanzeigen.de/s-anzeige/fanatic-sup-naish-carbon-paddel/2878932202-230-5881", "Link")</f>
        <v/>
      </c>
      <c r="H107" s="6">
        <f>HYPERLINK("C:\Projects\Kleinanzeigen-Scraper\offer_images\2878932202", "Link")</f>
        <v/>
      </c>
      <c r="I107" t="inlineStr">
        <is>
          <t>Jens</t>
        </is>
      </c>
      <c r="J107" s="6">
        <f>HYPERLINK("https://www.kleinanzeigen.de/s-bestandsliste.html?userId=25564543", "Link")</f>
        <v/>
      </c>
      <c r="K107" s="7" t="n">
        <v>45566.73635416666</v>
      </c>
      <c r="L107" s="3" t="inlineStr">
        <is>
          <t>104.89</t>
        </is>
      </c>
      <c r="M107" t="inlineStr">
        <is>
          <t>München</t>
        </is>
      </c>
    </row>
    <row r="108">
      <c r="A108" t="inlineStr">
        <is>
          <t>Snowboard für Kids K2 Vandal 137</t>
        </is>
      </c>
      <c r="B108" s="4" t="n">
        <v>120</v>
      </c>
      <c r="C108" t="inlineStr">
        <is>
          <t>VB</t>
        </is>
      </c>
      <c r="D108" t="inlineStr">
        <is>
          <t>71720 Baden-Württemberg - Oberstenfeld</t>
        </is>
      </c>
      <c r="E108" s="5" t="n">
        <v>45566</v>
      </c>
      <c r="F108" t="inlineStr"/>
      <c r="G108" s="6">
        <f>HYPERLINK("https://www.kleinanzeigen.de/s-anzeige/snowboard-fuer-kids-k2-vandal-137/2879522975-230-19390", "Link")</f>
        <v/>
      </c>
      <c r="H108" s="6">
        <f>HYPERLINK("C:\Projects\Kleinanzeigen-Scraper\offer_images\2879522975", "Link")</f>
        <v/>
      </c>
      <c r="I108" t="inlineStr">
        <is>
          <t>Gernot</t>
        </is>
      </c>
      <c r="J108" s="6">
        <f>HYPERLINK("https://www.kleinanzeigen.de/s-bestandsliste.html?userId=144786165", "Link")</f>
        <v/>
      </c>
      <c r="K108" s="7" t="n">
        <v>45566.73625</v>
      </c>
      <c r="L108" s="3" t="inlineStr">
        <is>
          <t>48.50</t>
        </is>
      </c>
      <c r="M108" t="inlineStr">
        <is>
          <t>Böblingen</t>
        </is>
      </c>
    </row>
    <row r="109">
      <c r="A109" t="inlineStr">
        <is>
          <t>Surfsegel Windsurfen Segel Surfen Surfslalom TC 6,4</t>
        </is>
      </c>
      <c r="B109" s="4" t="inlineStr"/>
      <c r="C109" t="inlineStr">
        <is>
          <t>VB</t>
        </is>
      </c>
      <c r="D109" t="inlineStr">
        <is>
          <t>68649 Hessen - Groß-Rohrheim</t>
        </is>
      </c>
      <c r="E109" s="5" t="n">
        <v>45565</v>
      </c>
      <c r="F109" t="inlineStr"/>
      <c r="G109" s="6">
        <f>HYPERLINK("https://www.kleinanzeigen.de/s-anzeige/surfsegel-windsurfen-segel-surfen-surfslalom-tc-6-4/2878716457-230-4758", "Link")</f>
        <v/>
      </c>
      <c r="H109" s="6">
        <f>HYPERLINK("C:\Projects\Kleinanzeigen-Scraper\offer_images\2878716457", "Link")</f>
        <v/>
      </c>
      <c r="I109" t="inlineStr">
        <is>
          <t>Daniel</t>
        </is>
      </c>
      <c r="J109" s="6">
        <f>HYPERLINK("https://www.kleinanzeigen.de/s-bestandsliste.html?userId=15416374", "Link")</f>
        <v/>
      </c>
      <c r="K109" s="7" t="n">
        <v>45566.73621527778</v>
      </c>
      <c r="L109" s="3" t="inlineStr">
        <is>
          <t>78.85</t>
        </is>
      </c>
      <c r="M109" t="inlineStr">
        <is>
          <t>Karlsruhe</t>
        </is>
      </c>
    </row>
    <row r="110">
      <c r="A110" t="inlineStr">
        <is>
          <t>Playmobil Windsurfer</t>
        </is>
      </c>
      <c r="B110" s="4" t="n">
        <v>10</v>
      </c>
      <c r="C110" t="inlineStr"/>
      <c r="D110" t="inlineStr">
        <is>
          <t>42781 Nordrhein-Westfalen - Haan</t>
        </is>
      </c>
      <c r="E110" s="5" t="n">
        <v>45551</v>
      </c>
      <c r="F110" t="inlineStr">
        <is>
          <t>Sold</t>
        </is>
      </c>
      <c r="G110" s="6">
        <f>HYPERLINK("https://www.kleinanzeigen.de/s-anzeige/playmobil-windsurfer/2865393575-23-1516", "Link")</f>
        <v/>
      </c>
      <c r="H110" s="6">
        <f>HYPERLINK("C:\Projects\Kleinanzeigen-Scraper\offer_images\2865393575", "Link")</f>
        <v/>
      </c>
      <c r="I110" t="inlineStr">
        <is>
          <t>Jörg Hinrichsen</t>
        </is>
      </c>
      <c r="J110" s="6">
        <f>HYPERLINK("https://www.kleinanzeigen.de/s-bestandsliste.html?userId=61668318", "Link")</f>
        <v/>
      </c>
      <c r="K110" s="7" t="n">
        <v>45566.73597222222</v>
      </c>
      <c r="L110" s="3" t="inlineStr">
        <is>
          <t>29.91</t>
        </is>
      </c>
      <c r="M110" t="inlineStr">
        <is>
          <t>Köln</t>
        </is>
      </c>
    </row>
    <row r="111">
      <c r="A111" t="inlineStr">
        <is>
          <t>Severne Mach 4  5,5er Slalom Segel, kein Warp, AC1</t>
        </is>
      </c>
      <c r="B111" s="4" t="n">
        <v>300</v>
      </c>
      <c r="C111" t="inlineStr"/>
      <c r="D111" t="inlineStr">
        <is>
          <t>21493 Herzogtum Lauenburg - Schwarzenbek</t>
        </is>
      </c>
      <c r="E111" s="5" t="n">
        <v>45566</v>
      </c>
      <c r="F111" t="inlineStr"/>
      <c r="G111" s="6">
        <f>HYPERLINK("https://www.kleinanzeigen.de/s-anzeige/severne-mach-4-5-5er-slalom-segel-kein-warp-ac1/2879101434-230-746", "Link")</f>
        <v/>
      </c>
      <c r="H111" s="6">
        <f>HYPERLINK("C:\Projects\Kleinanzeigen-Scraper\offer_images\2879101434", "Link")</f>
        <v/>
      </c>
      <c r="I111" t="inlineStr">
        <is>
          <t>Sebastian</t>
        </is>
      </c>
      <c r="J111" s="6">
        <f>HYPERLINK("https://www.kleinanzeigen.de/s-bestandsliste.html?userId=141573193", "Link")</f>
        <v/>
      </c>
      <c r="K111" s="7" t="n">
        <v>45566.73572916666</v>
      </c>
      <c r="L111" s="3" t="inlineStr">
        <is>
          <t>378.85</t>
        </is>
      </c>
      <c r="M111" t="inlineStr">
        <is>
          <t>Köln</t>
        </is>
      </c>
    </row>
    <row r="112">
      <c r="A112" t="inlineStr">
        <is>
          <t>Naish Pivot in 12m - neuwertig</t>
        </is>
      </c>
      <c r="B112" s="4" t="n">
        <v>779</v>
      </c>
      <c r="C112" t="inlineStr">
        <is>
          <t>VB</t>
        </is>
      </c>
      <c r="D112" t="inlineStr">
        <is>
          <t>81243 München - Pasing-Obermenzing</t>
        </is>
      </c>
      <c r="E112" s="5" t="n">
        <v>45565</v>
      </c>
      <c r="F112" t="inlineStr"/>
      <c r="G112" s="6">
        <f>HYPERLINK("https://www.kleinanzeigen.de/s-anzeige/naish-pivot-in-12m-neuwertig/2878802548-230-6476", "Link")</f>
        <v/>
      </c>
      <c r="H112" s="6">
        <f>HYPERLINK("C:\Projects\Kleinanzeigen-Scraper\offer_images\2878802548", "Link")</f>
        <v/>
      </c>
      <c r="I112" t="inlineStr">
        <is>
          <t>Benjamin</t>
        </is>
      </c>
      <c r="J112" s="6">
        <f>HYPERLINK("https://www.kleinanzeigen.de/s-bestandsliste.html?userId=34393182", "Link")</f>
        <v/>
      </c>
      <c r="K112" s="7" t="n">
        <v>45566.73567129629</v>
      </c>
      <c r="L112" s="3" t="inlineStr">
        <is>
          <t>10.14</t>
        </is>
      </c>
      <c r="M112" t="inlineStr">
        <is>
          <t>München</t>
        </is>
      </c>
    </row>
    <row r="113">
      <c r="A113" t="inlineStr">
        <is>
          <t>Naish Jet 2450 Frontflügel</t>
        </is>
      </c>
      <c r="B113" s="4" t="n">
        <v>320</v>
      </c>
      <c r="C113" t="inlineStr">
        <is>
          <t>VB</t>
        </is>
      </c>
      <c r="D113" t="inlineStr">
        <is>
          <t>12623 Berlin - Hellersdorf</t>
        </is>
      </c>
      <c r="E113" s="5" t="n">
        <v>45566</v>
      </c>
      <c r="F113" t="inlineStr"/>
      <c r="G113" s="6">
        <f>HYPERLINK("https://www.kleinanzeigen.de/s-anzeige/naish-jet-2450-frontfluegel/2879566577-230-3512", "Link")</f>
        <v/>
      </c>
      <c r="H113" s="6">
        <f>HYPERLINK("C:\Projects\Kleinanzeigen-Scraper\offer_images\2879566577", "Link")</f>
        <v/>
      </c>
      <c r="I113" t="inlineStr">
        <is>
          <t>Ricardo Lacasa</t>
        </is>
      </c>
      <c r="J113" s="6">
        <f>HYPERLINK("https://www.kleinanzeigen.de/s-bestandsliste.html?userId=3204524", "Link")</f>
        <v/>
      </c>
      <c r="K113" s="7" t="n">
        <v>45566.73563657407</v>
      </c>
      <c r="L113" s="3" t="inlineStr">
        <is>
          <t>490.00</t>
        </is>
      </c>
      <c r="M113" t="inlineStr">
        <is>
          <t>Köln</t>
        </is>
      </c>
    </row>
    <row r="114">
      <c r="A114" t="inlineStr">
        <is>
          <t>Isabella Atlas North mit Carbon X G19/A1025</t>
        </is>
      </c>
      <c r="B114" s="4" t="n">
        <v>999</v>
      </c>
      <c r="C114" t="inlineStr">
        <is>
          <t>VB</t>
        </is>
      </c>
      <c r="D114" t="inlineStr">
        <is>
          <t>27751 Niedersachsen - Delmenhorst</t>
        </is>
      </c>
      <c r="E114" s="5" t="n">
        <v>45566</v>
      </c>
      <c r="F114" t="inlineStr"/>
      <c r="G114" s="6">
        <f>HYPERLINK("https://www.kleinanzeigen.de/s-anzeige/isabella-atlas-north-mit-carbon-x-g19-a1025/2879403388-230-2468", "Link")</f>
        <v/>
      </c>
      <c r="H114" s="6">
        <f>HYPERLINK("C:\Projects\Kleinanzeigen-Scraper\offer_images\2879403388", "Link")</f>
        <v/>
      </c>
      <c r="I114" t="inlineStr">
        <is>
          <t>Andre Paetz</t>
        </is>
      </c>
      <c r="J114" s="6">
        <f>HYPERLINK("https://www.kleinanzeigen.de/s-bestandsliste.html?userId=4011441", "Link")</f>
        <v/>
      </c>
      <c r="K114" s="7" t="n">
        <v>45566.73537037037</v>
      </c>
      <c r="L114" s="3" t="inlineStr">
        <is>
          <t>262.60</t>
        </is>
      </c>
      <c r="M114" t="inlineStr">
        <is>
          <t>Köln</t>
        </is>
      </c>
    </row>
    <row r="115">
      <c r="A115" t="inlineStr">
        <is>
          <t>Neilpryde x9 Windsurfgabel 180-230</t>
        </is>
      </c>
      <c r="B115" s="4" t="n">
        <v>350</v>
      </c>
      <c r="C115" t="inlineStr"/>
      <c r="D115" t="inlineStr">
        <is>
          <t>18211 Bad Doberan - Landkreis - Bargeshagen</t>
        </is>
      </c>
      <c r="E115" s="5" t="n">
        <v>45566</v>
      </c>
      <c r="F115" t="inlineStr"/>
      <c r="G115" s="6">
        <f>HYPERLINK("https://www.kleinanzeigen.de/s-anzeige/neilpryde-x9-windsurfgabel-180-230/2879423205-230-16583", "Link")</f>
        <v/>
      </c>
      <c r="H115" s="6">
        <f>HYPERLINK("C:\Projects\Kleinanzeigen-Scraper\offer_images\2879423205", "Link")</f>
        <v/>
      </c>
      <c r="I115" t="inlineStr">
        <is>
          <t>Dirk</t>
        </is>
      </c>
      <c r="J115" s="6">
        <f>HYPERLINK("https://www.kleinanzeigen.de/s-bestandsliste.html?userId=141661148", "Link")</f>
        <v/>
      </c>
      <c r="K115" s="7" t="n">
        <v>45566.73518518519</v>
      </c>
      <c r="L115" s="3" t="inlineStr">
        <is>
          <t>490.50</t>
        </is>
      </c>
      <c r="M115" t="inlineStr">
        <is>
          <t>Köln</t>
        </is>
      </c>
    </row>
    <row r="116">
      <c r="A116" t="inlineStr">
        <is>
          <t>GOYA von José Gudiol</t>
        </is>
      </c>
      <c r="B116" s="4" t="inlineStr"/>
      <c r="C116" t="inlineStr">
        <is>
          <t>VB</t>
        </is>
      </c>
      <c r="D116" t="inlineStr">
        <is>
          <t>60316 Frankfurt am Main - Ostend</t>
        </is>
      </c>
      <c r="E116" s="5" t="n">
        <v>45322</v>
      </c>
      <c r="F116" t="inlineStr">
        <is>
          <t>Sold</t>
        </is>
      </c>
      <c r="G116" s="6">
        <f>HYPERLINK("https://www.kleinanzeigen.de/s-anzeige/goya-von-jos-gudiol/2667653834-240-4297", "Link")</f>
        <v/>
      </c>
      <c r="H116" s="6">
        <f>HYPERLINK("C:\Projects\Kleinanzeigen-Scraper\offer_images\2667653834", "Link")</f>
        <v/>
      </c>
      <c r="I116" t="inlineStr">
        <is>
          <t>Lidia</t>
        </is>
      </c>
      <c r="J116" s="6">
        <f>HYPERLINK("https://www.kleinanzeigen.de/s-bestandsliste.html?userId=47946042", "Link")</f>
        <v/>
      </c>
      <c r="K116" s="7" t="n">
        <v>45566.73488425926</v>
      </c>
      <c r="L116" s="3" t="inlineStr">
        <is>
          <t>125.64</t>
        </is>
      </c>
      <c r="M116" t="inlineStr">
        <is>
          <t>Karlsruhe</t>
        </is>
      </c>
    </row>
    <row r="117">
      <c r="A117" t="inlineStr">
        <is>
          <t>SUP Starboard Astro 11‘2</t>
        </is>
      </c>
      <c r="B117" s="4" t="n">
        <v>444</v>
      </c>
      <c r="C117" t="inlineStr">
        <is>
          <t>VB</t>
        </is>
      </c>
      <c r="D117" t="inlineStr">
        <is>
          <t>83112 Bayern - Frasdorf</t>
        </is>
      </c>
      <c r="E117" s="5" t="n">
        <v>45565</v>
      </c>
      <c r="F117" t="inlineStr"/>
      <c r="G117" s="6">
        <f>HYPERLINK("https://www.kleinanzeigen.de/s-anzeige/sup-starboard-astro-11-2/2878654768-230-7575", "Link")</f>
        <v/>
      </c>
      <c r="H117" s="6">
        <f>HYPERLINK("C:\Projects\Kleinanzeigen-Scraper\offer_images\2878654768", "Link")</f>
        <v/>
      </c>
      <c r="I117" t="inlineStr">
        <is>
          <t>Bullinger; Ruben</t>
        </is>
      </c>
      <c r="J117" s="6">
        <f>HYPERLINK("https://www.kleinanzeigen.de/s-bestandsliste.html?userId=17479889", "Link")</f>
        <v/>
      </c>
      <c r="K117" s="7" t="n">
        <v>45566.73466435185</v>
      </c>
      <c r="L117" s="3" t="inlineStr">
        <is>
          <t>64.68</t>
        </is>
      </c>
      <c r="M117" t="inlineStr">
        <is>
          <t>München</t>
        </is>
      </c>
    </row>
    <row r="118">
      <c r="A118" t="inlineStr">
        <is>
          <t>Starboard SUP 2022 Infl. 10'8 X 33 X 4.75 iGO</t>
        </is>
      </c>
      <c r="B118" s="4" t="inlineStr"/>
      <c r="C118" t="inlineStr">
        <is>
          <t>VB</t>
        </is>
      </c>
      <c r="D118" t="inlineStr">
        <is>
          <t>16552 Brandenburg - Schildow</t>
        </is>
      </c>
      <c r="E118" s="5" t="n">
        <v>45560</v>
      </c>
      <c r="F118" t="inlineStr">
        <is>
          <t>Sold</t>
        </is>
      </c>
      <c r="G118" s="6">
        <f>HYPERLINK("https://www.kleinanzeigen.de/s-anzeige/starboard-sup-2022-infl-10-8-x-33-x-4-75-igo/2874012680-230-7782", "Link")</f>
        <v/>
      </c>
      <c r="H118" s="6">
        <f>HYPERLINK("C:\Projects\Kleinanzeigen-Scraper\offer_images\2874012680", "Link")</f>
        <v/>
      </c>
      <c r="I118" t="inlineStr">
        <is>
          <t>frank</t>
        </is>
      </c>
      <c r="J118" s="6">
        <f>HYPERLINK("https://www.kleinanzeigen.de/s-bestandsliste.html?userId=85019342", "Link")</f>
        <v/>
      </c>
      <c r="K118" s="7" t="n">
        <v>45566.73465277778</v>
      </c>
      <c r="L118" s="3" t="inlineStr">
        <is>
          <t>479.99</t>
        </is>
      </c>
      <c r="M118" t="inlineStr">
        <is>
          <t>Köln</t>
        </is>
      </c>
    </row>
    <row r="119">
      <c r="A119" t="inlineStr">
        <is>
          <t>RRD Religion 6 qm - Top Zustand mit Bar</t>
        </is>
      </c>
      <c r="B119" s="4" t="n">
        <v>950</v>
      </c>
      <c r="C119" t="inlineStr">
        <is>
          <t>VB</t>
        </is>
      </c>
      <c r="D119" t="inlineStr">
        <is>
          <t>97070 Bayern - Würzburg</t>
        </is>
      </c>
      <c r="E119" s="5" t="n">
        <v>45566</v>
      </c>
      <c r="F119" t="inlineStr"/>
      <c r="G119" s="6">
        <f>HYPERLINK("https://www.kleinanzeigen.de/s-anzeige/rrd-religion-6-qm-top-zustand-mit-bar/2879527905-230-7700", "Link")</f>
        <v/>
      </c>
      <c r="H119" s="6">
        <f>HYPERLINK("C:\Projects\Kleinanzeigen-Scraper\offer_images\2879527905", "Link")</f>
        <v/>
      </c>
      <c r="I119" t="inlineStr">
        <is>
          <t>Niko</t>
        </is>
      </c>
      <c r="J119" s="6">
        <f>HYPERLINK("https://www.kleinanzeigen.de/s-bestandsliste.html?userId=17770632", "Link")</f>
        <v/>
      </c>
      <c r="K119" s="7" t="n">
        <v>45566.73454861111</v>
      </c>
      <c r="L119" s="3" t="inlineStr">
        <is>
          <t>141.80</t>
        </is>
      </c>
      <c r="M119" t="inlineStr">
        <is>
          <t>Karlsruhe</t>
        </is>
      </c>
    </row>
    <row r="120">
      <c r="A120" t="inlineStr">
        <is>
          <t>North Bar Frontline (rot) für Trust Bar 24m, Jg. 2018</t>
        </is>
      </c>
      <c r="B120" s="4" t="n">
        <v>19</v>
      </c>
      <c r="C120" t="inlineStr"/>
      <c r="D120" t="inlineStr">
        <is>
          <t>79539 Baden-Württemberg - Lörrach</t>
        </is>
      </c>
      <c r="E120" s="5" t="n">
        <v>45565</v>
      </c>
      <c r="F120" t="inlineStr"/>
      <c r="G120" s="6">
        <f>HYPERLINK("https://www.kleinanzeigen.de/s-anzeige/north-bar-frontline-rot-fuer-trust-bar-24m-jg-2018/2878973142-230-8080", "Link")</f>
        <v/>
      </c>
      <c r="H120" s="6">
        <f>HYPERLINK("C:\Projects\Kleinanzeigen-Scraper\offer_images\2878973142", "Link")</f>
        <v/>
      </c>
      <c r="I120" t="inlineStr">
        <is>
          <t>Eliane und Felix</t>
        </is>
      </c>
      <c r="J120" s="6">
        <f>HYPERLINK("https://www.kleinanzeigen.de/s-bestandsliste.html?userId=65612584", "Link")</f>
        <v/>
      </c>
      <c r="K120" s="7" t="n">
        <v>45566.73402777778</v>
      </c>
      <c r="L120" s="3" t="inlineStr">
        <is>
          <t>54.91</t>
        </is>
      </c>
      <c r="M120" t="inlineStr">
        <is>
          <t>Bonndorf</t>
        </is>
      </c>
    </row>
    <row r="121">
      <c r="A121" t="inlineStr">
        <is>
          <t>Rigg Segel Tasche Bag North Windsurfen Surfen</t>
        </is>
      </c>
      <c r="B121" s="4" t="n">
        <v>30</v>
      </c>
      <c r="C121" t="inlineStr"/>
      <c r="D121" t="inlineStr">
        <is>
          <t>85395 Bayern - Wolfersdorf</t>
        </is>
      </c>
      <c r="E121" s="5" t="n">
        <v>45565</v>
      </c>
      <c r="F121" t="inlineStr"/>
      <c r="G121" s="6">
        <f>HYPERLINK("https://www.kleinanzeigen.de/s-anzeige/rigg-segel-tasche-bag-north-windsurfen-surfen/2878798087-230-6266", "Link")</f>
        <v/>
      </c>
      <c r="H121" s="6">
        <f>HYPERLINK("C:\Projects\Kleinanzeigen-Scraper\offer_images\2878798087", "Link")</f>
        <v/>
      </c>
      <c r="I121" t="inlineStr">
        <is>
          <t>Ludwig Funk</t>
        </is>
      </c>
      <c r="J121" s="6">
        <f>HYPERLINK("https://www.kleinanzeigen.de/s-bestandsliste.html?userId=27070405", "Link")</f>
        <v/>
      </c>
      <c r="K121" s="7" t="n">
        <v>45566.7337962963</v>
      </c>
      <c r="L121" s="3" t="inlineStr">
        <is>
          <t>41.34</t>
        </is>
      </c>
      <c r="M121" t="inlineStr">
        <is>
          <t>München</t>
        </is>
      </c>
    </row>
    <row r="122">
      <c r="A122" t="inlineStr">
        <is>
          <t>Windsurfsegel  North Sails Volt 4,7 2016</t>
        </is>
      </c>
      <c r="B122" s="4" t="n">
        <v>175</v>
      </c>
      <c r="C122" t="inlineStr"/>
      <c r="D122" t="inlineStr">
        <is>
          <t>41352 Nordrhein-Westfalen - Korschenbroich</t>
        </is>
      </c>
      <c r="E122" s="5" t="n">
        <v>45565</v>
      </c>
      <c r="F122" t="inlineStr"/>
      <c r="G122" s="6">
        <f>HYPERLINK("https://www.kleinanzeigen.de/s-anzeige/windsurfsegel-north-sails-volt-4-7-2016/2878817064-230-1188", "Link")</f>
        <v/>
      </c>
      <c r="H122" s="6">
        <f>HYPERLINK("C:\Projects\Kleinanzeigen-Scraper\offer_images\2878817064", "Link")</f>
        <v/>
      </c>
      <c r="I122" t="inlineStr">
        <is>
          <t>Ingo</t>
        </is>
      </c>
      <c r="J122" s="6">
        <f>HYPERLINK("https://www.kleinanzeigen.de/s-bestandsliste.html?userId=144774371", "Link")</f>
        <v/>
      </c>
      <c r="K122" s="7" t="n">
        <v>45566.73375</v>
      </c>
      <c r="L122" s="3" t="inlineStr">
        <is>
          <t>40.41</t>
        </is>
      </c>
      <c r="M122" t="inlineStr">
        <is>
          <t>Köln</t>
        </is>
      </c>
    </row>
    <row r="123">
      <c r="A123" t="inlineStr">
        <is>
          <t>North (Duotone) Rebel 6m + Bar</t>
        </is>
      </c>
      <c r="B123" s="4" t="n">
        <v>400</v>
      </c>
      <c r="C123" t="inlineStr"/>
      <c r="D123" t="inlineStr">
        <is>
          <t>10115 Berlin - Mitte</t>
        </is>
      </c>
      <c r="E123" s="5" t="n">
        <v>45565</v>
      </c>
      <c r="F123" t="inlineStr"/>
      <c r="G123" s="6">
        <f>HYPERLINK("https://www.kleinanzeigen.de/s-anzeige/north-duotone-rebel-6m-bar/2878204244-230-9668", "Link")</f>
        <v/>
      </c>
      <c r="H123" s="6">
        <f>HYPERLINK("C:\Projects\Kleinanzeigen-Scraper\offer_images\2878204244", "Link")</f>
        <v/>
      </c>
      <c r="I123" t="inlineStr">
        <is>
          <t>Natalia Kasprzyszak</t>
        </is>
      </c>
      <c r="J123" s="6">
        <f>HYPERLINK("https://www.kleinanzeigen.de/s-bestandsliste.html?userId=40545443", "Link")</f>
        <v/>
      </c>
      <c r="K123" s="7" t="n">
        <v>45565.74482638889</v>
      </c>
      <c r="L123" s="3" t="inlineStr">
        <is>
          <t>476.33</t>
        </is>
      </c>
      <c r="M123" t="inlineStr">
        <is>
          <t>Köln</t>
        </is>
      </c>
    </row>
    <row r="124">
      <c r="A124" t="inlineStr">
        <is>
          <t>North SUP Pace 11,6 x 32</t>
        </is>
      </c>
      <c r="B124" s="4" t="n">
        <v>300</v>
      </c>
      <c r="C124" t="inlineStr"/>
      <c r="D124" t="inlineStr">
        <is>
          <t>22399 Wandsbek - Hamburg Poppenbüttel</t>
        </is>
      </c>
      <c r="E124" s="5" t="n">
        <v>45565</v>
      </c>
      <c r="F124" t="inlineStr"/>
      <c r="G124" s="6">
        <f>HYPERLINK("https://www.kleinanzeigen.de/s-anzeige/north-sup-pace-11-6-x-32/2878120304-230-18568", "Link")</f>
        <v/>
      </c>
      <c r="H124" s="6">
        <f>HYPERLINK("C:\Projects\Kleinanzeigen-Scraper\offer_images\2878120304", "Link")</f>
        <v/>
      </c>
      <c r="I124" t="inlineStr">
        <is>
          <t>Josi Hauber</t>
        </is>
      </c>
      <c r="J124" s="6">
        <f>HYPERLINK("https://www.kleinanzeigen.de/s-bestandsliste.html?userId=120744010", "Link")</f>
        <v/>
      </c>
      <c r="K124" s="7" t="n">
        <v>45565.74461805556</v>
      </c>
      <c r="L124" s="3" t="inlineStr">
        <is>
          <t>369.80</t>
        </is>
      </c>
      <c r="M124" t="inlineStr">
        <is>
          <t>Köln</t>
        </is>
      </c>
    </row>
    <row r="125">
      <c r="A125" t="inlineStr">
        <is>
          <t>STARBOARD Team Foil Bag XXL V2</t>
        </is>
      </c>
      <c r="B125" s="4" t="n">
        <v>85</v>
      </c>
      <c r="C125" t="inlineStr">
        <is>
          <t>VB</t>
        </is>
      </c>
      <c r="D125" t="inlineStr">
        <is>
          <t>94078 Bayern - Freyung</t>
        </is>
      </c>
      <c r="E125" s="5" t="n">
        <v>45564</v>
      </c>
      <c r="F125" t="inlineStr"/>
      <c r="G125" s="6">
        <f>HYPERLINK("https://www.kleinanzeigen.de/s-anzeige/starboard-team-foil-bag-xxl-v2/2878073330-230-7447", "Link")</f>
        <v/>
      </c>
      <c r="H125" s="6">
        <f>HYPERLINK("C:\Projects\Kleinanzeigen-Scraper\offer_images\2878073330", "Link")</f>
        <v/>
      </c>
      <c r="I125" t="inlineStr">
        <is>
          <t>Jan Wührer</t>
        </is>
      </c>
      <c r="J125" s="6">
        <f>HYPERLINK("https://www.kleinanzeigen.de/s-bestandsliste.html?userId=26044378", "Link")</f>
        <v/>
      </c>
      <c r="K125" s="7" t="n">
        <v>45565.74460648148</v>
      </c>
      <c r="L125" s="3" t="inlineStr">
        <is>
          <t>165.85</t>
        </is>
      </c>
      <c r="M125" t="inlineStr">
        <is>
          <t>München</t>
        </is>
      </c>
    </row>
    <row r="126">
      <c r="A126" t="inlineStr">
        <is>
          <t>Naish Pivot 8 qm</t>
        </is>
      </c>
      <c r="B126" s="4" t="n">
        <v>450</v>
      </c>
      <c r="C126" t="inlineStr">
        <is>
          <t>VB</t>
        </is>
      </c>
      <c r="D126" t="inlineStr">
        <is>
          <t>46419 Nordrhein-Westfalen - Isselburg</t>
        </is>
      </c>
      <c r="E126" s="5" t="n">
        <v>45565</v>
      </c>
      <c r="F126" t="inlineStr"/>
      <c r="G126" s="6">
        <f>HYPERLINK("https://www.kleinanzeigen.de/s-anzeige/naish-pivot-8-qm/2878252471-230-1848", "Link")</f>
        <v/>
      </c>
      <c r="H126" s="6">
        <f>HYPERLINK("C:\Projects\Kleinanzeigen-Scraper\offer_images\2878252471", "Link")</f>
        <v/>
      </c>
      <c r="I126" t="inlineStr">
        <is>
          <t>Jan Wiesner</t>
        </is>
      </c>
      <c r="J126" s="6">
        <f>HYPERLINK("https://www.kleinanzeigen.de/s-bestandsliste.html?userId=61488154", "Link")</f>
        <v/>
      </c>
      <c r="K126" s="7" t="n">
        <v>45565.74450231482</v>
      </c>
      <c r="L126" s="3" t="inlineStr">
        <is>
          <t>105.11</t>
        </is>
      </c>
      <c r="M126" t="inlineStr">
        <is>
          <t>Köln</t>
        </is>
      </c>
    </row>
    <row r="127">
      <c r="A127" t="inlineStr">
        <is>
          <t>Steeldarts Target Japan Paul Lim Gen 7 Swiss Point 20 Gramm</t>
        </is>
      </c>
      <c r="B127" s="4" t="n">
        <v>95</v>
      </c>
      <c r="C127" t="inlineStr">
        <is>
          <t>VB</t>
        </is>
      </c>
      <c r="D127" t="inlineStr">
        <is>
          <t>97424 Bayern - Schweinfurt</t>
        </is>
      </c>
      <c r="E127" s="5" t="n">
        <v>45565</v>
      </c>
      <c r="F127" t="inlineStr"/>
      <c r="G127" s="6">
        <f>HYPERLINK("https://www.kleinanzeigen.de/s-anzeige/steeldarts-target-japan-paul-lim-gen-7-swiss-point-20-gramm/2878135247-230-6860", "Link")</f>
        <v/>
      </c>
      <c r="H127" s="6">
        <f>HYPERLINK("C:\Projects\Kleinanzeigen-Scraper\offer_images\2878135247", "Link")</f>
        <v/>
      </c>
      <c r="I127" t="inlineStr">
        <is>
          <t>René</t>
        </is>
      </c>
      <c r="J127" s="6">
        <f>HYPERLINK("https://www.kleinanzeigen.de/s-bestandsliste.html?userId=73198446", "Link")</f>
        <v/>
      </c>
      <c r="K127" s="7" t="n">
        <v>45565.74332175926</v>
      </c>
      <c r="L127" s="3" t="inlineStr">
        <is>
          <t>174.01</t>
        </is>
      </c>
      <c r="M127" t="inlineStr">
        <is>
          <t>Karlsruhe</t>
        </is>
      </c>
    </row>
    <row r="128">
      <c r="A128" t="inlineStr">
        <is>
          <t>Fanatic Blast 147 l 2022 Nose Protector</t>
        </is>
      </c>
      <c r="B128" s="4" t="inlineStr">
        <is>
          <t>Zu verschenken</t>
        </is>
      </c>
      <c r="C128" t="inlineStr"/>
      <c r="D128" t="inlineStr">
        <is>
          <t>45768 Nordrhein-Westfalen - Marl</t>
        </is>
      </c>
      <c r="E128" s="5" t="n">
        <v>45565</v>
      </c>
      <c r="F128" t="inlineStr">
        <is>
          <t>Sold</t>
        </is>
      </c>
      <c r="G128" s="6">
        <f>HYPERLINK("https://www.kleinanzeigen.de/s-anzeige/fanatic-blast-147-l-2022-nose-protector/2878518159-230-1774", "Link")</f>
        <v/>
      </c>
      <c r="H128" s="6">
        <f>HYPERLINK("C:\Projects\Kleinanzeigen-Scraper\offer_images\2878518159", "Link")</f>
        <v/>
      </c>
      <c r="I128" t="inlineStr">
        <is>
          <t>Privat</t>
        </is>
      </c>
      <c r="J128" s="6">
        <f>HYPERLINK("https://www.kleinanzeigen.de/s-bestandsliste.html?userId=9608519", "Link")</f>
        <v/>
      </c>
      <c r="K128" s="7" t="n">
        <v>45565.74298611111</v>
      </c>
      <c r="L128" s="3" t="inlineStr">
        <is>
          <t>80.12</t>
        </is>
      </c>
      <c r="M128" t="inlineStr">
        <is>
          <t>Köln</t>
        </is>
      </c>
    </row>
    <row r="129">
      <c r="A129" t="inlineStr">
        <is>
          <t>NAISH Pivot 6 + Torque 2 Bar (2024 Mode.)</t>
        </is>
      </c>
      <c r="B129" s="4" t="n">
        <v>900</v>
      </c>
      <c r="C129" t="inlineStr">
        <is>
          <t>VB</t>
        </is>
      </c>
      <c r="D129" t="inlineStr">
        <is>
          <t>82418 Bayern - Murnau am Staffelsee</t>
        </is>
      </c>
      <c r="E129" s="5" t="n">
        <v>45565</v>
      </c>
      <c r="F129" t="inlineStr"/>
      <c r="G129" s="6">
        <f>HYPERLINK("https://www.kleinanzeigen.de/s-anzeige/naish-pivot-6-torque-2-bar-2024-mode-/2878624410-230-10648", "Link")</f>
        <v/>
      </c>
      <c r="H129" s="6">
        <f>HYPERLINK("C:\Projects\Kleinanzeigen-Scraper\offer_images\2878624410", "Link")</f>
        <v/>
      </c>
      <c r="I129" t="inlineStr">
        <is>
          <t>Franz Stör</t>
        </is>
      </c>
      <c r="J129" s="6">
        <f>HYPERLINK("https://www.kleinanzeigen.de/s-bestandsliste.html?userId=21021256", "Link")</f>
        <v/>
      </c>
      <c r="K129" s="7" t="n">
        <v>45565.74285879629</v>
      </c>
      <c r="L129" s="3" t="inlineStr">
        <is>
          <t>57.83</t>
        </is>
      </c>
      <c r="M129" t="inlineStr">
        <is>
          <t>München</t>
        </is>
      </c>
    </row>
    <row r="130">
      <c r="A130" t="inlineStr">
        <is>
          <t>Luftvorzelt Isabella Cirrus north 400</t>
        </is>
      </c>
      <c r="B130" s="4" t="n">
        <v>1.95</v>
      </c>
      <c r="C130" t="inlineStr">
        <is>
          <t>VB</t>
        </is>
      </c>
      <c r="D130" t="inlineStr">
        <is>
          <t>47495 Nordrhein-Westfalen - Rheinberg</t>
        </is>
      </c>
      <c r="E130" s="5" t="n">
        <v>45565</v>
      </c>
      <c r="F130" t="inlineStr"/>
      <c r="G130" s="6">
        <f>HYPERLINK("https://www.kleinanzeigen.de/s-anzeige/luftvorzelt-isabella-cirrus-north-400/2878192145-230-1399", "Link")</f>
        <v/>
      </c>
      <c r="H130" s="6">
        <f>HYPERLINK("C:\Projects\Kleinanzeigen-Scraper\offer_images\2878192145", "Link")</f>
        <v/>
      </c>
      <c r="I130" t="inlineStr">
        <is>
          <t>Terwiel,Jürgen</t>
        </is>
      </c>
      <c r="J130" s="6">
        <f>HYPERLINK("https://www.kleinanzeigen.de/s-bestandsliste.html?userId=8904793", "Link")</f>
        <v/>
      </c>
      <c r="K130" s="7" t="n">
        <v>45565.74274305555</v>
      </c>
      <c r="L130" s="3" t="inlineStr">
        <is>
          <t>72.31</t>
        </is>
      </c>
      <c r="M130" t="inlineStr">
        <is>
          <t>Köln</t>
        </is>
      </c>
    </row>
    <row r="131">
      <c r="A131" t="inlineStr">
        <is>
          <t>SUP Starboard Touring SET 11,6 x 29 de lux light roll 2024</t>
        </is>
      </c>
      <c r="B131" s="4" t="n">
        <v>699</v>
      </c>
      <c r="C131" t="inlineStr">
        <is>
          <t>VB</t>
        </is>
      </c>
      <c r="D131" t="inlineStr">
        <is>
          <t>81667 München - Au-Haidhausen</t>
        </is>
      </c>
      <c r="E131" s="5" t="n">
        <v>45565</v>
      </c>
      <c r="F131" t="inlineStr"/>
      <c r="G131" s="6">
        <f>HYPERLINK("https://www.kleinanzeigen.de/s-anzeige/sup-starboard-touring-set-11-6-x-29-de-lux-light-roll-2024/2878235253-230-6454", "Link")</f>
        <v/>
      </c>
      <c r="H131" s="6">
        <f>HYPERLINK("C:\Projects\Kleinanzeigen-Scraper\offer_images\2878235253", "Link")</f>
        <v/>
      </c>
      <c r="I131" t="inlineStr">
        <is>
          <t>Guido Meier</t>
        </is>
      </c>
      <c r="J131" s="6">
        <f>HYPERLINK("https://www.kleinanzeigen.de/s-bestandsliste.html?userId=11953205", "Link")</f>
        <v/>
      </c>
      <c r="K131" s="7" t="n">
        <v>45565.74253472222</v>
      </c>
      <c r="L131" s="3" t="inlineStr">
        <is>
          <t>2.06</t>
        </is>
      </c>
      <c r="M131" t="inlineStr">
        <is>
          <t>München</t>
        </is>
      </c>
    </row>
    <row r="132">
      <c r="A132" t="inlineStr">
        <is>
          <t>Steiff Elephant Ornament, 2007 North American Limited Edition</t>
        </is>
      </c>
      <c r="B132" s="4" t="n">
        <v>83</v>
      </c>
      <c r="C132" t="inlineStr"/>
      <c r="D132" t="inlineStr">
        <is>
          <t>35394 Hessen - Gießen</t>
        </is>
      </c>
      <c r="E132" s="5" t="n">
        <v>45564</v>
      </c>
      <c r="F132" t="inlineStr"/>
      <c r="G132" s="6">
        <f>HYPERLINK("https://www.kleinanzeigen.de/s-anzeige/steiff-elephant-ornament-2007-north-american-limited-edition/2878052020-234-4714", "Link")</f>
        <v/>
      </c>
      <c r="H132" s="6">
        <f>HYPERLINK("C:\Projects\Kleinanzeigen-Scraper\offer_images\2878052020", "Link")</f>
        <v/>
      </c>
      <c r="I132" t="inlineStr">
        <is>
          <t>Kerstin</t>
        </is>
      </c>
      <c r="J132" s="6">
        <f>HYPERLINK("https://www.kleinanzeigen.de/s-bestandsliste.html?userId=9407065", "Link")</f>
        <v/>
      </c>
      <c r="K132" s="7" t="n">
        <v>45565.74251157408</v>
      </c>
      <c r="L132" s="3" t="inlineStr">
        <is>
          <t>130.60</t>
        </is>
      </c>
      <c r="M132" t="inlineStr">
        <is>
          <t>Köln</t>
        </is>
      </c>
    </row>
    <row r="133">
      <c r="A133" t="inlineStr">
        <is>
          <t>Skihose North Ville in Größe 146/152</t>
        </is>
      </c>
      <c r="B133" s="4" t="n">
        <v>15</v>
      </c>
      <c r="C133" t="inlineStr">
        <is>
          <t>VB</t>
        </is>
      </c>
      <c r="D133" t="inlineStr">
        <is>
          <t>72525 Baden-Württemberg - Münsingen</t>
        </is>
      </c>
      <c r="E133" s="5" t="n">
        <v>45564</v>
      </c>
      <c r="F133" t="inlineStr"/>
      <c r="G133" s="6">
        <f>HYPERLINK("https://www.kleinanzeigen.de/s-anzeige/skihose-north-ville-in-groesse-146-152/2878068083-230-7996", "Link")</f>
        <v/>
      </c>
      <c r="H133" s="6">
        <f>HYPERLINK("C:\Projects\Kleinanzeigen-Scraper\offer_images\2878068083", "Link")</f>
        <v/>
      </c>
      <c r="I133" t="inlineStr">
        <is>
          <t>Stephan Genz</t>
        </is>
      </c>
      <c r="J133" s="6">
        <f>HYPERLINK("https://www.kleinanzeigen.de/s-bestandsliste.html?userId=17918558", "Link")</f>
        <v/>
      </c>
      <c r="K133" s="7" t="n">
        <v>45565.74195601852</v>
      </c>
      <c r="L133" s="3" t="inlineStr">
        <is>
          <t>50.83</t>
        </is>
      </c>
      <c r="M133" t="inlineStr">
        <is>
          <t>Böblingen</t>
        </is>
      </c>
    </row>
    <row r="134">
      <c r="A134" t="inlineStr">
        <is>
          <t>Fanatic SUP Paddelbrett Holz</t>
        </is>
      </c>
      <c r="B134" s="4" t="n">
        <v>1</v>
      </c>
      <c r="C134" t="inlineStr"/>
      <c r="D134" t="inlineStr">
        <is>
          <t>82031 Kr. München - Grünwald</t>
        </is>
      </c>
      <c r="E134" s="5" t="n">
        <v>45565</v>
      </c>
      <c r="F134" t="inlineStr"/>
      <c r="G134" s="6">
        <f>HYPERLINK("https://www.kleinanzeigen.de/s-anzeige/fanatic-sup-paddelbrett-holz/2878482119-230-6187", "Link")</f>
        <v/>
      </c>
      <c r="H134" s="6">
        <f>HYPERLINK("C:\Projects\Kleinanzeigen-Scraper\offer_images\2878482119", "Link")</f>
        <v/>
      </c>
      <c r="I134" t="inlineStr">
        <is>
          <t>Giuliano M</t>
        </is>
      </c>
      <c r="J134" s="6">
        <f>HYPERLINK("https://www.kleinanzeigen.de/s-bestandsliste.html?userId=7398621", "Link")</f>
        <v/>
      </c>
      <c r="K134" s="7" t="n">
        <v>45565.74172453704</v>
      </c>
      <c r="L134" s="3" t="inlineStr">
        <is>
          <t>10.76</t>
        </is>
      </c>
      <c r="M134" t="inlineStr">
        <is>
          <t>München</t>
        </is>
      </c>
    </row>
    <row r="135">
      <c r="A135" t="inlineStr">
        <is>
          <t>Revell  North American X-15  gebaut 1982 H-164</t>
        </is>
      </c>
      <c r="B135" s="4" t="n">
        <v>15</v>
      </c>
      <c r="C135" t="inlineStr"/>
      <c r="D135" t="inlineStr">
        <is>
          <t>02708 Sachsen - Rosenbach</t>
        </is>
      </c>
      <c r="E135" s="5" t="n">
        <v>45565</v>
      </c>
      <c r="F135" t="inlineStr"/>
      <c r="G135" s="6">
        <f>HYPERLINK("https://www.kleinanzeigen.de/s-anzeige/revell-north-american-x-15-gebaut-1982-h-164/2878314954-249-16964", "Link")</f>
        <v/>
      </c>
      <c r="H135" s="6">
        <f>HYPERLINK("C:\Projects\Kleinanzeigen-Scraper\offer_images\2878314954", "Link")</f>
        <v/>
      </c>
      <c r="I135" t="inlineStr">
        <is>
          <t>Radon,Carsten</t>
        </is>
      </c>
      <c r="J135" s="6">
        <f>HYPERLINK("https://www.kleinanzeigen.de/s-bestandsliste.html?userId=28574678", "Link")</f>
        <v/>
      </c>
      <c r="K135" s="7" t="n">
        <v>45565.74152777778</v>
      </c>
      <c r="L135" s="3" t="inlineStr">
        <is>
          <t>395.27</t>
        </is>
      </c>
      <c r="M135" t="inlineStr">
        <is>
          <t>München</t>
        </is>
      </c>
    </row>
    <row r="136">
      <c r="A136" t="inlineStr">
        <is>
          <t>Naish Pivot 12 qm</t>
        </is>
      </c>
      <c r="B136" s="4" t="n">
        <v>650</v>
      </c>
      <c r="C136" t="inlineStr">
        <is>
          <t>VB</t>
        </is>
      </c>
      <c r="D136" t="inlineStr">
        <is>
          <t>46419 Nordrhein-Westfalen - Isselburg</t>
        </is>
      </c>
      <c r="E136" s="5" t="n">
        <v>45565</v>
      </c>
      <c r="F136" t="inlineStr"/>
      <c r="G136" s="6">
        <f>HYPERLINK("https://www.kleinanzeigen.de/s-anzeige/naish-pivot-12-qm/2878269631-230-1848", "Link")</f>
        <v/>
      </c>
      <c r="H136" s="6">
        <f>HYPERLINK("C:\Projects\Kleinanzeigen-Scraper\offer_images\2878269631", "Link")</f>
        <v/>
      </c>
      <c r="I136" t="inlineStr">
        <is>
          <t>Jan Wiesner</t>
        </is>
      </c>
      <c r="J136" s="6">
        <f>HYPERLINK("https://www.kleinanzeigen.de/s-bestandsliste.html?userId=61488154", "Link")</f>
        <v/>
      </c>
      <c r="K136" s="7" t="n">
        <v>45565.74106481481</v>
      </c>
      <c r="L136" s="3" t="inlineStr">
        <is>
          <t>105.11</t>
        </is>
      </c>
      <c r="M136" t="inlineStr">
        <is>
          <t>Köln</t>
        </is>
      </c>
    </row>
    <row r="137">
      <c r="A137" t="inlineStr">
        <is>
          <t>Fanatic Duotone HA 1500/250 Aero Foil Set High Aspect</t>
        </is>
      </c>
      <c r="B137" s="4" t="n">
        <v>300</v>
      </c>
      <c r="C137" t="inlineStr"/>
      <c r="D137" t="inlineStr">
        <is>
          <t>76137 Baden-Württemberg - Karlsruhe</t>
        </is>
      </c>
      <c r="E137" s="5" t="n">
        <v>45565</v>
      </c>
      <c r="F137" t="inlineStr"/>
      <c r="G137" s="6">
        <f>HYPERLINK("https://www.kleinanzeigen.de/s-anzeige/fanatic-duotone-ha-1500-250-aero-foil-set-high-aspect/2878414156-230-9192", "Link")</f>
        <v/>
      </c>
      <c r="H137" s="6">
        <f>HYPERLINK("C:\Projects\Kleinanzeigen-Scraper\offer_images\2878414156", "Link")</f>
        <v/>
      </c>
      <c r="I137" t="inlineStr">
        <is>
          <t>Dabero</t>
        </is>
      </c>
      <c r="J137" s="6">
        <f>HYPERLINK("https://www.kleinanzeigen.de/s-bestandsliste.html?userId=140476238", "Link")</f>
        <v/>
      </c>
      <c r="K137" s="7" t="n">
        <v>45565.74072916667</v>
      </c>
      <c r="L137" s="3" t="inlineStr">
        <is>
          <t>1.87</t>
        </is>
      </c>
      <c r="M137" t="inlineStr">
        <is>
          <t>Karlsruhe</t>
        </is>
      </c>
    </row>
    <row r="138">
      <c r="A138" t="inlineStr">
        <is>
          <t>Naish Dash LE 8 qm</t>
        </is>
      </c>
      <c r="B138" s="4" t="n">
        <v>400</v>
      </c>
      <c r="C138" t="inlineStr">
        <is>
          <t>VB</t>
        </is>
      </c>
      <c r="D138" t="inlineStr">
        <is>
          <t>46419 Nordrhein-Westfalen - Isselburg</t>
        </is>
      </c>
      <c r="E138" s="5" t="n">
        <v>45565</v>
      </c>
      <c r="F138" t="inlineStr"/>
      <c r="G138" s="6">
        <f>HYPERLINK("https://www.kleinanzeigen.de/s-anzeige/naish-dash-le-8-qm/2878259834-230-1848", "Link")</f>
        <v/>
      </c>
      <c r="H138" s="6">
        <f>HYPERLINK("C:\Projects\Kleinanzeigen-Scraper\offer_images\2878259834", "Link")</f>
        <v/>
      </c>
      <c r="I138" t="inlineStr">
        <is>
          <t>Jan Wiesner</t>
        </is>
      </c>
      <c r="J138" s="6">
        <f>HYPERLINK("https://www.kleinanzeigen.de/s-bestandsliste.html?userId=61488154", "Link")</f>
        <v/>
      </c>
      <c r="K138" s="7" t="n">
        <v>45565.74021990741</v>
      </c>
      <c r="L138" s="3" t="inlineStr">
        <is>
          <t>105.11</t>
        </is>
      </c>
      <c r="M138" t="inlineStr">
        <is>
          <t>Köln</t>
        </is>
      </c>
    </row>
    <row r="139">
      <c r="A139" t="inlineStr">
        <is>
          <t>North Camp Campingstuhl</t>
        </is>
      </c>
      <c r="B139" s="4" t="n">
        <v>20</v>
      </c>
      <c r="C139" t="inlineStr"/>
      <c r="D139" t="inlineStr">
        <is>
          <t>66606 Saarland - St. Wendel</t>
        </is>
      </c>
      <c r="E139" s="5" t="n">
        <v>45565</v>
      </c>
      <c r="F139" t="inlineStr"/>
      <c r="G139" s="6">
        <f>HYPERLINK("https://www.kleinanzeigen.de/s-anzeige/north-camp-campingstuhl/2878513251-230-316", "Link")</f>
        <v/>
      </c>
      <c r="H139" s="6">
        <f>HYPERLINK("C:\Projects\Kleinanzeigen-Scraper\offer_images\2878513251", "Link")</f>
        <v/>
      </c>
      <c r="I139" t="inlineStr">
        <is>
          <t>Mirella</t>
        </is>
      </c>
      <c r="J139" s="6">
        <f>HYPERLINK("https://www.kleinanzeigen.de/s-bestandsliste.html?userId=67195048", "Link")</f>
        <v/>
      </c>
      <c r="K139" s="7" t="n">
        <v>45565.74005787037</v>
      </c>
      <c r="L139" s="3" t="inlineStr">
        <is>
          <t>102.07</t>
        </is>
      </c>
      <c r="M139" t="inlineStr">
        <is>
          <t>Karlsruhe</t>
        </is>
      </c>
    </row>
    <row r="140">
      <c r="A140" t="inlineStr">
        <is>
          <t>Sega Disc Planetarium Northern Hemisphere und Constellations</t>
        </is>
      </c>
      <c r="B140" s="4" t="n">
        <v>8</v>
      </c>
      <c r="C140" t="inlineStr"/>
      <c r="D140" t="inlineStr">
        <is>
          <t>22457 Eimsbüttel - Hamburg Schnelsen</t>
        </is>
      </c>
      <c r="E140" s="5" t="n">
        <v>45565</v>
      </c>
      <c r="F140" t="inlineStr"/>
      <c r="G140" s="6">
        <f>HYPERLINK("https://www.kleinanzeigen.de/s-anzeige/sega-disc-planetarium-northern-hemisphere-und-constellations/2878484966-242-9492", "Link")</f>
        <v/>
      </c>
      <c r="H140" s="6">
        <f>HYPERLINK("C:\Projects\Kleinanzeigen-Scraper\offer_images\2878484966", "Link")</f>
        <v/>
      </c>
      <c r="I140" t="inlineStr">
        <is>
          <t>Jasmin</t>
        </is>
      </c>
      <c r="J140" s="6">
        <f>HYPERLINK("https://www.kleinanzeigen.de/s-bestandsliste.html?userId=9863921", "Link")</f>
        <v/>
      </c>
      <c r="K140" s="7" t="n">
        <v>45565.73975694444</v>
      </c>
      <c r="L140" s="3" t="inlineStr">
        <is>
          <t>362.41</t>
        </is>
      </c>
      <c r="M140" t="inlineStr">
        <is>
          <t>Köln</t>
        </is>
      </c>
    </row>
    <row r="141">
      <c r="A141" t="inlineStr">
        <is>
          <t>North (jetzt Duotone) Vegas 10m / 2011 / Blau /Rot /Weiß</t>
        </is>
      </c>
      <c r="B141" s="4" t="n">
        <v>79</v>
      </c>
      <c r="C141" t="inlineStr"/>
      <c r="D141" t="inlineStr">
        <is>
          <t>63179 Hessen - Obertshausen</t>
        </is>
      </c>
      <c r="E141" s="5" t="n">
        <v>45565</v>
      </c>
      <c r="F141" t="inlineStr"/>
      <c r="G141" s="6">
        <f>HYPERLINK("https://www.kleinanzeigen.de/s-anzeige/north-jetzt-duotone-vegas-10m-2011-blau-rot-weiss/2878229333-230-4570", "Link")</f>
        <v/>
      </c>
      <c r="H141" s="6">
        <f>HYPERLINK("C:\Projects\Kleinanzeigen-Scraper\offer_images\2878229333", "Link")</f>
        <v/>
      </c>
      <c r="I141" t="inlineStr">
        <is>
          <t>JC</t>
        </is>
      </c>
      <c r="J141" s="6">
        <f>HYPERLINK("https://www.kleinanzeigen.de/s-bestandsliste.html?userId=94421", "Link")</f>
        <v/>
      </c>
      <c r="K141" s="7" t="n">
        <v>45565.73949074074</v>
      </c>
      <c r="L141" s="3" t="inlineStr">
        <is>
          <t>123.72</t>
        </is>
      </c>
      <c r="M141" t="inlineStr">
        <is>
          <t>Karlsruhe</t>
        </is>
      </c>
    </row>
    <row r="142">
      <c r="A142" t="inlineStr">
        <is>
          <t>Hydrofoil Windsurfen rrd 120cm Fuselage</t>
        </is>
      </c>
      <c r="B142" s="4" t="n">
        <v>580</v>
      </c>
      <c r="C142" t="inlineStr">
        <is>
          <t>VB</t>
        </is>
      </c>
      <c r="D142" t="inlineStr">
        <is>
          <t>24119 Kiel - Kronshagen</t>
        </is>
      </c>
      <c r="E142" s="5" t="n">
        <v>45565</v>
      </c>
      <c r="F142" t="inlineStr"/>
      <c r="G142" s="6">
        <f>HYPERLINK("https://www.kleinanzeigen.de/s-anzeige/hydrofoil-windsurfen-rrd-120cm-fuselage/2878165319-230-705", "Link")</f>
        <v/>
      </c>
      <c r="H142" s="6">
        <f>HYPERLINK("C:\Projects\Kleinanzeigen-Scraper\offer_images\2878165319", "Link")</f>
        <v/>
      </c>
      <c r="I142" t="inlineStr">
        <is>
          <t>Miriam</t>
        </is>
      </c>
      <c r="J142" s="6">
        <f>HYPERLINK("https://www.kleinanzeigen.de/s-bestandsliste.html?userId=6731406", "Link")</f>
        <v/>
      </c>
      <c r="K142" s="7" t="n">
        <v>45565.73890046297</v>
      </c>
      <c r="L142" s="3" t="inlineStr">
        <is>
          <t>432.46</t>
        </is>
      </c>
      <c r="M142" t="inlineStr">
        <is>
          <t>Köln</t>
        </is>
      </c>
    </row>
    <row r="143">
      <c r="A143" t="inlineStr">
        <is>
          <t>Isabella Commodore North G18 Vorzelt CarbonX-Gestänge</t>
        </is>
      </c>
      <c r="B143" s="4" t="n">
        <v>1.8</v>
      </c>
      <c r="C143" t="inlineStr">
        <is>
          <t>VB</t>
        </is>
      </c>
      <c r="D143" t="inlineStr">
        <is>
          <t>27474 Niedersachsen - Cuxhaven</t>
        </is>
      </c>
      <c r="E143" s="5" t="n">
        <v>45565</v>
      </c>
      <c r="F143" t="inlineStr"/>
      <c r="G143" s="6">
        <f>HYPERLINK("https://www.kleinanzeigen.de/s-anzeige/isabella-commodore-north-g18-vorzelt-carbonx-gestaenge/2878521724-230-3298", "Link")</f>
        <v/>
      </c>
      <c r="H143" s="6">
        <f>HYPERLINK("C:\Projects\Kleinanzeigen-Scraper\offer_images\2878521724", "Link")</f>
        <v/>
      </c>
      <c r="I143" t="inlineStr">
        <is>
          <t>Rainer</t>
        </is>
      </c>
      <c r="J143" s="6">
        <f>HYPERLINK("https://www.kleinanzeigen.de/s-bestandsliste.html?userId=11130745", "Link")</f>
        <v/>
      </c>
      <c r="K143" s="7" t="n">
        <v>45565.7385300926</v>
      </c>
      <c r="L143" s="3" t="inlineStr">
        <is>
          <t>344.40</t>
        </is>
      </c>
      <c r="M143" t="inlineStr">
        <is>
          <t>Köln</t>
        </is>
      </c>
    </row>
    <row r="144">
      <c r="A144" t="inlineStr">
        <is>
          <t>NeilPryde Neiprenanzug, wenig getragen. Größe 27/52</t>
        </is>
      </c>
      <c r="B144" s="4" t="n">
        <v>75</v>
      </c>
      <c r="C144" t="inlineStr">
        <is>
          <t>VB</t>
        </is>
      </c>
      <c r="D144" t="inlineStr">
        <is>
          <t>25715 Dithmarschen - Eddelak</t>
        </is>
      </c>
      <c r="E144" s="5" t="n">
        <v>45565</v>
      </c>
      <c r="F144" t="inlineStr"/>
      <c r="G144" s="6">
        <f>HYPERLINK("https://www.kleinanzeigen.de/s-anzeige/neilpryde-neiprenanzug-wenig-getragen-groesse-27-52/2878368228-230-20160", "Link")</f>
        <v/>
      </c>
      <c r="H144" s="6">
        <f>HYPERLINK("C:\Projects\Kleinanzeigen-Scraper\offer_images\2878368228", "Link")</f>
        <v/>
      </c>
      <c r="I144" t="inlineStr">
        <is>
          <t>Christian Lohkamp</t>
        </is>
      </c>
      <c r="J144" s="6">
        <f>HYPERLINK("https://www.kleinanzeigen.de/s-bestandsliste.html?userId=15826323", "Link")</f>
        <v/>
      </c>
      <c r="K144" s="7" t="n">
        <v>45565.73827546297</v>
      </c>
      <c r="L144" s="3" t="inlineStr">
        <is>
          <t>366.08</t>
        </is>
      </c>
      <c r="M144" t="inlineStr">
        <is>
          <t>Köln</t>
        </is>
      </c>
    </row>
    <row r="145">
      <c r="A145" t="inlineStr">
        <is>
          <t>2018er Gaastra Pure 8m2</t>
        </is>
      </c>
      <c r="B145" s="4" t="n">
        <v>250</v>
      </c>
      <c r="C145" t="inlineStr">
        <is>
          <t>VB</t>
        </is>
      </c>
      <c r="D145" t="inlineStr">
        <is>
          <t>27619 Niedersachsen - Schiffdorf</t>
        </is>
      </c>
      <c r="E145" s="5" t="n">
        <v>45564</v>
      </c>
      <c r="F145" t="inlineStr">
        <is>
          <t>Sold</t>
        </is>
      </c>
      <c r="G145" s="6">
        <f>HYPERLINK("https://www.kleinanzeigen.de/s-anzeige/2018er-gaastra-pure-8m2/2877943977-230-60", "Link")</f>
        <v/>
      </c>
      <c r="H145" s="6">
        <f>HYPERLINK("C:\Projects\Kleinanzeigen-Scraper\offer_images\2877943977", "Link")</f>
        <v/>
      </c>
      <c r="I145" t="inlineStr">
        <is>
          <t>JB8</t>
        </is>
      </c>
      <c r="J145" s="6">
        <f>HYPERLINK("https://www.kleinanzeigen.de/s-bestandsliste.html?userId=135416440", "Link")</f>
        <v/>
      </c>
      <c r="K145" s="7" t="n">
        <v>45564.87190972222</v>
      </c>
      <c r="L145" s="3" t="inlineStr">
        <is>
          <t>313.21</t>
        </is>
      </c>
      <c r="M145" t="inlineStr">
        <is>
          <t>Köln</t>
        </is>
      </c>
    </row>
    <row r="146">
      <c r="A146" t="inlineStr">
        <is>
          <t>North Trampolin Pioneer 340 Oval</t>
        </is>
      </c>
      <c r="B146" s="4" t="n">
        <v>300</v>
      </c>
      <c r="C146" t="inlineStr">
        <is>
          <t>VB</t>
        </is>
      </c>
      <c r="D146" t="inlineStr">
        <is>
          <t>88250 Baden-Württemberg - Weingarten</t>
        </is>
      </c>
      <c r="E146" s="5" t="n">
        <v>45564</v>
      </c>
      <c r="F146" t="inlineStr"/>
      <c r="G146" s="6">
        <f>HYPERLINK("https://www.kleinanzeigen.de/s-anzeige/north-trampolin-pioneer-340-oval/2877637551-230-15340", "Link")</f>
        <v/>
      </c>
      <c r="H146" s="6">
        <f>HYPERLINK("C:\Projects\Kleinanzeigen-Scraper\offer_images\2877637551", "Link")</f>
        <v/>
      </c>
      <c r="I146" t="inlineStr">
        <is>
          <t>Andreas Dehner</t>
        </is>
      </c>
      <c r="J146" s="6">
        <f>HYPERLINK("https://www.kleinanzeigen.de/s-bestandsliste.html?userId=21152376", "Link")</f>
        <v/>
      </c>
      <c r="K146" s="7" t="n">
        <v>45564.8717824074</v>
      </c>
      <c r="L146" s="3" t="inlineStr">
        <is>
          <t>97.39</t>
        </is>
      </c>
      <c r="M146" t="inlineStr">
        <is>
          <t>Bonndorf</t>
        </is>
      </c>
    </row>
    <row r="147">
      <c r="A147" t="inlineStr">
        <is>
          <t>Starboard QLII FW S Type 2000 mit Cover</t>
        </is>
      </c>
      <c r="B147" s="4" t="n">
        <v>390</v>
      </c>
      <c r="C147" t="inlineStr">
        <is>
          <t>VB</t>
        </is>
      </c>
      <c r="D147" t="inlineStr">
        <is>
          <t>82266 Bayern - Inning am Ammersee</t>
        </is>
      </c>
      <c r="E147" s="5" t="n">
        <v>45564</v>
      </c>
      <c r="F147" t="inlineStr"/>
      <c r="G147" s="6">
        <f>HYPERLINK("https://www.kleinanzeigen.de/s-anzeige/starboard-qlii-fw-s-type-2000-mit-cover/2876979941-230-6358", "Link")</f>
        <v/>
      </c>
      <c r="H147" s="6">
        <f>HYPERLINK("C:\Projects\Kleinanzeigen-Scraper\offer_images\2876979941", "Link")</f>
        <v/>
      </c>
      <c r="I147" t="inlineStr">
        <is>
          <t>Bernt</t>
        </is>
      </c>
      <c r="J147" s="6">
        <f>HYPERLINK("https://www.kleinanzeigen.de/s-bestandsliste.html?userId=70900729", "Link")</f>
        <v/>
      </c>
      <c r="K147" s="7" t="n">
        <v>45564.87177083334</v>
      </c>
      <c r="L147" s="3" t="inlineStr">
        <is>
          <t>31.93</t>
        </is>
      </c>
      <c r="M147" t="inlineStr">
        <is>
          <t>München</t>
        </is>
      </c>
    </row>
    <row r="148">
      <c r="A148" t="inlineStr">
        <is>
          <t>Boardbags Windsurfen, Neil Pryde, Wassersport</t>
        </is>
      </c>
      <c r="B148" s="4" t="inlineStr"/>
      <c r="C148" t="inlineStr">
        <is>
          <t>VB</t>
        </is>
      </c>
      <c r="D148" t="inlineStr">
        <is>
          <t>24896 Schleswig-Holstein - Treia</t>
        </is>
      </c>
      <c r="E148" s="5" t="n">
        <v>45564</v>
      </c>
      <c r="F148" t="inlineStr"/>
      <c r="G148" s="6">
        <f>HYPERLINK("https://www.kleinanzeigen.de/s-anzeige/boardbags-windsurfen-neil-pryde-wassersport/2876983158-230-533", "Link")</f>
        <v/>
      </c>
      <c r="H148" s="6">
        <f>HYPERLINK("C:\Projects\Kleinanzeigen-Scraper\offer_images\2876983158", "Link")</f>
        <v/>
      </c>
      <c r="I148" t="inlineStr">
        <is>
          <t>Kauf</t>
        </is>
      </c>
      <c r="J148" s="6">
        <f>HYPERLINK("https://www.kleinanzeigen.de/s-bestandsliste.html?userId=37454238", "Link")</f>
        <v/>
      </c>
      <c r="K148" s="7" t="n">
        <v>45564.87164351852</v>
      </c>
      <c r="L148" s="3" t="inlineStr">
        <is>
          <t>429.51</t>
        </is>
      </c>
      <c r="M148" t="inlineStr">
        <is>
          <t>Köln</t>
        </is>
      </c>
    </row>
    <row r="149">
      <c r="A149" t="inlineStr">
        <is>
          <t>Windsurf Ausrüstung</t>
        </is>
      </c>
      <c r="B149" s="4" t="inlineStr">
        <is>
          <t>Zu verschenken</t>
        </is>
      </c>
      <c r="C149" t="inlineStr"/>
      <c r="D149" t="inlineStr">
        <is>
          <t>32425 Nordrhein-Westfalen - Minden</t>
        </is>
      </c>
      <c r="E149" s="5" t="n">
        <v>45564</v>
      </c>
      <c r="F149" t="inlineStr">
        <is>
          <t>Sold</t>
        </is>
      </c>
      <c r="G149" s="6">
        <f>HYPERLINK("https://www.kleinanzeigen.de/s-anzeige/windsurf-ausruestung/2876985265-230-1761", "Link")</f>
        <v/>
      </c>
      <c r="H149" s="6">
        <f>HYPERLINK("C:\Projects\Kleinanzeigen-Scraper\offer_images\2876985265", "Link")</f>
        <v/>
      </c>
      <c r="I149" t="inlineStr">
        <is>
          <t>Paul M</t>
        </is>
      </c>
      <c r="J149" s="6">
        <f>HYPERLINK("https://www.kleinanzeigen.de/s-bestandsliste.html?userId=90264172", "Link")</f>
        <v/>
      </c>
      <c r="K149" s="7" t="n">
        <v>45564.87162037037</v>
      </c>
      <c r="L149" s="3" t="inlineStr">
        <is>
          <t>204.97</t>
        </is>
      </c>
      <c r="M149" t="inlineStr">
        <is>
          <t>Köln</t>
        </is>
      </c>
    </row>
    <row r="150">
      <c r="A150" t="inlineStr">
        <is>
          <t>Balzer Dorsch Light 145 Inliner IM 12  71° North</t>
        </is>
      </c>
      <c r="B150" s="4" t="n">
        <v>70</v>
      </c>
      <c r="C150" t="inlineStr"/>
      <c r="D150" t="inlineStr">
        <is>
          <t>51373 Nordrhein-Westfalen - Leverkusen</t>
        </is>
      </c>
      <c r="E150" s="5" t="n">
        <v>45563</v>
      </c>
      <c r="F150" t="inlineStr"/>
      <c r="G150" s="6">
        <f>HYPERLINK("https://www.kleinanzeigen.de/s-anzeige/balzer-dorsch-light-145-inliner-im-12-71-north/2876764320-230-1993", "Link")</f>
        <v/>
      </c>
      <c r="H150" s="6">
        <f>HYPERLINK("C:\Projects\Kleinanzeigen-Scraper\offer_images\2876764320", "Link")</f>
        <v/>
      </c>
      <c r="I150" t="inlineStr">
        <is>
          <t>Wutzler</t>
        </is>
      </c>
      <c r="J150" s="6">
        <f>HYPERLINK("https://www.kleinanzeigen.de/s-bestandsliste.html?userId=10462269", "Link")</f>
        <v/>
      </c>
      <c r="K150" s="7" t="n">
        <v>45564.8715625</v>
      </c>
      <c r="L150" s="3" t="inlineStr">
        <is>
          <t>10.23</t>
        </is>
      </c>
      <c r="M150" t="inlineStr">
        <is>
          <t>Köln</t>
        </is>
      </c>
    </row>
    <row r="151">
      <c r="A151" t="inlineStr">
        <is>
          <t>North Navigator 2022 M(45-50)</t>
        </is>
      </c>
      <c r="B151" s="4" t="n">
        <v>235</v>
      </c>
      <c r="C151" t="inlineStr">
        <is>
          <t>VB</t>
        </is>
      </c>
      <c r="D151" t="inlineStr">
        <is>
          <t>20253 Eimsbüttel - Hamburg Eimsbüttel (Stadtteil)</t>
        </is>
      </c>
      <c r="E151" s="5" t="n">
        <v>45564</v>
      </c>
      <c r="F151" t="inlineStr"/>
      <c r="G151" s="6">
        <f>HYPERLINK("https://www.kleinanzeigen.de/s-anzeige/north-navigator-2022-m-45-50-/2877290255-230-9430", "Link")</f>
        <v/>
      </c>
      <c r="H151" s="6">
        <f>HYPERLINK("C:\Projects\Kleinanzeigen-Scraper\offer_images\2877290255", "Link")</f>
        <v/>
      </c>
      <c r="I151" t="inlineStr">
        <is>
          <t>Tobias</t>
        </is>
      </c>
      <c r="J151" s="6">
        <f>HYPERLINK("https://www.kleinanzeigen.de/s-bestandsliste.html?userId=26550230", "Link")</f>
        <v/>
      </c>
      <c r="K151" s="7" t="n">
        <v>45564.87148148148</v>
      </c>
      <c r="L151" s="3" t="inlineStr">
        <is>
          <t>357.98</t>
        </is>
      </c>
      <c r="M151" t="inlineStr">
        <is>
          <t>Köln</t>
        </is>
      </c>
    </row>
    <row r="152">
      <c r="A152" t="inlineStr">
        <is>
          <t>North Orbit 2023er Modell 10m2</t>
        </is>
      </c>
      <c r="B152" s="4" t="n">
        <v>549</v>
      </c>
      <c r="C152" t="inlineStr"/>
      <c r="D152" t="inlineStr">
        <is>
          <t>18055 Rostock - Brinckmansdorf</t>
        </is>
      </c>
      <c r="E152" s="5" t="n">
        <v>45564</v>
      </c>
      <c r="F152" t="inlineStr"/>
      <c r="G152" s="6">
        <f>HYPERLINK("https://www.kleinanzeigen.de/s-anzeige/north-orbit-2023er-modell-10m2/2877676135-230-9526", "Link")</f>
        <v/>
      </c>
      <c r="H152" s="6">
        <f>HYPERLINK("C:\Projects\Kleinanzeigen-Scraper\offer_images\2877676135", "Link")</f>
        <v/>
      </c>
      <c r="I152" t="inlineStr">
        <is>
          <t>Daniel</t>
        </is>
      </c>
      <c r="J152" s="6">
        <f>HYPERLINK("https://www.kleinanzeigen.de/s-bestandsliste.html?userId=26003487", "Link")</f>
        <v/>
      </c>
      <c r="K152" s="7" t="n">
        <v>45564.87141203704</v>
      </c>
      <c r="L152" s="3" t="inlineStr">
        <is>
          <t>496.50</t>
        </is>
      </c>
      <c r="M152" t="inlineStr">
        <is>
          <t>Köln</t>
        </is>
      </c>
    </row>
    <row r="153">
      <c r="A153" t="inlineStr">
        <is>
          <t>NAISH S26 JET STABILIZER MULTICOLOR 450</t>
        </is>
      </c>
      <c r="B153" s="4" t="n">
        <v>70</v>
      </c>
      <c r="C153" t="inlineStr">
        <is>
          <t>VB</t>
        </is>
      </c>
      <c r="D153" t="inlineStr">
        <is>
          <t>78467 Baden-Württemberg - Konstanz</t>
        </is>
      </c>
      <c r="E153" s="5" t="n">
        <v>45564</v>
      </c>
      <c r="F153" t="inlineStr"/>
      <c r="G153" s="6">
        <f>HYPERLINK("https://www.kleinanzeigen.de/s-anzeige/naish-s26-jet-stabilizer-multicolor-450/2877862357-230-9389", "Link")</f>
        <v/>
      </c>
      <c r="H153" s="6">
        <f>HYPERLINK("C:\Projects\Kleinanzeigen-Scraper\offer_images\2877862357", "Link")</f>
        <v/>
      </c>
      <c r="I153" t="inlineStr">
        <is>
          <t>Jürgen</t>
        </is>
      </c>
      <c r="J153" s="6">
        <f>HYPERLINK("https://www.kleinanzeigen.de/s-bestandsliste.html?userId=20497279", "Link")</f>
        <v/>
      </c>
      <c r="K153" s="7" t="n">
        <v>45564.87138888889</v>
      </c>
      <c r="L153" s="3" t="inlineStr">
        <is>
          <t>62.51</t>
        </is>
      </c>
      <c r="M153" t="inlineStr">
        <is>
          <t>Bonndorf</t>
        </is>
      </c>
    </row>
    <row r="154">
      <c r="A154" t="inlineStr">
        <is>
          <t>Silbermünze Kookaburra Privy Goya</t>
        </is>
      </c>
      <c r="B154" s="4" t="inlineStr"/>
      <c r="C154" t="inlineStr">
        <is>
          <t>VB</t>
        </is>
      </c>
      <c r="D154" t="inlineStr">
        <is>
          <t>03130 Brandenburg - Spremberg</t>
        </is>
      </c>
      <c r="E154" s="5" t="n">
        <v>45564</v>
      </c>
      <c r="F154" t="inlineStr"/>
      <c r="G154" s="6">
        <f>HYPERLINK("https://www.kleinanzeigen.de/s-anzeige/silbermuenze-kookaburra-privy-goya/2876920169-234-7837", "Link")</f>
        <v/>
      </c>
      <c r="H154" s="6">
        <f>HYPERLINK("C:\Projects\Kleinanzeigen-Scraper\offer_images\2876920169", "Link")</f>
        <v/>
      </c>
      <c r="I154" t="inlineStr">
        <is>
          <t>Roman</t>
        </is>
      </c>
      <c r="J154" s="6">
        <f>HYPERLINK("https://www.kleinanzeigen.de/s-bestandsliste.html?userId=57791867", "Link")</f>
        <v/>
      </c>
      <c r="K154" s="7" t="n">
        <v>45564.87133101852</v>
      </c>
      <c r="L154" s="3" t="inlineStr">
        <is>
          <t>432.74</t>
        </is>
      </c>
      <c r="M154" t="inlineStr">
        <is>
          <t>München</t>
        </is>
      </c>
    </row>
    <row r="155">
      <c r="A155" t="inlineStr">
        <is>
          <t>GA Stabi MP210 für MP High Aspect oder HP Mid Aspect Foil Gaastra</t>
        </is>
      </c>
      <c r="B155" s="4" t="n">
        <v>99</v>
      </c>
      <c r="C155" t="inlineStr"/>
      <c r="D155" t="inlineStr">
        <is>
          <t>10115 Berlin - Mitte</t>
        </is>
      </c>
      <c r="E155" s="5" t="n">
        <v>45564</v>
      </c>
      <c r="F155" t="inlineStr"/>
      <c r="G155" s="6">
        <f>HYPERLINK("https://www.kleinanzeigen.de/s-anzeige/ga-stabi-mp210-fuer-mp-high-aspect-oder-hp-mid-aspect-foil-gaastra/2876990948-230-9668", "Link")</f>
        <v/>
      </c>
      <c r="H155" s="6">
        <f>HYPERLINK("C:\Projects\Kleinanzeigen-Scraper\offer_images\2876990948", "Link")</f>
        <v/>
      </c>
      <c r="I155" t="inlineStr">
        <is>
          <t>Ralf Rodemann</t>
        </is>
      </c>
      <c r="J155" s="6">
        <f>HYPERLINK("https://www.kleinanzeigen.de/s-bestandsliste.html?userId=6657896", "Link")</f>
        <v/>
      </c>
      <c r="K155" s="7" t="n">
        <v>45564.87114583333</v>
      </c>
      <c r="L155" s="3" t="inlineStr">
        <is>
          <t>476.33</t>
        </is>
      </c>
      <c r="M155" t="inlineStr">
        <is>
          <t>Köln</t>
        </is>
      </c>
    </row>
    <row r="156">
      <c r="A156" t="inlineStr">
        <is>
          <t>Campingschrank North Camp</t>
        </is>
      </c>
      <c r="B156" s="4" t="n">
        <v>40</v>
      </c>
      <c r="C156" t="inlineStr"/>
      <c r="D156" t="inlineStr">
        <is>
          <t>21698 Niedersachsen - Harsefeld</t>
        </is>
      </c>
      <c r="E156" s="5" t="n">
        <v>45564</v>
      </c>
      <c r="F156" t="inlineStr"/>
      <c r="G156" s="6">
        <f>HYPERLINK("https://www.kleinanzeigen.de/s-anzeige/campingschrank-north-camp/2877412291-230-2828", "Link")</f>
        <v/>
      </c>
      <c r="H156" s="6">
        <f>HYPERLINK("C:\Projects\Kleinanzeigen-Scraper\offer_images\2877412291", "Link")</f>
        <v/>
      </c>
      <c r="I156" t="inlineStr">
        <is>
          <t>Klaus</t>
        </is>
      </c>
      <c r="J156" s="6">
        <f>HYPERLINK("https://www.kleinanzeigen.de/s-bestandsliste.html?userId=8723551", "Link")</f>
        <v/>
      </c>
      <c r="K156" s="7" t="n">
        <v>45564.87111111111</v>
      </c>
      <c r="L156" s="3" t="inlineStr">
        <is>
          <t>328.59</t>
        </is>
      </c>
      <c r="M156" t="inlineStr">
        <is>
          <t>Köln</t>
        </is>
      </c>
    </row>
    <row r="157">
      <c r="A157" t="inlineStr">
        <is>
          <t>AIRFIX 1/48 NORTH AMERICAN F- 51D MUSTANG</t>
        </is>
      </c>
      <c r="B157" s="4" t="n">
        <v>39</v>
      </c>
      <c r="C157" t="inlineStr"/>
      <c r="D157" t="inlineStr">
        <is>
          <t>35460 Hessen - Staufenberg</t>
        </is>
      </c>
      <c r="E157" s="5" t="n">
        <v>45564</v>
      </c>
      <c r="F157" t="inlineStr"/>
      <c r="G157" s="6">
        <f>HYPERLINK("https://www.kleinanzeigen.de/s-anzeige/airfix-1-48-north-american-f-51d-mustang/2877249353-249-4719", "Link")</f>
        <v/>
      </c>
      <c r="H157" s="6">
        <f>HYPERLINK("C:\Projects\Kleinanzeigen-Scraper\offer_images\2877249353", "Link")</f>
        <v/>
      </c>
      <c r="I157" t="inlineStr">
        <is>
          <t>Regina Michele</t>
        </is>
      </c>
      <c r="J157" s="6">
        <f>HYPERLINK("https://www.kleinanzeigen.de/s-bestandsliste.html?userId=49386645", "Link")</f>
        <v/>
      </c>
      <c r="K157" s="7" t="n">
        <v>45564.87111111111</v>
      </c>
      <c r="L157" s="3" t="inlineStr">
        <is>
          <t>128.75</t>
        </is>
      </c>
      <c r="M157" t="inlineStr">
        <is>
          <t>Köln</t>
        </is>
      </c>
    </row>
    <row r="158">
      <c r="A158" t="inlineStr">
        <is>
          <t>North Orbit 2024 in 10 m2</t>
        </is>
      </c>
      <c r="B158" s="4" t="n">
        <v>979</v>
      </c>
      <c r="C158" t="inlineStr"/>
      <c r="D158" t="inlineStr">
        <is>
          <t>44866 Bochum - Bochum-Wattenscheid</t>
        </is>
      </c>
      <c r="E158" s="5" t="n">
        <v>45564</v>
      </c>
      <c r="F158" t="inlineStr"/>
      <c r="G158" s="6">
        <f>HYPERLINK("https://www.kleinanzeigen.de/s-anzeige/north-orbit-2024-in-10-m2/2877404996-230-1934", "Link")</f>
        <v/>
      </c>
      <c r="H158" s="6">
        <f>HYPERLINK("C:\Projects\Kleinanzeigen-Scraper\offer_images\2877404996", "Link")</f>
        <v/>
      </c>
      <c r="I158" t="inlineStr">
        <is>
          <t>Allerlei</t>
        </is>
      </c>
      <c r="J158" s="6">
        <f>HYPERLINK("https://www.kleinanzeigen.de/s-bestandsliste.html?userId=125463426", "Link")</f>
        <v/>
      </c>
      <c r="K158" s="7" t="n">
        <v>45564.87063657407</v>
      </c>
      <c r="L158" s="3" t="inlineStr">
        <is>
          <t>61.71</t>
        </is>
      </c>
      <c r="M158" t="inlineStr">
        <is>
          <t>Köln</t>
        </is>
      </c>
    </row>
    <row r="159">
      <c r="A159" t="inlineStr">
        <is>
          <t>NAISH Carbon WINDSURF FOIL COMPLETE - DEEP TUTTLE 1150 !!!NEU!!</t>
        </is>
      </c>
      <c r="B159" s="4" t="n">
        <v>549</v>
      </c>
      <c r="C159" t="inlineStr"/>
      <c r="D159" t="inlineStr">
        <is>
          <t>44577 Nordrhein-Westfalen - Castrop-Rauxel</t>
        </is>
      </c>
      <c r="E159" s="5" t="n">
        <v>45563</v>
      </c>
      <c r="F159" t="inlineStr"/>
      <c r="G159" s="6">
        <f>HYPERLINK("https://www.kleinanzeigen.de/s-anzeige/naish-carbon-windsurf-foil-complete-deep-tuttle-1150-neu-/2876804639-230-1998", "Link")</f>
        <v/>
      </c>
      <c r="H159" s="6">
        <f>HYPERLINK("C:\Projects\Kleinanzeigen-Scraper\offer_images\2876804639", "Link")</f>
        <v/>
      </c>
      <c r="I159" t="inlineStr">
        <is>
          <t>Reinders, Ulrich</t>
        </is>
      </c>
      <c r="J159" s="6">
        <f>HYPERLINK("https://www.kleinanzeigen.de/s-bestandsliste.html?userId=31410705", "Link")</f>
        <v/>
      </c>
      <c r="K159" s="7" t="n">
        <v>45564.87053240741</v>
      </c>
      <c r="L159" s="3" t="inlineStr">
        <is>
          <t>71.43</t>
        </is>
      </c>
      <c r="M159" t="inlineStr">
        <is>
          <t>Köln</t>
        </is>
      </c>
    </row>
    <row r="160">
      <c r="A160" t="inlineStr">
        <is>
          <t>Isabella Capri North G19 mit Carbon X Gestänge</t>
        </is>
      </c>
      <c r="B160" s="4" t="n">
        <v>1.7</v>
      </c>
      <c r="C160" t="inlineStr">
        <is>
          <t>VB</t>
        </is>
      </c>
      <c r="D160" t="inlineStr">
        <is>
          <t>61130 Hessen - Nidderau</t>
        </is>
      </c>
      <c r="E160" s="5" t="n">
        <v>45564</v>
      </c>
      <c r="F160" t="inlineStr">
        <is>
          <t>Sold</t>
        </is>
      </c>
      <c r="G160" s="6">
        <f>HYPERLINK("https://www.kleinanzeigen.de/s-anzeige/isabella-capri-north-g19-mit-carbon-x-gestaenge/2877248045-230-4576", "Link")</f>
        <v/>
      </c>
      <c r="H160" s="6">
        <f>HYPERLINK("C:\Projects\Kleinanzeigen-Scraper\offer_images\2877248045", "Link")</f>
        <v/>
      </c>
      <c r="I160" t="inlineStr">
        <is>
          <t>Kai Schmidt</t>
        </is>
      </c>
      <c r="J160" s="6">
        <f>HYPERLINK("https://www.kleinanzeigen.de/s-bestandsliste.html?userId=9745984", "Link")</f>
        <v/>
      </c>
      <c r="K160" s="7" t="n">
        <v>45564.87043981482</v>
      </c>
      <c r="L160" s="3" t="inlineStr">
        <is>
          <t>142.29</t>
        </is>
      </c>
      <c r="M160" t="inlineStr">
        <is>
          <t>Karlsruhe</t>
        </is>
      </c>
    </row>
    <row r="161">
      <c r="A161" t="inlineStr">
        <is>
          <t>Segel Windsurfen</t>
        </is>
      </c>
      <c r="B161" s="4" t="n">
        <v>75</v>
      </c>
      <c r="C161" t="inlineStr">
        <is>
          <t>VB</t>
        </is>
      </c>
      <c r="D161" t="inlineStr">
        <is>
          <t>86911 Bayern - Dießen</t>
        </is>
      </c>
      <c r="E161" s="5" t="n">
        <v>45564</v>
      </c>
      <c r="F161" t="inlineStr"/>
      <c r="G161" s="6">
        <f>HYPERLINK("https://www.kleinanzeigen.de/s-anzeige/segel-windsurfen/2877249144-230-5566", "Link")</f>
        <v/>
      </c>
      <c r="H161" s="6">
        <f>HYPERLINK("C:\Projects\Kleinanzeigen-Scraper\offer_images\2877249144", "Link")</f>
        <v/>
      </c>
      <c r="I161" t="inlineStr">
        <is>
          <t>Alexander Seibold</t>
        </is>
      </c>
      <c r="J161" s="6">
        <f>HYPERLINK("https://www.kleinanzeigen.de/s-bestandsliste.html?userId=24071720", "Link")</f>
        <v/>
      </c>
      <c r="K161" s="7" t="n">
        <v>45564.87024305556</v>
      </c>
      <c r="L161" s="3" t="inlineStr">
        <is>
          <t>41.04</t>
        </is>
      </c>
      <c r="M161" t="inlineStr">
        <is>
          <t>München</t>
        </is>
      </c>
    </row>
    <row r="162">
      <c r="A162" t="inlineStr">
        <is>
          <t>Isabella Cirrus North 400 inkl. Anbau links - Luftvorzelt</t>
        </is>
      </c>
      <c r="B162" s="4" t="n">
        <v>2.499</v>
      </c>
      <c r="C162" t="inlineStr"/>
      <c r="D162" t="inlineStr">
        <is>
          <t>51147 Köln - Porz</t>
        </is>
      </c>
      <c r="E162" s="5" t="n">
        <v>45564</v>
      </c>
      <c r="F162" t="inlineStr"/>
      <c r="G162" s="6">
        <f>HYPERLINK("https://www.kleinanzeigen.de/s-anzeige/isabella-cirrus-north-400-inkl-anbau-links-luftvorzelt/2877664394-230-961", "Link")</f>
        <v/>
      </c>
      <c r="H162" s="6">
        <f>HYPERLINK("C:\Projects\Kleinanzeigen-Scraper\offer_images\2877664394", "Link")</f>
        <v/>
      </c>
      <c r="I162" t="inlineStr">
        <is>
          <t>Markus</t>
        </is>
      </c>
      <c r="J162" s="6">
        <f>HYPERLINK("https://www.kleinanzeigen.de/s-bestandsliste.html?userId=19668915", "Link")</f>
        <v/>
      </c>
      <c r="K162" s="7" t="n">
        <v>45564.86989583333</v>
      </c>
      <c r="L162" s="3" t="inlineStr">
        <is>
          <t>14.27</t>
        </is>
      </c>
      <c r="M162" t="inlineStr">
        <is>
          <t>Köln</t>
        </is>
      </c>
    </row>
    <row r="163">
      <c r="A163" t="inlineStr">
        <is>
          <t>Isabella cirrus north 400 Luftvorzelt ohne Anbau rechts</t>
        </is>
      </c>
      <c r="B163" s="4" t="n">
        <v>1.9</v>
      </c>
      <c r="C163" t="inlineStr"/>
      <c r="D163" t="inlineStr">
        <is>
          <t>14727 Brandenburg - Premnitz</t>
        </is>
      </c>
      <c r="E163" s="5" t="n">
        <v>45564</v>
      </c>
      <c r="F163" t="inlineStr"/>
      <c r="G163" s="6">
        <f>HYPERLINK("https://www.kleinanzeigen.de/s-anzeige/isabella-cirrus-north-400-luftvorzelt-ohne-anbau-rechts/2876888128-230-7824", "Link")</f>
        <v/>
      </c>
      <c r="H163" s="6">
        <f>HYPERLINK("C:\Projects\Kleinanzeigen-Scraper\offer_images\2876888128", "Link")</f>
        <v/>
      </c>
      <c r="I163" t="inlineStr">
        <is>
          <t>Schiller</t>
        </is>
      </c>
      <c r="J163" s="6">
        <f>HYPERLINK("https://www.kleinanzeigen.de/s-bestandsliste.html?userId=13711344", "Link")</f>
        <v/>
      </c>
      <c r="K163" s="7" t="n">
        <v>45564.86975694444</v>
      </c>
      <c r="L163" s="3" t="inlineStr">
        <is>
          <t>412.26</t>
        </is>
      </c>
      <c r="M163" t="inlineStr">
        <is>
          <t>Köln</t>
        </is>
      </c>
    </row>
    <row r="164">
      <c r="A164" t="inlineStr">
        <is>
          <t>North Duotone Rebel 7 | 10 | 14 qm von 2019</t>
        </is>
      </c>
      <c r="B164" s="4" t="n">
        <v>1.15</v>
      </c>
      <c r="C164" t="inlineStr"/>
      <c r="D164" t="inlineStr">
        <is>
          <t>22607 Altona - Hamburg Groß Flottbek</t>
        </is>
      </c>
      <c r="E164" s="5" t="n">
        <v>45564</v>
      </c>
      <c r="F164" t="inlineStr"/>
      <c r="G164" s="6">
        <f>HYPERLINK("https://www.kleinanzeigen.de/s-anzeige/north-duotone-rebel-7-10-14-qm-von-2019/2877133477-230-9500", "Link")</f>
        <v/>
      </c>
      <c r="H164" s="6">
        <f>HYPERLINK("C:\Projects\Kleinanzeigen-Scraper\offer_images\2877133477", "Link")</f>
        <v/>
      </c>
      <c r="I164" t="inlineStr">
        <is>
          <t>Dominik Gyllensvärd</t>
        </is>
      </c>
      <c r="J164" s="6">
        <f>HYPERLINK("https://www.kleinanzeigen.de/s-bestandsliste.html?userId=33976775", "Link")</f>
        <v/>
      </c>
      <c r="K164" s="7" t="n">
        <v>45564.86960648148</v>
      </c>
      <c r="L164" s="3" t="inlineStr">
        <is>
          <t>354.01</t>
        </is>
      </c>
      <c r="M164" t="inlineStr">
        <is>
          <t>Köln</t>
        </is>
      </c>
    </row>
    <row r="165">
      <c r="A165" t="inlineStr">
        <is>
          <t>HQ Ignition 2 in 12qm incl LF Bar, kein Core oder North</t>
        </is>
      </c>
      <c r="B165" s="4" t="n">
        <v>275</v>
      </c>
      <c r="C165" t="inlineStr">
        <is>
          <t>VB</t>
        </is>
      </c>
      <c r="D165" t="inlineStr">
        <is>
          <t>32760 Nordrhein-Westfalen - Detmold</t>
        </is>
      </c>
      <c r="E165" s="5" t="n">
        <v>45564</v>
      </c>
      <c r="F165" t="inlineStr"/>
      <c r="G165" s="6">
        <f>HYPERLINK("https://www.kleinanzeigen.de/s-anzeige/hq-ignition-2-in-12qm-incl-lf-bar-kein-core-oder-north/2876980797-230-1795", "Link")</f>
        <v/>
      </c>
      <c r="H165" s="6">
        <f>HYPERLINK("C:\Projects\Kleinanzeigen-Scraper\offer_images\2876980797", "Link")</f>
        <v/>
      </c>
      <c r="I165" t="inlineStr">
        <is>
          <t>Karsten  Ringelberg</t>
        </is>
      </c>
      <c r="J165" s="6">
        <f>HYPERLINK("https://www.kleinanzeigen.de/s-bestandsliste.html?userId=5445157", "Link")</f>
        <v/>
      </c>
      <c r="K165" s="7" t="n">
        <v>45564.86942129629</v>
      </c>
      <c r="L165" s="3" t="inlineStr">
        <is>
          <t>172.40</t>
        </is>
      </c>
      <c r="M165" t="inlineStr">
        <is>
          <t>Köln</t>
        </is>
      </c>
    </row>
    <row r="166">
      <c r="A166" t="inlineStr">
        <is>
          <t>Naish HA Stabilizer 2024</t>
        </is>
      </c>
      <c r="B166" s="4" t="n">
        <v>190</v>
      </c>
      <c r="C166" t="inlineStr">
        <is>
          <t>VB</t>
        </is>
      </c>
      <c r="D166" t="inlineStr">
        <is>
          <t>78467 Baden-Württemberg - Konstanz</t>
        </is>
      </c>
      <c r="E166" s="5" t="n">
        <v>45564</v>
      </c>
      <c r="F166" t="inlineStr">
        <is>
          <t>Sold</t>
        </is>
      </c>
      <c r="G166" s="6">
        <f>HYPERLINK("https://www.kleinanzeigen.de/s-anzeige/naish-ha-stabilizer-2024/2877799094-230-9389", "Link")</f>
        <v/>
      </c>
      <c r="H166" s="6">
        <f>HYPERLINK("C:\Projects\Kleinanzeigen-Scraper\offer_images\2877799094", "Link")</f>
        <v/>
      </c>
      <c r="I166" t="inlineStr">
        <is>
          <t>Jürgen</t>
        </is>
      </c>
      <c r="J166" s="6">
        <f>HYPERLINK("https://www.kleinanzeigen.de/s-bestandsliste.html?userId=20497279", "Link")</f>
        <v/>
      </c>
      <c r="K166" s="7" t="n">
        <v>45564.86915509259</v>
      </c>
      <c r="L166" s="3" t="inlineStr">
        <is>
          <t>62.51</t>
        </is>
      </c>
      <c r="M166" t="inlineStr">
        <is>
          <t>Bonndorf</t>
        </is>
      </c>
    </row>
    <row r="167">
      <c r="A167" t="inlineStr">
        <is>
          <t>Trampolin XXL North Pioneer 500 schwarz</t>
        </is>
      </c>
      <c r="B167" s="4" t="n">
        <v>490</v>
      </c>
      <c r="C167" t="inlineStr">
        <is>
          <t>VB</t>
        </is>
      </c>
      <c r="D167" t="inlineStr">
        <is>
          <t>92334 Bayern - Berching</t>
        </is>
      </c>
      <c r="E167" s="5" t="n">
        <v>45563</v>
      </c>
      <c r="F167" t="inlineStr"/>
      <c r="G167" s="6">
        <f>HYPERLINK("https://www.kleinanzeigen.de/s-anzeige/trampolin-xxl-north-pioneer-500-schwarz/2876597067-230-6593", "Link")</f>
        <v/>
      </c>
      <c r="H167" s="6">
        <f>HYPERLINK("C:\Projects\Kleinanzeigen-Scraper\offer_images\2876597067", "Link")</f>
        <v/>
      </c>
      <c r="I167" t="inlineStr">
        <is>
          <t>Privat123</t>
        </is>
      </c>
      <c r="J167" s="6">
        <f>HYPERLINK("https://www.kleinanzeigen.de/s-bestandsliste.html?userId=138903743", "Link")</f>
        <v/>
      </c>
      <c r="K167" s="7" t="n">
        <v>45564.86913194445</v>
      </c>
      <c r="L167" s="3" t="inlineStr">
        <is>
          <t>107.95</t>
        </is>
      </c>
      <c r="M167" t="inlineStr">
        <is>
          <t>München</t>
        </is>
      </c>
    </row>
    <row r="168">
      <c r="A168" t="inlineStr">
        <is>
          <t>Skianzug North Ville 104</t>
        </is>
      </c>
      <c r="B168" s="4" t="n">
        <v>20</v>
      </c>
      <c r="C168" t="inlineStr">
        <is>
          <t>VB</t>
        </is>
      </c>
      <c r="D168" t="inlineStr">
        <is>
          <t>93197 Bayern - Zeitlarn</t>
        </is>
      </c>
      <c r="E168" s="5" t="n">
        <v>45564</v>
      </c>
      <c r="F168" t="inlineStr"/>
      <c r="G168" s="6">
        <f>HYPERLINK("https://www.kleinanzeigen.de/s-anzeige/skianzug-north-ville-104/2877616075-230-5768", "Link")</f>
        <v/>
      </c>
      <c r="H168" s="6">
        <f>HYPERLINK("C:\Projects\Kleinanzeigen-Scraper\offer_images\2877616075", "Link")</f>
        <v/>
      </c>
      <c r="I168" t="inlineStr">
        <is>
          <t>Christiane Baumann</t>
        </is>
      </c>
      <c r="J168" s="6">
        <f>HYPERLINK("https://www.kleinanzeigen.de/s-bestandsliste.html?userId=52131313", "Link")</f>
        <v/>
      </c>
      <c r="K168" s="7" t="n">
        <v>45564.86903935186</v>
      </c>
      <c r="L168" s="3" t="inlineStr">
        <is>
          <t>111.85</t>
        </is>
      </c>
      <c r="M168" t="inlineStr">
        <is>
          <t>München</t>
        </is>
      </c>
    </row>
    <row r="169">
      <c r="A169" t="inlineStr">
        <is>
          <t>Diadora Preston North End England Trikot Gr.M blau</t>
        </is>
      </c>
      <c r="B169" s="4" t="n">
        <v>25</v>
      </c>
      <c r="C169" t="inlineStr"/>
      <c r="D169" t="inlineStr">
        <is>
          <t>74363 Baden-Württemberg - Güglingen</t>
        </is>
      </c>
      <c r="E169" s="5" t="n">
        <v>45564</v>
      </c>
      <c r="F169" t="inlineStr"/>
      <c r="G169" s="6">
        <f>HYPERLINK("https://www.kleinanzeigen.de/s-anzeige/diadora-preston-north-end-england-trikot-gr-m-blau/2876895974-230-8775", "Link")</f>
        <v/>
      </c>
      <c r="H169" s="6">
        <f>HYPERLINK("C:\Projects\Kleinanzeigen-Scraper\offer_images\2876895974", "Link")</f>
        <v/>
      </c>
      <c r="I169" t="inlineStr">
        <is>
          <t>Werner</t>
        </is>
      </c>
      <c r="J169" s="6">
        <f>HYPERLINK("https://www.kleinanzeigen.de/s-bestandsliste.html?userId=85853589", "Link")</f>
        <v/>
      </c>
      <c r="K169" s="7" t="n">
        <v>45564.86824074074</v>
      </c>
      <c r="L169" s="3" t="inlineStr">
        <is>
          <t>43.83</t>
        </is>
      </c>
      <c r="M169" t="inlineStr">
        <is>
          <t>Böblingen</t>
        </is>
      </c>
    </row>
    <row r="170">
      <c r="A170" t="inlineStr">
        <is>
          <t>Great Northern Railway Anhänger</t>
        </is>
      </c>
      <c r="B170" s="4" t="n">
        <v>30</v>
      </c>
      <c r="C170" t="inlineStr">
        <is>
          <t>VB</t>
        </is>
      </c>
      <c r="D170" t="inlineStr">
        <is>
          <t>38518 Niedersachsen - Gifhorn</t>
        </is>
      </c>
      <c r="E170" s="5" t="n">
        <v>45564</v>
      </c>
      <c r="F170" t="inlineStr">
        <is>
          <t>Sold</t>
        </is>
      </c>
      <c r="G170" s="6">
        <f>HYPERLINK("https://www.kleinanzeigen.de/s-anzeige/great-northern-railway-anhaenger/2877777130-249-2960", "Link")</f>
        <v/>
      </c>
      <c r="H170" s="6">
        <f>HYPERLINK("C:\Projects\Kleinanzeigen-Scraper\offer_images\2877777130", "Link")</f>
        <v/>
      </c>
      <c r="I170" t="inlineStr">
        <is>
          <t>EEAW</t>
        </is>
      </c>
      <c r="J170" s="6">
        <f>HYPERLINK("https://www.kleinanzeigen.de/s-bestandsliste.html?userId=52506473", "Link")</f>
        <v/>
      </c>
      <c r="K170" s="7" t="n">
        <v>45564.86815972222</v>
      </c>
      <c r="L170" s="3" t="inlineStr">
        <is>
          <t>300.65</t>
        </is>
      </c>
      <c r="M170" t="inlineStr">
        <is>
          <t>Köln</t>
        </is>
      </c>
    </row>
    <row r="171">
      <c r="A171" t="inlineStr">
        <is>
          <t>Masttasche Reisetasche Gunsails Windsurfen</t>
        </is>
      </c>
      <c r="B171" s="4" t="n">
        <v>40</v>
      </c>
      <c r="C171" t="inlineStr">
        <is>
          <t>VB</t>
        </is>
      </c>
      <c r="D171" t="inlineStr">
        <is>
          <t>82041 Kr. München - Deisenhofen</t>
        </is>
      </c>
      <c r="E171" s="5" t="n">
        <v>45563</v>
      </c>
      <c r="F171" t="inlineStr"/>
      <c r="G171" s="6">
        <f>HYPERLINK("https://www.kleinanzeigen.de/s-anzeige/masttasche-reisetasche-gunsails-windsurfen/2876722059-230-17132", "Link")</f>
        <v/>
      </c>
      <c r="H171" s="6">
        <f>HYPERLINK("C:\Projects\Kleinanzeigen-Scraper\offer_images\2876722059", "Link")</f>
        <v/>
      </c>
      <c r="I171" t="inlineStr">
        <is>
          <t>Alexander pippert</t>
        </is>
      </c>
      <c r="J171" s="6">
        <f>HYPERLINK("https://www.kleinanzeigen.de/s-bestandsliste.html?userId=18697019", "Link")</f>
        <v/>
      </c>
      <c r="K171" s="7" t="n">
        <v>45564.86775462963</v>
      </c>
      <c r="L171" s="3" t="inlineStr">
        <is>
          <t>12.39</t>
        </is>
      </c>
      <c r="M171" t="inlineStr">
        <is>
          <t>München</t>
        </is>
      </c>
    </row>
    <row r="172">
      <c r="A172" t="inlineStr">
        <is>
          <t>GA Foil MP1490  High aspect foil von Gaastra!Toller Glide! NP690€</t>
        </is>
      </c>
      <c r="B172" s="4" t="n">
        <v>299</v>
      </c>
      <c r="C172" t="inlineStr">
        <is>
          <t>VB</t>
        </is>
      </c>
      <c r="D172" t="inlineStr">
        <is>
          <t>10115 Berlin - Mitte</t>
        </is>
      </c>
      <c r="E172" s="5" t="n">
        <v>45564</v>
      </c>
      <c r="F172" t="inlineStr"/>
      <c r="G172" s="6">
        <f>HYPERLINK("https://www.kleinanzeigen.de/s-anzeige/ga-foil-mp1490-high-aspect-foil-von-gaastra-toller-glide-np690-/2876963115-230-9668", "Link")</f>
        <v/>
      </c>
      <c r="H172" s="6">
        <f>HYPERLINK("C:\Projects\Kleinanzeigen-Scraper\offer_images\2876963115", "Link")</f>
        <v/>
      </c>
      <c r="I172" t="inlineStr">
        <is>
          <t>Ralf Rodemann</t>
        </is>
      </c>
      <c r="J172" s="6">
        <f>HYPERLINK("https://www.kleinanzeigen.de/s-bestandsliste.html?userId=6657896", "Link")</f>
        <v/>
      </c>
      <c r="K172" s="7" t="n">
        <v>45564.86773148148</v>
      </c>
      <c r="L172" s="3" t="inlineStr">
        <is>
          <t>476.33</t>
        </is>
      </c>
      <c r="M172" t="inlineStr">
        <is>
          <t>Köln</t>
        </is>
      </c>
    </row>
    <row r="173">
      <c r="A173" t="inlineStr">
        <is>
          <t>Naish Jet Foil S26 Stabilizer 320 Neu</t>
        </is>
      </c>
      <c r="B173" s="4" t="n">
        <v>110</v>
      </c>
      <c r="C173" t="inlineStr">
        <is>
          <t>VB</t>
        </is>
      </c>
      <c r="D173" t="inlineStr">
        <is>
          <t>55120 Rheinland-Pfalz - Mainz</t>
        </is>
      </c>
      <c r="E173" s="5" t="n">
        <v>45564</v>
      </c>
      <c r="F173" t="inlineStr"/>
      <c r="G173" s="6">
        <f>HYPERLINK("https://www.kleinanzeigen.de/s-anzeige/naish-jet-foil-s26-stabilizer-320-neu/2877794845-230-5323", "Link")</f>
        <v/>
      </c>
      <c r="H173" s="6">
        <f>HYPERLINK("C:\Projects\Kleinanzeigen-Scraper\offer_images\2877794845", "Link")</f>
        <v/>
      </c>
      <c r="I173" t="inlineStr">
        <is>
          <t>TD</t>
        </is>
      </c>
      <c r="J173" s="6">
        <f>HYPERLINK("https://www.kleinanzeigen.de/s-bestandsliste.html?userId=30115671", "Link")</f>
        <v/>
      </c>
      <c r="K173" s="7" t="n">
        <v>45564.86733796296</v>
      </c>
      <c r="L173" s="3" t="inlineStr">
        <is>
          <t>113.39</t>
        </is>
      </c>
      <c r="M173" t="inlineStr">
        <is>
          <t>Karlsruhe</t>
        </is>
      </c>
    </row>
    <row r="174">
      <c r="A174" t="inlineStr">
        <is>
          <t>Fanatic Foil Mast-Fuselage 90/78 Set AL 3.0</t>
        </is>
      </c>
      <c r="B174" s="4" t="n">
        <v>390</v>
      </c>
      <c r="C174" t="inlineStr"/>
      <c r="D174" t="inlineStr">
        <is>
          <t>90451 Nürnberg (Mittelfr) - Aussenstadt-Sued</t>
        </is>
      </c>
      <c r="E174" s="5" t="n">
        <v>45564</v>
      </c>
      <c r="F174" t="inlineStr"/>
      <c r="G174" s="6">
        <f>HYPERLINK("https://www.kleinanzeigen.de/s-anzeige/fanatic-foil-mast-fuselage-90-78-set-al-3-0/2877164275-230-6836", "Link")</f>
        <v/>
      </c>
      <c r="H174" s="6">
        <f>HYPERLINK("C:\Projects\Kleinanzeigen-Scraper\offer_images\2877164275", "Link")</f>
        <v/>
      </c>
      <c r="I174" t="inlineStr">
        <is>
          <t>No user name</t>
        </is>
      </c>
      <c r="J174" s="6">
        <f>HYPERLINK("https://www.kleinanzeigen.deNo user link", "Link")</f>
        <v/>
      </c>
      <c r="K174" s="7" t="n">
        <v>45564.86730324074</v>
      </c>
      <c r="L174" s="3" t="inlineStr">
        <is>
          <t>145.92</t>
        </is>
      </c>
      <c r="M174" t="inlineStr">
        <is>
          <t>München</t>
        </is>
      </c>
    </row>
    <row r="175">
      <c r="A175" t="inlineStr">
        <is>
          <t>Fanatic Carbon 35 Slim 3-teilig SUP Paddel Paddle Stand up</t>
        </is>
      </c>
      <c r="B175" s="4" t="n">
        <v>145</v>
      </c>
      <c r="C175" t="inlineStr">
        <is>
          <t>VB</t>
        </is>
      </c>
      <c r="D175" t="inlineStr">
        <is>
          <t>87439 Bayern - Kempten</t>
        </is>
      </c>
      <c r="E175" s="5" t="n">
        <v>45564</v>
      </c>
      <c r="F175" t="inlineStr">
        <is>
          <t>Sold</t>
        </is>
      </c>
      <c r="G175" s="6">
        <f>HYPERLINK("https://www.kleinanzeigen.de/s-anzeige/fanatic-carbon-35-slim-3-teilig-sup-paddel-paddle-stand-up/2876929451-230-7618", "Link")</f>
        <v/>
      </c>
      <c r="H175" s="6">
        <f>HYPERLINK("C:\Projects\Kleinanzeigen-Scraper\offer_images\2876929451", "Link")</f>
        <v/>
      </c>
      <c r="I175" t="inlineStr">
        <is>
          <t>Tom</t>
        </is>
      </c>
      <c r="J175" s="6">
        <f>HYPERLINK("https://www.kleinanzeigen.de/s-bestandsliste.html?userId=7902054", "Link")</f>
        <v/>
      </c>
      <c r="K175" s="7" t="n">
        <v>45564.866875</v>
      </c>
      <c r="L175" s="3" t="inlineStr">
        <is>
          <t>105.97</t>
        </is>
      </c>
      <c r="M175" t="inlineStr">
        <is>
          <t>München</t>
        </is>
      </c>
    </row>
    <row r="176">
      <c r="A176" t="inlineStr">
        <is>
          <t>Goya Staffelei</t>
        </is>
      </c>
      <c r="B176" s="4" t="n">
        <v>35</v>
      </c>
      <c r="C176" t="inlineStr">
        <is>
          <t>VB</t>
        </is>
      </c>
      <c r="D176" t="inlineStr">
        <is>
          <t>52066 Aachen - Aachen-Mitte</t>
        </is>
      </c>
      <c r="E176" s="5" t="n">
        <v>45563</v>
      </c>
      <c r="F176" t="inlineStr"/>
      <c r="G176" s="6">
        <f>HYPERLINK("https://www.kleinanzeigen.de/s-anzeige/goya-staffelei/2876790608-282-1923", "Link")</f>
        <v/>
      </c>
      <c r="H176" s="6">
        <f>HYPERLINK("C:\Projects\Kleinanzeigen-Scraper\offer_images\2876790608", "Link")</f>
        <v/>
      </c>
      <c r="I176" t="inlineStr">
        <is>
          <t>Maik</t>
        </is>
      </c>
      <c r="J176" s="6">
        <f>HYPERLINK("https://www.kleinanzeigen.de/s-bestandsliste.html?userId=11561906", "Link")</f>
        <v/>
      </c>
      <c r="K176" s="7" t="n">
        <v>45564.86653935185</v>
      </c>
      <c r="L176" s="3" t="inlineStr">
        <is>
          <t>62.57</t>
        </is>
      </c>
      <c r="M176" t="inlineStr">
        <is>
          <t>Köln</t>
        </is>
      </c>
    </row>
    <row r="177">
      <c r="A177" t="inlineStr">
        <is>
          <t>GA Foil MP1290  High aspect foil Gaastra !Toller Glide! NP690€</t>
        </is>
      </c>
      <c r="B177" s="4" t="n">
        <v>288</v>
      </c>
      <c r="C177" t="inlineStr"/>
      <c r="D177" t="inlineStr">
        <is>
          <t>10115 Berlin - Mitte</t>
        </is>
      </c>
      <c r="E177" s="5" t="n">
        <v>45564</v>
      </c>
      <c r="F177" t="inlineStr"/>
      <c r="G177" s="6">
        <f>HYPERLINK("https://www.kleinanzeigen.de/s-anzeige/ga-foil-mp1290-high-aspect-foil-gaastra-toller-glide-np690-/2876968258-230-9668", "Link")</f>
        <v/>
      </c>
      <c r="H177" s="6">
        <f>HYPERLINK("C:\Projects\Kleinanzeigen-Scraper\offer_images\2876968258", "Link")</f>
        <v/>
      </c>
      <c r="I177" t="inlineStr">
        <is>
          <t>Ralf Rodemann</t>
        </is>
      </c>
      <c r="J177" s="6">
        <f>HYPERLINK("https://www.kleinanzeigen.de/s-bestandsliste.html?userId=6657896", "Link")</f>
        <v/>
      </c>
      <c r="K177" s="7" t="n">
        <v>45564.86651620371</v>
      </c>
      <c r="L177" s="3" t="inlineStr">
        <is>
          <t>476.33</t>
        </is>
      </c>
      <c r="M177" t="inlineStr">
        <is>
          <t>Köln</t>
        </is>
      </c>
    </row>
    <row r="178">
      <c r="A178" t="inlineStr">
        <is>
          <t>Holztruhe ☆Unikat☆ handgeschnitztes Panorama von Simmern</t>
        </is>
      </c>
      <c r="B178" s="4" t="n">
        <v>150</v>
      </c>
      <c r="C178" t="inlineStr"/>
      <c r="D178" t="inlineStr">
        <is>
          <t>55469 Rheinland-Pfalz - Simmern</t>
        </is>
      </c>
      <c r="E178" s="5" t="n">
        <v>45563</v>
      </c>
      <c r="F178" t="inlineStr"/>
      <c r="G178" s="6">
        <f>HYPERLINK("https://www.kleinanzeigen.de/s-anzeige/holztruhe-unikat-handgeschnitztes-panorama-von-simmern/2875997270-240-20854", "Link")</f>
        <v/>
      </c>
      <c r="H178" s="6">
        <f>HYPERLINK("C:\Projects\Kleinanzeigen-Scraper\offer_images\2875997270", "Link")</f>
        <v/>
      </c>
      <c r="I178" t="inlineStr">
        <is>
          <t>Jürgen &amp; Anke</t>
        </is>
      </c>
      <c r="J178" s="6">
        <f>HYPERLINK("https://www.kleinanzeigen.de/s-bestandsliste.html?userId=141593145", "Link")</f>
        <v/>
      </c>
      <c r="K178" s="7" t="n">
        <v>45564.86646990741</v>
      </c>
      <c r="L178" s="3" t="inlineStr">
        <is>
          <t>113.56</t>
        </is>
      </c>
      <c r="M178" t="inlineStr">
        <is>
          <t>Köln</t>
        </is>
      </c>
    </row>
    <row r="179">
      <c r="A179" t="inlineStr">
        <is>
          <t>Flohmarkt in Simmern Hauptstraße</t>
        </is>
      </c>
      <c r="B179" s="4" t="inlineStr"/>
      <c r="C179" t="inlineStr">
        <is>
          <t>VB</t>
        </is>
      </c>
      <c r="D179" t="inlineStr">
        <is>
          <t>56337 Westerwaldkreis - Simmern (Westerwald)</t>
        </is>
      </c>
      <c r="E179" s="5" t="n">
        <v>45564</v>
      </c>
      <c r="F179" t="inlineStr"/>
      <c r="G179" s="6">
        <f>HYPERLINK("https://www.kleinanzeigen.de/s-anzeige/flohmarkt-in-simmern-hauptstrasse/2877136142-250-21997", "Link")</f>
        <v/>
      </c>
      <c r="H179" s="6">
        <f>HYPERLINK("C:\Projects\Kleinanzeigen-Scraper\offer_images\2877136142", "Link")</f>
        <v/>
      </c>
      <c r="I179" t="inlineStr">
        <is>
          <t>Larissa</t>
        </is>
      </c>
      <c r="J179" s="6">
        <f>HYPERLINK("https://www.kleinanzeigen.de/s-bestandsliste.html?userId=15292800", "Link")</f>
        <v/>
      </c>
      <c r="K179" s="7" t="n">
        <v>45564.86637731481</v>
      </c>
      <c r="L179" s="3" t="inlineStr">
        <is>
          <t>82.65</t>
        </is>
      </c>
      <c r="M179" t="inlineStr">
        <is>
          <t>Köln</t>
        </is>
      </c>
    </row>
    <row r="180">
      <c r="A180" t="inlineStr">
        <is>
          <t>Game of Thrones „King in the North“ T-Shirt Unisex</t>
        </is>
      </c>
      <c r="B180" s="4" t="n">
        <v>15</v>
      </c>
      <c r="C180" t="inlineStr">
        <is>
          <t>VB</t>
        </is>
      </c>
      <c r="D180" t="inlineStr">
        <is>
          <t>56269 Rheinland-Pfalz - Dierdorf</t>
        </is>
      </c>
      <c r="E180" s="5" t="n">
        <v>45564</v>
      </c>
      <c r="F180" t="inlineStr"/>
      <c r="G180" s="6">
        <f>HYPERLINK("https://www.kleinanzeigen.de/s-anzeige/game-of-thrones-king-in-the-north-t-shirt-unisex/2877786813-234-19438", "Link")</f>
        <v/>
      </c>
      <c r="H180" s="6">
        <f>HYPERLINK("C:\Projects\Kleinanzeigen-Scraper\offer_images\2877786813", "Link")</f>
        <v/>
      </c>
      <c r="I180" t="inlineStr">
        <is>
          <t>Selina L</t>
        </is>
      </c>
      <c r="J180" s="6">
        <f>HYPERLINK("https://www.kleinanzeigen.de/s-bestandsliste.html?userId=66051351", "Link")</f>
        <v/>
      </c>
      <c r="K180" s="7" t="n">
        <v>45564.8662962963</v>
      </c>
      <c r="L180" s="3" t="inlineStr">
        <is>
          <t>67.03</t>
        </is>
      </c>
      <c r="M180" t="inlineStr">
        <is>
          <t>Köln</t>
        </is>
      </c>
    </row>
    <row r="181">
      <c r="A181" t="inlineStr">
        <is>
          <t>Grubenlampe Northern Light NLT Polaris</t>
        </is>
      </c>
      <c r="B181" s="4" t="n">
        <v>65</v>
      </c>
      <c r="C181" t="inlineStr"/>
      <c r="D181" t="inlineStr">
        <is>
          <t>38667 Niedersachsen - Bad Harzburg</t>
        </is>
      </c>
      <c r="E181" s="5" t="n">
        <v>45564</v>
      </c>
      <c r="F181" t="inlineStr"/>
      <c r="G181" s="6">
        <f>HYPERLINK("https://www.kleinanzeigen.de/s-anzeige/grubenlampe-northern-light-nlt-polaris/2877106937-234-14380", "Link")</f>
        <v/>
      </c>
      <c r="H181" s="6">
        <f>HYPERLINK("C:\Projects\Kleinanzeigen-Scraper\offer_images\2877106937", "Link")</f>
        <v/>
      </c>
      <c r="I181" t="inlineStr">
        <is>
          <t>Hansa</t>
        </is>
      </c>
      <c r="J181" s="6">
        <f>HYPERLINK("https://www.kleinanzeigen.de/s-bestandsliste.html?userId=11164495", "Link")</f>
        <v/>
      </c>
      <c r="K181" s="7" t="n">
        <v>45564.86627314815</v>
      </c>
      <c r="L181" s="3" t="inlineStr">
        <is>
          <t>271.28</t>
        </is>
      </c>
      <c r="M181" t="inlineStr">
        <is>
          <t>Köln</t>
        </is>
      </c>
    </row>
    <row r="182">
      <c r="A182" t="inlineStr">
        <is>
          <t>GA Gaastra Foil MP890 high aspect !Sehr schnell u. wendig !TOP!</t>
        </is>
      </c>
      <c r="B182" s="4" t="n">
        <v>255</v>
      </c>
      <c r="C182" t="inlineStr"/>
      <c r="D182" t="inlineStr">
        <is>
          <t>10115 Berlin - Mitte</t>
        </is>
      </c>
      <c r="E182" s="5" t="n">
        <v>45564</v>
      </c>
      <c r="F182" t="inlineStr"/>
      <c r="G182" s="6">
        <f>HYPERLINK("https://www.kleinanzeigen.de/s-anzeige/ga-gaastra-foil-mp890-high-aspect-sehr-schnell-u-wendig-top-/2876974867-230-9668", "Link")</f>
        <v/>
      </c>
      <c r="H182" s="6">
        <f>HYPERLINK("C:\Projects\Kleinanzeigen-Scraper\offer_images\2876974867", "Link")</f>
        <v/>
      </c>
      <c r="I182" t="inlineStr">
        <is>
          <t>Ralf Rodemann</t>
        </is>
      </c>
      <c r="J182" s="6">
        <f>HYPERLINK("https://www.kleinanzeigen.de/s-bestandsliste.html?userId=6657896", "Link")</f>
        <v/>
      </c>
      <c r="K182" s="7" t="n">
        <v>45564.86604166667</v>
      </c>
      <c r="L182" s="3" t="inlineStr">
        <is>
          <t>476.33</t>
        </is>
      </c>
      <c r="M182" t="inlineStr">
        <is>
          <t>Köln</t>
        </is>
      </c>
    </row>
    <row r="183">
      <c r="A183" t="inlineStr">
        <is>
          <t>North Orbit Pro 9m</t>
        </is>
      </c>
      <c r="B183" s="4" t="n">
        <v>999</v>
      </c>
      <c r="C183" t="inlineStr"/>
      <c r="D183" t="inlineStr">
        <is>
          <t>22399 Wandsbek - Hamburg Poppenbüttel</t>
        </is>
      </c>
      <c r="E183" s="5" t="n">
        <v>45564</v>
      </c>
      <c r="F183" t="inlineStr"/>
      <c r="G183" s="6">
        <f>HYPERLINK("https://www.kleinanzeigen.de/s-anzeige/north-orbit-pro-9m/2877252284-230-18568", "Link")</f>
        <v/>
      </c>
      <c r="H183" s="6">
        <f>HYPERLINK("C:\Projects\Kleinanzeigen-Scraper\offer_images\2877252284", "Link")</f>
        <v/>
      </c>
      <c r="I183" t="inlineStr">
        <is>
          <t>Josi Hauber</t>
        </is>
      </c>
      <c r="J183" s="6">
        <f>HYPERLINK("https://www.kleinanzeigen.de/s-bestandsliste.html?userId=120744010", "Link")</f>
        <v/>
      </c>
      <c r="K183" s="7" t="n">
        <v>45564.86604166667</v>
      </c>
      <c r="L183" s="3" t="inlineStr">
        <is>
          <t>369.80</t>
        </is>
      </c>
      <c r="M183" t="inlineStr">
        <is>
          <t>Köln</t>
        </is>
      </c>
    </row>
    <row r="184">
      <c r="A184" t="inlineStr">
        <is>
          <t>Segeltasche Reisetasche Quiverbag Neilpryde Windsurfen</t>
        </is>
      </c>
      <c r="B184" s="4" t="n">
        <v>50</v>
      </c>
      <c r="C184" t="inlineStr">
        <is>
          <t>VB</t>
        </is>
      </c>
      <c r="D184" t="inlineStr">
        <is>
          <t>82041 Kr. München - Deisenhofen</t>
        </is>
      </c>
      <c r="E184" s="5" t="n">
        <v>45563</v>
      </c>
      <c r="F184" t="inlineStr"/>
      <c r="G184" s="6">
        <f>HYPERLINK("https://www.kleinanzeigen.de/s-anzeige/segeltasche-reisetasche-quiverbag-neilpryde-windsurfen/2876718170-230-17132", "Link")</f>
        <v/>
      </c>
      <c r="H184" s="6">
        <f>HYPERLINK("C:\Projects\Kleinanzeigen-Scraper\offer_images\2876718170", "Link")</f>
        <v/>
      </c>
      <c r="I184" t="inlineStr">
        <is>
          <t>Alexander pippert</t>
        </is>
      </c>
      <c r="J184" s="6">
        <f>HYPERLINK("https://www.kleinanzeigen.de/s-bestandsliste.html?userId=18697019", "Link")</f>
        <v/>
      </c>
      <c r="K184" s="7" t="n">
        <v>45564.86601851852</v>
      </c>
      <c r="L184" s="3" t="inlineStr">
        <is>
          <t>12.39</t>
        </is>
      </c>
      <c r="M184" t="inlineStr">
        <is>
          <t>München</t>
        </is>
      </c>
    </row>
    <row r="185">
      <c r="A185" t="inlineStr">
        <is>
          <t>Simms G4 Pro Watjacke XL</t>
        </is>
      </c>
      <c r="B185" s="4" t="n">
        <v>550</v>
      </c>
      <c r="C185" t="inlineStr">
        <is>
          <t>VB</t>
        </is>
      </c>
      <c r="D185" t="inlineStr">
        <is>
          <t>14558 Brandenburg - Nuthetal</t>
        </is>
      </c>
      <c r="E185" s="5" t="n">
        <v>45564</v>
      </c>
      <c r="F185" t="inlineStr"/>
      <c r="G185" s="6">
        <f>HYPERLINK("https://www.kleinanzeigen.de/s-anzeige/simms-g4-pro-watjacke-xl/2877415190-230-13420", "Link")</f>
        <v/>
      </c>
      <c r="H185" s="6">
        <f>HYPERLINK("C:\Projects\Kleinanzeigen-Scraper\offer_images\2877415190", "Link")</f>
        <v/>
      </c>
      <c r="I185" t="inlineStr">
        <is>
          <t>Alex</t>
        </is>
      </c>
      <c r="J185" s="6">
        <f>HYPERLINK("https://www.kleinanzeigen.de/s-bestandsliste.html?userId=94469929", "Link")</f>
        <v/>
      </c>
      <c r="K185" s="7" t="n">
        <v>45564.86571759259</v>
      </c>
      <c r="L185" s="3" t="inlineStr">
        <is>
          <t>453.79</t>
        </is>
      </c>
      <c r="M185" t="inlineStr">
        <is>
          <t>Köln</t>
        </is>
      </c>
    </row>
    <row r="186">
      <c r="A186" t="inlineStr">
        <is>
          <t>Masttasche Neilpryde für 460 Mast Windsurfen</t>
        </is>
      </c>
      <c r="B186" s="4" t="n">
        <v>20</v>
      </c>
      <c r="C186" t="inlineStr">
        <is>
          <t>VB</t>
        </is>
      </c>
      <c r="D186" t="inlineStr">
        <is>
          <t>82041 Kr. München - Deisenhofen</t>
        </is>
      </c>
      <c r="E186" s="5" t="n">
        <v>45563</v>
      </c>
      <c r="F186" t="inlineStr"/>
      <c r="G186" s="6">
        <f>HYPERLINK("https://www.kleinanzeigen.de/s-anzeige/masttasche-neilpryde-fuer-460-mast-windsurfen/2876719896-230-17132", "Link")</f>
        <v/>
      </c>
      <c r="H186" s="6">
        <f>HYPERLINK("C:\Projects\Kleinanzeigen-Scraper\offer_images\2876719896", "Link")</f>
        <v/>
      </c>
      <c r="I186" t="inlineStr">
        <is>
          <t>Alexander pippert</t>
        </is>
      </c>
      <c r="J186" s="6">
        <f>HYPERLINK("https://www.kleinanzeigen.de/s-bestandsliste.html?userId=18697019", "Link")</f>
        <v/>
      </c>
      <c r="K186" s="7" t="n">
        <v>45564.86564814814</v>
      </c>
      <c r="L186" s="3" t="inlineStr">
        <is>
          <t>12.39</t>
        </is>
      </c>
      <c r="M186" t="inlineStr">
        <is>
          <t>München</t>
        </is>
      </c>
    </row>
    <row r="187">
      <c r="A187" t="inlineStr">
        <is>
          <t>Fanatic SUP Package Ray Air Premium/C35 13'6"x 35" UNBENUTZT</t>
        </is>
      </c>
      <c r="B187" s="4" t="n">
        <v>550</v>
      </c>
      <c r="C187" t="inlineStr"/>
      <c r="D187" t="inlineStr">
        <is>
          <t>81739 München - Ramersdorf-Perlach</t>
        </is>
      </c>
      <c r="E187" s="5" t="n">
        <v>45564</v>
      </c>
      <c r="F187" t="inlineStr"/>
      <c r="G187" s="6">
        <f>HYPERLINK("https://www.kleinanzeigen.de/s-anzeige/fanatic-sup-package-ray-air-premium-c35-13-6-x-35-unbenutzt/2877135812-230-6473", "Link")</f>
        <v/>
      </c>
      <c r="H187" s="6">
        <f>HYPERLINK("C:\Projects\Kleinanzeigen-Scraper\offer_images\2877135812", "Link")</f>
        <v/>
      </c>
      <c r="I187" t="inlineStr">
        <is>
          <t>Christiane</t>
        </is>
      </c>
      <c r="J187" s="6">
        <f>HYPERLINK("https://www.kleinanzeigen.de/s-bestandsliste.html?userId=143115490", "Link")</f>
        <v/>
      </c>
      <c r="K187" s="7" t="n">
        <v>45564.86555555555</v>
      </c>
      <c r="L187" s="3" t="inlineStr">
        <is>
          <t>8.70</t>
        </is>
      </c>
      <c r="M187" t="inlineStr">
        <is>
          <t>München</t>
        </is>
      </c>
    </row>
    <row r="188">
      <c r="A188" t="inlineStr">
        <is>
          <t>2019er Gaastra Spark 10m2</t>
        </is>
      </c>
      <c r="B188" s="4" t="n">
        <v>250</v>
      </c>
      <c r="C188" t="inlineStr">
        <is>
          <t>VB</t>
        </is>
      </c>
      <c r="D188" t="inlineStr">
        <is>
          <t>27619 Niedersachsen - Schiffdorf</t>
        </is>
      </c>
      <c r="E188" s="5" t="n">
        <v>45564</v>
      </c>
      <c r="F188" t="inlineStr">
        <is>
          <t>Sold</t>
        </is>
      </c>
      <c r="G188" s="6">
        <f>HYPERLINK("https://www.kleinanzeigen.de/s-anzeige/2019er-gaastra-spark-10m2/2877953583-230-60", "Link")</f>
        <v/>
      </c>
      <c r="H188" s="6">
        <f>HYPERLINK("C:\Projects\Kleinanzeigen-Scraper\offer_images\2877953583", "Link")</f>
        <v/>
      </c>
      <c r="I188" t="inlineStr">
        <is>
          <t>JB8</t>
        </is>
      </c>
      <c r="J188" s="6">
        <f>HYPERLINK("https://www.kleinanzeigen.de/s-bestandsliste.html?userId=135416440", "Link")</f>
        <v/>
      </c>
      <c r="K188" s="7" t="n">
        <v>45564.86545138889</v>
      </c>
      <c r="L188" s="3" t="inlineStr">
        <is>
          <t>313.21</t>
        </is>
      </c>
      <c r="M188" t="inlineStr">
        <is>
          <t>Köln</t>
        </is>
      </c>
    </row>
    <row r="189">
      <c r="A189" t="inlineStr">
        <is>
          <t>Naish S26 Jet Foil Standard Fuse 64cm</t>
        </is>
      </c>
      <c r="B189" s="4" t="n">
        <v>50</v>
      </c>
      <c r="C189" t="inlineStr">
        <is>
          <t>VB</t>
        </is>
      </c>
      <c r="D189" t="inlineStr">
        <is>
          <t>78467 Baden-Württemberg - Konstanz</t>
        </is>
      </c>
      <c r="E189" s="5" t="n">
        <v>45564</v>
      </c>
      <c r="F189" t="inlineStr">
        <is>
          <t>Sold</t>
        </is>
      </c>
      <c r="G189" s="6">
        <f>HYPERLINK("https://www.kleinanzeigen.de/s-anzeige/naish-s26-jet-foil-standard-fuse-64cm/2877884217-230-9389", "Link")</f>
        <v/>
      </c>
      <c r="H189" s="6">
        <f>HYPERLINK("C:\Projects\Kleinanzeigen-Scraper\offer_images\2877884217", "Link")</f>
        <v/>
      </c>
      <c r="I189" t="inlineStr">
        <is>
          <t>Jürgen</t>
        </is>
      </c>
      <c r="J189" s="6">
        <f>HYPERLINK("https://www.kleinanzeigen.de/s-bestandsliste.html?userId=20497279", "Link")</f>
        <v/>
      </c>
      <c r="K189" s="7" t="n">
        <v>45564.8653125</v>
      </c>
      <c r="L189" s="3" t="inlineStr">
        <is>
          <t>62.51</t>
        </is>
      </c>
      <c r="M189" t="inlineStr">
        <is>
          <t>Bonndorf</t>
        </is>
      </c>
    </row>
    <row r="190">
      <c r="A190" t="inlineStr">
        <is>
          <t>NEILPRYDE Flight Al Foil Windsurffoil Windsurf</t>
        </is>
      </c>
      <c r="B190" s="4" t="n">
        <v>349</v>
      </c>
      <c r="C190" t="inlineStr"/>
      <c r="D190" t="inlineStr">
        <is>
          <t>10779 Berlin - Schöneberg</t>
        </is>
      </c>
      <c r="E190" s="5" t="n">
        <v>45563</v>
      </c>
      <c r="F190" t="inlineStr">
        <is>
          <t>Sold</t>
        </is>
      </c>
      <c r="G190" s="6">
        <f>HYPERLINK("https://www.kleinanzeigen.de/s-anzeige/neilpryde-flight-al-foil-windsurffoil-windsurf/2876559678-230-9645", "Link")</f>
        <v/>
      </c>
      <c r="H190" s="6">
        <f>HYPERLINK("C:\Projects\Kleinanzeigen-Scraper\offer_images\2876559678", "Link")</f>
        <v/>
      </c>
      <c r="I190" t="inlineStr">
        <is>
          <t>Oliver</t>
        </is>
      </c>
      <c r="J190" s="6">
        <f>HYPERLINK("https://www.kleinanzeigen.de/s-bestandsliste.html?userId=1701622", "Link")</f>
        <v/>
      </c>
      <c r="K190" s="7" t="n">
        <v>45564.86512731481</v>
      </c>
      <c r="L190" s="3" t="inlineStr">
        <is>
          <t>472.47</t>
        </is>
      </c>
      <c r="M190" t="inlineStr">
        <is>
          <t>Köln</t>
        </is>
      </c>
    </row>
    <row r="191">
      <c r="A191" t="inlineStr">
        <is>
          <t>++SNOWBOARD K2 VANDAL 137 cm SET MIT BINDUNG VANDAL GR.M++</t>
        </is>
      </c>
      <c r="B191" s="4" t="n">
        <v>180</v>
      </c>
      <c r="C191" t="inlineStr"/>
      <c r="D191" t="inlineStr">
        <is>
          <t>15366 Brandenburg - Hoppegarten</t>
        </is>
      </c>
      <c r="E191" s="5" t="n">
        <v>45564</v>
      </c>
      <c r="F191" t="inlineStr"/>
      <c r="G191" s="6">
        <f>HYPERLINK("https://www.kleinanzeigen.de/s-anzeige/-snowboard-k2-vandal-137-cm-set-mit-bindung-vandal-gr-m-/2877582785-230-20185", "Link")</f>
        <v/>
      </c>
      <c r="H191" s="6">
        <f>HYPERLINK("C:\Projects\Kleinanzeigen-Scraper\offer_images\2877582785", "Link")</f>
        <v/>
      </c>
      <c r="I191" t="inlineStr">
        <is>
          <t>Andrea</t>
        </is>
      </c>
      <c r="J191" s="6">
        <f>HYPERLINK("https://www.kleinanzeigen.de/s-bestandsliste.html?userId=7253422", "Link")</f>
        <v/>
      </c>
      <c r="K191" s="7" t="n">
        <v>45564.86502314815</v>
      </c>
      <c r="L191" s="3" t="inlineStr">
        <is>
          <t>493.44</t>
        </is>
      </c>
      <c r="M191" t="inlineStr">
        <is>
          <t>Köln</t>
        </is>
      </c>
    </row>
    <row r="192">
      <c r="A192" t="inlineStr">
        <is>
          <t>Compoundbogen Bowtech Fanatic 3.0 SD RH, 50-60lbs, 24-29" Auszug</t>
        </is>
      </c>
      <c r="B192" s="4" t="n">
        <v>459</v>
      </c>
      <c r="C192" t="inlineStr"/>
      <c r="D192" t="inlineStr">
        <is>
          <t>37627 Niedersachsen - Stadtoldendorf</t>
        </is>
      </c>
      <c r="E192" s="5" t="n">
        <v>45564</v>
      </c>
      <c r="F192" t="inlineStr"/>
      <c r="G192" s="6">
        <f>HYPERLINK("https://www.kleinanzeigen.de/s-anzeige/compoundbogen-bowtech-fanatic-3-0-sd-rh-50-60lbs-24-29-auszug/2877245050-230-19333", "Link")</f>
        <v/>
      </c>
      <c r="H192" s="6">
        <f>HYPERLINK("C:\Projects\Kleinanzeigen-Scraper\offer_images\2877245050", "Link")</f>
        <v/>
      </c>
      <c r="I192" t="inlineStr">
        <is>
          <t>Stefan</t>
        </is>
      </c>
      <c r="J192" s="6">
        <f>HYPERLINK("https://www.kleinanzeigen.de/s-bestandsliste.html?userId=7070850", "Link")</f>
        <v/>
      </c>
      <c r="K192" s="7" t="n">
        <v>45564.86494212963</v>
      </c>
      <c r="L192" s="3" t="inlineStr">
        <is>
          <t>210.40</t>
        </is>
      </c>
      <c r="M192" t="inlineStr">
        <is>
          <t>Köln</t>
        </is>
      </c>
    </row>
    <row r="193">
      <c r="A193" t="inlineStr">
        <is>
          <t>2x North Western Kevlite 12 FT, 2 1/4 Lb Karpfenruten</t>
        </is>
      </c>
      <c r="B193" s="4" t="n">
        <v>249</v>
      </c>
      <c r="C193" t="inlineStr">
        <is>
          <t>VB</t>
        </is>
      </c>
      <c r="D193" t="inlineStr">
        <is>
          <t>70736 Baden-Württemberg - Fellbach</t>
        </is>
      </c>
      <c r="E193" s="5" t="n">
        <v>45564</v>
      </c>
      <c r="F193" t="inlineStr"/>
      <c r="G193" s="6">
        <f>HYPERLINK("https://www.kleinanzeigen.de/s-anzeige/2x-north-western-kevlite-12-ft-2-1-4-lb-karpfenruten/2877701341-230-8889", "Link")</f>
        <v/>
      </c>
      <c r="H193" s="6">
        <f>HYPERLINK("C:\Projects\Kleinanzeigen-Scraper\offer_images\2877701341", "Link")</f>
        <v/>
      </c>
      <c r="I193" t="inlineStr">
        <is>
          <t>Bluebook</t>
        </is>
      </c>
      <c r="J193" s="6">
        <f>HYPERLINK("https://www.kleinanzeigen.de/s-bestandsliste.html?userId=40396130", "Link")</f>
        <v/>
      </c>
      <c r="K193" s="7" t="n">
        <v>45564.86486111111</v>
      </c>
      <c r="L193" s="3" t="inlineStr">
        <is>
          <t>28.05</t>
        </is>
      </c>
      <c r="M193" t="inlineStr">
        <is>
          <t>Böblingen</t>
        </is>
      </c>
    </row>
    <row r="194">
      <c r="A194" t="inlineStr">
        <is>
          <t>GA Foil MP1090  Gaastra High aspect !Schnell!  !Top Glide!</t>
        </is>
      </c>
      <c r="B194" s="4" t="n">
        <v>277</v>
      </c>
      <c r="C194" t="inlineStr"/>
      <c r="D194" t="inlineStr">
        <is>
          <t>10115 Berlin - Mitte</t>
        </is>
      </c>
      <c r="E194" s="5" t="n">
        <v>45564</v>
      </c>
      <c r="F194" t="inlineStr"/>
      <c r="G194" s="6">
        <f>HYPERLINK("https://www.kleinanzeigen.de/s-anzeige/ga-foil-mp1090-gaastra-high-aspect-schnell-top-glide-/2876970324-230-9668", "Link")</f>
        <v/>
      </c>
      <c r="H194" s="6">
        <f>HYPERLINK("C:\Projects\Kleinanzeigen-Scraper\offer_images\2876970324", "Link")</f>
        <v/>
      </c>
      <c r="I194" t="inlineStr">
        <is>
          <t>Ralf Rodemann</t>
        </is>
      </c>
      <c r="J194" s="6">
        <f>HYPERLINK("https://www.kleinanzeigen.de/s-bestandsliste.html?userId=6657896", "Link")</f>
        <v/>
      </c>
      <c r="K194" s="7" t="n">
        <v>45564.86472222222</v>
      </c>
      <c r="L194" s="3" t="inlineStr">
        <is>
          <t>476.33</t>
        </is>
      </c>
      <c r="M194" t="inlineStr">
        <is>
          <t>Köln</t>
        </is>
      </c>
    </row>
    <row r="195">
      <c r="A195" t="inlineStr">
        <is>
          <t>Simms Watjacke L no Vision Hodgman Meerforelle</t>
        </is>
      </c>
      <c r="B195" s="4" t="n">
        <v>230</v>
      </c>
      <c r="C195" t="inlineStr"/>
      <c r="D195" t="inlineStr">
        <is>
          <t>13509 Berlin - Reinickendorf</t>
        </is>
      </c>
      <c r="E195" s="5" t="n">
        <v>45564</v>
      </c>
      <c r="F195" t="inlineStr"/>
      <c r="G195" s="6">
        <f>HYPERLINK("https://www.kleinanzeigen.de/s-anzeige/simms-watjacke-l-no-vision-hodgman-meerforelle/2877008062-230-3452", "Link")</f>
        <v/>
      </c>
      <c r="H195" s="6">
        <f>HYPERLINK("C:\Projects\Kleinanzeigen-Scraper\offer_images\2877008062", "Link")</f>
        <v/>
      </c>
      <c r="I195" t="inlineStr">
        <is>
          <t>privat</t>
        </is>
      </c>
      <c r="J195" s="6">
        <f>HYPERLINK("https://www.kleinanzeigen.de/s-bestandsliste.html?userId=43539136", "Link")</f>
        <v/>
      </c>
      <c r="K195" s="7" t="n">
        <v>45564.86464120371</v>
      </c>
      <c r="L195" s="3" t="inlineStr">
        <is>
          <t>473.73</t>
        </is>
      </c>
      <c r="M195" t="inlineStr">
        <is>
          <t>Köln</t>
        </is>
      </c>
    </row>
    <row r="196">
      <c r="A196" t="inlineStr">
        <is>
          <t>SIMMS G4 Pro Wathose greystone XLT</t>
        </is>
      </c>
      <c r="B196" s="4" t="n">
        <v>650</v>
      </c>
      <c r="C196" t="inlineStr">
        <is>
          <t>VB</t>
        </is>
      </c>
      <c r="D196" t="inlineStr">
        <is>
          <t>14558 Brandenburg - Nuthetal</t>
        </is>
      </c>
      <c r="E196" s="5" t="n">
        <v>45564</v>
      </c>
      <c r="F196" t="inlineStr"/>
      <c r="G196" s="6">
        <f>HYPERLINK("https://www.kleinanzeigen.de/s-anzeige/simms-g4-pro-wathose-greystone-xlt/2877418021-230-13420", "Link")</f>
        <v/>
      </c>
      <c r="H196" s="6">
        <f>HYPERLINK("C:\Projects\Kleinanzeigen-Scraper\offer_images\2877418021", "Link")</f>
        <v/>
      </c>
      <c r="I196" t="inlineStr">
        <is>
          <t>Alex</t>
        </is>
      </c>
      <c r="J196" s="6">
        <f>HYPERLINK("https://www.kleinanzeigen.de/s-bestandsliste.html?userId=94469929", "Link")</f>
        <v/>
      </c>
      <c r="K196" s="7" t="n">
        <v>45564.86457175926</v>
      </c>
      <c r="L196" s="3" t="inlineStr">
        <is>
          <t>453.79</t>
        </is>
      </c>
      <c r="M196" t="inlineStr">
        <is>
          <t>Köln</t>
        </is>
      </c>
    </row>
    <row r="197">
      <c r="A197" t="inlineStr">
        <is>
          <t>Adidas Reversible Jersey M Wende Trikot North Park Basketball Cli</t>
        </is>
      </c>
      <c r="B197" s="4" t="n">
        <v>25</v>
      </c>
      <c r="C197" t="inlineStr">
        <is>
          <t>VB</t>
        </is>
      </c>
      <c r="D197" t="inlineStr">
        <is>
          <t>86150 Bayern - Augsburg</t>
        </is>
      </c>
      <c r="E197" s="5" t="n">
        <v>45564</v>
      </c>
      <c r="F197" t="inlineStr"/>
      <c r="G197" s="6">
        <f>HYPERLINK("https://www.kleinanzeigen.de/s-anzeige/adidas-reversible-jersey-m-wende-trikot-north-park-basketball-cli/2877505613-230-7522", "Link")</f>
        <v/>
      </c>
      <c r="H197" s="6">
        <f>HYPERLINK("C:\Projects\Kleinanzeigen-Scraper\offer_images\2877505613", "Link")</f>
        <v/>
      </c>
      <c r="I197" t="inlineStr">
        <is>
          <t>Sascha Lennich</t>
        </is>
      </c>
      <c r="J197" s="6">
        <f>HYPERLINK("https://www.kleinanzeigen.de/s-bestandsliste.html?userId=41372651", "Link")</f>
        <v/>
      </c>
      <c r="K197" s="7" t="n">
        <v>45564.8644212963</v>
      </c>
      <c r="L197" s="3" t="inlineStr">
        <is>
          <t>56.35</t>
        </is>
      </c>
      <c r="M197" t="inlineStr">
        <is>
          <t>München</t>
        </is>
      </c>
    </row>
    <row r="198">
      <c r="A198" t="inlineStr">
        <is>
          <t>Pouring Medium Goya Kreul NEU OVP</t>
        </is>
      </c>
      <c r="B198" s="4" t="n">
        <v>6</v>
      </c>
      <c r="C198" t="inlineStr"/>
      <c r="D198" t="inlineStr">
        <is>
          <t>72770 Baden-Württemberg - Reutlingen</t>
        </is>
      </c>
      <c r="E198" s="5" t="n">
        <v>45552</v>
      </c>
      <c r="F198" t="inlineStr"/>
      <c r="G198" s="6">
        <f>HYPERLINK("https://www.kleinanzeigen.de/s-anzeige/pouring-medium-goya-kreul-neu-ovp/2866598461-282-9353", "Link")</f>
        <v/>
      </c>
      <c r="H198" s="6">
        <f>HYPERLINK("C:\Projects\Kleinanzeigen-Scraper\offer_images\2866598461", "Link")</f>
        <v/>
      </c>
      <c r="I198" t="inlineStr">
        <is>
          <t>JG</t>
        </is>
      </c>
      <c r="J198" s="6">
        <f>HYPERLINK("https://www.kleinanzeigen.de/s-bestandsliste.html?userId=86740165", "Link")</f>
        <v/>
      </c>
      <c r="K198" s="7" t="n">
        <v>45563.73519675926</v>
      </c>
      <c r="L198" s="3" t="inlineStr">
        <is>
          <t>24.76</t>
        </is>
      </c>
      <c r="M198" t="inlineStr">
        <is>
          <t>Böblingen</t>
        </is>
      </c>
    </row>
    <row r="199">
      <c r="A199" t="inlineStr">
        <is>
          <t>OVP Fishpond QuikShot Rutenhalter 2.0 Simms Rio Sage</t>
        </is>
      </c>
      <c r="B199" s="4" t="n">
        <v>30</v>
      </c>
      <c r="C199" t="inlineStr">
        <is>
          <t>VB</t>
        </is>
      </c>
      <c r="D199" t="inlineStr">
        <is>
          <t>14770 Brandenburg - Brandenburg an der Havel</t>
        </is>
      </c>
      <c r="E199" s="5" t="n">
        <v>45562</v>
      </c>
      <c r="F199" t="inlineStr"/>
      <c r="G199" s="6">
        <f>HYPERLINK("https://www.kleinanzeigen.de/s-anzeige/ovp-fishpond-quikshot-rutenhalter-2-0-simms-rio-sage/2875737997-187-7739", "Link")</f>
        <v/>
      </c>
      <c r="H199" s="6">
        <f>HYPERLINK("C:\Projects\Kleinanzeigen-Scraper\offer_images\2875737997", "Link")</f>
        <v/>
      </c>
      <c r="I199" t="inlineStr">
        <is>
          <t>Paul</t>
        </is>
      </c>
      <c r="J199" s="6">
        <f>HYPERLINK("https://www.kleinanzeigen.de/s-bestandsliste.html?userId=23023096", "Link")</f>
        <v/>
      </c>
      <c r="K199" s="7" t="n">
        <v>45563.73515046296</v>
      </c>
      <c r="L199" s="3" t="inlineStr">
        <is>
          <t>416.86</t>
        </is>
      </c>
      <c r="M199" t="inlineStr">
        <is>
          <t>Köln</t>
        </is>
      </c>
    </row>
    <row r="200">
      <c r="A200" t="inlineStr">
        <is>
          <t>Neilpryde Schwimmweste Prallschutzweste Impact Vest S M L XL</t>
        </is>
      </c>
      <c r="B200" s="4" t="n">
        <v>70</v>
      </c>
      <c r="C200" t="inlineStr"/>
      <c r="D200" t="inlineStr">
        <is>
          <t>35578 Hessen - Wetzlar</t>
        </is>
      </c>
      <c r="E200" s="5" t="n">
        <v>45485</v>
      </c>
      <c r="F200" t="inlineStr">
        <is>
          <t>Sold</t>
        </is>
      </c>
      <c r="G200" s="6">
        <f>HYPERLINK("https://www.kleinanzeigen.de/s-anzeige/neilpryde-schwimmweste-prallschutzweste-impact-vest-s-m-l-xl/2810499615-230-4846", "Link")</f>
        <v/>
      </c>
      <c r="H200" s="6">
        <f>HYPERLINK("C:\Projects\Kleinanzeigen-Scraper\offer_images\2810499615", "Link")</f>
        <v/>
      </c>
      <c r="I200" t="inlineStr">
        <is>
          <t>Privat</t>
        </is>
      </c>
      <c r="J200" s="6">
        <f>HYPERLINK("https://www.kleinanzeigen.de/s-bestandsliste.html?userId=134589348", "Link")</f>
        <v/>
      </c>
      <c r="K200" s="7" t="n">
        <v>45563.7349537037</v>
      </c>
      <c r="L200" s="3" t="inlineStr">
        <is>
          <t>118.12</t>
        </is>
      </c>
      <c r="M200" t="inlineStr">
        <is>
          <t>Köln</t>
        </is>
      </c>
    </row>
    <row r="201">
      <c r="A201" t="inlineStr">
        <is>
          <t>SUP Board Set Starboard iGO 12“ TOP gepflegt</t>
        </is>
      </c>
      <c r="B201" s="4" t="n">
        <v>830</v>
      </c>
      <c r="C201" t="inlineStr">
        <is>
          <t>VB</t>
        </is>
      </c>
      <c r="D201" t="inlineStr">
        <is>
          <t>24367 Schleswig-Holstein - Osterby</t>
        </is>
      </c>
      <c r="E201" s="5" t="n">
        <v>45563</v>
      </c>
      <c r="F201" t="inlineStr"/>
      <c r="G201" s="6">
        <f>HYPERLINK("https://www.kleinanzeigen.de/s-anzeige/sup-board-set-starboard-igo-12-top-gepflegt/2876242070-230-515", "Link")</f>
        <v/>
      </c>
      <c r="H201" s="6">
        <f>HYPERLINK("C:\Projects\Kleinanzeigen-Scraper\offer_images\2876242070", "Link")</f>
        <v/>
      </c>
      <c r="I201" t="inlineStr">
        <is>
          <t>Michael Schepers</t>
        </is>
      </c>
      <c r="J201" s="6">
        <f>HYPERLINK("https://www.kleinanzeigen.de/s-bestandsliste.html?userId=24270506", "Link")</f>
        <v/>
      </c>
      <c r="K201" s="7" t="n">
        <v>45563.73481481482</v>
      </c>
      <c r="L201" s="3" t="inlineStr">
        <is>
          <t>433.83</t>
        </is>
      </c>
      <c r="M201" t="inlineStr">
        <is>
          <t>Köln</t>
        </is>
      </c>
    </row>
    <row r="202">
      <c r="A202" t="inlineStr">
        <is>
          <t>Naish 2024 Stabelizer 310 fast neu</t>
        </is>
      </c>
      <c r="B202" s="4" t="n">
        <v>135</v>
      </c>
      <c r="C202" t="inlineStr">
        <is>
          <t>VB</t>
        </is>
      </c>
      <c r="D202" t="inlineStr">
        <is>
          <t>24226 Schleswig-Holstein - Heikendorf</t>
        </is>
      </c>
      <c r="E202" s="5" t="n">
        <v>45562</v>
      </c>
      <c r="F202" t="inlineStr"/>
      <c r="G202" s="6">
        <f>HYPERLINK("https://www.kleinanzeigen.de/s-anzeige/naish-2024-stabelizer-310-fast-neu/2875733313-230-672", "Link")</f>
        <v/>
      </c>
      <c r="H202" s="6">
        <f>HYPERLINK("C:\Projects\Kleinanzeigen-Scraper\offer_images\2875733313", "Link")</f>
        <v/>
      </c>
      <c r="I202" t="inlineStr">
        <is>
          <t>Jan</t>
        </is>
      </c>
      <c r="J202" s="6">
        <f>HYPERLINK("https://www.kleinanzeigen.de/s-bestandsliste.html?userId=31756139", "Link")</f>
        <v/>
      </c>
      <c r="K202" s="7" t="n">
        <v>45563.73476851852</v>
      </c>
      <c r="L202" s="3" t="inlineStr">
        <is>
          <t>441.08</t>
        </is>
      </c>
      <c r="M202" t="inlineStr">
        <is>
          <t>Köln</t>
        </is>
      </c>
    </row>
    <row r="203">
      <c r="A203" t="inlineStr">
        <is>
          <t>Fanatic SUP-/Bootspumpe bis 1,8bar</t>
        </is>
      </c>
      <c r="B203" s="4" t="n">
        <v>32</v>
      </c>
      <c r="C203" t="inlineStr">
        <is>
          <t>VB</t>
        </is>
      </c>
      <c r="D203" t="inlineStr">
        <is>
          <t>72119 Baden-Württemberg - Ammerbuch</t>
        </is>
      </c>
      <c r="E203" s="5" t="n">
        <v>45563</v>
      </c>
      <c r="F203" t="inlineStr"/>
      <c r="G203" s="6">
        <f>HYPERLINK("https://www.kleinanzeigen.de/s-anzeige/fanatic-sup-bootspumpe-bis-1-8bar/2876417213-230-9089", "Link")</f>
        <v/>
      </c>
      <c r="H203" s="6">
        <f>HYPERLINK("C:\Projects\Kleinanzeigen-Scraper\offer_images\2876417213", "Link")</f>
        <v/>
      </c>
      <c r="I203" t="inlineStr">
        <is>
          <t>MR</t>
        </is>
      </c>
      <c r="J203" s="6">
        <f>HYPERLINK("https://www.kleinanzeigen.de/s-bestandsliste.html?userId=63877279", "Link")</f>
        <v/>
      </c>
      <c r="K203" s="7" t="n">
        <v>45563.73469907408</v>
      </c>
      <c r="L203" s="3" t="inlineStr">
        <is>
          <t>12.88</t>
        </is>
      </c>
      <c r="M203" t="inlineStr">
        <is>
          <t>Böblingen</t>
        </is>
      </c>
    </row>
    <row r="204">
      <c r="A204" t="inlineStr">
        <is>
          <t>Starboard Damen Trockenanzug All Star SUP Suit 3ColorBlue M neuw.</t>
        </is>
      </c>
      <c r="B204" s="4" t="n">
        <v>300</v>
      </c>
      <c r="C204" t="inlineStr"/>
      <c r="D204" t="inlineStr">
        <is>
          <t>47447 Nordrhein-Westfalen - Moers</t>
        </is>
      </c>
      <c r="E204" s="5" t="n">
        <v>45562</v>
      </c>
      <c r="F204" t="inlineStr"/>
      <c r="G204" s="6">
        <f>HYPERLINK("https://www.kleinanzeigen.de/s-anzeige/starboard-damen-trockenanzug-all-star-sup-suit-3colorblue-m-neuw-/2875732875-230-2130", "Link")</f>
        <v/>
      </c>
      <c r="H204" s="6">
        <f>HYPERLINK("C:\Projects\Kleinanzeigen-Scraper\offer_images\2875732875", "Link")</f>
        <v/>
      </c>
      <c r="I204" t="inlineStr">
        <is>
          <t>T. Annen</t>
        </is>
      </c>
      <c r="J204" s="6">
        <f>HYPERLINK("https://www.kleinanzeigen.de/s-bestandsliste.html?userId=9843694", "Link")</f>
        <v/>
      </c>
      <c r="K204" s="7" t="n">
        <v>45563.73457175926</v>
      </c>
      <c r="L204" s="3" t="inlineStr">
        <is>
          <t>58.22</t>
        </is>
      </c>
      <c r="M204" t="inlineStr">
        <is>
          <t>Köln</t>
        </is>
      </c>
    </row>
    <row r="205">
      <c r="A205" t="inlineStr">
        <is>
          <t>North (Duotone) Evo 12 m</t>
        </is>
      </c>
      <c r="B205" s="4" t="n">
        <v>350</v>
      </c>
      <c r="C205" t="inlineStr"/>
      <c r="D205" t="inlineStr">
        <is>
          <t>10115 Berlin - Mitte</t>
        </is>
      </c>
      <c r="E205" s="5" t="n">
        <v>45562</v>
      </c>
      <c r="F205" t="inlineStr"/>
      <c r="G205" s="6">
        <f>HYPERLINK("https://www.kleinanzeigen.de/s-anzeige/north-duotone-evo-12-m/2875588528-230-9668", "Link")</f>
        <v/>
      </c>
      <c r="H205" s="6">
        <f>HYPERLINK("C:\Projects\Kleinanzeigen-Scraper\offer_images\2875588528", "Link")</f>
        <v/>
      </c>
      <c r="I205" t="inlineStr">
        <is>
          <t>Natalia Kasprzyszak</t>
        </is>
      </c>
      <c r="J205" s="6">
        <f>HYPERLINK("https://www.kleinanzeigen.de/s-bestandsliste.html?userId=40545443", "Link")</f>
        <v/>
      </c>
      <c r="K205" s="7" t="n">
        <v>45563.73431712963</v>
      </c>
      <c r="L205" s="3" t="inlineStr">
        <is>
          <t>476.33</t>
        </is>
      </c>
      <c r="M205" t="inlineStr">
        <is>
          <t>Köln</t>
        </is>
      </c>
    </row>
    <row r="206">
      <c r="A206" t="inlineStr">
        <is>
          <t>Original verpackte Pumpe neu JP Australia mit Manometer</t>
        </is>
      </c>
      <c r="B206" s="4" t="n">
        <v>19</v>
      </c>
      <c r="C206" t="inlineStr">
        <is>
          <t>VB</t>
        </is>
      </c>
      <c r="D206" t="inlineStr">
        <is>
          <t>94333 Bayern - Geiselhöring</t>
        </is>
      </c>
      <c r="E206" s="5" t="n">
        <v>45563</v>
      </c>
      <c r="F206" t="inlineStr">
        <is>
          <t>Sold</t>
        </is>
      </c>
      <c r="G206" s="6">
        <f>HYPERLINK("https://www.kleinanzeigen.de/s-anzeige/original-verpackte-pumpe-neu-jp-australia-mit-manometer/2876493516-230-7334", "Link")</f>
        <v/>
      </c>
      <c r="H206" s="6">
        <f>HYPERLINK("C:\Projects\Kleinanzeigen-Scraper\offer_images\2876493516", "Link")</f>
        <v/>
      </c>
      <c r="I206" t="inlineStr">
        <is>
          <t>Felix V</t>
        </is>
      </c>
      <c r="J206" s="6">
        <f>HYPERLINK("https://www.kleinanzeigen.de/s-bestandsliste.html?userId=43435047", "Link")</f>
        <v/>
      </c>
      <c r="K206" s="7" t="n">
        <v>45563.73418981482</v>
      </c>
      <c r="L206" s="3" t="inlineStr">
        <is>
          <t>97.96</t>
        </is>
      </c>
      <c r="M206" t="inlineStr">
        <is>
          <t>München</t>
        </is>
      </c>
    </row>
    <row r="207">
      <c r="A207" t="inlineStr">
        <is>
          <t>Isabella Air Cirrus North 400 zu verkaufen</t>
        </is>
      </c>
      <c r="B207" s="4" t="n">
        <v>1.985</v>
      </c>
      <c r="C207" t="inlineStr">
        <is>
          <t>VB</t>
        </is>
      </c>
      <c r="D207" t="inlineStr">
        <is>
          <t>85055 Bayern - Ingolstadt</t>
        </is>
      </c>
      <c r="E207" s="5" t="n">
        <v>45563</v>
      </c>
      <c r="F207" t="inlineStr"/>
      <c r="G207" s="6">
        <f>HYPERLINK("https://www.kleinanzeigen.de/s-anzeige/isabella-air-cirrus-north-400-zu-verkaufen/2875834088-230-7613", "Link")</f>
        <v/>
      </c>
      <c r="H207" s="6">
        <f>HYPERLINK("C:\Projects\Kleinanzeigen-Scraper\offer_images\2875834088", "Link")</f>
        <v/>
      </c>
      <c r="I207" t="inlineStr">
        <is>
          <t>Robert Schröder</t>
        </is>
      </c>
      <c r="J207" s="6">
        <f>HYPERLINK("https://www.kleinanzeigen.de/s-bestandsliste.html?userId=41506025", "Link")</f>
        <v/>
      </c>
      <c r="K207" s="7" t="n">
        <v>45563.73409722222</v>
      </c>
      <c r="L207" s="3" t="inlineStr">
        <is>
          <t>73.53</t>
        </is>
      </c>
      <c r="M207" t="inlineStr">
        <is>
          <t>München</t>
        </is>
      </c>
    </row>
    <row r="208">
      <c r="A208" t="inlineStr">
        <is>
          <t>Fanatic Rucksack/Tasche/Gearbag mit Rollen und neuer Pumpe</t>
        </is>
      </c>
      <c r="B208" s="4" t="n">
        <v>75</v>
      </c>
      <c r="C208" t="inlineStr"/>
      <c r="D208" t="inlineStr">
        <is>
          <t>29313 Niedersachsen - Hambühren</t>
        </is>
      </c>
      <c r="E208" s="5" t="n">
        <v>45563</v>
      </c>
      <c r="F208" t="inlineStr"/>
      <c r="G208" s="6">
        <f>HYPERLINK("https://www.kleinanzeigen.de/s-anzeige/fanatic-rucksack-tasche-gearbag-mit-rollen-und-neuer-pumpe/2876391175-230-3203", "Link")</f>
        <v/>
      </c>
      <c r="H208" s="6">
        <f>HYPERLINK("C:\Projects\Kleinanzeigen-Scraper\offer_images\2876391175", "Link")</f>
        <v/>
      </c>
      <c r="I208" t="inlineStr">
        <is>
          <t>Sharon</t>
        </is>
      </c>
      <c r="J208" s="6">
        <f>HYPERLINK("https://www.kleinanzeigen.de/s-bestandsliste.html?userId=12897862", "Link")</f>
        <v/>
      </c>
      <c r="K208" s="7" t="n">
        <v>45563.73380787037</v>
      </c>
      <c r="L208" s="3" t="inlineStr">
        <is>
          <t>277.61</t>
        </is>
      </c>
      <c r="M208" t="inlineStr">
        <is>
          <t>Köln</t>
        </is>
      </c>
    </row>
    <row r="209">
      <c r="A209" t="inlineStr">
        <is>
          <t>Naish Pivot 10qm + 7qm + atb Bar alles 2023 Top Zustand Neuwertig</t>
        </is>
      </c>
      <c r="B209" s="4" t="n">
        <v>1.199</v>
      </c>
      <c r="C209" t="inlineStr"/>
      <c r="D209" t="inlineStr">
        <is>
          <t>24211 Schleswig-Holstein - Preetz</t>
        </is>
      </c>
      <c r="E209" s="5" t="n">
        <v>45563</v>
      </c>
      <c r="F209" t="inlineStr"/>
      <c r="G209" s="6">
        <f>HYPERLINK("https://www.kleinanzeigen.de/s-anzeige/naish-pivot-10qm-7qm-atb-bar-alles-2023-top-zustand-neuwertig/2876335626-230-473", "Link")</f>
        <v/>
      </c>
      <c r="H209" s="6">
        <f>HYPERLINK("C:\Projects\Kleinanzeigen-Scraper\offer_images\2876335626", "Link")</f>
        <v/>
      </c>
      <c r="I209" t="inlineStr">
        <is>
          <t>Marek</t>
        </is>
      </c>
      <c r="J209" s="6">
        <f>HYPERLINK("https://www.kleinanzeigen.de/s-bestandsliste.html?userId=19258686", "Link")</f>
        <v/>
      </c>
      <c r="K209" s="7" t="n">
        <v>45563.73369212963</v>
      </c>
      <c r="L209" s="3" t="inlineStr">
        <is>
          <t>429.47</t>
        </is>
      </c>
      <c r="M209" t="inlineStr">
        <is>
          <t>Köln</t>
        </is>
      </c>
    </row>
    <row r="210">
      <c r="A210" t="inlineStr">
        <is>
          <t>Schneeschuhe (Montis North Pole) mit Aufbewahrungstasche</t>
        </is>
      </c>
      <c r="B210" s="4" t="n">
        <v>25</v>
      </c>
      <c r="C210" t="inlineStr">
        <is>
          <t>VB</t>
        </is>
      </c>
      <c r="D210" t="inlineStr">
        <is>
          <t>31515 Niedersachsen - Wunstorf</t>
        </is>
      </c>
      <c r="E210" s="5" t="n">
        <v>45556</v>
      </c>
      <c r="F210" t="inlineStr"/>
      <c r="G210" s="6">
        <f>HYPERLINK("https://www.kleinanzeigen.de/s-anzeige/schneeschuhe-montis-north-pole-mit-aufbewahrungstasche/2869382818-230-2930", "Link")</f>
        <v/>
      </c>
      <c r="H210" s="6">
        <f>HYPERLINK("C:\Projects\Kleinanzeigen-Scraper\offer_images\2869382818", "Link")</f>
        <v/>
      </c>
      <c r="I210" t="inlineStr">
        <is>
          <t>Daniel</t>
        </is>
      </c>
      <c r="J210" s="6">
        <f>HYPERLINK("https://www.kleinanzeigen.de/s-bestandsliste.html?userId=20701679", "Link")</f>
        <v/>
      </c>
      <c r="K210" s="7" t="n">
        <v>45563.7321875</v>
      </c>
      <c r="L210" s="3" t="inlineStr">
        <is>
          <t>236.47</t>
        </is>
      </c>
      <c r="M210" t="inlineStr">
        <is>
          <t>Köln</t>
        </is>
      </c>
    </row>
    <row r="211">
      <c r="A211" t="inlineStr">
        <is>
          <t>NAISH ALANA 75 2P nur 546g leicht - neuw. nur 3x benutzt NP 349.-</t>
        </is>
      </c>
      <c r="B211" s="4" t="n">
        <v>119</v>
      </c>
      <c r="C211" t="inlineStr">
        <is>
          <t>VB</t>
        </is>
      </c>
      <c r="D211" t="inlineStr">
        <is>
          <t>71638 Baden-Württemberg - Ludwigsburg</t>
        </is>
      </c>
      <c r="E211" s="5" t="n">
        <v>45563</v>
      </c>
      <c r="F211" t="inlineStr"/>
      <c r="G211" s="6">
        <f>HYPERLINK("https://www.kleinanzeigen.de/s-anzeige/naish-alana-75-2p-nur-546g-leicht-neuw-nur-3x-benutzt-np-349-/2875994635-230-9062", "Link")</f>
        <v/>
      </c>
      <c r="H211" s="6">
        <f>HYPERLINK("C:\Projects\Kleinanzeigen-Scraper\offer_images\2875994635", "Link")</f>
        <v/>
      </c>
      <c r="I211" t="inlineStr">
        <is>
          <t>FISCHERIN</t>
        </is>
      </c>
      <c r="J211" s="6">
        <f>HYPERLINK("https://www.kleinanzeigen.de/s-bestandsliste.html?userId=18250390", "Link")</f>
        <v/>
      </c>
      <c r="K211" s="7" t="n">
        <v>45563.73202546296</v>
      </c>
      <c r="L211" s="3" t="inlineStr">
        <is>
          <t>29.07</t>
        </is>
      </c>
      <c r="M211" t="inlineStr">
        <is>
          <t>Böblingen</t>
        </is>
      </c>
    </row>
    <row r="212">
      <c r="A212" t="inlineStr">
        <is>
          <t>OVP C&amp;F Design CFA-70WF 2-in-1 Retractor Fliegenfischen Simms</t>
        </is>
      </c>
      <c r="B212" s="4" t="n">
        <v>15</v>
      </c>
      <c r="C212" t="inlineStr">
        <is>
          <t>VB</t>
        </is>
      </c>
      <c r="D212" t="inlineStr">
        <is>
          <t>14770 Brandenburg - Brandenburg an der Havel</t>
        </is>
      </c>
      <c r="E212" s="5" t="n">
        <v>45562</v>
      </c>
      <c r="F212" t="inlineStr"/>
      <c r="G212" s="6">
        <f>HYPERLINK("https://www.kleinanzeigen.de/s-anzeige/ovp-c-f-design-cfa-70wf-2-in-1-retractor-fliegenfischen-simms/2875756940-187-7739", "Link")</f>
        <v/>
      </c>
      <c r="H212" s="6">
        <f>HYPERLINK("C:\Projects\Kleinanzeigen-Scraper\offer_images\2875756940", "Link")</f>
        <v/>
      </c>
      <c r="I212" t="inlineStr">
        <is>
          <t>Paul</t>
        </is>
      </c>
      <c r="J212" s="6">
        <f>HYPERLINK("https://www.kleinanzeigen.de/s-bestandsliste.html?userId=23023096", "Link")</f>
        <v/>
      </c>
      <c r="K212" s="7" t="n">
        <v>45563.73202546296</v>
      </c>
      <c r="L212" s="3" t="inlineStr">
        <is>
          <t>416.86</t>
        </is>
      </c>
      <c r="M212" t="inlineStr">
        <is>
          <t>Köln</t>
        </is>
      </c>
    </row>
    <row r="213">
      <c r="A213" t="inlineStr">
        <is>
          <t>Standuhr / Pendeluhr Unikat ☆Wappen Simmern☆ Quarzuhrwerk, Holz</t>
        </is>
      </c>
      <c r="B213" s="4" t="n">
        <v>80</v>
      </c>
      <c r="C213" t="inlineStr"/>
      <c r="D213" t="inlineStr">
        <is>
          <t>55469 Rheinland-Pfalz - Simmern</t>
        </is>
      </c>
      <c r="E213" s="5" t="n">
        <v>45563</v>
      </c>
      <c r="F213" t="inlineStr"/>
      <c r="G213" s="6">
        <f>HYPERLINK("https://www.kleinanzeigen.de/s-anzeige/standuhr-pendeluhr-unikat-wappen-simmern-quarzuhrwerk-holz/2876032147-240-20854", "Link")</f>
        <v/>
      </c>
      <c r="H213" s="6">
        <f>HYPERLINK("C:\Projects\Kleinanzeigen-Scraper\offer_images\2876032147", "Link")</f>
        <v/>
      </c>
      <c r="I213" t="inlineStr">
        <is>
          <t>Jürgen &amp; Anke</t>
        </is>
      </c>
      <c r="J213" s="6">
        <f>HYPERLINK("https://www.kleinanzeigen.de/s-bestandsliste.html?userId=141593145", "Link")</f>
        <v/>
      </c>
      <c r="K213" s="7" t="n">
        <v>45563.73188657407</v>
      </c>
      <c r="L213" s="3" t="inlineStr">
        <is>
          <t>113.56</t>
        </is>
      </c>
      <c r="M213" t="inlineStr">
        <is>
          <t>Köln</t>
        </is>
      </c>
    </row>
    <row r="214">
      <c r="A214" t="inlineStr">
        <is>
          <t>Isabella Air Cirrus North 400 Luftvorzelt</t>
        </is>
      </c>
      <c r="B214" s="4" t="n">
        <v>2.35</v>
      </c>
      <c r="C214" t="inlineStr">
        <is>
          <t>VB</t>
        </is>
      </c>
      <c r="D214" t="inlineStr">
        <is>
          <t>18055 Rostock - Brinckmansdorf</t>
        </is>
      </c>
      <c r="E214" s="5" t="n">
        <v>45562</v>
      </c>
      <c r="F214" t="inlineStr"/>
      <c r="G214" s="6">
        <f>HYPERLINK("https://www.kleinanzeigen.de/s-anzeige/isabella-air-cirrus-north-400-luftvorzelt/2875766028-230-9526", "Link")</f>
        <v/>
      </c>
      <c r="H214" s="6">
        <f>HYPERLINK("C:\Projects\Kleinanzeigen-Scraper\offer_images\2875766028", "Link")</f>
        <v/>
      </c>
      <c r="I214" t="inlineStr">
        <is>
          <t>Stefan B.</t>
        </is>
      </c>
      <c r="J214" s="6">
        <f>HYPERLINK("https://www.kleinanzeigen.de/s-bestandsliste.html?userId=4386324", "Link")</f>
        <v/>
      </c>
      <c r="K214" s="7" t="n">
        <v>45563.7315162037</v>
      </c>
      <c r="L214" s="3" t="inlineStr">
        <is>
          <t>496.50</t>
        </is>
      </c>
      <c r="M214" t="inlineStr">
        <is>
          <t>Köln</t>
        </is>
      </c>
    </row>
    <row r="215">
      <c r="A215" t="inlineStr">
        <is>
          <t>Villeroy &amp; Boch Lichthaus North Pole Express - Spielzeugwerkstatt</t>
        </is>
      </c>
      <c r="B215" s="4" t="n">
        <v>150</v>
      </c>
      <c r="C215" t="inlineStr">
        <is>
          <t>VB</t>
        </is>
      </c>
      <c r="D215" t="inlineStr">
        <is>
          <t>66763 Saarland - Dillingen (Saar)</t>
        </is>
      </c>
      <c r="E215" s="5" t="n">
        <v>45563</v>
      </c>
      <c r="F215" t="inlineStr"/>
      <c r="G215" s="6">
        <f>HYPERLINK("https://www.kleinanzeigen.de/s-anzeige/villeroy-boch-lichthaus-north-pole-express-spielzeugwerkstatt/2876342727-234-291", "Link")</f>
        <v/>
      </c>
      <c r="H215" s="6">
        <f>HYPERLINK("C:\Projects\Kleinanzeigen-Scraper\offer_images\2876342727", "Link")</f>
        <v/>
      </c>
      <c r="I215" t="inlineStr">
        <is>
          <t>BigSy</t>
        </is>
      </c>
      <c r="J215" s="6">
        <f>HYPERLINK("https://www.kleinanzeigen.de/s-bestandsliste.html?userId=15930907", "Link")</f>
        <v/>
      </c>
      <c r="K215" s="7" t="n">
        <v>45563.73140046297</v>
      </c>
      <c r="L215" s="3" t="inlineStr">
        <is>
          <t>127.47</t>
        </is>
      </c>
      <c r="M215" t="inlineStr">
        <is>
          <t>Karlsruhe</t>
        </is>
      </c>
    </row>
    <row r="216">
      <c r="A216" t="inlineStr">
        <is>
          <t>Blechschilder, 3 Stück, Montana, North Dakota, Georgia</t>
        </is>
      </c>
      <c r="B216" s="4" t="n">
        <v>4</v>
      </c>
      <c r="C216" t="inlineStr"/>
      <c r="D216" t="inlineStr">
        <is>
          <t>04316 Leipzig - Mölkau</t>
        </is>
      </c>
      <c r="E216" s="5" t="n">
        <v>45563</v>
      </c>
      <c r="F216" t="inlineStr"/>
      <c r="G216" s="6">
        <f>HYPERLINK("https://www.kleinanzeigen.de/s-anzeige/blechschilder-3-stueck-montana-north-dakota-georgia/2876452961-234-30109", "Link")</f>
        <v/>
      </c>
      <c r="H216" s="6">
        <f>HYPERLINK("C:\Projects\Kleinanzeigen-Scraper\offer_images\2876452961", "Link")</f>
        <v/>
      </c>
      <c r="I216" t="inlineStr">
        <is>
          <t>Stephanie</t>
        </is>
      </c>
      <c r="J216" s="6">
        <f>HYPERLINK("https://www.kleinanzeigen.de/s-bestandsliste.html?userId=123129797", "Link")</f>
        <v/>
      </c>
      <c r="K216" s="7" t="n">
        <v>45563.73140046297</v>
      </c>
      <c r="L216" s="3" t="inlineStr">
        <is>
          <t>360.12</t>
        </is>
      </c>
      <c r="M216" t="inlineStr">
        <is>
          <t>München</t>
        </is>
      </c>
    </row>
    <row r="217">
      <c r="A217" t="inlineStr">
        <is>
          <t>Neu: NBA retro Jersey Trikot Michael Jordan Nike North Carolina</t>
        </is>
      </c>
      <c r="B217" s="4" t="n">
        <v>49</v>
      </c>
      <c r="C217" t="inlineStr"/>
      <c r="D217" t="inlineStr">
        <is>
          <t>52078 Aachen - Aachen-Brand</t>
        </is>
      </c>
      <c r="E217" s="5" t="n">
        <v>45563</v>
      </c>
      <c r="F217" t="inlineStr">
        <is>
          <t>Sold</t>
        </is>
      </c>
      <c r="G217" s="6">
        <f>HYPERLINK("https://www.kleinanzeigen.de/s-anzeige/neu-nba-retro-jersey-trikot-michael-jordan-nike-north-carolina/2876536302-230-1926", "Link")</f>
        <v/>
      </c>
      <c r="H217" s="6">
        <f>HYPERLINK("C:\Projects\Kleinanzeigen-Scraper\offer_images\2876536302", "Link")</f>
        <v/>
      </c>
      <c r="I217" t="inlineStr">
        <is>
          <t>RF</t>
        </is>
      </c>
      <c r="J217" s="6">
        <f>HYPERLINK("https://www.kleinanzeigen.de/s-bestandsliste.html?userId=33653620", "Link")</f>
        <v/>
      </c>
      <c r="K217" s="7" t="n">
        <v>45563.73125</v>
      </c>
      <c r="L217" s="3" t="inlineStr">
        <is>
          <t>59.31</t>
        </is>
      </c>
      <c r="M217" t="inlineStr">
        <is>
          <t>Köln</t>
        </is>
      </c>
    </row>
    <row r="218">
      <c r="A218" t="inlineStr">
        <is>
          <t>Solo Goya: Leinwand mit Malvorlage 60x 40cm</t>
        </is>
      </c>
      <c r="B218" s="4" t="n">
        <v>13</v>
      </c>
      <c r="C218" t="inlineStr"/>
      <c r="D218" t="inlineStr">
        <is>
          <t>74523 Baden-Württemberg - Schwäbisch Hall</t>
        </is>
      </c>
      <c r="E218" s="5" t="n">
        <v>45553</v>
      </c>
      <c r="F218" t="inlineStr"/>
      <c r="G218" s="6">
        <f>HYPERLINK("https://www.kleinanzeigen.de/s-anzeige/solo-goya-leinwand-mit-malvorlage-60x-40cm/2867347123-282-15243", "Link")</f>
        <v/>
      </c>
      <c r="H218" s="6">
        <f>HYPERLINK("C:\Projects\Kleinanzeigen-Scraper\offer_images\2867347123", "Link")</f>
        <v/>
      </c>
      <c r="I218" t="inlineStr">
        <is>
          <t>Mariana Eckert</t>
        </is>
      </c>
      <c r="J218" s="6">
        <f>HYPERLINK("https://www.kleinanzeigen.de/s-bestandsliste.html?userId=27451255", "Link")</f>
        <v/>
      </c>
      <c r="K218" s="7" t="n">
        <v>45563.73090277778</v>
      </c>
      <c r="L218" s="3" t="inlineStr">
        <is>
          <t>75.66</t>
        </is>
      </c>
      <c r="M218" t="inlineStr">
        <is>
          <t>Böblingen</t>
        </is>
      </c>
    </row>
    <row r="219">
      <c r="A219" t="inlineStr">
        <is>
          <t>Neilpryde-Long John mit Jacke, Gr.98, ungetragen,  Surfen, SUP</t>
        </is>
      </c>
      <c r="B219" s="4" t="n">
        <v>70</v>
      </c>
      <c r="C219" t="inlineStr"/>
      <c r="D219" t="inlineStr">
        <is>
          <t>33615 Bielefeld - Bielefeld (Innenstadt)</t>
        </is>
      </c>
      <c r="E219" s="5" t="n">
        <v>45487</v>
      </c>
      <c r="F219" t="inlineStr">
        <is>
          <t>Sold</t>
        </is>
      </c>
      <c r="G219" s="6">
        <f>HYPERLINK("https://www.kleinanzeigen.de/s-anzeige/neilpryde-long-john-mit-jacke-gr-98-ungetragen-surfen-sup/2812410575-230-1058", "Link")</f>
        <v/>
      </c>
      <c r="H219" s="6">
        <f>HYPERLINK("C:\Projects\Kleinanzeigen-Scraper\offer_images\2812410575", "Link")</f>
        <v/>
      </c>
      <c r="I219" t="inlineStr">
        <is>
          <t>Carola Giller</t>
        </is>
      </c>
      <c r="J219" s="6">
        <f>HYPERLINK("https://www.kleinanzeigen.de/s-bestandsliste.html?userId=7988525", "Link")</f>
        <v/>
      </c>
      <c r="K219" s="7" t="n">
        <v>45563.73063657407</v>
      </c>
      <c r="L219" s="3" t="inlineStr">
        <is>
          <t>162.21</t>
        </is>
      </c>
      <c r="M219" t="inlineStr">
        <is>
          <t>Köln</t>
        </is>
      </c>
    </row>
    <row r="220">
      <c r="A220" t="inlineStr">
        <is>
          <t>Camp David Hemd (Sylt windsurf world Cup)</t>
        </is>
      </c>
      <c r="B220" s="4" t="n">
        <v>14</v>
      </c>
      <c r="C220" t="inlineStr"/>
      <c r="D220" t="inlineStr">
        <is>
          <t>50676 Innenstadt - Köln Altstadt</t>
        </is>
      </c>
      <c r="E220" s="5" t="n">
        <v>45563</v>
      </c>
      <c r="F220" t="inlineStr">
        <is>
          <t>Sold</t>
        </is>
      </c>
      <c r="G220" s="6">
        <f>HYPERLINK("https://www.kleinanzeigen.de/s-anzeige/camp-david-hemd-sylt-windsurf-world-cup-/2876485912-160-987", "Link")</f>
        <v/>
      </c>
      <c r="H220" s="6">
        <f>HYPERLINK("C:\Projects\Kleinanzeigen-Scraper\offer_images\2876485912", "Link")</f>
        <v/>
      </c>
      <c r="I220" t="inlineStr">
        <is>
          <t>Johanna Dentel</t>
        </is>
      </c>
      <c r="J220" s="6">
        <f>HYPERLINK("https://www.kleinanzeigen.de/s-bestandsliste.html?userId=82995323", "Link")</f>
        <v/>
      </c>
      <c r="K220" s="7" t="n">
        <v>45563.73038194444</v>
      </c>
      <c r="L220" s="3" t="inlineStr">
        <is>
          <t>0.73</t>
        </is>
      </c>
      <c r="M220" t="inlineStr">
        <is>
          <t>Köln</t>
        </is>
      </c>
    </row>
    <row r="221">
      <c r="A221" t="inlineStr">
        <is>
          <t>Naish HA 1240 semi kpl. oder Komplett möglich</t>
        </is>
      </c>
      <c r="B221" s="4" t="n">
        <v>1.069</v>
      </c>
      <c r="C221" t="inlineStr"/>
      <c r="D221" t="inlineStr">
        <is>
          <t>35096 Hessen - Weimar (Lahn)</t>
        </is>
      </c>
      <c r="E221" s="5" t="n">
        <v>45563</v>
      </c>
      <c r="F221" t="inlineStr"/>
      <c r="G221" s="6">
        <f>HYPERLINK("https://www.kleinanzeigen.de/s-anzeige/naish-ha-1240-semi-kpl-oder-komplett-moeglich/2876226413-230-4828", "Link")</f>
        <v/>
      </c>
      <c r="H221" s="6">
        <f>HYPERLINK("C:\Projects\Kleinanzeigen-Scraper\offer_images\2876226413", "Link")</f>
        <v/>
      </c>
      <c r="I221" t="inlineStr">
        <is>
          <t>Marc Zeppel</t>
        </is>
      </c>
      <c r="J221" s="6">
        <f>HYPERLINK("https://www.kleinanzeigen.de/s-bestandsliste.html?userId=20961983", "Link")</f>
        <v/>
      </c>
      <c r="K221" s="7" t="n">
        <v>45563.73028935185</v>
      </c>
      <c r="L221" s="3" t="inlineStr">
        <is>
          <t>124.91</t>
        </is>
      </c>
      <c r="M221" t="inlineStr">
        <is>
          <t>Köln</t>
        </is>
      </c>
    </row>
    <row r="222">
      <c r="A222" t="inlineStr">
        <is>
          <t>Fanatic SUP-Rucksack /-Tasche</t>
        </is>
      </c>
      <c r="B222" s="4" t="n">
        <v>43</v>
      </c>
      <c r="C222" t="inlineStr">
        <is>
          <t>VB</t>
        </is>
      </c>
      <c r="D222" t="inlineStr">
        <is>
          <t>72119 Baden-Württemberg - Ammerbuch</t>
        </is>
      </c>
      <c r="E222" s="5" t="n">
        <v>45563</v>
      </c>
      <c r="F222" t="inlineStr"/>
      <c r="G222" s="6">
        <f>HYPERLINK("https://www.kleinanzeigen.de/s-anzeige/fanatic-sup-rucksack-tasche/2876421460-230-9089", "Link")</f>
        <v/>
      </c>
      <c r="H222" s="6">
        <f>HYPERLINK("C:\Projects\Kleinanzeigen-Scraper\offer_images\2876421460", "Link")</f>
        <v/>
      </c>
      <c r="I222" t="inlineStr">
        <is>
          <t>MR</t>
        </is>
      </c>
      <c r="J222" s="6">
        <f>HYPERLINK("https://www.kleinanzeigen.de/s-bestandsliste.html?userId=63877279", "Link")</f>
        <v/>
      </c>
      <c r="K222" s="7" t="n">
        <v>45563.7302199074</v>
      </c>
      <c r="L222" s="3" t="inlineStr">
        <is>
          <t>12.88</t>
        </is>
      </c>
      <c r="M222" t="inlineStr">
        <is>
          <t>Böblingen</t>
        </is>
      </c>
    </row>
    <row r="223">
      <c r="A223" t="inlineStr">
        <is>
          <t>Neu Rio Schusskopf 15ft Type 6 Sink Tip 166 gr 10.8 m Sage Simms</t>
        </is>
      </c>
      <c r="B223" s="4" t="n">
        <v>25</v>
      </c>
      <c r="C223" t="inlineStr">
        <is>
          <t>VB</t>
        </is>
      </c>
      <c r="D223" t="inlineStr">
        <is>
          <t>14770 Brandenburg - Brandenburg an der Havel</t>
        </is>
      </c>
      <c r="E223" s="5" t="n">
        <v>45562</v>
      </c>
      <c r="F223" t="inlineStr"/>
      <c r="G223" s="6">
        <f>HYPERLINK("https://www.kleinanzeigen.de/s-anzeige/neu-rio-schusskopf-15ft-type-6-sink-tip-166-gr-10-8-m-sage-simms/2875742062-187-7739", "Link")</f>
        <v/>
      </c>
      <c r="H223" s="6">
        <f>HYPERLINK("C:\Projects\Kleinanzeigen-Scraper\offer_images\2875742062", "Link")</f>
        <v/>
      </c>
      <c r="I223" t="inlineStr">
        <is>
          <t>Paul</t>
        </is>
      </c>
      <c r="J223" s="6">
        <f>HYPERLINK("https://www.kleinanzeigen.de/s-bestandsliste.html?userId=23023096", "Link")</f>
        <v/>
      </c>
      <c r="K223" s="7" t="n">
        <v>45563.72989583333</v>
      </c>
      <c r="L223" s="3" t="inlineStr">
        <is>
          <t>416.86</t>
        </is>
      </c>
      <c r="M223" t="inlineStr">
        <is>
          <t>Köln</t>
        </is>
      </c>
    </row>
    <row r="224">
      <c r="A224" t="inlineStr">
        <is>
          <t>Revell 04516 North American T-6G Texan 1:48</t>
        </is>
      </c>
      <c r="B224" s="4" t="n">
        <v>20</v>
      </c>
      <c r="C224" t="inlineStr">
        <is>
          <t>VB</t>
        </is>
      </c>
      <c r="D224" t="inlineStr">
        <is>
          <t>55122 Rheinland-Pfalz - Mainz</t>
        </is>
      </c>
      <c r="E224" s="5" t="n">
        <v>45563</v>
      </c>
      <c r="F224" t="inlineStr"/>
      <c r="G224" s="6">
        <f>HYPERLINK("https://www.kleinanzeigen.de/s-anzeige/revell-04516-north-american-t-6g-texan-1-48/2876266594-249-5322", "Link")</f>
        <v/>
      </c>
      <c r="H224" s="6">
        <f>HYPERLINK("C:\Projects\Kleinanzeigen-Scraper\offer_images\2876266594", "Link")</f>
        <v/>
      </c>
      <c r="I224" t="inlineStr">
        <is>
          <t>Andreas</t>
        </is>
      </c>
      <c r="J224" s="6">
        <f>HYPERLINK("https://www.kleinanzeigen.de/s-bestandsliste.html?userId=8783219", "Link")</f>
        <v/>
      </c>
      <c r="K224" s="7" t="n">
        <v>45563.72986111111</v>
      </c>
      <c r="L224" s="3" t="inlineStr">
        <is>
          <t>111.23</t>
        </is>
      </c>
      <c r="M224" t="inlineStr">
        <is>
          <t>Karlsruhe</t>
        </is>
      </c>
    </row>
    <row r="225">
      <c r="A225" t="inlineStr">
        <is>
          <t>Rio Outbound Klasse 4 Floating Fliegenschnur Sage Simms</t>
        </is>
      </c>
      <c r="B225" s="4" t="n">
        <v>50</v>
      </c>
      <c r="C225" t="inlineStr">
        <is>
          <t>VB</t>
        </is>
      </c>
      <c r="D225" t="inlineStr">
        <is>
          <t>14770 Brandenburg - Brandenburg an der Havel</t>
        </is>
      </c>
      <c r="E225" s="5" t="n">
        <v>45562</v>
      </c>
      <c r="F225" t="inlineStr">
        <is>
          <t>Sold</t>
        </is>
      </c>
      <c r="G225" s="6">
        <f>HYPERLINK("https://www.kleinanzeigen.de/s-anzeige/rio-outbound-klasse-4-floating-fliegenschnur-sage-simms/2875733444-187-7739", "Link")</f>
        <v/>
      </c>
      <c r="H225" s="6">
        <f>HYPERLINK("C:\Projects\Kleinanzeigen-Scraper\offer_images\2875733444", "Link")</f>
        <v/>
      </c>
      <c r="I225" t="inlineStr">
        <is>
          <t>Paul</t>
        </is>
      </c>
      <c r="J225" s="6">
        <f>HYPERLINK("https://www.kleinanzeigen.de/s-bestandsliste.html?userId=23023096", "Link")</f>
        <v/>
      </c>
      <c r="K225" s="7" t="n">
        <v>45563.72952546296</v>
      </c>
      <c r="L225" s="3" t="inlineStr">
        <is>
          <t>416.86</t>
        </is>
      </c>
      <c r="M225" t="inlineStr">
        <is>
          <t>Köln</t>
        </is>
      </c>
    </row>
    <row r="226">
      <c r="A226" t="inlineStr">
        <is>
          <t>Skijacke in blau (Anorak), Fabrikat North-Face</t>
        </is>
      </c>
      <c r="B226" s="4" t="n">
        <v>40</v>
      </c>
      <c r="C226" t="inlineStr">
        <is>
          <t>VB</t>
        </is>
      </c>
      <c r="D226" t="inlineStr">
        <is>
          <t>72270 Baden-Württemberg - Baiersbronn</t>
        </is>
      </c>
      <c r="E226" s="5" t="n">
        <v>45563</v>
      </c>
      <c r="F226" t="inlineStr"/>
      <c r="G226" s="6">
        <f>HYPERLINK("https://www.kleinanzeigen.de/s-anzeige/skijacke-in-blau-anorak-fabrikat-north-face/2876369053-230-8719", "Link")</f>
        <v/>
      </c>
      <c r="H226" s="6">
        <f>HYPERLINK("C:\Projects\Kleinanzeigen-Scraper\offer_images\2876369053", "Link")</f>
        <v/>
      </c>
      <c r="I226" t="inlineStr">
        <is>
          <t>Manfred Schillinger</t>
        </is>
      </c>
      <c r="J226" s="6">
        <f>HYPERLINK("https://www.kleinanzeigen.de/s-bestandsliste.html?userId=31401667", "Link")</f>
        <v/>
      </c>
      <c r="K226" s="7" t="n">
        <v>45563.7283912037</v>
      </c>
      <c r="L226" s="3" t="inlineStr">
        <is>
          <t>48.91</t>
        </is>
      </c>
      <c r="M226" t="inlineStr">
        <is>
          <t>Böblingen</t>
        </is>
      </c>
    </row>
    <row r="227">
      <c r="A227" t="inlineStr">
        <is>
          <t>Simms Wathose Waders Angelhose Anglerhose Größe M</t>
        </is>
      </c>
      <c r="B227" s="4" t="n">
        <v>150</v>
      </c>
      <c r="C227" t="inlineStr"/>
      <c r="D227" t="inlineStr">
        <is>
          <t>77749 Baden-Württemberg - Hohberg</t>
        </is>
      </c>
      <c r="E227" s="5" t="n">
        <v>45563</v>
      </c>
      <c r="F227" t="inlineStr"/>
      <c r="G227" s="6">
        <f>HYPERLINK("https://www.kleinanzeigen.de/s-anzeige/simms-wathose-waders-angelhose-anglerhose-groesse-m/2875936995-230-9033", "Link")</f>
        <v/>
      </c>
      <c r="H227" s="6">
        <f>HYPERLINK("C:\Projects\Kleinanzeigen-Scraper\offer_images\2875936995", "Link")</f>
        <v/>
      </c>
      <c r="I227" t="inlineStr">
        <is>
          <t>M.C.</t>
        </is>
      </c>
      <c r="J227" s="6">
        <f>HYPERLINK("https://www.kleinanzeigen.de/s-bestandsliste.html?userId=5761553", "Link")</f>
        <v/>
      </c>
      <c r="K227" s="7" t="n">
        <v>45563.72822916666</v>
      </c>
      <c r="L227" s="3" t="inlineStr">
        <is>
          <t>74.57</t>
        </is>
      </c>
      <c r="M227" t="inlineStr">
        <is>
          <t>Karlsruhe</t>
        </is>
      </c>
    </row>
    <row r="228">
      <c r="A228" t="inlineStr">
        <is>
          <t>Fanatic Aero Free 800/216</t>
        </is>
      </c>
      <c r="B228" s="4" t="n">
        <v>250</v>
      </c>
      <c r="C228" t="inlineStr"/>
      <c r="D228" t="inlineStr">
        <is>
          <t>24217 Schleswig-Holstein - Schönberg / Holm</t>
        </is>
      </c>
      <c r="E228" s="5" t="n">
        <v>45563</v>
      </c>
      <c r="F228" t="inlineStr"/>
      <c r="G228" s="6">
        <f>HYPERLINK("https://www.kleinanzeigen.de/s-anzeige/fanatic-aero-free-800-216/2876519179-230-19345", "Link")</f>
        <v/>
      </c>
      <c r="H228" s="6">
        <f>HYPERLINK("C:\Projects\Kleinanzeigen-Scraper\offer_images\2876519179", "Link")</f>
        <v/>
      </c>
      <c r="I228" t="inlineStr">
        <is>
          <t>Jörg Vogler</t>
        </is>
      </c>
      <c r="J228" s="6">
        <f>HYPERLINK("https://www.kleinanzeigen.de/s-bestandsliste.html?userId=57685435", "Link")</f>
        <v/>
      </c>
      <c r="K228" s="7" t="n">
        <v>45563.72797453704</v>
      </c>
      <c r="L228" s="3" t="inlineStr">
        <is>
          <t>447.79</t>
        </is>
      </c>
      <c r="M228" t="inlineStr">
        <is>
          <t>Köln</t>
        </is>
      </c>
    </row>
    <row r="229">
      <c r="A229" t="inlineStr">
        <is>
          <t>Audi R8 Scalextric "Audi Sport North America,Carrera Evolution</t>
        </is>
      </c>
      <c r="B229" s="4" t="n">
        <v>29</v>
      </c>
      <c r="C229" t="inlineStr"/>
      <c r="D229" t="inlineStr">
        <is>
          <t>38239 Niedersachsen - Salzgitter</t>
        </is>
      </c>
      <c r="E229" s="5" t="n">
        <v>45563</v>
      </c>
      <c r="F229" t="inlineStr"/>
      <c r="G229" s="6">
        <f>HYPERLINK("https://www.kleinanzeigen.de/s-anzeige/audi-r8-scalextric-audi-sport-north-america-carrera-evolution/2876226066-249-2438", "Link")</f>
        <v/>
      </c>
      <c r="H229" s="6">
        <f>HYPERLINK("C:\Projects\Kleinanzeigen-Scraper\offer_images\2876226066", "Link")</f>
        <v/>
      </c>
      <c r="I229" t="inlineStr">
        <is>
          <t>Privat</t>
        </is>
      </c>
      <c r="J229" s="6">
        <f>HYPERLINK("https://www.kleinanzeigen.de/s-bestandsliste.html?userId=56972274", "Link")</f>
        <v/>
      </c>
      <c r="K229" s="7" t="n">
        <v>45563.72789351852</v>
      </c>
      <c r="L229" s="3" t="inlineStr">
        <is>
          <t>277.16</t>
        </is>
      </c>
      <c r="M229" t="inlineStr">
        <is>
          <t>Köln</t>
        </is>
      </c>
    </row>
    <row r="230">
      <c r="A230" t="inlineStr">
        <is>
          <t>DARDA BMW Z3 CHINA + SIMM MERCEDES SLS AMG</t>
        </is>
      </c>
      <c r="B230" s="4" t="n">
        <v>18</v>
      </c>
      <c r="C230" t="inlineStr"/>
      <c r="D230" t="inlineStr">
        <is>
          <t>90411 Nürnberg (Mittelfr) - Nordstadt</t>
        </is>
      </c>
      <c r="E230" s="5" t="n">
        <v>45562</v>
      </c>
      <c r="F230" t="inlineStr"/>
      <c r="G230" s="6">
        <f>HYPERLINK("https://www.kleinanzeigen.de/s-anzeige/darda-bmw-z3-china-simm-mercedes-sls-amg/2875653029-249-6821", "Link")</f>
        <v/>
      </c>
      <c r="H230" s="6">
        <f>HYPERLINK("C:\Projects\Kleinanzeigen-Scraper\offer_images\2875653029", "Link")</f>
        <v/>
      </c>
      <c r="I230" t="inlineStr">
        <is>
          <t>SCHOWIDDER</t>
        </is>
      </c>
      <c r="J230" s="6">
        <f>HYPERLINK("https://www.kleinanzeigen.de/s-bestandsliste.html?userId=142131677", "Link")</f>
        <v/>
      </c>
      <c r="K230" s="7" t="n">
        <v>45563.72752314815</v>
      </c>
      <c r="L230" s="3" t="inlineStr">
        <is>
          <t>154.54</t>
        </is>
      </c>
      <c r="M230" t="inlineStr">
        <is>
          <t>München</t>
        </is>
      </c>
    </row>
    <row r="231">
      <c r="A231" t="inlineStr">
        <is>
          <t>Fanatic Foil, Aero High Aspect, 2000/300</t>
        </is>
      </c>
      <c r="B231" s="4" t="n">
        <v>325</v>
      </c>
      <c r="C231" t="inlineStr">
        <is>
          <t>VB</t>
        </is>
      </c>
      <c r="D231" t="inlineStr">
        <is>
          <t>15370 Brandenburg - Petershagen</t>
        </is>
      </c>
      <c r="E231" s="5" t="n">
        <v>45562</v>
      </c>
      <c r="F231" t="inlineStr"/>
      <c r="G231" s="6">
        <f>HYPERLINK("https://www.kleinanzeigen.de/s-anzeige/fanatic-foil-aero-high-aspect-2000-300/2874978217-230-10513", "Link")</f>
        <v/>
      </c>
      <c r="H231" s="6">
        <f>HYPERLINK("C:\Projects\Kleinanzeigen-Scraper\offer_images\2874978217", "Link")</f>
        <v/>
      </c>
      <c r="I231" t="inlineStr">
        <is>
          <t>Christian</t>
        </is>
      </c>
      <c r="J231" s="6">
        <f>HYPERLINK("https://www.kleinanzeigen.de/s-bestandsliste.html?userId=2035297", "Link")</f>
        <v/>
      </c>
      <c r="K231" s="7" t="n">
        <v>45562.74640046297</v>
      </c>
      <c r="L231" s="3" t="inlineStr">
        <is>
          <t>501.43</t>
        </is>
      </c>
      <c r="M231" t="inlineStr">
        <is>
          <t>Köln</t>
        </is>
      </c>
    </row>
    <row r="232">
      <c r="A232" t="inlineStr">
        <is>
          <t>Neu: NBA retro College Trikot Michael Jordan North Carolina blau</t>
        </is>
      </c>
      <c r="B232" s="4" t="n">
        <v>55</v>
      </c>
      <c r="C232" t="inlineStr"/>
      <c r="D232" t="inlineStr">
        <is>
          <t>52078 Aachen - Aachen-Brand</t>
        </is>
      </c>
      <c r="E232" s="5" t="n">
        <v>45562</v>
      </c>
      <c r="F232" t="inlineStr">
        <is>
          <t>Sold</t>
        </is>
      </c>
      <c r="G232" s="6">
        <f>HYPERLINK("https://www.kleinanzeigen.de/s-anzeige/neu-nba-retro-college-trikot-michael-jordan-north-carolina-blau/2874959921-230-1926", "Link")</f>
        <v/>
      </c>
      <c r="H232" s="6">
        <f>HYPERLINK("C:\Projects\Kleinanzeigen-Scraper\offer_images\2874959921", "Link")</f>
        <v/>
      </c>
      <c r="I232" t="inlineStr">
        <is>
          <t>RF</t>
        </is>
      </c>
      <c r="J232" s="6">
        <f>HYPERLINK("https://www.kleinanzeigen.de/s-bestandsliste.html?userId=33653620", "Link")</f>
        <v/>
      </c>
      <c r="K232" s="7" t="n">
        <v>45562.74619212963</v>
      </c>
      <c r="L232" s="3" t="inlineStr">
        <is>
          <t>59.31</t>
        </is>
      </c>
      <c r="M232" t="inlineStr">
        <is>
          <t>Köln</t>
        </is>
      </c>
    </row>
    <row r="233">
      <c r="A233" t="inlineStr">
        <is>
          <t>NAISH BOXER 6qm</t>
        </is>
      </c>
      <c r="B233" s="4" t="n">
        <v>379</v>
      </c>
      <c r="C233" t="inlineStr">
        <is>
          <t>VB</t>
        </is>
      </c>
      <c r="D233" t="inlineStr">
        <is>
          <t>83395 Bayern - Freilassing</t>
        </is>
      </c>
      <c r="E233" s="5" t="n">
        <v>45561</v>
      </c>
      <c r="F233" t="inlineStr"/>
      <c r="G233" s="6">
        <f>HYPERLINK("https://www.kleinanzeigen.de/s-anzeige/naish-boxer-6qm/2874579041-230-6273", "Link")</f>
        <v/>
      </c>
      <c r="H233" s="6">
        <f>HYPERLINK("C:\Projects\Kleinanzeigen-Scraper\offer_images\2874579041", "Link")</f>
        <v/>
      </c>
      <c r="I233" t="inlineStr">
        <is>
          <t>Lars Birkholz</t>
        </is>
      </c>
      <c r="J233" s="6">
        <f>HYPERLINK("https://www.kleinanzeigen.de/s-bestandsliste.html?userId=38681138", "Link")</f>
        <v/>
      </c>
      <c r="K233" s="7" t="n">
        <v>45562.74590277778</v>
      </c>
      <c r="L233" s="3" t="inlineStr">
        <is>
          <t>108.85</t>
        </is>
      </c>
      <c r="M233" t="inlineStr">
        <is>
          <t>München</t>
        </is>
      </c>
    </row>
    <row r="234">
      <c r="A234" t="inlineStr">
        <is>
          <t>Snowboard K2 Vandal 148 W mit Bindungen</t>
        </is>
      </c>
      <c r="B234" s="4" t="n">
        <v>195</v>
      </c>
      <c r="C234" t="inlineStr"/>
      <c r="D234" t="inlineStr">
        <is>
          <t>79110 Baden-Württemberg - Freiburg im Breisgau</t>
        </is>
      </c>
      <c r="E234" s="5" t="n">
        <v>45562</v>
      </c>
      <c r="F234" t="inlineStr"/>
      <c r="G234" s="6">
        <f>HYPERLINK("https://www.kleinanzeigen.de/s-anzeige/snowboard-k2-vandal-148-w-mit-bindungen/2875005231-230-9359", "Link")</f>
        <v/>
      </c>
      <c r="H234" s="6">
        <f>HYPERLINK("C:\Projects\Kleinanzeigen-Scraper\offer_images\2875005231", "Link")</f>
        <v/>
      </c>
      <c r="I234" t="inlineStr">
        <is>
          <t>Anne</t>
        </is>
      </c>
      <c r="J234" s="6">
        <f>HYPERLINK("https://www.kleinanzeigen.de/s-bestandsliste.html?userId=84088901", "Link")</f>
        <v/>
      </c>
      <c r="K234" s="7" t="n">
        <v>45562.74577546296</v>
      </c>
      <c r="L234" s="3" t="inlineStr">
        <is>
          <t>45.32</t>
        </is>
      </c>
      <c r="M234" t="inlineStr">
        <is>
          <t>Bonndorf</t>
        </is>
      </c>
    </row>
    <row r="235">
      <c r="A235" t="inlineStr">
        <is>
          <t>Kostenloser Versand Discmania Fanatic Sky Rucksack Discgolf</t>
        </is>
      </c>
      <c r="B235" s="4" t="n">
        <v>70</v>
      </c>
      <c r="C235" t="inlineStr"/>
      <c r="D235" t="inlineStr">
        <is>
          <t>79689 Baden-Württemberg - Maulburg</t>
        </is>
      </c>
      <c r="E235" s="5" t="n">
        <v>45561</v>
      </c>
      <c r="F235" t="inlineStr"/>
      <c r="G235" s="6">
        <f>HYPERLINK("https://www.kleinanzeigen.de/s-anzeige/kostenloser-versand-discmania-fanatic-sky-rucksack-discgolf/2874879819-230-8182", "Link")</f>
        <v/>
      </c>
      <c r="H235" s="6">
        <f>HYPERLINK("C:\Projects\Kleinanzeigen-Scraper\offer_images\2874879819", "Link")</f>
        <v/>
      </c>
      <c r="I235" t="inlineStr">
        <is>
          <t>Jotte</t>
        </is>
      </c>
      <c r="J235" s="6">
        <f>HYPERLINK("https://www.kleinanzeigen.de/s-bestandsliste.html?userId=13406411", "Link")</f>
        <v/>
      </c>
      <c r="K235" s="7" t="n">
        <v>45562.74548611111</v>
      </c>
      <c r="L235" s="3" t="inlineStr">
        <is>
          <t>46.08</t>
        </is>
      </c>
      <c r="M235" t="inlineStr">
        <is>
          <t>Bonndorf</t>
        </is>
      </c>
    </row>
    <row r="236">
      <c r="A236" t="inlineStr">
        <is>
          <t>Naish pivot s28</t>
        </is>
      </c>
      <c r="B236" s="4" t="n">
        <v>990</v>
      </c>
      <c r="C236" t="inlineStr"/>
      <c r="D236" t="inlineStr">
        <is>
          <t>76131 Baden-Württemberg - Karlsruhe</t>
        </is>
      </c>
      <c r="E236" s="5" t="n">
        <v>45562</v>
      </c>
      <c r="F236" t="inlineStr"/>
      <c r="G236" s="6">
        <f>HYPERLINK("https://www.kleinanzeigen.de/s-anzeige/naish-pivot-s28/2875387928-230-9190", "Link")</f>
        <v/>
      </c>
      <c r="H236" s="6">
        <f>HYPERLINK("C:\Projects\Kleinanzeigen-Scraper\offer_images\2875387928", "Link")</f>
        <v/>
      </c>
      <c r="I236" t="inlineStr">
        <is>
          <t>Antonio</t>
        </is>
      </c>
      <c r="J236" s="6">
        <f>HYPERLINK("https://www.kleinanzeigen.de/s-bestandsliste.html?userId=57406389", "Link")</f>
        <v/>
      </c>
      <c r="K236" s="7" t="n">
        <v>45562.74532407407</v>
      </c>
      <c r="L236" s="3" t="inlineStr">
        <is>
          <t>2.72</t>
        </is>
      </c>
      <c r="M236" t="inlineStr">
        <is>
          <t>Karlsruhe</t>
        </is>
      </c>
    </row>
    <row r="237">
      <c r="A237" t="inlineStr">
        <is>
          <t>Army Painter - Fanatic Washes Paint Set</t>
        </is>
      </c>
      <c r="B237" s="4" t="n">
        <v>25</v>
      </c>
      <c r="C237" t="inlineStr"/>
      <c r="D237" t="inlineStr">
        <is>
          <t>47057 Duisburg - Duisburg-Mitte</t>
        </is>
      </c>
      <c r="E237" s="5" t="n">
        <v>45561</v>
      </c>
      <c r="F237" t="inlineStr"/>
      <c r="G237" s="6">
        <f>HYPERLINK("https://www.kleinanzeigen.de/s-anzeige/army-painter-fanatic-washes-paint-set/2874799312-249-2149", "Link")</f>
        <v/>
      </c>
      <c r="H237" s="6">
        <f>HYPERLINK("C:\Projects\Kleinanzeigen-Scraper\offer_images\2874799312", "Link")</f>
        <v/>
      </c>
      <c r="I237" t="inlineStr">
        <is>
          <t>Sven Mühleis</t>
        </is>
      </c>
      <c r="J237" s="6">
        <f>HYPERLINK("https://www.kleinanzeigen.de/s-bestandsliste.html?userId=28417092", "Link")</f>
        <v/>
      </c>
      <c r="K237" s="7" t="n">
        <v>45562.7450925926</v>
      </c>
      <c r="L237" s="3" t="inlineStr">
        <is>
          <t>54.29</t>
        </is>
      </c>
      <c r="M237" t="inlineStr">
        <is>
          <t>Köln</t>
        </is>
      </c>
    </row>
    <row r="238">
      <c r="A238" t="inlineStr">
        <is>
          <t>Solo Goya Triton Acrylic-Farbe, Kirschrot, 750 ml, NEU</t>
        </is>
      </c>
      <c r="B238" s="4" t="n">
        <v>6</v>
      </c>
      <c r="C238" t="inlineStr"/>
      <c r="D238" t="inlineStr">
        <is>
          <t>64297 Hessen - Darmstadt</t>
        </is>
      </c>
      <c r="E238" s="5" t="n">
        <v>45562</v>
      </c>
      <c r="F238" t="inlineStr"/>
      <c r="G238" s="6">
        <f>HYPERLINK("https://www.kleinanzeigen.de/s-anzeige/solo-goya-triton-acrylic-farbe-kirschrot-750-ml-neu/2875009311-282-4890", "Link")</f>
        <v/>
      </c>
      <c r="H238" s="6">
        <f>HYPERLINK("C:\Projects\Kleinanzeigen-Scraper\offer_images\2875009311", "Link")</f>
        <v/>
      </c>
      <c r="I238" t="inlineStr">
        <is>
          <t>N.S.</t>
        </is>
      </c>
      <c r="J238" s="6">
        <f>HYPERLINK("https://www.kleinanzeigen.de/s-bestandsliste.html?userId=80042538", "Link")</f>
        <v/>
      </c>
      <c r="K238" s="7" t="n">
        <v>45562.74501157407</v>
      </c>
      <c r="L238" s="3" t="inlineStr">
        <is>
          <t>92.80</t>
        </is>
      </c>
      <c r="M238" t="inlineStr">
        <is>
          <t>Karlsruhe</t>
        </is>
      </c>
    </row>
    <row r="239">
      <c r="A239" t="inlineStr">
        <is>
          <t>North Navigator Bar M (45-50) 2023</t>
        </is>
      </c>
      <c r="B239" s="4" t="n">
        <v>230</v>
      </c>
      <c r="C239" t="inlineStr">
        <is>
          <t>VB</t>
        </is>
      </c>
      <c r="D239" t="inlineStr">
        <is>
          <t>24118 Kiel - Ravensberg-Brunswik-Düsternbrook</t>
        </is>
      </c>
      <c r="E239" s="5" t="n">
        <v>45561</v>
      </c>
      <c r="F239" t="inlineStr"/>
      <c r="G239" s="6">
        <f>HYPERLINK("https://www.kleinanzeigen.de/s-anzeige/north-navigator-bar-m-45-50-2023/2874793081-230-704", "Link")</f>
        <v/>
      </c>
      <c r="H239" s="6">
        <f>HYPERLINK("C:\Projects\Kleinanzeigen-Scraper\offer_images\2874793081", "Link")</f>
        <v/>
      </c>
      <c r="I239" t="inlineStr">
        <is>
          <t>Lukas Düring</t>
        </is>
      </c>
      <c r="J239" s="6">
        <f>HYPERLINK("https://www.kleinanzeigen.de/s-bestandsliste.html?userId=122531043", "Link")</f>
        <v/>
      </c>
      <c r="K239" s="7" t="n">
        <v>45562.7449537037</v>
      </c>
      <c r="L239" s="3" t="inlineStr">
        <is>
          <t>434.29</t>
        </is>
      </c>
      <c r="M239" t="inlineStr">
        <is>
          <t>Köln</t>
        </is>
      </c>
    </row>
    <row r="240">
      <c r="A240" t="inlineStr">
        <is>
          <t>Onewind Northers 11ft doppellagige Hängematte</t>
        </is>
      </c>
      <c r="B240" s="4" t="n">
        <v>60</v>
      </c>
      <c r="C240" t="inlineStr"/>
      <c r="D240" t="inlineStr">
        <is>
          <t>31061 Niedersachsen - Alfeld (Leine)</t>
        </is>
      </c>
      <c r="E240" s="5" t="n">
        <v>45562</v>
      </c>
      <c r="F240" t="inlineStr"/>
      <c r="G240" s="6">
        <f>HYPERLINK("https://www.kleinanzeigen.de/s-anzeige/onewind-northers-11ft-doppellagige-haengematte/2875361897-230-2887", "Link")</f>
        <v/>
      </c>
      <c r="H240" s="6">
        <f>HYPERLINK("C:\Projects\Kleinanzeigen-Scraper\offer_images\2875361897", "Link")</f>
        <v/>
      </c>
      <c r="I240" t="inlineStr">
        <is>
          <t>D. Kubiak</t>
        </is>
      </c>
      <c r="J240" s="6">
        <f>HYPERLINK("https://www.kleinanzeigen.de/s-bestandsliste.html?userId=18440766", "Link")</f>
        <v/>
      </c>
      <c r="K240" s="7" t="n">
        <v>45562.74478009259</v>
      </c>
      <c r="L240" s="3" t="inlineStr">
        <is>
          <t>230.48</t>
        </is>
      </c>
      <c r="M240" t="inlineStr">
        <is>
          <t>Köln</t>
        </is>
      </c>
    </row>
    <row r="241">
      <c r="A241" t="inlineStr">
        <is>
          <t>North (jetzt Duotone) Juice 15qm (2016)</t>
        </is>
      </c>
      <c r="B241" s="4" t="n">
        <v>500</v>
      </c>
      <c r="C241" t="inlineStr"/>
      <c r="D241" t="inlineStr">
        <is>
          <t>85640 Kr. München - Putzbrunn</t>
        </is>
      </c>
      <c r="E241" s="5" t="n">
        <v>45560</v>
      </c>
      <c r="F241" t="inlineStr"/>
      <c r="G241" s="6">
        <f>HYPERLINK("https://www.kleinanzeigen.de/s-anzeige/north-jetzt-duotone-juice-15qm-2016-/2873306436-230-6182", "Link")</f>
        <v/>
      </c>
      <c r="H241" s="6">
        <f>HYPERLINK("C:\Projects\Kleinanzeigen-Scraper\offer_images\2873306436", "Link")</f>
        <v/>
      </c>
      <c r="I241" t="inlineStr">
        <is>
          <t>Nicolas Parisot</t>
        </is>
      </c>
      <c r="J241" s="6">
        <f>HYPERLINK("https://www.kleinanzeigen.de/s-bestandsliste.html?userId=47091203", "Link")</f>
        <v/>
      </c>
      <c r="K241" s="7" t="n">
        <v>45562.74415509259</v>
      </c>
      <c r="L241" s="3" t="inlineStr">
        <is>
          <t>11.31</t>
        </is>
      </c>
      <c r="M241" t="inlineStr">
        <is>
          <t>München</t>
        </is>
      </c>
    </row>
    <row r="242">
      <c r="A242" t="inlineStr">
        <is>
          <t>AACHEN SOUL WEEKENDER NORTHERN SOUL RARE SOUL VINTAGE RETRO WIGAN</t>
        </is>
      </c>
      <c r="B242" s="4" t="n">
        <v>7</v>
      </c>
      <c r="C242" t="inlineStr"/>
      <c r="D242" t="inlineStr">
        <is>
          <t>76297 Baden-Württemberg - Stutensee</t>
        </is>
      </c>
      <c r="E242" s="5" t="n">
        <v>45561</v>
      </c>
      <c r="F242" t="inlineStr"/>
      <c r="G242" s="6">
        <f>HYPERLINK("https://www.kleinanzeigen.de/s-anzeige/aachen-soul-weekender-northern-soul-rare-soul-vintage-retro-wigan/2874932202-234-8342", "Link")</f>
        <v/>
      </c>
      <c r="H242" s="6">
        <f>HYPERLINK("C:\Projects\Kleinanzeigen-Scraper\offer_images\2874932202", "Link")</f>
        <v/>
      </c>
      <c r="I242" t="inlineStr">
        <is>
          <t>JT</t>
        </is>
      </c>
      <c r="J242" s="6">
        <f>HYPERLINK("https://www.kleinanzeigen.de/s-bestandsliste.html?userId=125638347", "Link")</f>
        <v/>
      </c>
      <c r="K242" s="7" t="n">
        <v>45562.74384259259</v>
      </c>
      <c r="L242" s="3" t="inlineStr">
        <is>
          <t>10.37</t>
        </is>
      </c>
      <c r="M242" t="inlineStr">
        <is>
          <t>Karlsruhe</t>
        </is>
      </c>
    </row>
    <row r="243">
      <c r="A243" t="inlineStr">
        <is>
          <t>* MARITIMES GEMÄLDE ÖL AUF HOLZ R.SIMONETTO ITAL. CUNARD NORTH AT</t>
        </is>
      </c>
      <c r="B243" s="4" t="n">
        <v>265</v>
      </c>
      <c r="C243" t="inlineStr">
        <is>
          <t>VB</t>
        </is>
      </c>
      <c r="D243" t="inlineStr">
        <is>
          <t>14057 Berlin - Charlottenburg</t>
        </is>
      </c>
      <c r="E243" s="5" t="n">
        <v>45562</v>
      </c>
      <c r="F243" t="inlineStr"/>
      <c r="G243" s="6">
        <f>HYPERLINK("https://www.kleinanzeigen.de/s-anzeige/-maritimes-gemaelde-oel-auf-holz-r-simonetto-ital-cunard-north-at/2775074861-240-3336", "Link")</f>
        <v/>
      </c>
      <c r="H243" s="6">
        <f>HYPERLINK("C:\Projects\Kleinanzeigen-Scraper\offer_images\2775074861", "Link")</f>
        <v/>
      </c>
      <c r="I243" t="inlineStr">
        <is>
          <t>No user name</t>
        </is>
      </c>
      <c r="J243" s="6">
        <f>HYPERLINK("https://www.kleinanzeigen.deNo user link", "Link")</f>
        <v/>
      </c>
      <c r="K243" s="7" t="n">
        <v>45562.74380787037</v>
      </c>
      <c r="L243" s="3" t="inlineStr">
        <is>
          <t>469.50</t>
        </is>
      </c>
      <c r="M243" t="inlineStr">
        <is>
          <t>Köln</t>
        </is>
      </c>
    </row>
    <row r="244">
      <c r="A244" t="inlineStr">
        <is>
          <t>SUP CARBON Starboard 12,5 x 24,5</t>
        </is>
      </c>
      <c r="B244" s="4" t="n">
        <v>590</v>
      </c>
      <c r="C244" t="inlineStr">
        <is>
          <t>VB</t>
        </is>
      </c>
      <c r="D244" t="inlineStr">
        <is>
          <t>89134 Baden-Württemberg - Blaustein</t>
        </is>
      </c>
      <c r="E244" s="5" t="n">
        <v>45562</v>
      </c>
      <c r="F244" t="inlineStr"/>
      <c r="G244" s="6">
        <f>HYPERLINK("https://www.kleinanzeigen.de/s-anzeige/sup-carbon-starboard-12-5-x-24-5/2875315045-230-8683", "Link")</f>
        <v/>
      </c>
      <c r="H244" s="6">
        <f>HYPERLINK("C:\Projects\Kleinanzeigen-Scraper\offer_images\2875315045", "Link")</f>
        <v/>
      </c>
      <c r="I244" t="inlineStr">
        <is>
          <t>Klaus</t>
        </is>
      </c>
      <c r="J244" s="6">
        <f>HYPERLINK("https://www.kleinanzeigen.de/s-bestandsliste.html?userId=5039640", "Link")</f>
        <v/>
      </c>
      <c r="K244" s="7" t="n">
        <v>45562.74368055556</v>
      </c>
      <c r="L244" s="3" t="inlineStr">
        <is>
          <t>74.25</t>
        </is>
      </c>
      <c r="M244" t="inlineStr">
        <is>
          <t>Böblingen</t>
        </is>
      </c>
    </row>
    <row r="245">
      <c r="A245" t="inlineStr">
        <is>
          <t>Starboard Rucksack</t>
        </is>
      </c>
      <c r="B245" s="4" t="inlineStr"/>
      <c r="C245" t="inlineStr">
        <is>
          <t>VB</t>
        </is>
      </c>
      <c r="D245" t="inlineStr">
        <is>
          <t>37073 Niedersachsen - Göttingen</t>
        </is>
      </c>
      <c r="E245" s="5" t="n">
        <v>45562</v>
      </c>
      <c r="F245" t="inlineStr"/>
      <c r="G245" s="6">
        <f>HYPERLINK("https://www.kleinanzeigen.de/s-anzeige/starboard-rucksack/2875229097-230-3137", "Link")</f>
        <v/>
      </c>
      <c r="H245" s="6">
        <f>HYPERLINK("C:\Projects\Kleinanzeigen-Scraper\offer_images\2875229097", "Link")</f>
        <v/>
      </c>
      <c r="I245" t="inlineStr">
        <is>
          <t>Freese, Sabine</t>
        </is>
      </c>
      <c r="J245" s="6">
        <f>HYPERLINK("https://www.kleinanzeigen.de/s-bestandsliste.html?userId=26355959", "Link")</f>
        <v/>
      </c>
      <c r="K245" s="7" t="n">
        <v>45562.74365740741</v>
      </c>
      <c r="L245" s="3" t="inlineStr">
        <is>
          <t>217.80</t>
        </is>
      </c>
      <c r="M245" t="inlineStr">
        <is>
          <t>Köln</t>
        </is>
      </c>
    </row>
    <row r="246">
      <c r="A246" t="inlineStr">
        <is>
          <t>GOYA Triton Acrylfarbe, 2,5-Liter-Eimer, Echtgelb hell (NP 25,24)</t>
        </is>
      </c>
      <c r="B246" s="4" t="n">
        <v>14</v>
      </c>
      <c r="C246" t="inlineStr"/>
      <c r="D246" t="inlineStr">
        <is>
          <t>64297 Hessen - Darmstadt</t>
        </is>
      </c>
      <c r="E246" s="5" t="n">
        <v>45562</v>
      </c>
      <c r="F246" t="inlineStr"/>
      <c r="G246" s="6">
        <f>HYPERLINK("https://www.kleinanzeigen.de/s-anzeige/goya-triton-acrylfarbe-2-5-liter-eimer-echtgelb-hell-np-25-24-/2875004642-282-4890", "Link")</f>
        <v/>
      </c>
      <c r="H246" s="6">
        <f>HYPERLINK("C:\Projects\Kleinanzeigen-Scraper\offer_images\2875004642", "Link")</f>
        <v/>
      </c>
      <c r="I246" t="inlineStr">
        <is>
          <t>N.S.</t>
        </is>
      </c>
      <c r="J246" s="6">
        <f>HYPERLINK("https://www.kleinanzeigen.de/s-bestandsliste.html?userId=80042538", "Link")</f>
        <v/>
      </c>
      <c r="K246" s="7" t="n">
        <v>45562.74351851852</v>
      </c>
      <c r="L246" s="3" t="inlineStr">
        <is>
          <t>92.80</t>
        </is>
      </c>
      <c r="M246" t="inlineStr">
        <is>
          <t>Karlsruhe</t>
        </is>
      </c>
    </row>
    <row r="247">
      <c r="A247" t="inlineStr">
        <is>
          <t>Gaastra Hatch 11 m² *Top*</t>
        </is>
      </c>
      <c r="B247" s="4" t="n">
        <v>150</v>
      </c>
      <c r="C247" t="inlineStr">
        <is>
          <t>VB</t>
        </is>
      </c>
      <c r="D247" t="inlineStr">
        <is>
          <t>49082 Niedersachsen - Osnabrück</t>
        </is>
      </c>
      <c r="E247" s="5" t="n">
        <v>45551</v>
      </c>
      <c r="F247" t="inlineStr"/>
      <c r="G247" s="6">
        <f>HYPERLINK("https://www.kleinanzeigen.de/s-anzeige/gaastra-hatch-11-m-top-/2865614122-230-3125", "Link")</f>
        <v/>
      </c>
      <c r="H247" s="6">
        <f>HYPERLINK("C:\Projects\Kleinanzeigen-Scraper\offer_images\2865614122", "Link")</f>
        <v/>
      </c>
      <c r="I247" t="inlineStr">
        <is>
          <t>Peter Stahr</t>
        </is>
      </c>
      <c r="J247" s="6">
        <f>HYPERLINK("https://www.kleinanzeigen.de/s-bestandsliste.html?userId=15080985", "Link")</f>
        <v/>
      </c>
      <c r="K247" s="7" t="n">
        <v>45562.7433912037</v>
      </c>
      <c r="L247" s="3" t="inlineStr">
        <is>
          <t>163.45</t>
        </is>
      </c>
      <c r="M247" t="inlineStr">
        <is>
          <t>Köln</t>
        </is>
      </c>
    </row>
    <row r="248">
      <c r="A248" t="inlineStr">
        <is>
          <t>Solo Goya Staffelei</t>
        </is>
      </c>
      <c r="B248" s="4" t="n">
        <v>15</v>
      </c>
      <c r="C248" t="inlineStr">
        <is>
          <t>VB</t>
        </is>
      </c>
      <c r="D248" t="inlineStr">
        <is>
          <t>22047 Wandsbek - Gartenstadt</t>
        </is>
      </c>
      <c r="E248" s="5" t="n">
        <v>45561</v>
      </c>
      <c r="F248" t="inlineStr">
        <is>
          <t>Sold</t>
        </is>
      </c>
      <c r="G248" s="6">
        <f>HYPERLINK("https://www.kleinanzeigen.de/s-anzeige/solo-goya-staffelei/2874909929-282-17622", "Link")</f>
        <v/>
      </c>
      <c r="H248" s="6">
        <f>HYPERLINK("C:\Projects\Kleinanzeigen-Scraper\offer_images\2874909929", "Link")</f>
        <v/>
      </c>
      <c r="I248" t="inlineStr">
        <is>
          <t>A.W</t>
        </is>
      </c>
      <c r="J248" s="6">
        <f>HYPERLINK("https://www.kleinanzeigen.de/s-bestandsliste.html?userId=56351006", "Link")</f>
        <v/>
      </c>
      <c r="K248" s="7" t="n">
        <v>45562.74331018519</v>
      </c>
      <c r="L248" s="3" t="inlineStr">
        <is>
          <t>364.13</t>
        </is>
      </c>
      <c r="M248" t="inlineStr">
        <is>
          <t>Köln</t>
        </is>
      </c>
    </row>
    <row r="249">
      <c r="A249" t="inlineStr">
        <is>
          <t>SUP FANATIC Rucksack gefunden</t>
        </is>
      </c>
      <c r="B249" s="4" t="inlineStr">
        <is>
          <t>No price</t>
        </is>
      </c>
      <c r="C249" t="inlineStr"/>
      <c r="D249" t="inlineStr">
        <is>
          <t>20146 Eimsbüttel - Hamburg Rotherbaum</t>
        </is>
      </c>
      <c r="E249" s="5" t="n">
        <v>45562</v>
      </c>
      <c r="F249" t="inlineStr"/>
      <c r="G249" s="6">
        <f>HYPERLINK("https://www.kleinanzeigen.de/s-anzeige/sup-fanatic-rucksack-gefunden/2875169196-189-9433", "Link")</f>
        <v/>
      </c>
      <c r="H249" s="6">
        <f>HYPERLINK("C:\Projects\Kleinanzeigen-Scraper\offer_images\2875169196", "Link")</f>
        <v/>
      </c>
      <c r="I249" t="inlineStr">
        <is>
          <t>Victoria</t>
        </is>
      </c>
      <c r="J249" s="6">
        <f>HYPERLINK("https://www.kleinanzeigen.de/s-bestandsliste.html?userId=2012220", "Link")</f>
        <v/>
      </c>
      <c r="K249" s="7" t="n">
        <v>45562.74297453704</v>
      </c>
      <c r="L249" s="3" t="inlineStr">
        <is>
          <t>357.73</t>
        </is>
      </c>
      <c r="M249" t="inlineStr">
        <is>
          <t>Köln</t>
        </is>
      </c>
    </row>
    <row r="250">
      <c r="A250" t="inlineStr">
        <is>
          <t>Naish Pivot 8 2022 Rot/Orange</t>
        </is>
      </c>
      <c r="B250" s="4" t="n">
        <v>450</v>
      </c>
      <c r="C250" t="inlineStr"/>
      <c r="D250" t="inlineStr">
        <is>
          <t>26382 Niedersachsen - Wilhelmshaven</t>
        </is>
      </c>
      <c r="E250" s="5" t="n">
        <v>45561</v>
      </c>
      <c r="F250" t="inlineStr"/>
      <c r="G250" s="6">
        <f>HYPERLINK("https://www.kleinanzeigen.de/s-anzeige/naish-pivot-8-2022-rot-orange/2874586375-230-3099", "Link")</f>
        <v/>
      </c>
      <c r="H250" s="6">
        <f>HYPERLINK("C:\Projects\Kleinanzeigen-Scraper\offer_images\2874586375", "Link")</f>
        <v/>
      </c>
      <c r="I250" t="inlineStr">
        <is>
          <t>Herrwerth</t>
        </is>
      </c>
      <c r="J250" s="6">
        <f>HYPERLINK("https://www.kleinanzeigen.de/s-bestandsliste.html?userId=57401660", "Link")</f>
        <v/>
      </c>
      <c r="K250" s="7" t="n">
        <v>45562.74292824074</v>
      </c>
      <c r="L250" s="3" t="inlineStr">
        <is>
          <t>297.88</t>
        </is>
      </c>
      <c r="M250" t="inlineStr">
        <is>
          <t>Köln</t>
        </is>
      </c>
    </row>
    <row r="251">
      <c r="A251" t="inlineStr">
        <is>
          <t>Isabella Capri North G20</t>
        </is>
      </c>
      <c r="B251" s="4" t="n">
        <v>2.15</v>
      </c>
      <c r="C251" t="inlineStr">
        <is>
          <t>VB</t>
        </is>
      </c>
      <c r="D251" t="inlineStr">
        <is>
          <t>45329 Essen - Altenessen</t>
        </is>
      </c>
      <c r="E251" s="5" t="n">
        <v>45562</v>
      </c>
      <c r="F251" t="inlineStr"/>
      <c r="G251" s="6">
        <f>HYPERLINK("https://www.kleinanzeigen.de/s-anzeige/isabella-capri-north-g20/2875360611-230-2031", "Link")</f>
        <v/>
      </c>
      <c r="H251" s="6">
        <f>HYPERLINK("C:\Projects\Kleinanzeigen-Scraper\offer_images\2875360611", "Link")</f>
        <v/>
      </c>
      <c r="I251" t="inlineStr">
        <is>
          <t>Köhne</t>
        </is>
      </c>
      <c r="J251" s="6">
        <f>HYPERLINK("https://www.kleinanzeigen.de/s-bestandsliste.html?userId=55360118", "Link")</f>
        <v/>
      </c>
      <c r="K251" s="7" t="n">
        <v>45562.74284722222</v>
      </c>
      <c r="L251" s="3" t="inlineStr">
        <is>
          <t>63.76</t>
        </is>
      </c>
      <c r="M251" t="inlineStr">
        <is>
          <t>Köln</t>
        </is>
      </c>
    </row>
    <row r="252">
      <c r="A252" t="inlineStr">
        <is>
          <t>STARBOARD Test SUP Boards iGo 10.8 x 33 / Allstar 14.0 x 24.5</t>
        </is>
      </c>
      <c r="B252" s="4" t="inlineStr"/>
      <c r="C252" t="inlineStr">
        <is>
          <t>VB</t>
        </is>
      </c>
      <c r="D252" t="inlineStr">
        <is>
          <t>57489 Nordrhein-Westfalen - Drolshagen</t>
        </is>
      </c>
      <c r="E252" s="5" t="n">
        <v>45561</v>
      </c>
      <c r="F252" t="inlineStr"/>
      <c r="G252" s="6">
        <f>HYPERLINK("https://www.kleinanzeigen.de/s-anzeige/starboard-test-sup-boards-igo-10-8-x-33-allstar-14-0-x-24-5/2874609754-230-1530", "Link")</f>
        <v/>
      </c>
      <c r="H252" s="6">
        <f>HYPERLINK("C:\Projects\Kleinanzeigen-Scraper\offer_images\2874609754", "Link")</f>
        <v/>
      </c>
      <c r="I252" t="inlineStr">
        <is>
          <t>key2fun</t>
        </is>
      </c>
      <c r="J252" s="6">
        <f>HYPERLINK("https://www.kleinanzeigen.de/s-bestandsliste.html?userId=68821592", "Link")</f>
        <v/>
      </c>
      <c r="K252" s="7" t="n">
        <v>45562.74266203704</v>
      </c>
      <c r="L252" s="3" t="inlineStr">
        <is>
          <t>58.85</t>
        </is>
      </c>
      <c r="M252" t="inlineStr">
        <is>
          <t>Köln</t>
        </is>
      </c>
    </row>
    <row r="253">
      <c r="A253" t="inlineStr">
        <is>
          <t>Fanatic Power Pump HP8 Pumpe für SUP</t>
        </is>
      </c>
      <c r="B253" s="4" t="n">
        <v>20</v>
      </c>
      <c r="C253" t="inlineStr"/>
      <c r="D253" t="inlineStr">
        <is>
          <t>01099 Dresden - Äußere Neustadt</t>
        </is>
      </c>
      <c r="E253" s="5" t="n">
        <v>45562</v>
      </c>
      <c r="F253" t="inlineStr"/>
      <c r="G253" s="6">
        <f>HYPERLINK("https://www.kleinanzeigen.de/s-anzeige/fanatic-power-pump-hp8-pumpe-fuer-sup/2875265321-230-23789", "Link")</f>
        <v/>
      </c>
      <c r="H253" s="6">
        <f>HYPERLINK("C:\Projects\Kleinanzeigen-Scraper\offer_images\2875265321", "Link")</f>
        <v/>
      </c>
      <c r="I253" t="inlineStr">
        <is>
          <t>Rico Pfeifer</t>
        </is>
      </c>
      <c r="J253" s="6">
        <f>HYPERLINK("https://www.kleinanzeigen.de/s-bestandsliste.html?userId=5054598", "Link")</f>
        <v/>
      </c>
      <c r="K253" s="7" t="n">
        <v>45562.74185185185</v>
      </c>
      <c r="L253" s="3" t="inlineStr">
        <is>
          <t>365.31</t>
        </is>
      </c>
      <c r="M253" t="inlineStr">
        <is>
          <t>München</t>
        </is>
      </c>
    </row>
    <row r="254">
      <c r="A254" t="inlineStr">
        <is>
          <t>Boatsrute WFT 68•North 2,1m 200-1000g Norwegen Angel Leng Lump</t>
        </is>
      </c>
      <c r="B254" s="4" t="n">
        <v>100</v>
      </c>
      <c r="C254" t="inlineStr"/>
      <c r="D254" t="inlineStr">
        <is>
          <t>47809 Nordrhein-Westfalen - Krefeld</t>
        </is>
      </c>
      <c r="E254" s="5" t="n">
        <v>45562</v>
      </c>
      <c r="F254" t="inlineStr"/>
      <c r="G254" s="6">
        <f>HYPERLINK("https://www.kleinanzeigen.de/s-anzeige/boatsrute-wft-68-north-2-1m-200-1000g-norwegen-angel-leng-lump/2799781270-230-1979", "Link")</f>
        <v/>
      </c>
      <c r="H254" s="6">
        <f>HYPERLINK("C:\Projects\Kleinanzeigen-Scraper\offer_images\2799781270", "Link")</f>
        <v/>
      </c>
      <c r="I254" t="inlineStr">
        <is>
          <t>Marcel</t>
        </is>
      </c>
      <c r="J254" s="6">
        <f>HYPERLINK("https://www.kleinanzeigen.de/s-bestandsliste.html?userId=72402430", "Link")</f>
        <v/>
      </c>
      <c r="K254" s="7" t="n">
        <v>45562.74171296296</v>
      </c>
      <c r="L254" s="3" t="inlineStr">
        <is>
          <t>48.58</t>
        </is>
      </c>
      <c r="M254" t="inlineStr">
        <is>
          <t>Köln</t>
        </is>
      </c>
    </row>
    <row r="255">
      <c r="A255" t="inlineStr">
        <is>
          <t>North Carve 10m, 2022</t>
        </is>
      </c>
      <c r="B255" s="4" t="n">
        <v>490</v>
      </c>
      <c r="C255" t="inlineStr">
        <is>
          <t>VB</t>
        </is>
      </c>
      <c r="D255" t="inlineStr">
        <is>
          <t>83339 Bayern - Chieming</t>
        </is>
      </c>
      <c r="E255" s="5" t="n">
        <v>45562</v>
      </c>
      <c r="F255" t="inlineStr"/>
      <c r="G255" s="6">
        <f>HYPERLINK("https://www.kleinanzeigen.de/s-anzeige/north-carve-10m-2022/2875424187-230-5724", "Link")</f>
        <v/>
      </c>
      <c r="H255" s="6">
        <f>HYPERLINK("C:\Projects\Kleinanzeigen-Scraper\offer_images\2875424187", "Link")</f>
        <v/>
      </c>
      <c r="I255" t="inlineStr">
        <is>
          <t>Marinus Richter</t>
        </is>
      </c>
      <c r="J255" s="6">
        <f>HYPERLINK("https://www.kleinanzeigen.de/s-bestandsliste.html?userId=29491195", "Link")</f>
        <v/>
      </c>
      <c r="K255" s="7" t="n">
        <v>45562.74165509259</v>
      </c>
      <c r="L255" s="3" t="inlineStr">
        <is>
          <t>76.56</t>
        </is>
      </c>
      <c r="M255" t="inlineStr">
        <is>
          <t>München</t>
        </is>
      </c>
    </row>
    <row r="256">
      <c r="A256" t="inlineStr">
        <is>
          <t>Starboard Foil Fuselage 75 cm, Freeride, GT</t>
        </is>
      </c>
      <c r="B256" s="4" t="n">
        <v>43</v>
      </c>
      <c r="C256" t="inlineStr"/>
      <c r="D256" t="inlineStr">
        <is>
          <t>39114 Sachsen-Anhalt - Magdeburg</t>
        </is>
      </c>
      <c r="E256" s="5" t="n">
        <v>45562</v>
      </c>
      <c r="F256" t="inlineStr"/>
      <c r="G256" s="6">
        <f>HYPERLINK("https://www.kleinanzeigen.de/s-anzeige/starboard-foil-fuselage-75-cm-freeride-gt/2874984476-230-2233", "Link")</f>
        <v/>
      </c>
      <c r="H256" s="6">
        <f>HYPERLINK("C:\Projects\Kleinanzeigen-Scraper\offer_images\2874984476", "Link")</f>
        <v/>
      </c>
      <c r="I256" t="inlineStr">
        <is>
          <t>Wolfgang Hesse</t>
        </is>
      </c>
      <c r="J256" s="6">
        <f>HYPERLINK("https://www.kleinanzeigen.de/s-bestandsliste.html?userId=2349332", "Link")</f>
        <v/>
      </c>
      <c r="K256" s="7" t="n">
        <v>45562.74152777778</v>
      </c>
      <c r="L256" s="3" t="inlineStr">
        <is>
          <t>352.79</t>
        </is>
      </c>
      <c r="M256" t="inlineStr">
        <is>
          <t>Köln</t>
        </is>
      </c>
    </row>
    <row r="257">
      <c r="A257" t="inlineStr">
        <is>
          <t>NORTH REBEL 10qm 2011</t>
        </is>
      </c>
      <c r="B257" s="4" t="n">
        <v>230</v>
      </c>
      <c r="C257" t="inlineStr"/>
      <c r="D257" t="inlineStr">
        <is>
          <t>63486 Hessen - Bruchköbel</t>
        </is>
      </c>
      <c r="E257" s="5" t="n">
        <v>45562</v>
      </c>
      <c r="F257" t="inlineStr"/>
      <c r="G257" s="6">
        <f>HYPERLINK("https://www.kleinanzeigen.de/s-anzeige/north-rebel-10qm-2011/2875114804-230-4555", "Link")</f>
        <v/>
      </c>
      <c r="H257" s="6">
        <f>HYPERLINK("C:\Projects\Kleinanzeigen-Scraper\offer_images\2875114804", "Link")</f>
        <v/>
      </c>
      <c r="I257" t="inlineStr">
        <is>
          <t>Andreas</t>
        </is>
      </c>
      <c r="J257" s="6">
        <f>HYPERLINK("https://www.kleinanzeigen.de/s-bestandsliste.html?userId=3353653", "Link")</f>
        <v/>
      </c>
      <c r="K257" s="7" t="n">
        <v>45562.74125</v>
      </c>
      <c r="L257" s="3" t="inlineStr">
        <is>
          <t>136.28</t>
        </is>
      </c>
      <c r="M257" t="inlineStr">
        <is>
          <t>Karlsruhe</t>
        </is>
      </c>
    </row>
    <row r="258">
      <c r="A258" t="inlineStr">
        <is>
          <t>NAISH BOXER 9qm</t>
        </is>
      </c>
      <c r="B258" s="4" t="n">
        <v>389</v>
      </c>
      <c r="C258" t="inlineStr">
        <is>
          <t>VB</t>
        </is>
      </c>
      <c r="D258" t="inlineStr">
        <is>
          <t>83395 Bayern - Freilassing</t>
        </is>
      </c>
      <c r="E258" s="5" t="n">
        <v>45561</v>
      </c>
      <c r="F258" t="inlineStr"/>
      <c r="G258" s="6">
        <f>HYPERLINK("https://www.kleinanzeigen.de/s-anzeige/naish-boxer-9qm/2874571780-230-6273", "Link")</f>
        <v/>
      </c>
      <c r="H258" s="6">
        <f>HYPERLINK("C:\Projects\Kleinanzeigen-Scraper\offer_images\2874571780", "Link")</f>
        <v/>
      </c>
      <c r="I258" t="inlineStr">
        <is>
          <t>Lars Birkholz</t>
        </is>
      </c>
      <c r="J258" s="6">
        <f>HYPERLINK("https://www.kleinanzeigen.de/s-bestandsliste.html?userId=38681138", "Link")</f>
        <v/>
      </c>
      <c r="K258" s="7" t="n">
        <v>45562.74059027778</v>
      </c>
      <c r="L258" s="3" t="inlineStr">
        <is>
          <t>108.85</t>
        </is>
      </c>
      <c r="M258" t="inlineStr">
        <is>
          <t>München</t>
        </is>
      </c>
    </row>
    <row r="259">
      <c r="A259" t="inlineStr">
        <is>
          <t>North Side Group Donbasonia Patch Ukraine 2020</t>
        </is>
      </c>
      <c r="B259" s="4" t="n">
        <v>30</v>
      </c>
      <c r="C259" t="inlineStr">
        <is>
          <t>VB</t>
        </is>
      </c>
      <c r="D259" t="inlineStr">
        <is>
          <t>25336 Schleswig-Holstein - Elmshorn</t>
        </is>
      </c>
      <c r="E259" s="5" t="n">
        <v>45562</v>
      </c>
      <c r="F259" t="inlineStr"/>
      <c r="G259" s="6">
        <f>HYPERLINK("https://www.kleinanzeigen.de/s-anzeige/north-side-group-donbasonia-patch-ukraine-2020/2875181007-234-19115", "Link")</f>
        <v/>
      </c>
      <c r="H259" s="6">
        <f>HYPERLINK("C:\Projects\Kleinanzeigen-Scraper\offer_images\2875181007", "Link")</f>
        <v/>
      </c>
      <c r="I259" t="inlineStr">
        <is>
          <t>Lea</t>
        </is>
      </c>
      <c r="J259" s="6">
        <f>HYPERLINK("https://www.kleinanzeigen.de/s-bestandsliste.html?userId=80795339", "Link")</f>
        <v/>
      </c>
      <c r="K259" s="7" t="n">
        <v>45562.74053240741</v>
      </c>
      <c r="L259" s="3" t="inlineStr">
        <is>
          <t>361.17</t>
        </is>
      </c>
      <c r="M259" t="inlineStr">
        <is>
          <t>Köln</t>
        </is>
      </c>
    </row>
    <row r="260">
      <c r="A260" t="inlineStr">
        <is>
          <t>GOYA Triton Acrylfarbe 2,5-Liter, Primärblau, NEU (NP 25,24 Euro)</t>
        </is>
      </c>
      <c r="B260" s="4" t="n">
        <v>14</v>
      </c>
      <c r="C260" t="inlineStr"/>
      <c r="D260" t="inlineStr">
        <is>
          <t>64297 Hessen - Darmstadt</t>
        </is>
      </c>
      <c r="E260" s="5" t="n">
        <v>45562</v>
      </c>
      <c r="F260" t="inlineStr"/>
      <c r="G260" s="6">
        <f>HYPERLINK("https://www.kleinanzeigen.de/s-anzeige/goya-triton-acrylfarbe-2-5-liter-primaerblau-neu-np-25-24-euro-/2875005620-282-4890", "Link")</f>
        <v/>
      </c>
      <c r="H260" s="6">
        <f>HYPERLINK("C:\Projects\Kleinanzeigen-Scraper\offer_images\2875005620", "Link")</f>
        <v/>
      </c>
      <c r="I260" t="inlineStr">
        <is>
          <t>N.S.</t>
        </is>
      </c>
      <c r="J260" s="6">
        <f>HYPERLINK("https://www.kleinanzeigen.de/s-bestandsliste.html?userId=80042538", "Link")</f>
        <v/>
      </c>
      <c r="K260" s="7" t="n">
        <v>45562.74043981481</v>
      </c>
      <c r="L260" s="3" t="inlineStr">
        <is>
          <t>92.80</t>
        </is>
      </c>
      <c r="M260" t="inlineStr">
        <is>
          <t>Karlsruhe</t>
        </is>
      </c>
    </row>
    <row r="261">
      <c r="A261" t="inlineStr">
        <is>
          <t>Naish  Nalu 10 10   10.10 Sup Hardboard</t>
        </is>
      </c>
      <c r="B261" s="4" t="n">
        <v>350</v>
      </c>
      <c r="C261" t="inlineStr">
        <is>
          <t>VB</t>
        </is>
      </c>
      <c r="D261" t="inlineStr">
        <is>
          <t>46485 Nordrhein-Westfalen - Wesel</t>
        </is>
      </c>
      <c r="E261" s="5" t="n">
        <v>45561</v>
      </c>
      <c r="F261" t="inlineStr"/>
      <c r="G261" s="6">
        <f>HYPERLINK("https://www.kleinanzeigen.de/s-anzeige/naish-nalu-10-10-10-10-sup-hardboard/2874754871-230-1866", "Link")</f>
        <v/>
      </c>
      <c r="H261" s="6">
        <f>HYPERLINK("C:\Projects\Kleinanzeigen-Scraper\offer_images\2874754871", "Link")</f>
        <v/>
      </c>
      <c r="I261" t="inlineStr">
        <is>
          <t>Pütz</t>
        </is>
      </c>
      <c r="J261" s="6">
        <f>HYPERLINK("https://www.kleinanzeigen.de/s-bestandsliste.html?userId=1764967", "Link")</f>
        <v/>
      </c>
      <c r="K261" s="7" t="n">
        <v>45562.74034722222</v>
      </c>
      <c r="L261" s="3" t="inlineStr">
        <is>
          <t>82.18</t>
        </is>
      </c>
      <c r="M261" t="inlineStr">
        <is>
          <t>Köln</t>
        </is>
      </c>
    </row>
    <row r="262">
      <c r="A262" t="inlineStr">
        <is>
          <t>Foil Fanatic Aero Free 1250 Surf</t>
        </is>
      </c>
      <c r="B262" s="4" t="n">
        <v>340</v>
      </c>
      <c r="C262" t="inlineStr">
        <is>
          <t>VB</t>
        </is>
      </c>
      <c r="D262" t="inlineStr">
        <is>
          <t>77756 Baden-Württemberg - Hausach</t>
        </is>
      </c>
      <c r="E262" s="5" t="n">
        <v>45562</v>
      </c>
      <c r="F262" t="inlineStr">
        <is>
          <t>Sold</t>
        </is>
      </c>
      <c r="G262" s="6">
        <f>HYPERLINK("https://www.kleinanzeigen.de/s-anzeige/foil-fanatic-aero-free-1250-surf/2875378897-230-8533", "Link")</f>
        <v/>
      </c>
      <c r="H262" s="6">
        <f>HYPERLINK("C:\Projects\Kleinanzeigen-Scraper\offer_images\2875378897", "Link")</f>
        <v/>
      </c>
      <c r="I262" t="inlineStr">
        <is>
          <t>Privat</t>
        </is>
      </c>
      <c r="J262" s="6">
        <f>HYPERLINK("https://www.kleinanzeigen.de/s-bestandsliste.html?userId=49596796", "Link")</f>
        <v/>
      </c>
      <c r="K262" s="7" t="n">
        <v>45562.74032407408</v>
      </c>
      <c r="L262" s="3" t="inlineStr">
        <is>
          <t>53.32</t>
        </is>
      </c>
      <c r="M262" t="inlineStr">
        <is>
          <t>Bonndorf</t>
        </is>
      </c>
    </row>
    <row r="263">
      <c r="A263" t="inlineStr">
        <is>
          <t>Slingshot Code 8 / 10 / 12qm kein North Naish Dutone core</t>
        </is>
      </c>
      <c r="B263" s="4" t="n">
        <v>700</v>
      </c>
      <c r="C263" t="inlineStr"/>
      <c r="D263" t="inlineStr">
        <is>
          <t>42553 Nordrhein-Westfalen - Velbert</t>
        </is>
      </c>
      <c r="E263" s="5" t="n">
        <v>45562</v>
      </c>
      <c r="F263" t="inlineStr"/>
      <c r="G263" s="6">
        <f>HYPERLINK("https://www.kleinanzeigen.de/s-anzeige/slingshot-code-8-10-12qm-kein-north-naish-dutone-core/2874937968-230-1747", "Link")</f>
        <v/>
      </c>
      <c r="H263" s="6">
        <f>HYPERLINK("C:\Projects\Kleinanzeigen-Scraper\offer_images\2874937968", "Link")</f>
        <v/>
      </c>
      <c r="I263" t="inlineStr">
        <is>
          <t>Josephine Petrat</t>
        </is>
      </c>
      <c r="J263" s="6">
        <f>HYPERLINK("https://www.kleinanzeigen.de/s-bestandsliste.html?userId=27687333", "Link")</f>
        <v/>
      </c>
      <c r="K263" s="7" t="n">
        <v>45562.74020833334</v>
      </c>
      <c r="L263" s="3" t="inlineStr">
        <is>
          <t>43.15</t>
        </is>
      </c>
      <c r="M263" t="inlineStr">
        <is>
          <t>Köln</t>
        </is>
      </c>
    </row>
    <row r="264">
      <c r="A264" t="inlineStr">
        <is>
          <t>Solo Goya Triton Acrylic-Farbe, Weinrot, 750 ml, NEU</t>
        </is>
      </c>
      <c r="B264" s="4" t="n">
        <v>6</v>
      </c>
      <c r="C264" t="inlineStr"/>
      <c r="D264" t="inlineStr">
        <is>
          <t>64297 Hessen - Darmstadt</t>
        </is>
      </c>
      <c r="E264" s="5" t="n">
        <v>45562</v>
      </c>
      <c r="F264" t="inlineStr"/>
      <c r="G264" s="6">
        <f>HYPERLINK("https://www.kleinanzeigen.de/s-anzeige/solo-goya-triton-acrylic-farbe-weinrot-750-ml-neu/2875008012-282-4890", "Link")</f>
        <v/>
      </c>
      <c r="H264" s="6">
        <f>HYPERLINK("C:\Projects\Kleinanzeigen-Scraper\offer_images\2875008012", "Link")</f>
        <v/>
      </c>
      <c r="I264" t="inlineStr">
        <is>
          <t>N.S.</t>
        </is>
      </c>
      <c r="J264" s="6">
        <f>HYPERLINK("https://www.kleinanzeigen.de/s-bestandsliste.html?userId=80042538", "Link")</f>
        <v/>
      </c>
      <c r="K264" s="7" t="n">
        <v>45562.74015046296</v>
      </c>
      <c r="L264" s="3" t="inlineStr">
        <is>
          <t>92.80</t>
        </is>
      </c>
      <c r="M264" t="inlineStr">
        <is>
          <t>Karlsruhe</t>
        </is>
      </c>
    </row>
    <row r="265">
      <c r="A265" t="inlineStr">
        <is>
          <t>Ölzeug Latzhose Segelhose Gaastra</t>
        </is>
      </c>
      <c r="B265" s="4" t="n">
        <v>100</v>
      </c>
      <c r="C265" t="inlineStr">
        <is>
          <t>VB</t>
        </is>
      </c>
      <c r="D265" t="inlineStr">
        <is>
          <t>76344 Baden-Württemberg - Eggenstein-Leopoldshafen</t>
        </is>
      </c>
      <c r="E265" s="5" t="n">
        <v>45551</v>
      </c>
      <c r="F265" t="inlineStr"/>
      <c r="G265" s="6">
        <f>HYPERLINK("https://www.kleinanzeigen.de/s-anzeige/oelzeug-latzhose-segelhose-gaastra/2865344110-230-8827", "Link")</f>
        <v/>
      </c>
      <c r="H265" s="6">
        <f>HYPERLINK("C:\Projects\Kleinanzeigen-Scraper\offer_images\2865344110", "Link")</f>
        <v/>
      </c>
      <c r="I265" t="inlineStr">
        <is>
          <t>Schönenberger</t>
        </is>
      </c>
      <c r="J265" s="6">
        <f>HYPERLINK("https://www.kleinanzeigen.de/s-bestandsliste.html?userId=20746307", "Link")</f>
        <v/>
      </c>
      <c r="K265" s="7" t="n">
        <v>45562.74013888889</v>
      </c>
      <c r="L265" s="3" t="inlineStr">
        <is>
          <t>9.65</t>
        </is>
      </c>
      <c r="M265" t="inlineStr">
        <is>
          <t>Karlsruhe</t>
        </is>
      </c>
    </row>
    <row r="266">
      <c r="A266" t="inlineStr">
        <is>
          <t>5-Leiner North-Bar, Leinenlänge 24 Meter +Verlängerungen</t>
        </is>
      </c>
      <c r="B266" s="4" t="n">
        <v>200</v>
      </c>
      <c r="C266" t="inlineStr">
        <is>
          <t>VB</t>
        </is>
      </c>
      <c r="D266" t="inlineStr">
        <is>
          <t>17509 Mecklenburg-Vorpommern - Loissin</t>
        </is>
      </c>
      <c r="E266" s="5" t="n">
        <v>45562</v>
      </c>
      <c r="F266" t="inlineStr">
        <is>
          <t>Sold</t>
        </is>
      </c>
      <c r="G266" s="6">
        <f>HYPERLINK("https://www.kleinanzeigen.de/s-anzeige/5-leiner-north-bar-leinenlaenge-24-meter-verlaengerungen/2875293323-230-21340", "Link")</f>
        <v/>
      </c>
      <c r="H266" s="6">
        <f>HYPERLINK("C:\Projects\Kleinanzeigen-Scraper\offer_images\2875293323", "Link")</f>
        <v/>
      </c>
      <c r="I266" t="inlineStr">
        <is>
          <t>Klaus Jüngling</t>
        </is>
      </c>
      <c r="J266" s="6">
        <f>HYPERLINK("https://www.kleinanzeigen.de/s-bestandsliste.html?userId=81490153", "Link")</f>
        <v/>
      </c>
      <c r="K266" s="7" t="n">
        <v>45562.73983796296</v>
      </c>
      <c r="L266" s="3" t="inlineStr">
        <is>
          <t>568.47</t>
        </is>
      </c>
      <c r="M266" t="inlineStr">
        <is>
          <t>Köln</t>
        </is>
      </c>
    </row>
    <row r="267">
      <c r="A267" t="inlineStr">
        <is>
          <t>Montana Cans Emoji Vandals Collection</t>
        </is>
      </c>
      <c r="B267" s="4" t="n">
        <v>200</v>
      </c>
      <c r="C267" t="inlineStr"/>
      <c r="D267" t="inlineStr">
        <is>
          <t>70180 Stuttgart - Stuttgart-Süd</t>
        </is>
      </c>
      <c r="E267" s="5" t="n">
        <v>45561</v>
      </c>
      <c r="F267" t="inlineStr"/>
      <c r="G267" s="6">
        <f>HYPERLINK("https://www.kleinanzeigen.de/s-anzeige/montana-cans-emoji-vandals-collection/2874761346-234-9281", "Link")</f>
        <v/>
      </c>
      <c r="H267" s="6">
        <f>HYPERLINK("C:\Projects\Kleinanzeigen-Scraper\offer_images\2874761346", "Link")</f>
        <v/>
      </c>
      <c r="I267" t="inlineStr">
        <is>
          <t>Lenny</t>
        </is>
      </c>
      <c r="J267" s="6">
        <f>HYPERLINK("https://www.kleinanzeigen.de/s-bestandsliste.html?userId=92917539", "Link")</f>
        <v/>
      </c>
      <c r="K267" s="7" t="n">
        <v>45562.73925925926</v>
      </c>
      <c r="L267" s="3" t="inlineStr">
        <is>
          <t>17.51</t>
        </is>
      </c>
      <c r="M267" t="inlineStr">
        <is>
          <t>Böblingen</t>
        </is>
      </c>
    </row>
    <row r="268">
      <c r="A268" t="inlineStr">
        <is>
          <t>Bootsrute WFT 68 North LTC 2,10m 30 lbs unbenutzt</t>
        </is>
      </c>
      <c r="B268" s="4" t="n">
        <v>110</v>
      </c>
      <c r="C268" t="inlineStr"/>
      <c r="D268" t="inlineStr">
        <is>
          <t>61273 Hessen - Wehrheim</t>
        </is>
      </c>
      <c r="E268" s="5" t="n">
        <v>45562</v>
      </c>
      <c r="F268" t="inlineStr"/>
      <c r="G268" s="6">
        <f>HYPERLINK("https://www.kleinanzeigen.de/s-anzeige/bootsrute-wft-68-north-ltc-2-10m-30-lbs-unbenutzt/2875020389-242-4537", "Link")</f>
        <v/>
      </c>
      <c r="H268" s="6">
        <f>HYPERLINK("C:\Projects\Kleinanzeigen-Scraper\offer_images\2875020389", "Link")</f>
        <v/>
      </c>
      <c r="I268" t="inlineStr">
        <is>
          <t>AZi</t>
        </is>
      </c>
      <c r="J268" s="6">
        <f>HYPERLINK("https://www.kleinanzeigen.de/s-bestandsliste.html?userId=6672111", "Link")</f>
        <v/>
      </c>
      <c r="K268" s="7" t="n">
        <v>45562.73909722222</v>
      </c>
      <c r="L268" s="3" t="inlineStr">
        <is>
          <t>135.10</t>
        </is>
      </c>
      <c r="M268" t="inlineStr">
        <is>
          <t>Köln</t>
        </is>
      </c>
    </row>
    <row r="269">
      <c r="A269" t="inlineStr">
        <is>
          <t>Steiff  Ornament Teddy on a Sleigh North America limitiert</t>
        </is>
      </c>
      <c r="B269" s="4" t="n">
        <v>100</v>
      </c>
      <c r="C269" t="inlineStr"/>
      <c r="D269" t="inlineStr">
        <is>
          <t>58256 Nordrhein-Westfalen - Ennepetal</t>
        </is>
      </c>
      <c r="E269" s="5" t="n">
        <v>45560</v>
      </c>
      <c r="F269" t="inlineStr"/>
      <c r="G269" s="6">
        <f>HYPERLINK("https://www.kleinanzeigen.de/s-anzeige/steiff-ornament-teddy-on-a-sleigh-north-america-limitiert/2873521898-234-1548", "Link")</f>
        <v/>
      </c>
      <c r="H269" s="6">
        <f>HYPERLINK("C:\Projects\Kleinanzeigen-Scraper\offer_images\2873521898", "Link")</f>
        <v/>
      </c>
      <c r="I269" t="inlineStr">
        <is>
          <t>Alpa-Bike</t>
        </is>
      </c>
      <c r="J269" s="6">
        <f>HYPERLINK("https://www.kleinanzeigen.de/s-bestandsliste.html?userId=136934845", "Link")</f>
        <v/>
      </c>
      <c r="K269" s="7" t="n">
        <v>45561.67695601852</v>
      </c>
      <c r="L269" s="3" t="inlineStr">
        <is>
          <t>46.87</t>
        </is>
      </c>
      <c r="M269" t="inlineStr">
        <is>
          <t>Köln</t>
        </is>
      </c>
    </row>
    <row r="270">
      <c r="A270" t="inlineStr">
        <is>
          <t>Sitztrapez Gaastra (Gr.S) und / oder North Sails (Gr.S) je 25€</t>
        </is>
      </c>
      <c r="B270" s="4" t="n">
        <v>25</v>
      </c>
      <c r="C270" t="inlineStr">
        <is>
          <t>VB</t>
        </is>
      </c>
      <c r="D270" t="inlineStr">
        <is>
          <t>21271 Niedersachsen - Hanstedt</t>
        </is>
      </c>
      <c r="E270" s="5" t="n">
        <v>45560</v>
      </c>
      <c r="F270" t="inlineStr">
        <is>
          <t>Sold</t>
        </is>
      </c>
      <c r="G270" s="6">
        <f>HYPERLINK("https://www.kleinanzeigen.de/s-anzeige/sitztrapez-gaastra-gr-s-und-oder-north-sails-gr-s-je-25-/2873536246-230-3320", "Link")</f>
        <v/>
      </c>
      <c r="H270" s="6">
        <f>HYPERLINK("C:\Projects\Kleinanzeigen-Scraper\offer_images\2873536246", "Link")</f>
        <v/>
      </c>
      <c r="I270" t="inlineStr">
        <is>
          <t>Stephan R.</t>
        </is>
      </c>
      <c r="J270" s="6">
        <f>HYPERLINK("https://www.kleinanzeigen.de/s-bestandsliste.html?userId=40370940", "Link")</f>
        <v/>
      </c>
      <c r="K270" s="7" t="n">
        <v>45561.67667824074</v>
      </c>
      <c r="L270" s="3" t="inlineStr">
        <is>
          <t>330.14</t>
        </is>
      </c>
      <c r="M270" t="inlineStr">
        <is>
          <t>Köln</t>
        </is>
      </c>
    </row>
    <row r="271">
      <c r="A271" t="inlineStr">
        <is>
          <t>Paddel paddle standup paddling sup naish keiki</t>
        </is>
      </c>
      <c r="B271" s="4" t="n">
        <v>20</v>
      </c>
      <c r="C271" t="inlineStr">
        <is>
          <t>VB</t>
        </is>
      </c>
      <c r="D271" t="inlineStr">
        <is>
          <t>65203 Hessen - Wiesbaden</t>
        </is>
      </c>
      <c r="E271" s="5" t="n">
        <v>45560</v>
      </c>
      <c r="F271" t="inlineStr"/>
      <c r="G271" s="6">
        <f>HYPERLINK("https://www.kleinanzeigen.de/s-anzeige/paddel-paddle-standup-paddling-sup-naish-keiki/2873980060-230-4901", "Link")</f>
        <v/>
      </c>
      <c r="H271" s="6">
        <f>HYPERLINK("C:\Projects\Kleinanzeigen-Scraper\offer_images\2873980060", "Link")</f>
        <v/>
      </c>
      <c r="I271" t="inlineStr">
        <is>
          <t>Sönke</t>
        </is>
      </c>
      <c r="J271" s="6">
        <f>HYPERLINK("https://www.kleinanzeigen.de/s-bestandsliste.html?userId=38263787", "Link")</f>
        <v/>
      </c>
      <c r="K271" s="7" t="n">
        <v>45561.6761574074</v>
      </c>
      <c r="L271" s="3" t="inlineStr">
        <is>
          <t>115.59</t>
        </is>
      </c>
      <c r="M271" t="inlineStr">
        <is>
          <t>Karlsruhe</t>
        </is>
      </c>
    </row>
    <row r="272">
      <c r="A272" t="inlineStr">
        <is>
          <t>Duotone-North  rebel 12qm aus 2014</t>
        </is>
      </c>
      <c r="B272" s="4" t="n">
        <v>214</v>
      </c>
      <c r="C272" t="inlineStr">
        <is>
          <t>VB</t>
        </is>
      </c>
      <c r="D272" t="inlineStr">
        <is>
          <t>17509 Mecklenburg-Vorpommern - Loissin</t>
        </is>
      </c>
      <c r="E272" s="5" t="n">
        <v>45560</v>
      </c>
      <c r="F272" t="inlineStr"/>
      <c r="G272" s="6">
        <f>HYPERLINK("https://www.kleinanzeigen.de/s-anzeige/duotone-north-rebel-12qm-aus-2014/2873574313-230-21340", "Link")</f>
        <v/>
      </c>
      <c r="H272" s="6">
        <f>HYPERLINK("C:\Projects\Kleinanzeigen-Scraper\offer_images\2873574313", "Link")</f>
        <v/>
      </c>
      <c r="I272" t="inlineStr">
        <is>
          <t>Klaus Jüngling</t>
        </is>
      </c>
      <c r="J272" s="6">
        <f>HYPERLINK("https://www.kleinanzeigen.de/s-bestandsliste.html?userId=81490153", "Link")</f>
        <v/>
      </c>
      <c r="K272" s="7" t="n">
        <v>45561.67563657407</v>
      </c>
      <c r="L272" s="3" t="inlineStr">
        <is>
          <t>568.47</t>
        </is>
      </c>
      <c r="M272" t="inlineStr">
        <is>
          <t>Köln</t>
        </is>
      </c>
    </row>
    <row r="273">
      <c r="A273" t="inlineStr">
        <is>
          <t>Wat-Schuhe Simms</t>
        </is>
      </c>
      <c r="B273" s="4" t="n">
        <v>129</v>
      </c>
      <c r="C273" t="inlineStr"/>
      <c r="D273" t="inlineStr">
        <is>
          <t>37441 Niedersachsen - Bad Sachsa</t>
        </is>
      </c>
      <c r="E273" s="5" t="n">
        <v>45560</v>
      </c>
      <c r="F273" t="inlineStr"/>
      <c r="G273" s="6">
        <f>HYPERLINK("https://www.kleinanzeigen.de/s-anzeige/wat-schuhe-simms/2873535495-230-3579", "Link")</f>
        <v/>
      </c>
      <c r="H273" s="6">
        <f>HYPERLINK("C:\Projects\Kleinanzeigen-Scraper\offer_images\2873535495", "Link")</f>
        <v/>
      </c>
      <c r="I273" t="inlineStr">
        <is>
          <t>T. S. B.</t>
        </is>
      </c>
      <c r="J273" s="6">
        <f>HYPERLINK("https://www.kleinanzeigen.de/s-bestandsliste.html?userId=94408606", "Link")</f>
        <v/>
      </c>
      <c r="K273" s="7" t="n">
        <v>45561.67539351852</v>
      </c>
      <c r="L273" s="3" t="inlineStr">
        <is>
          <t>259.39</t>
        </is>
      </c>
      <c r="M273" t="inlineStr">
        <is>
          <t>Köln</t>
        </is>
      </c>
    </row>
    <row r="274">
      <c r="A274" t="inlineStr">
        <is>
          <t>Neilpryde Foil Glide Slim Medium - Powerbox 80cm Windsurf Surf</t>
        </is>
      </c>
      <c r="B274" s="4" t="n">
        <v>550</v>
      </c>
      <c r="C274" t="inlineStr">
        <is>
          <t>VB</t>
        </is>
      </c>
      <c r="D274" t="inlineStr">
        <is>
          <t>82266 Bayern - Inning am Ammersee</t>
        </is>
      </c>
      <c r="E274" s="5" t="n">
        <v>45560</v>
      </c>
      <c r="F274" t="inlineStr"/>
      <c r="G274" s="6">
        <f>HYPERLINK("https://www.kleinanzeigen.de/s-anzeige/neilpryde-foil-glide-slim-medium-powerbox-80cm-windsurf-surf/2874001150-230-6358", "Link")</f>
        <v/>
      </c>
      <c r="H274" s="6">
        <f>HYPERLINK("C:\Projects\Kleinanzeigen-Scraper\offer_images\2874001150", "Link")</f>
        <v/>
      </c>
      <c r="I274" t="inlineStr">
        <is>
          <t>Florian</t>
        </is>
      </c>
      <c r="J274" s="6">
        <f>HYPERLINK("https://www.kleinanzeigen.de/s-bestandsliste.html?userId=13817697", "Link")</f>
        <v/>
      </c>
      <c r="K274" s="7" t="n">
        <v>45561.67537037037</v>
      </c>
      <c r="L274" s="3" t="inlineStr">
        <is>
          <t>31.93</t>
        </is>
      </c>
      <c r="M274" t="inlineStr">
        <is>
          <t>München</t>
        </is>
      </c>
    </row>
    <row r="275">
      <c r="A275" t="inlineStr">
        <is>
          <t>Northern Trek Performance Walkingstöcke 125 cm</t>
        </is>
      </c>
      <c r="B275" s="4" t="n">
        <v>8</v>
      </c>
      <c r="C275" t="inlineStr"/>
      <c r="D275" t="inlineStr">
        <is>
          <t>90602 Bayern - Pyrbaum</t>
        </is>
      </c>
      <c r="E275" s="5" t="n">
        <v>45560</v>
      </c>
      <c r="F275" t="inlineStr"/>
      <c r="G275" s="6">
        <f>HYPERLINK("https://www.kleinanzeigen.de/s-anzeige/northern-trek-performance-walkingstoecke-125-cm/2873910683-230-6091", "Link")</f>
        <v/>
      </c>
      <c r="H275" s="6">
        <f>HYPERLINK("C:\Projects\Kleinanzeigen-Scraper\offer_images\2873910683", "Link")</f>
        <v/>
      </c>
      <c r="I275" t="inlineStr">
        <is>
          <t>Sabine Murphy</t>
        </is>
      </c>
      <c r="J275" s="6">
        <f>HYPERLINK("https://www.kleinanzeigen.de/s-bestandsliste.html?userId=9374741", "Link")</f>
        <v/>
      </c>
      <c r="K275" s="7" t="n">
        <v>45561.67527777778</v>
      </c>
      <c r="L275" s="3" t="inlineStr">
        <is>
          <t>130.29</t>
        </is>
      </c>
      <c r="M275" t="inlineStr">
        <is>
          <t>München</t>
        </is>
      </c>
    </row>
    <row r="276">
      <c r="A276" t="inlineStr">
        <is>
          <t>Fliegenschnur Wychwood Presentation #5 F NEU, no Simms, Rio, Sage</t>
        </is>
      </c>
      <c r="B276" s="4" t="n">
        <v>29</v>
      </c>
      <c r="C276" t="inlineStr"/>
      <c r="D276" t="inlineStr">
        <is>
          <t>33178 Nordrhein-Westfalen - Borchen</t>
        </is>
      </c>
      <c r="E276" s="5" t="n">
        <v>45560</v>
      </c>
      <c r="F276" t="inlineStr"/>
      <c r="G276" s="6">
        <f>HYPERLINK("https://www.kleinanzeigen.de/s-anzeige/fliegenschnur-wychwood-presentation-5-f-neu-no-simms-rio-sage/2873964659-230-2159", "Link")</f>
        <v/>
      </c>
      <c r="H276" s="6">
        <f>HYPERLINK("C:\Projects\Kleinanzeigen-Scraper\offer_images\2873964659", "Link")</f>
        <v/>
      </c>
      <c r="I276" t="inlineStr">
        <is>
          <t>Werner</t>
        </is>
      </c>
      <c r="J276" s="6">
        <f>HYPERLINK("https://www.kleinanzeigen.de/s-bestandsliste.html?userId=14968482", "Link")</f>
        <v/>
      </c>
      <c r="K276" s="7" t="n">
        <v>45561.67523148148</v>
      </c>
      <c r="L276" s="3" t="inlineStr">
        <is>
          <t>147.29</t>
        </is>
      </c>
      <c r="M276" t="inlineStr">
        <is>
          <t>Köln</t>
        </is>
      </c>
    </row>
    <row r="277">
      <c r="A277" t="inlineStr">
        <is>
          <t>Naish Weste Defender SUP etc.</t>
        </is>
      </c>
      <c r="B277" s="4" t="n">
        <v>50</v>
      </c>
      <c r="C277" t="inlineStr">
        <is>
          <t>VB</t>
        </is>
      </c>
      <c r="D277" t="inlineStr">
        <is>
          <t>14712 Brandenburg - Rathenow</t>
        </is>
      </c>
      <c r="E277" s="5" t="n">
        <v>45561</v>
      </c>
      <c r="F277" t="inlineStr">
        <is>
          <t>Sold</t>
        </is>
      </c>
      <c r="G277" s="6">
        <f>HYPERLINK("https://www.kleinanzeigen.de/s-anzeige/naish-weste-defender-sup-etc-/2874247743-230-7819", "Link")</f>
        <v/>
      </c>
      <c r="H277" s="6">
        <f>HYPERLINK("C:\Projects\Kleinanzeigen-Scraper\offer_images\2874247743", "Link")</f>
        <v/>
      </c>
      <c r="I277" t="inlineStr">
        <is>
          <t>Uwe</t>
        </is>
      </c>
      <c r="J277" s="6">
        <f>HYPERLINK("https://www.kleinanzeigen.de/s-bestandsliste.html?userId=49951128", "Link")</f>
        <v/>
      </c>
      <c r="K277" s="7" t="n">
        <v>45561.67474537037</v>
      </c>
      <c r="L277" s="3" t="inlineStr">
        <is>
          <t>413.49</t>
        </is>
      </c>
      <c r="M277" t="inlineStr">
        <is>
          <t>Köln</t>
        </is>
      </c>
    </row>
    <row r="278">
      <c r="A278" t="inlineStr">
        <is>
          <t>Staffelei, Buchenholz, Modell Goya Solo</t>
        </is>
      </c>
      <c r="B278" s="4" t="n">
        <v>20</v>
      </c>
      <c r="C278" t="inlineStr">
        <is>
          <t>VB</t>
        </is>
      </c>
      <c r="D278" t="inlineStr">
        <is>
          <t>53489 Rheinland-Pfalz - Sinzig</t>
        </is>
      </c>
      <c r="E278" s="5" t="n">
        <v>45560</v>
      </c>
      <c r="F278" t="inlineStr"/>
      <c r="G278" s="6">
        <f>HYPERLINK("https://www.kleinanzeigen.de/s-anzeige/staffelei-buchenholz-modell-goya-solo/2873850432-191-5397", "Link")</f>
        <v/>
      </c>
      <c r="H278" s="6">
        <f>HYPERLINK("C:\Projects\Kleinanzeigen-Scraper\offer_images\2873850432", "Link")</f>
        <v/>
      </c>
      <c r="I278" t="inlineStr">
        <is>
          <t>Ibl</t>
        </is>
      </c>
      <c r="J278" s="6">
        <f>HYPERLINK("https://www.kleinanzeigen.de/s-bestandsliste.html?userId=7166724", "Link")</f>
        <v/>
      </c>
      <c r="K278" s="7" t="n">
        <v>45561.67427083333</v>
      </c>
      <c r="L278" s="3" t="inlineStr">
        <is>
          <t>49.32</t>
        </is>
      </c>
      <c r="M278" t="inlineStr">
        <is>
          <t>Köln</t>
        </is>
      </c>
    </row>
    <row r="279">
      <c r="A279" t="inlineStr">
        <is>
          <t>Snowboard - Fanatic</t>
        </is>
      </c>
      <c r="B279" s="4" t="n">
        <v>20</v>
      </c>
      <c r="C279" t="inlineStr"/>
      <c r="D279" t="inlineStr">
        <is>
          <t>73434 Baden-Württemberg - Aalen</t>
        </is>
      </c>
      <c r="E279" s="5" t="n">
        <v>45561</v>
      </c>
      <c r="F279" t="inlineStr"/>
      <c r="G279" s="6">
        <f>HYPERLINK("https://www.kleinanzeigen.de/s-anzeige/snowboard-fanatic/2874239585-187-17346", "Link")</f>
        <v/>
      </c>
      <c r="H279" s="6">
        <f>HYPERLINK("C:\Projects\Kleinanzeigen-Scraper\offer_images\2874239585", "Link")</f>
        <v/>
      </c>
      <c r="I279" t="inlineStr">
        <is>
          <t>Thomas Weiler</t>
        </is>
      </c>
      <c r="J279" s="6">
        <f>HYPERLINK("https://www.kleinanzeigen.de/s-bestandsliste.html?userId=25756408", "Link")</f>
        <v/>
      </c>
      <c r="K279" s="7" t="n">
        <v>45561.67379629629</v>
      </c>
      <c r="L279" s="3" t="inlineStr">
        <is>
          <t>79.65</t>
        </is>
      </c>
      <c r="M279" t="inlineStr">
        <is>
          <t>Böblingen</t>
        </is>
      </c>
    </row>
    <row r="280">
      <c r="A280" t="inlineStr">
        <is>
          <t>RRD Carbon Paddel Razzle 2,10m, Size 85 Fix gebraucht</t>
        </is>
      </c>
      <c r="B280" s="4" t="n">
        <v>60</v>
      </c>
      <c r="C280" t="inlineStr">
        <is>
          <t>VB</t>
        </is>
      </c>
      <c r="D280" t="inlineStr">
        <is>
          <t>83209 Bayern - Prien</t>
        </is>
      </c>
      <c r="E280" s="5" t="n">
        <v>45560</v>
      </c>
      <c r="F280" t="inlineStr"/>
      <c r="G280" s="6">
        <f>HYPERLINK("https://www.kleinanzeigen.de/s-anzeige/rrd-carbon-paddel-razzle-2-10m-size-85-fix-gebraucht/2873692903-230-7561", "Link")</f>
        <v/>
      </c>
      <c r="H280" s="6">
        <f>HYPERLINK("C:\Projects\Kleinanzeigen-Scraper\offer_images\2873692903", "Link")</f>
        <v/>
      </c>
      <c r="I280" t="inlineStr">
        <is>
          <t>Dominique Grabmann</t>
        </is>
      </c>
      <c r="J280" s="6">
        <f>HYPERLINK("https://www.kleinanzeigen.de/s-bestandsliste.html?userId=14886842", "Link")</f>
        <v/>
      </c>
      <c r="K280" s="7" t="n">
        <v>45561.67342592592</v>
      </c>
      <c r="L280" s="3" t="inlineStr">
        <is>
          <t>68.56</t>
        </is>
      </c>
      <c r="M280" t="inlineStr">
        <is>
          <t>München</t>
        </is>
      </c>
    </row>
    <row r="281">
      <c r="A281" t="inlineStr">
        <is>
          <t>SUP JP Australia Allrounder Air SL 11“</t>
        </is>
      </c>
      <c r="B281" s="4" t="n">
        <v>290</v>
      </c>
      <c r="C281" t="inlineStr">
        <is>
          <t>VB</t>
        </is>
      </c>
      <c r="D281" t="inlineStr">
        <is>
          <t>22339 Wandsbek - Hamburg Hummelsbüttel</t>
        </is>
      </c>
      <c r="E281" s="5" t="n">
        <v>45561</v>
      </c>
      <c r="F281" t="inlineStr"/>
      <c r="G281" s="6">
        <f>HYPERLINK("https://www.kleinanzeigen.de/s-anzeige/sup-jp-australia-allrounder-air-sl-11-/2874152489-230-16415", "Link")</f>
        <v/>
      </c>
      <c r="H281" s="6">
        <f>HYPERLINK("C:\Projects\Kleinanzeigen-Scraper\offer_images\2874152489", "Link")</f>
        <v/>
      </c>
      <c r="I281" t="inlineStr">
        <is>
          <t>Sinje H.</t>
        </is>
      </c>
      <c r="J281" s="6">
        <f>HYPERLINK("https://www.kleinanzeigen.de/s-bestandsliste.html?userId=45515771", "Link")</f>
        <v/>
      </c>
      <c r="K281" s="7" t="n">
        <v>45561.67318287037</v>
      </c>
      <c r="L281" s="3" t="inlineStr">
        <is>
          <t>366.73</t>
        </is>
      </c>
      <c r="M281" t="inlineStr">
        <is>
          <t>Köln</t>
        </is>
      </c>
    </row>
    <row r="282">
      <c r="A282" t="inlineStr">
        <is>
          <t>Hobby Fliegenfischen Watjacke Simms</t>
        </is>
      </c>
      <c r="B282" s="4" t="n">
        <v>100</v>
      </c>
      <c r="C282" t="inlineStr">
        <is>
          <t>VB</t>
        </is>
      </c>
      <c r="D282" t="inlineStr">
        <is>
          <t>59929 Nordrhein-Westfalen - Brilon</t>
        </is>
      </c>
      <c r="E282" s="5" t="n">
        <v>45560</v>
      </c>
      <c r="F282" t="inlineStr">
        <is>
          <t>Sold</t>
        </is>
      </c>
      <c r="G282" s="6">
        <f>HYPERLINK("https://www.kleinanzeigen.de/s-anzeige/hobby-fliegenfischen-watjacke-simms/2873535308-230-1269", "Link")</f>
        <v/>
      </c>
      <c r="H282" s="6">
        <f>HYPERLINK("C:\Projects\Kleinanzeigen-Scraper\offer_images\2873535308", "Link")</f>
        <v/>
      </c>
      <c r="I282" t="inlineStr">
        <is>
          <t>Privat</t>
        </is>
      </c>
      <c r="J282" s="6">
        <f>HYPERLINK("https://www.kleinanzeigen.de/s-bestandsliste.html?userId=21898758", "Link")</f>
        <v/>
      </c>
      <c r="K282" s="7" t="n">
        <v>45561.67315972222</v>
      </c>
      <c r="L282" s="3" t="inlineStr">
        <is>
          <t>125.21</t>
        </is>
      </c>
      <c r="M282" t="inlineStr">
        <is>
          <t>Köln</t>
        </is>
      </c>
    </row>
    <row r="283">
      <c r="A283" t="inlineStr">
        <is>
          <t>Sage Fliegenfischerhut XL, nicht Patagonia, Simms, Fjällräven</t>
        </is>
      </c>
      <c r="B283" s="4" t="n">
        <v>30</v>
      </c>
      <c r="C283" t="inlineStr">
        <is>
          <t>VB</t>
        </is>
      </c>
      <c r="D283" t="inlineStr">
        <is>
          <t>44141 Dortmund - Mitte</t>
        </is>
      </c>
      <c r="E283" s="5" t="n">
        <v>45561</v>
      </c>
      <c r="F283" t="inlineStr">
        <is>
          <t>Sold</t>
        </is>
      </c>
      <c r="G283" s="6">
        <f>HYPERLINK("https://www.kleinanzeigen.de/s-anzeige/sage-fliegenfischerhut-xl-nicht-patagonia-simms-fjaellraeven/2874285262-230-16814", "Link")</f>
        <v/>
      </c>
      <c r="H283" s="6">
        <f>HYPERLINK("C:\Projects\Kleinanzeigen-Scraper\offer_images\2874285262", "Link")</f>
        <v/>
      </c>
      <c r="I283" t="inlineStr">
        <is>
          <t>Oliver</t>
        </is>
      </c>
      <c r="J283" s="6">
        <f>HYPERLINK("https://www.kleinanzeigen.de/s-bestandsliste.html?userId=10547893", "Link")</f>
        <v/>
      </c>
      <c r="K283" s="7" t="n">
        <v>45561.67313657407</v>
      </c>
      <c r="L283" s="3" t="inlineStr">
        <is>
          <t>73.56</t>
        </is>
      </c>
      <c r="M283" t="inlineStr">
        <is>
          <t>Köln</t>
        </is>
      </c>
    </row>
    <row r="284">
      <c r="A284" t="inlineStr">
        <is>
          <t>Neu! Fanatic Gearbag  Pure SUP</t>
        </is>
      </c>
      <c r="B284" s="4" t="n">
        <v>65</v>
      </c>
      <c r="C284" t="inlineStr">
        <is>
          <t>VB</t>
        </is>
      </c>
      <c r="D284" t="inlineStr">
        <is>
          <t>79618 Baden-Württemberg - Rheinfelden (Baden)</t>
        </is>
      </c>
      <c r="E284" s="5" t="n">
        <v>45561</v>
      </c>
      <c r="F284" t="inlineStr"/>
      <c r="G284" s="6">
        <f>HYPERLINK("https://www.kleinanzeigen.de/s-anzeige/neu-fanatic-gearbag-pure-sup/2874500108-230-8169", "Link")</f>
        <v/>
      </c>
      <c r="H284" s="6">
        <f>HYPERLINK("C:\Projects\Kleinanzeigen-Scraper\offer_images\2874500108", "Link")</f>
        <v/>
      </c>
      <c r="I284" t="inlineStr">
        <is>
          <t>Lena Bürk</t>
        </is>
      </c>
      <c r="J284" s="6">
        <f>HYPERLINK("https://www.kleinanzeigen.de/s-bestandsliste.html?userId=27252318", "Link")</f>
        <v/>
      </c>
      <c r="K284" s="7" t="n">
        <v>45561.67210648148</v>
      </c>
      <c r="L284" s="3" t="inlineStr">
        <is>
          <t>49.46</t>
        </is>
      </c>
      <c r="M284" t="inlineStr">
        <is>
          <t>Bonndorf</t>
        </is>
      </c>
    </row>
    <row r="285">
      <c r="A285" t="inlineStr">
        <is>
          <t>Neilpryde Prallschutzweste</t>
        </is>
      </c>
      <c r="B285" s="4" t="n">
        <v>15</v>
      </c>
      <c r="C285" t="inlineStr"/>
      <c r="D285" t="inlineStr">
        <is>
          <t>20459 Hamburg-Mitte - Hamburg Neustadt</t>
        </is>
      </c>
      <c r="E285" s="5" t="n">
        <v>45561</v>
      </c>
      <c r="F285" t="inlineStr">
        <is>
          <t>Sold</t>
        </is>
      </c>
      <c r="G285" s="6">
        <f>HYPERLINK("https://www.kleinanzeigen.de/s-anzeige/neilpryde-prallschutzweste/2874389138-230-9422", "Link")</f>
        <v/>
      </c>
      <c r="H285" s="6">
        <f>HYPERLINK("C:\Projects\Kleinanzeigen-Scraper\offer_images\2874389138", "Link")</f>
        <v/>
      </c>
      <c r="I285" t="inlineStr">
        <is>
          <t>Maike</t>
        </is>
      </c>
      <c r="J285" s="6">
        <f>HYPERLINK("https://www.kleinanzeigen.de/s-bestandsliste.html?userId=90661099", "Link")</f>
        <v/>
      </c>
      <c r="K285" s="7" t="n">
        <v>45561.67195601852</v>
      </c>
      <c r="L285" s="3" t="inlineStr">
        <is>
          <t>355.64</t>
        </is>
      </c>
      <c r="M285" t="inlineStr">
        <is>
          <t>Köln</t>
        </is>
      </c>
    </row>
    <row r="286">
      <c r="A286" t="inlineStr">
        <is>
          <t>Ascan Windsurf Buggy</t>
        </is>
      </c>
      <c r="B286" s="4" t="n">
        <v>45</v>
      </c>
      <c r="C286" t="inlineStr"/>
      <c r="D286" t="inlineStr">
        <is>
          <t>12051 Berlin - Neukölln</t>
        </is>
      </c>
      <c r="E286" s="5" t="n">
        <v>45560</v>
      </c>
      <c r="F286" t="inlineStr"/>
      <c r="G286" s="6">
        <f>HYPERLINK("https://www.kleinanzeigen.de/s-anzeige/ascan-windsurf-buggy/2874025773-230-3393", "Link")</f>
        <v/>
      </c>
      <c r="H286" s="6">
        <f>HYPERLINK("C:\Projects\Kleinanzeigen-Scraper\offer_images\2874025773", "Link")</f>
        <v/>
      </c>
      <c r="I286" t="inlineStr">
        <is>
          <t>Bruno</t>
        </is>
      </c>
      <c r="J286" s="6">
        <f>HYPERLINK("https://www.kleinanzeigen.de/s-bestandsliste.html?userId=128587819", "Link")</f>
        <v/>
      </c>
      <c r="K286" s="7" t="n">
        <v>45561.67184027778</v>
      </c>
      <c r="L286" s="3" t="inlineStr">
        <is>
          <t>477.35</t>
        </is>
      </c>
      <c r="M286" t="inlineStr">
        <is>
          <t>Köln</t>
        </is>
      </c>
    </row>
    <row r="287">
      <c r="A287" t="inlineStr">
        <is>
          <t>Weste zum Fliegenfischen  G-Loomis (kein  Simms, Guideline, )</t>
        </is>
      </c>
      <c r="B287" s="4" t="n">
        <v>35</v>
      </c>
      <c r="C287" t="inlineStr"/>
      <c r="D287" t="inlineStr">
        <is>
          <t>23744 Kreis Ostholstein - Schönwalde</t>
        </is>
      </c>
      <c r="E287" s="5" t="n">
        <v>45560</v>
      </c>
      <c r="F287" t="inlineStr"/>
      <c r="G287" s="6">
        <f>HYPERLINK("https://www.kleinanzeigen.de/s-anzeige/weste-zum-fliegenfischen-g-loomis-kein-simms-guideline-/2873835949-230-451", "Link")</f>
        <v/>
      </c>
      <c r="H287" s="6">
        <f>HYPERLINK("C:\Projects\Kleinanzeigen-Scraper\offer_images\2873835949", "Link")</f>
        <v/>
      </c>
      <c r="I287" t="inlineStr">
        <is>
          <t>A.Mikkat</t>
        </is>
      </c>
      <c r="J287" s="6">
        <f>HYPERLINK("https://www.kleinanzeigen.de/s-bestandsliste.html?userId=69506294", "Link")</f>
        <v/>
      </c>
      <c r="K287" s="7" t="n">
        <v>45561.67170138889</v>
      </c>
      <c r="L287" s="3" t="inlineStr">
        <is>
          <t>444.90</t>
        </is>
      </c>
      <c r="M287" t="inlineStr">
        <is>
          <t>Köln</t>
        </is>
      </c>
    </row>
    <row r="288">
      <c r="A288" t="inlineStr">
        <is>
          <t>North Sails Mantel Gr S / M NP ca. 350€</t>
        </is>
      </c>
      <c r="B288" s="4" t="n">
        <v>70</v>
      </c>
      <c r="C288" t="inlineStr"/>
      <c r="D288" t="inlineStr">
        <is>
          <t>22529 Eimsbüttel - Hamburg Lokstedt</t>
        </is>
      </c>
      <c r="E288" s="5" t="n">
        <v>45561</v>
      </c>
      <c r="F288" t="inlineStr"/>
      <c r="G288" s="6">
        <f>HYPERLINK("https://www.kleinanzeigen.de/s-anzeige/north-sails-mantel-gr-s-m-np-ca-350-/2874316993-230-9436", "Link")</f>
        <v/>
      </c>
      <c r="H288" s="6">
        <f>HYPERLINK("C:\Projects\Kleinanzeigen-Scraper\offer_images\2874316993", "Link")</f>
        <v/>
      </c>
      <c r="I288" t="inlineStr">
        <is>
          <t>chris</t>
        </is>
      </c>
      <c r="J288" s="6">
        <f>HYPERLINK("https://www.kleinanzeigen.de/s-bestandsliste.html?userId=4433349", "Link")</f>
        <v/>
      </c>
      <c r="K288" s="7" t="n">
        <v>45561.67167824074</v>
      </c>
      <c r="L288" s="3" t="inlineStr">
        <is>
          <t>358.82</t>
        </is>
      </c>
      <c r="M288" t="inlineStr">
        <is>
          <t>Köln</t>
        </is>
      </c>
    </row>
    <row r="289">
      <c r="A289" t="inlineStr">
        <is>
          <t>Großes windsurf Neilpryde Board bag 310cm</t>
        </is>
      </c>
      <c r="B289" s="4" t="n">
        <v>150</v>
      </c>
      <c r="C289" t="inlineStr">
        <is>
          <t>VB</t>
        </is>
      </c>
      <c r="D289" t="inlineStr">
        <is>
          <t>82211 Bayern - Herrsching</t>
        </is>
      </c>
      <c r="E289" s="5" t="n">
        <v>45561</v>
      </c>
      <c r="F289" t="inlineStr"/>
      <c r="G289" s="6">
        <f>HYPERLINK("https://www.kleinanzeigen.de/s-anzeige/grosses-windsurf-neilpryde-board-bag-310cm/2874078411-230-5520", "Link")</f>
        <v/>
      </c>
      <c r="H289" s="6">
        <f>HYPERLINK("C:\Projects\Kleinanzeigen-Scraper\offer_images\2874078411", "Link")</f>
        <v/>
      </c>
      <c r="I289" t="inlineStr">
        <is>
          <t>Paul</t>
        </is>
      </c>
      <c r="J289" s="6">
        <f>HYPERLINK("https://www.kleinanzeigen.de/s-bestandsliste.html?userId=3420269", "Link")</f>
        <v/>
      </c>
      <c r="K289" s="7" t="n">
        <v>45561.6715625</v>
      </c>
      <c r="L289" s="3" t="inlineStr">
        <is>
          <t>32.73</t>
        </is>
      </c>
      <c r="M289" t="inlineStr">
        <is>
          <t>München</t>
        </is>
      </c>
    </row>
    <row r="290">
      <c r="A290" t="inlineStr">
        <is>
          <t>North Evo 8 (jetzt Duotone)</t>
        </is>
      </c>
      <c r="B290" s="4" t="n">
        <v>450</v>
      </c>
      <c r="C290" t="inlineStr">
        <is>
          <t>VB</t>
        </is>
      </c>
      <c r="D290" t="inlineStr">
        <is>
          <t>21107 Hamburg-Mitte - Hamburg Wilhelmsburg</t>
        </is>
      </c>
      <c r="E290" s="5" t="n">
        <v>45561</v>
      </c>
      <c r="F290" t="inlineStr"/>
      <c r="G290" s="6">
        <f>HYPERLINK("https://www.kleinanzeigen.de/s-anzeige/north-evo-8-jetzt-duotone-/2874255182-230-9441", "Link")</f>
        <v/>
      </c>
      <c r="H290" s="6">
        <f>HYPERLINK("C:\Projects\Kleinanzeigen-Scraper\offer_images\2874255182", "Link")</f>
        <v/>
      </c>
      <c r="I290" t="inlineStr">
        <is>
          <t>Alicia</t>
        </is>
      </c>
      <c r="J290" s="6">
        <f>HYPERLINK("https://www.kleinanzeigen.de/s-bestandsliste.html?userId=47332006", "Link")</f>
        <v/>
      </c>
      <c r="K290" s="7" t="n">
        <v>45561.67144675926</v>
      </c>
      <c r="L290" s="3" t="inlineStr">
        <is>
          <t>351.25</t>
        </is>
      </c>
      <c r="M290" t="inlineStr">
        <is>
          <t>Köln</t>
        </is>
      </c>
    </row>
    <row r="291">
      <c r="A291" t="inlineStr">
        <is>
          <t>Athearn H0 96005 GP 35 Missouri &amp; Northern Arkansas</t>
        </is>
      </c>
      <c r="B291" s="4" t="n">
        <v>60</v>
      </c>
      <c r="C291" t="inlineStr"/>
      <c r="D291" t="inlineStr">
        <is>
          <t>44879 Bochum - Bochum-Südwest</t>
        </is>
      </c>
      <c r="E291" s="5" t="n">
        <v>45561</v>
      </c>
      <c r="F291" t="inlineStr"/>
      <c r="G291" s="6">
        <f>HYPERLINK("https://www.kleinanzeigen.de/s-anzeige/athearn-h0-96005-gp-35-missouri-northern-arkansas/2874199507-249-1939", "Link")</f>
        <v/>
      </c>
      <c r="H291" s="6">
        <f>HYPERLINK("C:\Projects\Kleinanzeigen-Scraper\offer_images\2874199507", "Link")</f>
        <v/>
      </c>
      <c r="I291" t="inlineStr">
        <is>
          <t>Peter</t>
        </is>
      </c>
      <c r="J291" s="6">
        <f>HYPERLINK("https://www.kleinanzeigen.de/s-bestandsliste.html?userId=45716870", "Link")</f>
        <v/>
      </c>
      <c r="K291" s="7" t="n">
        <v>45561.67114583333</v>
      </c>
      <c r="L291" s="3" t="inlineStr">
        <is>
          <t>56.23</t>
        </is>
      </c>
      <c r="M291" t="inlineStr">
        <is>
          <t>Köln</t>
        </is>
      </c>
    </row>
    <row r="292">
      <c r="A292" t="inlineStr">
        <is>
          <t>Warcrow Northern Tribes + Ahlwardt + Würfel</t>
        </is>
      </c>
      <c r="B292" s="4" t="n">
        <v>60</v>
      </c>
      <c r="C292" t="inlineStr">
        <is>
          <t>VB</t>
        </is>
      </c>
      <c r="D292" t="inlineStr">
        <is>
          <t>18106 Rostock - Evershagen-Süd</t>
        </is>
      </c>
      <c r="E292" s="5" t="n">
        <v>45561</v>
      </c>
      <c r="F292" t="inlineStr">
        <is>
          <t>Sold</t>
        </is>
      </c>
      <c r="G292" s="6">
        <f>HYPERLINK("https://www.kleinanzeigen.de/s-anzeige/warcrow-northern-tribes-ahlwardt-wuerfel/2874391964-249-21043", "Link")</f>
        <v/>
      </c>
      <c r="H292" s="6">
        <f>HYPERLINK("C:\Projects\Kleinanzeigen-Scraper\offer_images\2874391964", "Link")</f>
        <v/>
      </c>
      <c r="I292" t="inlineStr">
        <is>
          <t>David</t>
        </is>
      </c>
      <c r="J292" s="6">
        <f>HYPERLINK("https://www.kleinanzeigen.de/s-bestandsliste.html?userId=26417165", "Link")</f>
        <v/>
      </c>
      <c r="K292" s="7" t="n">
        <v>45561.67109953704</v>
      </c>
      <c r="L292" s="3" t="inlineStr">
        <is>
          <t>494.44</t>
        </is>
      </c>
      <c r="M292" t="inlineStr">
        <is>
          <t>Köln</t>
        </is>
      </c>
    </row>
    <row r="293">
      <c r="A293" t="inlineStr">
        <is>
          <t>Tricktionary 3 Windsurf Bibel</t>
        </is>
      </c>
      <c r="B293" s="4" t="n">
        <v>20</v>
      </c>
      <c r="C293" t="inlineStr">
        <is>
          <t>VB</t>
        </is>
      </c>
      <c r="D293" t="inlineStr">
        <is>
          <t>21073 Hamburg - Harburg</t>
        </is>
      </c>
      <c r="E293" s="5" t="n">
        <v>45561</v>
      </c>
      <c r="F293" t="inlineStr">
        <is>
          <t>Sold</t>
        </is>
      </c>
      <c r="G293" s="6">
        <f>HYPERLINK("https://www.kleinanzeigen.de/s-anzeige/tricktionary-3-windsurf-bibel/2874341361-230-9445", "Link")</f>
        <v/>
      </c>
      <c r="H293" s="6">
        <f>HYPERLINK("C:\Projects\Kleinanzeigen-Scraper\offer_images\2874341361", "Link")</f>
        <v/>
      </c>
      <c r="I293" t="inlineStr">
        <is>
          <t>P.B.</t>
        </is>
      </c>
      <c r="J293" s="6">
        <f>HYPERLINK("https://www.kleinanzeigen.de/s-bestandsliste.html?userId=10381468", "Link")</f>
        <v/>
      </c>
      <c r="K293" s="7" t="n">
        <v>45561.67045138889</v>
      </c>
      <c r="L293" s="3" t="inlineStr">
        <is>
          <t>347.50</t>
        </is>
      </c>
      <c r="M293" t="inlineStr">
        <is>
          <t>Köln</t>
        </is>
      </c>
    </row>
    <row r="294">
      <c r="A294" t="inlineStr">
        <is>
          <t>Custom Pro Scooter / Stuntscooter Tilt, Proto, North</t>
        </is>
      </c>
      <c r="B294" s="4" t="n">
        <v>500</v>
      </c>
      <c r="C294" t="inlineStr">
        <is>
          <t>VB</t>
        </is>
      </c>
      <c r="D294" t="inlineStr">
        <is>
          <t>78224 Baden-Württemberg - Singen</t>
        </is>
      </c>
      <c r="E294" s="5" t="n">
        <v>45561</v>
      </c>
      <c r="F294" t="inlineStr">
        <is>
          <t>Sold</t>
        </is>
      </c>
      <c r="G294" s="6">
        <f>HYPERLINK("https://www.kleinanzeigen.de/s-anzeige/custom-pro-scooter-stuntscooter-tilt-proto-north/2874435817-187-9397", "Link")</f>
        <v/>
      </c>
      <c r="H294" s="6">
        <f>HYPERLINK("C:\Projects\Kleinanzeigen-Scraper\offer_images\2874435817", "Link")</f>
        <v/>
      </c>
      <c r="I294" t="inlineStr">
        <is>
          <t>Justin</t>
        </is>
      </c>
      <c r="J294" s="6">
        <f>HYPERLINK("https://www.kleinanzeigen.de/s-bestandsliste.html?userId=139486688", "Link")</f>
        <v/>
      </c>
      <c r="K294" s="7" t="n">
        <v>45561.6703125</v>
      </c>
      <c r="L294" s="3" t="inlineStr">
        <is>
          <t>40.33</t>
        </is>
      </c>
      <c r="M294" t="inlineStr">
        <is>
          <t>Bonndorf</t>
        </is>
      </c>
    </row>
    <row r="295">
      <c r="A295" t="inlineStr">
        <is>
          <t>SUP Starboard Paddel Enduro - S Tiki Tech Blue Carbon 2020</t>
        </is>
      </c>
      <c r="B295" s="4" t="n">
        <v>130</v>
      </c>
      <c r="C295" t="inlineStr"/>
      <c r="D295" t="inlineStr">
        <is>
          <t>24118 Kiel - Ravensberg-Brunswik-Düsternbrook</t>
        </is>
      </c>
      <c r="E295" s="5" t="n">
        <v>45561</v>
      </c>
      <c r="F295" t="inlineStr"/>
      <c r="G295" s="6">
        <f>HYPERLINK("https://www.kleinanzeigen.de/s-anzeige/sup-starboard-paddel-enduro-s-tiki-tech-blue-carbon-2020/2874310706-230-704", "Link")</f>
        <v/>
      </c>
      <c r="H295" s="6">
        <f>HYPERLINK("C:\Projects\Kleinanzeigen-Scraper\offer_images\2874310706", "Link")</f>
        <v/>
      </c>
      <c r="I295" t="inlineStr">
        <is>
          <t>Alexander</t>
        </is>
      </c>
      <c r="J295" s="6">
        <f>HYPERLINK("https://www.kleinanzeigen.de/s-bestandsliste.html?userId=8369298", "Link")</f>
        <v/>
      </c>
      <c r="K295" s="7" t="n">
        <v>45561.67024305555</v>
      </c>
      <c r="L295" s="3" t="inlineStr">
        <is>
          <t>434.29</t>
        </is>
      </c>
      <c r="M295" t="inlineStr">
        <is>
          <t>Köln</t>
        </is>
      </c>
    </row>
    <row r="296">
      <c r="A296" t="inlineStr">
        <is>
          <t>Fliegenschnur Cortland WF #7 Tropical no Simms, Orvis, Rio, Sage</t>
        </is>
      </c>
      <c r="B296" s="4" t="n">
        <v>39</v>
      </c>
      <c r="C296" t="inlineStr">
        <is>
          <t>VB</t>
        </is>
      </c>
      <c r="D296" t="inlineStr">
        <is>
          <t>33178 Nordrhein-Westfalen - Borchen</t>
        </is>
      </c>
      <c r="E296" s="5" t="n">
        <v>45561</v>
      </c>
      <c r="F296" t="inlineStr"/>
      <c r="G296" s="6">
        <f>HYPERLINK("https://www.kleinanzeigen.de/s-anzeige/fliegenschnur-cortland-wf-7-tropical-no-simms-orvis-rio-sage/2874252419-230-2159", "Link")</f>
        <v/>
      </c>
      <c r="H296" s="6">
        <f>HYPERLINK("C:\Projects\Kleinanzeigen-Scraper\offer_images\2874252419", "Link")</f>
        <v/>
      </c>
      <c r="I296" t="inlineStr">
        <is>
          <t>Werner</t>
        </is>
      </c>
      <c r="J296" s="6">
        <f>HYPERLINK("https://www.kleinanzeigen.de/s-bestandsliste.html?userId=14968482", "Link")</f>
        <v/>
      </c>
      <c r="K296" s="7" t="n">
        <v>45561.67024305555</v>
      </c>
      <c r="L296" s="3" t="inlineStr">
        <is>
          <t>147.29</t>
        </is>
      </c>
      <c r="M296" t="inlineStr">
        <is>
          <t>Köln</t>
        </is>
      </c>
    </row>
    <row r="297">
      <c r="A297" t="inlineStr">
        <is>
          <t>Snowboard Fanatic Camber 158</t>
        </is>
      </c>
      <c r="B297" s="4" t="n">
        <v>30</v>
      </c>
      <c r="C297" t="inlineStr"/>
      <c r="D297" t="inlineStr">
        <is>
          <t>33649 Bielefeld - Brackwede</t>
        </is>
      </c>
      <c r="E297" s="5" t="n">
        <v>45560</v>
      </c>
      <c r="F297" t="inlineStr"/>
      <c r="G297" s="6">
        <f>HYPERLINK("https://www.kleinanzeigen.de/s-anzeige/snowboard-fanatic-camber-158/2873943666-230-1064", "Link")</f>
        <v/>
      </c>
      <c r="H297" s="6">
        <f>HYPERLINK("C:\Projects\Kleinanzeigen-Scraper\offer_images\2873943666", "Link")</f>
        <v/>
      </c>
      <c r="I297" t="inlineStr">
        <is>
          <t>Thorsten</t>
        </is>
      </c>
      <c r="J297" s="6">
        <f>HYPERLINK("https://www.kleinanzeigen.de/s-bestandsliste.html?userId=26572119", "Link")</f>
        <v/>
      </c>
      <c r="K297" s="7" t="n">
        <v>45561.67003472222</v>
      </c>
      <c r="L297" s="3" t="inlineStr">
        <is>
          <t>155.70</t>
        </is>
      </c>
      <c r="M297" t="inlineStr">
        <is>
          <t>Köln</t>
        </is>
      </c>
    </row>
    <row r="298">
      <c r="A298" t="inlineStr">
        <is>
          <t>Norwegen Angeln BALZER 71 Grad North Boat Inliner 15 1,95m</t>
        </is>
      </c>
      <c r="B298" s="4" t="n">
        <v>60</v>
      </c>
      <c r="C298" t="inlineStr">
        <is>
          <t>VB</t>
        </is>
      </c>
      <c r="D298" t="inlineStr">
        <is>
          <t>32369 Nordrhein-Westfalen - Rahden</t>
        </is>
      </c>
      <c r="E298" s="5" t="n">
        <v>45561</v>
      </c>
      <c r="F298" t="inlineStr">
        <is>
          <t>Sold</t>
        </is>
      </c>
      <c r="G298" s="6">
        <f>HYPERLINK("https://www.kleinanzeigen.de/s-anzeige/norwegen-angeln-balzer-71-grad-north-boat-inliner-15-1-95m/2874096310-230-12917", "Link")</f>
        <v/>
      </c>
      <c r="H298" s="6">
        <f>HYPERLINK("C:\Projects\Kleinanzeigen-Scraper\offer_images\2874096310", "Link")</f>
        <v/>
      </c>
      <c r="I298" t="inlineStr">
        <is>
          <t>Rouven Kummer</t>
        </is>
      </c>
      <c r="J298" s="6">
        <f>HYPERLINK("https://www.kleinanzeigen.de/s-bestandsliste.html?userId=15892498", "Link")</f>
        <v/>
      </c>
      <c r="K298" s="7" t="n">
        <v>45561.66998842593</v>
      </c>
      <c r="L298" s="3" t="inlineStr">
        <is>
          <t>203.19</t>
        </is>
      </c>
      <c r="M298" t="inlineStr">
        <is>
          <t>Köln</t>
        </is>
      </c>
    </row>
    <row r="299">
      <c r="A299" t="inlineStr">
        <is>
          <t>9x Acrylfarben Goya Solo Triton verschiedene Farbe je 750 ml</t>
        </is>
      </c>
      <c r="B299" s="4" t="n">
        <v>40</v>
      </c>
      <c r="C299" t="inlineStr"/>
      <c r="D299" t="inlineStr">
        <is>
          <t>65527 Hessen - Niedernhausen</t>
        </is>
      </c>
      <c r="E299" s="5" t="n">
        <v>45561</v>
      </c>
      <c r="F299" t="inlineStr">
        <is>
          <t>Sold</t>
        </is>
      </c>
      <c r="G299" s="6">
        <f>HYPERLINK("https://www.kleinanzeigen.de/s-anzeige/9x-acrylfarben-goya-solo-triton-verschiedene-farbe-je-750-ml/2874507589-282-4915", "Link")</f>
        <v/>
      </c>
      <c r="H299" s="6">
        <f>HYPERLINK("C:\Projects\Kleinanzeigen-Scraper\offer_images\2874507589", "Link")</f>
        <v/>
      </c>
      <c r="I299" t="inlineStr">
        <is>
          <t>Daniel</t>
        </is>
      </c>
      <c r="J299" s="6">
        <f>HYPERLINK("https://www.kleinanzeigen.de/s-bestandsliste.html?userId=37246909", "Link")</f>
        <v/>
      </c>
      <c r="K299" s="7" t="n">
        <v>45561.66982638889</v>
      </c>
      <c r="L299" s="3" t="inlineStr">
        <is>
          <t>128.26</t>
        </is>
      </c>
      <c r="M299" t="inlineStr">
        <is>
          <t>Köln</t>
        </is>
      </c>
    </row>
    <row r="300">
      <c r="A300" t="inlineStr">
        <is>
          <t>GOYA Grafik - Blatt 40 von 200</t>
        </is>
      </c>
      <c r="B300" s="4" t="n">
        <v>50</v>
      </c>
      <c r="C300" t="inlineStr"/>
      <c r="D300" t="inlineStr">
        <is>
          <t>85669 Bayern - Pastetten</t>
        </is>
      </c>
      <c r="E300" s="5" t="n">
        <v>45560</v>
      </c>
      <c r="F300" t="inlineStr"/>
      <c r="G300" s="6">
        <f>HYPERLINK("https://www.kleinanzeigen.de/s-anzeige/goya-grafik-blatt-40-von-200/2874040833-240-6581", "Link")</f>
        <v/>
      </c>
      <c r="H300" s="6">
        <f>HYPERLINK("C:\Projects\Kleinanzeigen-Scraper\offer_images\2874040833", "Link")</f>
        <v/>
      </c>
      <c r="I300" t="inlineStr">
        <is>
          <t>M+D</t>
        </is>
      </c>
      <c r="J300" s="6">
        <f>HYPERLINK("https://www.kleinanzeigen.de/s-bestandsliste.html?userId=144638980", "Link")</f>
        <v/>
      </c>
      <c r="K300" s="7" t="n">
        <v>45561.66929398148</v>
      </c>
      <c r="L300" s="3" t="inlineStr">
        <is>
          <t>28.54</t>
        </is>
      </c>
      <c r="M300" t="inlineStr">
        <is>
          <t>München</t>
        </is>
      </c>
    </row>
    <row r="301">
      <c r="A301" t="inlineStr">
        <is>
          <t>Windsurfen Kurs von mydays am Gardasee</t>
        </is>
      </c>
      <c r="B301" s="4" t="n">
        <v>80</v>
      </c>
      <c r="C301" t="inlineStr">
        <is>
          <t>VB</t>
        </is>
      </c>
      <c r="D301" t="inlineStr">
        <is>
          <t>57319 Nordrhein-Westfalen - Bad Berleburg</t>
        </is>
      </c>
      <c r="E301" s="5" t="n">
        <v>45561</v>
      </c>
      <c r="F301" t="inlineStr">
        <is>
          <t>Sold</t>
        </is>
      </c>
      <c r="G301" s="6">
        <f>HYPERLINK("https://www.kleinanzeigen.de/s-anzeige/windsurfen-kurs-von-mydays-am-gardasee/2874226433-187-1479", "Link")</f>
        <v/>
      </c>
      <c r="H301" s="6">
        <f>HYPERLINK("C:\Projects\Kleinanzeigen-Scraper\offer_images\2874226433", "Link")</f>
        <v/>
      </c>
      <c r="I301" t="inlineStr">
        <is>
          <t>Robert Bettelhäuser</t>
        </is>
      </c>
      <c r="J301" s="6">
        <f>HYPERLINK("https://www.kleinanzeigen.de/s-bestandsliste.html?userId=78881088", "Link")</f>
        <v/>
      </c>
      <c r="K301" s="7" t="n">
        <v>45561.66913194444</v>
      </c>
      <c r="L301" s="3" t="inlineStr">
        <is>
          <t>101.95</t>
        </is>
      </c>
      <c r="M301" t="inlineStr">
        <is>
          <t>Köln</t>
        </is>
      </c>
    </row>
    <row r="302">
      <c r="A302" t="inlineStr">
        <is>
          <t>Elan Ezyy 1</t>
        </is>
      </c>
      <c r="B302" s="4" t="n">
        <v>35</v>
      </c>
      <c r="C302" t="inlineStr">
        <is>
          <t>VB</t>
        </is>
      </c>
      <c r="D302" t="inlineStr">
        <is>
          <t>88287 Baden-Württemberg - Grünkraut</t>
        </is>
      </c>
      <c r="E302" s="5" t="n">
        <v>45560</v>
      </c>
      <c r="F302" t="inlineStr">
        <is>
          <t>Sold</t>
        </is>
      </c>
      <c r="G302" s="6">
        <f>HYPERLINK("https://www.kleinanzeigen.de/s-anzeige/elan-ezzy-1-mp19-5/2873430300-230-9227", "Link")</f>
        <v/>
      </c>
      <c r="H302" s="6">
        <f>HYPERLINK("C:\Projects\Kleinanzeigen-Scraper\offer_images\2873430300", "Link")</f>
        <v/>
      </c>
      <c r="I302" t="inlineStr">
        <is>
          <t>Anita</t>
        </is>
      </c>
      <c r="J302" s="6">
        <f>HYPERLINK("https://www.kleinanzeigen.de/s-bestandsliste.html?userId=6684740", "Link")</f>
        <v/>
      </c>
      <c r="K302" s="7" t="n">
        <v>45560.56247685185</v>
      </c>
      <c r="L302" s="3" t="inlineStr">
        <is>
          <t>98.85</t>
        </is>
      </c>
      <c r="M302" t="inlineStr">
        <is>
          <t>Bonndorf</t>
        </is>
      </c>
    </row>
    <row r="303">
      <c r="A303" t="inlineStr">
        <is>
          <t>Starboard SuperCruiser EVOLUTION Carbon C300 UVP 2.269€ *NEU OVP*</t>
        </is>
      </c>
      <c r="B303" s="4" t="n">
        <v>1.899</v>
      </c>
      <c r="C303" t="inlineStr">
        <is>
          <t>VB</t>
        </is>
      </c>
      <c r="D303" t="inlineStr">
        <is>
          <t>47495 Nordrhein-Westfalen - Rheinberg</t>
        </is>
      </c>
      <c r="E303" s="5" t="n">
        <v>45560</v>
      </c>
      <c r="F303" t="inlineStr">
        <is>
          <t>Sold</t>
        </is>
      </c>
      <c r="G303" s="6">
        <f>HYPERLINK("https://www.kleinanzeigen.de/s-anzeige/starboard-supercruiser-evolution-carbon-c300-uvp-2-269-neu-ovp-/2873365648-230-1399", "Link")</f>
        <v/>
      </c>
      <c r="H303" s="6">
        <f>HYPERLINK("C:\Projects\Kleinanzeigen-Scraper\offer_images\2873365648", "Link")</f>
        <v/>
      </c>
      <c r="I303" t="inlineStr">
        <is>
          <t>Windcraft-Sports</t>
        </is>
      </c>
      <c r="J303" s="6">
        <f>HYPERLINK("https://www.kleinanzeigen.de/s-bestandsliste.html?userId=74756618", "Link")</f>
        <v/>
      </c>
      <c r="K303" s="7" t="n">
        <v>45560.56077546296</v>
      </c>
      <c r="L303" s="3" t="inlineStr">
        <is>
          <t>72.31</t>
        </is>
      </c>
      <c r="M303" t="inlineStr">
        <is>
          <t>Köln</t>
        </is>
      </c>
    </row>
    <row r="304">
      <c r="A304" t="inlineStr">
        <is>
          <t>Starboard Foil GTR EVOLUTION Carbon C300 UVP 2.469€ *NEU OVP*</t>
        </is>
      </c>
      <c r="B304" s="4" t="n">
        <v>2.099</v>
      </c>
      <c r="C304" t="inlineStr">
        <is>
          <t>VB</t>
        </is>
      </c>
      <c r="D304" t="inlineStr">
        <is>
          <t>47495 Nordrhein-Westfalen - Rheinberg</t>
        </is>
      </c>
      <c r="E304" s="5" t="n">
        <v>45560</v>
      </c>
      <c r="F304" t="inlineStr">
        <is>
          <t>Sold</t>
        </is>
      </c>
      <c r="G304" s="6">
        <f>HYPERLINK("https://www.kleinanzeigen.de/s-anzeige/starboard-foil-gtr-evolution-carbon-c300-uvp-2-469-neu-ovp-/2873368318-230-1399", "Link")</f>
        <v/>
      </c>
      <c r="H304" s="6">
        <f>HYPERLINK("C:\Projects\Kleinanzeigen-Scraper\offer_images\2873368318", "Link")</f>
        <v/>
      </c>
      <c r="I304" t="inlineStr">
        <is>
          <t>Windcraft-Sports</t>
        </is>
      </c>
      <c r="J304" s="6">
        <f>HYPERLINK("https://www.kleinanzeigen.de/s-bestandsliste.html?userId=74756618", "Link")</f>
        <v/>
      </c>
      <c r="K304" s="7" t="n">
        <v>45560.56050925926</v>
      </c>
      <c r="L304" s="3" t="inlineStr">
        <is>
          <t>72.31</t>
        </is>
      </c>
      <c r="M304" t="inlineStr">
        <is>
          <t>Köln</t>
        </is>
      </c>
    </row>
    <row r="305">
      <c r="A305" t="inlineStr">
        <is>
          <t>Starboard paddlen Lima XL</t>
        </is>
      </c>
      <c r="B305" s="4" t="n">
        <v>230</v>
      </c>
      <c r="C305" t="inlineStr"/>
      <c r="D305" t="inlineStr">
        <is>
          <t>53117 Bonn - Graurheindorf</t>
        </is>
      </c>
      <c r="E305" s="5" t="n">
        <v>45559</v>
      </c>
      <c r="F305" t="inlineStr">
        <is>
          <t>Sold</t>
        </is>
      </c>
      <c r="G305" s="6">
        <f>HYPERLINK("https://www.kleinanzeigen.de/s-anzeige/starboard-paddlen-lima-xl/2873130105-230-23709", "Link")</f>
        <v/>
      </c>
      <c r="H305" s="6">
        <f>HYPERLINK("C:\Projects\Kleinanzeigen-Scraper\offer_images\2873130105", "Link")</f>
        <v/>
      </c>
      <c r="I305" t="inlineStr">
        <is>
          <t>Ole</t>
        </is>
      </c>
      <c r="J305" s="6">
        <f>HYPERLINK("https://www.kleinanzeigen.de/s-bestandsliste.html?userId=21558380", "Link")</f>
        <v/>
      </c>
      <c r="K305" s="7" t="n">
        <v>45560.56046296296</v>
      </c>
      <c r="L305" s="3" t="inlineStr">
        <is>
          <t>21.66</t>
        </is>
      </c>
      <c r="M305" t="inlineStr">
        <is>
          <t>Köln</t>
        </is>
      </c>
    </row>
    <row r="306">
      <c r="A306" t="inlineStr">
        <is>
          <t>Simms G4 Wathose</t>
        </is>
      </c>
      <c r="B306" s="4" t="n">
        <v>300</v>
      </c>
      <c r="C306" t="inlineStr">
        <is>
          <t>VB</t>
        </is>
      </c>
      <c r="D306" t="inlineStr">
        <is>
          <t>25524 Schleswig-Holstein - Itzehoe</t>
        </is>
      </c>
      <c r="E306" s="5" t="n">
        <v>45560</v>
      </c>
      <c r="F306" t="inlineStr"/>
      <c r="G306" s="6">
        <f>HYPERLINK("https://www.kleinanzeigen.de/s-anzeige/simms-g4-wathose/2873309669-242-13329", "Link")</f>
        <v/>
      </c>
      <c r="H306" s="6">
        <f>HYPERLINK("C:\Projects\Kleinanzeigen-Scraper\offer_images\2873309669", "Link")</f>
        <v/>
      </c>
      <c r="I306" t="inlineStr">
        <is>
          <t>Privat</t>
        </is>
      </c>
      <c r="J306" s="6">
        <f>HYPERLINK("https://www.kleinanzeigen.de/s-bestandsliste.html?userId=28363424", "Link")</f>
        <v/>
      </c>
      <c r="K306" s="7" t="n">
        <v>45560.56037037037</v>
      </c>
      <c r="L306" s="3" t="inlineStr">
        <is>
          <t>375.94</t>
        </is>
      </c>
      <c r="M306" t="inlineStr">
        <is>
          <t>Köln</t>
        </is>
      </c>
    </row>
    <row r="307">
      <c r="A307" t="inlineStr">
        <is>
          <t>Mystic Vandal Wakeboard Helm schwarz xl-xxl 59-61cm</t>
        </is>
      </c>
      <c r="B307" s="4" t="n">
        <v>60</v>
      </c>
      <c r="C307" t="inlineStr"/>
      <c r="D307" t="inlineStr">
        <is>
          <t>40764 Nordrhein-Westfalen - Langenfeld</t>
        </is>
      </c>
      <c r="E307" s="5" t="n">
        <v>45559</v>
      </c>
      <c r="F307" t="inlineStr"/>
      <c r="G307" s="6">
        <f>HYPERLINK("https://www.kleinanzeigen.de/s-anzeige/mystic-vandal-wakeboard-helm-schwarz-xl-xxl-59-61cm/2873161742-230-1863", "Link")</f>
        <v/>
      </c>
      <c r="H307" s="6">
        <f>HYPERLINK("C:\Projects\Kleinanzeigen-Scraper\offer_images\2873161742", "Link")</f>
        <v/>
      </c>
      <c r="I307" t="inlineStr">
        <is>
          <t>Felix</t>
        </is>
      </c>
      <c r="J307" s="6">
        <f>HYPERLINK("https://www.kleinanzeigen.de/s-bestandsliste.html?userId=10382417", "Link")</f>
        <v/>
      </c>
      <c r="K307" s="7" t="n">
        <v>45560.55978009259</v>
      </c>
      <c r="L307" s="3" t="inlineStr">
        <is>
          <t>20.06</t>
        </is>
      </c>
      <c r="M307" t="inlineStr">
        <is>
          <t>Köln</t>
        </is>
      </c>
    </row>
    <row r="308">
      <c r="A308" t="inlineStr">
        <is>
          <t>Naish Draft 2015 17m</t>
        </is>
      </c>
      <c r="B308" s="4" t="n">
        <v>400</v>
      </c>
      <c r="C308" t="inlineStr">
        <is>
          <t>VB</t>
        </is>
      </c>
      <c r="D308" t="inlineStr">
        <is>
          <t>28217 Walle - Utbremen</t>
        </is>
      </c>
      <c r="E308" s="5" t="n">
        <v>45559</v>
      </c>
      <c r="F308" t="inlineStr"/>
      <c r="G308" s="6">
        <f>HYPERLINK("https://www.kleinanzeigen.de/s-anzeige/naish-draft-2015-17m/2873164464-230-25", "Link")</f>
        <v/>
      </c>
      <c r="H308" s="6">
        <f>HYPERLINK("C:\Projects\Kleinanzeigen-Scraper\offer_images\2873164464", "Link")</f>
        <v/>
      </c>
      <c r="I308" t="inlineStr">
        <is>
          <t>Michael</t>
        </is>
      </c>
      <c r="J308" s="6">
        <f>HYPERLINK("https://www.kleinanzeigen.de/s-bestandsliste.html?userId=25623103", "Link")</f>
        <v/>
      </c>
      <c r="K308" s="7" t="n">
        <v>45560.55971064815</v>
      </c>
      <c r="L308" s="3" t="inlineStr">
        <is>
          <t>270.37</t>
        </is>
      </c>
      <c r="M308" t="inlineStr">
        <is>
          <t>Köln</t>
        </is>
      </c>
    </row>
    <row r="309">
      <c r="A309" t="inlineStr">
        <is>
          <t>2021 Starboard Foil Carbon GT-R Plus, VK 2.399€ *NEU und OVP*</t>
        </is>
      </c>
      <c r="B309" s="4" t="n">
        <v>1.699</v>
      </c>
      <c r="C309" t="inlineStr"/>
      <c r="D309" t="inlineStr">
        <is>
          <t>47495 Nordrhein-Westfalen - Rheinberg</t>
        </is>
      </c>
      <c r="E309" s="5" t="n">
        <v>45560</v>
      </c>
      <c r="F309" t="inlineStr">
        <is>
          <t>Sold</t>
        </is>
      </c>
      <c r="G309" s="6">
        <f>HYPERLINK("https://www.kleinanzeigen.de/s-anzeige/2021-starboard-foil-carbon-gt-r-plus-vk-2-399-neu-und-ovp-/2873362473-230-1399", "Link")</f>
        <v/>
      </c>
      <c r="H309" s="6">
        <f>HYPERLINK("C:\Projects\Kleinanzeigen-Scraper\offer_images\2873362473", "Link")</f>
        <v/>
      </c>
      <c r="I309" t="inlineStr">
        <is>
          <t>Windcraft-Sports</t>
        </is>
      </c>
      <c r="J309" s="6">
        <f>HYPERLINK("https://www.kleinanzeigen.de/s-bestandsliste.html?userId=74756618", "Link")</f>
        <v/>
      </c>
      <c r="K309" s="7" t="n">
        <v>45560.5590162037</v>
      </c>
      <c r="L309" s="3" t="inlineStr">
        <is>
          <t>72.31</t>
        </is>
      </c>
      <c r="M309" t="inlineStr">
        <is>
          <t>Köln</t>
        </is>
      </c>
    </row>
    <row r="310">
      <c r="A310" t="inlineStr">
        <is>
          <t>Ion ballistic toes 2.0 surfschuhe Windsurf Neu OVP 47 Strandschuh</t>
        </is>
      </c>
      <c r="B310" s="4" t="n">
        <v>50</v>
      </c>
      <c r="C310" t="inlineStr"/>
      <c r="D310" t="inlineStr">
        <is>
          <t>49681 Niedersachsen - Garrel</t>
        </is>
      </c>
      <c r="E310" s="5" t="n">
        <v>45552</v>
      </c>
      <c r="F310" t="inlineStr">
        <is>
          <t>Sold</t>
        </is>
      </c>
      <c r="G310" s="6">
        <f>HYPERLINK("https://www.kleinanzeigen.de/s-anzeige/ion-ballistic-toes-2-0-surfschuhe-windsurf-neu-ovp-47-strandschuh/2866678065-230-2596", "Link")</f>
        <v/>
      </c>
      <c r="H310" s="6">
        <f>HYPERLINK("C:\Projects\Kleinanzeigen-Scraper\offer_images\2866678065", "Link")</f>
        <v/>
      </c>
      <c r="I310" t="inlineStr">
        <is>
          <t>Stephan Fitze</t>
        </is>
      </c>
      <c r="J310" s="6">
        <f>HYPERLINK("https://www.kleinanzeigen.de/s-bestandsliste.html?userId=10377312", "Link")</f>
        <v/>
      </c>
      <c r="K310" s="7" t="n">
        <v>45560.55803240741</v>
      </c>
      <c r="L310" s="3" t="inlineStr">
        <is>
          <t>238.04</t>
        </is>
      </c>
      <c r="M310" t="inlineStr">
        <is>
          <t>Köln</t>
        </is>
      </c>
    </row>
    <row r="311">
      <c r="A311" t="inlineStr">
        <is>
          <t>Hobby Fliegenfischen Rucksack von Simms</t>
        </is>
      </c>
      <c r="B311" s="4" t="n">
        <v>100</v>
      </c>
      <c r="C311" t="inlineStr">
        <is>
          <t>VB</t>
        </is>
      </c>
      <c r="D311" t="inlineStr">
        <is>
          <t>59929 Nordrhein-Westfalen - Brilon</t>
        </is>
      </c>
      <c r="E311" s="5" t="n">
        <v>45560</v>
      </c>
      <c r="F311" t="inlineStr">
        <is>
          <t>Sold</t>
        </is>
      </c>
      <c r="G311" s="6">
        <f>HYPERLINK("https://www.kleinanzeigen.de/s-anzeige/hobby-fliegenfischen-rucksack-von-simms/2873515681-230-1269", "Link")</f>
        <v/>
      </c>
      <c r="H311" s="6">
        <f>HYPERLINK("C:\Projects\Kleinanzeigen-Scraper\offer_images\2873515681", "Link")</f>
        <v/>
      </c>
      <c r="I311" t="inlineStr">
        <is>
          <t>Privat</t>
        </is>
      </c>
      <c r="J311" s="6">
        <f>HYPERLINK("https://www.kleinanzeigen.de/s-bestandsliste.html?userId=21898758", "Link")</f>
        <v/>
      </c>
      <c r="K311" s="7" t="n">
        <v>45560.55763888889</v>
      </c>
      <c r="L311" s="3" t="inlineStr">
        <is>
          <t>125.21</t>
        </is>
      </c>
      <c r="M311" t="inlineStr">
        <is>
          <t>Köln</t>
        </is>
      </c>
    </row>
    <row r="312">
      <c r="A312" t="inlineStr">
        <is>
          <t>Neilpryde Glide</t>
        </is>
      </c>
      <c r="B312" s="4" t="n">
        <v>350</v>
      </c>
      <c r="C312" t="inlineStr">
        <is>
          <t>VB</t>
        </is>
      </c>
      <c r="D312" t="inlineStr">
        <is>
          <t>23774 Kreis Ostholstein - Heiligenhafen</t>
        </is>
      </c>
      <c r="E312" s="5" t="n">
        <v>45560</v>
      </c>
      <c r="F312" t="inlineStr"/>
      <c r="G312" s="6">
        <f>HYPERLINK("https://www.kleinanzeigen.de/s-anzeige/neilpryde-glide/2873414812-230-427", "Link")</f>
        <v/>
      </c>
      <c r="H312" s="6">
        <f>HYPERLINK("C:\Projects\Kleinanzeigen-Scraper\offer_images\2873414812", "Link")</f>
        <v/>
      </c>
      <c r="I312" t="inlineStr">
        <is>
          <t>Privat</t>
        </is>
      </c>
      <c r="J312" s="6">
        <f>HYPERLINK("https://www.kleinanzeigen.de/s-bestandsliste.html?userId=144585980", "Link")</f>
        <v/>
      </c>
      <c r="K312" s="7" t="n">
        <v>45560.55736111111</v>
      </c>
      <c r="L312" s="3" t="inlineStr">
        <is>
          <t>467.75</t>
        </is>
      </c>
      <c r="M312" t="inlineStr">
        <is>
          <t>Köln</t>
        </is>
      </c>
    </row>
    <row r="313">
      <c r="A313" t="inlineStr">
        <is>
          <t>Reisebegleitung Los Roques Spinnfischen Fliegenfischen Sage Simms</t>
        </is>
      </c>
      <c r="B313" s="4" t="inlineStr"/>
      <c r="C313" t="inlineStr">
        <is>
          <t>VB</t>
        </is>
      </c>
      <c r="D313" t="inlineStr">
        <is>
          <t>14770 Brandenburg - Brandenburg an der Havel</t>
        </is>
      </c>
      <c r="E313" s="5" t="n">
        <v>45560</v>
      </c>
      <c r="F313" t="inlineStr"/>
      <c r="G313" s="6">
        <f>HYPERLINK("https://www.kleinanzeigen.de/s-anzeige/reisebegleitung-los-roques-spinnfischen-fliegenfischen-sage-simms/2873463133-187-7739", "Link")</f>
        <v/>
      </c>
      <c r="H313" s="6">
        <f>HYPERLINK("C:\Projects\Kleinanzeigen-Scraper\offer_images\2873463133", "Link")</f>
        <v/>
      </c>
      <c r="I313" t="inlineStr">
        <is>
          <t>Paul</t>
        </is>
      </c>
      <c r="J313" s="6">
        <f>HYPERLINK("https://www.kleinanzeigen.de/s-bestandsliste.html?userId=23023096", "Link")</f>
        <v/>
      </c>
      <c r="K313" s="7" t="n">
        <v>45560.55719907407</v>
      </c>
      <c r="L313" s="3" t="inlineStr">
        <is>
          <t>416.86</t>
        </is>
      </c>
      <c r="M313" t="inlineStr">
        <is>
          <t>Köln</t>
        </is>
      </c>
    </row>
    <row r="314">
      <c r="A314" t="inlineStr">
        <is>
          <t>Starboard Foil Race EVOLUTION Carbon C400 UVP 2.785€ *NEU OVP*</t>
        </is>
      </c>
      <c r="B314" s="4" t="n">
        <v>2.399</v>
      </c>
      <c r="C314" t="inlineStr">
        <is>
          <t>VB</t>
        </is>
      </c>
      <c r="D314" t="inlineStr">
        <is>
          <t>47495 Nordrhein-Westfalen - Rheinberg</t>
        </is>
      </c>
      <c r="E314" s="5" t="n">
        <v>45560</v>
      </c>
      <c r="F314" t="inlineStr">
        <is>
          <t>Sold</t>
        </is>
      </c>
      <c r="G314" s="6">
        <f>HYPERLINK("https://www.kleinanzeigen.de/s-anzeige/starboard-foil-race-evolution-carbon-c400-uvp-2-785-neu-ovp-/2873370562-230-1399", "Link")</f>
        <v/>
      </c>
      <c r="H314" s="6">
        <f>HYPERLINK("C:\Projects\Kleinanzeigen-Scraper\offer_images\2873370562", "Link")</f>
        <v/>
      </c>
      <c r="I314" t="inlineStr">
        <is>
          <t>Windcraft-Sports</t>
        </is>
      </c>
      <c r="J314" s="6">
        <f>HYPERLINK("https://www.kleinanzeigen.de/s-bestandsliste.html?userId=74756618", "Link")</f>
        <v/>
      </c>
      <c r="K314" s="7" t="n">
        <v>45560.55674768519</v>
      </c>
      <c r="L314" s="3" t="inlineStr">
        <is>
          <t>72.31</t>
        </is>
      </c>
      <c r="M314" t="inlineStr">
        <is>
          <t>Köln</t>
        </is>
      </c>
    </row>
    <row r="315">
      <c r="A315" t="inlineStr">
        <is>
          <t>Starboard Foil GTR EVOLUTION Aluminium UVP 1.299€ *NEU OVP*</t>
        </is>
      </c>
      <c r="B315" s="4" t="n">
        <v>999</v>
      </c>
      <c r="C315" t="inlineStr"/>
      <c r="D315" t="inlineStr">
        <is>
          <t>47495 Nordrhein-Westfalen - Rheinberg</t>
        </is>
      </c>
      <c r="E315" s="5" t="n">
        <v>45560</v>
      </c>
      <c r="F315" t="inlineStr">
        <is>
          <t>Sold</t>
        </is>
      </c>
      <c r="G315" s="6">
        <f>HYPERLINK("https://www.kleinanzeigen.de/s-anzeige/starboard-foil-gtr-evolution-aluminium-uvp-1-299-neu-ovp-/2873374318-230-1399", "Link")</f>
        <v/>
      </c>
      <c r="H315" s="6">
        <f>HYPERLINK("C:\Projects\Kleinanzeigen-Scraper\offer_images\2873374318", "Link")</f>
        <v/>
      </c>
      <c r="I315" t="inlineStr">
        <is>
          <t>Windcraft-Sports</t>
        </is>
      </c>
      <c r="J315" s="6">
        <f>HYPERLINK("https://www.kleinanzeigen.de/s-bestandsliste.html?userId=74756618", "Link")</f>
        <v/>
      </c>
      <c r="K315" s="7" t="n">
        <v>45560.5559375</v>
      </c>
      <c r="L315" s="3" t="inlineStr">
        <is>
          <t>72.31</t>
        </is>
      </c>
      <c r="M315" t="inlineStr">
        <is>
          <t>Köln</t>
        </is>
      </c>
    </row>
    <row r="316">
      <c r="A316" t="inlineStr">
        <is>
          <t>Starboard Lima L</t>
        </is>
      </c>
      <c r="B316" s="4" t="n">
        <v>250</v>
      </c>
      <c r="C316" t="inlineStr"/>
      <c r="D316" t="inlineStr">
        <is>
          <t>53117 Bonn - Graurheindorf</t>
        </is>
      </c>
      <c r="E316" s="5" t="n">
        <v>45559</v>
      </c>
      <c r="F316" t="inlineStr">
        <is>
          <t>Sold</t>
        </is>
      </c>
      <c r="G316" s="6">
        <f>HYPERLINK("https://www.kleinanzeigen.de/s-anzeige/starboard-lima-l/2873132664-230-23709", "Link")</f>
        <v/>
      </c>
      <c r="H316" s="6">
        <f>HYPERLINK("C:\Projects\Kleinanzeigen-Scraper\offer_images\2873132664", "Link")</f>
        <v/>
      </c>
      <c r="I316" t="inlineStr">
        <is>
          <t>Ole</t>
        </is>
      </c>
      <c r="J316" s="6">
        <f>HYPERLINK("https://www.kleinanzeigen.de/s-bestandsliste.html?userId=21558380", "Link")</f>
        <v/>
      </c>
      <c r="K316" s="7" t="n">
        <v>45560.5552662037</v>
      </c>
      <c r="L316" s="3" t="inlineStr">
        <is>
          <t>21.66</t>
        </is>
      </c>
      <c r="M316" t="inlineStr">
        <is>
          <t>Köln</t>
        </is>
      </c>
    </row>
    <row r="317">
      <c r="A317" t="inlineStr">
        <is>
          <t>Starboard SUP Paddle Enduro Tiki Tech M S35, grau, 2-teilig</t>
        </is>
      </c>
      <c r="B317" s="4" t="n">
        <v>150</v>
      </c>
      <c r="C317" t="inlineStr">
        <is>
          <t>VB</t>
        </is>
      </c>
      <c r="D317" t="inlineStr">
        <is>
          <t>50321 Nordrhein-Westfalen - Brühl</t>
        </is>
      </c>
      <c r="E317" s="5" t="n">
        <v>45560</v>
      </c>
      <c r="F317" t="inlineStr">
        <is>
          <t>Sold</t>
        </is>
      </c>
      <c r="G317" s="6">
        <f>HYPERLINK("https://www.kleinanzeigen.de/s-anzeige/starboard-sup-paddle-enduro-tiki-tech-m-s35-grau-2-teilig/2873190184-230-1158", "Link")</f>
        <v/>
      </c>
      <c r="H317" s="6">
        <f>HYPERLINK("C:\Projects\Kleinanzeigen-Scraper\offer_images\2873190184", "Link")</f>
        <v/>
      </c>
      <c r="I317" t="inlineStr">
        <is>
          <t>Hein</t>
        </is>
      </c>
      <c r="J317" s="6">
        <f>HYPERLINK("https://www.kleinanzeigen.de/s-bestandsliste.html?userId=35342941", "Link")</f>
        <v/>
      </c>
      <c r="K317" s="7" t="n">
        <v>45560.55516203704</v>
      </c>
      <c r="L317" s="3" t="inlineStr">
        <is>
          <t>14.26</t>
        </is>
      </c>
      <c r="M317" t="inlineStr">
        <is>
          <t>Köln</t>
        </is>
      </c>
    </row>
    <row r="318">
      <c r="A318" t="inlineStr">
        <is>
          <t>Windsurf Modell Goya Naish Severne RRD Fanatic Jp Tabou Gun</t>
        </is>
      </c>
      <c r="B318" s="4" t="n">
        <v>35</v>
      </c>
      <c r="C318" t="inlineStr"/>
      <c r="D318" t="inlineStr">
        <is>
          <t>12489 Berlin - Treptow</t>
        </is>
      </c>
      <c r="E318" s="5" t="n">
        <v>45559</v>
      </c>
      <c r="F318" t="inlineStr"/>
      <c r="G318" s="6">
        <f>HYPERLINK("https://www.kleinanzeigen.de/s-anzeige/windsurf-modell-goya-naish-severne-rrd-fanatic-jp-tabou-gun/2872297748-249-9657", "Link")</f>
        <v/>
      </c>
      <c r="H318" s="6">
        <f>HYPERLINK("C:\Projects\Kleinanzeigen-Scraper\offer_images\2872297748", "Link")</f>
        <v/>
      </c>
      <c r="I318" t="inlineStr">
        <is>
          <t>Rudi</t>
        </is>
      </c>
      <c r="J318" s="6">
        <f>HYPERLINK("https://www.kleinanzeigen.de/s-bestandsliste.html?userId=5431294", "Link")</f>
        <v/>
      </c>
      <c r="K318" s="7" t="n">
        <v>45559.88075231481</v>
      </c>
      <c r="L318" s="3" t="inlineStr">
        <is>
          <t>483.86</t>
        </is>
      </c>
      <c r="M318" t="inlineStr">
        <is>
          <t>Köln</t>
        </is>
      </c>
    </row>
    <row r="319">
      <c r="A319" t="inlineStr">
        <is>
          <t>Simms Fishing UV Shirt Camo Fliegenfischen</t>
        </is>
      </c>
      <c r="B319" s="4" t="n">
        <v>33</v>
      </c>
      <c r="C319" t="inlineStr"/>
      <c r="D319" t="inlineStr">
        <is>
          <t>61440 Hessen - Oberursel (Taunus)</t>
        </is>
      </c>
      <c r="E319" s="5" t="n">
        <v>45559</v>
      </c>
      <c r="F319" t="inlineStr">
        <is>
          <t>Sold</t>
        </is>
      </c>
      <c r="G319" s="6">
        <f>HYPERLINK("https://www.kleinanzeigen.de/s-anzeige/simms-fishing-uv-shirt-camo-fliegenfischen/2872673333-230-4578", "Link")</f>
        <v/>
      </c>
      <c r="H319" s="6">
        <f>HYPERLINK("C:\Projects\Kleinanzeigen-Scraper\offer_images\2872673333", "Link")</f>
        <v/>
      </c>
      <c r="I319" t="inlineStr">
        <is>
          <t>Leon</t>
        </is>
      </c>
      <c r="J319" s="6">
        <f>HYPERLINK("https://www.kleinanzeigen.de/s-bestandsliste.html?userId=29845155", "Link")</f>
        <v/>
      </c>
      <c r="K319" s="7" t="n">
        <v>45559.88056712963</v>
      </c>
      <c r="L319" s="3" t="inlineStr">
        <is>
          <t>134.19</t>
        </is>
      </c>
      <c r="M319" t="inlineStr">
        <is>
          <t>Karlsruhe</t>
        </is>
      </c>
    </row>
    <row r="320">
      <c r="A320" t="inlineStr">
        <is>
          <t>WALTHERS Northern Pacific Zug mit 6 Wagen</t>
        </is>
      </c>
      <c r="B320" s="4" t="n">
        <v>239</v>
      </c>
      <c r="C320" t="inlineStr">
        <is>
          <t>VB</t>
        </is>
      </c>
      <c r="D320" t="inlineStr">
        <is>
          <t>26506 Niedersachsen - Norden</t>
        </is>
      </c>
      <c r="E320" s="5" t="n">
        <v>45559</v>
      </c>
      <c r="F320" t="inlineStr"/>
      <c r="G320" s="6">
        <f>HYPERLINK("https://www.kleinanzeigen.de/s-anzeige/walthers-northern-pacific-zug-mit-6-wagen/2872978444-249-2777", "Link")</f>
        <v/>
      </c>
      <c r="H320" s="6">
        <f>HYPERLINK("C:\Projects\Kleinanzeigen-Scraper\offer_images\2872978444", "Link")</f>
        <v/>
      </c>
      <c r="I320" t="inlineStr">
        <is>
          <t>J. Pietzka</t>
        </is>
      </c>
      <c r="J320" s="6">
        <f>HYPERLINK("https://www.kleinanzeigen.de/s-bestandsliste.html?userId=136120815", "Link")</f>
        <v/>
      </c>
      <c r="K320" s="7" t="n">
        <v>45559.88047453704</v>
      </c>
      <c r="L320" s="3" t="inlineStr">
        <is>
          <t>293.71</t>
        </is>
      </c>
      <c r="M320" t="inlineStr">
        <is>
          <t>Köln</t>
        </is>
      </c>
    </row>
    <row r="321">
      <c r="A321" t="inlineStr">
        <is>
          <t>Naish Sup Carbon Paddel Makani 8.5</t>
        </is>
      </c>
      <c r="B321" s="4" t="n">
        <v>169</v>
      </c>
      <c r="C321" t="inlineStr">
        <is>
          <t>VB</t>
        </is>
      </c>
      <c r="D321" t="inlineStr">
        <is>
          <t>23769 Kreis Ostholstein - Fehmarn</t>
        </is>
      </c>
      <c r="E321" s="5" t="n">
        <v>45557</v>
      </c>
      <c r="F321" t="inlineStr"/>
      <c r="G321" s="6">
        <f>HYPERLINK("https://www.kleinanzeigen.de/s-anzeige/naish-sup-carbon-paddel-makani-8-5/2870704642-230-19951", "Link")</f>
        <v/>
      </c>
      <c r="H321" s="6">
        <f>HYPERLINK("C:\Projects\Kleinanzeigen-Scraper\offer_images\2870704642", "Link")</f>
        <v/>
      </c>
      <c r="I321" t="inlineStr">
        <is>
          <t>Eugen</t>
        </is>
      </c>
      <c r="J321" s="6">
        <f>HYPERLINK("https://www.kleinanzeigen.de/s-bestandsliste.html?userId=16978001", "Link")</f>
        <v/>
      </c>
      <c r="K321" s="7" t="n">
        <v>45559.88008101852</v>
      </c>
      <c r="L321" s="3" t="inlineStr">
        <is>
          <t>483.01</t>
        </is>
      </c>
      <c r="M321" t="inlineStr">
        <is>
          <t>Köln</t>
        </is>
      </c>
    </row>
    <row r="322">
      <c r="A322" t="inlineStr">
        <is>
          <t>Simms Bass Fishing Shirt L Buy Local rot Herren</t>
        </is>
      </c>
      <c r="B322" s="4" t="n">
        <v>20</v>
      </c>
      <c r="C322" t="inlineStr"/>
      <c r="D322" t="inlineStr">
        <is>
          <t>61440 Hessen - Oberursel (Taunus)</t>
        </is>
      </c>
      <c r="E322" s="5" t="n">
        <v>45559</v>
      </c>
      <c r="F322" t="inlineStr"/>
      <c r="G322" s="6">
        <f>HYPERLINK("https://www.kleinanzeigen.de/s-anzeige/simms-bass-fishing-shirt-l-buy-local-rot-herren/2872657053-230-4578", "Link")</f>
        <v/>
      </c>
      <c r="H322" s="6">
        <f>HYPERLINK("C:\Projects\Kleinanzeigen-Scraper\offer_images\2872657053", "Link")</f>
        <v/>
      </c>
      <c r="I322" t="inlineStr">
        <is>
          <t>Leon</t>
        </is>
      </c>
      <c r="J322" s="6">
        <f>HYPERLINK("https://www.kleinanzeigen.de/s-bestandsliste.html?userId=29845155", "Link")</f>
        <v/>
      </c>
      <c r="K322" s="7" t="n">
        <v>45559.87946759259</v>
      </c>
      <c r="L322" s="3" t="inlineStr">
        <is>
          <t>134.19</t>
        </is>
      </c>
      <c r="M322" t="inlineStr">
        <is>
          <t>Karlsruhe</t>
        </is>
      </c>
    </row>
    <row r="323">
      <c r="A323" t="inlineStr">
        <is>
          <t>VORFÜHRER ! Faltcaravan Isabella Camp-let North</t>
        </is>
      </c>
      <c r="B323" s="4" t="n">
        <v>10.59</v>
      </c>
      <c r="C323" t="inlineStr"/>
      <c r="D323" t="inlineStr">
        <is>
          <t>26135 Niedersachsen - Oldenburg</t>
        </is>
      </c>
      <c r="E323" s="5" t="n">
        <v>45559</v>
      </c>
      <c r="F323" t="inlineStr"/>
      <c r="G323" s="6">
        <f>HYPERLINK("https://www.kleinanzeigen.de/s-anzeige/vorfuehrer-faltcaravan-isabella-camp-let-north/2746402195-230-3110", "Link")</f>
        <v/>
      </c>
      <c r="H323" s="6">
        <f>HYPERLINK("C:\Projects\Kleinanzeigen-Scraper\offer_images\2746402195", "Link")</f>
        <v/>
      </c>
      <c r="I323" t="inlineStr">
        <is>
          <t>No user name</t>
        </is>
      </c>
      <c r="J323" s="6">
        <f>HYPERLINK("https://www.kleinanzeigen.deNo user link", "Link")</f>
        <v/>
      </c>
      <c r="K323" s="7" t="n">
        <v>45559.87939814815</v>
      </c>
      <c r="L323" s="3" t="inlineStr">
        <is>
          <t>258.42</t>
        </is>
      </c>
      <c r="M323" t="inlineStr">
        <is>
          <t>Köln</t>
        </is>
      </c>
    </row>
    <row r="324">
      <c r="A324" t="inlineStr">
        <is>
          <t>Starboard Quick Lock II Fuselage mit Spacern</t>
        </is>
      </c>
      <c r="B324" s="4" t="n">
        <v>165</v>
      </c>
      <c r="C324" t="inlineStr"/>
      <c r="D324" t="inlineStr">
        <is>
          <t>10115 Berlin - Mitte</t>
        </is>
      </c>
      <c r="E324" s="5" t="n">
        <v>45559</v>
      </c>
      <c r="F324" t="inlineStr"/>
      <c r="G324" s="6">
        <f>HYPERLINK("https://www.kleinanzeigen.de/s-anzeige/starboard-quick-lock-ii-fuselage-mit-spacern/2872444221-230-9668", "Link")</f>
        <v/>
      </c>
      <c r="H324" s="6">
        <f>HYPERLINK("C:\Projects\Kleinanzeigen-Scraper\offer_images\2872444221", "Link")</f>
        <v/>
      </c>
      <c r="I324" t="inlineStr">
        <is>
          <t>Torsten</t>
        </is>
      </c>
      <c r="J324" s="6">
        <f>HYPERLINK("https://www.kleinanzeigen.de/s-bestandsliste.html?userId=9063262", "Link")</f>
        <v/>
      </c>
      <c r="K324" s="7" t="n">
        <v>45559.87938657407</v>
      </c>
      <c r="L324" s="3" t="inlineStr">
        <is>
          <t>476.33</t>
        </is>
      </c>
      <c r="M324" t="inlineStr">
        <is>
          <t>Köln</t>
        </is>
      </c>
    </row>
    <row r="325">
      <c r="A325" t="inlineStr">
        <is>
          <t>North Western Angelrute 11'0'' Medium Swimfeeder</t>
        </is>
      </c>
      <c r="B325" s="4" t="n">
        <v>65</v>
      </c>
      <c r="C325" t="inlineStr">
        <is>
          <t>VB</t>
        </is>
      </c>
      <c r="D325" t="inlineStr">
        <is>
          <t>93342 Bayern - Saal</t>
        </is>
      </c>
      <c r="E325" s="5" t="n">
        <v>45559</v>
      </c>
      <c r="F325" t="inlineStr">
        <is>
          <t>Sold</t>
        </is>
      </c>
      <c r="G325" s="6">
        <f>HYPERLINK("https://www.kleinanzeigen.de/s-anzeige/north-western-angelrute-11-0-medium-swimfeeder/2872622232-187-6239", "Link")</f>
        <v/>
      </c>
      <c r="H325" s="6">
        <f>HYPERLINK("C:\Projects\Kleinanzeigen-Scraper\offer_images\2872622232", "Link")</f>
        <v/>
      </c>
      <c r="I325" t="inlineStr">
        <is>
          <t>Jakob Mayer</t>
        </is>
      </c>
      <c r="J325" s="6">
        <f>HYPERLINK("https://www.kleinanzeigen.de/s-bestandsliste.html?userId=24084956", "Link")</f>
        <v/>
      </c>
      <c r="K325" s="7" t="n">
        <v>45559.87916666667</v>
      </c>
      <c r="L325" s="3" t="inlineStr">
        <is>
          <t>88.90</t>
        </is>
      </c>
      <c r="M325" t="inlineStr">
        <is>
          <t>München</t>
        </is>
      </c>
    </row>
    <row r="326">
      <c r="A326" t="inlineStr">
        <is>
          <t>Naish SUP Paddel Sport Keiki 7.0 (Kids) EUR 50,--</t>
        </is>
      </c>
      <c r="B326" s="4" t="n">
        <v>50</v>
      </c>
      <c r="C326" t="inlineStr"/>
      <c r="D326" t="inlineStr">
        <is>
          <t>82327 Bayern - Tutzing</t>
        </is>
      </c>
      <c r="E326" s="5" t="n">
        <v>45559</v>
      </c>
      <c r="F326" t="inlineStr"/>
      <c r="G326" s="6">
        <f>HYPERLINK("https://www.kleinanzeigen.de/s-anzeige/naish-sup-paddel-sport-keiki-7-0-kids-eur-50-/2872329394-230-5545", "Link")</f>
        <v/>
      </c>
      <c r="H326" s="6">
        <f>HYPERLINK("C:\Projects\Kleinanzeigen-Scraper\offer_images\2872329394", "Link")</f>
        <v/>
      </c>
      <c r="I326" t="inlineStr">
        <is>
          <t>ElBr</t>
        </is>
      </c>
      <c r="J326" s="6">
        <f>HYPERLINK("https://www.kleinanzeigen.de/s-bestandsliste.html?userId=14540719", "Link")</f>
        <v/>
      </c>
      <c r="K326" s="7" t="n">
        <v>45559.8785300926</v>
      </c>
      <c r="L326" s="3" t="inlineStr">
        <is>
          <t>35.71</t>
        </is>
      </c>
      <c r="M326" t="inlineStr">
        <is>
          <t>München</t>
        </is>
      </c>
    </row>
    <row r="327">
      <c r="A327" t="inlineStr">
        <is>
          <t>SIMMS Wathose Gore-Tex Gr. L  top erhalten! NP 800.-€</t>
        </is>
      </c>
      <c r="B327" s="4" t="n">
        <v>200</v>
      </c>
      <c r="C327" t="inlineStr">
        <is>
          <t>VB</t>
        </is>
      </c>
      <c r="D327" t="inlineStr">
        <is>
          <t>22397 Wandsbek - Hamburg Lemsahl-Mellingstedt</t>
        </is>
      </c>
      <c r="E327" s="5" t="n">
        <v>45559</v>
      </c>
      <c r="F327" t="inlineStr">
        <is>
          <t>Sold</t>
        </is>
      </c>
      <c r="G327" s="6">
        <f>HYPERLINK("https://www.kleinanzeigen.de/s-anzeige/simms-wathose-gore-tex-gr-l-top-erhalten-np-800-/2872908706-187-21154", "Link")</f>
        <v/>
      </c>
      <c r="H327" s="6">
        <f>HYPERLINK("C:\Projects\Kleinanzeigen-Scraper\offer_images\2872908706", "Link")</f>
        <v/>
      </c>
      <c r="I327" t="inlineStr">
        <is>
          <t>JR</t>
        </is>
      </c>
      <c r="J327" s="6">
        <f>HYPERLINK("https://www.kleinanzeigen.de/s-bestandsliste.html?userId=41093716", "Link")</f>
        <v/>
      </c>
      <c r="K327" s="7" t="n">
        <v>45559.87844907407</v>
      </c>
      <c r="L327" s="3" t="inlineStr">
        <is>
          <t>373.25</t>
        </is>
      </c>
      <c r="M327" t="inlineStr">
        <is>
          <t>Köln</t>
        </is>
      </c>
    </row>
    <row r="328">
      <c r="A328" t="inlineStr">
        <is>
          <t>Snowboard FANATIC CAKE 148 NEU [1941]</t>
        </is>
      </c>
      <c r="B328" s="4" t="n">
        <v>129</v>
      </c>
      <c r="C328" t="inlineStr">
        <is>
          <t>VB</t>
        </is>
      </c>
      <c r="D328" t="inlineStr">
        <is>
          <t>37124 Niedersachsen - Rosdorf</t>
        </is>
      </c>
      <c r="E328" s="5" t="n">
        <v>45567</v>
      </c>
      <c r="F328" t="inlineStr"/>
      <c r="G328" s="6">
        <f>HYPERLINK("https://www.kleinanzeigen.de/s-anzeige/snowboard-fanatic-cake-148-neu-1941-/2023283701-230-3133", "Link")</f>
        <v/>
      </c>
      <c r="H328" s="6">
        <f>HYPERLINK("C:\Projects\Kleinanzeigen-Scraper\offer_images\2023283701", "Link")</f>
        <v/>
      </c>
      <c r="I328" t="inlineStr">
        <is>
          <t>No user name</t>
        </is>
      </c>
      <c r="J328" s="6">
        <f>HYPERLINK("https://www.kleinanzeigen.deNo user link", "Link")</f>
        <v/>
      </c>
      <c r="K328" s="7" t="n">
        <v>45559.87825231482</v>
      </c>
      <c r="L328" s="3" t="inlineStr">
        <is>
          <t>214.72</t>
        </is>
      </c>
      <c r="M328" t="inlineStr">
        <is>
          <t>Köln</t>
        </is>
      </c>
    </row>
    <row r="329">
      <c r="A329" t="inlineStr">
        <is>
          <t>US Kennzeichen  North Dakota Indianer</t>
        </is>
      </c>
      <c r="B329" s="4" t="n">
        <v>75</v>
      </c>
      <c r="C329" t="inlineStr">
        <is>
          <t>VB</t>
        </is>
      </c>
      <c r="D329" t="inlineStr">
        <is>
          <t>56132 Becheln - Becheln</t>
        </is>
      </c>
      <c r="E329" s="5" t="n">
        <v>45559</v>
      </c>
      <c r="F329" t="inlineStr"/>
      <c r="G329" s="6">
        <f>HYPERLINK("https://www.kleinanzeigen.de/s-anzeige/us-kennzeichen-north-dakota-indianer/2872547266-234-18612", "Link")</f>
        <v/>
      </c>
      <c r="H329" s="6">
        <f>HYPERLINK("C:\Projects\Kleinanzeigen-Scraper\offer_images\2872547266", "Link")</f>
        <v/>
      </c>
      <c r="I329" t="inlineStr">
        <is>
          <t>Falk</t>
        </is>
      </c>
      <c r="J329" s="6">
        <f>HYPERLINK("https://www.kleinanzeigen.de/s-bestandsliste.html?userId=144460996", "Link")</f>
        <v/>
      </c>
      <c r="K329" s="7" t="n">
        <v>45559.8781712963</v>
      </c>
      <c r="L329" s="3" t="inlineStr">
        <is>
          <t>86.68</t>
        </is>
      </c>
      <c r="M329" t="inlineStr">
        <is>
          <t>Köln</t>
        </is>
      </c>
    </row>
    <row r="330">
      <c r="A330" t="inlineStr">
        <is>
          <t>Simms Tacklewarehouse Shirts Tackle Ware House</t>
        </is>
      </c>
      <c r="B330" s="4" t="n">
        <v>20</v>
      </c>
      <c r="C330" t="inlineStr"/>
      <c r="D330" t="inlineStr">
        <is>
          <t>61440 Hessen - Oberursel (Taunus)</t>
        </is>
      </c>
      <c r="E330" s="5" t="n">
        <v>45559</v>
      </c>
      <c r="F330" t="inlineStr"/>
      <c r="G330" s="6">
        <f>HYPERLINK("https://www.kleinanzeigen.de/s-anzeige/simms-tacklewarehouse-shirts-tackle-ware-house/2872627584-230-4578", "Link")</f>
        <v/>
      </c>
      <c r="H330" s="6">
        <f>HYPERLINK("C:\Projects\Kleinanzeigen-Scraper\offer_images\2872627584", "Link")</f>
        <v/>
      </c>
      <c r="I330" t="inlineStr">
        <is>
          <t>Leon</t>
        </is>
      </c>
      <c r="J330" s="6">
        <f>HYPERLINK("https://www.kleinanzeigen.de/s-bestandsliste.html?userId=29845155", "Link")</f>
        <v/>
      </c>
      <c r="K330" s="7" t="n">
        <v>45559.87810185185</v>
      </c>
      <c r="L330" s="3" t="inlineStr">
        <is>
          <t>134.19</t>
        </is>
      </c>
      <c r="M330" t="inlineStr">
        <is>
          <t>Karlsruhe</t>
        </is>
      </c>
    </row>
    <row r="331">
      <c r="A331" t="inlineStr">
        <is>
          <t>Haushaltsauflösung in Simmern/Hunsrück</t>
        </is>
      </c>
      <c r="B331" s="4" t="n">
        <v>123.456</v>
      </c>
      <c r="C331" t="inlineStr">
        <is>
          <t>VB</t>
        </is>
      </c>
      <c r="D331" t="inlineStr">
        <is>
          <t>55469 Rheinland-Pfalz - Simmern</t>
        </is>
      </c>
      <c r="E331" s="5" t="n">
        <v>45558</v>
      </c>
      <c r="F331" t="inlineStr">
        <is>
          <t>Sold</t>
        </is>
      </c>
      <c r="G331" s="6">
        <f>HYPERLINK("https://www.kleinanzeigen.de/s-anzeige/haushaltsaufloesung-in-simmern-hunsrueck/2872239038-250-20854", "Link")</f>
        <v/>
      </c>
      <c r="H331" s="6">
        <f>HYPERLINK("C:\Projects\Kleinanzeigen-Scraper\offer_images\2872239038", "Link")</f>
        <v/>
      </c>
      <c r="I331" t="inlineStr">
        <is>
          <t>Jürgen &amp; Anke</t>
        </is>
      </c>
      <c r="J331" s="6">
        <f>HYPERLINK("https://www.kleinanzeigen.de/s-bestandsliste.html?userId=141593145", "Link")</f>
        <v/>
      </c>
      <c r="K331" s="7" t="n">
        <v>45559.8775</v>
      </c>
      <c r="L331" s="3" t="inlineStr">
        <is>
          <t>113.56</t>
        </is>
      </c>
      <c r="M331" t="inlineStr">
        <is>
          <t>Köln</t>
        </is>
      </c>
    </row>
    <row r="332">
      <c r="A332" t="inlineStr">
        <is>
          <t>Die Schöne und das Biest - La Belle et la Bete - Tabou Editions</t>
        </is>
      </c>
      <c r="B332" s="4" t="n">
        <v>20</v>
      </c>
      <c r="C332" t="inlineStr">
        <is>
          <t>VB</t>
        </is>
      </c>
      <c r="D332" t="inlineStr">
        <is>
          <t>55131 Rheinland-Pfalz - Mainz</t>
        </is>
      </c>
      <c r="E332" s="5" t="n">
        <v>45559</v>
      </c>
      <c r="F332" t="inlineStr"/>
      <c r="G332" s="6">
        <f>HYPERLINK("https://www.kleinanzeigen.de/s-anzeige/die-schoene-und-das-biest-la-belle-et-la-bete-tabou-editions/2872747303-234-5317", "Link")</f>
        <v/>
      </c>
      <c r="H332" s="6">
        <f>HYPERLINK("C:\Projects\Kleinanzeigen-Scraper\offer_images\2872747303", "Link")</f>
        <v/>
      </c>
      <c r="I332" t="inlineStr">
        <is>
          <t>J. Fleck</t>
        </is>
      </c>
      <c r="J332" s="6">
        <f>HYPERLINK("https://www.kleinanzeigen.de/s-bestandsliste.html?userId=14942771", "Link")</f>
        <v/>
      </c>
      <c r="K332" s="7" t="n">
        <v>45559.87731481482</v>
      </c>
      <c r="L332" s="3" t="inlineStr">
        <is>
          <t>109.57</t>
        </is>
      </c>
      <c r="M332" t="inlineStr">
        <is>
          <t>Karlsruhe</t>
        </is>
      </c>
    </row>
    <row r="333">
      <c r="A333" t="inlineStr">
        <is>
          <t>Simms Hobie Kappe Fishing Cap Set</t>
        </is>
      </c>
      <c r="B333" s="4" t="n">
        <v>20</v>
      </c>
      <c r="C333" t="inlineStr"/>
      <c r="D333" t="inlineStr">
        <is>
          <t>61440 Hessen - Oberursel (Taunus)</t>
        </is>
      </c>
      <c r="E333" s="5" t="n">
        <v>45558</v>
      </c>
      <c r="F333" t="inlineStr">
        <is>
          <t>Sold</t>
        </is>
      </c>
      <c r="G333" s="6">
        <f>HYPERLINK("https://www.kleinanzeigen.de/s-anzeige/simms-hobie-kappe-fishing-cap-set/2872280419-230-4578", "Link")</f>
        <v/>
      </c>
      <c r="H333" s="6">
        <f>HYPERLINK("C:\Projects\Kleinanzeigen-Scraper\offer_images\2872280419", "Link")</f>
        <v/>
      </c>
      <c r="I333" t="inlineStr">
        <is>
          <t>Leon</t>
        </is>
      </c>
      <c r="J333" s="6">
        <f>HYPERLINK("https://www.kleinanzeigen.de/s-bestandsliste.html?userId=29845155", "Link")</f>
        <v/>
      </c>
      <c r="K333" s="7" t="n">
        <v>45559.8765625</v>
      </c>
      <c r="L333" s="3" t="inlineStr">
        <is>
          <t>134.19</t>
        </is>
      </c>
      <c r="M333" t="inlineStr">
        <is>
          <t>Karlsruhe</t>
        </is>
      </c>
    </row>
    <row r="334">
      <c r="A334" t="inlineStr">
        <is>
          <t>North Sails Jacke Gr. L, Segeljacke absolut neuwertig</t>
        </is>
      </c>
      <c r="B334" s="4" t="inlineStr"/>
      <c r="C334" t="inlineStr">
        <is>
          <t>VB</t>
        </is>
      </c>
      <c r="D334" t="inlineStr">
        <is>
          <t>52152 Nordrhein-Westfalen - Simmerath</t>
        </is>
      </c>
      <c r="E334" s="5" t="n">
        <v>45558</v>
      </c>
      <c r="F334" t="inlineStr">
        <is>
          <t>Sold</t>
        </is>
      </c>
      <c r="G334" s="6">
        <f>HYPERLINK("https://www.kleinanzeigen.de/s-anzeige/north-sails-jacke-gr-l-segeljacke-absolut-neuwertig/2872050273-230-1727", "Link")</f>
        <v/>
      </c>
      <c r="H334" s="6">
        <f>HYPERLINK("C:\Projects\Kleinanzeigen-Scraper\offer_images\2872050273", "Link")</f>
        <v/>
      </c>
      <c r="I334" t="inlineStr">
        <is>
          <t>G. H.</t>
        </is>
      </c>
      <c r="J334" s="6">
        <f>HYPERLINK("https://www.kleinanzeigen.de/s-bestandsliste.html?userId=13126707", "Link")</f>
        <v/>
      </c>
      <c r="K334" s="7" t="n">
        <v>45559.87631944445</v>
      </c>
      <c r="L334" s="3" t="inlineStr">
        <is>
          <t>57.52</t>
        </is>
      </c>
      <c r="M334" t="inlineStr">
        <is>
          <t>Köln</t>
        </is>
      </c>
    </row>
    <row r="335">
      <c r="A335" t="inlineStr">
        <is>
          <t>SUP Starboard Touring M ZEN SC 12´6 2023 *wie neu</t>
        </is>
      </c>
      <c r="B335" s="4" t="n">
        <v>399</v>
      </c>
      <c r="C335" t="inlineStr">
        <is>
          <t>VB</t>
        </is>
      </c>
      <c r="D335" t="inlineStr">
        <is>
          <t>09126 Chemnitz - Lutherviertel</t>
        </is>
      </c>
      <c r="E335" s="5" t="n">
        <v>45559</v>
      </c>
      <c r="F335" t="inlineStr">
        <is>
          <t>Sold</t>
        </is>
      </c>
      <c r="G335" s="6">
        <f>HYPERLINK("https://www.kleinanzeigen.de/s-anzeige/sup-starboard-touring-m-zen-sc-12-6-2023-wie-neu/2873047688-230-26106", "Link")</f>
        <v/>
      </c>
      <c r="H335" s="6">
        <f>HYPERLINK("C:\Projects\Kleinanzeigen-Scraper\offer_images\2873047688", "Link")</f>
        <v/>
      </c>
      <c r="I335" t="inlineStr">
        <is>
          <t>Steffen</t>
        </is>
      </c>
      <c r="J335" s="6">
        <f>HYPERLINK("https://www.kleinanzeigen.de/s-bestandsliste.html?userId=20015328", "Link")</f>
        <v/>
      </c>
      <c r="K335" s="7" t="n">
        <v>45559.87615740741</v>
      </c>
      <c r="L335" s="3" t="inlineStr">
        <is>
          <t>314.18</t>
        </is>
      </c>
      <c r="M335" t="inlineStr">
        <is>
          <t>München</t>
        </is>
      </c>
    </row>
    <row r="336">
      <c r="A336" t="inlineStr">
        <is>
          <t>Starboard Fuselage 115+</t>
        </is>
      </c>
      <c r="B336" s="4" t="n">
        <v>90</v>
      </c>
      <c r="C336" t="inlineStr">
        <is>
          <t>VB</t>
        </is>
      </c>
      <c r="D336" t="inlineStr">
        <is>
          <t>83395 Bayern - Freilassing</t>
        </is>
      </c>
      <c r="E336" s="5" t="n">
        <v>45559</v>
      </c>
      <c r="F336" t="inlineStr">
        <is>
          <t>Sold</t>
        </is>
      </c>
      <c r="G336" s="6">
        <f>HYPERLINK("https://www.kleinanzeigen.de/s-anzeige/starboard-fuselage-115-/2872354465-230-6273", "Link")</f>
        <v/>
      </c>
      <c r="H336" s="6">
        <f>HYPERLINK("C:\Projects\Kleinanzeigen-Scraper\offer_images\2872354465", "Link")</f>
        <v/>
      </c>
      <c r="I336" t="inlineStr">
        <is>
          <t>Simon</t>
        </is>
      </c>
      <c r="J336" s="6">
        <f>HYPERLINK("https://www.kleinanzeigen.de/s-bestandsliste.html?userId=39651255", "Link")</f>
        <v/>
      </c>
      <c r="K336" s="7" t="n">
        <v>45559.8759375</v>
      </c>
      <c r="L336" s="3" t="inlineStr">
        <is>
          <t>108.85</t>
        </is>
      </c>
      <c r="M336" t="inlineStr">
        <is>
          <t>München</t>
        </is>
      </c>
    </row>
    <row r="337">
      <c r="A337" t="inlineStr">
        <is>
          <t>Starboard iGo Deluxe, mit RED Paddel und Akku Pumpe 20 psi</t>
        </is>
      </c>
      <c r="B337" s="4" t="n">
        <v>750</v>
      </c>
      <c r="C337" t="inlineStr"/>
      <c r="D337" t="inlineStr">
        <is>
          <t>82544 Bayern - Egling</t>
        </is>
      </c>
      <c r="E337" s="5" t="n">
        <v>45559</v>
      </c>
      <c r="F337" t="inlineStr"/>
      <c r="G337" s="6">
        <f>HYPERLINK("https://www.kleinanzeigen.de/s-anzeige/starboard-igo-deluxe-mit-red-paddel-und-akku-pumpe-20-psi/2872797324-230-5541", "Link")</f>
        <v/>
      </c>
      <c r="H337" s="6">
        <f>HYPERLINK("C:\Projects\Kleinanzeigen-Scraper\offer_images\2872797324", "Link")</f>
        <v/>
      </c>
      <c r="I337" t="inlineStr">
        <is>
          <t>Mathias Lich</t>
        </is>
      </c>
      <c r="J337" s="6">
        <f>HYPERLINK("https://www.kleinanzeigen.de/s-bestandsliste.html?userId=8586285", "Link")</f>
        <v/>
      </c>
      <c r="K337" s="7" t="n">
        <v>45559.87590277778</v>
      </c>
      <c r="L337" s="3" t="inlineStr">
        <is>
          <t>23.39</t>
        </is>
      </c>
      <c r="M337" t="inlineStr">
        <is>
          <t>München</t>
        </is>
      </c>
    </row>
    <row r="338">
      <c r="A338" t="inlineStr">
        <is>
          <t>Neilpryde RS Flight AL Foil.</t>
        </is>
      </c>
      <c r="B338" s="4" t="n">
        <v>240</v>
      </c>
      <c r="C338" t="inlineStr">
        <is>
          <t>VB</t>
        </is>
      </c>
      <c r="D338" t="inlineStr">
        <is>
          <t>01558 Sachsen - Großenhain</t>
        </is>
      </c>
      <c r="E338" s="5" t="n">
        <v>45558</v>
      </c>
      <c r="F338" t="inlineStr"/>
      <c r="G338" s="6">
        <f>HYPERLINK("https://www.kleinanzeigen.de/s-anzeige/neilpryde-rs-flight-al-foil-/2872202020-230-3994", "Link")</f>
        <v/>
      </c>
      <c r="H338" s="6">
        <f>HYPERLINK("C:\Projects\Kleinanzeigen-Scraper\offer_images\2872202020", "Link")</f>
        <v/>
      </c>
      <c r="I338" t="inlineStr">
        <is>
          <t>Schmidt, Robert</t>
        </is>
      </c>
      <c r="J338" s="6">
        <f>HYPERLINK("https://www.kleinanzeigen.de/s-bestandsliste.html?userId=18600490", "Link")</f>
        <v/>
      </c>
      <c r="K338" s="7" t="n">
        <v>45559.87569444445</v>
      </c>
      <c r="L338" s="3" t="inlineStr">
        <is>
          <t>378.05</t>
        </is>
      </c>
      <c r="M338" t="inlineStr">
        <is>
          <t>München</t>
        </is>
      </c>
    </row>
    <row r="339">
      <c r="A339" t="inlineStr">
        <is>
          <t>Neu: NBA retro Jersey Trikot Michael Jordan North Carolina Nike M</t>
        </is>
      </c>
      <c r="B339" s="4" t="n">
        <v>55</v>
      </c>
      <c r="C339" t="inlineStr"/>
      <c r="D339" t="inlineStr">
        <is>
          <t>52078 Aachen - Aachen-Brand</t>
        </is>
      </c>
      <c r="E339" s="5" t="n">
        <v>45559</v>
      </c>
      <c r="F339" t="inlineStr">
        <is>
          <t>Sold</t>
        </is>
      </c>
      <c r="G339" s="6">
        <f>HYPERLINK("https://www.kleinanzeigen.de/s-anzeige/neu-nba-retro-jersey-trikot-michael-jordan-north-carolina-nike-m/2873047811-230-1926", "Link")</f>
        <v/>
      </c>
      <c r="H339" s="6">
        <f>HYPERLINK("C:\Projects\Kleinanzeigen-Scraper\offer_images\2873047811", "Link")</f>
        <v/>
      </c>
      <c r="I339" t="inlineStr">
        <is>
          <t>RF</t>
        </is>
      </c>
      <c r="J339" s="6">
        <f>HYPERLINK("https://www.kleinanzeigen.de/s-bestandsliste.html?userId=33653620", "Link")</f>
        <v/>
      </c>
      <c r="K339" s="7" t="n">
        <v>45559.87553240741</v>
      </c>
      <c r="L339" s="3" t="inlineStr">
        <is>
          <t>59.31</t>
        </is>
      </c>
      <c r="M339" t="inlineStr">
        <is>
          <t>Köln</t>
        </is>
      </c>
    </row>
    <row r="340">
      <c r="A340" t="inlineStr">
        <is>
          <t>WALTHERS Great Northern 4 Wagen Zug Ho</t>
        </is>
      </c>
      <c r="B340" s="4" t="n">
        <v>155</v>
      </c>
      <c r="C340" t="inlineStr">
        <is>
          <t>VB</t>
        </is>
      </c>
      <c r="D340" t="inlineStr">
        <is>
          <t>26506 Niedersachsen - Norden</t>
        </is>
      </c>
      <c r="E340" s="5" t="n">
        <v>45559</v>
      </c>
      <c r="F340" t="inlineStr"/>
      <c r="G340" s="6">
        <f>HYPERLINK("https://www.kleinanzeigen.de/s-anzeige/walthers-great-northern-4-wagen-zug-ho/2872967041-249-2777", "Link")</f>
        <v/>
      </c>
      <c r="H340" s="6">
        <f>HYPERLINK("C:\Projects\Kleinanzeigen-Scraper\offer_images\2872967041", "Link")</f>
        <v/>
      </c>
      <c r="I340" t="inlineStr">
        <is>
          <t>J. Pietzka</t>
        </is>
      </c>
      <c r="J340" s="6">
        <f>HYPERLINK("https://www.kleinanzeigen.de/s-bestandsliste.html?userId=136120815", "Link")</f>
        <v/>
      </c>
      <c r="K340" s="7" t="n">
        <v>45559.87547453704</v>
      </c>
      <c r="L340" s="3" t="inlineStr">
        <is>
          <t>293.71</t>
        </is>
      </c>
      <c r="M340" t="inlineStr">
        <is>
          <t>Köln</t>
        </is>
      </c>
    </row>
    <row r="341">
      <c r="A341" t="inlineStr">
        <is>
          <t>Sailbag Windsurf Equipment Tasche Segeltasche</t>
        </is>
      </c>
      <c r="B341" s="4" t="n">
        <v>70</v>
      </c>
      <c r="C341" t="inlineStr"/>
      <c r="D341" t="inlineStr">
        <is>
          <t>72070 Baden-Württemberg - Tübingen</t>
        </is>
      </c>
      <c r="E341" s="5" t="n">
        <v>45558</v>
      </c>
      <c r="F341" t="inlineStr"/>
      <c r="G341" s="6">
        <f>HYPERLINK("https://www.kleinanzeigen.de/s-anzeige/sailbag-windsurf-equipment-tasche-segeltasche/2872174770-230-9093", "Link")</f>
        <v/>
      </c>
      <c r="H341" s="6">
        <f>HYPERLINK("C:\Projects\Kleinanzeigen-Scraper\offer_images\2872174770", "Link")</f>
        <v/>
      </c>
      <c r="I341" t="inlineStr">
        <is>
          <t>Wassen</t>
        </is>
      </c>
      <c r="J341" s="6">
        <f>HYPERLINK("https://www.kleinanzeigen.de/s-bestandsliste.html?userId=3367053", "Link")</f>
        <v/>
      </c>
      <c r="K341" s="7" t="n">
        <v>45559.87540509259</v>
      </c>
      <c r="L341" s="3" t="inlineStr">
        <is>
          <t>17.20</t>
        </is>
      </c>
      <c r="M341" t="inlineStr">
        <is>
          <t>Böblingen</t>
        </is>
      </c>
    </row>
    <row r="342">
      <c r="A342" t="inlineStr">
        <is>
          <t>Bob Ross Northern Lights Puzzle 1000 Teile NEUWERTIG</t>
        </is>
      </c>
      <c r="B342" s="4" t="n">
        <v>7</v>
      </c>
      <c r="C342" t="inlineStr"/>
      <c r="D342" t="inlineStr">
        <is>
          <t>22047 Hamburg - Wandsbek</t>
        </is>
      </c>
      <c r="E342" s="5" t="n">
        <v>45559</v>
      </c>
      <c r="F342" t="inlineStr"/>
      <c r="G342" s="6">
        <f>HYPERLINK("https://www.kleinanzeigen.de/s-anzeige/bob-ross-northern-lights-puzzle-1000-teile-neuwertig/2872794689-187-26507", "Link")</f>
        <v/>
      </c>
      <c r="H342" s="6">
        <f>HYPERLINK("C:\Projects\Kleinanzeigen-Scraper\offer_images\2872794689", "Link")</f>
        <v/>
      </c>
      <c r="I342" t="inlineStr">
        <is>
          <t>Antje</t>
        </is>
      </c>
      <c r="J342" s="6">
        <f>HYPERLINK("https://www.kleinanzeigen.de/s-bestandsliste.html?userId=130601882", "Link")</f>
        <v/>
      </c>
      <c r="K342" s="7" t="n">
        <v>45559.87538194445</v>
      </c>
      <c r="L342" s="3" t="inlineStr">
        <is>
          <t>364.13</t>
        </is>
      </c>
      <c r="M342" t="inlineStr">
        <is>
          <t>Köln</t>
        </is>
      </c>
    </row>
    <row r="343">
      <c r="A343" t="inlineStr">
        <is>
          <t>SUP Starboard Touring M ZEN DC 12´6 + Padde 2023 *wie neu</t>
        </is>
      </c>
      <c r="B343" s="4" t="n">
        <v>559</v>
      </c>
      <c r="C343" t="inlineStr">
        <is>
          <t>VB</t>
        </is>
      </c>
      <c r="D343" t="inlineStr">
        <is>
          <t>09126 Chemnitz - Lutherviertel</t>
        </is>
      </c>
      <c r="E343" s="5" t="n">
        <v>45559</v>
      </c>
      <c r="F343" t="inlineStr">
        <is>
          <t>Sold</t>
        </is>
      </c>
      <c r="G343" s="6">
        <f>HYPERLINK("https://www.kleinanzeigen.de/s-anzeige/sup-starboard-touring-m-zen-dc-12-6-padde-2023-wie-neu/2873051760-230-26106", "Link")</f>
        <v/>
      </c>
      <c r="H343" s="6">
        <f>HYPERLINK("C:\Projects\Kleinanzeigen-Scraper\offer_images\2873051760", "Link")</f>
        <v/>
      </c>
      <c r="I343" t="inlineStr">
        <is>
          <t>Steffen</t>
        </is>
      </c>
      <c r="J343" s="6">
        <f>HYPERLINK("https://www.kleinanzeigen.de/s-bestandsliste.html?userId=20015328", "Link")</f>
        <v/>
      </c>
      <c r="K343" s="7" t="n">
        <v>45559.87535879629</v>
      </c>
      <c r="L343" s="3" t="inlineStr">
        <is>
          <t>314.18</t>
        </is>
      </c>
      <c r="M343" t="inlineStr">
        <is>
          <t>München</t>
        </is>
      </c>
    </row>
    <row r="344">
      <c r="A344" t="inlineStr">
        <is>
          <t>Neil Pride Windsurf Mast Tasche (2,5m)</t>
        </is>
      </c>
      <c r="B344" s="4" t="n">
        <v>5</v>
      </c>
      <c r="C344" t="inlineStr"/>
      <c r="D344" t="inlineStr">
        <is>
          <t>12209 Berlin - Lichterfelde</t>
        </is>
      </c>
      <c r="E344" s="5" t="n">
        <v>45559</v>
      </c>
      <c r="F344" t="inlineStr">
        <is>
          <t>Sold</t>
        </is>
      </c>
      <c r="G344" s="6">
        <f>HYPERLINK("https://www.kleinanzeigen.de/s-anzeige/neil-pride-windsurf-mast-tasche-2-5m-/2872763107-230-25899", "Link")</f>
        <v/>
      </c>
      <c r="H344" s="6">
        <f>HYPERLINK("C:\Projects\Kleinanzeigen-Scraper\offer_images\2872763107", "Link")</f>
        <v/>
      </c>
      <c r="I344" t="inlineStr">
        <is>
          <t>Lenard</t>
        </is>
      </c>
      <c r="J344" s="6">
        <f>HYPERLINK("https://www.kleinanzeigen.de/s-bestandsliste.html?userId=119972603", "Link")</f>
        <v/>
      </c>
      <c r="K344" s="7" t="n">
        <v>45559.87520833333</v>
      </c>
      <c r="L344" s="3" t="inlineStr">
        <is>
          <t>469.13</t>
        </is>
      </c>
      <c r="M344" t="inlineStr">
        <is>
          <t>Köln</t>
        </is>
      </c>
    </row>
    <row r="345">
      <c r="A345" t="inlineStr">
        <is>
          <t>Simms Taschen</t>
        </is>
      </c>
      <c r="B345" s="4" t="n">
        <v>160</v>
      </c>
      <c r="C345" t="inlineStr"/>
      <c r="D345" t="inlineStr">
        <is>
          <t>79618 Baden-Württemberg - Rheinfelden (Baden)</t>
        </is>
      </c>
      <c r="E345" s="5" t="n">
        <v>45559</v>
      </c>
      <c r="F345" t="inlineStr"/>
      <c r="G345" s="6">
        <f>HYPERLINK("https://www.kleinanzeigen.de/s-anzeige/simms-taschen/2872314231-230-8169", "Link")</f>
        <v/>
      </c>
      <c r="H345" s="6">
        <f>HYPERLINK("C:\Projects\Kleinanzeigen-Scraper\offer_images\2872314231", "Link")</f>
        <v/>
      </c>
      <c r="I345" t="inlineStr">
        <is>
          <t>Fischer</t>
        </is>
      </c>
      <c r="J345" s="6">
        <f>HYPERLINK("https://www.kleinanzeigen.de/s-bestandsliste.html?userId=37646928", "Link")</f>
        <v/>
      </c>
      <c r="K345" s="7" t="n">
        <v>45559.87509259259</v>
      </c>
      <c r="L345" s="3" t="inlineStr">
        <is>
          <t>49.46</t>
        </is>
      </c>
      <c r="M345" t="inlineStr">
        <is>
          <t>Bonndorf</t>
        </is>
      </c>
    </row>
    <row r="346">
      <c r="A346" t="inlineStr">
        <is>
          <t>SUP Starboard Touring M Deluxe DC 12´6 2023 NEU &amp; OVP</t>
        </is>
      </c>
      <c r="B346" s="4" t="n">
        <v>819</v>
      </c>
      <c r="C346" t="inlineStr">
        <is>
          <t>VB</t>
        </is>
      </c>
      <c r="D346" t="inlineStr">
        <is>
          <t>09126 Chemnitz - Lutherviertel</t>
        </is>
      </c>
      <c r="E346" s="5" t="n">
        <v>45559</v>
      </c>
      <c r="F346" t="inlineStr">
        <is>
          <t>Sold</t>
        </is>
      </c>
      <c r="G346" s="6">
        <f>HYPERLINK("https://www.kleinanzeigen.de/s-anzeige/sup-starboard-touring-m-deluxe-dc-12-6-2023-neu-ovp/2873046419-230-26106", "Link")</f>
        <v/>
      </c>
      <c r="H346" s="6">
        <f>HYPERLINK("C:\Projects\Kleinanzeigen-Scraper\offer_images\2873046419", "Link")</f>
        <v/>
      </c>
      <c r="I346" t="inlineStr">
        <is>
          <t>Steffen</t>
        </is>
      </c>
      <c r="J346" s="6">
        <f>HYPERLINK("https://www.kleinanzeigen.de/s-bestandsliste.html?userId=20015328", "Link")</f>
        <v/>
      </c>
      <c r="K346" s="7" t="n">
        <v>45559.8750462963</v>
      </c>
      <c r="L346" s="3" t="inlineStr">
        <is>
          <t>314.18</t>
        </is>
      </c>
      <c r="M346" t="inlineStr">
        <is>
          <t>München</t>
        </is>
      </c>
    </row>
    <row r="347">
      <c r="A347" t="inlineStr">
        <is>
          <t>Simms Fishing Trout Shirt braun XXL</t>
        </is>
      </c>
      <c r="B347" s="4" t="n">
        <v>20</v>
      </c>
      <c r="C347" t="inlineStr"/>
      <c r="D347" t="inlineStr">
        <is>
          <t>61440 Hessen - Oberursel (Taunus)</t>
        </is>
      </c>
      <c r="E347" s="5" t="n">
        <v>45559</v>
      </c>
      <c r="F347" t="inlineStr">
        <is>
          <t>Sold</t>
        </is>
      </c>
      <c r="G347" s="6">
        <f>HYPERLINK("https://www.kleinanzeigen.de/s-anzeige/simms-fishing-trout-shirt-braun-xxl/2872689258-230-4578", "Link")</f>
        <v/>
      </c>
      <c r="H347" s="6">
        <f>HYPERLINK("C:\Projects\Kleinanzeigen-Scraper\offer_images\2872689258", "Link")</f>
        <v/>
      </c>
      <c r="I347" t="inlineStr">
        <is>
          <t>Leon</t>
        </is>
      </c>
      <c r="J347" s="6">
        <f>HYPERLINK("https://www.kleinanzeigen.de/s-bestandsliste.html?userId=29845155", "Link")</f>
        <v/>
      </c>
      <c r="K347" s="7" t="n">
        <v>45559.87503472222</v>
      </c>
      <c r="L347" s="3" t="inlineStr">
        <is>
          <t>134.19</t>
        </is>
      </c>
      <c r="M347" t="inlineStr">
        <is>
          <t>Karlsruhe</t>
        </is>
      </c>
    </row>
    <row r="348">
      <c r="A348" t="inlineStr">
        <is>
          <t>Naish HA 1400 Foil Frontflügel</t>
        </is>
      </c>
      <c r="B348" s="4" t="n">
        <v>269</v>
      </c>
      <c r="C348" t="inlineStr"/>
      <c r="D348" t="inlineStr">
        <is>
          <t>18586 Rügen - Thiessow</t>
        </is>
      </c>
      <c r="E348" s="5" t="n">
        <v>45559</v>
      </c>
      <c r="F348" t="inlineStr">
        <is>
          <t>Sold</t>
        </is>
      </c>
      <c r="G348" s="6">
        <f>HYPERLINK("https://www.kleinanzeigen.de/s-anzeige/naish-ha-1400-foil-frontfluegel/2872390645-230-11838", "Link")</f>
        <v/>
      </c>
      <c r="H348" s="6">
        <f>HYPERLINK("C:\Projects\Kleinanzeigen-Scraper\offer_images\2872390645", "Link")</f>
        <v/>
      </c>
      <c r="I348" t="inlineStr">
        <is>
          <t>Mathias Weinhauer</t>
        </is>
      </c>
      <c r="J348" s="6">
        <f>HYPERLINK("https://www.kleinanzeigen.de/s-bestandsliste.html?userId=9235426", "Link")</f>
        <v/>
      </c>
      <c r="K348" s="7" t="n">
        <v>45559.87494212963</v>
      </c>
      <c r="L348" s="3" t="inlineStr">
        <is>
          <t>591.22</t>
        </is>
      </c>
      <c r="M348" t="inlineStr">
        <is>
          <t>Köln</t>
        </is>
      </c>
    </row>
    <row r="349">
      <c r="A349" t="inlineStr">
        <is>
          <t>Masttasche Tasche Mast Bag windsurfen</t>
        </is>
      </c>
      <c r="B349" s="4" t="n">
        <v>25</v>
      </c>
      <c r="C349" t="inlineStr"/>
      <c r="D349" t="inlineStr">
        <is>
          <t>25355 Kreis Pinneberg - Barmstedt</t>
        </is>
      </c>
      <c r="E349" s="5" t="n">
        <v>45559</v>
      </c>
      <c r="F349" t="inlineStr"/>
      <c r="G349" s="6">
        <f>HYPERLINK("https://www.kleinanzeigen.de/s-anzeige/masttasche-tasche-mast-bag-windsurfen/2872993945-230-16677", "Link")</f>
        <v/>
      </c>
      <c r="H349" s="6">
        <f>HYPERLINK("C:\Projects\Kleinanzeigen-Scraper\offer_images\2872993945", "Link")</f>
        <v/>
      </c>
      <c r="I349" t="inlineStr">
        <is>
          <t>Hansi</t>
        </is>
      </c>
      <c r="J349" s="6">
        <f>HYPERLINK("https://www.kleinanzeigen.de/s-bestandsliste.html?userId=73580626", "Link")</f>
        <v/>
      </c>
      <c r="K349" s="7" t="n">
        <v>45559.87491898148</v>
      </c>
      <c r="L349" s="3" t="inlineStr">
        <is>
          <t>371.91</t>
        </is>
      </c>
      <c r="M349" t="inlineStr">
        <is>
          <t>Köln</t>
        </is>
      </c>
    </row>
    <row r="350">
      <c r="A350" t="inlineStr">
        <is>
          <t>Army Painter Metall + Skin Tones + Fanatic Mega Set OVP</t>
        </is>
      </c>
      <c r="B350" s="4" t="n">
        <v>115</v>
      </c>
      <c r="C350" t="inlineStr"/>
      <c r="D350" t="inlineStr">
        <is>
          <t>45711 Nordrhein-Westfalen - Datteln</t>
        </is>
      </c>
      <c r="E350" s="5" t="n">
        <v>45559</v>
      </c>
      <c r="F350" t="inlineStr">
        <is>
          <t>Sold</t>
        </is>
      </c>
      <c r="G350" s="6">
        <f>HYPERLINK("https://www.kleinanzeigen.de/s-anzeige/army-painter-metall-skin-tones-fanatic-mega-set-ovp/2873013329-242-1329", "Link")</f>
        <v/>
      </c>
      <c r="H350" s="6">
        <f>HYPERLINK("C:\Projects\Kleinanzeigen-Scraper\offer_images\2873013329", "Link")</f>
        <v/>
      </c>
      <c r="I350" t="inlineStr">
        <is>
          <t>Stephan</t>
        </is>
      </c>
      <c r="J350" s="6">
        <f>HYPERLINK("https://www.kleinanzeigen.de/s-bestandsliste.html?userId=70664024", "Link")</f>
        <v/>
      </c>
      <c r="K350" s="7" t="n">
        <v>45559.87478009259</v>
      </c>
      <c r="L350" s="3" t="inlineStr">
        <is>
          <t>83.86</t>
        </is>
      </c>
      <c r="M350" t="inlineStr">
        <is>
          <t>Köln</t>
        </is>
      </c>
    </row>
    <row r="351">
      <c r="A351" t="inlineStr">
        <is>
          <t>Sehr guter Zustand: Naish Pivot 12m</t>
        </is>
      </c>
      <c r="B351" s="4" t="n">
        <v>779</v>
      </c>
      <c r="C351" t="inlineStr">
        <is>
          <t>VB</t>
        </is>
      </c>
      <c r="D351" t="inlineStr">
        <is>
          <t>81243 München - Pasing-Obermenzing</t>
        </is>
      </c>
      <c r="E351" s="5" t="n">
        <v>45558</v>
      </c>
      <c r="F351" t="inlineStr"/>
      <c r="G351" s="6">
        <f>HYPERLINK("https://www.kleinanzeigen.de/s-anzeige/sehr-guter-zustand-naish-pivot-12m/2872186199-230-6476", "Link")</f>
        <v/>
      </c>
      <c r="H351" s="6">
        <f>HYPERLINK("C:\Projects\Kleinanzeigen-Scraper\offer_images\2872186199", "Link")</f>
        <v/>
      </c>
      <c r="I351" t="inlineStr">
        <is>
          <t>Benjamin</t>
        </is>
      </c>
      <c r="J351" s="6">
        <f>HYPERLINK("https://www.kleinanzeigen.de/s-bestandsliste.html?userId=34393182", "Link")</f>
        <v/>
      </c>
      <c r="K351" s="7" t="n">
        <v>45559.8747337963</v>
      </c>
      <c r="L351" s="3" t="inlineStr">
        <is>
          <t>10.14</t>
        </is>
      </c>
      <c r="M351" t="inlineStr">
        <is>
          <t>München</t>
        </is>
      </c>
    </row>
    <row r="352">
      <c r="A352" t="inlineStr">
        <is>
          <t>Windsurf Schlumpf</t>
        </is>
      </c>
      <c r="B352" s="4" t="n">
        <v>10</v>
      </c>
      <c r="C352" t="inlineStr">
        <is>
          <t>VB</t>
        </is>
      </c>
      <c r="D352" t="inlineStr">
        <is>
          <t>50668 Innenstadt - Köln Altstadt</t>
        </is>
      </c>
      <c r="E352" s="5" t="n">
        <v>45559</v>
      </c>
      <c r="F352" t="inlineStr"/>
      <c r="G352" s="6">
        <f>HYPERLINK("https://www.kleinanzeigen.de/s-anzeige/windsurf-schlumpf/2872837608-234-982", "Link")</f>
        <v/>
      </c>
      <c r="H352" s="6">
        <f>HYPERLINK("C:\Projects\Kleinanzeigen-Scraper\offer_images\2872837608", "Link")</f>
        <v/>
      </c>
      <c r="I352" t="inlineStr">
        <is>
          <t>Aline</t>
        </is>
      </c>
      <c r="J352" s="6">
        <f>HYPERLINK("https://www.kleinanzeigen.de/s-bestandsliste.html?userId=20148928", "Link")</f>
        <v/>
      </c>
      <c r="K352" s="7" t="n">
        <v>45559.87472222222</v>
      </c>
      <c r="L352" s="3" t="inlineStr">
        <is>
          <t>1.27</t>
        </is>
      </c>
      <c r="M352" t="inlineStr">
        <is>
          <t>Köln</t>
        </is>
      </c>
    </row>
    <row r="353">
      <c r="A353" t="inlineStr">
        <is>
          <t>Solo Goya Triton Farben Acryl - Winsor Newton, Kreul, Modelling P</t>
        </is>
      </c>
      <c r="B353" s="4" t="n">
        <v>20</v>
      </c>
      <c r="C353" t="inlineStr"/>
      <c r="D353" t="inlineStr">
        <is>
          <t>10827 Berlin - Schöneberg</t>
        </is>
      </c>
      <c r="E353" s="5" t="n">
        <v>45558</v>
      </c>
      <c r="F353" t="inlineStr">
        <is>
          <t>Sold</t>
        </is>
      </c>
      <c r="G353" s="6">
        <f>HYPERLINK("https://www.kleinanzeigen.de/s-anzeige/solo-goya-triton-farben-acryl-winsor-newton-kreul-modelling-p/2872063510-282-3447", "Link")</f>
        <v/>
      </c>
      <c r="H353" s="6">
        <f>HYPERLINK("C:\Projects\Kleinanzeigen-Scraper\offer_images\2872063510", "Link")</f>
        <v/>
      </c>
      <c r="I353" t="inlineStr">
        <is>
          <t>EBAY</t>
        </is>
      </c>
      <c r="J353" s="6">
        <f>HYPERLINK("https://www.kleinanzeigen.de/s-bestandsliste.html?userId=85495800", "Link")</f>
        <v/>
      </c>
      <c r="K353" s="7" t="n">
        <v>45559.8746875</v>
      </c>
      <c r="L353" s="3" t="inlineStr">
        <is>
          <t>473.04</t>
        </is>
      </c>
      <c r="M353" t="inlineStr">
        <is>
          <t>Köln</t>
        </is>
      </c>
    </row>
    <row r="354">
      <c r="A354" t="inlineStr">
        <is>
          <t>Neue SUP-/Boots-Pumpe von JP-Australia</t>
        </is>
      </c>
      <c r="B354" s="4" t="n">
        <v>40</v>
      </c>
      <c r="C354" t="inlineStr"/>
      <c r="D354" t="inlineStr">
        <is>
          <t>75203 Baden-Württemberg - Königsbach-Stein</t>
        </is>
      </c>
      <c r="E354" s="5" t="n">
        <v>45559</v>
      </c>
      <c r="F354" t="inlineStr"/>
      <c r="G354" s="6">
        <f>HYPERLINK("https://www.kleinanzeigen.de/s-anzeige/neue-sup-boots-pumpe-von-jp-australia/2872919346-230-8246", "Link")</f>
        <v/>
      </c>
      <c r="H354" s="6">
        <f>HYPERLINK("C:\Projects\Kleinanzeigen-Scraper\offer_images\2872919346", "Link")</f>
        <v/>
      </c>
      <c r="I354" t="inlineStr">
        <is>
          <t>Steffen</t>
        </is>
      </c>
      <c r="J354" s="6">
        <f>HYPERLINK("https://www.kleinanzeigen.de/s-bestandsliste.html?userId=8150097", "Link")</f>
        <v/>
      </c>
      <c r="K354" s="7" t="n">
        <v>45559.87466435185</v>
      </c>
      <c r="L354" s="3" t="inlineStr">
        <is>
          <t>18.51</t>
        </is>
      </c>
      <c r="M354" t="inlineStr">
        <is>
          <t>Karlsruhe</t>
        </is>
      </c>
    </row>
    <row r="355">
      <c r="A355" t="inlineStr">
        <is>
          <t>Windsurf Sup Blade Set mieten leihen Vermietung</t>
        </is>
      </c>
      <c r="B355" s="4" t="n">
        <v>35</v>
      </c>
      <c r="C355" t="inlineStr"/>
      <c r="D355" t="inlineStr">
        <is>
          <t>33428 Nordrhein-Westfalen - Harsewinkel - Marienfeld</t>
        </is>
      </c>
      <c r="E355" s="5" t="n">
        <v>45559</v>
      </c>
      <c r="F355" t="inlineStr"/>
      <c r="G355" s="6">
        <f>HYPERLINK("https://www.kleinanzeigen.de/s-anzeige/windsurf-sup-blade-set-mieten-leihen-vermietung/2872644434-230-1598", "Link")</f>
        <v/>
      </c>
      <c r="H355" s="6">
        <f>HYPERLINK("C:\Projects\Kleinanzeigen-Scraper\offer_images\2872644434", "Link")</f>
        <v/>
      </c>
      <c r="I355" t="inlineStr">
        <is>
          <t>No user name</t>
        </is>
      </c>
      <c r="J355" s="6">
        <f>HYPERLINK("https://www.kleinanzeigen.deNo user link", "Link")</f>
        <v/>
      </c>
      <c r="K355" s="7" t="n">
        <v>45559.87453703704</v>
      </c>
      <c r="L355" s="3" t="inlineStr">
        <is>
          <t>142.54</t>
        </is>
      </c>
      <c r="M355" t="inlineStr">
        <is>
          <t>Köln</t>
        </is>
      </c>
    </row>
    <row r="356">
      <c r="A356" t="inlineStr">
        <is>
          <t>North Camp Delux Camping Stuhl 120kg</t>
        </is>
      </c>
      <c r="B356" s="4" t="n">
        <v>28</v>
      </c>
      <c r="C356" t="inlineStr"/>
      <c r="D356" t="inlineStr">
        <is>
          <t>31789 Niedersachsen - Hameln</t>
        </is>
      </c>
      <c r="E356" s="5" t="n">
        <v>45559</v>
      </c>
      <c r="F356" t="inlineStr"/>
      <c r="G356" s="6">
        <f>HYPERLINK("https://www.kleinanzeigen.de/s-anzeige/north-camp-delux-camping-stuhl-120kg/2872896395-230-3065", "Link")</f>
        <v/>
      </c>
      <c r="H356" s="6">
        <f>HYPERLINK("C:\Projects\Kleinanzeigen-Scraper\offer_images\2872896395", "Link")</f>
        <v/>
      </c>
      <c r="I356" t="inlineStr">
        <is>
          <t>Joachim</t>
        </is>
      </c>
      <c r="J356" s="6">
        <f>HYPERLINK("https://www.kleinanzeigen.de/s-bestandsliste.html?userId=6640735", "Link")</f>
        <v/>
      </c>
      <c r="K356" s="7" t="n">
        <v>45559.87449074074</v>
      </c>
      <c r="L356" s="3" t="inlineStr">
        <is>
          <t>209.58</t>
        </is>
      </c>
      <c r="M356" t="inlineStr">
        <is>
          <t>Köln</t>
        </is>
      </c>
    </row>
    <row r="357">
      <c r="A357" t="inlineStr">
        <is>
          <t>Simms Fishing Trout Polo Shirt</t>
        </is>
      </c>
      <c r="B357" s="4" t="n">
        <v>19</v>
      </c>
      <c r="C357" t="inlineStr"/>
      <c r="D357" t="inlineStr">
        <is>
          <t>61440 Hessen - Oberursel (Taunus)</t>
        </is>
      </c>
      <c r="E357" s="5" t="n">
        <v>45558</v>
      </c>
      <c r="F357" t="inlineStr"/>
      <c r="G357" s="6">
        <f>HYPERLINK("https://www.kleinanzeigen.de/s-anzeige/simms-fishing-trout-polo-shirt/2872277500-230-4578", "Link")</f>
        <v/>
      </c>
      <c r="H357" s="6">
        <f>HYPERLINK("C:\Projects\Kleinanzeigen-Scraper\offer_images\2872277500", "Link")</f>
        <v/>
      </c>
      <c r="I357" t="inlineStr">
        <is>
          <t>Leon</t>
        </is>
      </c>
      <c r="J357" s="6">
        <f>HYPERLINK("https://www.kleinanzeigen.de/s-bestandsliste.html?userId=29845155", "Link")</f>
        <v/>
      </c>
      <c r="K357" s="7" t="n">
        <v>45559.87326388889</v>
      </c>
      <c r="L357" s="3" t="inlineStr">
        <is>
          <t>134.19</t>
        </is>
      </c>
      <c r="M357" t="inlineStr">
        <is>
          <t>Karlsruhe</t>
        </is>
      </c>
    </row>
    <row r="358">
      <c r="A358" t="inlineStr">
        <is>
          <t>Rrd Passion 17m2 mk10</t>
        </is>
      </c>
      <c r="B358" s="4" t="n">
        <v>800</v>
      </c>
      <c r="C358" t="inlineStr">
        <is>
          <t>VB</t>
        </is>
      </c>
      <c r="D358" t="inlineStr">
        <is>
          <t>10115 Berlin - Mitte</t>
        </is>
      </c>
      <c r="E358" s="5" t="n">
        <v>45559</v>
      </c>
      <c r="F358" t="inlineStr"/>
      <c r="G358" s="6">
        <f>HYPERLINK("https://www.kleinanzeigen.de/s-anzeige/rrd-passion-17m2-mk10/2872602919-230-9668", "Link")</f>
        <v/>
      </c>
      <c r="H358" s="6">
        <f>HYPERLINK("C:\Projects\Kleinanzeigen-Scraper\offer_images\2872602919", "Link")</f>
        <v/>
      </c>
      <c r="I358" t="inlineStr">
        <is>
          <t>Luca Hertfelder</t>
        </is>
      </c>
      <c r="J358" s="6">
        <f>HYPERLINK("https://www.kleinanzeigen.de/s-bestandsliste.html?userId=14530336", "Link")</f>
        <v/>
      </c>
      <c r="K358" s="7" t="n">
        <v>45559.87321759259</v>
      </c>
      <c r="L358" s="3" t="inlineStr">
        <is>
          <t>476.33</t>
        </is>
      </c>
      <c r="M358" t="inlineStr">
        <is>
          <t>Köln</t>
        </is>
      </c>
    </row>
    <row r="359">
      <c r="A359" t="inlineStr">
        <is>
          <t>Naish Pivot 10 qm 2021</t>
        </is>
      </c>
      <c r="B359" s="4" t="n">
        <v>299</v>
      </c>
      <c r="C359" t="inlineStr"/>
      <c r="D359" t="inlineStr">
        <is>
          <t>50354 Nordrhein-Westfalen - Hürth</t>
        </is>
      </c>
      <c r="E359" s="5" t="n">
        <v>45559</v>
      </c>
      <c r="F359" t="inlineStr">
        <is>
          <t>Sold</t>
        </is>
      </c>
      <c r="G359" s="6">
        <f>HYPERLINK("https://www.kleinanzeigen.de/s-anzeige/naish-pivot-10-qm-2021/2872852982-230-1891", "Link")</f>
        <v/>
      </c>
      <c r="H359" s="6">
        <f>HYPERLINK("C:\Projects\Kleinanzeigen-Scraper\offer_images\2872852982", "Link")</f>
        <v/>
      </c>
      <c r="I359" t="inlineStr">
        <is>
          <t>Nowack</t>
        </is>
      </c>
      <c r="J359" s="6">
        <f>HYPERLINK("https://www.kleinanzeigen.de/s-bestandsliste.html?userId=8253713", "Link")</f>
        <v/>
      </c>
      <c r="K359" s="7" t="n">
        <v>45559.87273148148</v>
      </c>
      <c r="L359" s="3" t="inlineStr">
        <is>
          <t>10.69</t>
        </is>
      </c>
      <c r="M359" t="inlineStr">
        <is>
          <t>Köln</t>
        </is>
      </c>
    </row>
    <row r="360">
      <c r="A360" t="inlineStr">
        <is>
          <t>Neilpryde Glide Wind Fuselage</t>
        </is>
      </c>
      <c r="B360" s="4" t="n">
        <v>140</v>
      </c>
      <c r="C360" t="inlineStr"/>
      <c r="D360" t="inlineStr">
        <is>
          <t>82256 Bayern - Fürstenfeldbruck</t>
        </is>
      </c>
      <c r="E360" s="5" t="n">
        <v>45559</v>
      </c>
      <c r="F360" t="inlineStr"/>
      <c r="G360" s="6">
        <f>HYPERLINK("https://www.kleinanzeigen.de/s-anzeige/neilpryde-glide-wind-fuselage/2872850482-230-6311", "Link")</f>
        <v/>
      </c>
      <c r="H360" s="6">
        <f>HYPERLINK("C:\Projects\Kleinanzeigen-Scraper\offer_images\2872850482", "Link")</f>
        <v/>
      </c>
      <c r="I360" t="inlineStr">
        <is>
          <t>Miriam</t>
        </is>
      </c>
      <c r="J360" s="6">
        <f>HYPERLINK("https://www.kleinanzeigen.de/s-bestandsliste.html?userId=15411770", "Link")</f>
        <v/>
      </c>
      <c r="K360" s="7" t="n">
        <v>45559.87259259259</v>
      </c>
      <c r="L360" s="3" t="inlineStr">
        <is>
          <t>25.37</t>
        </is>
      </c>
      <c r="M360" t="inlineStr">
        <is>
          <t>München</t>
        </is>
      </c>
    </row>
    <row r="361">
      <c r="A361" t="inlineStr">
        <is>
          <t>Isabella Air Cirrus North 400 mit Anbau rechts und Zubehör</t>
        </is>
      </c>
      <c r="B361" s="4" t="n">
        <v>3.399</v>
      </c>
      <c r="C361" t="inlineStr">
        <is>
          <t>VB</t>
        </is>
      </c>
      <c r="D361" t="inlineStr">
        <is>
          <t>46446 Nordrhein-Westfalen - Emmerich am Rhein</t>
        </is>
      </c>
      <c r="E361" s="5" t="n">
        <v>45559</v>
      </c>
      <c r="F361" t="inlineStr"/>
      <c r="G361" s="6">
        <f>HYPERLINK("https://www.kleinanzeigen.de/s-anzeige/isabella-air-cirrus-north-400-mit-anbau-rechts-und-zubehoer/2872787900-230-1396", "Link")</f>
        <v/>
      </c>
      <c r="H361" s="6">
        <f>HYPERLINK("C:\Projects\Kleinanzeigen-Scraper\offer_images\2872787900", "Link")</f>
        <v/>
      </c>
      <c r="I361" t="inlineStr">
        <is>
          <t>MJ</t>
        </is>
      </c>
      <c r="J361" s="6">
        <f>HYPERLINK("https://www.kleinanzeigen.de/s-bestandsliste.html?userId=5767385", "Link")</f>
        <v/>
      </c>
      <c r="K361" s="7" t="n">
        <v>45559.87246527777</v>
      </c>
      <c r="L361" s="3" t="inlineStr">
        <is>
          <t>112.25</t>
        </is>
      </c>
      <c r="M361" t="inlineStr">
        <is>
          <t>Köln</t>
        </is>
      </c>
    </row>
    <row r="362">
      <c r="A362" t="inlineStr">
        <is>
          <t>Mastbag Gun Sails für Surfmast variabel 370,400,430 und 460cm</t>
        </is>
      </c>
      <c r="B362" s="4" t="n">
        <v>15</v>
      </c>
      <c r="C362" t="inlineStr"/>
      <c r="D362" t="inlineStr">
        <is>
          <t>34295 Hessen - Edermünde</t>
        </is>
      </c>
      <c r="E362" s="5" t="n">
        <v>45559</v>
      </c>
      <c r="F362" t="inlineStr">
        <is>
          <t>Sold</t>
        </is>
      </c>
      <c r="G362" s="6">
        <f>HYPERLINK("https://www.kleinanzeigen.de/s-anzeige/mastbag-gun-sails-fuer-surfmast-variabel-370-400-430-und-460cm/2872939413-230-4425", "Link")</f>
        <v/>
      </c>
      <c r="H362" s="6">
        <f>HYPERLINK("C:\Projects\Kleinanzeigen-Scraper\offer_images\2872939413", "Link")</f>
        <v/>
      </c>
      <c r="I362" t="inlineStr">
        <is>
          <t>Anfrage</t>
        </is>
      </c>
      <c r="J362" s="6">
        <f>HYPERLINK("https://www.kleinanzeigen.de/s-bestandsliste.html?userId=18730273", "Link")</f>
        <v/>
      </c>
      <c r="K362" s="7" t="n">
        <v>45559.87229166667</v>
      </c>
      <c r="L362" s="3" t="inlineStr">
        <is>
          <t>172.77</t>
        </is>
      </c>
      <c r="M362" t="inlineStr">
        <is>
          <t>Köln</t>
        </is>
      </c>
    </row>
    <row r="363">
      <c r="A363" t="inlineStr">
        <is>
          <t>Gaastra Herren  Softshelljacke Gr:XL  """ TOP """</t>
        </is>
      </c>
      <c r="B363" s="4" t="n">
        <v>20</v>
      </c>
      <c r="C363" t="inlineStr"/>
      <c r="D363" t="inlineStr">
        <is>
          <t>57555 Rheinland-Pfalz - Mudersbach</t>
        </is>
      </c>
      <c r="E363" s="5" t="n">
        <v>44675</v>
      </c>
      <c r="F363" t="inlineStr"/>
      <c r="G363" s="6">
        <f>HYPERLINK("https://www.kleinanzeigen.de/s-anzeige/gaastra-herren-softshelljacke-gr-xl-top-/2087041496-230-1025", "Link")</f>
        <v/>
      </c>
      <c r="H363" s="6">
        <f>HYPERLINK("C:\Projects\Kleinanzeigen-Scraper\offer_images\2087041496", "Link")</f>
        <v/>
      </c>
      <c r="I363" t="inlineStr">
        <is>
          <t>Klaus speck</t>
        </is>
      </c>
      <c r="J363" s="6">
        <f>HYPERLINK("https://www.kleinanzeigen.de/s-bestandsliste.html?userId=9413104", "Link")</f>
        <v/>
      </c>
      <c r="K363" s="7" t="n">
        <v>45558.74430555556</v>
      </c>
      <c r="L363" s="3" t="inlineStr">
        <is>
          <t>70.55</t>
        </is>
      </c>
      <c r="M363" t="inlineStr">
        <is>
          <t>Köln</t>
        </is>
      </c>
    </row>
    <row r="364">
      <c r="A364" t="inlineStr">
        <is>
          <t>Winter/Segeljacke „GAASTRA“ Gr: M</t>
        </is>
      </c>
      <c r="B364" s="4" t="n">
        <v>50</v>
      </c>
      <c r="C364" t="inlineStr">
        <is>
          <t>VB</t>
        </is>
      </c>
      <c r="D364" t="inlineStr">
        <is>
          <t>24143 Kiel - Gaarden</t>
        </is>
      </c>
      <c r="E364" s="5" t="n">
        <v>45298</v>
      </c>
      <c r="F364" t="inlineStr"/>
      <c r="G364" s="6">
        <f>HYPERLINK("https://www.kleinanzeigen.de/s-anzeige/winter-segeljacke-gaastra-gr-m/2646863769-242-702", "Link")</f>
        <v/>
      </c>
      <c r="H364" s="6">
        <f>HYPERLINK("C:\Projects\Kleinanzeigen-Scraper\offer_images\2646863769", "Link")</f>
        <v/>
      </c>
      <c r="I364" t="inlineStr">
        <is>
          <t>J-M-S</t>
        </is>
      </c>
      <c r="J364" s="6">
        <f>HYPERLINK("https://www.kleinanzeigen.de/s-bestandsliste.html?userId=18030640", "Link")</f>
        <v/>
      </c>
      <c r="K364" s="7" t="n">
        <v>45558.74410879629</v>
      </c>
      <c r="L364" s="3" t="inlineStr">
        <is>
          <t>432.09</t>
        </is>
      </c>
      <c r="M364" t="inlineStr">
        <is>
          <t>Köln</t>
        </is>
      </c>
    </row>
    <row r="365">
      <c r="A365" t="inlineStr">
        <is>
          <t>GAASTRA: Windbreaker/Regenjacke L/M</t>
        </is>
      </c>
      <c r="B365" s="4" t="n">
        <v>45</v>
      </c>
      <c r="C365" t="inlineStr"/>
      <c r="D365" t="inlineStr">
        <is>
          <t>40468 Düsseldorf - Lichtenbroich</t>
        </is>
      </c>
      <c r="E365" s="5" t="n">
        <v>45421</v>
      </c>
      <c r="F365" t="inlineStr"/>
      <c r="G365" s="6">
        <f>HYPERLINK("https://www.kleinanzeigen.de/s-anzeige/gaastra-windbreaker-regenjacke-l-m/2757521823-230-16739", "Link")</f>
        <v/>
      </c>
      <c r="H365" s="6">
        <f>HYPERLINK("C:\Projects\Kleinanzeigen-Scraper\offer_images\2757521823", "Link")</f>
        <v/>
      </c>
      <c r="I365" t="inlineStr">
        <is>
          <t>B. K.</t>
        </is>
      </c>
      <c r="J365" s="6">
        <f>HYPERLINK("https://www.kleinanzeigen.de/s-bestandsliste.html?userId=14076307", "Link")</f>
        <v/>
      </c>
      <c r="K365" s="7" t="n">
        <v>45558.74354166666</v>
      </c>
      <c r="L365" s="3" t="inlineStr">
        <is>
          <t>37.89</t>
        </is>
      </c>
      <c r="M365" t="inlineStr">
        <is>
          <t>Köln</t>
        </is>
      </c>
    </row>
    <row r="366">
      <c r="A366" t="inlineStr">
        <is>
          <t>Vorzelt ISABELLA CAPRI NORTH G19 1015, CarbonX, Schrank+Zubehör</t>
        </is>
      </c>
      <c r="B366" s="4" t="n">
        <v>2.5</v>
      </c>
      <c r="C366" t="inlineStr">
        <is>
          <t>VB</t>
        </is>
      </c>
      <c r="D366" t="inlineStr">
        <is>
          <t>32049 Nordrhein-Westfalen - Herford</t>
        </is>
      </c>
      <c r="E366" s="5" t="n">
        <v>45558</v>
      </c>
      <c r="F366" t="inlineStr"/>
      <c r="G366" s="6">
        <f>HYPERLINK("https://www.kleinanzeigen.de/s-anzeige/vorzelt-isabella-capri-north-g19-1015-carbonx-schrank-zubehoer/2871784430-230-1834", "Link")</f>
        <v/>
      </c>
      <c r="H366" s="6">
        <f>HYPERLINK("C:\Projects\Kleinanzeigen-Scraper\offer_images\2871784430", "Link")</f>
        <v/>
      </c>
      <c r="I366" t="inlineStr">
        <is>
          <t>Dr. Frank Walhöfer</t>
        </is>
      </c>
      <c r="J366" s="6">
        <f>HYPERLINK("https://www.kleinanzeigen.de/s-bestandsliste.html?userId=21814060", "Link")</f>
        <v/>
      </c>
      <c r="K366" s="7" t="n">
        <v>45558.74354166666</v>
      </c>
      <c r="L366" s="3" t="inlineStr">
        <is>
          <t>180.30</t>
        </is>
      </c>
      <c r="M366" t="inlineStr">
        <is>
          <t>Köln</t>
        </is>
      </c>
    </row>
    <row r="367">
      <c r="A367" t="inlineStr">
        <is>
          <t>SUP Paddel von Fanatic 200cm Carbon Race Wettkampfpaddel</t>
        </is>
      </c>
      <c r="B367" s="4" t="n">
        <v>150</v>
      </c>
      <c r="C367" t="inlineStr">
        <is>
          <t>VB</t>
        </is>
      </c>
      <c r="D367" t="inlineStr">
        <is>
          <t>94032 Kr. Passau - Passau</t>
        </is>
      </c>
      <c r="E367" s="5" t="n">
        <v>45558</v>
      </c>
      <c r="F367" t="inlineStr"/>
      <c r="G367" s="6">
        <f>HYPERLINK("https://www.kleinanzeigen.de/s-anzeige/sup-paddel-von-fanatic-200cm-carbon-race-wettkampfpaddel/2871725758-230-7482", "Link")</f>
        <v/>
      </c>
      <c r="H367" s="6">
        <f>HYPERLINK("C:\Projects\Kleinanzeigen-Scraper\offer_images\2871725758", "Link")</f>
        <v/>
      </c>
      <c r="I367" t="inlineStr">
        <is>
          <t>Martina</t>
        </is>
      </c>
      <c r="J367" s="6">
        <f>HYPERLINK("https://www.kleinanzeigen.de/s-bestandsliste.html?userId=34799798", "Link")</f>
        <v/>
      </c>
      <c r="K367" s="7" t="n">
        <v>45558.74347222222</v>
      </c>
      <c r="L367" s="3" t="inlineStr">
        <is>
          <t>147.66</t>
        </is>
      </c>
      <c r="M367" t="inlineStr">
        <is>
          <t>München</t>
        </is>
      </c>
    </row>
    <row r="368">
      <c r="A368" t="inlineStr">
        <is>
          <t>AutoArt | Ford Crown | North Dakota State Patrol, 1:18, OVP</t>
        </is>
      </c>
      <c r="B368" s="4" t="n">
        <v>70</v>
      </c>
      <c r="C368" t="inlineStr"/>
      <c r="D368" t="inlineStr">
        <is>
          <t>33758 Nordrhein-Westfalen - Schloß Holte-Stukenbrock</t>
        </is>
      </c>
      <c r="E368" s="5" t="n">
        <v>45558</v>
      </c>
      <c r="F368" t="inlineStr">
        <is>
          <t>Sold</t>
        </is>
      </c>
      <c r="G368" s="6">
        <f>HYPERLINK("https://www.kleinanzeigen.de/s-anzeige/autoart-ford-crown-north-dakota-state-patrol-1-18-ovp/2871890356-249-1646", "Link")</f>
        <v/>
      </c>
      <c r="H368" s="6">
        <f>HYPERLINK("C:\Projects\Kleinanzeigen-Scraper\offer_images\2871890356", "Link")</f>
        <v/>
      </c>
      <c r="I368" t="inlineStr">
        <is>
          <t>MN</t>
        </is>
      </c>
      <c r="J368" s="6">
        <f>HYPERLINK("https://www.kleinanzeigen.de/s-bestandsliste.html?userId=30278649", "Link")</f>
        <v/>
      </c>
      <c r="K368" s="7" t="n">
        <v>45558.74325231482</v>
      </c>
      <c r="L368" s="3" t="inlineStr">
        <is>
          <t>158.29</t>
        </is>
      </c>
      <c r="M368" t="inlineStr">
        <is>
          <t>Köln</t>
        </is>
      </c>
    </row>
    <row r="369">
      <c r="A369" t="inlineStr">
        <is>
          <t>Ski/Sail Hose Gaastra NEU xxl</t>
        </is>
      </c>
      <c r="B369" s="4" t="n">
        <v>22</v>
      </c>
      <c r="C369" t="inlineStr">
        <is>
          <t>VB</t>
        </is>
      </c>
      <c r="D369" t="inlineStr">
        <is>
          <t>21358 Niedersachsen - Mechtersen</t>
        </is>
      </c>
      <c r="E369" s="5" t="n">
        <v>45000</v>
      </c>
      <c r="F369" t="inlineStr"/>
      <c r="G369" s="6">
        <f>HYPERLINK("https://www.kleinanzeigen.de/s-anzeige/ski-sail-hose-gaastra-neu-xxl/2385572332-230-3265", "Link")</f>
        <v/>
      </c>
      <c r="H369" s="6">
        <f>HYPERLINK("C:\Projects\Kleinanzeigen-Scraper\offer_images\2385572332", "Link")</f>
        <v/>
      </c>
      <c r="I369" t="inlineStr">
        <is>
          <t>Wenzel</t>
        </is>
      </c>
      <c r="J369" s="6">
        <f>HYPERLINK("https://www.kleinanzeigen.de/s-bestandsliste.html?userId=19057495", "Link")</f>
        <v/>
      </c>
      <c r="K369" s="7" t="n">
        <v>45558.74309027778</v>
      </c>
      <c r="L369" s="3" t="inlineStr">
        <is>
          <t>345.82</t>
        </is>
      </c>
      <c r="M369" t="inlineStr">
        <is>
          <t>Köln</t>
        </is>
      </c>
    </row>
    <row r="370">
      <c r="A370" t="inlineStr">
        <is>
          <t>Segeljacke Gaastra</t>
        </is>
      </c>
      <c r="B370" s="4" t="n">
        <v>35</v>
      </c>
      <c r="C370" t="inlineStr">
        <is>
          <t>VB</t>
        </is>
      </c>
      <c r="D370" t="inlineStr">
        <is>
          <t>14167 Berlin - Zehlendorf</t>
        </is>
      </c>
      <c r="E370" s="5" t="n">
        <v>45501</v>
      </c>
      <c r="F370" t="inlineStr">
        <is>
          <t>Sold</t>
        </is>
      </c>
      <c r="G370" s="6">
        <f>HYPERLINK("https://www.kleinanzeigen.de/s-anzeige/segeljacke-gaastra/2822872268-230-3526", "Link")</f>
        <v/>
      </c>
      <c r="H370" s="6">
        <f>HYPERLINK("C:\Projects\Kleinanzeigen-Scraper\offer_images\2822872268", "Link")</f>
        <v/>
      </c>
      <c r="I370" t="inlineStr">
        <is>
          <t>Sika</t>
        </is>
      </c>
      <c r="J370" s="6">
        <f>HYPERLINK("https://www.kleinanzeigen.de/s-bestandsliste.html?userId=12602281", "Link")</f>
        <v/>
      </c>
      <c r="K370" s="7" t="n">
        <v>45558.74280092592</v>
      </c>
      <c r="L370" s="3" t="inlineStr">
        <is>
          <t>465.76</t>
        </is>
      </c>
      <c r="M370" t="inlineStr">
        <is>
          <t>Köln</t>
        </is>
      </c>
    </row>
    <row r="371">
      <c r="A371" t="inlineStr">
        <is>
          <t>Surfanzug, Gaastra, Damen M</t>
        </is>
      </c>
      <c r="B371" s="4" t="n">
        <v>30</v>
      </c>
      <c r="C371" t="inlineStr">
        <is>
          <t>VB</t>
        </is>
      </c>
      <c r="D371" t="inlineStr">
        <is>
          <t>21224 Niedersachsen - Rosengarten</t>
        </is>
      </c>
      <c r="E371" s="5" t="n">
        <v>45376</v>
      </c>
      <c r="F371" t="inlineStr"/>
      <c r="G371" s="6">
        <f>HYPERLINK("https://www.kleinanzeigen.de/s-anzeige/surfanzug-gaastra-damen-m/2716890487-230-2811", "Link")</f>
        <v/>
      </c>
      <c r="H371" s="6">
        <f>HYPERLINK("C:\Projects\Kleinanzeigen-Scraper\offer_images\2716890487", "Link")</f>
        <v/>
      </c>
      <c r="I371" t="inlineStr">
        <is>
          <t>Cornelia Trölsch</t>
        </is>
      </c>
      <c r="J371" s="6">
        <f>HYPERLINK("https://www.kleinanzeigen.de/s-bestandsliste.html?userId=49689061", "Link")</f>
        <v/>
      </c>
      <c r="K371" s="7" t="n">
        <v>45558.74266203704</v>
      </c>
      <c r="L371" s="3" t="inlineStr">
        <is>
          <t>339.68</t>
        </is>
      </c>
      <c r="M371" t="inlineStr">
        <is>
          <t>Köln</t>
        </is>
      </c>
    </row>
    <row r="372">
      <c r="A372" t="inlineStr">
        <is>
          <t>Rennradschuhe North Wave Größe 47</t>
        </is>
      </c>
      <c r="B372" s="4" t="n">
        <v>65</v>
      </c>
      <c r="C372" t="inlineStr">
        <is>
          <t>VB</t>
        </is>
      </c>
      <c r="D372" t="inlineStr">
        <is>
          <t>21335 Niedersachsen - Lüneburg</t>
        </is>
      </c>
      <c r="E372" s="5" t="n">
        <v>45558</v>
      </c>
      <c r="F372" t="inlineStr"/>
      <c r="G372" s="6">
        <f>HYPERLINK("https://www.kleinanzeigen.de/s-anzeige/rennradschuhe-north-wave-groesse-47/2871784147-230-3260", "Link")</f>
        <v/>
      </c>
      <c r="H372" s="6">
        <f>HYPERLINK("C:\Projects\Kleinanzeigen-Scraper\offer_images\2871784147", "Link")</f>
        <v/>
      </c>
      <c r="I372" t="inlineStr">
        <is>
          <t>M.F.</t>
        </is>
      </c>
      <c r="J372" s="6">
        <f>HYPERLINK("https://www.kleinanzeigen.de/s-bestandsliste.html?userId=10938542", "Link")</f>
        <v/>
      </c>
      <c r="K372" s="7" t="n">
        <v>45558.74265046296</v>
      </c>
      <c r="L372" s="3" t="inlineStr">
        <is>
          <t>345.15</t>
        </is>
      </c>
      <c r="M372" t="inlineStr">
        <is>
          <t>Köln</t>
        </is>
      </c>
    </row>
    <row r="373">
      <c r="A373" t="inlineStr">
        <is>
          <t>Gaastra Spark 9 qm</t>
        </is>
      </c>
      <c r="B373" s="4" t="n">
        <v>300</v>
      </c>
      <c r="C373" t="inlineStr">
        <is>
          <t>VB</t>
        </is>
      </c>
      <c r="D373" t="inlineStr">
        <is>
          <t>53229 Bonn - Beuel</t>
        </is>
      </c>
      <c r="E373" s="5" t="n">
        <v>45538</v>
      </c>
      <c r="F373" t="inlineStr">
        <is>
          <t>Sold</t>
        </is>
      </c>
      <c r="G373" s="6">
        <f>HYPERLINK("https://www.kleinanzeigen.de/s-anzeige/gaastra-spark-9-qm/2853481695-230-1054", "Link")</f>
        <v/>
      </c>
      <c r="H373" s="6">
        <f>HYPERLINK("C:\Projects\Kleinanzeigen-Scraper\offer_images\2853481695", "Link")</f>
        <v/>
      </c>
      <c r="I373" t="inlineStr">
        <is>
          <t>Freund</t>
        </is>
      </c>
      <c r="J373" s="6">
        <f>HYPERLINK("https://www.kleinanzeigen.de/s-bestandsliste.html?userId=32709035", "Link")</f>
        <v/>
      </c>
      <c r="K373" s="7" t="n">
        <v>45558.74226851852</v>
      </c>
      <c r="L373" s="3" t="inlineStr">
        <is>
          <t>26.09</t>
        </is>
      </c>
      <c r="M373" t="inlineStr">
        <is>
          <t>Köln</t>
        </is>
      </c>
    </row>
    <row r="374">
      <c r="A374" t="inlineStr">
        <is>
          <t>SUP Starboard inflatable widepoint 10‘5 &amp; Carbon Tiki Paddel</t>
        </is>
      </c>
      <c r="B374" s="4" t="inlineStr"/>
      <c r="C374" t="inlineStr">
        <is>
          <t>VB</t>
        </is>
      </c>
      <c r="D374" t="inlineStr">
        <is>
          <t>23558 Schleswig-Holstein - Lübeck</t>
        </is>
      </c>
      <c r="E374" s="5" t="n">
        <v>45384</v>
      </c>
      <c r="F374" t="inlineStr"/>
      <c r="G374" s="6">
        <f>HYPERLINK("https://www.kleinanzeigen.de/s-anzeige/sup-starboard-inflatable-widepoint-10-5-carbon-tiki-paddel/2723723121-230-416", "Link")</f>
        <v/>
      </c>
      <c r="H374" s="6">
        <f>HYPERLINK("C:\Projects\Kleinanzeigen-Scraper\offer_images\2723723121", "Link")</f>
        <v/>
      </c>
      <c r="I374" t="inlineStr">
        <is>
          <t>Katrin</t>
        </is>
      </c>
      <c r="J374" s="6">
        <f>HYPERLINK("https://www.kleinanzeigen.de/s-bestandsliste.html?userId=7813543", "Link")</f>
        <v/>
      </c>
      <c r="K374" s="7" t="n">
        <v>45558.74190972222</v>
      </c>
      <c r="L374" s="3" t="inlineStr">
        <is>
          <t>410.30</t>
        </is>
      </c>
      <c r="M374" t="inlineStr">
        <is>
          <t>Köln</t>
        </is>
      </c>
    </row>
    <row r="375">
      <c r="A375" t="inlineStr">
        <is>
          <t>Sweat Jacke von GAASTRA- Herren/Damen</t>
        </is>
      </c>
      <c r="B375" s="4" t="n">
        <v>35</v>
      </c>
      <c r="C375" t="inlineStr">
        <is>
          <t>VB</t>
        </is>
      </c>
      <c r="D375" t="inlineStr">
        <is>
          <t>96487 Bayern - Dörfles-Esbach</t>
        </is>
      </c>
      <c r="E375" s="5" t="n">
        <v>45298</v>
      </c>
      <c r="F375" t="inlineStr"/>
      <c r="G375" s="6">
        <f>HYPERLINK("https://www.kleinanzeigen.de/s-anzeige/sweat-jacke-von-gaastra-herren-damen/2646676700-242-6940", "Link")</f>
        <v/>
      </c>
      <c r="H375" s="6">
        <f>HYPERLINK("C:\Projects\Kleinanzeigen-Scraper\offer_images\2646676700", "Link")</f>
        <v/>
      </c>
      <c r="I375" t="inlineStr">
        <is>
          <t>Tappert</t>
        </is>
      </c>
      <c r="J375" s="6">
        <f>HYPERLINK("https://www.kleinanzeigen.de/s-bestandsliste.html?userId=52629906", "Link")</f>
        <v/>
      </c>
      <c r="K375" s="7" t="n">
        <v>45558.74186342592</v>
      </c>
      <c r="L375" s="3" t="inlineStr">
        <is>
          <t>230.92</t>
        </is>
      </c>
      <c r="M375" t="inlineStr">
        <is>
          <t>Böblingen</t>
        </is>
      </c>
    </row>
    <row r="376">
      <c r="A376" t="inlineStr">
        <is>
          <t>Rucksack Gaastra escape</t>
        </is>
      </c>
      <c r="B376" s="4" t="n">
        <v>28</v>
      </c>
      <c r="C376" t="inlineStr">
        <is>
          <t>VB</t>
        </is>
      </c>
      <c r="D376" t="inlineStr">
        <is>
          <t>84567 Kr. Altötting - Perach</t>
        </is>
      </c>
      <c r="E376" s="5" t="n">
        <v>45403</v>
      </c>
      <c r="F376" t="inlineStr"/>
      <c r="G376" s="6">
        <f>HYPERLINK("https://www.kleinanzeigen.de/s-anzeige/rucksack-gaastra-escape/2740785603-230-5912", "Link")</f>
        <v/>
      </c>
      <c r="H376" s="6">
        <f>HYPERLINK("C:\Projects\Kleinanzeigen-Scraper\offer_images\2740785603", "Link")</f>
        <v/>
      </c>
      <c r="I376" t="inlineStr">
        <is>
          <t>Familie</t>
        </is>
      </c>
      <c r="J376" s="6">
        <f>HYPERLINK("https://www.kleinanzeigen.de/s-bestandsliste.html?userId=54268695", "Link")</f>
        <v/>
      </c>
      <c r="K376" s="7" t="n">
        <v>45558.74181712963</v>
      </c>
      <c r="L376" s="3" t="inlineStr">
        <is>
          <t>91.89</t>
        </is>
      </c>
      <c r="M376" t="inlineStr">
        <is>
          <t>München</t>
        </is>
      </c>
    </row>
    <row r="377">
      <c r="A377" t="inlineStr">
        <is>
          <t>Gaastra Spark 12  qm</t>
        </is>
      </c>
      <c r="B377" s="4" t="n">
        <v>320</v>
      </c>
      <c r="C377" t="inlineStr">
        <is>
          <t>VB</t>
        </is>
      </c>
      <c r="D377" t="inlineStr">
        <is>
          <t>53229 Bonn - Beuel</t>
        </is>
      </c>
      <c r="E377" s="5" t="n">
        <v>45538</v>
      </c>
      <c r="F377" t="inlineStr">
        <is>
          <t>Sold</t>
        </is>
      </c>
      <c r="G377" s="6">
        <f>HYPERLINK("https://www.kleinanzeigen.de/s-anzeige/gaastra-spark-12-qm/2853476438-230-1054", "Link")</f>
        <v/>
      </c>
      <c r="H377" s="6">
        <f>HYPERLINK("C:\Projects\Kleinanzeigen-Scraper\offer_images\2853476438", "Link")</f>
        <v/>
      </c>
      <c r="I377" t="inlineStr">
        <is>
          <t>Freund</t>
        </is>
      </c>
      <c r="J377" s="6">
        <f>HYPERLINK("https://www.kleinanzeigen.de/s-bestandsliste.html?userId=32709035", "Link")</f>
        <v/>
      </c>
      <c r="K377" s="7" t="n">
        <v>45558.74149305555</v>
      </c>
      <c r="L377" s="3" t="inlineStr">
        <is>
          <t>26.09</t>
        </is>
      </c>
      <c r="M377" t="inlineStr">
        <is>
          <t>Köln</t>
        </is>
      </c>
    </row>
    <row r="378">
      <c r="A378" t="inlineStr">
        <is>
          <t>Gaastra Skihose Gr. L Dukelblau</t>
        </is>
      </c>
      <c r="B378" s="4" t="n">
        <v>30</v>
      </c>
      <c r="C378" t="inlineStr"/>
      <c r="D378" t="inlineStr">
        <is>
          <t>30926 Niedersachsen - Seelze</t>
        </is>
      </c>
      <c r="E378" s="5" t="n">
        <v>45536</v>
      </c>
      <c r="F378" t="inlineStr">
        <is>
          <t>Sold</t>
        </is>
      </c>
      <c r="G378" s="6">
        <f>HYPERLINK("https://www.kleinanzeigen.de/s-anzeige/gaastra-skihose-gr-l-dukelblau/2851488741-230-2921", "Link")</f>
        <v/>
      </c>
      <c r="H378" s="6">
        <f>HYPERLINK("C:\Projects\Kleinanzeigen-Scraper\offer_images\2851488741", "Link")</f>
        <v/>
      </c>
      <c r="I378" t="inlineStr">
        <is>
          <t>SP</t>
        </is>
      </c>
      <c r="J378" s="6">
        <f>HYPERLINK("https://www.kleinanzeigen.de/s-bestandsliste.html?userId=128426551", "Link")</f>
        <v/>
      </c>
      <c r="K378" s="7" t="n">
        <v>45558.74105324074</v>
      </c>
      <c r="L378" s="3" t="inlineStr">
        <is>
          <t>242.01</t>
        </is>
      </c>
      <c r="M378" t="inlineStr">
        <is>
          <t>Köln</t>
        </is>
      </c>
    </row>
    <row r="379">
      <c r="A379" t="inlineStr">
        <is>
          <t>GAASTRA WESTE - dunkelblau</t>
        </is>
      </c>
      <c r="B379" s="4" t="n">
        <v>25</v>
      </c>
      <c r="C379" t="inlineStr"/>
      <c r="D379" t="inlineStr">
        <is>
          <t>83373 Bayern - Taching</t>
        </is>
      </c>
      <c r="E379" s="5" t="n">
        <v>44925</v>
      </c>
      <c r="F379" t="inlineStr"/>
      <c r="G379" s="6">
        <f>HYPERLINK("https://www.kleinanzeigen.de/s-anzeige/gaastra-weste-dunkelblau/2314377411-250-5727", "Link")</f>
        <v/>
      </c>
      <c r="H379" s="6">
        <f>HYPERLINK("C:\Projects\Kleinanzeigen-Scraper\offer_images\2314377411", "Link")</f>
        <v/>
      </c>
      <c r="I379" t="inlineStr">
        <is>
          <t>Michaela</t>
        </is>
      </c>
      <c r="J379" s="6">
        <f>HYPERLINK("https://www.kleinanzeigen.de/s-bestandsliste.html?userId=82592162", "Link")</f>
        <v/>
      </c>
      <c r="K379" s="7" t="n">
        <v>45558.74091435185</v>
      </c>
      <c r="L379" s="3" t="inlineStr">
        <is>
          <t>87.96</t>
        </is>
      </c>
      <c r="M379" t="inlineStr">
        <is>
          <t>München</t>
        </is>
      </c>
    </row>
    <row r="380">
      <c r="A380" t="inlineStr">
        <is>
          <t>Gaastra Herren Skianzug Größe XL</t>
        </is>
      </c>
      <c r="B380" s="4" t="n">
        <v>40</v>
      </c>
      <c r="C380" t="inlineStr">
        <is>
          <t>VB</t>
        </is>
      </c>
      <c r="D380" t="inlineStr">
        <is>
          <t>45147 Essen-West - Holsterhausen</t>
        </is>
      </c>
      <c r="E380" s="5" t="n">
        <v>45542</v>
      </c>
      <c r="F380" t="inlineStr">
        <is>
          <t>Sold</t>
        </is>
      </c>
      <c r="G380" s="6">
        <f>HYPERLINK("https://www.kleinanzeigen.de/s-anzeige/gaastra-herren-skianzug-groesse-xl/2856591455-230-20849", "Link")</f>
        <v/>
      </c>
      <c r="H380" s="6">
        <f>HYPERLINK("C:\Projects\Kleinanzeigen-Scraper\offer_images\2856591455", "Link")</f>
        <v/>
      </c>
      <c r="I380" t="inlineStr">
        <is>
          <t>Uwe Lindner</t>
        </is>
      </c>
      <c r="J380" s="6">
        <f>HYPERLINK("https://www.kleinanzeigen.de/s-bestandsliste.html?userId=29599907", "Link")</f>
        <v/>
      </c>
      <c r="K380" s="7" t="n">
        <v>45558.74086805555</v>
      </c>
      <c r="L380" s="3" t="inlineStr">
        <is>
          <t>55.49</t>
        </is>
      </c>
      <c r="M380" t="inlineStr">
        <is>
          <t>Köln</t>
        </is>
      </c>
    </row>
    <row r="381">
      <c r="A381" t="inlineStr">
        <is>
          <t>Gaastra Pure 10 qm 2023</t>
        </is>
      </c>
      <c r="B381" s="4" t="n">
        <v>700</v>
      </c>
      <c r="C381" t="inlineStr">
        <is>
          <t>VB</t>
        </is>
      </c>
      <c r="D381" t="inlineStr">
        <is>
          <t>22143 Wandsbek - Hamburg Rahlstedt</t>
        </is>
      </c>
      <c r="E381" s="5" t="n">
        <v>45540</v>
      </c>
      <c r="F381" t="inlineStr"/>
      <c r="G381" s="6">
        <f>HYPERLINK("https://www.kleinanzeigen.de/s-anzeige/gaastra-pure-10-qm-2023/2854941455-230-9455", "Link")</f>
        <v/>
      </c>
      <c r="H381" s="6">
        <f>HYPERLINK("C:\Projects\Kleinanzeigen-Scraper\offer_images\2854941455", "Link")</f>
        <v/>
      </c>
      <c r="I381" t="inlineStr">
        <is>
          <t>Nico</t>
        </is>
      </c>
      <c r="J381" s="6">
        <f>HYPERLINK("https://www.kleinanzeigen.de/s-bestandsliste.html?userId=144056797", "Link")</f>
        <v/>
      </c>
      <c r="K381" s="7" t="n">
        <v>45558.74009259259</v>
      </c>
      <c r="L381" s="3" t="inlineStr">
        <is>
          <t>368.45</t>
        </is>
      </c>
      <c r="M381" t="inlineStr">
        <is>
          <t>Köln</t>
        </is>
      </c>
    </row>
    <row r="382">
      <c r="A382" t="inlineStr">
        <is>
          <t>Skihose Gaastra</t>
        </is>
      </c>
      <c r="B382" s="4" t="n">
        <v>20</v>
      </c>
      <c r="C382" t="inlineStr">
        <is>
          <t>VB</t>
        </is>
      </c>
      <c r="D382" t="inlineStr">
        <is>
          <t>35096 Hessen - Weimar (Lahn)</t>
        </is>
      </c>
      <c r="E382" s="5" t="n">
        <v>45251</v>
      </c>
      <c r="F382" t="inlineStr"/>
      <c r="G382" s="6">
        <f>HYPERLINK("https://www.kleinanzeigen.de/s-anzeige/skihose-gaastra/2609450782-230-4828", "Link")</f>
        <v/>
      </c>
      <c r="H382" s="6">
        <f>HYPERLINK("C:\Projects\Kleinanzeigen-Scraper\offer_images\2609450782", "Link")</f>
        <v/>
      </c>
      <c r="I382" t="inlineStr">
        <is>
          <t>Kerstin</t>
        </is>
      </c>
      <c r="J382" s="6">
        <f>HYPERLINK("https://www.kleinanzeigen.de/s-bestandsliste.html?userId=37523434", "Link")</f>
        <v/>
      </c>
      <c r="K382" s="7" t="n">
        <v>45558.7400462963</v>
      </c>
      <c r="L382" s="3" t="inlineStr">
        <is>
          <t>124.91</t>
        </is>
      </c>
      <c r="M382" t="inlineStr">
        <is>
          <t>Köln</t>
        </is>
      </c>
    </row>
    <row r="383">
      <c r="A383" t="inlineStr">
        <is>
          <t>Gaastra Bermuda Gr. 36</t>
        </is>
      </c>
      <c r="B383" s="4" t="n">
        <v>19</v>
      </c>
      <c r="C383" t="inlineStr"/>
      <c r="D383" t="inlineStr">
        <is>
          <t>28197 Bremen - Woltmershausen</t>
        </is>
      </c>
      <c r="E383" s="5" t="n">
        <v>44808</v>
      </c>
      <c r="F383" t="inlineStr"/>
      <c r="G383" s="6">
        <f>HYPERLINK("https://www.kleinanzeigen.de/s-anzeige/gaastra-bermuda-gr-36/2201181587-230-27", "Link")</f>
        <v/>
      </c>
      <c r="H383" s="6">
        <f>HYPERLINK("C:\Projects\Kleinanzeigen-Scraper\offer_images\2201181587", "Link")</f>
        <v/>
      </c>
      <c r="I383" t="inlineStr">
        <is>
          <t>Nadine</t>
        </is>
      </c>
      <c r="J383" s="6">
        <f>HYPERLINK("https://www.kleinanzeigen.de/s-bestandsliste.html?userId=49503398", "Link")</f>
        <v/>
      </c>
      <c r="K383" s="7" t="n">
        <v>45558.73996527777</v>
      </c>
      <c r="L383" s="3" t="inlineStr">
        <is>
          <t>269.02</t>
        </is>
      </c>
      <c r="M383" t="inlineStr">
        <is>
          <t>Köln</t>
        </is>
      </c>
    </row>
    <row r="384">
      <c r="A384" t="inlineStr">
        <is>
          <t>Starboard Fuselage 95 Plus - Windsurf Foil</t>
        </is>
      </c>
      <c r="B384" s="4" t="n">
        <v>100</v>
      </c>
      <c r="C384" t="inlineStr"/>
      <c r="D384" t="inlineStr">
        <is>
          <t>14473 Brandenburg - Potsdam</t>
        </is>
      </c>
      <c r="E384" s="5" t="n">
        <v>45558</v>
      </c>
      <c r="F384" t="inlineStr"/>
      <c r="G384" s="6">
        <f>HYPERLINK("https://www.kleinanzeigen.de/s-anzeige/starboard-fuselage-95-plus-windsurf-foil/2871978751-230-7969", "Link")</f>
        <v/>
      </c>
      <c r="H384" s="6">
        <f>HYPERLINK("C:\Projects\Kleinanzeigen-Scraper\offer_images\2871978751", "Link")</f>
        <v/>
      </c>
      <c r="I384" t="inlineStr">
        <is>
          <t>Falco</t>
        </is>
      </c>
      <c r="J384" s="6">
        <f>HYPERLINK("https://www.kleinanzeigen.de/s-bestandsliste.html?userId=27744322", "Link")</f>
        <v/>
      </c>
      <c r="K384" s="7" t="n">
        <v>45558.73993055556</v>
      </c>
      <c r="L384" s="3" t="inlineStr">
        <is>
          <t>449.51</t>
        </is>
      </c>
      <c r="M384" t="inlineStr">
        <is>
          <t>Köln</t>
        </is>
      </c>
    </row>
    <row r="385">
      <c r="A385" t="inlineStr">
        <is>
          <t>GAASTRA Sky Swimtrunk Badeshorts Badehose Gr. S</t>
        </is>
      </c>
      <c r="B385" s="4" t="n">
        <v>4</v>
      </c>
      <c r="C385" t="inlineStr"/>
      <c r="D385" t="inlineStr">
        <is>
          <t>33104 Nordrhein-Westfalen - Paderborn</t>
        </is>
      </c>
      <c r="E385" s="5" t="n">
        <v>43631</v>
      </c>
      <c r="F385" t="inlineStr"/>
      <c r="G385" s="6">
        <f>HYPERLINK("https://www.kleinanzeigen.de/s-anzeige/gaastra-sky-swimtrunk-badeshorts-badehose-gr-s/1143450618-230-2162", "Link")</f>
        <v/>
      </c>
      <c r="H385" s="6">
        <f>HYPERLINK("C:\Projects\Kleinanzeigen-Scraper\offer_images\1143450618", "Link")</f>
        <v/>
      </c>
      <c r="I385" t="inlineStr">
        <is>
          <t>Christian Fiedler</t>
        </is>
      </c>
      <c r="J385" s="6">
        <f>HYPERLINK("https://www.kleinanzeigen.de/s-bestandsliste.html?userId=6561047", "Link")</f>
        <v/>
      </c>
      <c r="K385" s="7" t="n">
        <v>45558.73982638889</v>
      </c>
      <c r="L385" s="3" t="inlineStr">
        <is>
          <t>154.65</t>
        </is>
      </c>
      <c r="M385" t="inlineStr">
        <is>
          <t>Köln</t>
        </is>
      </c>
    </row>
    <row r="386">
      <c r="A386" t="inlineStr">
        <is>
          <t>Skihose Gaastra - neuwertig-</t>
        </is>
      </c>
      <c r="B386" s="4" t="n">
        <v>55</v>
      </c>
      <c r="C386" t="inlineStr">
        <is>
          <t>VB</t>
        </is>
      </c>
      <c r="D386" t="inlineStr">
        <is>
          <t>24976 Schleswig-Holstein - Handewitt</t>
        </is>
      </c>
      <c r="E386" s="5" t="n">
        <v>44143</v>
      </c>
      <c r="F386" t="inlineStr"/>
      <c r="G386" s="6">
        <f>HYPERLINK("https://www.kleinanzeigen.de/s-anzeige/skihose-gaastra-neuwertig-/1565629548-230-17448", "Link")</f>
        <v/>
      </c>
      <c r="H386" s="6">
        <f>HYPERLINK("C:\Projects\Kleinanzeigen-Scraper\offer_images\1565629548", "Link")</f>
        <v/>
      </c>
      <c r="I386" t="inlineStr">
        <is>
          <t>Müller</t>
        </is>
      </c>
      <c r="J386" s="6">
        <f>HYPERLINK("https://www.kleinanzeigen.de/s-bestandsliste.html?userId=3565512", "Link")</f>
        <v/>
      </c>
      <c r="K386" s="7" t="n">
        <v>45558.73969907407</v>
      </c>
      <c r="L386" s="3" t="inlineStr">
        <is>
          <t>453.75</t>
        </is>
      </c>
      <c r="M386" t="inlineStr">
        <is>
          <t>Köln</t>
        </is>
      </c>
    </row>
    <row r="387">
      <c r="A387" t="inlineStr">
        <is>
          <t>Skioverall von Gaastra Gr. S / 36</t>
        </is>
      </c>
      <c r="B387" s="4" t="n">
        <v>69</v>
      </c>
      <c r="C387" t="inlineStr">
        <is>
          <t>VB</t>
        </is>
      </c>
      <c r="D387" t="inlineStr">
        <is>
          <t>85667 Bayern - Oberpframmern</t>
        </is>
      </c>
      <c r="E387" s="5" t="n">
        <v>45297</v>
      </c>
      <c r="F387" t="inlineStr"/>
      <c r="G387" s="6">
        <f>HYPERLINK("https://www.kleinanzeigen.de/s-anzeige/skioverall-von-gaastra-gr-s-36/2645483820-230-6183", "Link")</f>
        <v/>
      </c>
      <c r="H387" s="6">
        <f>HYPERLINK("C:\Projects\Kleinanzeigen-Scraper\offer_images\2645483820", "Link")</f>
        <v/>
      </c>
      <c r="I387" t="inlineStr">
        <is>
          <t>AMI</t>
        </is>
      </c>
      <c r="J387" s="6">
        <f>HYPERLINK("https://www.kleinanzeigen.de/s-bestandsliste.html?userId=6691665", "Link")</f>
        <v/>
      </c>
      <c r="K387" s="7" t="n">
        <v>45558.73954861111</v>
      </c>
      <c r="L387" s="3" t="inlineStr">
        <is>
          <t>21.93</t>
        </is>
      </c>
      <c r="M387" t="inlineStr">
        <is>
          <t>München</t>
        </is>
      </c>
    </row>
    <row r="388">
      <c r="A388" t="inlineStr">
        <is>
          <t>Skihose von GAASTRA, Gr. 140</t>
        </is>
      </c>
      <c r="B388" s="4" t="n">
        <v>50</v>
      </c>
      <c r="C388" t="inlineStr"/>
      <c r="D388" t="inlineStr">
        <is>
          <t>67071 Rheinland-Pfalz - Ludwigshafen</t>
        </is>
      </c>
      <c r="E388" s="5" t="n">
        <v>45326</v>
      </c>
      <c r="F388" t="inlineStr">
        <is>
          <t>Sold</t>
        </is>
      </c>
      <c r="G388" s="6">
        <f>HYPERLINK("https://www.kleinanzeigen.de/s-anzeige/skihose-von-gaastra-gr-140/2670306032-230-5191", "Link")</f>
        <v/>
      </c>
      <c r="H388" s="6">
        <f>HYPERLINK("C:\Projects\Kleinanzeigen-Scraper\offer_images\2670306032", "Link")</f>
        <v/>
      </c>
      <c r="I388" t="inlineStr">
        <is>
          <t>Konstanze</t>
        </is>
      </c>
      <c r="J388" s="6">
        <f>HYPERLINK("https://www.kleinanzeigen.de/s-bestandsliste.html?userId=2969263", "Link")</f>
        <v/>
      </c>
      <c r="K388" s="7" t="n">
        <v>45558.73954861111</v>
      </c>
      <c r="L388" s="3" t="inlineStr">
        <is>
          <t>52.34</t>
        </is>
      </c>
      <c r="M388" t="inlineStr">
        <is>
          <t>Karlsruhe</t>
        </is>
      </c>
    </row>
    <row r="389">
      <c r="A389" t="inlineStr">
        <is>
          <t>Original Gaastra Polo Hemd Größe XXL Sea of Life blau</t>
        </is>
      </c>
      <c r="B389" s="4" t="n">
        <v>7</v>
      </c>
      <c r="C389" t="inlineStr">
        <is>
          <t>VB</t>
        </is>
      </c>
      <c r="D389" t="inlineStr">
        <is>
          <t>76437 Baden-Württemberg - Rastatt</t>
        </is>
      </c>
      <c r="E389" s="5" t="n">
        <v>44719</v>
      </c>
      <c r="F389" t="inlineStr"/>
      <c r="G389" s="6">
        <f>HYPERLINK("https://www.kleinanzeigen.de/s-anzeige/original-gaastra-polo-hemd-groesse-xxl-sea-of-life-blau/2126408242-234-8199", "Link")</f>
        <v/>
      </c>
      <c r="H389" s="6">
        <f>HYPERLINK("C:\Projects\Kleinanzeigen-Scraper\offer_images\2126408242", "Link")</f>
        <v/>
      </c>
      <c r="I389" t="inlineStr">
        <is>
          <t>Müller</t>
        </is>
      </c>
      <c r="J389" s="6">
        <f>HYPERLINK("https://www.kleinanzeigen.de/s-bestandsliste.html?userId=64991205", "Link")</f>
        <v/>
      </c>
      <c r="K389" s="7" t="n">
        <v>45558.7392824074</v>
      </c>
      <c r="L389" s="3" t="inlineStr">
        <is>
          <t>22.54</t>
        </is>
      </c>
      <c r="M389" t="inlineStr">
        <is>
          <t>Karlsruhe</t>
        </is>
      </c>
    </row>
    <row r="390">
      <c r="A390" t="inlineStr">
        <is>
          <t>Gaastra Segel Regenjacke in absolut Trendfarbe in XL</t>
        </is>
      </c>
      <c r="B390" s="4" t="n">
        <v>35</v>
      </c>
      <c r="C390" t="inlineStr">
        <is>
          <t>VB</t>
        </is>
      </c>
      <c r="D390" t="inlineStr">
        <is>
          <t>63128 Hessen - Dietzenbach</t>
        </is>
      </c>
      <c r="E390" s="5" t="n">
        <v>45512</v>
      </c>
      <c r="F390" t="inlineStr"/>
      <c r="G390" s="6">
        <f>HYPERLINK("https://www.kleinanzeigen.de/s-anzeige/gaastra-segel-regenjacke-in-absolut-trendfarbe-in-xl/2832004528-230-4557", "Link")</f>
        <v/>
      </c>
      <c r="H390" s="6">
        <f>HYPERLINK("C:\Projects\Kleinanzeigen-Scraper\offer_images\2832004528", "Link")</f>
        <v/>
      </c>
      <c r="I390" t="inlineStr">
        <is>
          <t>Alexander Hauert</t>
        </is>
      </c>
      <c r="J390" s="6">
        <f>HYPERLINK("https://www.kleinanzeigen.de/s-bestandsliste.html?userId=14586734", "Link")</f>
        <v/>
      </c>
      <c r="K390" s="7" t="n">
        <v>45558.73875</v>
      </c>
      <c r="L390" s="3" t="inlineStr">
        <is>
          <t>114.52</t>
        </is>
      </c>
      <c r="M390" t="inlineStr">
        <is>
          <t>Karlsruhe</t>
        </is>
      </c>
    </row>
    <row r="391">
      <c r="A391" t="inlineStr">
        <is>
          <t>Gaastra PHANTOM SL 850 Carbon Slalom Foil</t>
        </is>
      </c>
      <c r="B391" s="4" t="n">
        <v>925</v>
      </c>
      <c r="C391" t="inlineStr"/>
      <c r="D391" t="inlineStr">
        <is>
          <t>75334 Baden-Württemberg - Straubenhardt</t>
        </is>
      </c>
      <c r="E391" s="5" t="n">
        <v>45547</v>
      </c>
      <c r="F391" t="inlineStr"/>
      <c r="G391" s="6">
        <f>HYPERLINK("https://www.kleinanzeigen.de/s-anzeige/gaastra-phantom-sl-850-carbon-slalom-foil/2861228252-230-8117", "Link")</f>
        <v/>
      </c>
      <c r="H391" s="6">
        <f>HYPERLINK("C:\Projects\Kleinanzeigen-Scraper\offer_images\2861228252", "Link")</f>
        <v/>
      </c>
      <c r="I391" t="inlineStr">
        <is>
          <t>Björn</t>
        </is>
      </c>
      <c r="J391" s="6">
        <f>HYPERLINK("https://www.kleinanzeigen.de/s-bestandsliste.html?userId=29930593", "Link")</f>
        <v/>
      </c>
      <c r="K391" s="7" t="n">
        <v>45558.73857638889</v>
      </c>
      <c r="L391" s="3" t="inlineStr">
        <is>
          <t>21.11</t>
        </is>
      </c>
      <c r="M391" t="inlineStr">
        <is>
          <t>Karlsruhe</t>
        </is>
      </c>
    </row>
    <row r="392">
      <c r="A392" t="inlineStr">
        <is>
          <t>GAASTRA Geschenkbox, nicht einfach zu bekommen</t>
        </is>
      </c>
      <c r="B392" s="4" t="inlineStr"/>
      <c r="C392" t="inlineStr">
        <is>
          <t>VB</t>
        </is>
      </c>
      <c r="D392" t="inlineStr">
        <is>
          <t>45721 Nordrhein-Westfalen - Haltern am See</t>
        </is>
      </c>
      <c r="E392" s="5" t="n">
        <v>43973</v>
      </c>
      <c r="F392" t="inlineStr"/>
      <c r="G392" s="6">
        <f>HYPERLINK("https://www.kleinanzeigen.de/s-anzeige/gaastra-geschenkbox-nicht-einfach-zu-bekommen/1410763405-234-1336", "Link")</f>
        <v/>
      </c>
      <c r="H392" s="6">
        <f>HYPERLINK("C:\Projects\Kleinanzeigen-Scraper\offer_images\1410763405", "Link")</f>
        <v/>
      </c>
      <c r="I392" t="inlineStr">
        <is>
          <t>Oliver</t>
        </is>
      </c>
      <c r="J392" s="6">
        <f>HYPERLINK("https://www.kleinanzeigen.de/s-bestandsliste.html?userId=6037322", "Link")</f>
        <v/>
      </c>
      <c r="K392" s="7" t="n">
        <v>45558.73836805556</v>
      </c>
      <c r="L392" s="3" t="inlineStr">
        <is>
          <t>95.03</t>
        </is>
      </c>
      <c r="M392" t="inlineStr">
        <is>
          <t>Köln</t>
        </is>
      </c>
    </row>
    <row r="393">
      <c r="A393" t="inlineStr">
        <is>
          <t>Gaastra Skihose XL /32/33</t>
        </is>
      </c>
      <c r="B393" s="4" t="n">
        <v>10</v>
      </c>
      <c r="C393" t="inlineStr"/>
      <c r="D393" t="inlineStr">
        <is>
          <t>83026 Bayern - Rosenheim</t>
        </is>
      </c>
      <c r="E393" s="5" t="n">
        <v>45330</v>
      </c>
      <c r="F393" t="inlineStr"/>
      <c r="G393" s="6">
        <f>HYPERLINK("https://www.kleinanzeigen.de/s-anzeige/gaastra-skihose-xl-32-33/2674180359-230-7580", "Link")</f>
        <v/>
      </c>
      <c r="H393" s="6">
        <f>HYPERLINK("C:\Projects\Kleinanzeigen-Scraper\offer_images\2674180359", "Link")</f>
        <v/>
      </c>
      <c r="I393" t="inlineStr">
        <is>
          <t>Axel Hocks</t>
        </is>
      </c>
      <c r="J393" s="6">
        <f>HYPERLINK("https://www.kleinanzeigen.de/s-bestandsliste.html?userId=6727321", "Link")</f>
        <v/>
      </c>
      <c r="K393" s="7" t="n">
        <v>45558.73798611111</v>
      </c>
      <c r="L393" s="3" t="inlineStr">
        <is>
          <t>51.48</t>
        </is>
      </c>
      <c r="M393" t="inlineStr">
        <is>
          <t>München</t>
        </is>
      </c>
    </row>
    <row r="394">
      <c r="A394" t="inlineStr">
        <is>
          <t>Gaastra Fleece Pulli 128 - 134</t>
        </is>
      </c>
      <c r="B394" s="4" t="n">
        <v>13</v>
      </c>
      <c r="C394" t="inlineStr"/>
      <c r="D394" t="inlineStr">
        <is>
          <t>90547 Bayern - Stein</t>
        </is>
      </c>
      <c r="E394" s="5" t="n">
        <v>45267</v>
      </c>
      <c r="F394" t="inlineStr"/>
      <c r="G394" s="6">
        <f>HYPERLINK("https://www.kleinanzeigen.de/s-anzeige/gaastra-fleece-pulli-128-134/2623189360-230-5665", "Link")</f>
        <v/>
      </c>
      <c r="H394" s="6">
        <f>HYPERLINK("C:\Projects\Kleinanzeigen-Scraper\offer_images\2623189360", "Link")</f>
        <v/>
      </c>
      <c r="I394" t="inlineStr">
        <is>
          <t>Martina</t>
        </is>
      </c>
      <c r="J394" s="6">
        <f>HYPERLINK("https://www.kleinanzeigen.de/s-bestandsliste.html?userId=12205753", "Link")</f>
        <v/>
      </c>
      <c r="K394" s="7" t="n">
        <v>45558.73789351852</v>
      </c>
      <c r="L394" s="3" t="inlineStr">
        <is>
          <t>146.95</t>
        </is>
      </c>
      <c r="M394" t="inlineStr">
        <is>
          <t>München</t>
        </is>
      </c>
    </row>
    <row r="395">
      <c r="A395" t="inlineStr">
        <is>
          <t>Windsurf Fanatic Flow Foil 900</t>
        </is>
      </c>
      <c r="B395" s="4" t="n">
        <v>600</v>
      </c>
      <c r="C395" t="inlineStr">
        <is>
          <t>VB</t>
        </is>
      </c>
      <c r="D395" t="inlineStr">
        <is>
          <t>24118 Kiel - Ravensberg-Brunswik-Düsternbrook</t>
        </is>
      </c>
      <c r="E395" s="5" t="n">
        <v>45550</v>
      </c>
      <c r="F395" t="inlineStr">
        <is>
          <t>Sold</t>
        </is>
      </c>
      <c r="G395" s="6">
        <f>HYPERLINK("https://www.kleinanzeigen.de/s-anzeige/windsurf-fanatic-flow-foil-900/2864445835-230-704", "Link")</f>
        <v/>
      </c>
      <c r="H395" s="6">
        <f>HYPERLINK("C:\Projects\Kleinanzeigen-Scraper\offer_images\2864445835", "Link")</f>
        <v/>
      </c>
      <c r="I395" t="inlineStr">
        <is>
          <t>Merlin</t>
        </is>
      </c>
      <c r="J395" s="6">
        <f>HYPERLINK("https://www.kleinanzeigen.de/s-bestandsliste.html?userId=47728449", "Link")</f>
        <v/>
      </c>
      <c r="K395" s="7" t="n">
        <v>45558.73737268519</v>
      </c>
      <c r="L395" s="3" t="inlineStr">
        <is>
          <t>434.29</t>
        </is>
      </c>
      <c r="M395" t="inlineStr">
        <is>
          <t>Köln</t>
        </is>
      </c>
    </row>
    <row r="396">
      <c r="A396" t="inlineStr">
        <is>
          <t>Skihose Gaastra</t>
        </is>
      </c>
      <c r="B396" s="4" t="n">
        <v>10</v>
      </c>
      <c r="C396" t="inlineStr"/>
      <c r="D396" t="inlineStr">
        <is>
          <t>65835 Hessen - Liederbach</t>
        </is>
      </c>
      <c r="E396" s="5" t="n">
        <v>45244</v>
      </c>
      <c r="F396" t="inlineStr"/>
      <c r="G396" s="6">
        <f>HYPERLINK("https://www.kleinanzeigen.de/s-anzeige/skihose-gaastra/2602357948-230-4545", "Link")</f>
        <v/>
      </c>
      <c r="H396" s="6">
        <f>HYPERLINK("C:\Projects\Kleinanzeigen-Scraper\offer_images\2602357948", "Link")</f>
        <v/>
      </c>
      <c r="I396" t="inlineStr">
        <is>
          <t>Karsten</t>
        </is>
      </c>
      <c r="J396" s="6">
        <f>HYPERLINK("https://www.kleinanzeigen.de/s-bestandsliste.html?userId=6917676", "Link")</f>
        <v/>
      </c>
      <c r="K396" s="7" t="n">
        <v>45558.73730324074</v>
      </c>
      <c r="L396" s="3" t="inlineStr">
        <is>
          <t>123.46</t>
        </is>
      </c>
      <c r="M396" t="inlineStr">
        <is>
          <t>Karlsruhe</t>
        </is>
      </c>
    </row>
    <row r="397">
      <c r="A397" t="inlineStr">
        <is>
          <t>Gaastra Pure 9qm !!!NEU!!!</t>
        </is>
      </c>
      <c r="B397" s="4" t="n">
        <v>395</v>
      </c>
      <c r="C397" t="inlineStr">
        <is>
          <t>VB</t>
        </is>
      </c>
      <c r="D397" t="inlineStr">
        <is>
          <t>53773 Nordrhein-Westfalen - Hennef (Sieg)</t>
        </is>
      </c>
      <c r="E397" s="5" t="n">
        <v>45418</v>
      </c>
      <c r="F397" t="inlineStr"/>
      <c r="G397" s="6">
        <f>HYPERLINK("https://www.kleinanzeigen.de/s-anzeige/gaastra-pure-9qm-neu-/2754413050-230-1697", "Link")</f>
        <v/>
      </c>
      <c r="H397" s="6">
        <f>HYPERLINK("C:\Projects\Kleinanzeigen-Scraper\offer_images\2754413050", "Link")</f>
        <v/>
      </c>
      <c r="I397" t="inlineStr">
        <is>
          <t>Garcia</t>
        </is>
      </c>
      <c r="J397" s="6">
        <f>HYPERLINK("https://www.kleinanzeigen.de/s-bestandsliste.html?userId=118940950", "Link")</f>
        <v/>
      </c>
      <c r="K397" s="7" t="n">
        <v>45558.73715277778</v>
      </c>
      <c r="L397" s="3" t="inlineStr">
        <is>
          <t>30.84</t>
        </is>
      </c>
      <c r="M397" t="inlineStr">
        <is>
          <t>Köln</t>
        </is>
      </c>
    </row>
    <row r="398">
      <c r="A398" t="inlineStr">
        <is>
          <t>GA Sails Manic Gaastra Windsurfsegel - verschiedene Größen - red</t>
        </is>
      </c>
      <c r="B398" s="4" t="inlineStr"/>
      <c r="C398" t="inlineStr">
        <is>
          <t>VB</t>
        </is>
      </c>
      <c r="D398" t="inlineStr">
        <is>
          <t>51069 Mülheim - Köln Dünnwald</t>
        </is>
      </c>
      <c r="E398" s="5" t="n">
        <v>45193</v>
      </c>
      <c r="F398" t="inlineStr"/>
      <c r="G398" s="6">
        <f>HYPERLINK("https://www.kleinanzeigen.de/s-anzeige/ga-sails-manic-gaastra-windsurfsegel-verschiedene-groessen-red/2553634406-230-18691", "Link")</f>
        <v/>
      </c>
      <c r="H398" s="6">
        <f>HYPERLINK("C:\Projects\Kleinanzeigen-Scraper\offer_images\2553634406", "Link")</f>
        <v/>
      </c>
      <c r="I398" t="inlineStr">
        <is>
          <t>Björn</t>
        </is>
      </c>
      <c r="J398" s="6">
        <f>HYPERLINK("https://www.kleinanzeigen.de/s-bestandsliste.html?userId=39488484", "Link")</f>
        <v/>
      </c>
      <c r="K398" s="7" t="n">
        <v>45558.73706018519</v>
      </c>
      <c r="L398" s="3" t="inlineStr">
        <is>
          <t>9.37</t>
        </is>
      </c>
      <c r="M398" t="inlineStr">
        <is>
          <t>Köln</t>
        </is>
      </c>
    </row>
    <row r="399">
      <c r="A399" t="inlineStr">
        <is>
          <t>Life Like Proto 2000 EMD E 7 Great Northern Ho</t>
        </is>
      </c>
      <c r="B399" s="4" t="n">
        <v>48</v>
      </c>
      <c r="C399" t="inlineStr">
        <is>
          <t>VB</t>
        </is>
      </c>
      <c r="D399" t="inlineStr">
        <is>
          <t>26506 Niedersachsen - Norden</t>
        </is>
      </c>
      <c r="E399" s="5" t="n">
        <v>45557</v>
      </c>
      <c r="F399" t="inlineStr"/>
      <c r="G399" s="6">
        <f>HYPERLINK("https://www.kleinanzeigen.de/s-anzeige/life-like-proto-2000-emd-e-7-great-northern-ho/2871048005-249-2777", "Link")</f>
        <v/>
      </c>
      <c r="H399" s="6">
        <f>HYPERLINK("C:\Projects\Kleinanzeigen-Scraper\offer_images\2871048005", "Link")</f>
        <v/>
      </c>
      <c r="I399" t="inlineStr">
        <is>
          <t>J. Pietzka</t>
        </is>
      </c>
      <c r="J399" s="6">
        <f>HYPERLINK("https://www.kleinanzeigen.de/s-bestandsliste.html?userId=136120815", "Link")</f>
        <v/>
      </c>
      <c r="K399" s="7" t="n">
        <v>45558.5715162037</v>
      </c>
      <c r="L399" s="3" t="inlineStr">
        <is>
          <t>293.71</t>
        </is>
      </c>
      <c r="M399" t="inlineStr">
        <is>
          <t>Köln</t>
        </is>
      </c>
    </row>
    <row r="400">
      <c r="A400" t="inlineStr">
        <is>
          <t>ATHEARN GENESIS  F9 A + B motorisiert  Northern Pacific OVP Ho</t>
        </is>
      </c>
      <c r="B400" s="4" t="n">
        <v>189</v>
      </c>
      <c r="C400" t="inlineStr">
        <is>
          <t>VB</t>
        </is>
      </c>
      <c r="D400" t="inlineStr">
        <is>
          <t>26506 Niedersachsen - Norden</t>
        </is>
      </c>
      <c r="E400" s="5" t="n">
        <v>45557</v>
      </c>
      <c r="F400" t="inlineStr"/>
      <c r="G400" s="6">
        <f>HYPERLINK("https://www.kleinanzeigen.de/s-anzeige/athearn-genesis-f9-a-b-motorisiert-northern-pacific-ovp-ho/2870970802-249-2777", "Link")</f>
        <v/>
      </c>
      <c r="H400" s="6">
        <f>HYPERLINK("C:\Projects\Kleinanzeigen-Scraper\offer_images\2870970802", "Link")</f>
        <v/>
      </c>
      <c r="I400" t="inlineStr">
        <is>
          <t>J. Pietzka</t>
        </is>
      </c>
      <c r="J400" s="6">
        <f>HYPERLINK("https://www.kleinanzeigen.de/s-bestandsliste.html?userId=136120815", "Link")</f>
        <v/>
      </c>
      <c r="K400" s="7" t="n">
        <v>45558.57118055555</v>
      </c>
      <c r="L400" s="3" t="inlineStr">
        <is>
          <t>293.71</t>
        </is>
      </c>
      <c r="M400" t="inlineStr">
        <is>
          <t>Köln</t>
        </is>
      </c>
    </row>
    <row r="401">
      <c r="A401" t="inlineStr">
        <is>
          <t>Naish Nalu Air 11.0 SUP Stand up paddle</t>
        </is>
      </c>
      <c r="B401" s="4" t="n">
        <v>250</v>
      </c>
      <c r="C401" t="inlineStr"/>
      <c r="D401" t="inlineStr">
        <is>
          <t>42855 Nordrhein-Westfalen - Remscheid</t>
        </is>
      </c>
      <c r="E401" s="5" t="n">
        <v>45508</v>
      </c>
      <c r="F401" t="inlineStr">
        <is>
          <t>Sold</t>
        </is>
      </c>
      <c r="G401" s="6">
        <f>HYPERLINK("https://www.kleinanzeigen.de/s-anzeige/naish-nalu-air-11-0-sup-stand-up-paddle/2829113271-230-1033", "Link")</f>
        <v/>
      </c>
      <c r="H401" s="6">
        <f>HYPERLINK("C:\Projects\Kleinanzeigen-Scraper\offer_images\2829113271", "Link")</f>
        <v/>
      </c>
      <c r="I401" t="inlineStr">
        <is>
          <t>Schiffner</t>
        </is>
      </c>
      <c r="J401" s="6">
        <f>HYPERLINK("https://www.kleinanzeigen.de/s-bestandsliste.html?userId=12860609", "Link")</f>
        <v/>
      </c>
      <c r="K401" s="7" t="n">
        <v>45558.57113425926</v>
      </c>
      <c r="L401" s="3" t="inlineStr">
        <is>
          <t>33.21</t>
        </is>
      </c>
      <c r="M401" t="inlineStr">
        <is>
          <t>Köln</t>
        </is>
      </c>
    </row>
    <row r="402">
      <c r="A402" t="inlineStr">
        <is>
          <t>Simms Freestone 47</t>
        </is>
      </c>
      <c r="B402" s="4" t="n">
        <v>100</v>
      </c>
      <c r="C402" t="inlineStr">
        <is>
          <t>VB</t>
        </is>
      </c>
      <c r="D402" t="inlineStr">
        <is>
          <t>21033 Bergedorf - Hamburg Billwerder</t>
        </is>
      </c>
      <c r="E402" s="5" t="n">
        <v>45557</v>
      </c>
      <c r="F402" t="inlineStr"/>
      <c r="G402" s="6">
        <f>HYPERLINK("https://www.kleinanzeigen.de/s-anzeige/simms-freestone-47/2870722926-230-26497", "Link")</f>
        <v/>
      </c>
      <c r="H402" s="6">
        <f>HYPERLINK("C:\Projects\Kleinanzeigen-Scraper\offer_images\2870722926", "Link")</f>
        <v/>
      </c>
      <c r="I402" t="inlineStr">
        <is>
          <t>Max Messer</t>
        </is>
      </c>
      <c r="J402" s="6">
        <f>HYPERLINK("https://www.kleinanzeigen.de/s-bestandsliste.html?userId=23179588", "Link")</f>
        <v/>
      </c>
      <c r="K402" s="7" t="n">
        <v>45558.57111111111</v>
      </c>
      <c r="L402" s="3" t="inlineStr">
        <is>
          <t>359.24</t>
        </is>
      </c>
      <c r="M402" t="inlineStr">
        <is>
          <t>Köln</t>
        </is>
      </c>
    </row>
    <row r="403">
      <c r="A403" t="inlineStr">
        <is>
          <t>Lego North Eastern US Caboose von Brick Model Railroader 1:48 Moc</t>
        </is>
      </c>
      <c r="B403" s="4" t="n">
        <v>55</v>
      </c>
      <c r="C403" t="inlineStr"/>
      <c r="D403" t="inlineStr">
        <is>
          <t>04824 Sachsen - Beucha</t>
        </is>
      </c>
      <c r="E403" s="5" t="n">
        <v>45557</v>
      </c>
      <c r="F403" t="inlineStr"/>
      <c r="G403" s="6">
        <f>HYPERLINK("https://www.kleinanzeigen.de/s-anzeige/lego-north-eastern-us-caboose-von-brick-model-railroader-1-48-moc/2871135486-249-3912", "Link")</f>
        <v/>
      </c>
      <c r="H403" s="6">
        <f>HYPERLINK("C:\Projects\Kleinanzeigen-Scraper\offer_images\2871135486", "Link")</f>
        <v/>
      </c>
      <c r="I403" t="inlineStr">
        <is>
          <t>Daniela</t>
        </is>
      </c>
      <c r="J403" s="6">
        <f>HYPERLINK("https://www.kleinanzeigen.de/s-bestandsliste.html?userId=11255607", "Link")</f>
        <v/>
      </c>
      <c r="K403" s="7" t="n">
        <v>45558.57052083333</v>
      </c>
      <c r="L403" s="3" t="inlineStr">
        <is>
          <t>361.38</t>
        </is>
      </c>
      <c r="M403" t="inlineStr">
        <is>
          <t>München</t>
        </is>
      </c>
    </row>
    <row r="404">
      <c r="A404" t="inlineStr">
        <is>
          <t>Gebrauchtes Mach 1 Foil / Windsurf Foil von Gaastra  kein fanatic</t>
        </is>
      </c>
      <c r="B404" s="4" t="n">
        <v>740</v>
      </c>
      <c r="C404" t="inlineStr">
        <is>
          <t>VB</t>
        </is>
      </c>
      <c r="D404" t="inlineStr">
        <is>
          <t>85368 Bayern - Moosburg a.d. Isar</t>
        </is>
      </c>
      <c r="E404" s="5" t="n">
        <v>45558</v>
      </c>
      <c r="F404" t="inlineStr"/>
      <c r="G404" s="6">
        <f>HYPERLINK("https://www.kleinanzeigen.de/s-anzeige/gebrauchtes-mach-1-foil-windsurf-foil-von-gaastra-kein-fanatic/2871508774-230-6540", "Link")</f>
        <v/>
      </c>
      <c r="H404" s="6">
        <f>HYPERLINK("C:\Projects\Kleinanzeigen-Scraper\offer_images\2871508774", "Link")</f>
        <v/>
      </c>
      <c r="I404" t="inlineStr">
        <is>
          <t>Fam. Werner</t>
        </is>
      </c>
      <c r="J404" s="6">
        <f>HYPERLINK("https://www.kleinanzeigen.de/s-bestandsliste.html?userId=8987959", "Link")</f>
        <v/>
      </c>
      <c r="K404" s="7" t="n">
        <v>45558.57042824074</v>
      </c>
      <c r="L404" s="3" t="inlineStr">
        <is>
          <t>46.07</t>
        </is>
      </c>
      <c r="M404" t="inlineStr">
        <is>
          <t>München</t>
        </is>
      </c>
    </row>
    <row r="405">
      <c r="A405" t="inlineStr">
        <is>
          <t>Windsurf World Cup Sylt Westerland Unterkunft Wohnung 03.10</t>
        </is>
      </c>
      <c r="B405" s="4" t="n">
        <v>100</v>
      </c>
      <c r="C405" t="inlineStr">
        <is>
          <t>VB</t>
        </is>
      </c>
      <c r="D405" t="inlineStr">
        <is>
          <t>22457 Eimsbüttel - Hamburg Schnelsen</t>
        </is>
      </c>
      <c r="E405" s="5" t="n">
        <v>45558</v>
      </c>
      <c r="F405" t="inlineStr"/>
      <c r="G405" s="6">
        <f>HYPERLINK("https://www.kleinanzeigen.de/s-anzeige/windsurf-world-cup-sylt-westerland-unterkunft-wohnung-03-10/2871633843-187-9492", "Link")</f>
        <v/>
      </c>
      <c r="H405" s="6">
        <f>HYPERLINK("C:\Projects\Kleinanzeigen-Scraper\offer_images\2871633843", "Link")</f>
        <v/>
      </c>
      <c r="I405" t="inlineStr">
        <is>
          <t>Lena</t>
        </is>
      </c>
      <c r="J405" s="6">
        <f>HYPERLINK("https://www.kleinanzeigen.de/s-bestandsliste.html?userId=6572948", "Link")</f>
        <v/>
      </c>
      <c r="K405" s="7" t="n">
        <v>45558.57015046296</v>
      </c>
      <c r="L405" s="3" t="inlineStr">
        <is>
          <t>362.41</t>
        </is>
      </c>
      <c r="M405" t="inlineStr">
        <is>
          <t>Köln</t>
        </is>
      </c>
    </row>
    <row r="406">
      <c r="A406" t="inlineStr">
        <is>
          <t>Gabelbäume zum Windsurfen</t>
        </is>
      </c>
      <c r="B406" s="4" t="inlineStr">
        <is>
          <t>Zu verschenken</t>
        </is>
      </c>
      <c r="C406" t="inlineStr"/>
      <c r="D406" t="inlineStr">
        <is>
          <t>32760 Nordrhein-Westfalen - Detmold</t>
        </is>
      </c>
      <c r="E406" s="5" t="n">
        <v>45558</v>
      </c>
      <c r="F406" t="inlineStr">
        <is>
          <t>Sold</t>
        </is>
      </c>
      <c r="G406" s="6">
        <f>HYPERLINK("https://www.kleinanzeigen.de/s-anzeige/gabelbaeume-zum-windsurfen/2871447096-23-1795", "Link")</f>
        <v/>
      </c>
      <c r="H406" s="6">
        <f>HYPERLINK("C:\Projects\Kleinanzeigen-Scraper\offer_images\2871447096", "Link")</f>
        <v/>
      </c>
      <c r="I406" t="inlineStr">
        <is>
          <t>Patrick Engelke</t>
        </is>
      </c>
      <c r="J406" s="6">
        <f>HYPERLINK("https://www.kleinanzeigen.de/s-bestandsliste.html?userId=4629808", "Link")</f>
        <v/>
      </c>
      <c r="K406" s="7" t="n">
        <v>45558.56980324074</v>
      </c>
      <c r="L406" s="3" t="inlineStr">
        <is>
          <t>172.40</t>
        </is>
      </c>
      <c r="M406" t="inlineStr">
        <is>
          <t>Köln</t>
        </is>
      </c>
    </row>
    <row r="407">
      <c r="A407" t="inlineStr">
        <is>
          <t>Starboard Slalom Foil Frontflügel 800cm2</t>
        </is>
      </c>
      <c r="B407" s="4" t="n">
        <v>119</v>
      </c>
      <c r="C407" t="inlineStr"/>
      <c r="D407" t="inlineStr">
        <is>
          <t>88279 Baden-Württemberg - Amtzell</t>
        </is>
      </c>
      <c r="E407" s="5" t="n">
        <v>45568</v>
      </c>
      <c r="F407" t="inlineStr"/>
      <c r="G407" s="6">
        <f>HYPERLINK("https://www.kleinanzeigen.de/s-anzeige/starboard-slalom-foil-frontfluegel-800cm2/2871626387-230-7319", "Link")</f>
        <v/>
      </c>
      <c r="H407" s="6">
        <f>HYPERLINK("C:\Projects\Kleinanzeigen-Scraper\offer_images\2871626387", "Link")</f>
        <v/>
      </c>
      <c r="I407" t="inlineStr">
        <is>
          <t>Waltenheimer</t>
        </is>
      </c>
      <c r="J407" s="6">
        <f>HYPERLINK("https://www.kleinanzeigen.de/s-bestandsliste.html?userId=10995078", "Link")</f>
        <v/>
      </c>
      <c r="K407" s="7" t="n">
        <v>45558.56952546296</v>
      </c>
      <c r="L407" s="3" t="inlineStr">
        <is>
          <t>106.48</t>
        </is>
      </c>
      <c r="M407" t="inlineStr">
        <is>
          <t>Bonndorf</t>
        </is>
      </c>
    </row>
    <row r="408">
      <c r="A408" t="inlineStr">
        <is>
          <t>North Orbit 2024 9m</t>
        </is>
      </c>
      <c r="B408" s="4" t="n">
        <v>920</v>
      </c>
      <c r="C408" t="inlineStr"/>
      <c r="D408" t="inlineStr">
        <is>
          <t>40239 Düsseldorf - Mörsenbroich</t>
        </is>
      </c>
      <c r="E408" s="5" t="n">
        <v>45557</v>
      </c>
      <c r="F408" t="inlineStr">
        <is>
          <t>Sold</t>
        </is>
      </c>
      <c r="G408" s="6">
        <f>HYPERLINK("https://www.kleinanzeigen.de/s-anzeige/north-orbit-2024-9m/2871375519-230-2098", "Link")</f>
        <v/>
      </c>
      <c r="H408" s="6">
        <f>HYPERLINK("C:\Projects\Kleinanzeigen-Scraper\offer_images\2871375519", "Link")</f>
        <v/>
      </c>
      <c r="I408" t="inlineStr">
        <is>
          <t>Filipp</t>
        </is>
      </c>
      <c r="J408" s="6">
        <f>HYPERLINK("https://www.kleinanzeigen.de/s-bestandsliste.html?userId=34115512", "Link")</f>
        <v/>
      </c>
      <c r="K408" s="7" t="n">
        <v>45558.56900462963</v>
      </c>
      <c r="L408" s="3" t="inlineStr">
        <is>
          <t>35.68</t>
        </is>
      </c>
      <c r="M408" t="inlineStr">
        <is>
          <t>Köln</t>
        </is>
      </c>
    </row>
    <row r="409">
      <c r="A409" t="inlineStr">
        <is>
          <t>Cobi 5536 - North American P-51D Mustang</t>
        </is>
      </c>
      <c r="B409" s="4" t="n">
        <v>25</v>
      </c>
      <c r="C409" t="inlineStr"/>
      <c r="D409" t="inlineStr">
        <is>
          <t>41539 Nordrhein-Westfalen - Dormagen</t>
        </is>
      </c>
      <c r="E409" s="5" t="n">
        <v>45557</v>
      </c>
      <c r="F409" t="inlineStr"/>
      <c r="G409" s="6">
        <f>HYPERLINK("https://www.kleinanzeigen.de/s-anzeige/cobi-5536-north-american-p-51d-mustang/2871112892-249-1879", "Link")</f>
        <v/>
      </c>
      <c r="H409" s="6">
        <f>HYPERLINK("C:\Projects\Kleinanzeigen-Scraper\offer_images\2871112892", "Link")</f>
        <v/>
      </c>
      <c r="I409" t="inlineStr">
        <is>
          <t>Thorben</t>
        </is>
      </c>
      <c r="J409" s="6">
        <f>HYPERLINK("https://www.kleinanzeigen.de/s-bestandsliste.html?userId=73643287", "Link")</f>
        <v/>
      </c>
      <c r="K409" s="7" t="n">
        <v>45558.56898148148</v>
      </c>
      <c r="L409" s="3" t="inlineStr">
        <is>
          <t>19.45</t>
        </is>
      </c>
      <c r="M409" t="inlineStr">
        <is>
          <t>Köln</t>
        </is>
      </c>
    </row>
    <row r="410">
      <c r="A410" t="inlineStr">
        <is>
          <t>Brand Wohnwagen Vorzelt Goya Größe 21 Umlaufmaß  939-958 cm</t>
        </is>
      </c>
      <c r="B410" s="4" t="n">
        <v>550</v>
      </c>
      <c r="C410" t="inlineStr">
        <is>
          <t>VB</t>
        </is>
      </c>
      <c r="D410" t="inlineStr">
        <is>
          <t>88512 Baden-Württemberg - Mengen</t>
        </is>
      </c>
      <c r="E410" s="5" t="n">
        <v>45558</v>
      </c>
      <c r="F410" t="inlineStr"/>
      <c r="G410" s="6">
        <f>HYPERLINK("https://www.kleinanzeigen.de/s-anzeige/brand-wohnwagen-vorzelt-goya-groesse-21-umlaufmass-939-958-cm/2871721230-230-8142", "Link")</f>
        <v/>
      </c>
      <c r="H410" s="6">
        <f>HYPERLINK("C:\Projects\Kleinanzeigen-Scraper\offer_images\2871721230", "Link")</f>
        <v/>
      </c>
      <c r="I410" t="inlineStr">
        <is>
          <t>Stumpp</t>
        </is>
      </c>
      <c r="J410" s="6">
        <f>HYPERLINK("https://www.kleinanzeigen.de/s-bestandsliste.html?userId=34599784", "Link")</f>
        <v/>
      </c>
      <c r="K410" s="7" t="n">
        <v>45558.56892361111</v>
      </c>
      <c r="L410" s="3" t="inlineStr">
        <is>
          <t>74.66</t>
        </is>
      </c>
      <c r="M410" t="inlineStr">
        <is>
          <t>Böblingen</t>
        </is>
      </c>
    </row>
    <row r="411">
      <c r="A411" t="inlineStr">
        <is>
          <t>North Navigator Bar M 45-50 2023</t>
        </is>
      </c>
      <c r="B411" s="4" t="n">
        <v>300</v>
      </c>
      <c r="C411" t="inlineStr"/>
      <c r="D411" t="inlineStr">
        <is>
          <t>18437 Mecklenburg-Vorpommern - Stralsund</t>
        </is>
      </c>
      <c r="E411" s="5" t="n">
        <v>45558</v>
      </c>
      <c r="F411" t="inlineStr"/>
      <c r="G411" s="6">
        <f>HYPERLINK("https://www.kleinanzeigen.de/s-anzeige/north-navigator-bar-m-45-50-2023/2871429252-230-136", "Link")</f>
        <v/>
      </c>
      <c r="H411" s="6">
        <f>HYPERLINK("C:\Projects\Kleinanzeigen-Scraper\offer_images\2871429252", "Link")</f>
        <v/>
      </c>
      <c r="I411" t="inlineStr">
        <is>
          <t>Valeriia und Hendrik</t>
        </is>
      </c>
      <c r="J411" s="6">
        <f>HYPERLINK("https://www.kleinanzeigen.de/s-bestandsliste.html?userId=52973235", "Link")</f>
        <v/>
      </c>
      <c r="K411" s="7" t="n">
        <v>45558.56872685185</v>
      </c>
      <c r="L411" s="3" t="inlineStr">
        <is>
          <t>555.96</t>
        </is>
      </c>
      <c r="M411" t="inlineStr">
        <is>
          <t>Köln</t>
        </is>
      </c>
    </row>
    <row r="412">
      <c r="A412" t="inlineStr">
        <is>
          <t>Isabella Cirrus Air North 300 mit passendem Isabella Boden</t>
        </is>
      </c>
      <c r="B412" s="4" t="n">
        <v>1.5</v>
      </c>
      <c r="C412" t="inlineStr">
        <is>
          <t>VB</t>
        </is>
      </c>
      <c r="D412" t="inlineStr">
        <is>
          <t>50129 Nordrhein-Westfalen - Bergheim</t>
        </is>
      </c>
      <c r="E412" s="5" t="n">
        <v>45558</v>
      </c>
      <c r="F412" t="inlineStr">
        <is>
          <t>Sold</t>
        </is>
      </c>
      <c r="G412" s="6">
        <f>HYPERLINK("https://www.kleinanzeigen.de/s-anzeige/isabella-cirrus-air-north-300-mit-passendem-isabella-boden/2871484726-230-1876", "Link")</f>
        <v/>
      </c>
      <c r="H412" s="6">
        <f>HYPERLINK("C:\Projects\Kleinanzeigen-Scraper\offer_images\2871484726", "Link")</f>
        <v/>
      </c>
      <c r="I412" t="inlineStr">
        <is>
          <t>Christian</t>
        </is>
      </c>
      <c r="J412" s="6">
        <f>HYPERLINK("https://www.kleinanzeigen.de/s-bestandsliste.html?userId=121911153", "Link")</f>
        <v/>
      </c>
      <c r="K412" s="7" t="n">
        <v>45558.56858796296</v>
      </c>
      <c r="L412" s="3" t="inlineStr">
        <is>
          <t>18.04</t>
        </is>
      </c>
      <c r="M412" t="inlineStr">
        <is>
          <t>Köln</t>
        </is>
      </c>
    </row>
    <row r="413">
      <c r="A413" t="inlineStr">
        <is>
          <t>Tasche für Gabelbäume, windsurfen</t>
        </is>
      </c>
      <c r="B413" s="4" t="n">
        <v>30</v>
      </c>
      <c r="C413" t="inlineStr">
        <is>
          <t>VB</t>
        </is>
      </c>
      <c r="D413" t="inlineStr">
        <is>
          <t>47198 Duisburg - Homberg/Ruhrort/Baerl</t>
        </is>
      </c>
      <c r="E413" s="5" t="n">
        <v>45557</v>
      </c>
      <c r="F413" t="inlineStr">
        <is>
          <t>Sold</t>
        </is>
      </c>
      <c r="G413" s="6">
        <f>HYPERLINK("https://www.kleinanzeigen.de/s-anzeige/tasche-fuer-gabelbaeume-windsurfen/2870834469-230-2140", "Link")</f>
        <v/>
      </c>
      <c r="H413" s="6">
        <f>HYPERLINK("C:\Projects\Kleinanzeigen-Scraper\offer_images\2870834469", "Link")</f>
        <v/>
      </c>
      <c r="I413" t="inlineStr">
        <is>
          <t>Pabst, Alexander</t>
        </is>
      </c>
      <c r="J413" s="6">
        <f>HYPERLINK("https://www.kleinanzeigen.de/s-bestandsliste.html?userId=8616794", "Link")</f>
        <v/>
      </c>
      <c r="K413" s="7" t="n">
        <v>45558.56836805555</v>
      </c>
      <c r="L413" s="3" t="inlineStr">
        <is>
          <t>59.95</t>
        </is>
      </c>
      <c r="M413" t="inlineStr">
        <is>
          <t>Köln</t>
        </is>
      </c>
    </row>
    <row r="414">
      <c r="A414" t="inlineStr">
        <is>
          <t>warrior of the north Büste/Figur 1/10 Bausatz</t>
        </is>
      </c>
      <c r="B414" s="4" t="n">
        <v>20</v>
      </c>
      <c r="C414" t="inlineStr"/>
      <c r="D414" t="inlineStr">
        <is>
          <t>30455 Hannover - Ahlem-Badenstedt-Davenstedt</t>
        </is>
      </c>
      <c r="E414" s="5" t="n">
        <v>45557</v>
      </c>
      <c r="F414" t="inlineStr"/>
      <c r="G414" s="6">
        <f>HYPERLINK("https://www.kleinanzeigen.de/s-anzeige/warrior-of-the-north-bueste-figur-1-10-bausatz/2870903449-249-3194", "Link")</f>
        <v/>
      </c>
      <c r="H414" s="6">
        <f>HYPERLINK("C:\Projects\Kleinanzeigen-Scraper\offer_images\2870903449", "Link")</f>
        <v/>
      </c>
      <c r="I414" t="inlineStr">
        <is>
          <t>Charlie</t>
        </is>
      </c>
      <c r="J414" s="6">
        <f>HYPERLINK("https://www.kleinanzeigen.de/s-bestandsliste.html?userId=135205031", "Link")</f>
        <v/>
      </c>
      <c r="K414" s="7" t="n">
        <v>45558.56821759259</v>
      </c>
      <c r="L414" s="3" t="inlineStr">
        <is>
          <t>245.03</t>
        </is>
      </c>
      <c r="M414" t="inlineStr">
        <is>
          <t>Köln</t>
        </is>
      </c>
    </row>
    <row r="415">
      <c r="A415" t="inlineStr">
        <is>
          <t>Starboard Evolution MK1 SLR | Slalom Race Windsurf Foil</t>
        </is>
      </c>
      <c r="B415" s="4" t="n">
        <v>1.7</v>
      </c>
      <c r="C415" t="inlineStr">
        <is>
          <t>VB</t>
        </is>
      </c>
      <c r="D415" t="inlineStr">
        <is>
          <t>59320 Nordrhein-Westfalen - Ennigerloh</t>
        </is>
      </c>
      <c r="E415" s="5" t="n">
        <v>45557</v>
      </c>
      <c r="F415" t="inlineStr"/>
      <c r="G415" s="6">
        <f>HYPERLINK("https://www.kleinanzeigen.de/s-anzeige/starboard-evolution-mk1-slr-slalom-race-windsurf-foil/2871162824-230-1439", "Link")</f>
        <v/>
      </c>
      <c r="H415" s="6">
        <f>HYPERLINK("C:\Projects\Kleinanzeigen-Scraper\offer_images\2871162824", "Link")</f>
        <v/>
      </c>
      <c r="I415" t="inlineStr">
        <is>
          <t>Steffen Bremerich</t>
        </is>
      </c>
      <c r="J415" s="6">
        <f>HYPERLINK("https://www.kleinanzeigen.de/s-bestandsliste.html?userId=51431186", "Link")</f>
        <v/>
      </c>
      <c r="K415" s="7" t="n">
        <v>45558.56797453704</v>
      </c>
      <c r="L415" s="3" t="inlineStr">
        <is>
          <t>126.09</t>
        </is>
      </c>
      <c r="M415" t="inlineStr">
        <is>
          <t>Köln</t>
        </is>
      </c>
    </row>
    <row r="416">
      <c r="A416" t="inlineStr">
        <is>
          <t>Naish Foil 75cm Mast, Jet 1650, Stabilizer 450, 1x benutzt</t>
        </is>
      </c>
      <c r="B416" s="4" t="n">
        <v>890</v>
      </c>
      <c r="C416" t="inlineStr">
        <is>
          <t>VB</t>
        </is>
      </c>
      <c r="D416" t="inlineStr">
        <is>
          <t>71384 Baden-Württemberg - Weinstadt</t>
        </is>
      </c>
      <c r="E416" s="5" t="n">
        <v>45558</v>
      </c>
      <c r="F416" t="inlineStr"/>
      <c r="G416" s="6">
        <f>HYPERLINK("https://www.kleinanzeigen.de/s-anzeige/naish-foil-75cm-mast-jet-1650-stabilizer-450-1x-benutzt/2871613850-230-8386", "Link")</f>
        <v/>
      </c>
      <c r="H416" s="6">
        <f>HYPERLINK("C:\Projects\Kleinanzeigen-Scraper\offer_images\2871613850", "Link")</f>
        <v/>
      </c>
      <c r="I416" t="inlineStr">
        <is>
          <t>Buck</t>
        </is>
      </c>
      <c r="J416" s="6">
        <f>HYPERLINK("https://www.kleinanzeigen.de/s-bestandsliste.html?userId=16449882", "Link")</f>
        <v/>
      </c>
      <c r="K416" s="7" t="n">
        <v>45558.56788194444</v>
      </c>
      <c r="L416" s="3" t="inlineStr">
        <is>
          <t>33.53</t>
        </is>
      </c>
      <c r="M416" t="inlineStr">
        <is>
          <t>Böblingen</t>
        </is>
      </c>
    </row>
    <row r="417">
      <c r="A417" t="inlineStr">
        <is>
          <t>Starboard Fuselage 75</t>
        </is>
      </c>
      <c r="B417" s="4" t="n">
        <v>30</v>
      </c>
      <c r="C417" t="inlineStr"/>
      <c r="D417" t="inlineStr">
        <is>
          <t>69221 Baden-Württemberg - Dossenheim</t>
        </is>
      </c>
      <c r="E417" s="5" t="n">
        <v>45550</v>
      </c>
      <c r="F417" t="inlineStr">
        <is>
          <t>Sold</t>
        </is>
      </c>
      <c r="G417" s="6">
        <f>HYPERLINK("https://www.kleinanzeigen.de/s-anzeige/starboard-fuselage-75/2864356340-230-9168", "Link")</f>
        <v/>
      </c>
      <c r="H417" s="6">
        <f>HYPERLINK("C:\Projects\Kleinanzeigen-Scraper\offer_images\2864356340", "Link")</f>
        <v/>
      </c>
      <c r="I417" t="inlineStr">
        <is>
          <t>Stepan Zuna</t>
        </is>
      </c>
      <c r="J417" s="6">
        <f>HYPERLINK("https://www.kleinanzeigen.de/s-bestandsliste.html?userId=20394775", "Link")</f>
        <v/>
      </c>
      <c r="K417" s="7" t="n">
        <v>45558.56775462963</v>
      </c>
      <c r="L417" s="3" t="inlineStr">
        <is>
          <t>53.20</t>
        </is>
      </c>
      <c r="M417" t="inlineStr">
        <is>
          <t>Karlsruhe</t>
        </is>
      </c>
    </row>
    <row r="418">
      <c r="A418" t="inlineStr">
        <is>
          <t>SIMMS G4 Pro Watschuh Vibram Carbon, Größe 43 (EU) **NEU**</t>
        </is>
      </c>
      <c r="B418" s="4" t="n">
        <v>290</v>
      </c>
      <c r="C418" t="inlineStr"/>
      <c r="D418" t="inlineStr">
        <is>
          <t>96047 Bayern - Bamberg</t>
        </is>
      </c>
      <c r="E418" s="5" t="n">
        <v>45557</v>
      </c>
      <c r="F418" t="inlineStr"/>
      <c r="G418" s="6">
        <f>HYPERLINK("https://www.kleinanzeigen.de/s-anzeige/simms-g4-pro-watschuh-vibram-carbon-groesse-43-eu-neu-/2870948700-230-6892", "Link")</f>
        <v/>
      </c>
      <c r="H418" s="6">
        <f>HYPERLINK("C:\Projects\Kleinanzeigen-Scraper\offer_images\2870948700", "Link")</f>
        <v/>
      </c>
      <c r="I418" t="inlineStr">
        <is>
          <t>Christoph</t>
        </is>
      </c>
      <c r="J418" s="6">
        <f>HYPERLINK("https://www.kleinanzeigen.de/s-bestandsliste.html?userId=28240685", "Link")</f>
        <v/>
      </c>
      <c r="K418" s="7" t="n">
        <v>45558.56751157407</v>
      </c>
      <c r="L418" s="3" t="inlineStr">
        <is>
          <t>193.82</t>
        </is>
      </c>
      <c r="M418" t="inlineStr">
        <is>
          <t>Böblingen</t>
        </is>
      </c>
    </row>
    <row r="419">
      <c r="A419" t="inlineStr">
        <is>
          <t>Isabella Annex North 250 Anbau Zelt</t>
        </is>
      </c>
      <c r="B419" s="4" t="n">
        <v>800</v>
      </c>
      <c r="C419" t="inlineStr">
        <is>
          <t>VB</t>
        </is>
      </c>
      <c r="D419" t="inlineStr">
        <is>
          <t>21423 Niedersachsen - Winsen (Luhe)</t>
        </is>
      </c>
      <c r="E419" s="5" t="n">
        <v>45557</v>
      </c>
      <c r="F419" t="inlineStr"/>
      <c r="G419" s="6">
        <f>HYPERLINK("https://www.kleinanzeigen.de/s-anzeige/isabella-annex-north-250-anbau-zelt/2870781673-230-3223", "Link")</f>
        <v/>
      </c>
      <c r="H419" s="6">
        <f>HYPERLINK("C:\Projects\Kleinanzeigen-Scraper\offer_images\2870781673", "Link")</f>
        <v/>
      </c>
      <c r="I419" t="inlineStr">
        <is>
          <t>Stefan</t>
        </is>
      </c>
      <c r="J419" s="6">
        <f>HYPERLINK("https://www.kleinanzeigen.de/s-bestandsliste.html?userId=9473267", "Link")</f>
        <v/>
      </c>
      <c r="K419" s="7" t="n">
        <v>45558.5674074074</v>
      </c>
      <c r="L419" s="3" t="inlineStr">
        <is>
          <t>349.14</t>
        </is>
      </c>
      <c r="M419" t="inlineStr">
        <is>
          <t>Köln</t>
        </is>
      </c>
    </row>
    <row r="420">
      <c r="A420" t="inlineStr">
        <is>
          <t>Einige Segel plus ein Sack Segellatten zum Windsurfen</t>
        </is>
      </c>
      <c r="B420" s="4" t="inlineStr">
        <is>
          <t>Zu verschenken</t>
        </is>
      </c>
      <c r="C420" t="inlineStr"/>
      <c r="D420" t="inlineStr">
        <is>
          <t>32760 Nordrhein-Westfalen - Detmold</t>
        </is>
      </c>
      <c r="E420" s="5" t="n">
        <v>45558</v>
      </c>
      <c r="F420" t="inlineStr">
        <is>
          <t>Sold</t>
        </is>
      </c>
      <c r="G420" s="6">
        <f>HYPERLINK("https://www.kleinanzeigen.de/s-anzeige/einige-segel-plus-ein-sack-segellatten-zum-windsurfen/2871448301-211-1795", "Link")</f>
        <v/>
      </c>
      <c r="H420" s="6">
        <f>HYPERLINK("C:\Projects\Kleinanzeigen-Scraper\offer_images\2871448301", "Link")</f>
        <v/>
      </c>
      <c r="I420" t="inlineStr">
        <is>
          <t>Patrick Engelke</t>
        </is>
      </c>
      <c r="J420" s="6">
        <f>HYPERLINK("https://www.kleinanzeigen.de/s-bestandsliste.html?userId=4629808", "Link")</f>
        <v/>
      </c>
      <c r="K420" s="7" t="n">
        <v>45558.56664351852</v>
      </c>
      <c r="L420" s="3" t="inlineStr">
        <is>
          <t>172.40</t>
        </is>
      </c>
      <c r="M420" t="inlineStr">
        <is>
          <t>Köln</t>
        </is>
      </c>
    </row>
    <row r="421">
      <c r="A421" t="inlineStr">
        <is>
          <t>Eisbad/Eisfass/Eistonne - North Breath - NEU</t>
        </is>
      </c>
      <c r="B421" s="4" t="n">
        <v>70</v>
      </c>
      <c r="C421" t="inlineStr"/>
      <c r="D421" t="inlineStr">
        <is>
          <t>83536 Bayern - Gars am Inn</t>
        </is>
      </c>
      <c r="E421" s="5" t="n">
        <v>45557</v>
      </c>
      <c r="F421" t="inlineStr"/>
      <c r="G421" s="6">
        <f>HYPERLINK("https://www.kleinanzeigen.de/s-anzeige/eisbad-eisfass-eistonne-north-breath-neu/2870703830-230-5670", "Link")</f>
        <v/>
      </c>
      <c r="H421" s="6">
        <f>HYPERLINK("C:\Projects\Kleinanzeigen-Scraper\offer_images\2870703830", "Link")</f>
        <v/>
      </c>
      <c r="I421" t="inlineStr">
        <is>
          <t>Alexander Leonard Wick</t>
        </is>
      </c>
      <c r="J421" s="6">
        <f>HYPERLINK("https://www.kleinanzeigen.de/s-bestandsliste.html?userId=143312064", "Link")</f>
        <v/>
      </c>
      <c r="K421" s="7" t="n">
        <v>45558.5660300926</v>
      </c>
      <c r="L421" s="3" t="inlineStr">
        <is>
          <t>51.21</t>
        </is>
      </c>
      <c r="M421" t="inlineStr">
        <is>
          <t>München</t>
        </is>
      </c>
    </row>
    <row r="422">
      <c r="A422" t="inlineStr">
        <is>
          <t>Fanatic Blitz Carbon Raceboard SUP</t>
        </is>
      </c>
      <c r="B422" s="4" t="n">
        <v>1.19</v>
      </c>
      <c r="C422" t="inlineStr"/>
      <c r="D422" t="inlineStr">
        <is>
          <t>20255 Eimsbüttel - Hamburg Eimsbüttel (Stadtteil)</t>
        </is>
      </c>
      <c r="E422" s="5" t="n">
        <v>45557</v>
      </c>
      <c r="F422" t="inlineStr"/>
      <c r="G422" s="6">
        <f>HYPERLINK("https://www.kleinanzeigen.de/s-anzeige/fanatic-blitz-carbon-raceboard-sup/2871162293-230-9428", "Link")</f>
        <v/>
      </c>
      <c r="H422" s="6">
        <f>HYPERLINK("C:\Projects\Kleinanzeigen-Scraper\offer_images\2871162293", "Link")</f>
        <v/>
      </c>
      <c r="I422" t="inlineStr">
        <is>
          <t>Kurt</t>
        </is>
      </c>
      <c r="J422" s="6">
        <f>HYPERLINK("https://www.kleinanzeigen.de/s-bestandsliste.html?userId=25700679", "Link")</f>
        <v/>
      </c>
      <c r="K422" s="7" t="n">
        <v>45558.56594907407</v>
      </c>
      <c r="L422" s="3" t="inlineStr">
        <is>
          <t>357.52</t>
        </is>
      </c>
      <c r="M422" t="inlineStr">
        <is>
          <t>Köln</t>
        </is>
      </c>
    </row>
    <row r="423">
      <c r="A423" t="inlineStr">
        <is>
          <t>Playmobil 3584 Windsurfer Surfer Surfboard mit Motor</t>
        </is>
      </c>
      <c r="B423" s="4" t="n">
        <v>20</v>
      </c>
      <c r="C423" t="inlineStr"/>
      <c r="D423" t="inlineStr">
        <is>
          <t>85435 Bayern - Erding</t>
        </is>
      </c>
      <c r="E423" s="5" t="n">
        <v>45557</v>
      </c>
      <c r="F423" t="inlineStr"/>
      <c r="G423" s="6">
        <f>HYPERLINK("https://www.kleinanzeigen.de/s-anzeige/playmobil-3584-windsurfer-surfer-surfboard-mit-motor/2871340799-23-6080", "Link")</f>
        <v/>
      </c>
      <c r="H423" s="6">
        <f>HYPERLINK("C:\Projects\Kleinanzeigen-Scraper\offer_images\2871340799", "Link")</f>
        <v/>
      </c>
      <c r="I423" t="inlineStr">
        <is>
          <t>Stefan K.</t>
        </is>
      </c>
      <c r="J423" s="6">
        <f>HYPERLINK("https://www.kleinanzeigen.de/s-bestandsliste.html?userId=32538001", "Link")</f>
        <v/>
      </c>
      <c r="K423" s="7" t="n">
        <v>45558.56581018519</v>
      </c>
      <c r="L423" s="3" t="inlineStr">
        <is>
          <t>32.53</t>
        </is>
      </c>
      <c r="M423" t="inlineStr">
        <is>
          <t>München</t>
        </is>
      </c>
    </row>
    <row r="424">
      <c r="A424" t="inlineStr">
        <is>
          <t>Revell North American FJ-4B Fury 1:72 Modell 04306</t>
        </is>
      </c>
      <c r="B424" s="4" t="n">
        <v>10</v>
      </c>
      <c r="C424" t="inlineStr"/>
      <c r="D424" t="inlineStr">
        <is>
          <t>90610 Bayern - Winkelhaid</t>
        </is>
      </c>
      <c r="E424" s="5" t="n">
        <v>45558</v>
      </c>
      <c r="F424" t="inlineStr">
        <is>
          <t>Sold</t>
        </is>
      </c>
      <c r="G424" s="6">
        <f>HYPERLINK("https://www.kleinanzeigen.de/s-anzeige/revell-north-american-fj-4b-fury-1-72-modell-04306/2871477653-249-6090", "Link")</f>
        <v/>
      </c>
      <c r="H424" s="6">
        <f>HYPERLINK("C:\Projects\Kleinanzeigen-Scraper\offer_images\2871477653", "Link")</f>
        <v/>
      </c>
      <c r="I424" t="inlineStr">
        <is>
          <t>Andrea Weishäupl</t>
        </is>
      </c>
      <c r="J424" s="6">
        <f>HYPERLINK("https://www.kleinanzeigen.de/s-bestandsliste.html?userId=23287616", "Link")</f>
        <v/>
      </c>
      <c r="K424" s="7" t="n">
        <v>45558.5657175926</v>
      </c>
      <c r="L424" s="3" t="inlineStr">
        <is>
          <t>140.62</t>
        </is>
      </c>
      <c r="M424" t="inlineStr">
        <is>
          <t>München</t>
        </is>
      </c>
    </row>
    <row r="425">
      <c r="A425" t="inlineStr">
        <is>
          <t>Ätzkunst Kupferstich-Bild Simmern ☆UNIKAT☆ auf Holzplatte</t>
        </is>
      </c>
      <c r="B425" s="4" t="n">
        <v>60</v>
      </c>
      <c r="C425" t="inlineStr"/>
      <c r="D425" t="inlineStr">
        <is>
          <t>55469 Rheinland-Pfalz - Simmern</t>
        </is>
      </c>
      <c r="E425" s="5" t="n">
        <v>45557</v>
      </c>
      <c r="F425" t="inlineStr"/>
      <c r="G425" s="6">
        <f>HYPERLINK("https://www.kleinanzeigen.de/s-anzeige/aetzkunst-kupferstich-bild-simmern-unikat-auf-holzplatte/2870885550-240-20854", "Link")</f>
        <v/>
      </c>
      <c r="H425" s="6">
        <f>HYPERLINK("C:\Projects\Kleinanzeigen-Scraper\offer_images\2870885550", "Link")</f>
        <v/>
      </c>
      <c r="I425" t="inlineStr">
        <is>
          <t>Jürgen</t>
        </is>
      </c>
      <c r="J425" s="6">
        <f>HYPERLINK("https://www.kleinanzeigen.de/s-bestandsliste.html?userId=141593145", "Link")</f>
        <v/>
      </c>
      <c r="K425" s="7" t="n">
        <v>45558.5656712963</v>
      </c>
      <c r="L425" s="3" t="inlineStr">
        <is>
          <t>113.56</t>
        </is>
      </c>
      <c r="M425" t="inlineStr">
        <is>
          <t>Köln</t>
        </is>
      </c>
    </row>
    <row r="426">
      <c r="A426" t="inlineStr">
        <is>
          <t>SIMMS WATJACKE Gr. L</t>
        </is>
      </c>
      <c r="B426" s="4" t="n">
        <v>395</v>
      </c>
      <c r="C426" t="inlineStr"/>
      <c r="D426" t="inlineStr">
        <is>
          <t>24558 Schleswig-Holstein - Henstedt-Ulzburg</t>
        </is>
      </c>
      <c r="E426" s="5" t="n">
        <v>45557</v>
      </c>
      <c r="F426" t="inlineStr"/>
      <c r="G426" s="6">
        <f>HYPERLINK("https://www.kleinanzeigen.de/s-anzeige/simms-watjacke-gr-l/2871366763-230-13734", "Link")</f>
        <v/>
      </c>
      <c r="H426" s="6">
        <f>HYPERLINK("C:\Projects\Kleinanzeigen-Scraper\offer_images\2871366763", "Link")</f>
        <v/>
      </c>
      <c r="I426" t="inlineStr">
        <is>
          <t>Fly</t>
        </is>
      </c>
      <c r="J426" s="6">
        <f>HYPERLINK("https://www.kleinanzeigen.de/s-bestandsliste.html?userId=78974964", "Link")</f>
        <v/>
      </c>
      <c r="K426" s="7" t="n">
        <v>45558.56532407407</v>
      </c>
      <c r="L426" s="3" t="inlineStr">
        <is>
          <t>379.46</t>
        </is>
      </c>
      <c r="M426" t="inlineStr">
        <is>
          <t>Köln</t>
        </is>
      </c>
    </row>
    <row r="427">
      <c r="A427" t="inlineStr">
        <is>
          <t>North Duotone Dice 10 (2018/19er)</t>
        </is>
      </c>
      <c r="B427" s="4" t="n">
        <v>300</v>
      </c>
      <c r="C427" t="inlineStr"/>
      <c r="D427" t="inlineStr">
        <is>
          <t>10245 Friedrichshain-Kreuzberg - Friedrichshain</t>
        </is>
      </c>
      <c r="E427" s="5" t="n">
        <v>45558</v>
      </c>
      <c r="F427" t="inlineStr">
        <is>
          <t>Sold</t>
        </is>
      </c>
      <c r="G427" s="6">
        <f>HYPERLINK("https://www.kleinanzeigen.de/s-anzeige/north-duotone-dice-10-2018-19er-/2871388551-230-3352", "Link")</f>
        <v/>
      </c>
      <c r="H427" s="6">
        <f>HYPERLINK("C:\Projects\Kleinanzeigen-Scraper\offer_images\2871388551", "Link")</f>
        <v/>
      </c>
      <c r="I427" t="inlineStr">
        <is>
          <t>Daniel</t>
        </is>
      </c>
      <c r="J427" s="6">
        <f>HYPERLINK("https://www.kleinanzeigen.de/s-bestandsliste.html?userId=137435090", "Link")</f>
        <v/>
      </c>
      <c r="K427" s="7" t="n">
        <v>45558.56511574074</v>
      </c>
      <c r="L427" s="3" t="inlineStr">
        <is>
          <t>480.20</t>
        </is>
      </c>
      <c r="M427" t="inlineStr">
        <is>
          <t>Köln</t>
        </is>
      </c>
    </row>
    <row r="428">
      <c r="A428" t="inlineStr">
        <is>
          <t>Starboard  Tikki Lycra</t>
        </is>
      </c>
      <c r="B428" s="4" t="n">
        <v>30</v>
      </c>
      <c r="C428" t="inlineStr"/>
      <c r="D428" t="inlineStr">
        <is>
          <t>82481 Bayern - Mittenwald</t>
        </is>
      </c>
      <c r="E428" s="5" t="n">
        <v>45558</v>
      </c>
      <c r="F428" t="inlineStr">
        <is>
          <t>Sold</t>
        </is>
      </c>
      <c r="G428" s="6">
        <f>HYPERLINK("https://www.kleinanzeigen.de/s-anzeige/starboard-tikki-lycra/2871596738-230-6340", "Link")</f>
        <v/>
      </c>
      <c r="H428" s="6">
        <f>HYPERLINK("C:\Projects\Kleinanzeigen-Scraper\offer_images\2871596738", "Link")</f>
        <v/>
      </c>
      <c r="I428" t="inlineStr">
        <is>
          <t>Christian</t>
        </is>
      </c>
      <c r="J428" s="6">
        <f>HYPERLINK("https://www.kleinanzeigen.de/s-bestandsliste.html?userId=144210493", "Link")</f>
        <v/>
      </c>
      <c r="K428" s="7" t="n">
        <v>45558.56475694444</v>
      </c>
      <c r="L428" s="3" t="inlineStr">
        <is>
          <t>80.64</t>
        </is>
      </c>
      <c r="M428" t="inlineStr">
        <is>
          <t>München</t>
        </is>
      </c>
    </row>
    <row r="429">
      <c r="A429" t="inlineStr">
        <is>
          <t>Campingstühle North Camp</t>
        </is>
      </c>
      <c r="B429" s="4" t="n">
        <v>10</v>
      </c>
      <c r="C429" t="inlineStr">
        <is>
          <t>VB</t>
        </is>
      </c>
      <c r="D429" t="inlineStr">
        <is>
          <t>21039 Schleswig-Holstein - Escheburg</t>
        </is>
      </c>
      <c r="E429" s="5" t="n">
        <v>45557</v>
      </c>
      <c r="F429" t="inlineStr">
        <is>
          <t>Sold</t>
        </is>
      </c>
      <c r="G429" s="6">
        <f>HYPERLINK("https://www.kleinanzeigen.de/s-anzeige/campingstuehle-north-camp/2870828302-230-20934", "Link")</f>
        <v/>
      </c>
      <c r="H429" s="6">
        <f>HYPERLINK("C:\Projects\Kleinanzeigen-Scraper\offer_images\2870828302", "Link")</f>
        <v/>
      </c>
      <c r="I429" t="inlineStr">
        <is>
          <t>Anja Hamester</t>
        </is>
      </c>
      <c r="J429" s="6">
        <f>HYPERLINK("https://www.kleinanzeigen.de/s-bestandsliste.html?userId=15027180", "Link")</f>
        <v/>
      </c>
      <c r="K429" s="7" t="n">
        <v>45558.56474537037</v>
      </c>
      <c r="L429" s="3" t="inlineStr">
        <is>
          <t>360.30</t>
        </is>
      </c>
      <c r="M429" t="inlineStr">
        <is>
          <t>Köln</t>
        </is>
      </c>
    </row>
    <row r="430">
      <c r="A430" t="inlineStr">
        <is>
          <t>3 Windsurf-Segel</t>
        </is>
      </c>
      <c r="B430" s="4" t="inlineStr">
        <is>
          <t>Zu verschenken</t>
        </is>
      </c>
      <c r="C430" t="inlineStr"/>
      <c r="D430" t="inlineStr">
        <is>
          <t>25436 Kreis Pinneberg - Tornesch</t>
        </is>
      </c>
      <c r="E430" s="5" t="n">
        <v>45558</v>
      </c>
      <c r="F430" t="inlineStr">
        <is>
          <t>Sold</t>
        </is>
      </c>
      <c r="G430" s="6">
        <f>HYPERLINK("https://www.kleinanzeigen.de/s-anzeige/3-windsurf-segel/2871706462-230-16679", "Link")</f>
        <v/>
      </c>
      <c r="H430" s="6">
        <f>HYPERLINK("C:\Projects\Kleinanzeigen-Scraper\offer_images\2871706462", "Link")</f>
        <v/>
      </c>
      <c r="I430" t="inlineStr">
        <is>
          <t>Jörg Maaß</t>
        </is>
      </c>
      <c r="J430" s="6">
        <f>HYPERLINK("https://www.kleinanzeigen.de/s-bestandsliste.html?userId=1807028", "Link")</f>
        <v/>
      </c>
      <c r="K430" s="7" t="n">
        <v>45558.56467592593</v>
      </c>
      <c r="L430" s="3" t="inlineStr">
        <is>
          <t>356.69</t>
        </is>
      </c>
      <c r="M430" t="inlineStr">
        <is>
          <t>Köln</t>
        </is>
      </c>
    </row>
    <row r="431">
      <c r="A431" t="inlineStr">
        <is>
          <t>Mast / Mastteile Windsurfen</t>
        </is>
      </c>
      <c r="B431" s="4" t="inlineStr">
        <is>
          <t>Zu verschenken</t>
        </is>
      </c>
      <c r="C431" t="inlineStr"/>
      <c r="D431" t="inlineStr">
        <is>
          <t>93105 Bayern - Tegernheim</t>
        </is>
      </c>
      <c r="E431" s="5" t="n">
        <v>45558</v>
      </c>
      <c r="F431" t="inlineStr">
        <is>
          <t>Sold</t>
        </is>
      </c>
      <c r="G431" s="6">
        <f>HYPERLINK("https://www.kleinanzeigen.de/s-anzeige/mast-mastteile-windsurfen/2871483814-230-7646", "Link")</f>
        <v/>
      </c>
      <c r="H431" s="6">
        <f>HYPERLINK("C:\Projects\Kleinanzeigen-Scraper\offer_images\2871483814", "Link")</f>
        <v/>
      </c>
      <c r="I431" t="inlineStr">
        <is>
          <t>LZ</t>
        </is>
      </c>
      <c r="J431" s="6">
        <f>HYPERLINK("https://www.kleinanzeigen.de/s-bestandsliste.html?userId=125382959", "Link")</f>
        <v/>
      </c>
      <c r="K431" s="7" t="n">
        <v>45558.56423611111</v>
      </c>
      <c r="L431" s="3" t="inlineStr">
        <is>
          <t>108.98</t>
        </is>
      </c>
      <c r="M431" t="inlineStr">
        <is>
          <t>München</t>
        </is>
      </c>
    </row>
    <row r="432">
      <c r="A432" t="inlineStr">
        <is>
          <t>Starboard Evolution MK1 SLR | Slalom Race Windsurf Foil</t>
        </is>
      </c>
      <c r="B432" s="4" t="n">
        <v>1.7</v>
      </c>
      <c r="C432" t="inlineStr">
        <is>
          <t>VB</t>
        </is>
      </c>
      <c r="D432" t="inlineStr">
        <is>
          <t>24306 Schleswig-Holstein - Plön</t>
        </is>
      </c>
      <c r="E432" s="5" t="n">
        <v>45557</v>
      </c>
      <c r="F432" t="inlineStr"/>
      <c r="G432" s="6">
        <f>HYPERLINK("https://www.kleinanzeigen.de/s-anzeige/starboard-evolution-mk1-slr-slalom-race-windsurf-foil/2871173759-230-13384", "Link")</f>
        <v/>
      </c>
      <c r="H432" s="6">
        <f>HYPERLINK("C:\Projects\Kleinanzeigen-Scraper\offer_images\2871173759", "Link")</f>
        <v/>
      </c>
      <c r="I432" t="inlineStr">
        <is>
          <t>Steffen Bremerich</t>
        </is>
      </c>
      <c r="J432" s="6">
        <f>HYPERLINK("https://www.kleinanzeigen.de/s-bestandsliste.html?userId=51431186", "Link")</f>
        <v/>
      </c>
      <c r="K432" s="7" t="n">
        <v>45558.56416666666</v>
      </c>
      <c r="L432" s="3" t="inlineStr">
        <is>
          <t>429.16</t>
        </is>
      </c>
      <c r="M432" t="inlineStr">
        <is>
          <t>Köln</t>
        </is>
      </c>
    </row>
    <row r="433">
      <c r="A433" t="inlineStr">
        <is>
          <t>North Wave Radsport Trikot Gr L</t>
        </is>
      </c>
      <c r="B433" s="4" t="n">
        <v>15</v>
      </c>
      <c r="C433" t="inlineStr"/>
      <c r="D433" t="inlineStr">
        <is>
          <t>69168 Baden-Württemberg - Wiesloch</t>
        </is>
      </c>
      <c r="E433" s="5" t="n">
        <v>45557</v>
      </c>
      <c r="F433" t="inlineStr"/>
      <c r="G433" s="6">
        <f>HYPERLINK("https://www.kleinanzeigen.de/s-anzeige/north-wave-radsport-trikot-gr-l/2871234303-230-8259", "Link")</f>
        <v/>
      </c>
      <c r="H433" s="6">
        <f>HYPERLINK("C:\Projects\Kleinanzeigen-Scraper\offer_images\2871234303", "Link")</f>
        <v/>
      </c>
      <c r="I433" t="inlineStr">
        <is>
          <t>Stahl Michael</t>
        </is>
      </c>
      <c r="J433" s="6">
        <f>HYPERLINK("https://www.kleinanzeigen.de/s-bestandsliste.html?userId=21030499", "Link")</f>
        <v/>
      </c>
      <c r="K433" s="7" t="n">
        <v>45558.5640162037</v>
      </c>
      <c r="L433" s="3" t="inlineStr">
        <is>
          <t>38.40</t>
        </is>
      </c>
      <c r="M433" t="inlineStr">
        <is>
          <t>Karlsruhe</t>
        </is>
      </c>
    </row>
    <row r="434">
      <c r="A434" t="inlineStr">
        <is>
          <t>The Army Painter Warpaints Fanatic Metallic</t>
        </is>
      </c>
      <c r="B434" s="4" t="n">
        <v>20</v>
      </c>
      <c r="C434" t="inlineStr"/>
      <c r="D434" t="inlineStr">
        <is>
          <t>28777 Blumenthal - Farge</t>
        </is>
      </c>
      <c r="E434" s="5" t="n">
        <v>45557</v>
      </c>
      <c r="F434" t="inlineStr">
        <is>
          <t>Sold</t>
        </is>
      </c>
      <c r="G434" s="6">
        <f>HYPERLINK("https://www.kleinanzeigen.de/s-anzeige/the-army-painter-warpaints-fanatic-metallic/2870686202-249-10", "Link")</f>
        <v/>
      </c>
      <c r="H434" s="6">
        <f>HYPERLINK("C:\Projects\Kleinanzeigen-Scraper\offer_images\2870686202", "Link")</f>
        <v/>
      </c>
      <c r="I434" t="inlineStr">
        <is>
          <t>Vogelsberger</t>
        </is>
      </c>
      <c r="J434" s="6">
        <f>HYPERLINK("https://www.kleinanzeigen.de/s-bestandsliste.html?userId=44959423", "Link")</f>
        <v/>
      </c>
      <c r="K434" s="7" t="n">
        <v>45558.56399305556</v>
      </c>
      <c r="L434" s="3" t="inlineStr">
        <is>
          <t>274.48</t>
        </is>
      </c>
      <c r="M434" t="inlineStr">
        <is>
          <t>Köln</t>
        </is>
      </c>
    </row>
    <row r="435">
      <c r="A435" t="inlineStr">
        <is>
          <t>Walthers Great Northern Empire Builder 4 Wagen Zug  OVP Ho</t>
        </is>
      </c>
      <c r="B435" s="4" t="n">
        <v>159</v>
      </c>
      <c r="C435" t="inlineStr">
        <is>
          <t>VB</t>
        </is>
      </c>
      <c r="D435" t="inlineStr">
        <is>
          <t>26506 Niedersachsen - Norden</t>
        </is>
      </c>
      <c r="E435" s="5" t="n">
        <v>45557</v>
      </c>
      <c r="F435" t="inlineStr">
        <is>
          <t>Sold</t>
        </is>
      </c>
      <c r="G435" s="6">
        <f>HYPERLINK("https://www.kleinanzeigen.de/s-anzeige/walthers-great-northern-empire-builder-4-wagen-zug-ovp-ho/2870946108-249-2777", "Link")</f>
        <v/>
      </c>
      <c r="H435" s="6">
        <f>HYPERLINK("C:\Projects\Kleinanzeigen-Scraper\offer_images\2870946108", "Link")</f>
        <v/>
      </c>
      <c r="I435" t="inlineStr">
        <is>
          <t>J. Pietzka</t>
        </is>
      </c>
      <c r="J435" s="6">
        <f>HYPERLINK("https://www.kleinanzeigen.de/s-bestandsliste.html?userId=136120815", "Link")</f>
        <v/>
      </c>
      <c r="K435" s="7" t="n">
        <v>45558.56371527778</v>
      </c>
      <c r="L435" s="3" t="inlineStr">
        <is>
          <t>293.71</t>
        </is>
      </c>
      <c r="M435" t="inlineStr">
        <is>
          <t>Köln</t>
        </is>
      </c>
    </row>
    <row r="436">
      <c r="A436" t="inlineStr">
        <is>
          <t>North duotone Dice 12qm (1018/19)</t>
        </is>
      </c>
      <c r="B436" s="4" t="n">
        <v>315</v>
      </c>
      <c r="C436" t="inlineStr"/>
      <c r="D436" t="inlineStr">
        <is>
          <t>10245 Friedrichshain-Kreuzberg - Friedrichshain</t>
        </is>
      </c>
      <c r="E436" s="5" t="n">
        <v>45558</v>
      </c>
      <c r="F436" t="inlineStr">
        <is>
          <t>Sold</t>
        </is>
      </c>
      <c r="G436" s="6">
        <f>HYPERLINK("https://www.kleinanzeigen.de/s-anzeige/north-duotone-dice-12qm-1018-19-/2871390269-230-3352", "Link")</f>
        <v/>
      </c>
      <c r="H436" s="6">
        <f>HYPERLINK("C:\Projects\Kleinanzeigen-Scraper\offer_images\2871390269", "Link")</f>
        <v/>
      </c>
      <c r="I436" t="inlineStr">
        <is>
          <t>Daniel</t>
        </is>
      </c>
      <c r="J436" s="6">
        <f>HYPERLINK("https://www.kleinanzeigen.de/s-bestandsliste.html?userId=137435090", "Link")</f>
        <v/>
      </c>
      <c r="K436" s="7" t="n">
        <v>45558.56369212963</v>
      </c>
      <c r="L436" s="3" t="inlineStr">
        <is>
          <t>480.20</t>
        </is>
      </c>
      <c r="M436" t="inlineStr">
        <is>
          <t>Köln</t>
        </is>
      </c>
    </row>
    <row r="437">
      <c r="A437" t="inlineStr">
        <is>
          <t>Starboard Tikki  Lycra Neu</t>
        </is>
      </c>
      <c r="B437" s="4" t="n">
        <v>30</v>
      </c>
      <c r="C437" t="inlineStr"/>
      <c r="D437" t="inlineStr">
        <is>
          <t>82481 Bayern - Mittenwald</t>
        </is>
      </c>
      <c r="E437" s="5" t="n">
        <v>45558</v>
      </c>
      <c r="F437" t="inlineStr"/>
      <c r="G437" s="6">
        <f>HYPERLINK("https://www.kleinanzeigen.de/s-anzeige/starboard-tikki-lycra-neu/2871598643-230-6340", "Link")</f>
        <v/>
      </c>
      <c r="H437" s="6">
        <f>HYPERLINK("C:\Projects\Kleinanzeigen-Scraper\offer_images\2871598643", "Link")</f>
        <v/>
      </c>
      <c r="I437" t="inlineStr">
        <is>
          <t>Christian</t>
        </is>
      </c>
      <c r="J437" s="6">
        <f>HYPERLINK("https://www.kleinanzeigen.de/s-bestandsliste.html?userId=144210493", "Link")</f>
        <v/>
      </c>
      <c r="K437" s="7" t="n">
        <v>45558.56319444445</v>
      </c>
      <c r="L437" s="3" t="inlineStr">
        <is>
          <t>80.64</t>
        </is>
      </c>
      <c r="M437" t="inlineStr">
        <is>
          <t>München</t>
        </is>
      </c>
    </row>
    <row r="438">
      <c r="A438" t="inlineStr">
        <is>
          <t>Balzer 71North</t>
        </is>
      </c>
      <c r="B438" s="4" t="n">
        <v>110</v>
      </c>
      <c r="C438" t="inlineStr"/>
      <c r="D438" t="inlineStr">
        <is>
          <t>35708 Hessen - Haiger</t>
        </is>
      </c>
      <c r="E438" s="5" t="n">
        <v>45557</v>
      </c>
      <c r="F438" t="inlineStr"/>
      <c r="G438" s="6">
        <f>HYPERLINK("https://www.kleinanzeigen.de/s-anzeige/balzer-71north/2870869344-230-4792", "Link")</f>
        <v/>
      </c>
      <c r="H438" s="6">
        <f>HYPERLINK("C:\Projects\Kleinanzeigen-Scraper\offer_images\2870869344", "Link")</f>
        <v/>
      </c>
      <c r="I438" t="inlineStr">
        <is>
          <t>Uwe Müller</t>
        </is>
      </c>
      <c r="J438" s="6">
        <f>HYPERLINK("https://www.kleinanzeigen.de/s-bestandsliste.html?userId=27724200", "Link")</f>
        <v/>
      </c>
      <c r="K438" s="7" t="n">
        <v>45558.56315972222</v>
      </c>
      <c r="L438" s="3" t="inlineStr">
        <is>
          <t>89.44</t>
        </is>
      </c>
      <c r="M438" t="inlineStr">
        <is>
          <t>Köln</t>
        </is>
      </c>
    </row>
    <row r="439">
      <c r="A439" t="inlineStr">
        <is>
          <t>Fanatic Lycra</t>
        </is>
      </c>
      <c r="B439" s="4" t="n">
        <v>19</v>
      </c>
      <c r="C439" t="inlineStr"/>
      <c r="D439" t="inlineStr">
        <is>
          <t>82481 Bayern - Mittenwald</t>
        </is>
      </c>
      <c r="E439" s="5" t="n">
        <v>45558</v>
      </c>
      <c r="F439" t="inlineStr"/>
      <c r="G439" s="6">
        <f>HYPERLINK("https://www.kleinanzeigen.de/s-anzeige/fanatic-lycra/2871559084-230-6340", "Link")</f>
        <v/>
      </c>
      <c r="H439" s="6">
        <f>HYPERLINK("C:\Projects\Kleinanzeigen-Scraper\offer_images\2871559084", "Link")</f>
        <v/>
      </c>
      <c r="I439" t="inlineStr">
        <is>
          <t>Christian</t>
        </is>
      </c>
      <c r="J439" s="6">
        <f>HYPERLINK("https://www.kleinanzeigen.de/s-bestandsliste.html?userId=144210493", "Link")</f>
        <v/>
      </c>
      <c r="K439" s="7" t="n">
        <v>45558.56306712963</v>
      </c>
      <c r="L439" s="3" t="inlineStr">
        <is>
          <t>80.64</t>
        </is>
      </c>
      <c r="M439" t="inlineStr">
        <is>
          <t>München</t>
        </is>
      </c>
    </row>
    <row r="440">
      <c r="A440" t="inlineStr">
        <is>
          <t>North Duotone Rebel 13 m2 2015</t>
        </is>
      </c>
      <c r="B440" s="4" t="n">
        <v>320</v>
      </c>
      <c r="C440" t="inlineStr">
        <is>
          <t>VB</t>
        </is>
      </c>
      <c r="D440" t="inlineStr">
        <is>
          <t>21684 Niedersachsen - Stade</t>
        </is>
      </c>
      <c r="E440" s="5" t="n">
        <v>45557</v>
      </c>
      <c r="F440" t="inlineStr"/>
      <c r="G440" s="6">
        <f>HYPERLINK("https://www.kleinanzeigen.de/s-anzeige/north-duotone-rebel-13-m2-2015/2871118760-230-2826", "Link")</f>
        <v/>
      </c>
      <c r="H440" s="6">
        <f>HYPERLINK("C:\Projects\Kleinanzeigen-Scraper\offer_images\2871118760", "Link")</f>
        <v/>
      </c>
      <c r="I440" t="inlineStr">
        <is>
          <t>funki82</t>
        </is>
      </c>
      <c r="J440" s="6">
        <f>HYPERLINK("https://www.kleinanzeigen.de/s-bestandsliste.html?userId=6568623", "Link")</f>
        <v/>
      </c>
      <c r="K440" s="7" t="n">
        <v>45558.56298611111</v>
      </c>
      <c r="L440" s="3" t="inlineStr">
        <is>
          <t>339.89</t>
        </is>
      </c>
      <c r="M440" t="inlineStr">
        <is>
          <t>Köln</t>
        </is>
      </c>
    </row>
    <row r="441">
      <c r="A441" t="inlineStr">
        <is>
          <t>2x Acrylfarben Blau und Gelb Goya Acryl</t>
        </is>
      </c>
      <c r="B441" s="4" t="n">
        <v>4</v>
      </c>
      <c r="C441" t="inlineStr"/>
      <c r="D441" t="inlineStr">
        <is>
          <t>10439 Pankow - Prenzlauer Berg</t>
        </is>
      </c>
      <c r="E441" s="5" t="n">
        <v>45557</v>
      </c>
      <c r="F441" t="inlineStr"/>
      <c r="G441" s="6">
        <f>HYPERLINK("https://www.kleinanzeigen.de/s-anzeige/2x-acrylfarben-blau-und-gelb-goya-acryl/2870304478-282-3490", "Link")</f>
        <v/>
      </c>
      <c r="H441" s="6">
        <f>HYPERLINK("C:\Projects\Kleinanzeigen-Scraper\offer_images\2870304478", "Link")</f>
        <v/>
      </c>
      <c r="I441" t="inlineStr">
        <is>
          <t>Nadine</t>
        </is>
      </c>
      <c r="J441" s="6">
        <f>HYPERLINK("https://www.kleinanzeigen.de/s-bestandsliste.html?userId=16136029", "Link")</f>
        <v/>
      </c>
      <c r="K441" s="7" t="n">
        <v>45557.56305555555</v>
      </c>
      <c r="L441" s="3" t="inlineStr">
        <is>
          <t>479.25</t>
        </is>
      </c>
      <c r="M441" t="inlineStr">
        <is>
          <t>Köln</t>
        </is>
      </c>
    </row>
    <row r="442">
      <c r="A442" t="inlineStr">
        <is>
          <t>Neu: NBA retro Jersey Trikot North Carolina Michael Jordan Nike</t>
        </is>
      </c>
      <c r="B442" s="4" t="n">
        <v>55</v>
      </c>
      <c r="C442" t="inlineStr"/>
      <c r="D442" t="inlineStr">
        <is>
          <t>52078 Aachen - Aachen-Brand</t>
        </is>
      </c>
      <c r="E442" s="5" t="n">
        <v>45557</v>
      </c>
      <c r="F442" t="inlineStr">
        <is>
          <t>Sold</t>
        </is>
      </c>
      <c r="G442" s="6">
        <f>HYPERLINK("https://www.kleinanzeigen.de/s-anzeige/neu-nba-retro-jersey-trikot-north-carolina-michael-jordan-nike/2870374399-230-1926", "Link")</f>
        <v/>
      </c>
      <c r="H442" s="6">
        <f>HYPERLINK("C:\Projects\Kleinanzeigen-Scraper\offer_images\2870374399", "Link")</f>
        <v/>
      </c>
      <c r="I442" t="inlineStr">
        <is>
          <t>RF</t>
        </is>
      </c>
      <c r="J442" s="6">
        <f>HYPERLINK("https://www.kleinanzeigen.de/s-bestandsliste.html?userId=33653620", "Link")</f>
        <v/>
      </c>
      <c r="K442" s="7" t="n">
        <v>45557.56291666667</v>
      </c>
      <c r="L442" s="3" t="inlineStr">
        <is>
          <t>59.31</t>
        </is>
      </c>
      <c r="M442" t="inlineStr">
        <is>
          <t>Köln</t>
        </is>
      </c>
    </row>
    <row r="443">
      <c r="A443" t="inlineStr">
        <is>
          <t>SUP *Fanatic Viper Air Premium* Stand Up Paddle</t>
        </is>
      </c>
      <c r="B443" s="4" t="n">
        <v>499</v>
      </c>
      <c r="C443" t="inlineStr"/>
      <c r="D443" t="inlineStr">
        <is>
          <t>14770 Brandenburg - Brandenburg an der Havel</t>
        </is>
      </c>
      <c r="E443" s="5" t="n">
        <v>45557</v>
      </c>
      <c r="F443" t="inlineStr"/>
      <c r="G443" s="6">
        <f>HYPERLINK("https://www.kleinanzeigen.de/s-anzeige/sup-fanatic-viper-air-premium-stand-up-paddle/2870455205-230-7739", "Link")</f>
        <v/>
      </c>
      <c r="H443" s="6">
        <f>HYPERLINK("C:\Projects\Kleinanzeigen-Scraper\offer_images\2870455205", "Link")</f>
        <v/>
      </c>
      <c r="I443" t="inlineStr">
        <is>
          <t>Stephan</t>
        </is>
      </c>
      <c r="J443" s="6">
        <f>HYPERLINK("https://www.kleinanzeigen.de/s-bestandsliste.html?userId=38277978", "Link")</f>
        <v/>
      </c>
      <c r="K443" s="7" t="n">
        <v>45557.56285879629</v>
      </c>
      <c r="L443" s="3" t="inlineStr">
        <is>
          <t>416.86</t>
        </is>
      </c>
      <c r="M443" t="inlineStr">
        <is>
          <t>Köln</t>
        </is>
      </c>
    </row>
    <row r="444">
      <c r="A444" t="inlineStr">
        <is>
          <t>North Orbit 12 2023 blau neuwertig</t>
        </is>
      </c>
      <c r="B444" s="4" t="n">
        <v>990</v>
      </c>
      <c r="C444" t="inlineStr"/>
      <c r="D444" t="inlineStr">
        <is>
          <t>87700 Bayern - Memmingen</t>
        </is>
      </c>
      <c r="E444" s="5" t="n">
        <v>45557</v>
      </c>
      <c r="F444" t="inlineStr"/>
      <c r="G444" s="6">
        <f>HYPERLINK("https://www.kleinanzeigen.de/s-anzeige/north-orbit-12-2023-blau-neuwertig/2870510729-230-7315", "Link")</f>
        <v/>
      </c>
      <c r="H444" s="6">
        <f>HYPERLINK("C:\Projects\Kleinanzeigen-Scraper\offer_images\2870510729", "Link")</f>
        <v/>
      </c>
      <c r="I444" t="inlineStr">
        <is>
          <t>Benjamin</t>
        </is>
      </c>
      <c r="J444" s="6">
        <f>HYPERLINK("https://www.kleinanzeigen.de/s-bestandsliste.html?userId=21986641", "Link")</f>
        <v/>
      </c>
      <c r="K444" s="7" t="n">
        <v>45557.56196759259</v>
      </c>
      <c r="L444" s="3" t="inlineStr">
        <is>
          <t>105.28</t>
        </is>
      </c>
      <c r="M444" t="inlineStr">
        <is>
          <t>München</t>
        </is>
      </c>
    </row>
    <row r="445">
      <c r="A445" t="inlineStr">
        <is>
          <t>FANATIC Fly Air Premium 9.8</t>
        </is>
      </c>
      <c r="B445" s="4" t="n">
        <v>350</v>
      </c>
      <c r="C445" t="inlineStr"/>
      <c r="D445" t="inlineStr">
        <is>
          <t>48565 Nordrhein-Westfalen - Steinfurt</t>
        </is>
      </c>
      <c r="E445" s="5" t="n">
        <v>45557</v>
      </c>
      <c r="F445" t="inlineStr">
        <is>
          <t>Sold</t>
        </is>
      </c>
      <c r="G445" s="6">
        <f>HYPERLINK("https://www.kleinanzeigen.de/s-anzeige/fanatic-fly-air-premium-9-8/2870268886-230-1294", "Link")</f>
        <v/>
      </c>
      <c r="H445" s="6">
        <f>HYPERLINK("C:\Projects\Kleinanzeigen-Scraper\offer_images\2870268886", "Link")</f>
        <v/>
      </c>
      <c r="I445" t="inlineStr">
        <is>
          <t>Thomas Pforr</t>
        </is>
      </c>
      <c r="J445" s="6">
        <f>HYPERLINK("https://www.kleinanzeigen.de/s-bestandsliste.html?userId=5477804", "Link")</f>
        <v/>
      </c>
      <c r="K445" s="7" t="n">
        <v>45557.56113425926</v>
      </c>
      <c r="L445" s="3" t="inlineStr">
        <is>
          <t>138.19</t>
        </is>
      </c>
      <c r="M445" t="inlineStr">
        <is>
          <t>Köln</t>
        </is>
      </c>
    </row>
    <row r="446">
      <c r="A446" t="inlineStr">
        <is>
          <t>VINTAGE Windsurfer Segelsack div. gebr., L 83cm - 105cm  [2107]</t>
        </is>
      </c>
      <c r="B446" s="4" t="n">
        <v>17</v>
      </c>
      <c r="C446" t="inlineStr">
        <is>
          <t>VB</t>
        </is>
      </c>
      <c r="D446" t="inlineStr">
        <is>
          <t>37124 Niedersachsen - Rosdorf</t>
        </is>
      </c>
      <c r="E446" s="5" t="n">
        <v>45550</v>
      </c>
      <c r="F446" t="inlineStr">
        <is>
          <t>Sold</t>
        </is>
      </c>
      <c r="G446" s="6">
        <f>HYPERLINK("https://www.kleinanzeigen.de/s-anzeige/vintage-windsurfer-segelsack-div-gebr-l-83cm-105cm-2107-/2168397910-211-3133", "Link")</f>
        <v/>
      </c>
      <c r="H446" s="6">
        <f>HYPERLINK("C:\Projects\Kleinanzeigen-Scraper\offer_images\2168397910", "Link")</f>
        <v/>
      </c>
      <c r="I446" t="inlineStr">
        <is>
          <t>No user name</t>
        </is>
      </c>
      <c r="J446" s="6">
        <f>HYPERLINK("https://www.kleinanzeigen.deNo user link", "Link")</f>
        <v/>
      </c>
      <c r="K446" s="7" t="n">
        <v>45557.5609375</v>
      </c>
      <c r="L446" s="3" t="inlineStr">
        <is>
          <t>214.72</t>
        </is>
      </c>
      <c r="M446" t="inlineStr">
        <is>
          <t>Köln</t>
        </is>
      </c>
    </row>
    <row r="447">
      <c r="A447" t="inlineStr">
        <is>
          <t>JP Australia Carbon Glass Paddle 3-teilig SUP</t>
        </is>
      </c>
      <c r="B447" s="4" t="n">
        <v>60</v>
      </c>
      <c r="C447" t="inlineStr"/>
      <c r="D447" t="inlineStr">
        <is>
          <t>80333 München - Maxvorstadt</t>
        </is>
      </c>
      <c r="E447" s="5" t="n">
        <v>45557</v>
      </c>
      <c r="F447" t="inlineStr"/>
      <c r="G447" s="6">
        <f>HYPERLINK("https://www.kleinanzeigen.de/s-anzeige/jp-australia-carbon-glass-paddle-3-teilig-sup/2870511982-230-6441", "Link")</f>
        <v/>
      </c>
      <c r="H447" s="6">
        <f>HYPERLINK("C:\Projects\Kleinanzeigen-Scraper\offer_images\2870511982", "Link")</f>
        <v/>
      </c>
      <c r="I447" t="inlineStr">
        <is>
          <t>Sebastian</t>
        </is>
      </c>
      <c r="J447" s="6">
        <f>HYPERLINK("https://www.kleinanzeigen.de/s-bestandsliste.html?userId=39776053", "Link")</f>
        <v/>
      </c>
      <c r="K447" s="7" t="n">
        <v>45557.56077546296</v>
      </c>
      <c r="L447" s="3" t="inlineStr">
        <is>
          <t>0.91</t>
        </is>
      </c>
      <c r="M447" t="inlineStr">
        <is>
          <t>München</t>
        </is>
      </c>
    </row>
    <row r="448">
      <c r="A448" t="inlineStr">
        <is>
          <t>Fanatic Aero HA 1750 Set</t>
        </is>
      </c>
      <c r="B448" s="4" t="n">
        <v>480</v>
      </c>
      <c r="C448" t="inlineStr"/>
      <c r="D448" t="inlineStr">
        <is>
          <t>24360 Schleswig-Holstein - Barkelsby</t>
        </is>
      </c>
      <c r="E448" s="5" t="n">
        <v>45557</v>
      </c>
      <c r="F448" t="inlineStr"/>
      <c r="G448" s="6">
        <f>HYPERLINK("https://www.kleinanzeigen.de/s-anzeige/fanatic-aero-ha-1750-set/2870423445-230-511", "Link")</f>
        <v/>
      </c>
      <c r="H448" s="6">
        <f>HYPERLINK("C:\Projects\Kleinanzeigen-Scraper\offer_images\2870423445", "Link")</f>
        <v/>
      </c>
      <c r="I448" t="inlineStr">
        <is>
          <t>FF</t>
        </is>
      </c>
      <c r="J448" s="6">
        <f>HYPERLINK("https://www.kleinanzeigen.de/s-bestandsliste.html?userId=14200330", "Link")</f>
        <v/>
      </c>
      <c r="K448" s="7" t="n">
        <v>45557.5603125</v>
      </c>
      <c r="L448" s="3" t="inlineStr">
        <is>
          <t>441.65</t>
        </is>
      </c>
      <c r="M448" t="inlineStr">
        <is>
          <t>Köln</t>
        </is>
      </c>
    </row>
    <row r="449">
      <c r="A449" t="inlineStr">
        <is>
          <t>Staffelei Buche neu. Marke Goya</t>
        </is>
      </c>
      <c r="B449" s="4" t="n">
        <v>20</v>
      </c>
      <c r="C449" t="inlineStr"/>
      <c r="D449" t="inlineStr">
        <is>
          <t>20253 Eimsbüttel - Hamburg Eimsbüttel (Stadtteil)</t>
        </is>
      </c>
      <c r="E449" s="5" t="n">
        <v>45557</v>
      </c>
      <c r="F449" t="inlineStr"/>
      <c r="G449" s="6">
        <f>HYPERLINK("https://www.kleinanzeigen.de/s-anzeige/staffelei-buche-neu-marke-goya/2870357002-282-9430", "Link")</f>
        <v/>
      </c>
      <c r="H449" s="6">
        <f>HYPERLINK("C:\Projects\Kleinanzeigen-Scraper\offer_images\2870357002", "Link")</f>
        <v/>
      </c>
      <c r="I449" t="inlineStr">
        <is>
          <t>Eva Krüger</t>
        </is>
      </c>
      <c r="J449" s="6">
        <f>HYPERLINK("https://www.kleinanzeigen.de/s-bestandsliste.html?userId=6178454", "Link")</f>
        <v/>
      </c>
      <c r="K449" s="7" t="n">
        <v>45557.56028935185</v>
      </c>
      <c r="L449" s="3" t="inlineStr">
        <is>
          <t>357.98</t>
        </is>
      </c>
      <c r="M449" t="inlineStr">
        <is>
          <t>Köln</t>
        </is>
      </c>
    </row>
    <row r="450">
      <c r="A450" t="inlineStr">
        <is>
          <t>Fanatic Aero HA 2000 Set</t>
        </is>
      </c>
      <c r="B450" s="4" t="n">
        <v>200</v>
      </c>
      <c r="C450" t="inlineStr">
        <is>
          <t>VB</t>
        </is>
      </c>
      <c r="D450" t="inlineStr">
        <is>
          <t>24360 Schleswig-Holstein - Barkelsby</t>
        </is>
      </c>
      <c r="E450" s="5" t="n">
        <v>45557</v>
      </c>
      <c r="F450" t="inlineStr">
        <is>
          <t>Sold</t>
        </is>
      </c>
      <c r="G450" s="6">
        <f>HYPERLINK("https://www.kleinanzeigen.de/s-anzeige/fanatic-aero-ha-2000-set/2870407103-230-511", "Link")</f>
        <v/>
      </c>
      <c r="H450" s="6">
        <f>HYPERLINK("C:\Projects\Kleinanzeigen-Scraper\offer_images\2870407103", "Link")</f>
        <v/>
      </c>
      <c r="I450" t="inlineStr">
        <is>
          <t>FF</t>
        </is>
      </c>
      <c r="J450" s="6">
        <f>HYPERLINK("https://www.kleinanzeigen.de/s-bestandsliste.html?userId=14200330", "Link")</f>
        <v/>
      </c>
      <c r="K450" s="7" t="n">
        <v>45557.56006944444</v>
      </c>
      <c r="L450" s="3" t="inlineStr">
        <is>
          <t>441.65</t>
        </is>
      </c>
      <c r="M450" t="inlineStr">
        <is>
          <t>Köln</t>
        </is>
      </c>
    </row>
    <row r="451">
      <c r="A451" t="inlineStr">
        <is>
          <t>Modellbau Tamiya, North American P-51B Mustang, 61042, NEU in OVP</t>
        </is>
      </c>
      <c r="B451" s="4" t="n">
        <v>25</v>
      </c>
      <c r="C451" t="inlineStr"/>
      <c r="D451" t="inlineStr">
        <is>
          <t>84069 Bayern - Schierling</t>
        </is>
      </c>
      <c r="E451" s="5" t="n">
        <v>45556</v>
      </c>
      <c r="F451" t="inlineStr"/>
      <c r="G451" s="6">
        <f>HYPERLINK("https://www.kleinanzeigen.de/s-anzeige/modellbau-tamiya-north-american-p-51b-mustang-61042-neu-in-ovp/2870215369-249-7666", "Link")</f>
        <v/>
      </c>
      <c r="H451" s="6">
        <f>HYPERLINK("C:\Projects\Kleinanzeigen-Scraper\offer_images\2870215369", "Link")</f>
        <v/>
      </c>
      <c r="I451" t="inlineStr">
        <is>
          <t>DK</t>
        </is>
      </c>
      <c r="J451" s="6">
        <f>HYPERLINK("https://www.kleinanzeigen.de/s-bestandsliste.html?userId=80697034", "Link")</f>
        <v/>
      </c>
      <c r="K451" s="7" t="n">
        <v>45557.5600462963</v>
      </c>
      <c r="L451" s="3" t="inlineStr">
        <is>
          <t>88.61</t>
        </is>
      </c>
      <c r="M451" t="inlineStr">
        <is>
          <t>München</t>
        </is>
      </c>
    </row>
    <row r="452">
      <c r="A452" t="inlineStr">
        <is>
          <t>Skitasche North Spirit</t>
        </is>
      </c>
      <c r="B452" s="4" t="n">
        <v>10</v>
      </c>
      <c r="C452" t="inlineStr">
        <is>
          <t>VB</t>
        </is>
      </c>
      <c r="D452" t="inlineStr">
        <is>
          <t>82131 Bayern - Gauting</t>
        </is>
      </c>
      <c r="E452" s="5" t="n">
        <v>45557</v>
      </c>
      <c r="F452" t="inlineStr"/>
      <c r="G452" s="6">
        <f>HYPERLINK("https://www.kleinanzeigen.de/s-anzeige/skitasche-north-spirit/2870539992-230-6334", "Link")</f>
        <v/>
      </c>
      <c r="H452" s="6">
        <f>HYPERLINK("C:\Projects\Kleinanzeigen-Scraper\offer_images\2870539992", "Link")</f>
        <v/>
      </c>
      <c r="I452" t="inlineStr">
        <is>
          <t>AndreaGauting</t>
        </is>
      </c>
      <c r="J452" s="6">
        <f>HYPERLINK("https://www.kleinanzeigen.de/s-bestandsliste.html?userId=139017162", "Link")</f>
        <v/>
      </c>
      <c r="K452" s="7" t="n">
        <v>45557.55995370371</v>
      </c>
      <c r="L452" s="3" t="inlineStr">
        <is>
          <t>16.76</t>
        </is>
      </c>
      <c r="M452" t="inlineStr">
        <is>
          <t>München</t>
        </is>
      </c>
    </row>
    <row r="453">
      <c r="A453" t="inlineStr">
        <is>
          <t>Surfboard Tabou Rocket 150l zu Deko-Zwecken</t>
        </is>
      </c>
      <c r="B453" s="4" t="inlineStr"/>
      <c r="C453" t="inlineStr">
        <is>
          <t>VB</t>
        </is>
      </c>
      <c r="D453" t="inlineStr">
        <is>
          <t>23626 Kreis Ostholstein - Ratekau</t>
        </is>
      </c>
      <c r="E453" s="5" t="n">
        <v>45556</v>
      </c>
      <c r="F453" t="inlineStr">
        <is>
          <t>Sold</t>
        </is>
      </c>
      <c r="G453" s="6">
        <f>HYPERLINK("https://www.kleinanzeigen.de/s-anzeige/surfboard-tabou-rocket-150l-zu-deko-zwecken/2869958436-230-439", "Link")</f>
        <v/>
      </c>
      <c r="H453" s="6">
        <f>HYPERLINK("C:\Projects\Kleinanzeigen-Scraper\offer_images\2869958436", "Link")</f>
        <v/>
      </c>
      <c r="I453" t="inlineStr">
        <is>
          <t>C. Warncke</t>
        </is>
      </c>
      <c r="J453" s="6">
        <f>HYPERLINK("https://www.kleinanzeigen.de/s-bestandsliste.html?userId=21800478", "Link")</f>
        <v/>
      </c>
      <c r="K453" s="7" t="n">
        <v>45557.55844907407</v>
      </c>
      <c r="L453" s="3" t="inlineStr">
        <is>
          <t>421.31</t>
        </is>
      </c>
      <c r="M453" t="inlineStr">
        <is>
          <t>Köln</t>
        </is>
      </c>
    </row>
    <row r="454">
      <c r="A454" t="inlineStr">
        <is>
          <t>SUP Fanatic Diamond Air inkl. Paddle &amp; Zubehör</t>
        </is>
      </c>
      <c r="B454" s="4" t="n">
        <v>550</v>
      </c>
      <c r="C454" t="inlineStr">
        <is>
          <t>VB</t>
        </is>
      </c>
      <c r="D454" t="inlineStr">
        <is>
          <t>80805 München - Schwabing-Freimann</t>
        </is>
      </c>
      <c r="E454" s="5" t="n">
        <v>45536</v>
      </c>
      <c r="F454" t="inlineStr">
        <is>
          <t>Sold</t>
        </is>
      </c>
      <c r="G454" s="6">
        <f>HYPERLINK("https://www.kleinanzeigen.de/s-anzeige/sup-fanatic-diamond-air-inkl-paddle-zubehoer/2851954075-187-6466", "Link")</f>
        <v/>
      </c>
      <c r="H454" s="6">
        <f>HYPERLINK("C:\Projects\Kleinanzeigen-Scraper\offer_images\2851954075", "Link")</f>
        <v/>
      </c>
      <c r="I454" t="inlineStr">
        <is>
          <t>Caro</t>
        </is>
      </c>
      <c r="J454" s="6">
        <f>HYPERLINK("https://www.kleinanzeigen.de/s-bestandsliste.html?userId=7712597", "Link")</f>
        <v/>
      </c>
      <c r="K454" s="7" t="n">
        <v>45557.55824074074</v>
      </c>
      <c r="L454" s="3" t="inlineStr">
        <is>
          <t>5.28</t>
        </is>
      </c>
      <c r="M454" t="inlineStr">
        <is>
          <t>München</t>
        </is>
      </c>
    </row>
    <row r="455">
      <c r="A455" t="inlineStr">
        <is>
          <t>Fliegenfischen Watschuhe Simms Größe 37 Filzsohle</t>
        </is>
      </c>
      <c r="B455" s="4" t="n">
        <v>99</v>
      </c>
      <c r="C455" t="inlineStr">
        <is>
          <t>VB</t>
        </is>
      </c>
      <c r="D455" t="inlineStr">
        <is>
          <t>59846 Nordrhein-Westfalen - Sundern (Sauerland)</t>
        </is>
      </c>
      <c r="E455" s="5" t="n">
        <v>45557</v>
      </c>
      <c r="F455" t="inlineStr"/>
      <c r="G455" s="6">
        <f>HYPERLINK("https://www.kleinanzeigen.de/s-anzeige/fliegenfischen-watschuhe-simms-groesse-37-filzsohle/2870643948-230-1413", "Link")</f>
        <v/>
      </c>
      <c r="H455" s="6">
        <f>HYPERLINK("C:\Projects\Kleinanzeigen-Scraper\offer_images\2870643948", "Link")</f>
        <v/>
      </c>
      <c r="I455" t="inlineStr">
        <is>
          <t>Leif vom Lehn</t>
        </is>
      </c>
      <c r="J455" s="6">
        <f>HYPERLINK("https://www.kleinanzeigen.de/s-bestandsliste.html?userId=10147905", "Link")</f>
        <v/>
      </c>
      <c r="K455" s="7" t="n">
        <v>45557.55738425926</v>
      </c>
      <c r="L455" s="3" t="inlineStr">
        <is>
          <t>82.38</t>
        </is>
      </c>
      <c r="M455" t="inlineStr">
        <is>
          <t>Köln</t>
        </is>
      </c>
    </row>
    <row r="456">
      <c r="A456" t="inlineStr">
        <is>
          <t>I RIG aufblasbares Segel ( Duotone) Windsurfen Größe L</t>
        </is>
      </c>
      <c r="B456" s="4" t="n">
        <v>240</v>
      </c>
      <c r="C456" t="inlineStr"/>
      <c r="D456" t="inlineStr">
        <is>
          <t>59557 Nordrhein-Westfalen - Lippstadt</t>
        </is>
      </c>
      <c r="E456" s="5" t="n">
        <v>45557</v>
      </c>
      <c r="F456" t="inlineStr">
        <is>
          <t>Sold</t>
        </is>
      </c>
      <c r="G456" s="6">
        <f>HYPERLINK("https://www.kleinanzeigen.de/s-anzeige/i-rig-aufblasbares-segel-duotone-windsurfen-groesse-l/2870352884-230-1846", "Link")</f>
        <v/>
      </c>
      <c r="H456" s="6">
        <f>HYPERLINK("C:\Projects\Kleinanzeigen-Scraper\offer_images\2870352884", "Link")</f>
        <v/>
      </c>
      <c r="I456" t="inlineStr">
        <is>
          <t>Claudia</t>
        </is>
      </c>
      <c r="J456" s="6">
        <f>HYPERLINK("https://www.kleinanzeigen.de/s-bestandsliste.html?userId=17881374", "Link")</f>
        <v/>
      </c>
      <c r="K456" s="7" t="n">
        <v>45557.55715277778</v>
      </c>
      <c r="L456" s="3" t="inlineStr">
        <is>
          <t>125.56</t>
        </is>
      </c>
      <c r="M456" t="inlineStr">
        <is>
          <t>Köln</t>
        </is>
      </c>
    </row>
    <row r="457">
      <c r="A457" t="inlineStr">
        <is>
          <t>Antik Lithographie North Gate Yarmouth J. P. Neale Gemälde Bild</t>
        </is>
      </c>
      <c r="B457" s="4" t="n">
        <v>49</v>
      </c>
      <c r="C457" t="inlineStr">
        <is>
          <t>VB</t>
        </is>
      </c>
      <c r="D457" t="inlineStr">
        <is>
          <t>58119 Nordrhein-Westfalen - Hagen</t>
        </is>
      </c>
      <c r="E457" s="5" t="n">
        <v>45555</v>
      </c>
      <c r="F457" t="inlineStr"/>
      <c r="G457" s="6">
        <f>HYPERLINK("https://www.kleinanzeigen.de/s-anzeige/antik-lithographie-north-gate-yarmouth-j-p-neale-gemaelde-bild/2342707014-240-2016", "Link")</f>
        <v/>
      </c>
      <c r="H457" s="6">
        <f>HYPERLINK("C:\Projects\Kleinanzeigen-Scraper\offer_images\2342707014", "Link")</f>
        <v/>
      </c>
      <c r="I457" t="inlineStr">
        <is>
          <t>No user name</t>
        </is>
      </c>
      <c r="J457" s="6">
        <f>HYPERLINK("https://www.kleinanzeigen.deNo user link", "Link")</f>
        <v/>
      </c>
      <c r="K457" s="7" t="n">
        <v>45557.55692129629</v>
      </c>
      <c r="L457" s="3" t="inlineStr">
        <is>
          <t>62.28</t>
        </is>
      </c>
      <c r="M457" t="inlineStr">
        <is>
          <t>Köln</t>
        </is>
      </c>
    </row>
    <row r="458">
      <c r="A458" t="inlineStr">
        <is>
          <t>Neue NAISH TORQUE 2 oder Tausch</t>
        </is>
      </c>
      <c r="B458" s="4" t="n">
        <v>330</v>
      </c>
      <c r="C458" t="inlineStr">
        <is>
          <t>VB</t>
        </is>
      </c>
      <c r="D458" t="inlineStr">
        <is>
          <t>22399 Wandsbek - Hamburg Hummelsbüttel</t>
        </is>
      </c>
      <c r="E458" s="5" t="n">
        <v>45555</v>
      </c>
      <c r="F458" t="inlineStr">
        <is>
          <t>Sold</t>
        </is>
      </c>
      <c r="G458" s="6">
        <f>HYPERLINK("https://www.kleinanzeigen.de/s-anzeige/neue-naish-torque-2-oder-tausch/2868912211-230-9472", "Link")</f>
        <v/>
      </c>
      <c r="H458" s="6">
        <f>HYPERLINK("C:\Projects\Kleinanzeigen-Scraper\offer_images\2868912211", "Link")</f>
        <v/>
      </c>
      <c r="I458" t="inlineStr">
        <is>
          <t>R. Böhm</t>
        </is>
      </c>
      <c r="J458" s="6">
        <f>HYPERLINK("https://www.kleinanzeigen.de/s-bestandsliste.html?userId=140565602", "Link")</f>
        <v/>
      </c>
      <c r="K458" s="7" t="n">
        <v>45557.55680555556</v>
      </c>
      <c r="L458" s="3" t="inlineStr">
        <is>
          <t>369.80</t>
        </is>
      </c>
      <c r="M458" t="inlineStr">
        <is>
          <t>Köln</t>
        </is>
      </c>
    </row>
    <row r="459">
      <c r="A459" t="inlineStr">
        <is>
          <t>Gibson 1000 Puzzle / A Night of Northern Lights / Marcello Corti</t>
        </is>
      </c>
      <c r="B459" s="4" t="n">
        <v>10</v>
      </c>
      <c r="C459" t="inlineStr"/>
      <c r="D459" t="inlineStr">
        <is>
          <t>74354 Baden-Württemberg - Besigheim</t>
        </is>
      </c>
      <c r="E459" s="5" t="n">
        <v>45557</v>
      </c>
      <c r="F459" t="inlineStr">
        <is>
          <t>Sold</t>
        </is>
      </c>
      <c r="G459" s="6">
        <f>HYPERLINK("https://www.kleinanzeigen.de/s-anzeige/gibson-1000-puzzle-a-night-of-northern-lights-marcello-corti/2870318757-242-8675", "Link")</f>
        <v/>
      </c>
      <c r="H459" s="6">
        <f>HYPERLINK("C:\Projects\Kleinanzeigen-Scraper\offer_images\2870318757", "Link")</f>
        <v/>
      </c>
      <c r="I459" t="inlineStr">
        <is>
          <t>S.Lorenz</t>
        </is>
      </c>
      <c r="J459" s="6">
        <f>HYPERLINK("https://www.kleinanzeigen.de/s-bestandsliste.html?userId=16911056", "Link")</f>
        <v/>
      </c>
      <c r="K459" s="7" t="n">
        <v>45557.55627314815</v>
      </c>
      <c r="L459" s="3" t="inlineStr">
        <is>
          <t>37.99</t>
        </is>
      </c>
      <c r="M459" t="inlineStr">
        <is>
          <t>Böblingen</t>
        </is>
      </c>
    </row>
    <row r="460">
      <c r="A460" t="inlineStr">
        <is>
          <t>GA Gaastra Hybrid Windsurf foil Tabou</t>
        </is>
      </c>
      <c r="B460" s="4" t="n">
        <v>400</v>
      </c>
      <c r="C460" t="inlineStr">
        <is>
          <t>VB</t>
        </is>
      </c>
      <c r="D460" t="inlineStr">
        <is>
          <t>47239 Duisburg - Rumeln-Kaldenhausen</t>
        </is>
      </c>
      <c r="E460" s="5" t="n">
        <v>45557</v>
      </c>
      <c r="F460" t="inlineStr">
        <is>
          <t>Sold</t>
        </is>
      </c>
      <c r="G460" s="6">
        <f>HYPERLINK("https://www.kleinanzeigen.de/s-anzeige/ga-gaastra-hybrid-windsurf-foil-tabou/2870417468-230-2137", "Link")</f>
        <v/>
      </c>
      <c r="H460" s="6">
        <f>HYPERLINK("C:\Projects\Kleinanzeigen-Scraper\offer_images\2870417468", "Link")</f>
        <v/>
      </c>
      <c r="I460" t="inlineStr">
        <is>
          <t>MB</t>
        </is>
      </c>
      <c r="J460" s="6">
        <f>HYPERLINK("https://www.kleinanzeigen.de/s-bestandsliste.html?userId=1864376", "Link")</f>
        <v/>
      </c>
      <c r="K460" s="7" t="n">
        <v>45557.55614583333</v>
      </c>
      <c r="L460" s="3" t="inlineStr">
        <is>
          <t>54.92</t>
        </is>
      </c>
      <c r="M460" t="inlineStr">
        <is>
          <t>Köln</t>
        </is>
      </c>
    </row>
    <row r="461">
      <c r="A461" t="inlineStr">
        <is>
          <t>North Navigator Bar 2023 45-50</t>
        </is>
      </c>
      <c r="B461" s="4" t="n">
        <v>365</v>
      </c>
      <c r="C461" t="inlineStr"/>
      <c r="D461" t="inlineStr">
        <is>
          <t>81735 München - Ramersdorf-Perlach</t>
        </is>
      </c>
      <c r="E461" s="5" t="n">
        <v>45556</v>
      </c>
      <c r="F461" t="inlineStr"/>
      <c r="G461" s="6">
        <f>HYPERLINK("https://www.kleinanzeigen.de/s-anzeige/north-navigator-bar-2023-45-50/2869572290-230-6472", "Link")</f>
        <v/>
      </c>
      <c r="H461" s="6">
        <f>HYPERLINK("C:\Projects\Kleinanzeigen-Scraper\offer_images\2869572290", "Link")</f>
        <v/>
      </c>
      <c r="I461" t="inlineStr">
        <is>
          <t>Victoria</t>
        </is>
      </c>
      <c r="J461" s="6">
        <f>HYPERLINK("https://www.kleinanzeigen.de/s-bestandsliste.html?userId=34720163", "Link")</f>
        <v/>
      </c>
      <c r="K461" s="7" t="n">
        <v>45557.55607638889</v>
      </c>
      <c r="L461" s="3" t="inlineStr">
        <is>
          <t>6.23</t>
        </is>
      </c>
      <c r="M461" t="inlineStr">
        <is>
          <t>München</t>
        </is>
      </c>
    </row>
    <row r="462">
      <c r="A462" t="inlineStr">
        <is>
          <t>Starboard IQ Foil Race mit 4 Flügeln - Windfoil Windsurffoil</t>
        </is>
      </c>
      <c r="B462" s="4" t="n">
        <v>1</v>
      </c>
      <c r="C462" t="inlineStr"/>
      <c r="D462" t="inlineStr">
        <is>
          <t>65239 Hessen - Hochheim am Main</t>
        </is>
      </c>
      <c r="E462" s="5" t="n">
        <v>45557</v>
      </c>
      <c r="F462" t="inlineStr"/>
      <c r="G462" s="6">
        <f>HYPERLINK("https://www.kleinanzeigen.de/s-anzeige/starboard-iq-foil-race-mit-4-fluegeln-windfoil-windsurffoil/2870480396-230-4445", "Link")</f>
        <v/>
      </c>
      <c r="H462" s="6">
        <f>HYPERLINK("C:\Projects\Kleinanzeigen-Scraper\offer_images\2870480396", "Link")</f>
        <v/>
      </c>
      <c r="I462" t="inlineStr">
        <is>
          <t>Regin</t>
        </is>
      </c>
      <c r="J462" s="6">
        <f>HYPERLINK("https://www.kleinanzeigen.de/s-bestandsliste.html?userId=7308194", "Link")</f>
        <v/>
      </c>
      <c r="K462" s="7" t="n">
        <v>45557.55559027778</v>
      </c>
      <c r="L462" s="3" t="inlineStr">
        <is>
          <t>112.87</t>
        </is>
      </c>
      <c r="M462" t="inlineStr">
        <is>
          <t>Karlsruhe</t>
        </is>
      </c>
    </row>
    <row r="463">
      <c r="A463" t="inlineStr">
        <is>
          <t>Stand-up Paddle (SUP) von Fanatic (unbenutzt)</t>
        </is>
      </c>
      <c r="B463" s="4" t="n">
        <v>250</v>
      </c>
      <c r="C463" t="inlineStr">
        <is>
          <t>VB</t>
        </is>
      </c>
      <c r="D463" t="inlineStr">
        <is>
          <t>55124 Rheinland-Pfalz - Mainz</t>
        </is>
      </c>
      <c r="E463" s="5" t="n">
        <v>45557</v>
      </c>
      <c r="F463" t="inlineStr">
        <is>
          <t>Sold</t>
        </is>
      </c>
      <c r="G463" s="6">
        <f>HYPERLINK("https://www.kleinanzeigen.de/s-anzeige/stand-up-paddle-sup-von-fanatic-unbenutzt-/2870225990-230-5318", "Link")</f>
        <v/>
      </c>
      <c r="H463" s="6">
        <f>HYPERLINK("C:\Projects\Kleinanzeigen-Scraper\offer_images\2870225990", "Link")</f>
        <v/>
      </c>
      <c r="I463" t="inlineStr">
        <is>
          <t>Nora</t>
        </is>
      </c>
      <c r="J463" s="6">
        <f>HYPERLINK("https://www.kleinanzeigen.de/s-bestandsliste.html?userId=26778723", "Link")</f>
        <v/>
      </c>
      <c r="K463" s="7" t="n">
        <v>45557.55530092592</v>
      </c>
      <c r="L463" s="3" t="inlineStr">
        <is>
          <t>111.63</t>
        </is>
      </c>
      <c r="M463" t="inlineStr">
        <is>
          <t>Karlsruhe</t>
        </is>
      </c>
    </row>
    <row r="464">
      <c r="A464" t="inlineStr">
        <is>
          <t>Fliegenfischen, SIMMS Waistpack</t>
        </is>
      </c>
      <c r="B464" s="4" t="n">
        <v>60</v>
      </c>
      <c r="C464" t="inlineStr">
        <is>
          <t>VB</t>
        </is>
      </c>
      <c r="D464" t="inlineStr">
        <is>
          <t>88480 Baden-Württemberg - Achstetten</t>
        </is>
      </c>
      <c r="E464" s="5" t="n">
        <v>45557</v>
      </c>
      <c r="F464" t="inlineStr">
        <is>
          <t>Sold</t>
        </is>
      </c>
      <c r="G464" s="6">
        <f>HYPERLINK("https://www.kleinanzeigen.de/s-anzeige/fliegenfischen-simms-waistpack/2870638797-230-8551", "Link")</f>
        <v/>
      </c>
      <c r="H464" s="6">
        <f>HYPERLINK("C:\Projects\Kleinanzeigen-Scraper\offer_images\2870638797", "Link")</f>
        <v/>
      </c>
      <c r="I464" t="inlineStr">
        <is>
          <t>Damir</t>
        </is>
      </c>
      <c r="J464" s="6">
        <f>HYPERLINK("https://www.kleinanzeigen.de/s-bestandsliste.html?userId=24977130", "Link")</f>
        <v/>
      </c>
      <c r="K464" s="7" t="n">
        <v>45557.55503472222</v>
      </c>
      <c r="L464" s="3" t="inlineStr">
        <is>
          <t>81.73</t>
        </is>
      </c>
      <c r="M464" t="inlineStr">
        <is>
          <t>Böblingen</t>
        </is>
      </c>
    </row>
    <row r="465">
      <c r="A465" t="inlineStr">
        <is>
          <t>Playmobil Windsurfer 3584 m. Motor</t>
        </is>
      </c>
      <c r="B465" s="4" t="n">
        <v>20</v>
      </c>
      <c r="C465" t="inlineStr"/>
      <c r="D465" t="inlineStr">
        <is>
          <t>35043 Hessen - Marburg</t>
        </is>
      </c>
      <c r="E465" s="5" t="n">
        <v>45556</v>
      </c>
      <c r="F465" t="inlineStr"/>
      <c r="G465" s="6">
        <f>HYPERLINK("https://www.kleinanzeigen.de/s-anzeige/playmobil-windsurfer-3584-m-motor/2870208206-23-4831", "Link")</f>
        <v/>
      </c>
      <c r="H465" s="6">
        <f>HYPERLINK("C:\Projects\Kleinanzeigen-Scraper\offer_images\2870208206", "Link")</f>
        <v/>
      </c>
      <c r="I465" t="inlineStr">
        <is>
          <t>Katinka</t>
        </is>
      </c>
      <c r="J465" s="6">
        <f>HYPERLINK("https://www.kleinanzeigen.de/s-bestandsliste.html?userId=13527667", "Link")</f>
        <v/>
      </c>
      <c r="K465" s="7" t="n">
        <v>45557.55496527778</v>
      </c>
      <c r="L465" s="3" t="inlineStr">
        <is>
          <t>131.56</t>
        </is>
      </c>
      <c r="M465" t="inlineStr">
        <is>
          <t>Köln</t>
        </is>
      </c>
    </row>
    <row r="466">
      <c r="A466" t="inlineStr">
        <is>
          <t>Modellbau Tamiya, North American P-51D Mustang, 89534, NEU in OVP</t>
        </is>
      </c>
      <c r="B466" s="4" t="n">
        <v>25</v>
      </c>
      <c r="C466" t="inlineStr"/>
      <c r="D466" t="inlineStr">
        <is>
          <t>84069 Bayern - Schierling</t>
        </is>
      </c>
      <c r="E466" s="5" t="n">
        <v>45557</v>
      </c>
      <c r="F466" t="inlineStr"/>
      <c r="G466" s="6">
        <f>HYPERLINK("https://www.kleinanzeigen.de/s-anzeige/modellbau-tamiya-north-american-p-51d-mustang-89534-neu-in-ovp/2870221402-249-7666", "Link")</f>
        <v/>
      </c>
      <c r="H466" s="6">
        <f>HYPERLINK("C:\Projects\Kleinanzeigen-Scraper\offer_images\2870221402", "Link")</f>
        <v/>
      </c>
      <c r="I466" t="inlineStr">
        <is>
          <t>DK</t>
        </is>
      </c>
      <c r="J466" s="6">
        <f>HYPERLINK("https://www.kleinanzeigen.de/s-bestandsliste.html?userId=80697034", "Link")</f>
        <v/>
      </c>
      <c r="K466" s="7" t="n">
        <v>45557.55494212963</v>
      </c>
      <c r="L466" s="3" t="inlineStr">
        <is>
          <t>88.61</t>
        </is>
      </c>
      <c r="M466" t="inlineStr">
        <is>
          <t>München</t>
        </is>
      </c>
    </row>
    <row r="467">
      <c r="A467" t="inlineStr">
        <is>
          <t>North Rebel | jetzt Duotone | 11 qm | wenig genutzt</t>
        </is>
      </c>
      <c r="B467" s="4" t="n">
        <v>370</v>
      </c>
      <c r="C467" t="inlineStr"/>
      <c r="D467" t="inlineStr">
        <is>
          <t>22147 Wandsbek - Hamburg Rahlstedt</t>
        </is>
      </c>
      <c r="E467" s="5" t="n">
        <v>45556</v>
      </c>
      <c r="F467" t="inlineStr"/>
      <c r="G467" s="6">
        <f>HYPERLINK("https://www.kleinanzeigen.de/s-anzeige/north-rebel-jetzt-duotone-11-qm-wenig-genutzt/2869317388-230-9458", "Link")</f>
        <v/>
      </c>
      <c r="H467" s="6">
        <f>HYPERLINK("C:\Projects\Kleinanzeigen-Scraper\offer_images\2869317388", "Link")</f>
        <v/>
      </c>
      <c r="I467" t="inlineStr">
        <is>
          <t>jakob</t>
        </is>
      </c>
      <c r="J467" s="6">
        <f>HYPERLINK("https://www.kleinanzeigen.de/s-bestandsliste.html?userId=39150924", "Link")</f>
        <v/>
      </c>
      <c r="K467" s="7" t="n">
        <v>45557.55471064815</v>
      </c>
      <c r="L467" s="3" t="inlineStr">
        <is>
          <t>367.83</t>
        </is>
      </c>
      <c r="M467" t="inlineStr">
        <is>
          <t>Köln</t>
        </is>
      </c>
    </row>
    <row r="468">
      <c r="A468" t="inlineStr">
        <is>
          <t>Drybag Packsack von Starboard</t>
        </is>
      </c>
      <c r="B468" s="4" t="n">
        <v>13</v>
      </c>
      <c r="C468" t="inlineStr">
        <is>
          <t>VB</t>
        </is>
      </c>
      <c r="D468" t="inlineStr">
        <is>
          <t>90482 Nürnberg (Mittelfr) - Oststadt</t>
        </is>
      </c>
      <c r="E468" s="5" t="n">
        <v>45557</v>
      </c>
      <c r="F468" t="inlineStr">
        <is>
          <t>Sold</t>
        </is>
      </c>
      <c r="G468" s="6">
        <f>HYPERLINK("https://www.kleinanzeigen.de/s-anzeige/drybag-packsack-von-starboard/2870496287-230-6819", "Link")</f>
        <v/>
      </c>
      <c r="H468" s="6">
        <f>HYPERLINK("C:\Projects\Kleinanzeigen-Scraper\offer_images\2870496287", "Link")</f>
        <v/>
      </c>
      <c r="I468" t="inlineStr">
        <is>
          <t>Lisa Czyron</t>
        </is>
      </c>
      <c r="J468" s="6">
        <f>HYPERLINK("https://www.kleinanzeigen.de/s-bestandsliste.html?userId=38775736", "Link")</f>
        <v/>
      </c>
      <c r="K468" s="7" t="n">
        <v>45557.5546875</v>
      </c>
      <c r="L468" s="3" t="inlineStr">
        <is>
          <t>151.30</t>
        </is>
      </c>
      <c r="M468" t="inlineStr">
        <is>
          <t>München</t>
        </is>
      </c>
    </row>
    <row r="469">
      <c r="A469" t="inlineStr">
        <is>
          <t>Fanatic Fuselage AL 78</t>
        </is>
      </c>
      <c r="B469" s="4" t="n">
        <v>100</v>
      </c>
      <c r="C469" t="inlineStr">
        <is>
          <t>VB</t>
        </is>
      </c>
      <c r="D469" t="inlineStr">
        <is>
          <t>24360 Schleswig-Holstein - Barkelsby</t>
        </is>
      </c>
      <c r="E469" s="5" t="n">
        <v>45557</v>
      </c>
      <c r="F469" t="inlineStr">
        <is>
          <t>Sold</t>
        </is>
      </c>
      <c r="G469" s="6">
        <f>HYPERLINK("https://www.kleinanzeigen.de/s-anzeige/fanatic-fuselage-al-78/2870433383-230-511", "Link")</f>
        <v/>
      </c>
      <c r="H469" s="6">
        <f>HYPERLINK("C:\Projects\Kleinanzeigen-Scraper\offer_images\2870433383", "Link")</f>
        <v/>
      </c>
      <c r="I469" t="inlineStr">
        <is>
          <t>FF</t>
        </is>
      </c>
      <c r="J469" s="6">
        <f>HYPERLINK("https://www.kleinanzeigen.de/s-bestandsliste.html?userId=14200330", "Link")</f>
        <v/>
      </c>
      <c r="K469" s="7" t="n">
        <v>45557.55424768518</v>
      </c>
      <c r="L469" s="3" t="inlineStr">
        <is>
          <t>441.65</t>
        </is>
      </c>
      <c r="M469" t="inlineStr">
        <is>
          <t>Köln</t>
        </is>
      </c>
    </row>
    <row r="470">
      <c r="A470" t="inlineStr">
        <is>
          <t>Standuhr / Pendeluhr Unikat ☆Wappen Simmern☆ Quarzuhrwerk, Holz</t>
        </is>
      </c>
      <c r="B470" s="4" t="n">
        <v>80</v>
      </c>
      <c r="C470" t="inlineStr"/>
      <c r="D470" t="inlineStr">
        <is>
          <t>55469 Rheinland-Pfalz - Simmern</t>
        </is>
      </c>
      <c r="E470" s="5" t="n">
        <v>45557</v>
      </c>
      <c r="F470" t="inlineStr">
        <is>
          <t>Sold</t>
        </is>
      </c>
      <c r="G470" s="6">
        <f>HYPERLINK("https://www.kleinanzeigen.de/s-anzeige/standuhr-pendeluhr-unikat-wappen-simmern-quarzuhrwerk-holz/2870623757-240-20854", "Link")</f>
        <v/>
      </c>
      <c r="H470" s="6">
        <f>HYPERLINK("C:\Projects\Kleinanzeigen-Scraper\offer_images\2870623757", "Link")</f>
        <v/>
      </c>
      <c r="I470" t="inlineStr">
        <is>
          <t>Jürgen</t>
        </is>
      </c>
      <c r="J470" s="6">
        <f>HYPERLINK("https://www.kleinanzeigen.de/s-bestandsliste.html?userId=141593145", "Link")</f>
        <v/>
      </c>
      <c r="K470" s="7" t="n">
        <v>45557.55388888889</v>
      </c>
      <c r="L470" s="3" t="inlineStr">
        <is>
          <t>113.56</t>
        </is>
      </c>
      <c r="M470" t="inlineStr">
        <is>
          <t>Köln</t>
        </is>
      </c>
    </row>
    <row r="471">
      <c r="A471" t="inlineStr">
        <is>
          <t>Starboard Foil Freeride Starlite Carbon 150 2023</t>
        </is>
      </c>
      <c r="B471" s="4" t="n">
        <v>800</v>
      </c>
      <c r="C471" t="inlineStr">
        <is>
          <t>VB</t>
        </is>
      </c>
      <c r="D471" t="inlineStr">
        <is>
          <t>24248 Mönkeberg</t>
        </is>
      </c>
      <c r="E471" s="5" t="n">
        <v>45555</v>
      </c>
      <c r="F471" t="inlineStr"/>
      <c r="G471" s="6">
        <f>HYPERLINK("https://www.dailydose.de/kleinanzeigen/detail.htm?ai=422921&amp;cf=kk&amp;pg=4&amp;ci=11", "Link")</f>
        <v/>
      </c>
      <c r="H471" s="6">
        <f>HYPERLINK("C:\Projects\Kleinanzeigen-Scraper\offer_images\422921", "Link")</f>
        <v/>
      </c>
      <c r="I471" t="inlineStr">
        <is>
          <t>Olaf</t>
        </is>
      </c>
      <c r="J471" s="6">
        <f>HYPERLINK("https://www.dailydose.de/kleinanzeigen/user/5454", "Link")</f>
        <v/>
      </c>
      <c r="K471" s="7" t="n">
        <v>45556.9465625</v>
      </c>
      <c r="L471" s="3" t="inlineStr">
        <is>
          <t>437.31</t>
        </is>
      </c>
      <c r="M471" t="inlineStr">
        <is>
          <t>Köln</t>
        </is>
      </c>
    </row>
    <row r="472">
      <c r="A472" t="inlineStr">
        <is>
          <t>Gun Sails Mastbag 3-6 Masten, Neilpryde Boardbag Flugtauglich</t>
        </is>
      </c>
      <c r="B472" s="4" t="n">
        <v>28</v>
      </c>
      <c r="C472" t="inlineStr"/>
      <c r="D472" t="inlineStr">
        <is>
          <t>12527 Berlin oder Versand</t>
        </is>
      </c>
      <c r="E472" s="5" t="n">
        <v>45555</v>
      </c>
      <c r="F472" t="inlineStr"/>
      <c r="G472" s="6">
        <f>HYPERLINK("https://www.dailydose.de/kleinanzeigen/detail.htm?ai=422905&amp;cf=kk&amp;pg=2&amp;ci=2", "Link")</f>
        <v/>
      </c>
      <c r="H472" s="6">
        <f>HYPERLINK("C:\Projects\Kleinanzeigen-Scraper\offer_images\422905", "Link")</f>
        <v/>
      </c>
      <c r="I472" t="inlineStr">
        <is>
          <t>stg</t>
        </is>
      </c>
      <c r="J472" s="6">
        <f>HYPERLINK("https://www.dailydose.de/kleinanzeigen/user/22114", "Link")</f>
        <v/>
      </c>
      <c r="K472" s="7" t="n">
        <v>45556.94488425926</v>
      </c>
      <c r="L472" s="3" t="inlineStr">
        <is>
          <t>487.71</t>
        </is>
      </c>
      <c r="M472" t="inlineStr">
        <is>
          <t>Köln</t>
        </is>
      </c>
    </row>
    <row r="473">
      <c r="A473" t="inlineStr">
        <is>
          <t>Goya Bazaii Pro 2023 4,2 qm</t>
        </is>
      </c>
      <c r="B473" s="4" t="n">
        <v>300</v>
      </c>
      <c r="C473" t="inlineStr">
        <is>
          <t>VB</t>
        </is>
      </c>
      <c r="D473" t="inlineStr">
        <is>
          <t>18069 Rostock</t>
        </is>
      </c>
      <c r="E473" s="5" t="n">
        <v>45555</v>
      </c>
      <c r="F473" t="inlineStr"/>
      <c r="G473" s="6">
        <f>HYPERLINK("https://www.dailydose.de/kleinanzeigen/detail.htm?ai=422916&amp;cf=kk&amp;pg=5&amp;ci=5", "Link")</f>
        <v/>
      </c>
      <c r="H473" s="6">
        <f>HYPERLINK("C:\Projects\Kleinanzeigen-Scraper\offer_images\422916", "Link")</f>
        <v/>
      </c>
      <c r="I473" t="inlineStr">
        <is>
          <t>Lutz Graichen</t>
        </is>
      </c>
      <c r="J473" s="6">
        <f>HYPERLINK("https://www.dailydose.de/kleinanzeigen/user/14667", "Link")</f>
        <v/>
      </c>
      <c r="K473" s="7" t="n">
        <v>45556.94479166667</v>
      </c>
      <c r="L473" s="3" t="inlineStr">
        <is>
          <t>493.58</t>
        </is>
      </c>
      <c r="M473" t="inlineStr">
        <is>
          <t>Köln</t>
        </is>
      </c>
    </row>
    <row r="474">
      <c r="A474" t="inlineStr">
        <is>
          <t>Neilpryde Origin Surfschuhe 3mm</t>
        </is>
      </c>
      <c r="B474" s="4" t="n">
        <v>40</v>
      </c>
      <c r="C474" t="inlineStr">
        <is>
          <t>VB</t>
        </is>
      </c>
      <c r="D474" t="inlineStr">
        <is>
          <t>91126 Bayern - Rednitzhembach</t>
        </is>
      </c>
      <c r="E474" s="5" t="n">
        <v>45556</v>
      </c>
      <c r="F474" t="inlineStr"/>
      <c r="G474" s="6">
        <f>HYPERLINK("https://www.kleinanzeigen.de/s-anzeige/neilpryde-origin-surfschuhe-3mm/2869605098-230-16945", "Link")</f>
        <v/>
      </c>
      <c r="H474" s="6">
        <f>HYPERLINK("C:\Projects\Kleinanzeigen-Scraper\offer_images\2869605098", "Link")</f>
        <v/>
      </c>
      <c r="I474" t="inlineStr">
        <is>
          <t>Chris</t>
        </is>
      </c>
      <c r="J474" s="6">
        <f>HYPERLINK("https://www.kleinanzeigen.de/s-bestandsliste.html?userId=70113539", "Link")</f>
        <v/>
      </c>
      <c r="K474" s="7" t="n">
        <v>45556.94372685185</v>
      </c>
      <c r="L474" s="3" t="inlineStr">
        <is>
          <t>137.42</t>
        </is>
      </c>
      <c r="M474" t="inlineStr">
        <is>
          <t>München</t>
        </is>
      </c>
    </row>
    <row r="475">
      <c r="A475" t="inlineStr">
        <is>
          <t>Windsurf-Segel Severne Freek 2023 - 3,6 m² (GEBRAUCHT)</t>
        </is>
      </c>
      <c r="B475" s="4" t="n">
        <v>379</v>
      </c>
      <c r="C475" t="inlineStr"/>
      <c r="D475" t="inlineStr">
        <is>
          <t>86152 Bayern - Augsburg</t>
        </is>
      </c>
      <c r="E475" s="5" t="n">
        <v>45555</v>
      </c>
      <c r="F475" t="inlineStr"/>
      <c r="G475" s="6">
        <f>HYPERLINK("https://www.kleinanzeigen.de/s-anzeige/windsurf-segel-severne-freek-2023-3-6-m-gebraucht-/2869078871-230-7526", "Link")</f>
        <v/>
      </c>
      <c r="H475" s="6">
        <f>HYPERLINK("C:\Projects\Kleinanzeigen-Scraper\offer_images\2869078871", "Link")</f>
        <v/>
      </c>
      <c r="I475" t="inlineStr">
        <is>
          <t>Florian Leupold</t>
        </is>
      </c>
      <c r="J475" s="6">
        <f>HYPERLINK("https://www.kleinanzeigen.de/s-bestandsliste.html?userId=125849424", "Link")</f>
        <v/>
      </c>
      <c r="K475" s="7" t="n">
        <v>45556.94368055555</v>
      </c>
      <c r="L475" s="3" t="inlineStr">
        <is>
          <t>56.62</t>
        </is>
      </c>
      <c r="M475" t="inlineStr">
        <is>
          <t>München</t>
        </is>
      </c>
    </row>
    <row r="476">
      <c r="A476" t="inlineStr">
        <is>
          <t>NEU Simms Wathose Freestone pant Größe S/M Sage Rio Loop</t>
        </is>
      </c>
      <c r="B476" s="4" t="n">
        <v>250</v>
      </c>
      <c r="C476" t="inlineStr">
        <is>
          <t>VB</t>
        </is>
      </c>
      <c r="D476" t="inlineStr">
        <is>
          <t>14770 Brandenburg - Brandenburg an der Havel</t>
        </is>
      </c>
      <c r="E476" s="5" t="n">
        <v>45555</v>
      </c>
      <c r="F476" t="inlineStr"/>
      <c r="G476" s="6">
        <f>HYPERLINK("https://www.kleinanzeigen.de/s-anzeige/neu-simms-wathose-freestone-pant-groesse-s-m-sage-rio-loop/2869218132-187-7739", "Link")</f>
        <v/>
      </c>
      <c r="H476" s="6">
        <f>HYPERLINK("C:\Projects\Kleinanzeigen-Scraper\offer_images\2869218132", "Link")</f>
        <v/>
      </c>
      <c r="I476" t="inlineStr">
        <is>
          <t>Paul</t>
        </is>
      </c>
      <c r="J476" s="6">
        <f>HYPERLINK("https://www.kleinanzeigen.de/s-bestandsliste.html?userId=23023096", "Link")</f>
        <v/>
      </c>
      <c r="K476" s="7" t="n">
        <v>45556.94351851852</v>
      </c>
      <c r="L476" s="3" t="inlineStr">
        <is>
          <t>416.86</t>
        </is>
      </c>
      <c r="M476" t="inlineStr">
        <is>
          <t>Köln</t>
        </is>
      </c>
    </row>
    <row r="477">
      <c r="A477" t="inlineStr">
        <is>
          <t>Windsurf Schwert Formula RSX</t>
        </is>
      </c>
      <c r="B477" s="4" t="n">
        <v>85</v>
      </c>
      <c r="C477" t="inlineStr"/>
      <c r="D477" t="inlineStr">
        <is>
          <t>09111 Sachsen - Chemnitz</t>
        </is>
      </c>
      <c r="E477" s="5" t="n">
        <v>45555</v>
      </c>
      <c r="F477" t="inlineStr"/>
      <c r="G477" s="6">
        <f>HYPERLINK("https://www.kleinanzeigen.de/s-anzeige/windsurf-schwert-formula-rsx/2868838406-230-3886", "Link")</f>
        <v/>
      </c>
      <c r="H477" s="6">
        <f>HYPERLINK("C:\Projects\Kleinanzeigen-Scraper\offer_images\2868838406", "Link")</f>
        <v/>
      </c>
      <c r="I477" t="inlineStr">
        <is>
          <t>olaf</t>
        </is>
      </c>
      <c r="J477" s="6">
        <f>HYPERLINK("https://www.kleinanzeigen.de/s-bestandsliste.html?userId=8857923", "Link")</f>
        <v/>
      </c>
      <c r="K477" s="7" t="n">
        <v>45556.94340277778</v>
      </c>
      <c r="L477" s="3" t="inlineStr">
        <is>
          <t>315.71</t>
        </is>
      </c>
      <c r="M477" t="inlineStr">
        <is>
          <t>München</t>
        </is>
      </c>
    </row>
    <row r="478">
      <c r="A478" t="inlineStr">
        <is>
          <t>Windsurfen Surfbrett JP Freestyle Wave 102</t>
        </is>
      </c>
      <c r="B478" s="4" t="n">
        <v>150</v>
      </c>
      <c r="C478" t="inlineStr">
        <is>
          <t>VB</t>
        </is>
      </c>
      <c r="D478" t="inlineStr">
        <is>
          <t>48653 Nordrhein-Westfalen - Coesfeld</t>
        </is>
      </c>
      <c r="E478" s="5" t="n">
        <v>45555</v>
      </c>
      <c r="F478" t="inlineStr"/>
      <c r="G478" s="6">
        <f>HYPERLINK("https://www.kleinanzeigen.de/s-anzeige/windsurfen-surfbrett-jp-freestyle-wave-102/2868966750-230-1173", "Link")</f>
        <v/>
      </c>
      <c r="H478" s="6">
        <f>HYPERLINK("C:\Projects\Kleinanzeigen-Scraper\offer_images\2868966750", "Link")</f>
        <v/>
      </c>
      <c r="I478" t="inlineStr">
        <is>
          <t>Marvin</t>
        </is>
      </c>
      <c r="J478" s="6">
        <f>HYPERLINK("https://www.kleinanzeigen.de/s-bestandsliste.html?userId=7238612", "Link")</f>
        <v/>
      </c>
      <c r="K478" s="7" t="n">
        <v>45556.94334490741</v>
      </c>
      <c r="L478" s="3" t="inlineStr">
        <is>
          <t>108.96</t>
        </is>
      </c>
      <c r="M478" t="inlineStr">
        <is>
          <t>Köln</t>
        </is>
      </c>
    </row>
    <row r="479">
      <c r="A479" t="inlineStr">
        <is>
          <t>Boardbag Windsurfen Surfboardtasche Bag</t>
        </is>
      </c>
      <c r="B479" s="4" t="n">
        <v>39</v>
      </c>
      <c r="C479" t="inlineStr"/>
      <c r="D479" t="inlineStr">
        <is>
          <t>45772 Nordrhein-Westfalen - Marl</t>
        </is>
      </c>
      <c r="E479" s="5" t="n">
        <v>45556</v>
      </c>
      <c r="F479" t="inlineStr">
        <is>
          <t>Sold</t>
        </is>
      </c>
      <c r="G479" s="6">
        <f>HYPERLINK("https://www.kleinanzeigen.de/s-anzeige/boardbag-windsurfen-surfboardtasche-bag/2870073352-230-1772", "Link")</f>
        <v/>
      </c>
      <c r="H479" s="6">
        <f>HYPERLINK("C:\Projects\Kleinanzeigen-Scraper\offer_images\2870073352", "Link")</f>
        <v/>
      </c>
      <c r="I479" t="inlineStr">
        <is>
          <t>Matrix</t>
        </is>
      </c>
      <c r="J479" s="6">
        <f>HYPERLINK("https://www.kleinanzeigen.de/s-bestandsliste.html?userId=89106594", "Link")</f>
        <v/>
      </c>
      <c r="K479" s="7" t="n">
        <v>45556.94327546296</v>
      </c>
      <c r="L479" s="3" t="inlineStr">
        <is>
          <t>84.29</t>
        </is>
      </c>
      <c r="M479" t="inlineStr">
        <is>
          <t>Köln</t>
        </is>
      </c>
    </row>
    <row r="480">
      <c r="A480" t="inlineStr">
        <is>
          <t>North (duotone) Dice 9m 2017</t>
        </is>
      </c>
      <c r="B480" s="4" t="n">
        <v>240</v>
      </c>
      <c r="C480" t="inlineStr">
        <is>
          <t>VB</t>
        </is>
      </c>
      <c r="D480" t="inlineStr">
        <is>
          <t>46446 Nordrhein-Westfalen - Emmerich am Rhein</t>
        </is>
      </c>
      <c r="E480" s="5" t="n">
        <v>45555</v>
      </c>
      <c r="F480" t="inlineStr"/>
      <c r="G480" s="6">
        <f>HYPERLINK("https://www.kleinanzeigen.de/s-anzeige/north-duotone-dice-9m-2017/2868869987-230-1396", "Link")</f>
        <v/>
      </c>
      <c r="H480" s="6">
        <f>HYPERLINK("C:\Projects\Kleinanzeigen-Scraper\offer_images\2868869987", "Link")</f>
        <v/>
      </c>
      <c r="I480" t="inlineStr">
        <is>
          <t>V van Kranenburg</t>
        </is>
      </c>
      <c r="J480" s="6">
        <f>HYPERLINK("https://www.kleinanzeigen.de/s-bestandsliste.html?userId=87067372", "Link")</f>
        <v/>
      </c>
      <c r="K480" s="7" t="n">
        <v>45556.94325231481</v>
      </c>
      <c r="L480" s="3" t="inlineStr">
        <is>
          <t>112.25</t>
        </is>
      </c>
      <c r="M480" t="inlineStr">
        <is>
          <t>Köln</t>
        </is>
      </c>
    </row>
    <row r="481">
      <c r="A481" t="inlineStr">
        <is>
          <t>CC Moore Northern Specials YELLOW 10 × 14mm Wafters Köder Karpfen</t>
        </is>
      </c>
      <c r="B481" s="4" t="n">
        <v>7</v>
      </c>
      <c r="C481" t="inlineStr"/>
      <c r="D481" t="inlineStr">
        <is>
          <t>48455 Niedersachsen - Bad Bentheim</t>
        </is>
      </c>
      <c r="E481" s="5" t="n">
        <v>45556</v>
      </c>
      <c r="F481" t="inlineStr"/>
      <c r="G481" s="6">
        <f>HYPERLINK("https://www.kleinanzeigen.de/s-anzeige/cc-moore-northern-specials-yellow-10-14mm-wafters-koeder-karpfen/2843465191-230-2492", "Link")</f>
        <v/>
      </c>
      <c r="H481" s="6">
        <f>HYPERLINK("C:\Projects\Kleinanzeigen-Scraper\offer_images\2843465191", "Link")</f>
        <v/>
      </c>
      <c r="I481" t="inlineStr">
        <is>
          <t>No user name</t>
        </is>
      </c>
      <c r="J481" s="6">
        <f>HYPERLINK("https://www.kleinanzeigen.deNo user link", "Link")</f>
        <v/>
      </c>
      <c r="K481" s="7" t="n">
        <v>45556.94320601852</v>
      </c>
      <c r="L481" s="3" t="inlineStr">
        <is>
          <t>151.42</t>
        </is>
      </c>
      <c r="M481" t="inlineStr">
        <is>
          <t>Köln</t>
        </is>
      </c>
    </row>
    <row r="482">
      <c r="A482" t="inlineStr">
        <is>
          <t>Orks &amp; Goblins Warhammer ARMEE Riese Boss Fanatic Troll Snotlings</t>
        </is>
      </c>
      <c r="B482" s="4" t="n">
        <v>9</v>
      </c>
      <c r="C482" t="inlineStr"/>
      <c r="D482" t="inlineStr">
        <is>
          <t>12355 Berlin - Rudow</t>
        </is>
      </c>
      <c r="E482" s="5" t="n">
        <v>45556</v>
      </c>
      <c r="F482" t="inlineStr"/>
      <c r="G482" s="6">
        <f>HYPERLINK("https://www.kleinanzeigen.de/s-anzeige/orks-goblins-warhammer-armee-riese-boss-fanatic-troll-snotlings/2869363907-249-26893", "Link")</f>
        <v/>
      </c>
      <c r="H482" s="6">
        <f>HYPERLINK("C:\Projects\Kleinanzeigen-Scraper\offer_images\2869363907", "Link")</f>
        <v/>
      </c>
      <c r="I482" t="inlineStr">
        <is>
          <t>Henk</t>
        </is>
      </c>
      <c r="J482" s="6">
        <f>HYPERLINK("https://www.kleinanzeigen.de/s-bestandsliste.html?userId=129446970", "Link")</f>
        <v/>
      </c>
      <c r="K482" s="7" t="n">
        <v>45556.94311342593</v>
      </c>
      <c r="L482" s="3" t="inlineStr">
        <is>
          <t>479.68</t>
        </is>
      </c>
      <c r="M482" t="inlineStr">
        <is>
          <t>Köln</t>
        </is>
      </c>
    </row>
    <row r="483">
      <c r="A483" t="inlineStr">
        <is>
          <t>North Rebel 2010 14 m2</t>
        </is>
      </c>
      <c r="B483" s="4" t="n">
        <v>100</v>
      </c>
      <c r="C483" t="inlineStr"/>
      <c r="D483" t="inlineStr">
        <is>
          <t>94501 Bayern - Aidenbach</t>
        </is>
      </c>
      <c r="E483" s="5" t="n">
        <v>45556</v>
      </c>
      <c r="F483" t="inlineStr"/>
      <c r="G483" s="6">
        <f>HYPERLINK("https://www.kleinanzeigen.de/s-anzeige/north-rebel-2010-14-m2/2869934226-230-18529", "Link")</f>
        <v/>
      </c>
      <c r="H483" s="6">
        <f>HYPERLINK("C:\Projects\Kleinanzeigen-Scraper\offer_images\2869934226", "Link")</f>
        <v/>
      </c>
      <c r="I483" t="inlineStr">
        <is>
          <t>Michael</t>
        </is>
      </c>
      <c r="J483" s="6">
        <f>HYPERLINK("https://www.kleinanzeigen.de/s-bestandsliste.html?userId=15666127", "Link")</f>
        <v/>
      </c>
      <c r="K483" s="7" t="n">
        <v>45556.94293981481</v>
      </c>
      <c r="L483" s="3" t="inlineStr">
        <is>
          <t>120.63</t>
        </is>
      </c>
      <c r="M483" t="inlineStr">
        <is>
          <t>München</t>
        </is>
      </c>
    </row>
    <row r="484">
      <c r="A484" t="inlineStr">
        <is>
          <t>North Duotone Dice 8m</t>
        </is>
      </c>
      <c r="B484" s="4" t="n">
        <v>360</v>
      </c>
      <c r="C484" t="inlineStr">
        <is>
          <t>VB</t>
        </is>
      </c>
      <c r="D484" t="inlineStr">
        <is>
          <t>66111 Saarbrücken-Mitte - Malstatt</t>
        </is>
      </c>
      <c r="E484" s="5" t="n">
        <v>45556</v>
      </c>
      <c r="F484" t="inlineStr"/>
      <c r="G484" s="6">
        <f>HYPERLINK("https://www.kleinanzeigen.de/s-anzeige/north-duotone-dice-8m/2563322564-230-385", "Link")</f>
        <v/>
      </c>
      <c r="H484" s="6">
        <f>HYPERLINK("C:\Projects\Kleinanzeigen-Scraper\offer_images\2563322564", "Link")</f>
        <v/>
      </c>
      <c r="I484" t="inlineStr">
        <is>
          <t>Annette</t>
        </is>
      </c>
      <c r="J484" s="6">
        <f>HYPERLINK("https://www.kleinanzeigen.de/s-bestandsliste.html?userId=12835531", "Link")</f>
        <v/>
      </c>
      <c r="K484" s="7" t="n">
        <v>45556.94287037037</v>
      </c>
      <c r="L484" s="3" t="inlineStr">
        <is>
          <t>104.69</t>
        </is>
      </c>
      <c r="M484" t="inlineStr">
        <is>
          <t>Karlsruhe</t>
        </is>
      </c>
    </row>
    <row r="485">
      <c r="A485" t="inlineStr">
        <is>
          <t>Windsurfsegel Naish Indy 7,6 m² + NeilPryde Gabel &amp; Mast</t>
        </is>
      </c>
      <c r="B485" s="4" t="n">
        <v>140</v>
      </c>
      <c r="C485" t="inlineStr">
        <is>
          <t>VB</t>
        </is>
      </c>
      <c r="D485" t="inlineStr">
        <is>
          <t>21149 Harburg - Hamburg Fischbek</t>
        </is>
      </c>
      <c r="E485" s="5" t="n">
        <v>45556</v>
      </c>
      <c r="F485" t="inlineStr"/>
      <c r="G485" s="6">
        <f>HYPERLINK("https://www.kleinanzeigen.de/s-anzeige/windsurfsegel-naish-indy-7-6-m-neilpryde-gabel-mast/2869711765-230-15763", "Link")</f>
        <v/>
      </c>
      <c r="H485" s="6">
        <f>HYPERLINK("C:\Projects\Kleinanzeigen-Scraper\offer_images\2869711765", "Link")</f>
        <v/>
      </c>
      <c r="I485" t="inlineStr">
        <is>
          <t>K.Ravesloot</t>
        </is>
      </c>
      <c r="J485" s="6">
        <f>HYPERLINK("https://www.kleinanzeigen.de/s-bestandsliste.html?userId=92756630", "Link")</f>
        <v/>
      </c>
      <c r="K485" s="7" t="n">
        <v>45556.94266203704</v>
      </c>
      <c r="L485" s="3" t="inlineStr">
        <is>
          <t>342.48</t>
        </is>
      </c>
      <c r="M485" t="inlineStr">
        <is>
          <t>Köln</t>
        </is>
      </c>
    </row>
    <row r="486">
      <c r="A486" t="inlineStr">
        <is>
          <t>North Navigator Bar 2020 50-55cm) gekauft 2021</t>
        </is>
      </c>
      <c r="B486" s="4" t="n">
        <v>180</v>
      </c>
      <c r="C486" t="inlineStr"/>
      <c r="D486" t="inlineStr">
        <is>
          <t>40474 Düsseldorf - Lohausen</t>
        </is>
      </c>
      <c r="E486" s="5" t="n">
        <v>45553</v>
      </c>
      <c r="F486" t="inlineStr"/>
      <c r="G486" s="6">
        <f>HYPERLINK("https://www.kleinanzeigen.de/s-anzeige/north-navigator-bar-2020-50-55cm-gekauft-2021/2867640556-242-29972", "Link")</f>
        <v/>
      </c>
      <c r="H486" s="6">
        <f>HYPERLINK("C:\Projects\Kleinanzeigen-Scraper\offer_images\2867640556", "Link")</f>
        <v/>
      </c>
      <c r="I486" t="inlineStr">
        <is>
          <t>Siri</t>
        </is>
      </c>
      <c r="J486" s="6">
        <f>HYPERLINK("https://www.kleinanzeigen.de/s-bestandsliste.html?userId=141035834", "Link")</f>
        <v/>
      </c>
      <c r="K486" s="7" t="n">
        <v>45556.94251157407</v>
      </c>
      <c r="L486" s="3" t="inlineStr">
        <is>
          <t>40.09</t>
        </is>
      </c>
      <c r="M486" t="inlineStr">
        <is>
          <t>Köln</t>
        </is>
      </c>
    </row>
    <row r="487">
      <c r="A487" t="inlineStr">
        <is>
          <t>Naish Park 10qm aus 2012</t>
        </is>
      </c>
      <c r="B487" s="4" t="n">
        <v>50</v>
      </c>
      <c r="C487" t="inlineStr">
        <is>
          <t>VB</t>
        </is>
      </c>
      <c r="D487" t="inlineStr">
        <is>
          <t>73441 Baden-Württemberg - Bopfingen</t>
        </is>
      </c>
      <c r="E487" s="5" t="n">
        <v>45552</v>
      </c>
      <c r="F487" t="inlineStr">
        <is>
          <t>Sold</t>
        </is>
      </c>
      <c r="G487" s="6">
        <f>HYPERLINK("https://www.kleinanzeigen.de/s-anzeige/naish-park-10qm-aus-2012/2866213856-230-18996", "Link")</f>
        <v/>
      </c>
      <c r="H487" s="6">
        <f>HYPERLINK("C:\Projects\Kleinanzeigen-Scraper\offer_images\2866213856", "Link")</f>
        <v/>
      </c>
      <c r="I487" t="inlineStr">
        <is>
          <t>Tobias</t>
        </is>
      </c>
      <c r="J487" s="6">
        <f>HYPERLINK("https://www.kleinanzeigen.de/s-bestandsliste.html?userId=32497765", "Link")</f>
        <v/>
      </c>
      <c r="K487" s="7" t="n">
        <v>45556.94244212963</v>
      </c>
      <c r="L487" s="3" t="inlineStr">
        <is>
          <t>101.66</t>
        </is>
      </c>
      <c r="M487" t="inlineStr">
        <is>
          <t>Böblingen</t>
        </is>
      </c>
    </row>
    <row r="488">
      <c r="A488" t="inlineStr">
        <is>
          <t>Angelrute BALZER 71° North Power Pilk 275 2,80m 100-275g</t>
        </is>
      </c>
      <c r="B488" s="4" t="n">
        <v>55</v>
      </c>
      <c r="C488" t="inlineStr"/>
      <c r="D488" t="inlineStr">
        <is>
          <t>01217 Dresden - Räcknitz/Zschertnitz</t>
        </is>
      </c>
      <c r="E488" s="5" t="n">
        <v>45554</v>
      </c>
      <c r="F488" t="inlineStr">
        <is>
          <t>Sold</t>
        </is>
      </c>
      <c r="G488" s="6">
        <f>HYPERLINK("https://www.kleinanzeigen.de/s-anzeige/angelrute-balzer-71-north-power-pilk-275-2-80m-100-275g/2868404864-230-20624", "Link")</f>
        <v/>
      </c>
      <c r="H488" s="6">
        <f>HYPERLINK("C:\Projects\Kleinanzeigen-Scraper\offer_images\2868404864", "Link")</f>
        <v/>
      </c>
      <c r="I488" t="inlineStr">
        <is>
          <t>StefRandock</t>
        </is>
      </c>
      <c r="J488" s="6">
        <f>HYPERLINK("https://www.kleinanzeigen.de/s-bestandsliste.html?userId=144334070", "Link")</f>
        <v/>
      </c>
      <c r="K488" s="7" t="n">
        <v>45556.94241898148</v>
      </c>
      <c r="L488" s="3" t="inlineStr">
        <is>
          <t>356.24</t>
        </is>
      </c>
      <c r="M488" t="inlineStr">
        <is>
          <t>München</t>
        </is>
      </c>
    </row>
    <row r="489">
      <c r="A489" t="inlineStr">
        <is>
          <t>Campingstuhl North camp, Ersatzteilspender</t>
        </is>
      </c>
      <c r="B489" s="4" t="inlineStr">
        <is>
          <t>Zu verschenken</t>
        </is>
      </c>
      <c r="C489" t="inlineStr"/>
      <c r="D489" t="inlineStr">
        <is>
          <t>39120 Sachsen-Anhalt - Magdeburg</t>
        </is>
      </c>
      <c r="E489" s="5" t="n">
        <v>45556</v>
      </c>
      <c r="F489" t="inlineStr"/>
      <c r="G489" s="6">
        <f>HYPERLINK("https://www.kleinanzeigen.de/s-anzeige/campingstuhl-north-camp-ersatzteilspender/2869702894-230-2237", "Link")</f>
        <v/>
      </c>
      <c r="H489" s="6">
        <f>HYPERLINK("C:\Projects\Kleinanzeigen-Scraper\offer_images\2869702894", "Link")</f>
        <v/>
      </c>
      <c r="I489" t="inlineStr">
        <is>
          <t>Christoph</t>
        </is>
      </c>
      <c r="J489" s="6">
        <f>HYPERLINK("https://www.kleinanzeigen.de/s-bestandsliste.html?userId=31691393", "Link")</f>
        <v/>
      </c>
      <c r="K489" s="7" t="n">
        <v>45556.94231481481</v>
      </c>
      <c r="L489" s="3" t="inlineStr">
        <is>
          <t>347.98</t>
        </is>
      </c>
      <c r="M489" t="inlineStr">
        <is>
          <t>Köln</t>
        </is>
      </c>
    </row>
    <row r="490">
      <c r="A490" t="inlineStr">
        <is>
          <t>North Queensland Cowboys Heim Rugby Trikot 2014 ISC M</t>
        </is>
      </c>
      <c r="B490" s="4" t="n">
        <v>20</v>
      </c>
      <c r="C490" t="inlineStr"/>
      <c r="D490" t="inlineStr">
        <is>
          <t>02827 Sachsen - Görlitz</t>
        </is>
      </c>
      <c r="E490" s="5" t="n">
        <v>45553</v>
      </c>
      <c r="F490" t="inlineStr">
        <is>
          <t>Sold</t>
        </is>
      </c>
      <c r="G490" s="6">
        <f>HYPERLINK("https://www.kleinanzeigen.de/s-anzeige/north-queensland-cowboys-heim-rugby-trikot-2014-isc-m/2867650694-230-3814", "Link")</f>
        <v/>
      </c>
      <c r="H490" s="6">
        <f>HYPERLINK("C:\Projects\Kleinanzeigen-Scraper\offer_images\2867650694", "Link")</f>
        <v/>
      </c>
      <c r="I490" t="inlineStr">
        <is>
          <t>Radoslaw</t>
        </is>
      </c>
      <c r="J490" s="6">
        <f>HYPERLINK("https://www.kleinanzeigen.de/s-bestandsliste.html?userId=63839751", "Link")</f>
        <v/>
      </c>
      <c r="K490" s="7" t="n">
        <v>45556.94216435185</v>
      </c>
      <c r="L490" s="3" t="inlineStr">
        <is>
          <t>411.20</t>
        </is>
      </c>
      <c r="M490" t="inlineStr">
        <is>
          <t>München</t>
        </is>
      </c>
    </row>
    <row r="491">
      <c r="A491" t="inlineStr">
        <is>
          <t>Naish Pivot 10m 2020</t>
        </is>
      </c>
      <c r="B491" s="4" t="n">
        <v>299</v>
      </c>
      <c r="C491" t="inlineStr">
        <is>
          <t>VB</t>
        </is>
      </c>
      <c r="D491" t="inlineStr">
        <is>
          <t>20251 Hamburg-Nord - Hamburg Eppendorf</t>
        </is>
      </c>
      <c r="E491" s="5" t="n">
        <v>45555</v>
      </c>
      <c r="F491" t="inlineStr"/>
      <c r="G491" s="6">
        <f>HYPERLINK("https://www.kleinanzeigen.de/s-anzeige/naish-pivot-10m-2020/2868850211-230-9475", "Link")</f>
        <v/>
      </c>
      <c r="H491" s="6">
        <f>HYPERLINK("C:\Projects\Kleinanzeigen-Scraper\offer_images\2868850211", "Link")</f>
        <v/>
      </c>
      <c r="I491" t="inlineStr">
        <is>
          <t>Caspar Volquardsen</t>
        </is>
      </c>
      <c r="J491" s="6">
        <f>HYPERLINK("https://www.kleinanzeigen.de/s-bestandsliste.html?userId=37309988", "Link")</f>
        <v/>
      </c>
      <c r="K491" s="7" t="n">
        <v>45556.94212962963</v>
      </c>
      <c r="L491" s="3" t="inlineStr">
        <is>
          <t>360.06</t>
        </is>
      </c>
      <c r="M491" t="inlineStr">
        <is>
          <t>Köln</t>
        </is>
      </c>
    </row>
    <row r="492">
      <c r="A492" t="inlineStr">
        <is>
          <t>Windsurf Segel / Riggs älter</t>
        </is>
      </c>
      <c r="B492" s="4" t="inlineStr">
        <is>
          <t>Zu verschenken</t>
        </is>
      </c>
      <c r="C492" t="inlineStr"/>
      <c r="D492" t="inlineStr">
        <is>
          <t>34292 Hessen - Ahnatal</t>
        </is>
      </c>
      <c r="E492" s="5" t="n">
        <v>45556</v>
      </c>
      <c r="F492" t="inlineStr">
        <is>
          <t>Sold</t>
        </is>
      </c>
      <c r="G492" s="6">
        <f>HYPERLINK("https://www.kleinanzeigen.de/s-anzeige/windsurf-segel-riggs-aelter/2869957152-230-4413", "Link")</f>
        <v/>
      </c>
      <c r="H492" s="6">
        <f>HYPERLINK("C:\Projects\Kleinanzeigen-Scraper\offer_images\2869957152", "Link")</f>
        <v/>
      </c>
      <c r="I492" t="inlineStr">
        <is>
          <t>Familie S</t>
        </is>
      </c>
      <c r="J492" s="6">
        <f>HYPERLINK("https://www.kleinanzeigen.de/s-bestandsliste.html?userId=2540078", "Link")</f>
        <v/>
      </c>
      <c r="K492" s="7" t="n">
        <v>45556.94208333334</v>
      </c>
      <c r="L492" s="3" t="inlineStr">
        <is>
          <t>176.63</t>
        </is>
      </c>
      <c r="M492" t="inlineStr">
        <is>
          <t>Köln</t>
        </is>
      </c>
    </row>
    <row r="493">
      <c r="A493" t="inlineStr">
        <is>
          <t>Neilpryde Shorts</t>
        </is>
      </c>
      <c r="B493" s="4" t="n">
        <v>13</v>
      </c>
      <c r="C493" t="inlineStr"/>
      <c r="D493" t="inlineStr">
        <is>
          <t>53902 Nordrhein-Westfalen - Bad Münstereifel</t>
        </is>
      </c>
      <c r="E493" s="5" t="n">
        <v>45555</v>
      </c>
      <c r="F493" t="inlineStr">
        <is>
          <t>Sold</t>
        </is>
      </c>
      <c r="G493" s="6">
        <f>HYPERLINK("https://www.kleinanzeigen.de/s-anzeige/neilpryde-shorts/2868955893-230-1619", "Link")</f>
        <v/>
      </c>
      <c r="H493" s="6">
        <f>HYPERLINK("C:\Projects\Kleinanzeigen-Scraper\offer_images\2868955893", "Link")</f>
        <v/>
      </c>
      <c r="I493" t="inlineStr">
        <is>
          <t>Tanja</t>
        </is>
      </c>
      <c r="J493" s="6">
        <f>HYPERLINK("https://www.kleinanzeigen.de/s-bestandsliste.html?userId=87885594", "Link")</f>
        <v/>
      </c>
      <c r="K493" s="7" t="n">
        <v>45556.94193287037</v>
      </c>
      <c r="L493" s="3" t="inlineStr">
        <is>
          <t>46.34</t>
        </is>
      </c>
      <c r="M493" t="inlineStr">
        <is>
          <t>Köln</t>
        </is>
      </c>
    </row>
    <row r="494">
      <c r="A494" t="inlineStr">
        <is>
          <t>North Trustbar (jetzt Duotone)  5th Line</t>
        </is>
      </c>
      <c r="B494" s="4" t="n">
        <v>110</v>
      </c>
      <c r="C494" t="inlineStr">
        <is>
          <t>VB</t>
        </is>
      </c>
      <c r="D494" t="inlineStr">
        <is>
          <t>50859 Lindenthal - Köln Lövenich</t>
        </is>
      </c>
      <c r="E494" s="5" t="n">
        <v>45556</v>
      </c>
      <c r="F494" t="inlineStr">
        <is>
          <t>Sold</t>
        </is>
      </c>
      <c r="G494" s="6">
        <f>HYPERLINK("https://www.kleinanzeigen.de/s-anzeige/north-trustbar-jetzt-duotone-5th-line/2869984277-230-18670", "Link")</f>
        <v/>
      </c>
      <c r="H494" s="6">
        <f>HYPERLINK("C:\Projects\Kleinanzeigen-Scraper\offer_images\2869984277", "Link")</f>
        <v/>
      </c>
      <c r="I494" t="inlineStr">
        <is>
          <t>Privater Anbieter</t>
        </is>
      </c>
      <c r="J494" s="6">
        <f>HYPERLINK("https://www.kleinanzeigen.de/s-bestandsliste.html?userId=20410518", "Link")</f>
        <v/>
      </c>
      <c r="K494" s="7" t="n">
        <v>45556.94174768519</v>
      </c>
      <c r="L494" s="3" t="inlineStr">
        <is>
          <t>8.43</t>
        </is>
      </c>
      <c r="M494" t="inlineStr">
        <is>
          <t>Köln</t>
        </is>
      </c>
    </row>
    <row r="495">
      <c r="A495" t="inlineStr">
        <is>
          <t>Naish Pivot 12m 2020</t>
        </is>
      </c>
      <c r="B495" s="4" t="n">
        <v>450</v>
      </c>
      <c r="C495" t="inlineStr"/>
      <c r="D495" t="inlineStr">
        <is>
          <t>20251 Hamburg-Nord - Hamburg Eppendorf</t>
        </is>
      </c>
      <c r="E495" s="5" t="n">
        <v>45555</v>
      </c>
      <c r="F495" t="inlineStr"/>
      <c r="G495" s="6">
        <f>HYPERLINK("https://www.kleinanzeigen.de/s-anzeige/naish-pivot-12m-2020/2868852375-230-9475", "Link")</f>
        <v/>
      </c>
      <c r="H495" s="6">
        <f>HYPERLINK("C:\Projects\Kleinanzeigen-Scraper\offer_images\2868852375", "Link")</f>
        <v/>
      </c>
      <c r="I495" t="inlineStr">
        <is>
          <t>Caspar Volquardsen</t>
        </is>
      </c>
      <c r="J495" s="6">
        <f>HYPERLINK("https://www.kleinanzeigen.de/s-bestandsliste.html?userId=37309988", "Link")</f>
        <v/>
      </c>
      <c r="K495" s="7" t="n">
        <v>45556.9416087963</v>
      </c>
      <c r="L495" s="3" t="inlineStr">
        <is>
          <t>360.06</t>
        </is>
      </c>
      <c r="M495" t="inlineStr">
        <is>
          <t>Köln</t>
        </is>
      </c>
    </row>
    <row r="496">
      <c r="A496" t="inlineStr">
        <is>
          <t>SUP Fanatic kaputt zum basteln</t>
        </is>
      </c>
      <c r="B496" s="4" t="inlineStr">
        <is>
          <t>Zu verschenken</t>
        </is>
      </c>
      <c r="C496" t="inlineStr"/>
      <c r="D496" t="inlineStr">
        <is>
          <t>80335 München - Maxvorstadt</t>
        </is>
      </c>
      <c r="E496" s="5" t="n">
        <v>45556</v>
      </c>
      <c r="F496" t="inlineStr">
        <is>
          <t>Sold</t>
        </is>
      </c>
      <c r="G496" s="6">
        <f>HYPERLINK("https://www.kleinanzeigen.de/s-anzeige/sup-fanatic-kaputt-zum-basteln/2869471180-230-6442", "Link")</f>
        <v/>
      </c>
      <c r="H496" s="6">
        <f>HYPERLINK("C:\Projects\Kleinanzeigen-Scraper\offer_images\2869471180", "Link")</f>
        <v/>
      </c>
      <c r="I496" t="inlineStr">
        <is>
          <t>Carolin Ludwig</t>
        </is>
      </c>
      <c r="J496" s="6">
        <f>HYPERLINK("https://www.kleinanzeigen.de/s-bestandsliste.html?userId=77541424", "Link")</f>
        <v/>
      </c>
      <c r="K496" s="7" t="n">
        <v>45556.94158564815</v>
      </c>
      <c r="L496" s="3" t="inlineStr">
        <is>
          <t>1.62</t>
        </is>
      </c>
      <c r="M496" t="inlineStr">
        <is>
          <t>München</t>
        </is>
      </c>
    </row>
    <row r="497">
      <c r="A497" t="inlineStr">
        <is>
          <t>Simms Montana Wool Core Crewneck Pebble Größe M Patagonia</t>
        </is>
      </c>
      <c r="B497" s="4" t="n">
        <v>60</v>
      </c>
      <c r="C497" t="inlineStr">
        <is>
          <t>VB</t>
        </is>
      </c>
      <c r="D497" t="inlineStr">
        <is>
          <t>14770 Brandenburg - Brandenburg an der Havel</t>
        </is>
      </c>
      <c r="E497" s="5" t="n">
        <v>45555</v>
      </c>
      <c r="F497" t="inlineStr"/>
      <c r="G497" s="6">
        <f>HYPERLINK("https://www.kleinanzeigen.de/s-anzeige/simms-montana-wool-core-crewneck-pebble-groesse-m-patagonia/2869243352-187-7739", "Link")</f>
        <v/>
      </c>
      <c r="H497" s="6">
        <f>HYPERLINK("C:\Projects\Kleinanzeigen-Scraper\offer_images\2869243352", "Link")</f>
        <v/>
      </c>
      <c r="I497" t="inlineStr">
        <is>
          <t>Paul</t>
        </is>
      </c>
      <c r="J497" s="6">
        <f>HYPERLINK("https://www.kleinanzeigen.de/s-bestandsliste.html?userId=23023096", "Link")</f>
        <v/>
      </c>
      <c r="K497" s="7" t="n">
        <v>45556.94084490741</v>
      </c>
      <c r="L497" s="3" t="inlineStr">
        <is>
          <t>416.86</t>
        </is>
      </c>
      <c r="M497" t="inlineStr">
        <is>
          <t>Köln</t>
        </is>
      </c>
    </row>
    <row r="498">
      <c r="A498" t="inlineStr">
        <is>
          <t>Wunderschöne Skihose/ Schneehose von North Ville - 110</t>
        </is>
      </c>
      <c r="B498" s="4" t="n">
        <v>5</v>
      </c>
      <c r="C498" t="inlineStr"/>
      <c r="D498" t="inlineStr">
        <is>
          <t>72351 Baden-Württemberg - Geislingen</t>
        </is>
      </c>
      <c r="E498" s="5" t="n">
        <v>45556</v>
      </c>
      <c r="F498" t="inlineStr"/>
      <c r="G498" s="6">
        <f>HYPERLINK("https://www.kleinanzeigen.de/s-anzeige/wunderschoene-skihose-schneehose-von-north-ville-110/2869936931-230-8699", "Link")</f>
        <v/>
      </c>
      <c r="H498" s="6">
        <f>HYPERLINK("C:\Projects\Kleinanzeigen-Scraper\offer_images\2869936931", "Link")</f>
        <v/>
      </c>
      <c r="I498" t="inlineStr">
        <is>
          <t>Chris</t>
        </is>
      </c>
      <c r="J498" s="6">
        <f>HYPERLINK("https://www.kleinanzeigen.de/s-bestandsliste.html?userId=50836200", "Link")</f>
        <v/>
      </c>
      <c r="K498" s="7" t="n">
        <v>45556.94084490741</v>
      </c>
      <c r="L498" s="3" t="inlineStr">
        <is>
          <t>44.90</t>
        </is>
      </c>
      <c r="M498" t="inlineStr">
        <is>
          <t>Böblingen</t>
        </is>
      </c>
    </row>
    <row r="499">
      <c r="A499" t="inlineStr">
        <is>
          <t>Tabou Rocket LTD 72 135l Freeride</t>
        </is>
      </c>
      <c r="B499" s="4" t="n">
        <v>499</v>
      </c>
      <c r="C499" t="inlineStr"/>
      <c r="D499" t="inlineStr">
        <is>
          <t>36399 Hessen - Freiensteinau</t>
        </is>
      </c>
      <c r="E499" s="5" t="n">
        <v>45556</v>
      </c>
      <c r="F499" t="inlineStr"/>
      <c r="G499" s="6">
        <f>HYPERLINK("https://www.kleinanzeigen.de/s-anzeige/tabou-rocket-ltd-72-135l-freeride/2869894427-230-4601", "Link")</f>
        <v/>
      </c>
      <c r="H499" s="6">
        <f>HYPERLINK("C:\Projects\Kleinanzeigen-Scraper\offer_images\2869894427", "Link")</f>
        <v/>
      </c>
      <c r="I499" t="inlineStr">
        <is>
          <t>Surfsport Vogelsberg</t>
        </is>
      </c>
      <c r="J499" s="6">
        <f>HYPERLINK("https://www.kleinanzeigen.de/s-bestandsliste.html?userId=135179091", "Link")</f>
        <v/>
      </c>
      <c r="K499" s="7" t="n">
        <v>45556.9406712963</v>
      </c>
      <c r="L499" s="3" t="inlineStr">
        <is>
          <t>173.52</t>
        </is>
      </c>
      <c r="M499" t="inlineStr">
        <is>
          <t>Karlsruhe</t>
        </is>
      </c>
    </row>
    <row r="500">
      <c r="A500" t="inlineStr">
        <is>
          <t>North Orbit 2020, gekauft 2021</t>
        </is>
      </c>
      <c r="B500" s="4" t="n">
        <v>340</v>
      </c>
      <c r="C500" t="inlineStr"/>
      <c r="D500" t="inlineStr">
        <is>
          <t>40474 Düsseldorf - Lohausen</t>
        </is>
      </c>
      <c r="E500" s="5" t="n">
        <v>45553</v>
      </c>
      <c r="F500" t="inlineStr"/>
      <c r="G500" s="6">
        <f>HYPERLINK("https://www.kleinanzeigen.de/s-anzeige/north-orbit-2020-gekauft-2021/2867621842-230-29972", "Link")</f>
        <v/>
      </c>
      <c r="H500" s="6">
        <f>HYPERLINK("C:\Projects\Kleinanzeigen-Scraper\offer_images\2867621842", "Link")</f>
        <v/>
      </c>
      <c r="I500" t="inlineStr">
        <is>
          <t>Siri</t>
        </is>
      </c>
      <c r="J500" s="6">
        <f>HYPERLINK("https://www.kleinanzeigen.de/s-bestandsliste.html?userId=141035834", "Link")</f>
        <v/>
      </c>
      <c r="K500" s="7" t="n">
        <v>45556.94055555556</v>
      </c>
      <c r="L500" s="3" t="inlineStr">
        <is>
          <t>40.09</t>
        </is>
      </c>
      <c r="M500" t="inlineStr">
        <is>
          <t>Köln</t>
        </is>
      </c>
    </row>
    <row r="501">
      <c r="A501" t="inlineStr">
        <is>
          <t>Isabella Commodore North od. Dawn mit CarbonX zum Sonderpreis !!!</t>
        </is>
      </c>
      <c r="B501" s="4" t="n">
        <v>2.685</v>
      </c>
      <c r="C501" t="inlineStr"/>
      <c r="D501" t="inlineStr">
        <is>
          <t>77709 Baden-Württemberg - Wolfach</t>
        </is>
      </c>
      <c r="E501" s="5" t="n">
        <v>45555</v>
      </c>
      <c r="F501" t="inlineStr"/>
      <c r="G501" s="6">
        <f>HYPERLINK("https://www.kleinanzeigen.de/s-anzeige/isabella-commodore-north-od-dawn-mit-carbonx-zum-sonderpreis-/2661472811-230-8538", "Link")</f>
        <v/>
      </c>
      <c r="H501" s="6">
        <f>HYPERLINK("C:\Projects\Kleinanzeigen-Scraper\offer_images\2661472811", "Link")</f>
        <v/>
      </c>
      <c r="I501" t="inlineStr">
        <is>
          <t>No user name</t>
        </is>
      </c>
      <c r="J501" s="6">
        <f>HYPERLINK("https://www.kleinanzeigen.deNo user link", "Link")</f>
        <v/>
      </c>
      <c r="K501" s="7" t="n">
        <v>45556.94046296296</v>
      </c>
      <c r="L501" s="3" t="inlineStr">
        <is>
          <t>56.58</t>
        </is>
      </c>
      <c r="M501" t="inlineStr">
        <is>
          <t>Bonndorf</t>
        </is>
      </c>
    </row>
    <row r="502">
      <c r="A502" t="inlineStr">
        <is>
          <t>Playmobil Windsurfer mit Karton / Boote / Figuren / Motoren</t>
        </is>
      </c>
      <c r="B502" s="4" t="n">
        <v>28</v>
      </c>
      <c r="C502" t="inlineStr"/>
      <c r="D502" t="inlineStr">
        <is>
          <t>57271 Nordrhein-Westfalen - Hilchenbach</t>
        </is>
      </c>
      <c r="E502" s="5" t="n">
        <v>45556</v>
      </c>
      <c r="F502" t="inlineStr"/>
      <c r="G502" s="6">
        <f>HYPERLINK("https://www.kleinanzeigen.de/s-anzeige/playmobil-windsurfer-mit-karton-boote-figuren-motoren/2869683282-23-1468", "Link")</f>
        <v/>
      </c>
      <c r="H502" s="6">
        <f>HYPERLINK("C:\Projects\Kleinanzeigen-Scraper\offer_images\2869683282", "Link")</f>
        <v/>
      </c>
      <c r="I502" t="inlineStr">
        <is>
          <t>TF.</t>
        </is>
      </c>
      <c r="J502" s="6">
        <f>HYPERLINK("https://www.kleinanzeigen.de/s-bestandsliste.html?userId=15653397", "Link")</f>
        <v/>
      </c>
      <c r="K502" s="7" t="n">
        <v>45556.94037037037</v>
      </c>
      <c r="L502" s="3" t="inlineStr">
        <is>
          <t>81.70</t>
        </is>
      </c>
      <c r="M502" t="inlineStr">
        <is>
          <t>Köln</t>
        </is>
      </c>
    </row>
    <row r="503">
      <c r="A503" t="inlineStr">
        <is>
          <t>North Evo 14qm mit Bar. Top Zustand</t>
        </is>
      </c>
      <c r="B503" s="4" t="n">
        <v>100</v>
      </c>
      <c r="C503" t="inlineStr"/>
      <c r="D503" t="inlineStr">
        <is>
          <t>14532 Brandenburg - Kleinmachnow</t>
        </is>
      </c>
      <c r="E503" s="5" t="n">
        <v>45556</v>
      </c>
      <c r="F503" t="inlineStr">
        <is>
          <t>Sold</t>
        </is>
      </c>
      <c r="G503" s="6">
        <f>HYPERLINK("https://www.kleinanzeigen.de/s-anzeige/north-evo-14qm-mit-bar-top-zustand/2869745419-230-7775", "Link")</f>
        <v/>
      </c>
      <c r="H503" s="6">
        <f>HYPERLINK("C:\Projects\Kleinanzeigen-Scraper\offer_images\2869745419", "Link")</f>
        <v/>
      </c>
      <c r="I503" t="inlineStr">
        <is>
          <t>Tammo</t>
        </is>
      </c>
      <c r="J503" s="6">
        <f>HYPERLINK("https://www.kleinanzeigen.de/s-bestandsliste.html?userId=38798970", "Link")</f>
        <v/>
      </c>
      <c r="K503" s="7" t="n">
        <v>45556.94030092593</v>
      </c>
      <c r="L503" s="3" t="inlineStr">
        <is>
          <t>458.23</t>
        </is>
      </c>
      <c r="M503" t="inlineStr">
        <is>
          <t>Köln</t>
        </is>
      </c>
    </row>
    <row r="504">
      <c r="A504" t="inlineStr">
        <is>
          <t>NEU Patagonia P-6 Logo Uprisal Hoody Größe S Simms Sage</t>
        </is>
      </c>
      <c r="B504" s="4" t="n">
        <v>80</v>
      </c>
      <c r="C504" t="inlineStr">
        <is>
          <t>VB</t>
        </is>
      </c>
      <c r="D504" t="inlineStr">
        <is>
          <t>14770 Brandenburg - Brandenburg an der Havel</t>
        </is>
      </c>
      <c r="E504" s="5" t="n">
        <v>45555</v>
      </c>
      <c r="F504" t="inlineStr"/>
      <c r="G504" s="6">
        <f>HYPERLINK("https://www.kleinanzeigen.de/s-anzeige/neu-patagonia-p-6-logo-uprisal-hoody-groesse-s-simms-sage/2869226931-187-7739", "Link")</f>
        <v/>
      </c>
      <c r="H504" s="6">
        <f>HYPERLINK("C:\Projects\Kleinanzeigen-Scraper\offer_images\2869226931", "Link")</f>
        <v/>
      </c>
      <c r="I504" t="inlineStr">
        <is>
          <t>Paul</t>
        </is>
      </c>
      <c r="J504" s="6">
        <f>HYPERLINK("https://www.kleinanzeigen.de/s-bestandsliste.html?userId=23023096", "Link")</f>
        <v/>
      </c>
      <c r="K504" s="7" t="n">
        <v>45556.93942129629</v>
      </c>
      <c r="L504" s="3" t="inlineStr">
        <is>
          <t>416.86</t>
        </is>
      </c>
      <c r="M504" t="inlineStr">
        <is>
          <t>Köln</t>
        </is>
      </c>
    </row>
    <row r="505">
      <c r="A505" t="inlineStr">
        <is>
          <t>Naish Pivot 8m 2020</t>
        </is>
      </c>
      <c r="B505" s="4" t="n">
        <v>350</v>
      </c>
      <c r="C505" t="inlineStr">
        <is>
          <t>VB</t>
        </is>
      </c>
      <c r="D505" t="inlineStr">
        <is>
          <t>20251 Hamburg-Nord - Hamburg Eppendorf</t>
        </is>
      </c>
      <c r="E505" s="5" t="n">
        <v>45555</v>
      </c>
      <c r="F505" t="inlineStr"/>
      <c r="G505" s="6">
        <f>HYPERLINK("https://www.kleinanzeigen.de/s-anzeige/naish-pivot-8m-2020/2868847841-230-9475", "Link")</f>
        <v/>
      </c>
      <c r="H505" s="6">
        <f>HYPERLINK("C:\Projects\Kleinanzeigen-Scraper\offer_images\2868847841", "Link")</f>
        <v/>
      </c>
      <c r="I505" t="inlineStr">
        <is>
          <t>Caspar Volquardsen</t>
        </is>
      </c>
      <c r="J505" s="6">
        <f>HYPERLINK("https://www.kleinanzeigen.de/s-bestandsliste.html?userId=37309988", "Link")</f>
        <v/>
      </c>
      <c r="K505" s="7" t="n">
        <v>45556.93936342592</v>
      </c>
      <c r="L505" s="3" t="inlineStr">
        <is>
          <t>360.06</t>
        </is>
      </c>
      <c r="M505" t="inlineStr">
        <is>
          <t>Köln</t>
        </is>
      </c>
    </row>
    <row r="506">
      <c r="A506" t="inlineStr">
        <is>
          <t>Naish Windsurf Foil 1150 / Surfen / Windsurfen / Foilen</t>
        </is>
      </c>
      <c r="B506" s="4" t="n">
        <v>475</v>
      </c>
      <c r="C506" t="inlineStr"/>
      <c r="D506" t="inlineStr">
        <is>
          <t>49525 Nordrhein-Westfalen - Lengerich</t>
        </is>
      </c>
      <c r="E506" s="5" t="n">
        <v>45556</v>
      </c>
      <c r="F506" t="inlineStr"/>
      <c r="G506" s="6">
        <f>HYPERLINK("https://www.kleinanzeigen.de/s-anzeige/naish-windsurf-foil-1150-surfen-windsurfen-foilen/2869937769-230-1257", "Link")</f>
        <v/>
      </c>
      <c r="H506" s="6">
        <f>HYPERLINK("C:\Projects\Kleinanzeigen-Scraper\offer_images\2869937769", "Link")</f>
        <v/>
      </c>
      <c r="I506" t="inlineStr">
        <is>
          <t>Andre Budke</t>
        </is>
      </c>
      <c r="J506" s="6">
        <f>HYPERLINK("https://www.kleinanzeigen.de/s-bestandsliste.html?userId=21734450", "Link")</f>
        <v/>
      </c>
      <c r="K506" s="7" t="n">
        <v>45556.93923611111</v>
      </c>
      <c r="L506" s="3" t="inlineStr">
        <is>
          <t>149.46</t>
        </is>
      </c>
      <c r="M506" t="inlineStr">
        <is>
          <t>Köln</t>
        </is>
      </c>
    </row>
    <row r="507">
      <c r="A507" t="inlineStr">
        <is>
          <t>Windsurf Sup Blade Set mieten leihen Vermietung Gütersloh</t>
        </is>
      </c>
      <c r="B507" s="4" t="n">
        <v>35</v>
      </c>
      <c r="C507" t="inlineStr">
        <is>
          <t>VB</t>
        </is>
      </c>
      <c r="D507" t="inlineStr">
        <is>
          <t>33428 Nordrhein-Westfalen - Harsewinkel - Marienfeld</t>
        </is>
      </c>
      <c r="E507" s="5" t="n">
        <v>45555</v>
      </c>
      <c r="F507" t="inlineStr"/>
      <c r="G507" s="6">
        <f>HYPERLINK("https://www.kleinanzeigen.de/s-anzeige/windsurf-sup-blade-set-mieten-leihen-vermietung-guetersloh/2818614939-230-1598", "Link")</f>
        <v/>
      </c>
      <c r="H507" s="6">
        <f>HYPERLINK("C:\Projects\Kleinanzeigen-Scraper\offer_images\2818614939", "Link")</f>
        <v/>
      </c>
      <c r="I507" t="inlineStr">
        <is>
          <t>No user name</t>
        </is>
      </c>
      <c r="J507" s="6">
        <f>HYPERLINK("https://www.kleinanzeigen.deNo user link", "Link")</f>
        <v/>
      </c>
      <c r="K507" s="7" t="n">
        <v>45556.93891203704</v>
      </c>
      <c r="L507" s="3" t="inlineStr">
        <is>
          <t>142.54</t>
        </is>
      </c>
      <c r="M507" t="inlineStr">
        <is>
          <t>Köln</t>
        </is>
      </c>
    </row>
    <row r="508">
      <c r="A508" t="inlineStr">
        <is>
          <t>Isabella Capri North mit CarbonX zum Sonderpreis !!!</t>
        </is>
      </c>
      <c r="B508" s="4" t="n">
        <v>1.957</v>
      </c>
      <c r="C508" t="inlineStr"/>
      <c r="D508" t="inlineStr">
        <is>
          <t>77709 Baden-Württemberg - Wolfach</t>
        </is>
      </c>
      <c r="E508" s="5" t="n">
        <v>45555</v>
      </c>
      <c r="F508" t="inlineStr"/>
      <c r="G508" s="6">
        <f>HYPERLINK("https://www.kleinanzeigen.de/s-anzeige/isabella-capri-north-mit-carbonx-zum-sonderpreis-/2661497757-230-8538", "Link")</f>
        <v/>
      </c>
      <c r="H508" s="6">
        <f>HYPERLINK("C:\Projects\Kleinanzeigen-Scraper\offer_images\2661497757", "Link")</f>
        <v/>
      </c>
      <c r="I508" t="inlineStr">
        <is>
          <t>No user name</t>
        </is>
      </c>
      <c r="J508" s="6">
        <f>HYPERLINK("https://www.kleinanzeigen.deNo user link", "Link")</f>
        <v/>
      </c>
      <c r="K508" s="7" t="n">
        <v>45556.93891203704</v>
      </c>
      <c r="L508" s="3" t="inlineStr">
        <is>
          <t>56.58</t>
        </is>
      </c>
      <c r="M508" t="inlineStr">
        <is>
          <t>Bonndorf</t>
        </is>
      </c>
    </row>
    <row r="509">
      <c r="A509" t="inlineStr">
        <is>
          <t>Holztruhe ☆Unikat☆ handgeschnitztes Panorama von Simmern</t>
        </is>
      </c>
      <c r="B509" s="4" t="n">
        <v>150</v>
      </c>
      <c r="C509" t="inlineStr"/>
      <c r="D509" t="inlineStr">
        <is>
          <t>55469 Rheinland-Pfalz - Simmern</t>
        </is>
      </c>
      <c r="E509" s="5" t="n">
        <v>45556</v>
      </c>
      <c r="F509" t="inlineStr">
        <is>
          <t>Sold</t>
        </is>
      </c>
      <c r="G509" s="6">
        <f>HYPERLINK("https://www.kleinanzeigen.de/s-anzeige/holztruhe-unikat-handgeschnitztes-panorama-von-simmern/2870181420-240-20854", "Link")</f>
        <v/>
      </c>
      <c r="H509" s="6">
        <f>HYPERLINK("C:\Projects\Kleinanzeigen-Scraper\offer_images\2870181420", "Link")</f>
        <v/>
      </c>
      <c r="I509" t="inlineStr">
        <is>
          <t>Jürgen</t>
        </is>
      </c>
      <c r="J509" s="6">
        <f>HYPERLINK("https://www.kleinanzeigen.de/s-bestandsliste.html?userId=141593145", "Link")</f>
        <v/>
      </c>
      <c r="K509" s="7" t="n">
        <v>45556.93883101852</v>
      </c>
      <c r="L509" s="3" t="inlineStr">
        <is>
          <t>113.56</t>
        </is>
      </c>
      <c r="M509" t="inlineStr">
        <is>
          <t>Köln</t>
        </is>
      </c>
    </row>
    <row r="510">
      <c r="A510" t="inlineStr">
        <is>
          <t>Snowboard inkl. Bindung 137 K2 Vandal</t>
        </is>
      </c>
      <c r="B510" s="4" t="n">
        <v>150</v>
      </c>
      <c r="C510" t="inlineStr">
        <is>
          <t>VB</t>
        </is>
      </c>
      <c r="D510" t="inlineStr">
        <is>
          <t>64658 Hessen - Fürth</t>
        </is>
      </c>
      <c r="E510" s="5" t="n">
        <v>45555</v>
      </c>
      <c r="F510" t="inlineStr"/>
      <c r="G510" s="6">
        <f>HYPERLINK("https://www.kleinanzeigen.de/s-anzeige/snowboard-inkl-bindung-137-k2-vandal/2869216634-230-6809", "Link")</f>
        <v/>
      </c>
      <c r="H510" s="6">
        <f>HYPERLINK("C:\Projects\Kleinanzeigen-Scraper\offer_images\2869216634", "Link")</f>
        <v/>
      </c>
      <c r="I510" t="inlineStr">
        <is>
          <t>Jana S.</t>
        </is>
      </c>
      <c r="J510" s="6">
        <f>HYPERLINK("https://www.kleinanzeigen.de/s-bestandsliste.html?userId=22869796", "Link")</f>
        <v/>
      </c>
      <c r="K510" s="7" t="n">
        <v>45556.93883101852</v>
      </c>
      <c r="L510" s="3" t="inlineStr">
        <is>
          <t>76.86</t>
        </is>
      </c>
      <c r="M510" t="inlineStr">
        <is>
          <t>Karlsruhe</t>
        </is>
      </c>
    </row>
    <row r="511">
      <c r="A511" t="inlineStr">
        <is>
          <t>7 Goya KÜNSTLER-AQUARELL-FARBEN in Metallbox *NEU &amp; OVP* C. Kreul</t>
        </is>
      </c>
      <c r="B511" s="4" t="inlineStr"/>
      <c r="C511" t="inlineStr">
        <is>
          <t>VB</t>
        </is>
      </c>
      <c r="D511" t="inlineStr">
        <is>
          <t>57482 Nordrhein-Westfalen - Wenden</t>
        </is>
      </c>
      <c r="E511" s="5" t="n">
        <v>45555</v>
      </c>
      <c r="F511" t="inlineStr"/>
      <c r="G511" s="6">
        <f>HYPERLINK("https://www.kleinanzeigen.de/s-anzeige/7-goya-kuenstler-aquarell-farben-in-metallbox-neu-ovp-c-kreul/2868925115-282-1540", "Link")</f>
        <v/>
      </c>
      <c r="H511" s="6">
        <f>HYPERLINK("C:\Projects\Kleinanzeigen-Scraper\offer_images\2868925115", "Link")</f>
        <v/>
      </c>
      <c r="I511" t="inlineStr">
        <is>
          <t>Privat</t>
        </is>
      </c>
      <c r="J511" s="6">
        <f>HYPERLINK("https://www.kleinanzeigen.de/s-bestandsliste.html?userId=72541264", "Link")</f>
        <v/>
      </c>
      <c r="K511" s="7" t="n">
        <v>45556.93878472222</v>
      </c>
      <c r="L511" s="3" t="inlineStr">
        <is>
          <t>64.13</t>
        </is>
      </c>
      <c r="M511" t="inlineStr">
        <is>
          <t>Köln</t>
        </is>
      </c>
    </row>
    <row r="512">
      <c r="A512" t="inlineStr">
        <is>
          <t>LAGERVERKAUF: Naish Touring SUP Boards mit Carbon Paddel Aktion</t>
        </is>
      </c>
      <c r="B512" s="4" t="n">
        <v>799</v>
      </c>
      <c r="C512" t="inlineStr">
        <is>
          <t>VB</t>
        </is>
      </c>
      <c r="D512" t="inlineStr">
        <is>
          <t>57489 Nordrhein-Westfalen - Drolshagen</t>
        </is>
      </c>
      <c r="E512" s="5" t="n">
        <v>45556</v>
      </c>
      <c r="F512" t="inlineStr"/>
      <c r="G512" s="6">
        <f>HYPERLINK("https://www.kleinanzeigen.de/s-anzeige/lagerverkauf-naish-touring-sup-boards-mit-carbon-paddel-aktion/2869823897-230-1530", "Link")</f>
        <v/>
      </c>
      <c r="H512" s="6">
        <f>HYPERLINK("C:\Projects\Kleinanzeigen-Scraper\offer_images\2869823897", "Link")</f>
        <v/>
      </c>
      <c r="I512" t="inlineStr">
        <is>
          <t>key2fun</t>
        </is>
      </c>
      <c r="J512" s="6">
        <f>HYPERLINK("https://www.kleinanzeigen.de/s-bestandsliste.html?userId=68821592", "Link")</f>
        <v/>
      </c>
      <c r="K512" s="7" t="n">
        <v>45556.93871527778</v>
      </c>
      <c r="L512" s="3" t="inlineStr">
        <is>
          <t>58.85</t>
        </is>
      </c>
      <c r="M512" t="inlineStr">
        <is>
          <t>Köln</t>
        </is>
      </c>
    </row>
    <row r="513">
      <c r="A513" t="inlineStr">
        <is>
          <t>Starboard Allstar Sup/Surf Trockenanzug red/blue Gr. L</t>
        </is>
      </c>
      <c r="B513" s="4" t="n">
        <v>150</v>
      </c>
      <c r="C513" t="inlineStr">
        <is>
          <t>VB</t>
        </is>
      </c>
      <c r="D513" t="inlineStr">
        <is>
          <t>01445 Sachsen - Radebeul</t>
        </is>
      </c>
      <c r="E513" s="5" t="n">
        <v>45556</v>
      </c>
      <c r="F513" t="inlineStr">
        <is>
          <t>Sold</t>
        </is>
      </c>
      <c r="G513" s="6">
        <f>HYPERLINK("https://www.kleinanzeigen.de/s-anzeige/starboard-allstar-sup-surf-trockenanzug-red-blue-gr-l/2870102972-230-4057", "Link")</f>
        <v/>
      </c>
      <c r="H513" s="6">
        <f>HYPERLINK("C:\Projects\Kleinanzeigen-Scraper\offer_images\2870102972", "Link")</f>
        <v/>
      </c>
      <c r="I513" t="inlineStr">
        <is>
          <t>Privat</t>
        </is>
      </c>
      <c r="J513" s="6">
        <f>HYPERLINK("https://www.kleinanzeigen.de/s-bestandsliste.html?userId=26897024", "Link")</f>
        <v/>
      </c>
      <c r="K513" s="7" t="n">
        <v>45556.93842592592</v>
      </c>
      <c r="L513" s="3" t="inlineStr">
        <is>
          <t>362.87</t>
        </is>
      </c>
      <c r="M513" t="inlineStr">
        <is>
          <t>München</t>
        </is>
      </c>
    </row>
    <row r="514">
      <c r="A514" t="inlineStr">
        <is>
          <t>K 2 Snowboardboot Vandal 39,5 (US7)</t>
        </is>
      </c>
      <c r="B514" s="4" t="n">
        <v>110</v>
      </c>
      <c r="C514" t="inlineStr">
        <is>
          <t>VB</t>
        </is>
      </c>
      <c r="D514" t="inlineStr">
        <is>
          <t>72072 Baden-Württemberg - Tübingen</t>
        </is>
      </c>
      <c r="E514" s="5" t="n">
        <v>45555</v>
      </c>
      <c r="F514" t="inlineStr"/>
      <c r="G514" s="6">
        <f>HYPERLINK("https://www.kleinanzeigen.de/s-anzeige/k-2-snowboardboot-vandal-39-5-us7-/2868866760-230-9094", "Link")</f>
        <v/>
      </c>
      <c r="H514" s="6">
        <f>HYPERLINK("C:\Projects\Kleinanzeigen-Scraper\offer_images\2868866760", "Link")</f>
        <v/>
      </c>
      <c r="I514" t="inlineStr">
        <is>
          <t>Sabine Gabelmann</t>
        </is>
      </c>
      <c r="J514" s="6">
        <f>HYPERLINK("https://www.kleinanzeigen.de/s-bestandsliste.html?userId=51189897", "Link")</f>
        <v/>
      </c>
      <c r="K514" s="7" t="n">
        <v>45556.93828703704</v>
      </c>
      <c r="L514" s="3" t="inlineStr">
        <is>
          <t>21.04</t>
        </is>
      </c>
      <c r="M514" t="inlineStr">
        <is>
          <t>Böblingen</t>
        </is>
      </c>
    </row>
    <row r="515">
      <c r="A515" t="inlineStr">
        <is>
          <t>North Orbit 2020- 4 mt</t>
        </is>
      </c>
      <c r="B515" s="4" t="n">
        <v>195</v>
      </c>
      <c r="C515" t="inlineStr"/>
      <c r="D515" t="inlineStr">
        <is>
          <t>40474 Düsseldorf - Lohausen</t>
        </is>
      </c>
      <c r="E515" s="5" t="n">
        <v>45553</v>
      </c>
      <c r="F515" t="inlineStr">
        <is>
          <t>Sold</t>
        </is>
      </c>
      <c r="G515" s="6">
        <f>HYPERLINK("https://www.kleinanzeigen.de/s-anzeige/north-orbit-2020-4-mt/2867623395-187-29972", "Link")</f>
        <v/>
      </c>
      <c r="H515" s="6">
        <f>HYPERLINK("C:\Projects\Kleinanzeigen-Scraper\offer_images\2867623395", "Link")</f>
        <v/>
      </c>
      <c r="I515" t="inlineStr">
        <is>
          <t>Siri</t>
        </is>
      </c>
      <c r="J515" s="6">
        <f>HYPERLINK("https://www.kleinanzeigen.de/s-bestandsliste.html?userId=141035834", "Link")</f>
        <v/>
      </c>
      <c r="K515" s="7" t="n">
        <v>45556.93806712963</v>
      </c>
      <c r="L515" s="3" t="inlineStr">
        <is>
          <t>40.09</t>
        </is>
      </c>
      <c r="M515" t="inlineStr">
        <is>
          <t>Köln</t>
        </is>
      </c>
    </row>
    <row r="516">
      <c r="A516" t="inlineStr">
        <is>
          <t>White, Craft Manual of North American Indian Footwear (NEUWERTIG)</t>
        </is>
      </c>
      <c r="B516" s="4" t="n">
        <v>25</v>
      </c>
      <c r="C516" t="inlineStr"/>
      <c r="D516" t="inlineStr">
        <is>
          <t>35096 Hessen - Weimar (Lahn)</t>
        </is>
      </c>
      <c r="E516" s="5" t="n">
        <v>45556</v>
      </c>
      <c r="F516" t="inlineStr"/>
      <c r="G516" s="6">
        <f>HYPERLINK("https://www.kleinanzeigen.de/s-anzeige/white-craft-manual-of-north-american-indian-footwear-neuwertig-/2869688968-282-4828", "Link")</f>
        <v/>
      </c>
      <c r="H516" s="6">
        <f>HYPERLINK("C:\Projects\Kleinanzeigen-Scraper\offer_images\2869688968", "Link")</f>
        <v/>
      </c>
      <c r="I516" t="inlineStr">
        <is>
          <t>JMB</t>
        </is>
      </c>
      <c r="J516" s="6">
        <f>HYPERLINK("https://www.kleinanzeigen.de/s-bestandsliste.html?userId=72311155", "Link")</f>
        <v/>
      </c>
      <c r="K516" s="7" t="n">
        <v>45556.93802083333</v>
      </c>
      <c r="L516" s="3" t="inlineStr">
        <is>
          <t>124.91</t>
        </is>
      </c>
      <c r="M516" t="inlineStr">
        <is>
          <t>Köln</t>
        </is>
      </c>
    </row>
    <row r="517">
      <c r="A517" t="inlineStr">
        <is>
          <t>UNIKAT GROSSES ÖLGEMÄLDE USA,NORTH ATLANTIK TITANIC,SCARLATTI</t>
        </is>
      </c>
      <c r="B517" s="4" t="n">
        <v>4.5</v>
      </c>
      <c r="C517" t="inlineStr"/>
      <c r="D517" t="inlineStr">
        <is>
          <t>63571 Hessen - Gelnhausen</t>
        </is>
      </c>
      <c r="E517" s="5" t="n">
        <v>45553</v>
      </c>
      <c r="F517" t="inlineStr">
        <is>
          <t>Sold</t>
        </is>
      </c>
      <c r="G517" s="6">
        <f>HYPERLINK("https://www.kleinanzeigen.de/s-anzeige/unikat-grosses-oelgemaelde-usa-north-atlantik-titanic-scarlatti/2554106450-240-4862", "Link")</f>
        <v/>
      </c>
      <c r="H517" s="6">
        <f>HYPERLINK("C:\Projects\Kleinanzeigen-Scraper\offer_images\2554106450", "Link")</f>
        <v/>
      </c>
      <c r="I517" t="inlineStr">
        <is>
          <t>No user name</t>
        </is>
      </c>
      <c r="J517" s="6">
        <f>HYPERLINK("https://www.kleinanzeigen.deNo user link", "Link")</f>
        <v/>
      </c>
      <c r="K517" s="7" t="n">
        <v>45556.93799768519</v>
      </c>
      <c r="L517" s="3" t="inlineStr">
        <is>
          <t>147.52</t>
        </is>
      </c>
      <c r="M517" t="inlineStr">
        <is>
          <t>Karlsruhe</t>
        </is>
      </c>
    </row>
    <row r="518">
      <c r="A518" t="inlineStr">
        <is>
          <t>RRD WH Flight Carbon Foil</t>
        </is>
      </c>
      <c r="B518" s="4" t="n">
        <v>590</v>
      </c>
      <c r="C518" t="inlineStr"/>
      <c r="D518" t="inlineStr">
        <is>
          <t>95632 Bayern - Wunsiedel</t>
        </is>
      </c>
      <c r="E518" s="5" t="n">
        <v>45523</v>
      </c>
      <c r="F518" t="inlineStr"/>
      <c r="G518" s="6">
        <f>HYPERLINK("https://www.kleinanzeigen.de/s-anzeige/rrd-wh-flight-carbon-foil/2840681257-230-7009", "Link")</f>
        <v/>
      </c>
      <c r="H518" s="6">
        <f>HYPERLINK("C:\Projects\Kleinanzeigen-Scraper\offer_images\2840681257", "Link")</f>
        <v/>
      </c>
      <c r="I518" t="inlineStr">
        <is>
          <t>Thiermann</t>
        </is>
      </c>
      <c r="J518" s="6">
        <f>HYPERLINK("https://www.kleinanzeigen.de/s-bestandsliste.html?userId=15929791", "Link")</f>
        <v/>
      </c>
      <c r="K518" s="7" t="n">
        <v>45556.93759259259</v>
      </c>
      <c r="L518" s="3" t="inlineStr">
        <is>
          <t>214.72</t>
        </is>
      </c>
      <c r="M518" t="inlineStr">
        <is>
          <t>München</t>
        </is>
      </c>
    </row>
    <row r="519">
      <c r="A519" t="inlineStr">
        <is>
          <t>Fanatic Bat Surfbrett</t>
        </is>
      </c>
      <c r="B519" s="4" t="n">
        <v>80</v>
      </c>
      <c r="C519" t="inlineStr">
        <is>
          <t>VB</t>
        </is>
      </c>
      <c r="D519" t="inlineStr">
        <is>
          <t>46509 Nordrhein-Westfalen - Xanten</t>
        </is>
      </c>
      <c r="E519" s="5" t="n">
        <v>45556</v>
      </c>
      <c r="F519" t="inlineStr"/>
      <c r="G519" s="6">
        <f>HYPERLINK("https://www.kleinanzeigen.de/s-anzeige/fanatic-bat-surfbrett/2870152602-230-1403", "Link")</f>
        <v/>
      </c>
      <c r="H519" s="6">
        <f>HYPERLINK("C:\Projects\Kleinanzeigen-Scraper\offer_images\2870152602", "Link")</f>
        <v/>
      </c>
      <c r="I519" t="inlineStr">
        <is>
          <t>Susanne Schröck</t>
        </is>
      </c>
      <c r="J519" s="6">
        <f>HYPERLINK("https://www.kleinanzeigen.de/s-bestandsliste.html?userId=20089549", "Link")</f>
        <v/>
      </c>
      <c r="K519" s="7" t="n">
        <v>45556.9374537037</v>
      </c>
      <c r="L519" s="3" t="inlineStr">
        <is>
          <t>88.27</t>
        </is>
      </c>
      <c r="M519" t="inlineStr">
        <is>
          <t>Köln</t>
        </is>
      </c>
    </row>
    <row r="520">
      <c r="A520" t="inlineStr">
        <is>
          <t>Elastisches Nylonshirt North Bondi</t>
        </is>
      </c>
      <c r="B520" s="4" t="n">
        <v>5</v>
      </c>
      <c r="C520" t="inlineStr"/>
      <c r="D520" t="inlineStr">
        <is>
          <t>24116 Kiel - Schreventeich-Hasseldieksdamm</t>
        </is>
      </c>
      <c r="E520" s="5" t="n">
        <v>45556</v>
      </c>
      <c r="F520" t="inlineStr"/>
      <c r="G520" s="6">
        <f>HYPERLINK("https://www.kleinanzeigen.de/s-anzeige/elastisches-nylonshirt-north-bondi/2869983480-230-703", "Link")</f>
        <v/>
      </c>
      <c r="H520" s="6">
        <f>HYPERLINK("C:\Projects\Kleinanzeigen-Scraper\offer_images\2869983480", "Link")</f>
        <v/>
      </c>
      <c r="I520" t="inlineStr">
        <is>
          <t>Marco Landt-Hayen</t>
        </is>
      </c>
      <c r="J520" s="6">
        <f>HYPERLINK("https://www.kleinanzeigen.de/s-bestandsliste.html?userId=132390798", "Link")</f>
        <v/>
      </c>
      <c r="K520" s="7" t="n">
        <v>45556.93738425926</v>
      </c>
      <c r="L520" s="3" t="inlineStr">
        <is>
          <t>432.62</t>
        </is>
      </c>
      <c r="M520" t="inlineStr">
        <is>
          <t>Köln</t>
        </is>
      </c>
    </row>
    <row r="521">
      <c r="A521" t="inlineStr">
        <is>
          <t>Neuwertiges Snowboard 137cm K2 Vandal mit Bindung</t>
        </is>
      </c>
      <c r="B521" s="4" t="n">
        <v>170</v>
      </c>
      <c r="C521" t="inlineStr">
        <is>
          <t>VB</t>
        </is>
      </c>
      <c r="D521" t="inlineStr">
        <is>
          <t>89165 Baden-Württemberg - Dietenheim</t>
        </is>
      </c>
      <c r="E521" s="5" t="n">
        <v>45556</v>
      </c>
      <c r="F521" t="inlineStr"/>
      <c r="G521" s="6">
        <f>HYPERLINK("https://www.kleinanzeigen.de/s-anzeige/neuwertiges-snowboard-137cm-k2-vandal-mit-bindung/2869413556-230-19145", "Link")</f>
        <v/>
      </c>
      <c r="H521" s="6">
        <f>HYPERLINK("C:\Projects\Kleinanzeigen-Scraper\offer_images\2869413556", "Link")</f>
        <v/>
      </c>
      <c r="I521" t="inlineStr">
        <is>
          <t>Jessica</t>
        </is>
      </c>
      <c r="J521" s="6">
        <f>HYPERLINK("https://www.kleinanzeigen.de/s-bestandsliste.html?userId=39664236", "Link")</f>
        <v/>
      </c>
      <c r="K521" s="7" t="n">
        <v>45556.93709490741</v>
      </c>
      <c r="L521" s="3" t="inlineStr">
        <is>
          <t>95.80</t>
        </is>
      </c>
      <c r="M521" t="inlineStr">
        <is>
          <t>Böblingen</t>
        </is>
      </c>
    </row>
    <row r="522">
      <c r="A522" t="inlineStr">
        <is>
          <t>Starboard Super Cruiser &amp; Freeride Carbon Evo (2022)</t>
        </is>
      </c>
      <c r="B522" s="4" t="n">
        <v>1.9</v>
      </c>
      <c r="C522" t="inlineStr">
        <is>
          <t>VB</t>
        </is>
      </c>
      <c r="D522" t="inlineStr">
        <is>
          <t>24248 Schleswig-Holstein - Mönkeberg</t>
        </is>
      </c>
      <c r="E522" s="5" t="n">
        <v>45555</v>
      </c>
      <c r="F522" t="inlineStr"/>
      <c r="G522" s="6">
        <f>HYPERLINK("https://www.kleinanzeigen.de/s-anzeige/starboard-super-cruiser-freeride-carbon-evo-2022-/2869232334-230-666", "Link")</f>
        <v/>
      </c>
      <c r="H522" s="6">
        <f>HYPERLINK("C:\Projects\Kleinanzeigen-Scraper\offer_images\2869232334", "Link")</f>
        <v/>
      </c>
      <c r="I522" t="inlineStr">
        <is>
          <t>Olaf Köhler</t>
        </is>
      </c>
      <c r="J522" s="6">
        <f>HYPERLINK("https://www.kleinanzeigen.de/s-bestandsliste.html?userId=1030264", "Link")</f>
        <v/>
      </c>
      <c r="K522" s="7" t="n">
        <v>45556.93702546296</v>
      </c>
      <c r="L522" s="3" t="inlineStr">
        <is>
          <t>437.31</t>
        </is>
      </c>
      <c r="M522" t="inlineStr">
        <is>
          <t>Köln</t>
        </is>
      </c>
    </row>
    <row r="523">
      <c r="A523" t="inlineStr">
        <is>
          <t>NEU Costa del Mar Performance UV  Shirt Größe S/M Simms Sage</t>
        </is>
      </c>
      <c r="B523" s="4" t="n">
        <v>40</v>
      </c>
      <c r="C523" t="inlineStr">
        <is>
          <t>VB</t>
        </is>
      </c>
      <c r="D523" t="inlineStr">
        <is>
          <t>14770 Brandenburg - Brandenburg an der Havel</t>
        </is>
      </c>
      <c r="E523" s="5" t="n">
        <v>45555</v>
      </c>
      <c r="F523" t="inlineStr"/>
      <c r="G523" s="6">
        <f>HYPERLINK("https://www.kleinanzeigen.de/s-anzeige/neu-costa-del-mar-performance-uv-shirt-groesse-s-m-simms-sage/2869221681-187-7739", "Link")</f>
        <v/>
      </c>
      <c r="H523" s="6">
        <f>HYPERLINK("C:\Projects\Kleinanzeigen-Scraper\offer_images\2869221681", "Link")</f>
        <v/>
      </c>
      <c r="I523" t="inlineStr">
        <is>
          <t>Paul</t>
        </is>
      </c>
      <c r="J523" s="6">
        <f>HYPERLINK("https://www.kleinanzeigen.de/s-bestandsliste.html?userId=23023096", "Link")</f>
        <v/>
      </c>
      <c r="K523" s="7" t="n">
        <v>45556.93695601852</v>
      </c>
      <c r="L523" s="3" t="inlineStr">
        <is>
          <t>416.86</t>
        </is>
      </c>
      <c r="M523" t="inlineStr">
        <is>
          <t>Köln</t>
        </is>
      </c>
    </row>
    <row r="524">
      <c r="A524" t="inlineStr">
        <is>
          <t>SIMMS MONTANA WOOL MID TOP Größe M Patagonia</t>
        </is>
      </c>
      <c r="B524" s="4" t="n">
        <v>80</v>
      </c>
      <c r="C524" t="inlineStr">
        <is>
          <t>VB</t>
        </is>
      </c>
      <c r="D524" t="inlineStr">
        <is>
          <t>14770 Brandenburg - Brandenburg an der Havel</t>
        </is>
      </c>
      <c r="E524" s="5" t="n">
        <v>45555</v>
      </c>
      <c r="F524" t="inlineStr"/>
      <c r="G524" s="6">
        <f>HYPERLINK("https://www.kleinanzeigen.de/s-anzeige/simms-montana-wool-mid-top-groesse-m-patagonia/2869250929-187-7739", "Link")</f>
        <v/>
      </c>
      <c r="H524" s="6">
        <f>HYPERLINK("C:\Projects\Kleinanzeigen-Scraper\offer_images\2869250929", "Link")</f>
        <v/>
      </c>
      <c r="I524" t="inlineStr">
        <is>
          <t>Paul</t>
        </is>
      </c>
      <c r="J524" s="6">
        <f>HYPERLINK("https://www.kleinanzeigen.de/s-bestandsliste.html?userId=23023096", "Link")</f>
        <v/>
      </c>
      <c r="K524" s="7" t="n">
        <v>45556.93688657408</v>
      </c>
      <c r="L524" s="3" t="inlineStr">
        <is>
          <t>416.86</t>
        </is>
      </c>
      <c r="M524" t="inlineStr">
        <is>
          <t>Köln</t>
        </is>
      </c>
    </row>
    <row r="525">
      <c r="A525" t="inlineStr">
        <is>
          <t>SUP Fanatic Fly Air Premium Größe 10'8'' inkl. Carbon 35 Paddel</t>
        </is>
      </c>
      <c r="B525" s="4" t="n">
        <v>700</v>
      </c>
      <c r="C525" t="inlineStr">
        <is>
          <t>VB</t>
        </is>
      </c>
      <c r="D525" t="inlineStr">
        <is>
          <t>22335 Hamburg-Nord - Hamburg Ohlsdorf</t>
        </is>
      </c>
      <c r="E525" s="5" t="n">
        <v>45556</v>
      </c>
      <c r="F525" t="inlineStr"/>
      <c r="G525" s="6">
        <f>HYPERLINK("https://www.kleinanzeigen.de/s-anzeige/sup-fanatic-fly-air-premium-groesse-10-8-inkl-carbon-35-paddel/2870054280-230-9479", "Link")</f>
        <v/>
      </c>
      <c r="H525" s="6">
        <f>HYPERLINK("C:\Projects\Kleinanzeigen-Scraper\offer_images\2870054280", "Link")</f>
        <v/>
      </c>
      <c r="I525" t="inlineStr">
        <is>
          <t>Søren</t>
        </is>
      </c>
      <c r="J525" s="6">
        <f>HYPERLINK("https://www.kleinanzeigen.de/s-bestandsliste.html?userId=10335163", "Link")</f>
        <v/>
      </c>
      <c r="K525" s="7" t="n">
        <v>45556.93677083333</v>
      </c>
      <c r="L525" s="3" t="inlineStr">
        <is>
          <t>364.00</t>
        </is>
      </c>
      <c r="M525" t="inlineStr">
        <is>
          <t>Köln</t>
        </is>
      </c>
    </row>
    <row r="526">
      <c r="A526" t="inlineStr">
        <is>
          <t>Surfsegel NAISH noa</t>
        </is>
      </c>
      <c r="B526" s="4" t="n">
        <v>155</v>
      </c>
      <c r="C526" t="inlineStr">
        <is>
          <t>VB</t>
        </is>
      </c>
      <c r="D526" t="inlineStr">
        <is>
          <t>35516 Hessen - Münzenberg</t>
        </is>
      </c>
      <c r="E526" s="5" t="n">
        <v>45556</v>
      </c>
      <c r="F526" t="inlineStr"/>
      <c r="G526" s="6">
        <f>HYPERLINK("https://www.kleinanzeigen.de/s-anzeige/surfsegel-naish-noa/2870082835-230-4726", "Link")</f>
        <v/>
      </c>
      <c r="H526" s="6">
        <f>HYPERLINK("C:\Projects\Kleinanzeigen-Scraper\offer_images\2870082835", "Link")</f>
        <v/>
      </c>
      <c r="I526" t="inlineStr">
        <is>
          <t>Gerd Lohnert</t>
        </is>
      </c>
      <c r="J526" s="6">
        <f>HYPERLINK("https://www.kleinanzeigen.de/s-bestandsliste.html?userId=120629352", "Link")</f>
        <v/>
      </c>
      <c r="K526" s="7" t="n">
        <v>45556.93663194445</v>
      </c>
      <c r="L526" s="3" t="inlineStr">
        <is>
          <t>136.78</t>
        </is>
      </c>
      <c r="M526" t="inlineStr">
        <is>
          <t>Köln</t>
        </is>
      </c>
    </row>
    <row r="527">
      <c r="A527" t="inlineStr">
        <is>
          <t>NEU Simms Bugstopper Solarflex Hoody Langarmhemd Größe M Sage</t>
        </is>
      </c>
      <c r="B527" s="4" t="n">
        <v>100</v>
      </c>
      <c r="C527" t="inlineStr">
        <is>
          <t>VB</t>
        </is>
      </c>
      <c r="D527" t="inlineStr">
        <is>
          <t>14770 Brandenburg - Brandenburg an der Havel</t>
        </is>
      </c>
      <c r="E527" s="5" t="n">
        <v>45555</v>
      </c>
      <c r="F527" t="inlineStr"/>
      <c r="G527" s="6">
        <f>HYPERLINK("https://www.kleinanzeigen.de/s-anzeige/neu-simms-bugstopper-solarflex-hoody-langarmhemd-groesse-m-sage/2869245939-187-7739", "Link")</f>
        <v/>
      </c>
      <c r="H527" s="6">
        <f>HYPERLINK("C:\Projects\Kleinanzeigen-Scraper\offer_images\2869245939", "Link")</f>
        <v/>
      </c>
      <c r="I527" t="inlineStr">
        <is>
          <t>Paul</t>
        </is>
      </c>
      <c r="J527" s="6">
        <f>HYPERLINK("https://www.kleinanzeigen.de/s-bestandsliste.html?userId=23023096", "Link")</f>
        <v/>
      </c>
      <c r="K527" s="7" t="n">
        <v>45556.93643518518</v>
      </c>
      <c r="L527" s="3" t="inlineStr">
        <is>
          <t>416.86</t>
        </is>
      </c>
      <c r="M527" t="inlineStr">
        <is>
          <t>Köln</t>
        </is>
      </c>
    </row>
    <row r="528">
      <c r="A528" t="inlineStr">
        <is>
          <t>North Orbit 12m, 2022</t>
        </is>
      </c>
      <c r="B528" s="4" t="n">
        <v>580</v>
      </c>
      <c r="C528" t="inlineStr"/>
      <c r="D528" t="inlineStr">
        <is>
          <t>20251 Hamburg-Nord - Hamburg Eppendorf</t>
        </is>
      </c>
      <c r="E528" s="5" t="n">
        <v>45556</v>
      </c>
      <c r="F528" t="inlineStr"/>
      <c r="G528" s="6">
        <f>HYPERLINK("https://www.kleinanzeigen.de/s-anzeige/north-orbit-12m-2022/2869925517-230-9475", "Link")</f>
        <v/>
      </c>
      <c r="H528" s="6">
        <f>HYPERLINK("C:\Projects\Kleinanzeigen-Scraper\offer_images\2869925517", "Link")</f>
        <v/>
      </c>
      <c r="I528" t="inlineStr">
        <is>
          <t>Niko</t>
        </is>
      </c>
      <c r="J528" s="6">
        <f>HYPERLINK("https://www.kleinanzeigen.de/s-bestandsliste.html?userId=20332173", "Link")</f>
        <v/>
      </c>
      <c r="K528" s="7" t="n">
        <v>45556.93638888889</v>
      </c>
      <c r="L528" s="3" t="inlineStr">
        <is>
          <t>360.06</t>
        </is>
      </c>
      <c r="M528" t="inlineStr">
        <is>
          <t>Köln</t>
        </is>
      </c>
    </row>
    <row r="529">
      <c r="A529" t="inlineStr">
        <is>
          <t>Surfmast Neil Pryde X6 460 SDM Windsurfen</t>
        </is>
      </c>
      <c r="B529" s="4" t="n">
        <v>130</v>
      </c>
      <c r="C529" t="inlineStr"/>
      <c r="D529" t="inlineStr">
        <is>
          <t>76448 Baden-Württemberg - Durmersheim</t>
        </is>
      </c>
      <c r="E529" s="5" t="n">
        <v>45546</v>
      </c>
      <c r="F529" t="inlineStr">
        <is>
          <t>Sold</t>
        </is>
      </c>
      <c r="G529" s="6">
        <f>HYPERLINK("https://www.kleinanzeigen.de/s-anzeige/surfmast-neil-pryde-x6-460-sdm-windsurfen/2860418842-230-8165", "Link")</f>
        <v/>
      </c>
      <c r="H529" s="6">
        <f>HYPERLINK("C:\Projects\Kleinanzeigen-Scraper\offer_images\2860418842", "Link")</f>
        <v/>
      </c>
      <c r="I529" t="inlineStr">
        <is>
          <t>Thomas S.</t>
        </is>
      </c>
      <c r="J529" s="6">
        <f>HYPERLINK("https://www.kleinanzeigen.de/s-bestandsliste.html?userId=61821198", "Link")</f>
        <v/>
      </c>
      <c r="K529" s="7" t="n">
        <v>45556.93635416667</v>
      </c>
      <c r="L529" s="3" t="inlineStr">
        <is>
          <t>10.55</t>
        </is>
      </c>
      <c r="M529" t="inlineStr">
        <is>
          <t>Karlsruhe</t>
        </is>
      </c>
    </row>
    <row r="530">
      <c r="A530" t="inlineStr">
        <is>
          <t>Stunt Scooter Deck North Horizon</t>
        </is>
      </c>
      <c r="B530" s="4" t="n">
        <v>100</v>
      </c>
      <c r="C530" t="inlineStr">
        <is>
          <t>VB</t>
        </is>
      </c>
      <c r="D530" t="inlineStr">
        <is>
          <t>73760 Baden-Württemberg - Ostfildern</t>
        </is>
      </c>
      <c r="E530" s="5" t="n">
        <v>45553</v>
      </c>
      <c r="F530" t="inlineStr"/>
      <c r="G530" s="6">
        <f>HYPERLINK("https://www.kleinanzeigen.de/s-anzeige/stunt-scooter-deck-north-horizon/2867562026-187-8437", "Link")</f>
        <v/>
      </c>
      <c r="H530" s="6">
        <f>HYPERLINK("C:\Projects\Kleinanzeigen-Scraper\offer_images\2867562026", "Link")</f>
        <v/>
      </c>
      <c r="I530" t="inlineStr">
        <is>
          <t>Kemnat</t>
        </is>
      </c>
      <c r="J530" s="6">
        <f>HYPERLINK("https://www.kleinanzeigen.de/s-bestandsliste.html?userId=128801859", "Link")</f>
        <v/>
      </c>
      <c r="K530" s="7" t="n">
        <v>45556.93630787037</v>
      </c>
      <c r="L530" s="3" t="inlineStr">
        <is>
          <t>21.07</t>
        </is>
      </c>
      <c r="M530" t="inlineStr">
        <is>
          <t>Böblingen</t>
        </is>
      </c>
    </row>
    <row r="531">
      <c r="A531" t="inlineStr">
        <is>
          <t>Fanatic SUP Fly Air OVP - NEU</t>
        </is>
      </c>
      <c r="B531" s="4" t="n">
        <v>350</v>
      </c>
      <c r="C531" t="inlineStr">
        <is>
          <t>VB</t>
        </is>
      </c>
      <c r="D531" t="inlineStr">
        <is>
          <t>12435 Berlin - Treptow</t>
        </is>
      </c>
      <c r="E531" s="5" t="n">
        <v>45550</v>
      </c>
      <c r="F531" t="inlineStr">
        <is>
          <t>Sold</t>
        </is>
      </c>
      <c r="G531" s="6">
        <f>HYPERLINK("https://www.kleinanzeigen.de/s-anzeige/fanatic-sup-fly-air-ovp-neu/2864821593-230-3480", "Link")</f>
        <v/>
      </c>
      <c r="H531" s="6">
        <f>HYPERLINK("C:\Projects\Kleinanzeigen-Scraper\offer_images\2864821593", "Link")</f>
        <v/>
      </c>
      <c r="I531" t="inlineStr">
        <is>
          <t>Daniel</t>
        </is>
      </c>
      <c r="J531" s="6">
        <f>HYPERLINK("https://www.kleinanzeigen.de/s-bestandsliste.html?userId=7743440", "Link")</f>
        <v/>
      </c>
      <c r="K531" s="7" t="n">
        <v>45556.93582175926</v>
      </c>
      <c r="L531" s="3" t="inlineStr">
        <is>
          <t>480.49</t>
        </is>
      </c>
      <c r="M531" t="inlineStr">
        <is>
          <t>Köln</t>
        </is>
      </c>
    </row>
    <row r="532">
      <c r="A532" t="inlineStr">
        <is>
          <t>Surfbrett - STARBOARD go - 144L</t>
        </is>
      </c>
      <c r="B532" s="4" t="n">
        <v>770</v>
      </c>
      <c r="C532" t="inlineStr">
        <is>
          <t>VB</t>
        </is>
      </c>
      <c r="D532" t="inlineStr">
        <is>
          <t>35516 Hessen - Münzenberg</t>
        </is>
      </c>
      <c r="E532" s="5" t="n">
        <v>45556</v>
      </c>
      <c r="F532" t="inlineStr"/>
      <c r="G532" s="6">
        <f>HYPERLINK("https://www.kleinanzeigen.de/s-anzeige/surfbrett-starboard-go-144l/2870068888-230-4726", "Link")</f>
        <v/>
      </c>
      <c r="H532" s="6">
        <f>HYPERLINK("C:\Projects\Kleinanzeigen-Scraper\offer_images\2870068888", "Link")</f>
        <v/>
      </c>
      <c r="I532" t="inlineStr">
        <is>
          <t>Gerd Lohnert</t>
        </is>
      </c>
      <c r="J532" s="6">
        <f>HYPERLINK("https://www.kleinanzeigen.de/s-bestandsliste.html?userId=120629352", "Link")</f>
        <v/>
      </c>
      <c r="K532" s="7" t="n">
        <v>45556.93579861111</v>
      </c>
      <c r="L532" s="3" t="inlineStr">
        <is>
          <t>136.78</t>
        </is>
      </c>
      <c r="M532" t="inlineStr">
        <is>
          <t>Köln</t>
        </is>
      </c>
    </row>
    <row r="533">
      <c r="A533" t="inlineStr">
        <is>
          <t>GUN SAILS GS-F Foilsegel 8.4 2024 NEU</t>
        </is>
      </c>
      <c r="B533" s="4" t="n">
        <v>590</v>
      </c>
      <c r="C533" t="inlineStr"/>
      <c r="D533" t="inlineStr">
        <is>
          <t>75334 Baden-Württemberg - Straubenhardt</t>
        </is>
      </c>
      <c r="E533" s="5" t="n">
        <v>45538</v>
      </c>
      <c r="F533" t="inlineStr"/>
      <c r="G533" s="6">
        <f>HYPERLINK("https://www.kleinanzeigen.de/s-anzeige/gun-sails-gs-f-foilsegel-8-4-2024-neu/2853269897-230-8117", "Link")</f>
        <v/>
      </c>
      <c r="H533" s="6">
        <f>HYPERLINK("C:\Projects\Kleinanzeigen-Scraper\offer_images\2853269897", "Link")</f>
        <v/>
      </c>
      <c r="I533" t="inlineStr">
        <is>
          <t>Jonne</t>
        </is>
      </c>
      <c r="J533" s="6">
        <f>HYPERLINK("https://www.kleinanzeigen.de/s-bestandsliste.html?userId=139390681", "Link")</f>
        <v/>
      </c>
      <c r="K533" s="7" t="n">
        <v>45556.93553240741</v>
      </c>
      <c r="L533" s="3" t="inlineStr">
        <is>
          <t>21.11</t>
        </is>
      </c>
      <c r="M533" t="inlineStr">
        <is>
          <t>Karlsruhe</t>
        </is>
      </c>
    </row>
    <row r="534">
      <c r="A534" t="inlineStr">
        <is>
          <t>Villeroy und Boch Santa North Pol</t>
        </is>
      </c>
      <c r="B534" s="4" t="n">
        <v>80</v>
      </c>
      <c r="C534" t="inlineStr"/>
      <c r="D534" t="inlineStr">
        <is>
          <t>40789 Nordrhein-Westfalen - Monheim am Rhein</t>
        </is>
      </c>
      <c r="E534" s="5" t="n">
        <v>45553</v>
      </c>
      <c r="F534" t="inlineStr"/>
      <c r="G534" s="6">
        <f>HYPERLINK("https://www.kleinanzeigen.de/s-anzeige/villeroy-und-boch-santa-north-pol/2867488135-234-1116", "Link")</f>
        <v/>
      </c>
      <c r="H534" s="6">
        <f>HYPERLINK("C:\Projects\Kleinanzeigen-Scraper\offer_images\2867488135", "Link")</f>
        <v/>
      </c>
      <c r="I534" t="inlineStr">
        <is>
          <t>Bärbel</t>
        </is>
      </c>
      <c r="J534" s="6">
        <f>HYPERLINK("https://www.kleinanzeigen.de/s-bestandsliste.html?userId=92478166", "Link")</f>
        <v/>
      </c>
      <c r="K534" s="7" t="n">
        <v>45556.93550925926</v>
      </c>
      <c r="L534" s="3" t="inlineStr">
        <is>
          <t>18.00</t>
        </is>
      </c>
      <c r="M534" t="inlineStr">
        <is>
          <t>Köln</t>
        </is>
      </c>
    </row>
    <row r="535">
      <c r="A535" t="inlineStr">
        <is>
          <t>SUP Board RRD Air Evo Tourer, aufblasbar - 12’ x 33“ x 6“</t>
        </is>
      </c>
      <c r="B535" s="4" t="n">
        <v>510</v>
      </c>
      <c r="C535" t="inlineStr"/>
      <c r="D535" t="inlineStr">
        <is>
          <t>20259 Eimsbüttel - Hamburg Eimsbüttel (Stadtteil)</t>
        </is>
      </c>
      <c r="E535" s="5" t="n">
        <v>45523</v>
      </c>
      <c r="F535" t="inlineStr"/>
      <c r="G535" s="6">
        <f>HYPERLINK("https://www.kleinanzeigen.de/s-anzeige/sup-board-rrd-air-evo-tourer-aufblasbar-12-x-33-x-6-/2841345519-230-9427", "Link")</f>
        <v/>
      </c>
      <c r="H535" s="6">
        <f>HYPERLINK("C:\Projects\Kleinanzeigen-Scraper\offer_images\2841345519", "Link")</f>
        <v/>
      </c>
      <c r="I535" t="inlineStr">
        <is>
          <t>Matthias</t>
        </is>
      </c>
      <c r="J535" s="6">
        <f>HYPERLINK("https://www.kleinanzeigen.de/s-bestandsliste.html?userId=7929043", "Link")</f>
        <v/>
      </c>
      <c r="K535" s="7" t="n">
        <v>45556.93538194444</v>
      </c>
      <c r="L535" s="3" t="inlineStr">
        <is>
          <t>356.92</t>
        </is>
      </c>
      <c r="M535" t="inlineStr">
        <is>
          <t>Köln</t>
        </is>
      </c>
    </row>
    <row r="536">
      <c r="A536" t="inlineStr">
        <is>
          <t>Neilpryde Glide Surf HP 23, Kauf oder Tausch</t>
        </is>
      </c>
      <c r="B536" s="4" t="n">
        <v>289</v>
      </c>
      <c r="C536" t="inlineStr">
        <is>
          <t>VB</t>
        </is>
      </c>
      <c r="D536" t="inlineStr">
        <is>
          <t>42551 Nordrhein-Westfalen - Velbert</t>
        </is>
      </c>
      <c r="E536" s="5" t="n">
        <v>45555</v>
      </c>
      <c r="F536" t="inlineStr">
        <is>
          <t>Sold</t>
        </is>
      </c>
      <c r="G536" s="6">
        <f>HYPERLINK("https://www.kleinanzeigen.de/s-anzeige/neilpryde-glide-surf-hp-23-kauf-oder-tausch/2868935871-230-1749", "Link")</f>
        <v/>
      </c>
      <c r="H536" s="6">
        <f>HYPERLINK("C:\Projects\Kleinanzeigen-Scraper\offer_images\2868935871", "Link")</f>
        <v/>
      </c>
      <c r="I536" t="inlineStr">
        <is>
          <t>T. Jager</t>
        </is>
      </c>
      <c r="J536" s="6">
        <f>HYPERLINK("https://www.kleinanzeigen.de/s-bestandsliste.html?userId=3152268", "Link")</f>
        <v/>
      </c>
      <c r="K536" s="7" t="n">
        <v>45556.93490740741</v>
      </c>
      <c r="L536" s="3" t="inlineStr">
        <is>
          <t>46.29</t>
        </is>
      </c>
      <c r="M536" t="inlineStr">
        <is>
          <t>Köln</t>
        </is>
      </c>
    </row>
    <row r="537">
      <c r="A537" t="inlineStr">
        <is>
          <t>North Vegas 2011 10 m2</t>
        </is>
      </c>
      <c r="B537" s="4" t="n">
        <v>90</v>
      </c>
      <c r="C537" t="inlineStr"/>
      <c r="D537" t="inlineStr">
        <is>
          <t>94501 Bayern - Aidenbach</t>
        </is>
      </c>
      <c r="E537" s="5" t="n">
        <v>45556</v>
      </c>
      <c r="F537" t="inlineStr"/>
      <c r="G537" s="6">
        <f>HYPERLINK("https://www.kleinanzeigen.de/s-anzeige/north-vegas-2011-10-m2/2869935681-230-18529", "Link")</f>
        <v/>
      </c>
      <c r="H537" s="6">
        <f>HYPERLINK("C:\Projects\Kleinanzeigen-Scraper\offer_images\2869935681", "Link")</f>
        <v/>
      </c>
      <c r="I537" t="inlineStr">
        <is>
          <t>Michael</t>
        </is>
      </c>
      <c r="J537" s="6">
        <f>HYPERLINK("https://www.kleinanzeigen.de/s-bestandsliste.html?userId=15666127", "Link")</f>
        <v/>
      </c>
      <c r="K537" s="7" t="n">
        <v>45556.93488425926</v>
      </c>
      <c r="L537" s="3" t="inlineStr">
        <is>
          <t>120.63</t>
        </is>
      </c>
      <c r="M537" t="inlineStr">
        <is>
          <t>München</t>
        </is>
      </c>
    </row>
    <row r="538">
      <c r="A538" t="inlineStr">
        <is>
          <t>HIFly Mast 460 cm und Gaastra Mast 400 cm inkl. Tasche Windsurfen</t>
        </is>
      </c>
      <c r="B538" s="4" t="n">
        <v>95</v>
      </c>
      <c r="C538" t="inlineStr">
        <is>
          <t>VB</t>
        </is>
      </c>
      <c r="D538" t="inlineStr">
        <is>
          <t>25355 Kreis Pinneberg - Barmstedt</t>
        </is>
      </c>
      <c r="E538" s="5" t="n">
        <v>45555</v>
      </c>
      <c r="F538" t="inlineStr">
        <is>
          <t>Sold</t>
        </is>
      </c>
      <c r="G538" s="6">
        <f>HYPERLINK("https://www.kleinanzeigen.de/s-anzeige/hifly-mast-460-cm-und-gaastra-mast-400-cm-inkl-tasche-windsurfen/2869305443-230-16677", "Link")</f>
        <v/>
      </c>
      <c r="H538" s="6">
        <f>HYPERLINK("C:\Projects\Kleinanzeigen-Scraper\offer_images\2869305443", "Link")</f>
        <v/>
      </c>
      <c r="I538" t="inlineStr">
        <is>
          <t>Hansi</t>
        </is>
      </c>
      <c r="J538" s="6">
        <f>HYPERLINK("https://www.kleinanzeigen.de/s-bestandsliste.html?userId=73580626", "Link")</f>
        <v/>
      </c>
      <c r="K538" s="7" t="n">
        <v>45556.9346875</v>
      </c>
      <c r="L538" s="3" t="inlineStr">
        <is>
          <t>371.91</t>
        </is>
      </c>
      <c r="M538" t="inlineStr">
        <is>
          <t>Köln</t>
        </is>
      </c>
    </row>
    <row r="539">
      <c r="A539" t="inlineStr">
        <is>
          <t>Surfbus Kastenwagen Wohnmobil Windsurfen Surfen Solar</t>
        </is>
      </c>
      <c r="B539" s="4" t="n">
        <v>47.5</v>
      </c>
      <c r="C539" t="inlineStr">
        <is>
          <t>VB</t>
        </is>
      </c>
      <c r="D539" t="inlineStr">
        <is>
          <t>51147 Köln - Porz</t>
        </is>
      </c>
      <c r="E539" s="5" t="n">
        <v>45556</v>
      </c>
      <c r="F539" t="inlineStr"/>
      <c r="G539" s="6">
        <f>HYPERLINK("https://www.kleinanzeigen.de/s-anzeige/surfbus-kastenwagen-wohnmobil-windsurfen-surfen-solar/2869669509-220-961", "Link")</f>
        <v/>
      </c>
      <c r="H539" s="6">
        <f>HYPERLINK("C:\Projects\Kleinanzeigen-Scraper\offer_images\2869669509", "Link")</f>
        <v/>
      </c>
      <c r="I539" t="inlineStr">
        <is>
          <t>David Maes</t>
        </is>
      </c>
      <c r="J539" s="6">
        <f>HYPERLINK("https://www.kleinanzeigen.de/s-bestandsliste.html?userId=34144277", "Link")</f>
        <v/>
      </c>
      <c r="K539" s="7" t="n">
        <v>45556.93451388889</v>
      </c>
      <c r="L539" s="3" t="inlineStr">
        <is>
          <t>14.27</t>
        </is>
      </c>
      <c r="M539" t="inlineStr">
        <is>
          <t>Köln</t>
        </is>
      </c>
    </row>
    <row r="540">
      <c r="A540" t="inlineStr">
        <is>
          <t>North Rebel 10qm (jetzt Duotone)</t>
        </is>
      </c>
      <c r="B540" s="4" t="n">
        <v>268</v>
      </c>
      <c r="C540" t="inlineStr">
        <is>
          <t>VB</t>
        </is>
      </c>
      <c r="D540" t="inlineStr">
        <is>
          <t>41189 Nordrhein-Westfalen - Mönchengladbach</t>
        </is>
      </c>
      <c r="E540" s="5" t="n">
        <v>45555</v>
      </c>
      <c r="F540" t="inlineStr">
        <is>
          <t>Sold</t>
        </is>
      </c>
      <c r="G540" s="6">
        <f>HYPERLINK("https://www.kleinanzeigen.de/s-anzeige/north-rebel-10qm-jetzt-duotone-/2869013228-230-1959", "Link")</f>
        <v/>
      </c>
      <c r="H540" s="6">
        <f>HYPERLINK("C:\Projects\Kleinanzeigen-Scraper\offer_images\2869013228", "Link")</f>
        <v/>
      </c>
      <c r="I540" t="inlineStr">
        <is>
          <t>Brockmann</t>
        </is>
      </c>
      <c r="J540" s="6">
        <f>HYPERLINK("https://www.kleinanzeigen.de/s-bestandsliste.html?userId=13740340", "Link")</f>
        <v/>
      </c>
      <c r="K540" s="7" t="n">
        <v>45556.9344212963</v>
      </c>
      <c r="L540" s="3" t="inlineStr">
        <is>
          <t>43.31</t>
        </is>
      </c>
      <c r="M540" t="inlineStr">
        <is>
          <t>Köln</t>
        </is>
      </c>
    </row>
    <row r="541">
      <c r="A541" t="inlineStr">
        <is>
          <t>Isabella Air Cirrus North 300</t>
        </is>
      </c>
      <c r="B541" s="4" t="n">
        <v>1.449</v>
      </c>
      <c r="C541" t="inlineStr">
        <is>
          <t>VB</t>
        </is>
      </c>
      <c r="D541" t="inlineStr">
        <is>
          <t>24975 Schleswig-Holstein - Husby</t>
        </is>
      </c>
      <c r="E541" s="5" t="n">
        <v>45555</v>
      </c>
      <c r="F541" t="inlineStr">
        <is>
          <t>Sold</t>
        </is>
      </c>
      <c r="G541" s="6">
        <f>HYPERLINK("https://www.kleinanzeigen.de/s-anzeige/isabella-air-cirrus-north-300/2868956971-230-23308", "Link")</f>
        <v/>
      </c>
      <c r="H541" s="6">
        <f>HYPERLINK("C:\Projects\Kleinanzeigen-Scraper\offer_images\2868956971", "Link")</f>
        <v/>
      </c>
      <c r="I541" t="inlineStr">
        <is>
          <t>Marie Josten</t>
        </is>
      </c>
      <c r="J541" s="6">
        <f>HYPERLINK("https://www.kleinanzeigen.de/s-bestandsliste.html?userId=50948149", "Link")</f>
        <v/>
      </c>
      <c r="K541" s="7" t="n">
        <v>45556.93413194444</v>
      </c>
      <c r="L541" s="3" t="inlineStr">
        <is>
          <t>458.46</t>
        </is>
      </c>
      <c r="M541" t="inlineStr">
        <is>
          <t>Köln</t>
        </is>
      </c>
    </row>
    <row r="542">
      <c r="A542" t="inlineStr">
        <is>
          <t>Neues Isabella Vorzelt Capri North Hymer/Eriba Touring Troll G12</t>
        </is>
      </c>
      <c r="B542" s="4" t="n">
        <v>1.6</v>
      </c>
      <c r="C542" t="inlineStr">
        <is>
          <t>VB</t>
        </is>
      </c>
      <c r="D542" t="inlineStr">
        <is>
          <t>73557 Baden-Württemberg - Mutlangen</t>
        </is>
      </c>
      <c r="E542" s="5" t="n">
        <v>45553</v>
      </c>
      <c r="F542" t="inlineStr"/>
      <c r="G542" s="6">
        <f>HYPERLINK("https://www.kleinanzeigen.de/s-anzeige/neues-isabella-vorzelt-capri-north-hymer-eriba-touring-troll-g12/2823216836-230-9010", "Link")</f>
        <v/>
      </c>
      <c r="H542" s="6">
        <f>HYPERLINK("C:\Projects\Kleinanzeigen-Scraper\offer_images\2823216836", "Link")</f>
        <v/>
      </c>
      <c r="I542" t="inlineStr">
        <is>
          <t>Anne</t>
        </is>
      </c>
      <c r="J542" s="6">
        <f>HYPERLINK("https://www.kleinanzeigen.de/s-bestandsliste.html?userId=72461911", "Link")</f>
        <v/>
      </c>
      <c r="K542" s="7" t="n">
        <v>45556.93407407407</v>
      </c>
      <c r="L542" s="3" t="inlineStr">
        <is>
          <t>61.96</t>
        </is>
      </c>
      <c r="M542" t="inlineStr">
        <is>
          <t>Böblingen</t>
        </is>
      </c>
    </row>
    <row r="543">
      <c r="A543" t="inlineStr">
        <is>
          <t>Karton für Board</t>
        </is>
      </c>
      <c r="B543" s="4" t="n">
        <v>0</v>
      </c>
      <c r="C543" t="inlineStr"/>
      <c r="D543" t="inlineStr">
        <is>
          <t>14669 Ketzin</t>
        </is>
      </c>
      <c r="E543" s="5" t="n">
        <v>45552</v>
      </c>
      <c r="F543" t="inlineStr">
        <is>
          <t>Sold</t>
        </is>
      </c>
      <c r="G543" s="6">
        <f>HYPERLINK("https://www.dailydose.de/kleinanzeigen/detail.htm?ai=422766&amp;cf=kk&amp;pg=5&amp;ci=11", "Link")</f>
        <v/>
      </c>
      <c r="H543" s="6">
        <f>HYPERLINK("C:\Projects\Kleinanzeigen-Scraper\offer_images\422766", "Link")</f>
        <v/>
      </c>
      <c r="I543" t="inlineStr">
        <is>
          <t>Longboardheizer</t>
        </is>
      </c>
      <c r="J543" s="6">
        <f>HYPERLINK("https://www.dailydose.de/kleinanzeigen/user/17650", "Link")</f>
        <v/>
      </c>
      <c r="K543" s="7" t="n">
        <v>45555.56680555556</v>
      </c>
      <c r="L543" s="3" t="inlineStr">
        <is>
          <t>440.77</t>
        </is>
      </c>
      <c r="M543" t="inlineStr">
        <is>
          <t>Köln</t>
        </is>
      </c>
    </row>
    <row r="544">
      <c r="A544" t="inlineStr">
        <is>
          <t>Naish Hover 125L 2020</t>
        </is>
      </c>
      <c r="B544" s="4" t="n">
        <v>400</v>
      </c>
      <c r="C544" t="inlineStr"/>
      <c r="D544" t="inlineStr">
        <is>
          <t>23669</t>
        </is>
      </c>
      <c r="E544" s="5" t="n">
        <v>45554</v>
      </c>
      <c r="F544" t="inlineStr"/>
      <c r="G544" s="6">
        <f>HYPERLINK("https://www.dailydose.de/kleinanzeigen/detail.htm?ai=422863&amp;cf=kk&amp;pg=5&amp;ci=11", "Link")</f>
        <v/>
      </c>
      <c r="H544" s="6">
        <f>HYPERLINK("C:\Projects\Kleinanzeigen-Scraper\offer_images\422863", "Link")</f>
        <v/>
      </c>
      <c r="I544" t="inlineStr">
        <is>
          <t>nclkth</t>
        </is>
      </c>
      <c r="J544" s="6">
        <f>HYPERLINK("https://www.dailydose.de/kleinanzeigen/user/17621", "Link")</f>
        <v/>
      </c>
      <c r="K544" s="7" t="n">
        <v>45555.5665162037</v>
      </c>
      <c r="L544" s="3" t="inlineStr">
        <is>
          <t>425.88</t>
        </is>
      </c>
      <c r="M544" t="inlineStr">
        <is>
          <t>Köln</t>
        </is>
      </c>
    </row>
    <row r="545">
      <c r="A545" t="inlineStr">
        <is>
          <t>Gasgrill North Bay</t>
        </is>
      </c>
      <c r="B545" s="4" t="n">
        <v>150</v>
      </c>
      <c r="C545" t="inlineStr"/>
      <c r="D545" t="inlineStr">
        <is>
          <t>23795 Schleswig-Holstein - Bad Segeberg</t>
        </is>
      </c>
      <c r="E545" s="5" t="n">
        <v>45553</v>
      </c>
      <c r="F545" t="inlineStr"/>
      <c r="G545" s="6">
        <f>HYPERLINK("https://www.kleinanzeigen.de/s-anzeige/gasgrill-north-bay/2867378324-187-13372", "Link")</f>
        <v/>
      </c>
      <c r="H545" s="6">
        <f>HYPERLINK("C:\Projects\Kleinanzeigen-Scraper\offer_images\2867378324", "Link")</f>
        <v/>
      </c>
      <c r="I545" t="inlineStr">
        <is>
          <t>Bien</t>
        </is>
      </c>
      <c r="J545" s="6">
        <f>HYPERLINK("https://www.kleinanzeigen.de/s-bestandsliste.html?userId=5205608", "Link")</f>
        <v/>
      </c>
      <c r="K545" s="7" t="n">
        <v>45555.56549768519</v>
      </c>
      <c r="L545" s="3" t="inlineStr">
        <is>
          <t>402.01</t>
        </is>
      </c>
      <c r="M545" t="inlineStr">
        <is>
          <t>Köln</t>
        </is>
      </c>
    </row>
    <row r="546">
      <c r="A546" t="inlineStr">
        <is>
          <t>NEU Paket SUP Stand up Paddle board Fanatic Fly Air Premium 10‘4</t>
        </is>
      </c>
      <c r="B546" s="4" t="n">
        <v>400</v>
      </c>
      <c r="C546" t="inlineStr"/>
      <c r="D546" t="inlineStr">
        <is>
          <t>41066 Nordrhein-Westfalen - Mönchengladbach</t>
        </is>
      </c>
      <c r="E546" s="5" t="n">
        <v>45553</v>
      </c>
      <c r="F546" t="inlineStr">
        <is>
          <t>Sold</t>
        </is>
      </c>
      <c r="G546" s="6">
        <f>HYPERLINK("https://www.kleinanzeigen.de/s-anzeige/neu-paket-sup-stand-up-paddle-board-fanatic-fly-air-premium-10-4/2867118882-230-1968", "Link")</f>
        <v/>
      </c>
      <c r="H546" s="6">
        <f>HYPERLINK("C:\Projects\Kleinanzeigen-Scraper\offer_images\2867118882", "Link")</f>
        <v/>
      </c>
      <c r="I546" t="inlineStr">
        <is>
          <t>Daniel Beckers</t>
        </is>
      </c>
      <c r="J546" s="6">
        <f>HYPERLINK("https://www.kleinanzeigen.de/s-bestandsliste.html?userId=11524912", "Link")</f>
        <v/>
      </c>
      <c r="K546" s="7" t="n">
        <v>45555.56547453703</v>
      </c>
      <c r="L546" s="3" t="inlineStr">
        <is>
          <t>46.71</t>
        </is>
      </c>
      <c r="M546" t="inlineStr">
        <is>
          <t>Köln</t>
        </is>
      </c>
    </row>
    <row r="547">
      <c r="A547" t="inlineStr">
        <is>
          <t>The North Face Rock 22 - Zelt für 2 Personen</t>
        </is>
      </c>
      <c r="B547" s="4" t="n">
        <v>40</v>
      </c>
      <c r="C547" t="inlineStr">
        <is>
          <t>VB</t>
        </is>
      </c>
      <c r="D547" t="inlineStr">
        <is>
          <t>65929 West - Unterliederbach</t>
        </is>
      </c>
      <c r="E547" s="5" t="n">
        <v>45553</v>
      </c>
      <c r="F547" t="inlineStr">
        <is>
          <t>Sold</t>
        </is>
      </c>
      <c r="G547" s="6">
        <f>HYPERLINK("https://www.kleinanzeigen.de/s-anzeige/the-north-face-rock-22-zelt-fuer-2-personen/2867367864-230-16331", "Link")</f>
        <v/>
      </c>
      <c r="H547" s="6">
        <f>HYPERLINK("C:\Projects\Kleinanzeigen-Scraper\offer_images\2867367864", "Link")</f>
        <v/>
      </c>
      <c r="I547" t="inlineStr">
        <is>
          <t>Marc</t>
        </is>
      </c>
      <c r="J547" s="6">
        <f>HYPERLINK("https://www.kleinanzeigen.de/s-bestandsliste.html?userId=20151863", "Link")</f>
        <v/>
      </c>
      <c r="K547" s="7" t="n">
        <v>45555.56545138889</v>
      </c>
      <c r="L547" s="3" t="inlineStr">
        <is>
          <t>122.16</t>
        </is>
      </c>
      <c r="M547" t="inlineStr">
        <is>
          <t>Karlsruhe</t>
        </is>
      </c>
    </row>
    <row r="548">
      <c r="A548" t="inlineStr">
        <is>
          <t>Trampolin North Adventurer</t>
        </is>
      </c>
      <c r="B548" s="4" t="n">
        <v>300</v>
      </c>
      <c r="C548" t="inlineStr"/>
      <c r="D548" t="inlineStr">
        <is>
          <t>36391 Hessen - Sinntal</t>
        </is>
      </c>
      <c r="E548" s="5" t="n">
        <v>45552</v>
      </c>
      <c r="F548" t="inlineStr"/>
      <c r="G548" s="6">
        <f>HYPERLINK("https://www.kleinanzeigen.de/s-anzeige/trampolin-north-adventurer/2866573807-242-4603", "Link")</f>
        <v/>
      </c>
      <c r="H548" s="6">
        <f>HYPERLINK("C:\Projects\Kleinanzeigen-Scraper\offer_images\2866573807", "Link")</f>
        <v/>
      </c>
      <c r="I548" t="inlineStr">
        <is>
          <t>K. Beßler</t>
        </is>
      </c>
      <c r="J548" s="6">
        <f>HYPERLINK("https://www.kleinanzeigen.de/s-bestandsliste.html?userId=46116302", "Link")</f>
        <v/>
      </c>
      <c r="K548" s="7" t="n">
        <v>45555.56532407407</v>
      </c>
      <c r="L548" s="3" t="inlineStr">
        <is>
          <t>168.75</t>
        </is>
      </c>
      <c r="M548" t="inlineStr">
        <is>
          <t>Karlsruhe</t>
        </is>
      </c>
    </row>
    <row r="549">
      <c r="A549" t="inlineStr">
        <is>
          <t>North Orbit 2024 10m // inkl. Garantie</t>
        </is>
      </c>
      <c r="B549" s="4" t="n">
        <v>1</v>
      </c>
      <c r="C549" t="inlineStr">
        <is>
          <t>VB</t>
        </is>
      </c>
      <c r="D549" t="inlineStr">
        <is>
          <t>53173 Bonn - Bad Godesberg</t>
        </is>
      </c>
      <c r="E549" s="5" t="n">
        <v>45552</v>
      </c>
      <c r="F549" t="inlineStr"/>
      <c r="G549" s="6">
        <f>HYPERLINK("https://www.kleinanzeigen.de/s-anzeige/north-orbit-2024-10m-inkl-garantie/2866555478-230-1052", "Link")</f>
        <v/>
      </c>
      <c r="H549" s="6">
        <f>HYPERLINK("C:\Projects\Kleinanzeigen-Scraper\offer_images\2866555478", "Link")</f>
        <v/>
      </c>
      <c r="I549" t="inlineStr">
        <is>
          <t>Nik</t>
        </is>
      </c>
      <c r="J549" s="6">
        <f>HYPERLINK("https://www.kleinanzeigen.de/s-bestandsliste.html?userId=26940413", "Link")</f>
        <v/>
      </c>
      <c r="K549" s="7" t="n">
        <v>45555.56525462963</v>
      </c>
      <c r="L549" s="3" t="inlineStr">
        <is>
          <t>31.51</t>
        </is>
      </c>
      <c r="M549" t="inlineStr">
        <is>
          <t>Köln</t>
        </is>
      </c>
    </row>
    <row r="550">
      <c r="A550" t="inlineStr">
        <is>
          <t>3 Campingstühle von North camp</t>
        </is>
      </c>
      <c r="B550" s="4" t="n">
        <v>15</v>
      </c>
      <c r="C550" t="inlineStr"/>
      <c r="D550" t="inlineStr">
        <is>
          <t>65189 Hessen - Wiesbaden</t>
        </is>
      </c>
      <c r="E550" s="5" t="n">
        <v>45555</v>
      </c>
      <c r="F550" t="inlineStr">
        <is>
          <t>Sold</t>
        </is>
      </c>
      <c r="G550" s="6">
        <f>HYPERLINK("https://www.kleinanzeigen.de/s-anzeige/3-campingstuehle-von-north-camp/2868646932-230-4904", "Link")</f>
        <v/>
      </c>
      <c r="H550" s="6">
        <f>HYPERLINK("C:\Projects\Kleinanzeigen-Scraper\offer_images\2868646932", "Link")</f>
        <v/>
      </c>
      <c r="I550" t="inlineStr">
        <is>
          <t>Janina Böswetter</t>
        </is>
      </c>
      <c r="J550" s="6">
        <f>HYPERLINK("https://www.kleinanzeigen.de/s-bestandsliste.html?userId=31537775", "Link")</f>
        <v/>
      </c>
      <c r="K550" s="7" t="n">
        <v>45555.56524305556</v>
      </c>
      <c r="L550" s="3" t="inlineStr">
        <is>
          <t>118.94</t>
        </is>
      </c>
      <c r="M550" t="inlineStr">
        <is>
          <t>Karlsruhe</t>
        </is>
      </c>
    </row>
    <row r="551">
      <c r="A551" t="inlineStr">
        <is>
          <t>Duotone Dice 9.0 qm 2023</t>
        </is>
      </c>
      <c r="B551" s="4" t="n">
        <v>990</v>
      </c>
      <c r="C551" t="inlineStr"/>
      <c r="D551" t="inlineStr">
        <is>
          <t>90451 Nürnberg (Mittelfr) - Aussenstadt-Sued</t>
        </is>
      </c>
      <c r="E551" s="5" t="n">
        <v>45554</v>
      </c>
      <c r="F551" t="inlineStr">
        <is>
          <t>Sold</t>
        </is>
      </c>
      <c r="G551" s="6">
        <f>HYPERLINK("https://www.kleinanzeigen.de/s-anzeige/duotone-dice-9-0-qm-2023/2817150729-230-6836", "Link")</f>
        <v/>
      </c>
      <c r="H551" s="6">
        <f>HYPERLINK("C:\Projects\Kleinanzeigen-Scraper\offer_images\2817150729", "Link")</f>
        <v/>
      </c>
      <c r="I551" t="inlineStr">
        <is>
          <t>No user name</t>
        </is>
      </c>
      <c r="J551" s="6">
        <f>HYPERLINK("https://www.kleinanzeigen.deNo user link", "Link")</f>
        <v/>
      </c>
      <c r="K551" s="7" t="n">
        <v>45555.56520833333</v>
      </c>
      <c r="L551" s="3" t="inlineStr">
        <is>
          <t>145.92</t>
        </is>
      </c>
      <c r="M551" t="inlineStr">
        <is>
          <t>München</t>
        </is>
      </c>
    </row>
    <row r="552">
      <c r="A552" t="inlineStr">
        <is>
          <t>Duotone Neo 7m² 7qm</t>
        </is>
      </c>
      <c r="B552" s="4" t="n">
        <v>610</v>
      </c>
      <c r="C552" t="inlineStr"/>
      <c r="D552" t="inlineStr">
        <is>
          <t>18055 Rostock - Stadtmitte</t>
        </is>
      </c>
      <c r="E552" s="5" t="n">
        <v>45554</v>
      </c>
      <c r="F552" t="inlineStr">
        <is>
          <t>Sold</t>
        </is>
      </c>
      <c r="G552" s="6">
        <f>HYPERLINK("https://www.kleinanzeigen.de/s-anzeige/duotone-neo-7m-7qm/2868289205-230-157", "Link")</f>
        <v/>
      </c>
      <c r="H552" s="6">
        <f>HYPERLINK("C:\Projects\Kleinanzeigen-Scraper\offer_images\2868289205", "Link")</f>
        <v/>
      </c>
      <c r="I552" t="inlineStr">
        <is>
          <t>Sebastian</t>
        </is>
      </c>
      <c r="J552" s="6">
        <f>HYPERLINK("https://www.kleinanzeigen.de/s-bestandsliste.html?userId=8973608", "Link")</f>
        <v/>
      </c>
      <c r="K552" s="7" t="n">
        <v>45555.56508101852</v>
      </c>
      <c r="L552" s="3" t="inlineStr">
        <is>
          <t>496.50</t>
        </is>
      </c>
      <c r="M552" t="inlineStr">
        <is>
          <t>Köln</t>
        </is>
      </c>
    </row>
    <row r="553">
      <c r="A553" t="inlineStr">
        <is>
          <t>Duotone Evo Dlab 7qm</t>
        </is>
      </c>
      <c r="B553" s="4" t="n">
        <v>1.49</v>
      </c>
      <c r="C553" t="inlineStr">
        <is>
          <t>VB</t>
        </is>
      </c>
      <c r="D553" t="inlineStr">
        <is>
          <t>24340 Schleswig-Holstein - Windeby</t>
        </is>
      </c>
      <c r="E553" s="5" t="n">
        <v>45553</v>
      </c>
      <c r="F553" t="inlineStr">
        <is>
          <t>Sold</t>
        </is>
      </c>
      <c r="G553" s="6">
        <f>HYPERLINK("https://www.kleinanzeigen.de/s-anzeige/duotone-evo-dlab-7qm/2867631649-230-509", "Link")</f>
        <v/>
      </c>
      <c r="H553" s="6">
        <f>HYPERLINK("C:\Projects\Kleinanzeigen-Scraper\offer_images\2867631649", "Link")</f>
        <v/>
      </c>
      <c r="I553" t="inlineStr">
        <is>
          <t>Jens Dürkop</t>
        </is>
      </c>
      <c r="J553" s="6">
        <f>HYPERLINK("https://www.kleinanzeigen.de/s-bestandsliste.html?userId=12812625", "Link")</f>
        <v/>
      </c>
      <c r="K553" s="7" t="n">
        <v>45555.56501157407</v>
      </c>
      <c r="L553" s="3" t="inlineStr">
        <is>
          <t>434.69</t>
        </is>
      </c>
      <c r="M553" t="inlineStr">
        <is>
          <t>Köln</t>
        </is>
      </c>
    </row>
    <row r="554">
      <c r="A554" t="inlineStr">
        <is>
          <t>Lehrbuch Windsurfen ( Windsurfsegel Segel Mast Gabelbaum</t>
        </is>
      </c>
      <c r="B554" s="4" t="n">
        <v>6</v>
      </c>
      <c r="C554" t="inlineStr"/>
      <c r="D554" t="inlineStr">
        <is>
          <t>81369 München - Sendling</t>
        </is>
      </c>
      <c r="E554" s="5" t="n">
        <v>45552</v>
      </c>
      <c r="F554" t="inlineStr">
        <is>
          <t>Sold</t>
        </is>
      </c>
      <c r="G554" s="6">
        <f>HYPERLINK("https://www.kleinanzeigen.de/s-anzeige/lehrbuch-windsurfen-windsurfsegel-segel-mast-gabelbaum/2866355112-230-16382", "Link")</f>
        <v/>
      </c>
      <c r="H554" s="6">
        <f>HYPERLINK("C:\Projects\Kleinanzeigen-Scraper\offer_images\2866355112", "Link")</f>
        <v/>
      </c>
      <c r="I554" t="inlineStr">
        <is>
          <t>FiMe</t>
        </is>
      </c>
      <c r="J554" s="6">
        <f>HYPERLINK("https://www.kleinanzeigen.de/s-bestandsliste.html?userId=447739", "Link")</f>
        <v/>
      </c>
      <c r="K554" s="7" t="n">
        <v>45555.5649537037</v>
      </c>
      <c r="L554" s="3" t="inlineStr">
        <is>
          <t>4.53</t>
        </is>
      </c>
      <c r="M554" t="inlineStr">
        <is>
          <t>München</t>
        </is>
      </c>
    </row>
    <row r="555">
      <c r="A555" t="inlineStr">
        <is>
          <t>Duotone Dice 11.0 qm 2023</t>
        </is>
      </c>
      <c r="B555" s="4" t="n">
        <v>1.08</v>
      </c>
      <c r="C555" t="inlineStr"/>
      <c r="D555" t="inlineStr">
        <is>
          <t>90451 Nürnberg (Mittelfr) - Aussenstadt-Sued</t>
        </is>
      </c>
      <c r="E555" s="5" t="n">
        <v>45554</v>
      </c>
      <c r="F555" t="inlineStr">
        <is>
          <t>Sold</t>
        </is>
      </c>
      <c r="G555" s="6">
        <f>HYPERLINK("https://www.kleinanzeigen.de/s-anzeige/duotone-dice-11-0-qm-2023/2817157682-230-6836", "Link")</f>
        <v/>
      </c>
      <c r="H555" s="6">
        <f>HYPERLINK("C:\Projects\Kleinanzeigen-Scraper\offer_images\2817157682", "Link")</f>
        <v/>
      </c>
      <c r="I555" t="inlineStr">
        <is>
          <t>No user name</t>
        </is>
      </c>
      <c r="J555" s="6">
        <f>HYPERLINK("https://www.kleinanzeigen.deNo user link", "Link")</f>
        <v/>
      </c>
      <c r="K555" s="7" t="n">
        <v>45555.56488425926</v>
      </c>
      <c r="L555" s="3" t="inlineStr">
        <is>
          <t>145.92</t>
        </is>
      </c>
      <c r="M555" t="inlineStr">
        <is>
          <t>München</t>
        </is>
      </c>
    </row>
    <row r="556">
      <c r="A556" t="inlineStr">
        <is>
          <t>Surfanzug NeilPryde 3 mm Neopren Gr. M</t>
        </is>
      </c>
      <c r="B556" s="4" t="inlineStr">
        <is>
          <t>Zu verschenken</t>
        </is>
      </c>
      <c r="C556" t="inlineStr"/>
      <c r="D556" t="inlineStr">
        <is>
          <t>07751 Thüringen - Großpürschütz</t>
        </is>
      </c>
      <c r="E556" s="5" t="n">
        <v>45554</v>
      </c>
      <c r="F556" t="inlineStr">
        <is>
          <t>Sold</t>
        </is>
      </c>
      <c r="G556" s="6">
        <f>HYPERLINK("https://www.kleinanzeigen.de/s-anzeige/surfanzug-neilpryde-3-mm-neopren-gr-m/2868102293-230-23176", "Link")</f>
        <v/>
      </c>
      <c r="H556" s="6">
        <f>HYPERLINK("C:\Projects\Kleinanzeigen-Scraper\offer_images\2868102293", "Link")</f>
        <v/>
      </c>
      <c r="I556" t="inlineStr">
        <is>
          <t>Volker</t>
        </is>
      </c>
      <c r="J556" s="6">
        <f>HYPERLINK("https://www.kleinanzeigen.de/s-bestandsliste.html?userId=27908161", "Link")</f>
        <v/>
      </c>
      <c r="K556" s="7" t="n">
        <v>45555.56481481482</v>
      </c>
      <c r="L556" s="3" t="inlineStr">
        <is>
          <t>304.60</t>
        </is>
      </c>
      <c r="M556" t="inlineStr">
        <is>
          <t>München</t>
        </is>
      </c>
    </row>
    <row r="557">
      <c r="A557" t="inlineStr">
        <is>
          <t>SUP Board Ausrüstung (Red Paddle Voyager/JP Australia)</t>
        </is>
      </c>
      <c r="B557" s="4" t="n">
        <v>980</v>
      </c>
      <c r="C557" t="inlineStr"/>
      <c r="D557" t="inlineStr">
        <is>
          <t>21365 Niedersachsen - Adendorf</t>
        </is>
      </c>
      <c r="E557" s="5" t="n">
        <v>45554</v>
      </c>
      <c r="F557" t="inlineStr"/>
      <c r="G557" s="6">
        <f>HYPERLINK("https://www.kleinanzeigen.de/s-anzeige/sup-board-ausruestung-red-paddle-voyager-jp-australia-/2867732824-230-3267", "Link")</f>
        <v/>
      </c>
      <c r="H557" s="6">
        <f>HYPERLINK("C:\Projects\Kleinanzeigen-Scraper\offer_images\2867732824", "Link")</f>
        <v/>
      </c>
      <c r="I557" t="inlineStr">
        <is>
          <t>USla</t>
        </is>
      </c>
      <c r="J557" s="6">
        <f>HYPERLINK("https://www.kleinanzeigen.de/s-bestandsliste.html?userId=4647371", "Link")</f>
        <v/>
      </c>
      <c r="K557" s="7" t="n">
        <v>45555.56473379629</v>
      </c>
      <c r="L557" s="3" t="inlineStr">
        <is>
          <t>353.55</t>
        </is>
      </c>
      <c r="M557" t="inlineStr">
        <is>
          <t>Köln</t>
        </is>
      </c>
    </row>
    <row r="558">
      <c r="A558" t="inlineStr">
        <is>
          <t>NEU A.Jensen Pena Fliegenrolle Klasse 2/4 Sage Click Simms</t>
        </is>
      </c>
      <c r="B558" s="4" t="n">
        <v>210</v>
      </c>
      <c r="C558" t="inlineStr">
        <is>
          <t>VB</t>
        </is>
      </c>
      <c r="D558" t="inlineStr">
        <is>
          <t>14770 Brandenburg - Brandenburg an der Havel</t>
        </is>
      </c>
      <c r="E558" s="5" t="n">
        <v>45553</v>
      </c>
      <c r="F558" t="inlineStr"/>
      <c r="G558" s="6">
        <f>HYPERLINK("https://www.kleinanzeigen.de/s-anzeige/neu-a-jensen-pena-fliegenrolle-klasse-2-4-sage-click-simms/2867656150-187-7739", "Link")</f>
        <v/>
      </c>
      <c r="H558" s="6">
        <f>HYPERLINK("C:\Projects\Kleinanzeigen-Scraper\offer_images\2867656150", "Link")</f>
        <v/>
      </c>
      <c r="I558" t="inlineStr">
        <is>
          <t>Paul</t>
        </is>
      </c>
      <c r="J558" s="6">
        <f>HYPERLINK("https://www.kleinanzeigen.de/s-bestandsliste.html?userId=23023096", "Link")</f>
        <v/>
      </c>
      <c r="K558" s="7" t="n">
        <v>45555.5646875</v>
      </c>
      <c r="L558" s="3" t="inlineStr">
        <is>
          <t>416.86</t>
        </is>
      </c>
      <c r="M558" t="inlineStr">
        <is>
          <t>Köln</t>
        </is>
      </c>
    </row>
    <row r="559">
      <c r="A559" t="inlineStr">
        <is>
          <t>Duotone Neo SLS 10m2 2023 C03 Coral-Red/Blue</t>
        </is>
      </c>
      <c r="B559" s="4" t="n">
        <v>1</v>
      </c>
      <c r="C559" t="inlineStr">
        <is>
          <t>VB</t>
        </is>
      </c>
      <c r="D559" t="inlineStr">
        <is>
          <t>22763 Altona - Hamburg Ottensen</t>
        </is>
      </c>
      <c r="E559" s="5" t="n">
        <v>45552</v>
      </c>
      <c r="F559" t="inlineStr">
        <is>
          <t>Sold</t>
        </is>
      </c>
      <c r="G559" s="6">
        <f>HYPERLINK("https://www.kleinanzeigen.de/s-anzeige/duotone-neo-sls-10m2-2023-c03-coral-red-blue/2866762141-230-9505", "Link")</f>
        <v/>
      </c>
      <c r="H559" s="6">
        <f>HYPERLINK("C:\Projects\Kleinanzeigen-Scraper\offer_images\2866762141", "Link")</f>
        <v/>
      </c>
      <c r="I559" t="inlineStr">
        <is>
          <t>Peter Detjen</t>
        </is>
      </c>
      <c r="J559" s="6">
        <f>HYPERLINK("https://www.kleinanzeigen.de/s-bestandsliste.html?userId=19046965", "Link")</f>
        <v/>
      </c>
      <c r="K559" s="7" t="n">
        <v>45555.56467592593</v>
      </c>
      <c r="L559" s="3" t="inlineStr">
        <is>
          <t>354.04</t>
        </is>
      </c>
      <c r="M559" t="inlineStr">
        <is>
          <t>Köln</t>
        </is>
      </c>
    </row>
    <row r="560">
      <c r="A560" t="inlineStr">
        <is>
          <t>North Face Sport Hiker Hüfttasche</t>
        </is>
      </c>
      <c r="B560" s="4" t="n">
        <v>35</v>
      </c>
      <c r="C560" t="inlineStr"/>
      <c r="D560" t="inlineStr">
        <is>
          <t>12059 Berlin - Neukölln</t>
        </is>
      </c>
      <c r="E560" s="5" t="n">
        <v>45554</v>
      </c>
      <c r="F560" t="inlineStr"/>
      <c r="G560" s="6">
        <f>HYPERLINK("https://www.kleinanzeigen.de/s-anzeige/north-face-sport-hiker-huefttasche/2868101951-230-3394", "Link")</f>
        <v/>
      </c>
      <c r="H560" s="6">
        <f>HYPERLINK("C:\Projects\Kleinanzeigen-Scraper\offer_images\2868101951", "Link")</f>
        <v/>
      </c>
      <c r="I560" t="inlineStr">
        <is>
          <t>Horst Kittler</t>
        </is>
      </c>
      <c r="J560" s="6">
        <f>HYPERLINK("https://www.kleinanzeigen.de/s-bestandsliste.html?userId=50793107", "Link")</f>
        <v/>
      </c>
      <c r="K560" s="7" t="n">
        <v>45555.56466435185</v>
      </c>
      <c r="L560" s="3" t="inlineStr">
        <is>
          <t>479.26</t>
        </is>
      </c>
      <c r="M560" t="inlineStr">
        <is>
          <t>Köln</t>
        </is>
      </c>
    </row>
    <row r="561">
      <c r="A561" t="inlineStr">
        <is>
          <t>The North Face Wawona Fuzzy Decke Poncho Camping Sherpa</t>
        </is>
      </c>
      <c r="B561" s="4" t="n">
        <v>65</v>
      </c>
      <c r="C561" t="inlineStr"/>
      <c r="D561" t="inlineStr">
        <is>
          <t>40545 Düsseldorf - Oberkassel</t>
        </is>
      </c>
      <c r="E561" s="5" t="n">
        <v>45554</v>
      </c>
      <c r="F561" t="inlineStr">
        <is>
          <t>Sold</t>
        </is>
      </c>
      <c r="G561" s="6">
        <f>HYPERLINK("https://www.kleinanzeigen.de/s-anzeige/the-north-face-wawona-fuzzy-decke-poncho-camping-sherpa/2867894562-230-2071", "Link")</f>
        <v/>
      </c>
      <c r="H561" s="6">
        <f>HYPERLINK("C:\Projects\Kleinanzeigen-Scraper\offer_images\2867894562", "Link")</f>
        <v/>
      </c>
      <c r="I561" t="inlineStr">
        <is>
          <t>Melanie</t>
        </is>
      </c>
      <c r="J561" s="6">
        <f>HYPERLINK("https://www.kleinanzeigen.de/s-bestandsliste.html?userId=16987835", "Link")</f>
        <v/>
      </c>
      <c r="K561" s="7" t="n">
        <v>45555.56456018519</v>
      </c>
      <c r="L561" s="3" t="inlineStr">
        <is>
          <t>35.10</t>
        </is>
      </c>
      <c r="M561" t="inlineStr">
        <is>
          <t>Köln</t>
        </is>
      </c>
    </row>
    <row r="562">
      <c r="A562" t="inlineStr">
        <is>
          <t>Simms Jacke , Steez, Megabass, Deps</t>
        </is>
      </c>
      <c r="B562" s="4" t="n">
        <v>140</v>
      </c>
      <c r="C562" t="inlineStr"/>
      <c r="D562" t="inlineStr">
        <is>
          <t>20253 Eimsbüttel - Hamburg Eimsbüttel (Stadtteil)</t>
        </is>
      </c>
      <c r="E562" s="5" t="n">
        <v>45553</v>
      </c>
      <c r="F562" t="inlineStr">
        <is>
          <t>Sold</t>
        </is>
      </c>
      <c r="G562" s="6">
        <f>HYPERLINK("https://www.kleinanzeigen.de/s-anzeige/simms-jacke-steez-megabass-deps/2867416967-242-9430", "Link")</f>
        <v/>
      </c>
      <c r="H562" s="6">
        <f>HYPERLINK("C:\Projects\Kleinanzeigen-Scraper\offer_images\2867416967", "Link")</f>
        <v/>
      </c>
      <c r="I562" t="inlineStr">
        <is>
          <t>BoGa</t>
        </is>
      </c>
      <c r="J562" s="6">
        <f>HYPERLINK("https://www.kleinanzeigen.de/s-bestandsliste.html?userId=7072278", "Link")</f>
        <v/>
      </c>
      <c r="K562" s="7" t="n">
        <v>45555.56452546296</v>
      </c>
      <c r="L562" s="3" t="inlineStr">
        <is>
          <t>357.98</t>
        </is>
      </c>
      <c r="M562" t="inlineStr">
        <is>
          <t>Köln</t>
        </is>
      </c>
    </row>
    <row r="563">
      <c r="A563" t="inlineStr">
        <is>
          <t>NEU A.Jensen Spook Trophy Klasse 10 9ft. Simms Sage Rio</t>
        </is>
      </c>
      <c r="B563" s="4" t="n">
        <v>350</v>
      </c>
      <c r="C563" t="inlineStr">
        <is>
          <t>VB</t>
        </is>
      </c>
      <c r="D563" t="inlineStr">
        <is>
          <t>14770 Brandenburg - Brandenburg an der Havel</t>
        </is>
      </c>
      <c r="E563" s="5" t="n">
        <v>45554</v>
      </c>
      <c r="F563" t="inlineStr"/>
      <c r="G563" s="6">
        <f>HYPERLINK("https://www.kleinanzeigen.de/s-anzeige/neu-a-jensen-spook-trophy-klasse-10-9ft-simms-sage-rio/2867652384-230-7739", "Link")</f>
        <v/>
      </c>
      <c r="H563" s="6">
        <f>HYPERLINK("C:\Projects\Kleinanzeigen-Scraper\offer_images\2867652384", "Link")</f>
        <v/>
      </c>
      <c r="I563" t="inlineStr">
        <is>
          <t>Paul</t>
        </is>
      </c>
      <c r="J563" s="6">
        <f>HYPERLINK("https://www.kleinanzeigen.de/s-bestandsliste.html?userId=23023096", "Link")</f>
        <v/>
      </c>
      <c r="K563" s="7" t="n">
        <v>45555.56439814815</v>
      </c>
      <c r="L563" s="3" t="inlineStr">
        <is>
          <t>416.86</t>
        </is>
      </c>
      <c r="M563" t="inlineStr">
        <is>
          <t>Köln</t>
        </is>
      </c>
    </row>
    <row r="564">
      <c r="A564" t="inlineStr">
        <is>
          <t>Duotone Dice SLS 7,8, 9 , 10, 11,12, 13</t>
        </is>
      </c>
      <c r="B564" s="4" t="inlineStr"/>
      <c r="C564" t="inlineStr">
        <is>
          <t>VB</t>
        </is>
      </c>
      <c r="D564" t="inlineStr">
        <is>
          <t>17179 Mecklenburg-Vorpommern - Gnoien</t>
        </is>
      </c>
      <c r="E564" s="5" t="n">
        <v>45552</v>
      </c>
      <c r="F564" t="inlineStr">
        <is>
          <t>Sold</t>
        </is>
      </c>
      <c r="G564" s="6">
        <f>HYPERLINK("https://www.kleinanzeigen.de/s-anzeige/duotone-dice-sls-7-8-9-10-11-12-13/2850533819-230-80", "Link")</f>
        <v/>
      </c>
      <c r="H564" s="6">
        <f>HYPERLINK("C:\Projects\Kleinanzeigen-Scraper\offer_images\2850533819", "Link")</f>
        <v/>
      </c>
      <c r="I564" t="inlineStr">
        <is>
          <t>E. Schoknecht</t>
        </is>
      </c>
      <c r="J564" s="6">
        <f>HYPERLINK("https://www.kleinanzeigen.de/s-bestandsliste.html?userId=4392849", "Link")</f>
        <v/>
      </c>
      <c r="K564" s="7" t="n">
        <v>45555.564375</v>
      </c>
      <c r="L564" s="3" t="inlineStr">
        <is>
          <t>515.06</t>
        </is>
      </c>
      <c r="M564" t="inlineStr">
        <is>
          <t>Köln</t>
        </is>
      </c>
    </row>
    <row r="565">
      <c r="A565" t="inlineStr">
        <is>
          <t>Wanderschuhe low The North Face Gr 38 Goretex</t>
        </is>
      </c>
      <c r="B565" s="4" t="n">
        <v>50</v>
      </c>
      <c r="C565" t="inlineStr">
        <is>
          <t>VB</t>
        </is>
      </c>
      <c r="D565" t="inlineStr">
        <is>
          <t>82008 Kr. München - Unterhaching</t>
        </is>
      </c>
      <c r="E565" s="5" t="n">
        <v>45554</v>
      </c>
      <c r="F565" t="inlineStr"/>
      <c r="G565" s="6">
        <f>HYPERLINK("https://www.kleinanzeigen.de/s-anzeige/wanderschuhe-low-the-north-face-gr-38-goretex/2868247337-230-5591", "Link")</f>
        <v/>
      </c>
      <c r="H565" s="6">
        <f>HYPERLINK("C:\Projects\Kleinanzeigen-Scraper\offer_images\2868247337", "Link")</f>
        <v/>
      </c>
      <c r="I565" t="inlineStr">
        <is>
          <t>Schönebaum</t>
        </is>
      </c>
      <c r="J565" s="6">
        <f>HYPERLINK("https://www.kleinanzeigen.de/s-bestandsliste.html?userId=27872026", "Link")</f>
        <v/>
      </c>
      <c r="K565" s="7" t="n">
        <v>45555.56435185186</v>
      </c>
      <c r="L565" s="3" t="inlineStr">
        <is>
          <t>8.58</t>
        </is>
      </c>
      <c r="M565" t="inlineStr">
        <is>
          <t>München</t>
        </is>
      </c>
    </row>
    <row r="566">
      <c r="A566" t="inlineStr">
        <is>
          <t>The North Face Brigandine FUTURELIGHT Ski Hose Damen</t>
        </is>
      </c>
      <c r="B566" s="4" t="n">
        <v>360</v>
      </c>
      <c r="C566" t="inlineStr">
        <is>
          <t>VB</t>
        </is>
      </c>
      <c r="D566" t="inlineStr">
        <is>
          <t>64625 Hessen - Bensheim</t>
        </is>
      </c>
      <c r="E566" s="5" t="n">
        <v>45554</v>
      </c>
      <c r="F566" t="inlineStr"/>
      <c r="G566" s="6">
        <f>HYPERLINK("https://www.kleinanzeigen.de/s-anzeige/the-north-face-brigandine-futurelight-ski-hose-damen/2867861092-230-4769", "Link")</f>
        <v/>
      </c>
      <c r="H566" s="6">
        <f>HYPERLINK("C:\Projects\Kleinanzeigen-Scraper\offer_images\2867861092", "Link")</f>
        <v/>
      </c>
      <c r="I566" t="inlineStr">
        <is>
          <t>Alexander</t>
        </is>
      </c>
      <c r="J566" s="6">
        <f>HYPERLINK("https://www.kleinanzeigen.de/s-bestandsliste.html?userId=34124958", "Link")</f>
        <v/>
      </c>
      <c r="K566" s="7" t="n">
        <v>45555.56418981482</v>
      </c>
      <c r="L566" s="3" t="inlineStr">
        <is>
          <t>77.54</t>
        </is>
      </c>
      <c r="M566" t="inlineStr">
        <is>
          <t>Karlsruhe</t>
        </is>
      </c>
    </row>
    <row r="567">
      <c r="A567" t="inlineStr">
        <is>
          <t>Gunsails Gearbag Windsurf Tasche</t>
        </is>
      </c>
      <c r="B567" s="4" t="n">
        <v>45</v>
      </c>
      <c r="C567" t="inlineStr">
        <is>
          <t>VB</t>
        </is>
      </c>
      <c r="D567" t="inlineStr">
        <is>
          <t>44789 Bochum - Bochum-Süd</t>
        </is>
      </c>
      <c r="E567" s="5" t="n">
        <v>45553</v>
      </c>
      <c r="F567" t="inlineStr">
        <is>
          <t>Sold</t>
        </is>
      </c>
      <c r="G567" s="6">
        <f>HYPERLINK("https://www.kleinanzeigen.de/s-anzeige/gunsails-gearbag-windsurf-tasche/2867259235-230-1945", "Link")</f>
        <v/>
      </c>
      <c r="H567" s="6">
        <f>HYPERLINK("C:\Projects\Kleinanzeigen-Scraper\offer_images\2867259235", "Link")</f>
        <v/>
      </c>
      <c r="I567" t="inlineStr">
        <is>
          <t>Chris</t>
        </is>
      </c>
      <c r="J567" s="6">
        <f>HYPERLINK("https://www.kleinanzeigen.de/s-bestandsliste.html?userId=14084867", "Link")</f>
        <v/>
      </c>
      <c r="K567" s="7" t="n">
        <v>45555.56415509259</v>
      </c>
      <c r="L567" s="3" t="inlineStr">
        <is>
          <t>61.88</t>
        </is>
      </c>
      <c r="M567" t="inlineStr">
        <is>
          <t>Köln</t>
        </is>
      </c>
    </row>
    <row r="568">
      <c r="A568" t="inlineStr">
        <is>
          <t>Duotone Aero Glide 905 SLS</t>
        </is>
      </c>
      <c r="B568" s="4" t="n">
        <v>220</v>
      </c>
      <c r="C568" t="inlineStr"/>
      <c r="D568" t="inlineStr">
        <is>
          <t>83083 Bayern - Riedering</t>
        </is>
      </c>
      <c r="E568" s="5" t="n">
        <v>45554</v>
      </c>
      <c r="F568" t="inlineStr">
        <is>
          <t>Sold</t>
        </is>
      </c>
      <c r="G568" s="6">
        <f>HYPERLINK("https://www.kleinanzeigen.de/s-anzeige/duotone-aero-glide-905-sls/2867998852-230-7583", "Link")</f>
        <v/>
      </c>
      <c r="H568" s="6">
        <f>HYPERLINK("C:\Projects\Kleinanzeigen-Scraper\offer_images\2867998852", "Link")</f>
        <v/>
      </c>
      <c r="I568" t="inlineStr">
        <is>
          <t>Maik Stoltefaut</t>
        </is>
      </c>
      <c r="J568" s="6">
        <f>HYPERLINK("https://www.kleinanzeigen.de/s-bestandsliste.html?userId=24074172", "Link")</f>
        <v/>
      </c>
      <c r="K568" s="7" t="n">
        <v>45555.56413194445</v>
      </c>
      <c r="L568" s="3" t="inlineStr">
        <is>
          <t>59.00</t>
        </is>
      </c>
      <c r="M568" t="inlineStr">
        <is>
          <t>München</t>
        </is>
      </c>
    </row>
    <row r="569">
      <c r="A569" t="inlineStr">
        <is>
          <t>SAGE XI 2 Klasse 9 9ft Fliegenrute Simms Rio Loop</t>
        </is>
      </c>
      <c r="B569" s="4" t="n">
        <v>400</v>
      </c>
      <c r="C569" t="inlineStr">
        <is>
          <t>VB</t>
        </is>
      </c>
      <c r="D569" t="inlineStr">
        <is>
          <t>14770 Brandenburg - Brandenburg an der Havel</t>
        </is>
      </c>
      <c r="E569" s="5" t="n">
        <v>45553</v>
      </c>
      <c r="F569" t="inlineStr">
        <is>
          <t>Sold</t>
        </is>
      </c>
      <c r="G569" s="6">
        <f>HYPERLINK("https://www.kleinanzeigen.de/s-anzeige/sage-xi-2-klasse-9-9ft-fliegenrute-simms-rio-loop/2867639023-187-7739", "Link")</f>
        <v/>
      </c>
      <c r="H569" s="6">
        <f>HYPERLINK("C:\Projects\Kleinanzeigen-Scraper\offer_images\2867639023", "Link")</f>
        <v/>
      </c>
      <c r="I569" t="inlineStr">
        <is>
          <t>Paul</t>
        </is>
      </c>
      <c r="J569" s="6">
        <f>HYPERLINK("https://www.kleinanzeigen.de/s-bestandsliste.html?userId=23023096", "Link")</f>
        <v/>
      </c>
      <c r="K569" s="7" t="n">
        <v>45555.56408564815</v>
      </c>
      <c r="L569" s="3" t="inlineStr">
        <is>
          <t>416.86</t>
        </is>
      </c>
      <c r="M569" t="inlineStr">
        <is>
          <t>Köln</t>
        </is>
      </c>
    </row>
    <row r="570">
      <c r="A570" t="inlineStr">
        <is>
          <t>Fanatic Frontflügel Aero Carve 900</t>
        </is>
      </c>
      <c r="B570" s="4" t="n">
        <v>169</v>
      </c>
      <c r="C570" t="inlineStr"/>
      <c r="D570" t="inlineStr">
        <is>
          <t>24794 Schleswig-Holstein - Borgstedt</t>
        </is>
      </c>
      <c r="E570" s="5" t="n">
        <v>45551</v>
      </c>
      <c r="F570" t="inlineStr">
        <is>
          <t>Sold</t>
        </is>
      </c>
      <c r="G570" s="6">
        <f>HYPERLINK("https://www.kleinanzeigen.de/s-anzeige/fanatic-frontfluegel-aero-carve-900/2865595737-230-19920", "Link")</f>
        <v/>
      </c>
      <c r="H570" s="6">
        <f>HYPERLINK("C:\Projects\Kleinanzeigen-Scraper\offer_images\2865595737", "Link")</f>
        <v/>
      </c>
      <c r="I570" t="inlineStr">
        <is>
          <t>Andreas</t>
        </is>
      </c>
      <c r="J570" s="6">
        <f>HYPERLINK("https://www.kleinanzeigen.de/s-bestandsliste.html?userId=67889456", "Link")</f>
        <v/>
      </c>
      <c r="K570" s="7" t="n">
        <v>45555.56402777778</v>
      </c>
      <c r="L570" s="3" t="inlineStr">
        <is>
          <t>420.37</t>
        </is>
      </c>
      <c r="M570" t="inlineStr">
        <is>
          <t>Köln</t>
        </is>
      </c>
    </row>
    <row r="571">
      <c r="A571" t="inlineStr">
        <is>
          <t>Duotone Clickbar M 2024  22m-24m</t>
        </is>
      </c>
      <c r="B571" s="4" t="n">
        <v>480</v>
      </c>
      <c r="C571" t="inlineStr">
        <is>
          <t>VB</t>
        </is>
      </c>
      <c r="D571" t="inlineStr">
        <is>
          <t>24147 Kiel - Elmschenhagen-Nord</t>
        </is>
      </c>
      <c r="E571" s="5" t="n">
        <v>45551</v>
      </c>
      <c r="F571" t="inlineStr">
        <is>
          <t>Sold</t>
        </is>
      </c>
      <c r="G571" s="6">
        <f>HYPERLINK("https://www.kleinanzeigen.de/s-anzeige/duotone-clickbar-m-2024-22m-24m/2865675220-230-17344", "Link")</f>
        <v/>
      </c>
      <c r="H571" s="6">
        <f>HYPERLINK("C:\Projects\Kleinanzeigen-Scraper\offer_images\2865675220", "Link")</f>
        <v/>
      </c>
      <c r="I571" t="inlineStr">
        <is>
          <t>Tim</t>
        </is>
      </c>
      <c r="J571" s="6">
        <f>HYPERLINK("https://www.kleinanzeigen.de/s-bestandsliste.html?userId=48545416", "Link")</f>
        <v/>
      </c>
      <c r="K571" s="7" t="n">
        <v>45555.56395833333</v>
      </c>
      <c r="L571" s="3" t="inlineStr">
        <is>
          <t>432.93</t>
        </is>
      </c>
      <c r="M571" t="inlineStr">
        <is>
          <t>Köln</t>
        </is>
      </c>
    </row>
    <row r="572">
      <c r="A572" t="inlineStr">
        <is>
          <t>North / Duotone Rebel 9 qm &amp; 12 qm</t>
        </is>
      </c>
      <c r="B572" s="4" t="n">
        <v>449</v>
      </c>
      <c r="C572" t="inlineStr"/>
      <c r="D572" t="inlineStr">
        <is>
          <t>24105 Schleswig-Holstein - Kiel</t>
        </is>
      </c>
      <c r="E572" s="5" t="n">
        <v>45552</v>
      </c>
      <c r="F572" t="inlineStr">
        <is>
          <t>Sold</t>
        </is>
      </c>
      <c r="G572" s="6">
        <f>HYPERLINK("https://www.kleinanzeigen.de/s-anzeige/north-duotone-rebel-9-qm-12-qm/2866128038-230-708", "Link")</f>
        <v/>
      </c>
      <c r="H572" s="6">
        <f>HYPERLINK("C:\Projects\Kleinanzeigen-Scraper\offer_images\2866128038", "Link")</f>
        <v/>
      </c>
      <c r="I572" t="inlineStr">
        <is>
          <t>Frederik</t>
        </is>
      </c>
      <c r="J572" s="6">
        <f>HYPERLINK("https://www.kleinanzeigen.de/s-bestandsliste.html?userId=48061862", "Link")</f>
        <v/>
      </c>
      <c r="K572" s="7" t="n">
        <v>45555.56395833333</v>
      </c>
      <c r="L572" s="3" t="inlineStr">
        <is>
          <t>435.05</t>
        </is>
      </c>
      <c r="M572" t="inlineStr">
        <is>
          <t>Köln</t>
        </is>
      </c>
    </row>
    <row r="573">
      <c r="A573" t="inlineStr">
        <is>
          <t>Ascan Neopren Schuhe 41 Windsurfen</t>
        </is>
      </c>
      <c r="B573" s="4" t="n">
        <v>10</v>
      </c>
      <c r="C573" t="inlineStr"/>
      <c r="D573" t="inlineStr">
        <is>
          <t>09117 Chemnitz - Rabenstein</t>
        </is>
      </c>
      <c r="E573" s="5" t="n">
        <v>45551</v>
      </c>
      <c r="F573" t="inlineStr">
        <is>
          <t>Sold</t>
        </is>
      </c>
      <c r="G573" s="6">
        <f>HYPERLINK("https://www.kleinanzeigen.de/s-anzeige/ascan-neopren-schuhe-41-windsurfen/2865677103-230-26066", "Link")</f>
        <v/>
      </c>
      <c r="H573" s="6">
        <f>HYPERLINK("C:\Projects\Kleinanzeigen-Scraper\offer_images\2865677103", "Link")</f>
        <v/>
      </c>
      <c r="I573" t="inlineStr">
        <is>
          <t>Frank Dittmar</t>
        </is>
      </c>
      <c r="J573" s="6">
        <f>HYPERLINK("https://www.kleinanzeigen.de/s-bestandsliste.html?userId=9853269", "Link")</f>
        <v/>
      </c>
      <c r="K573" s="7" t="n">
        <v>45555.56376157407</v>
      </c>
      <c r="L573" s="3" t="inlineStr">
        <is>
          <t>312.37</t>
        </is>
      </c>
      <c r="M573" t="inlineStr">
        <is>
          <t>München</t>
        </is>
      </c>
    </row>
    <row r="574">
      <c r="A574" t="inlineStr">
        <is>
          <t>North Face Herren Fleece Pullover Trekking Hiking Wandern rot S</t>
        </is>
      </c>
      <c r="B574" s="4" t="n">
        <v>9</v>
      </c>
      <c r="C574" t="inlineStr"/>
      <c r="D574" t="inlineStr">
        <is>
          <t>26123 Niedersachsen - Oldenburg</t>
        </is>
      </c>
      <c r="E574" s="5" t="n">
        <v>45554</v>
      </c>
      <c r="F574" t="inlineStr"/>
      <c r="G574" s="6">
        <f>HYPERLINK("https://www.kleinanzeigen.de/s-anzeige/north-face-herren-fleece-pullover-trekking-hiking-wandern-rot-s/2868071852-230-3115", "Link")</f>
        <v/>
      </c>
      <c r="H574" s="6">
        <f>HYPERLINK("C:\Projects\Kleinanzeigen-Scraper\offer_images\2868071852", "Link")</f>
        <v/>
      </c>
      <c r="I574" t="inlineStr">
        <is>
          <t>Treese</t>
        </is>
      </c>
      <c r="J574" s="6">
        <f>HYPERLINK("https://www.kleinanzeigen.de/s-bestandsliste.html?userId=137812313", "Link")</f>
        <v/>
      </c>
      <c r="K574" s="7" t="n">
        <v>45555.56371527778</v>
      </c>
      <c r="L574" s="3" t="inlineStr">
        <is>
          <t>261.16</t>
        </is>
      </c>
      <c r="M574" t="inlineStr">
        <is>
          <t>Köln</t>
        </is>
      </c>
    </row>
    <row r="575">
      <c r="A575" t="inlineStr">
        <is>
          <t>NEU A.Jensen Rhodani Fliegenrute Klasse 2 10ft Sage Simms Loop</t>
        </is>
      </c>
      <c r="B575" s="4" t="n">
        <v>280</v>
      </c>
      <c r="C575" t="inlineStr">
        <is>
          <t>VB</t>
        </is>
      </c>
      <c r="D575" t="inlineStr">
        <is>
          <t>14770 Brandenburg - Brandenburg an der Havel</t>
        </is>
      </c>
      <c r="E575" s="5" t="n">
        <v>45552</v>
      </c>
      <c r="F575" t="inlineStr"/>
      <c r="G575" s="6">
        <f>HYPERLINK("https://www.kleinanzeigen.de/s-anzeige/neu-a-jensen-rhodani-fliegenrute-klasse-2-10ft-sage-simms-loop/2866743911-187-7739", "Link")</f>
        <v/>
      </c>
      <c r="H575" s="6">
        <f>HYPERLINK("C:\Projects\Kleinanzeigen-Scraper\offer_images\2866743911", "Link")</f>
        <v/>
      </c>
      <c r="I575" t="inlineStr">
        <is>
          <t>Paul</t>
        </is>
      </c>
      <c r="J575" s="6">
        <f>HYPERLINK("https://www.kleinanzeigen.de/s-bestandsliste.html?userId=23023096", "Link")</f>
        <v/>
      </c>
      <c r="K575" s="7" t="n">
        <v>45555.56371527778</v>
      </c>
      <c r="L575" s="3" t="inlineStr">
        <is>
          <t>416.86</t>
        </is>
      </c>
      <c r="M575" t="inlineStr">
        <is>
          <t>Köln</t>
        </is>
      </c>
    </row>
    <row r="576">
      <c r="A576" t="inlineStr">
        <is>
          <t>Starboard Fuselage Quick Lock II 61 Hybrid unbenutzt</t>
        </is>
      </c>
      <c r="B576" s="4" t="n">
        <v>95</v>
      </c>
      <c r="C576" t="inlineStr"/>
      <c r="D576" t="inlineStr">
        <is>
          <t>32107 Nordrhein-Westfalen - Bad Salzuflen</t>
        </is>
      </c>
      <c r="E576" s="5" t="n">
        <v>45525</v>
      </c>
      <c r="F576" t="inlineStr"/>
      <c r="G576" s="6">
        <f>HYPERLINK("https://www.kleinanzeigen.de/s-anzeige/starboard-fuselage-quick-lock-ii-61-hybrid-unbenutzt/2842302304-230-1901", "Link")</f>
        <v/>
      </c>
      <c r="H576" s="6">
        <f>HYPERLINK("C:\Projects\Kleinanzeigen-Scraper\offer_images\2842302304", "Link")</f>
        <v/>
      </c>
      <c r="I576" t="inlineStr">
        <is>
          <t>Lohaus</t>
        </is>
      </c>
      <c r="J576" s="6">
        <f>HYPERLINK("https://www.kleinanzeigen.de/s-bestandsliste.html?userId=1626544", "Link")</f>
        <v/>
      </c>
      <c r="K576" s="7" t="n">
        <v>45555.56369212963</v>
      </c>
      <c r="L576" s="3" t="inlineStr">
        <is>
          <t>174.34</t>
        </is>
      </c>
      <c r="M576" t="inlineStr">
        <is>
          <t>Köln</t>
        </is>
      </c>
    </row>
    <row r="577">
      <c r="A577" t="inlineStr">
        <is>
          <t>NORTH Navigator Short Throw Bar 2024</t>
        </is>
      </c>
      <c r="B577" s="4" t="n">
        <v>500</v>
      </c>
      <c r="C577" t="inlineStr"/>
      <c r="D577" t="inlineStr">
        <is>
          <t>90587 Bayern - Obermichelbach</t>
        </is>
      </c>
      <c r="E577" s="5" t="n">
        <v>45554</v>
      </c>
      <c r="F577" t="inlineStr"/>
      <c r="G577" s="6">
        <f>HYPERLINK("https://www.kleinanzeigen.de/s-anzeige/north-navigator-short-throw-bar-2024/2867797452-230-17037", "Link")</f>
        <v/>
      </c>
      <c r="H577" s="6">
        <f>HYPERLINK("C:\Projects\Kleinanzeigen-Scraper\offer_images\2867797452", "Link")</f>
        <v/>
      </c>
      <c r="I577" t="inlineStr">
        <is>
          <t>Alexander S.</t>
        </is>
      </c>
      <c r="J577" s="6">
        <f>HYPERLINK("https://www.kleinanzeigen.de/s-bestandsliste.html?userId=18569247", "Link")</f>
        <v/>
      </c>
      <c r="K577" s="7" t="n">
        <v>45555.56363425926</v>
      </c>
      <c r="L577" s="3" t="inlineStr">
        <is>
          <t>160.89</t>
        </is>
      </c>
      <c r="M577" t="inlineStr">
        <is>
          <t>München</t>
        </is>
      </c>
    </row>
    <row r="578">
      <c r="A578" t="inlineStr">
        <is>
          <t>Ravensburger Puzzle 1000 Teile Surfin‘ USA Windsurf</t>
        </is>
      </c>
      <c r="B578" s="4" t="n">
        <v>6</v>
      </c>
      <c r="C578" t="inlineStr"/>
      <c r="D578" t="inlineStr">
        <is>
          <t>31141 Niedersachsen - Hildesheim</t>
        </is>
      </c>
      <c r="E578" s="5" t="n">
        <v>45551</v>
      </c>
      <c r="F578" t="inlineStr">
        <is>
          <t>Sold</t>
        </is>
      </c>
      <c r="G578" s="6">
        <f>HYPERLINK("https://www.kleinanzeigen.de/s-anzeige/ravensburger-puzzle-1000-teile-surfin-usa-windsurf/2865836970-23-3147", "Link")</f>
        <v/>
      </c>
      <c r="H578" s="6">
        <f>HYPERLINK("C:\Projects\Kleinanzeigen-Scraper\offer_images\2865836970", "Link")</f>
        <v/>
      </c>
      <c r="I578" t="inlineStr">
        <is>
          <t>Xxx</t>
        </is>
      </c>
      <c r="J578" s="6">
        <f>HYPERLINK("https://www.kleinanzeigen.de/s-bestandsliste.html?userId=14419489", "Link")</f>
        <v/>
      </c>
      <c r="K578" s="7" t="n">
        <v>45555.56363425926</v>
      </c>
      <c r="L578" s="3" t="inlineStr">
        <is>
          <t>247.77</t>
        </is>
      </c>
      <c r="M578" t="inlineStr">
        <is>
          <t>Köln</t>
        </is>
      </c>
    </row>
    <row r="579">
      <c r="A579" t="inlineStr">
        <is>
          <t>Duotone Evo SLS 12m 2023 - wie neu</t>
        </is>
      </c>
      <c r="B579" s="4" t="n">
        <v>1.25</v>
      </c>
      <c r="C579" t="inlineStr">
        <is>
          <t>VB</t>
        </is>
      </c>
      <c r="D579" t="inlineStr">
        <is>
          <t>33604 Bielefeld - Bielefeld (Innenstadt)</t>
        </is>
      </c>
      <c r="E579" s="5" t="n">
        <v>45554</v>
      </c>
      <c r="F579" t="inlineStr">
        <is>
          <t>Sold</t>
        </is>
      </c>
      <c r="G579" s="6">
        <f>HYPERLINK("https://www.kleinanzeigen.de/s-anzeige/duotone-evo-sls-12m-2023-wie-neu/2867680947-230-1066", "Link")</f>
        <v/>
      </c>
      <c r="H579" s="6">
        <f>HYPERLINK("C:\Projects\Kleinanzeigen-Scraper\offer_images\2867680947", "Link")</f>
        <v/>
      </c>
      <c r="I579" t="inlineStr">
        <is>
          <t>Gordon Schücker</t>
        </is>
      </c>
      <c r="J579" s="6">
        <f>HYPERLINK("https://www.kleinanzeigen.de/s-bestandsliste.html?userId=28414823", "Link")</f>
        <v/>
      </c>
      <c r="K579" s="7" t="n">
        <v>45555.56355324074</v>
      </c>
      <c r="L579" s="3" t="inlineStr">
        <is>
          <t>162.16</t>
        </is>
      </c>
      <c r="M579" t="inlineStr">
        <is>
          <t>Köln</t>
        </is>
      </c>
    </row>
    <row r="580">
      <c r="A580" t="inlineStr">
        <is>
          <t>Goya Ölfarben</t>
        </is>
      </c>
      <c r="B580" s="4" t="inlineStr"/>
      <c r="C580" t="inlineStr">
        <is>
          <t>VB</t>
        </is>
      </c>
      <c r="D580" t="inlineStr">
        <is>
          <t>46519 Nordrhein-Westfalen - Alpen</t>
        </is>
      </c>
      <c r="E580" s="5" t="n">
        <v>45554</v>
      </c>
      <c r="F580" t="inlineStr"/>
      <c r="G580" s="6">
        <f>HYPERLINK("https://www.kleinanzeigen.de/s-anzeige/goya-oelfarben/2867899923-282-1398", "Link")</f>
        <v/>
      </c>
      <c r="H580" s="6">
        <f>HYPERLINK("C:\Projects\Kleinanzeigen-Scraper\offer_images\2867899923", "Link")</f>
        <v/>
      </c>
      <c r="I580" t="inlineStr">
        <is>
          <t>Alex</t>
        </is>
      </c>
      <c r="J580" s="6">
        <f>HYPERLINK("https://www.kleinanzeigen.de/s-bestandsliste.html?userId=60314432", "Link")</f>
        <v/>
      </c>
      <c r="K580" s="7" t="n">
        <v>45555.56350694445</v>
      </c>
      <c r="L580" s="3" t="inlineStr">
        <is>
          <t>80.54</t>
        </is>
      </c>
      <c r="M580" t="inlineStr">
        <is>
          <t>Köln</t>
        </is>
      </c>
    </row>
    <row r="581">
      <c r="A581" t="inlineStr">
        <is>
          <t>Duotone Neo 2022 8qm</t>
        </is>
      </c>
      <c r="B581" s="4" t="n">
        <v>900</v>
      </c>
      <c r="C581" t="inlineStr"/>
      <c r="D581" t="inlineStr">
        <is>
          <t>22769 Altona - Hamburg Altona-Nord</t>
        </is>
      </c>
      <c r="E581" s="5" t="n">
        <v>45552</v>
      </c>
      <c r="F581" t="inlineStr">
        <is>
          <t>Sold</t>
        </is>
      </c>
      <c r="G581" s="6">
        <f>HYPERLINK("https://www.kleinanzeigen.de/s-anzeige/duotone-neo-2022-8qm/2865997563-230-26480", "Link")</f>
        <v/>
      </c>
      <c r="H581" s="6">
        <f>HYPERLINK("C:\Projects\Kleinanzeigen-Scraper\offer_images\2865997563", "Link")</f>
        <v/>
      </c>
      <c r="I581" t="inlineStr">
        <is>
          <t>Philipp Sudbrack</t>
        </is>
      </c>
      <c r="J581" s="6">
        <f>HYPERLINK("https://www.kleinanzeigen.de/s-bestandsliste.html?userId=26128046", "Link")</f>
        <v/>
      </c>
      <c r="K581" s="7" t="n">
        <v>45555.56341435185</v>
      </c>
      <c r="L581" s="3" t="inlineStr">
        <is>
          <t>356.14</t>
        </is>
      </c>
      <c r="M581" t="inlineStr">
        <is>
          <t>Köln</t>
        </is>
      </c>
    </row>
    <row r="582">
      <c r="A582" t="inlineStr">
        <is>
          <t>Duotone DICE SLS 9 und 11 2024 wie neu Rechnung Garantie</t>
        </is>
      </c>
      <c r="B582" s="4" t="n">
        <v>999</v>
      </c>
      <c r="C582" t="inlineStr"/>
      <c r="D582" t="inlineStr">
        <is>
          <t>83043 Bayern - Bad Aibling</t>
        </is>
      </c>
      <c r="E582" s="5" t="n">
        <v>45552</v>
      </c>
      <c r="F582" t="inlineStr">
        <is>
          <t>Sold</t>
        </is>
      </c>
      <c r="G582" s="6">
        <f>HYPERLINK("https://www.kleinanzeigen.de/s-anzeige/duotone-dice-sls-9-und-11-2024-wie-neu-rechnung-garantie/2866480776-230-6134", "Link")</f>
        <v/>
      </c>
      <c r="H582" s="6">
        <f>HYPERLINK("C:\Projects\Kleinanzeigen-Scraper\offer_images\2866480776", "Link")</f>
        <v/>
      </c>
      <c r="I582" t="inlineStr">
        <is>
          <t>Mischa von Kitejunkie.com</t>
        </is>
      </c>
      <c r="J582" s="6">
        <f>HYPERLINK("https://www.kleinanzeigen.de/s-bestandsliste.html?userId=6884391", "Link")</f>
        <v/>
      </c>
      <c r="K582" s="7" t="n">
        <v>45555.56340277778</v>
      </c>
      <c r="L582" s="3" t="inlineStr">
        <is>
          <t>43.15</t>
        </is>
      </c>
      <c r="M582" t="inlineStr">
        <is>
          <t>München</t>
        </is>
      </c>
    </row>
    <row r="583">
      <c r="A583" t="inlineStr">
        <is>
          <t>Duotone Neo SLS 8qm und 6qm, 2023, Topzustand</t>
        </is>
      </c>
      <c r="B583" s="4" t="n">
        <v>750</v>
      </c>
      <c r="C583" t="inlineStr"/>
      <c r="D583" t="inlineStr">
        <is>
          <t>20253 Eimsbüttel - Hamburg Eimsbüttel (Stadtteil)</t>
        </is>
      </c>
      <c r="E583" s="5" t="n">
        <v>45551</v>
      </c>
      <c r="F583" t="inlineStr">
        <is>
          <t>Sold</t>
        </is>
      </c>
      <c r="G583" s="6">
        <f>HYPERLINK("https://www.kleinanzeigen.de/s-anzeige/duotone-neo-sls-8qm-und-6qm-2023-topzustand/2787033343-230-9430", "Link")</f>
        <v/>
      </c>
      <c r="H583" s="6">
        <f>HYPERLINK("C:\Projects\Kleinanzeigen-Scraper\offer_images\2787033343", "Link")</f>
        <v/>
      </c>
      <c r="I583" t="inlineStr">
        <is>
          <t>Dirk Ollmann</t>
        </is>
      </c>
      <c r="J583" s="6">
        <f>HYPERLINK("https://www.kleinanzeigen.de/s-bestandsliste.html?userId=7759936", "Link")</f>
        <v/>
      </c>
      <c r="K583" s="7" t="n">
        <v>45555.56332175926</v>
      </c>
      <c r="L583" s="3" t="inlineStr">
        <is>
          <t>357.98</t>
        </is>
      </c>
      <c r="M583" t="inlineStr">
        <is>
          <t>Köln</t>
        </is>
      </c>
    </row>
    <row r="584">
      <c r="A584" t="inlineStr">
        <is>
          <t>North Evo 12m2 und 9m2 MJ2016</t>
        </is>
      </c>
      <c r="B584" s="4" t="n">
        <v>400</v>
      </c>
      <c r="C584" t="inlineStr">
        <is>
          <t>VB</t>
        </is>
      </c>
      <c r="D584" t="inlineStr">
        <is>
          <t>72574 Baden-Württemberg - Bad Urach</t>
        </is>
      </c>
      <c r="E584" s="5" t="n">
        <v>45553</v>
      </c>
      <c r="F584" t="inlineStr"/>
      <c r="G584" s="6">
        <f>HYPERLINK("https://www.kleinanzeigen.de/s-anzeige/north-evo-12m2-und-9m2-mj2016/2867361693-230-7997", "Link")</f>
        <v/>
      </c>
      <c r="H584" s="6">
        <f>HYPERLINK("C:\Projects\Kleinanzeigen-Scraper\offer_images\2867361693", "Link")</f>
        <v/>
      </c>
      <c r="I584" t="inlineStr">
        <is>
          <t>Roman Raffler</t>
        </is>
      </c>
      <c r="J584" s="6">
        <f>HYPERLINK("https://www.kleinanzeigen.de/s-bestandsliste.html?userId=8397047", "Link")</f>
        <v/>
      </c>
      <c r="K584" s="7" t="n">
        <v>45555.56331018519</v>
      </c>
      <c r="L584" s="3" t="inlineStr">
        <is>
          <t>39.72</t>
        </is>
      </c>
      <c r="M584" t="inlineStr">
        <is>
          <t>Böblingen</t>
        </is>
      </c>
    </row>
    <row r="585">
      <c r="A585" t="inlineStr">
        <is>
          <t>Duotone Rebel SLS 2024 10qm</t>
        </is>
      </c>
      <c r="B585" s="4" t="n">
        <v>1.325</v>
      </c>
      <c r="C585" t="inlineStr">
        <is>
          <t>VB</t>
        </is>
      </c>
      <c r="D585" t="inlineStr">
        <is>
          <t>25348 Schleswig-Holstein - Glückstadt</t>
        </is>
      </c>
      <c r="E585" s="5" t="n">
        <v>45552</v>
      </c>
      <c r="F585" t="inlineStr">
        <is>
          <t>Sold</t>
        </is>
      </c>
      <c r="G585" s="6">
        <f>HYPERLINK("https://www.kleinanzeigen.de/s-anzeige/duotone-rebel-sls-2024-10qm/2866612331-230-867", "Link")</f>
        <v/>
      </c>
      <c r="H585" s="6">
        <f>HYPERLINK("C:\Projects\Kleinanzeigen-Scraper\offer_images\2866612331", "Link")</f>
        <v/>
      </c>
      <c r="I585" t="inlineStr">
        <is>
          <t>Bjarne Jensen</t>
        </is>
      </c>
      <c r="J585" s="6">
        <f>HYPERLINK("https://www.kleinanzeigen.de/s-bestandsliste.html?userId=119116338", "Link")</f>
        <v/>
      </c>
      <c r="K585" s="7" t="n">
        <v>45555.56315972222</v>
      </c>
      <c r="L585" s="3" t="inlineStr">
        <is>
          <t>359.03</t>
        </is>
      </c>
      <c r="M585" t="inlineStr">
        <is>
          <t>Köln</t>
        </is>
      </c>
    </row>
    <row r="586">
      <c r="A586" t="inlineStr">
        <is>
          <t>Duotone Evo SLS 8m 2023 - wie neu</t>
        </is>
      </c>
      <c r="B586" s="4" t="n">
        <v>1.09</v>
      </c>
      <c r="C586" t="inlineStr">
        <is>
          <t>VB</t>
        </is>
      </c>
      <c r="D586" t="inlineStr">
        <is>
          <t>33604 Bielefeld - Bielefeld (Innenstadt)</t>
        </is>
      </c>
      <c r="E586" s="5" t="n">
        <v>45553</v>
      </c>
      <c r="F586" t="inlineStr">
        <is>
          <t>Sold</t>
        </is>
      </c>
      <c r="G586" s="6">
        <f>HYPERLINK("https://www.kleinanzeigen.de/s-anzeige/duotone-evo-sls-8m-2023-wie-neu/2867674643-230-1066", "Link")</f>
        <v/>
      </c>
      <c r="H586" s="6">
        <f>HYPERLINK("C:\Projects\Kleinanzeigen-Scraper\offer_images\2867674643", "Link")</f>
        <v/>
      </c>
      <c r="I586" t="inlineStr">
        <is>
          <t>Gordon Schücker</t>
        </is>
      </c>
      <c r="J586" s="6">
        <f>HYPERLINK("https://www.kleinanzeigen.de/s-bestandsliste.html?userId=28414823", "Link")</f>
        <v/>
      </c>
      <c r="K586" s="7" t="n">
        <v>45555.56313657408</v>
      </c>
      <c r="L586" s="3" t="inlineStr">
        <is>
          <t>162.16</t>
        </is>
      </c>
      <c r="M586" t="inlineStr">
        <is>
          <t>Köln</t>
        </is>
      </c>
    </row>
    <row r="587">
      <c r="A587" t="inlineStr">
        <is>
          <t>Starboard AllStar Trockenanzug Damen Gr. ST</t>
        </is>
      </c>
      <c r="B587" s="4" t="n">
        <v>360</v>
      </c>
      <c r="C587" t="inlineStr"/>
      <c r="D587" t="inlineStr">
        <is>
          <t>71577 Baden-Württemberg - Großerlach</t>
        </is>
      </c>
      <c r="E587" s="5" t="n">
        <v>45556</v>
      </c>
      <c r="F587" t="inlineStr"/>
      <c r="G587" s="6">
        <f>HYPERLINK("https://www.kleinanzeigen.de/s-anzeige/starboard-allstar-trockenanzug-damen-gr-st/2528879512-230-14251", "Link")</f>
        <v/>
      </c>
      <c r="H587" s="6">
        <f>HYPERLINK("C:\Projects\Kleinanzeigen-Scraper\offer_images\2528879512", "Link")</f>
        <v/>
      </c>
      <c r="I587" t="inlineStr">
        <is>
          <t>Elisabeth</t>
        </is>
      </c>
      <c r="J587" s="6">
        <f>HYPERLINK("https://www.kleinanzeigen.de/s-bestandsliste.html?userId=48897704", "Link")</f>
        <v/>
      </c>
      <c r="K587" s="7" t="n">
        <v>45555.56311342592</v>
      </c>
      <c r="L587" s="3" t="inlineStr">
        <is>
          <t>57.45</t>
        </is>
      </c>
      <c r="M587" t="inlineStr">
        <is>
          <t>Böblingen</t>
        </is>
      </c>
    </row>
    <row r="588">
      <c r="A588" t="inlineStr">
        <is>
          <t>Duotone Mono 7qm 2019</t>
        </is>
      </c>
      <c r="B588" s="4" t="n">
        <v>400</v>
      </c>
      <c r="C588" t="inlineStr">
        <is>
          <t>VB</t>
        </is>
      </c>
      <c r="D588" t="inlineStr">
        <is>
          <t>70569 Stuttgart - Vaihingen</t>
        </is>
      </c>
      <c r="E588" s="5" t="n">
        <v>45554</v>
      </c>
      <c r="F588" t="inlineStr">
        <is>
          <t>Sold</t>
        </is>
      </c>
      <c r="G588" s="6">
        <f>HYPERLINK("https://www.kleinanzeigen.de/s-anzeige/duotone-mono-7qm-2019/2867757172-230-9300", "Link")</f>
        <v/>
      </c>
      <c r="H588" s="6">
        <f>HYPERLINK("C:\Projects\Kleinanzeigen-Scraper\offer_images\2867757172", "Link")</f>
        <v/>
      </c>
      <c r="I588" t="inlineStr">
        <is>
          <t>Magnus Piotrowski</t>
        </is>
      </c>
      <c r="J588" s="6">
        <f>HYPERLINK("https://www.kleinanzeigen.de/s-bestandsliste.html?userId=22735961", "Link")</f>
        <v/>
      </c>
      <c r="K588" s="7" t="n">
        <v>45555.56311342592</v>
      </c>
      <c r="L588" s="3" t="inlineStr">
        <is>
          <t>11.51</t>
        </is>
      </c>
      <c r="M588" t="inlineStr">
        <is>
          <t>Böblingen</t>
        </is>
      </c>
    </row>
    <row r="589">
      <c r="A589" t="inlineStr">
        <is>
          <t>Severne Bordbag - dünne Schutzhülle</t>
        </is>
      </c>
      <c r="B589" s="4" t="n">
        <v>25</v>
      </c>
      <c r="C589" t="inlineStr"/>
      <c r="D589" t="inlineStr">
        <is>
          <t>23769 Kreis Ostholstein - Fehmarn</t>
        </is>
      </c>
      <c r="E589" s="5" t="n">
        <v>45552</v>
      </c>
      <c r="F589" t="inlineStr"/>
      <c r="G589" s="6">
        <f>HYPERLINK("https://www.kleinanzeigen.de/s-anzeige/severne-bordbag-duenne-schutzhuelle/2866292614-230-19951", "Link")</f>
        <v/>
      </c>
      <c r="H589" s="6">
        <f>HYPERLINK("C:\Projects\Kleinanzeigen-Scraper\offer_images\2866292614", "Link")</f>
        <v/>
      </c>
      <c r="I589" t="inlineStr">
        <is>
          <t>J. Friedrich</t>
        </is>
      </c>
      <c r="J589" s="6">
        <f>HYPERLINK("https://www.kleinanzeigen.de/s-bestandsliste.html?userId=763243", "Link")</f>
        <v/>
      </c>
      <c r="K589" s="7" t="n">
        <v>45555.56304398148</v>
      </c>
      <c r="L589" s="3" t="inlineStr">
        <is>
          <t>483.01</t>
        </is>
      </c>
      <c r="M589" t="inlineStr">
        <is>
          <t>Köln</t>
        </is>
      </c>
    </row>
    <row r="590">
      <c r="A590" t="inlineStr">
        <is>
          <t>Duotone Click Bar M 22-24m 2024</t>
        </is>
      </c>
      <c r="B590" s="4" t="n">
        <v>520</v>
      </c>
      <c r="C590" t="inlineStr"/>
      <c r="D590" t="inlineStr">
        <is>
          <t>90451 Nürnberg (Mittelfr) - Aussenstadt-Sued</t>
        </is>
      </c>
      <c r="E590" s="5" t="n">
        <v>45551</v>
      </c>
      <c r="F590" t="inlineStr">
        <is>
          <t>Sold</t>
        </is>
      </c>
      <c r="G590" s="6">
        <f>HYPERLINK("https://www.kleinanzeigen.de/s-anzeige/duotone-click-bar-m-22-24m-2024/2838707388-230-6836", "Link")</f>
        <v/>
      </c>
      <c r="H590" s="6">
        <f>HYPERLINK("C:\Projects\Kleinanzeigen-Scraper\offer_images\2838707388", "Link")</f>
        <v/>
      </c>
      <c r="I590" t="inlineStr">
        <is>
          <t>No user name</t>
        </is>
      </c>
      <c r="J590" s="6">
        <f>HYPERLINK("https://www.kleinanzeigen.deNo user link", "Link")</f>
        <v/>
      </c>
      <c r="K590" s="7" t="n">
        <v>45555.56298611111</v>
      </c>
      <c r="L590" s="3" t="inlineStr">
        <is>
          <t>145.92</t>
        </is>
      </c>
      <c r="M590" t="inlineStr">
        <is>
          <t>München</t>
        </is>
      </c>
    </row>
    <row r="591">
      <c r="A591" t="inlineStr">
        <is>
          <t>Duotone Neo 12m aus 2024</t>
        </is>
      </c>
      <c r="B591" s="4" t="n">
        <v>1</v>
      </c>
      <c r="C591" t="inlineStr">
        <is>
          <t>VB</t>
        </is>
      </c>
      <c r="D591" t="inlineStr">
        <is>
          <t>24116 Kiel - Schreventeich-Hasseldieksdamm</t>
        </is>
      </c>
      <c r="E591" s="5" t="n">
        <v>45555</v>
      </c>
      <c r="F591" t="inlineStr">
        <is>
          <t>Sold</t>
        </is>
      </c>
      <c r="G591" s="6">
        <f>HYPERLINK("https://www.kleinanzeigen.de/s-anzeige/duotone-neo-12m-aus-2024/2868616503-230-703", "Link")</f>
        <v/>
      </c>
      <c r="H591" s="6">
        <f>HYPERLINK("C:\Projects\Kleinanzeigen-Scraper\offer_images\2868616503", "Link")</f>
        <v/>
      </c>
      <c r="I591" t="inlineStr">
        <is>
          <t>Ina</t>
        </is>
      </c>
      <c r="J591" s="6">
        <f>HYPERLINK("https://www.kleinanzeigen.de/s-bestandsliste.html?userId=37590729", "Link")</f>
        <v/>
      </c>
      <c r="K591" s="7" t="n">
        <v>45555.56285879629</v>
      </c>
      <c r="L591" s="3" t="inlineStr">
        <is>
          <t>432.62</t>
        </is>
      </c>
      <c r="M591" t="inlineStr">
        <is>
          <t>Köln</t>
        </is>
      </c>
    </row>
    <row r="592">
      <c r="A592" t="inlineStr">
        <is>
          <t>Neuwertig Sage TXL Klasse 1 7.1ft Fliegenrute Loop Simms Hardy</t>
        </is>
      </c>
      <c r="B592" s="4" t="n">
        <v>450</v>
      </c>
      <c r="C592" t="inlineStr">
        <is>
          <t>VB</t>
        </is>
      </c>
      <c r="D592" t="inlineStr">
        <is>
          <t>14770 Brandenburg - Brandenburg an der Havel</t>
        </is>
      </c>
      <c r="E592" s="5" t="n">
        <v>45552</v>
      </c>
      <c r="F592" t="inlineStr">
        <is>
          <t>Sold</t>
        </is>
      </c>
      <c r="G592" s="6">
        <f>HYPERLINK("https://www.kleinanzeigen.de/s-anzeige/neuwertig-sage-txl-klasse-1-7-1ft-fliegenrute-loop-simms-hardy/2866753590-187-7739", "Link")</f>
        <v/>
      </c>
      <c r="H592" s="6">
        <f>HYPERLINK("C:\Projects\Kleinanzeigen-Scraper\offer_images\2866753590", "Link")</f>
        <v/>
      </c>
      <c r="I592" t="inlineStr">
        <is>
          <t>Paul</t>
        </is>
      </c>
      <c r="J592" s="6">
        <f>HYPERLINK("https://www.kleinanzeigen.de/s-bestandsliste.html?userId=23023096", "Link")</f>
        <v/>
      </c>
      <c r="K592" s="7" t="n">
        <v>45555.56283564815</v>
      </c>
      <c r="L592" s="3" t="inlineStr">
        <is>
          <t>416.86</t>
        </is>
      </c>
      <c r="M592" t="inlineStr">
        <is>
          <t>Köln</t>
        </is>
      </c>
    </row>
    <row r="593">
      <c r="A593" t="inlineStr">
        <is>
          <t>SAGE XI3 Klasse 8 9ft. Fliegenrute Simms Rio Hardy</t>
        </is>
      </c>
      <c r="B593" s="4" t="n">
        <v>400</v>
      </c>
      <c r="C593" t="inlineStr">
        <is>
          <t>VB</t>
        </is>
      </c>
      <c r="D593" t="inlineStr">
        <is>
          <t>14770 Brandenburg - Brandenburg an der Havel</t>
        </is>
      </c>
      <c r="E593" s="5" t="n">
        <v>45553</v>
      </c>
      <c r="F593" t="inlineStr"/>
      <c r="G593" s="6">
        <f>HYPERLINK("https://www.kleinanzeigen.de/s-anzeige/sage-xi3-klasse-8-9ft-fliegenrute-simms-rio-hardy/2867649014-187-7739", "Link")</f>
        <v/>
      </c>
      <c r="H593" s="6">
        <f>HYPERLINK("C:\Projects\Kleinanzeigen-Scraper\offer_images\2867649014", "Link")</f>
        <v/>
      </c>
      <c r="I593" t="inlineStr">
        <is>
          <t>Paul</t>
        </is>
      </c>
      <c r="J593" s="6">
        <f>HYPERLINK("https://www.kleinanzeigen.de/s-bestandsliste.html?userId=23023096", "Link")</f>
        <v/>
      </c>
      <c r="K593" s="7" t="n">
        <v>45555.5628125</v>
      </c>
      <c r="L593" s="3" t="inlineStr">
        <is>
          <t>416.86</t>
        </is>
      </c>
      <c r="M593" t="inlineStr">
        <is>
          <t>Köln</t>
        </is>
      </c>
    </row>
    <row r="594">
      <c r="A594" t="inlineStr">
        <is>
          <t>Starboard All Star Airline</t>
        </is>
      </c>
      <c r="B594" s="4" t="n">
        <v>950</v>
      </c>
      <c r="C594" t="inlineStr">
        <is>
          <t>VB</t>
        </is>
      </c>
      <c r="D594" t="inlineStr">
        <is>
          <t>27639 Wurster Nordseeküste - Nordholz</t>
        </is>
      </c>
      <c r="E594" s="5" t="n">
        <v>45553</v>
      </c>
      <c r="F594" t="inlineStr"/>
      <c r="G594" s="6">
        <f>HYPERLINK("https://www.kleinanzeigen.de/s-anzeige/starboard-all-star-airline/2867423370-230-23202", "Link")</f>
        <v/>
      </c>
      <c r="H594" s="6">
        <f>HYPERLINK("C:\Projects\Kleinanzeigen-Scraper\offer_images\2867423370", "Link")</f>
        <v/>
      </c>
      <c r="I594" t="inlineStr">
        <is>
          <t>Oliver Jahr</t>
        </is>
      </c>
      <c r="J594" s="6">
        <f>HYPERLINK("https://www.kleinanzeigen.de/s-bestandsliste.html?userId=11980040", "Link")</f>
        <v/>
      </c>
      <c r="K594" s="7" t="n">
        <v>45555.56280092592</v>
      </c>
      <c r="L594" s="3" t="inlineStr">
        <is>
          <t>332.52</t>
        </is>
      </c>
      <c r="M594" t="inlineStr">
        <is>
          <t>Köln</t>
        </is>
      </c>
    </row>
    <row r="595">
      <c r="A595" t="inlineStr">
        <is>
          <t>Starboard Fuselage 95 Plus NEU</t>
        </is>
      </c>
      <c r="B595" s="4" t="n">
        <v>109</v>
      </c>
      <c r="C595" t="inlineStr"/>
      <c r="D595" t="inlineStr">
        <is>
          <t>88279 Baden-Württemberg - Amtzell</t>
        </is>
      </c>
      <c r="E595" s="5" t="n">
        <v>45568</v>
      </c>
      <c r="F595" t="inlineStr"/>
      <c r="G595" s="6">
        <f>HYPERLINK("https://www.kleinanzeigen.de/s-anzeige/starboard-fuselage-95-plus-neu/2864035682-230-7319", "Link")</f>
        <v/>
      </c>
      <c r="H595" s="6">
        <f>HYPERLINK("C:\Projects\Kleinanzeigen-Scraper\offer_images\2864035682", "Link")</f>
        <v/>
      </c>
      <c r="I595" t="inlineStr">
        <is>
          <t>Waltenheimer</t>
        </is>
      </c>
      <c r="J595" s="6">
        <f>HYPERLINK("https://www.kleinanzeigen.de/s-bestandsliste.html?userId=10995078", "Link")</f>
        <v/>
      </c>
      <c r="K595" s="7" t="n">
        <v>45555.56278935185</v>
      </c>
      <c r="L595" s="3" t="inlineStr">
        <is>
          <t>106.48</t>
        </is>
      </c>
      <c r="M595" t="inlineStr">
        <is>
          <t>Bonndorf</t>
        </is>
      </c>
    </row>
    <row r="596">
      <c r="A596" t="inlineStr">
        <is>
          <t>North / Duotone Rebel 12 qm</t>
        </is>
      </c>
      <c r="B596" s="4" t="n">
        <v>269</v>
      </c>
      <c r="C596" t="inlineStr"/>
      <c r="D596" t="inlineStr">
        <is>
          <t>24105 Schleswig-Holstein - Kiel</t>
        </is>
      </c>
      <c r="E596" s="5" t="n">
        <v>45552</v>
      </c>
      <c r="F596" t="inlineStr">
        <is>
          <t>Sold</t>
        </is>
      </c>
      <c r="G596" s="6">
        <f>HYPERLINK("https://www.kleinanzeigen.de/s-anzeige/north-duotone-rebel-12-qm/2866122462-230-708", "Link")</f>
        <v/>
      </c>
      <c r="H596" s="6">
        <f>HYPERLINK("C:\Projects\Kleinanzeigen-Scraper\offer_images\2866122462", "Link")</f>
        <v/>
      </c>
      <c r="I596" t="inlineStr">
        <is>
          <t>Frederik</t>
        </is>
      </c>
      <c r="J596" s="6">
        <f>HYPERLINK("https://www.kleinanzeigen.de/s-bestandsliste.html?userId=48061862", "Link")</f>
        <v/>
      </c>
      <c r="K596" s="7" t="n">
        <v>45555.56274305555</v>
      </c>
      <c r="L596" s="3" t="inlineStr">
        <is>
          <t>435.05</t>
        </is>
      </c>
      <c r="M596" t="inlineStr">
        <is>
          <t>Köln</t>
        </is>
      </c>
    </row>
    <row r="597">
      <c r="A597" t="inlineStr">
        <is>
          <t>Windsurf Segel Board Bretter Mast Gabel</t>
        </is>
      </c>
      <c r="B597" s="4" t="inlineStr"/>
      <c r="C597" t="inlineStr">
        <is>
          <t>VB</t>
        </is>
      </c>
      <c r="D597" t="inlineStr">
        <is>
          <t>31275 Niedersachsen - Lehrte</t>
        </is>
      </c>
      <c r="E597" s="5" t="n">
        <v>45554</v>
      </c>
      <c r="F597" t="inlineStr">
        <is>
          <t>Sold</t>
        </is>
      </c>
      <c r="G597" s="6">
        <f>HYPERLINK("https://www.kleinanzeigen.de/s-anzeige/windsurf-segel-board-bretter-mast-gabel/2867899851-230-2910", "Link")</f>
        <v/>
      </c>
      <c r="H597" s="6">
        <f>HYPERLINK("C:\Projects\Kleinanzeigen-Scraper\offer_images\2867899851", "Link")</f>
        <v/>
      </c>
      <c r="I597" t="inlineStr">
        <is>
          <t>Jan Kramer</t>
        </is>
      </c>
      <c r="J597" s="6">
        <f>HYPERLINK("https://www.kleinanzeigen.de/s-bestandsliste.html?userId=10217806", "Link")</f>
        <v/>
      </c>
      <c r="K597" s="7" t="n">
        <v>45555.56270833333</v>
      </c>
      <c r="L597" s="3" t="inlineStr">
        <is>
          <t>265.47</t>
        </is>
      </c>
      <c r="M597" t="inlineStr">
        <is>
          <t>Köln</t>
        </is>
      </c>
    </row>
    <row r="598">
      <c r="A598" t="inlineStr">
        <is>
          <t>Duotone Dice SLS 2023 - 12 qm</t>
        </is>
      </c>
      <c r="B598" s="4" t="n">
        <v>950</v>
      </c>
      <c r="C598" t="inlineStr"/>
      <c r="D598" t="inlineStr">
        <is>
          <t>24937 Schleswig-Holstein - Flensburg</t>
        </is>
      </c>
      <c r="E598" s="5" t="n">
        <v>45551</v>
      </c>
      <c r="F598" t="inlineStr">
        <is>
          <t>Sold</t>
        </is>
      </c>
      <c r="G598" s="6">
        <f>HYPERLINK("https://www.kleinanzeigen.de/s-anzeige/duotone-dice-sls-2023-12-qm/2865825107-230-718", "Link")</f>
        <v/>
      </c>
      <c r="H598" s="6">
        <f>HYPERLINK("C:\Projects\Kleinanzeigen-Scraper\offer_images\2865825107", "Link")</f>
        <v/>
      </c>
      <c r="I598" t="inlineStr">
        <is>
          <t>Lukas Freis</t>
        </is>
      </c>
      <c r="J598" s="6">
        <f>HYPERLINK("https://www.kleinanzeigen.de/s-bestandsliste.html?userId=36098666", "Link")</f>
        <v/>
      </c>
      <c r="K598" s="7" t="n">
        <v>45555.56268518518</v>
      </c>
      <c r="L598" s="3" t="inlineStr">
        <is>
          <t>458.80</t>
        </is>
      </c>
      <c r="M598" t="inlineStr">
        <is>
          <t>Köln</t>
        </is>
      </c>
    </row>
    <row r="599">
      <c r="A599" t="inlineStr">
        <is>
          <t>Schneehose von North Ville</t>
        </is>
      </c>
      <c r="B599" s="4" t="n">
        <v>20</v>
      </c>
      <c r="C599" t="inlineStr"/>
      <c r="D599" t="inlineStr">
        <is>
          <t>14770 Brandenburg - Brandenburg an der Havel</t>
        </is>
      </c>
      <c r="E599" s="5" t="n">
        <v>45554</v>
      </c>
      <c r="F599" t="inlineStr"/>
      <c r="G599" s="6">
        <f>HYPERLINK("https://www.kleinanzeigen.de/s-anzeige/schneehose-von-north-ville/2867927813-230-7739", "Link")</f>
        <v/>
      </c>
      <c r="H599" s="6">
        <f>HYPERLINK("C:\Projects\Kleinanzeigen-Scraper\offer_images\2867927813", "Link")</f>
        <v/>
      </c>
      <c r="I599" t="inlineStr">
        <is>
          <t>Julia</t>
        </is>
      </c>
      <c r="J599" s="6">
        <f>HYPERLINK("https://www.kleinanzeigen.de/s-bestandsliste.html?userId=29545849", "Link")</f>
        <v/>
      </c>
      <c r="K599" s="7" t="n">
        <v>45555.56260416667</v>
      </c>
      <c r="L599" s="3" t="inlineStr">
        <is>
          <t>416.86</t>
        </is>
      </c>
      <c r="M599" t="inlineStr">
        <is>
          <t>Köln</t>
        </is>
      </c>
    </row>
    <row r="600">
      <c r="A600" t="inlineStr">
        <is>
          <t>Windsurf Masttasche, Gun Sails</t>
        </is>
      </c>
      <c r="B600" s="4" t="n">
        <v>40</v>
      </c>
      <c r="C600" t="inlineStr"/>
      <c r="D600" t="inlineStr">
        <is>
          <t>58644 Nordrhein-Westfalen - Iserlohn</t>
        </is>
      </c>
      <c r="E600" s="5" t="n">
        <v>45553</v>
      </c>
      <c r="F600" t="inlineStr"/>
      <c r="G600" s="6">
        <f>HYPERLINK("https://www.kleinanzeigen.de/s-anzeige/windsurf-masttasche-gun-sails/2867650704-230-1739", "Link")</f>
        <v/>
      </c>
      <c r="H600" s="6">
        <f>HYPERLINK("C:\Projects\Kleinanzeigen-Scraper\offer_images\2867650704", "Link")</f>
        <v/>
      </c>
      <c r="I600" t="inlineStr">
        <is>
          <t>Lena</t>
        </is>
      </c>
      <c r="J600" s="6">
        <f>HYPERLINK("https://www.kleinanzeigen.de/s-bestandsliste.html?userId=136942176", "Link")</f>
        <v/>
      </c>
      <c r="K600" s="7" t="n">
        <v>45555.56253472222</v>
      </c>
      <c r="L600" s="3" t="inlineStr">
        <is>
          <t>68.92</t>
        </is>
      </c>
      <c r="M600" t="inlineStr">
        <is>
          <t>Köln</t>
        </is>
      </c>
    </row>
    <row r="601">
      <c r="A601" t="inlineStr">
        <is>
          <t>Neoprenanzug Neilpryde Herren Größe L</t>
        </is>
      </c>
      <c r="B601" s="4" t="n">
        <v>80</v>
      </c>
      <c r="C601" t="inlineStr">
        <is>
          <t>VB</t>
        </is>
      </c>
      <c r="D601" t="inlineStr">
        <is>
          <t>28205 Östliche Vorstadt - Hulsberg</t>
        </is>
      </c>
      <c r="E601" s="5" t="n">
        <v>45543</v>
      </c>
      <c r="F601" t="inlineStr">
        <is>
          <t>Sold</t>
        </is>
      </c>
      <c r="G601" s="6">
        <f>HYPERLINK("https://www.kleinanzeigen.de/s-anzeige/neoprenanzug-neilpryde-herren-groesse-l/2857126698-230-22", "Link")</f>
        <v/>
      </c>
      <c r="H601" s="6">
        <f>HYPERLINK("C:\Projects\Kleinanzeigen-Scraper\offer_images\2857126698", "Link")</f>
        <v/>
      </c>
      <c r="I601" t="inlineStr">
        <is>
          <t>kristina</t>
        </is>
      </c>
      <c r="J601" s="6">
        <f>HYPERLINK("https://www.kleinanzeigen.de/s-bestandsliste.html?userId=48717044", "Link")</f>
        <v/>
      </c>
      <c r="K601" s="7" t="n">
        <v>45555.5625</v>
      </c>
      <c r="L601" s="3" t="inlineStr">
        <is>
          <t>269.99</t>
        </is>
      </c>
      <c r="M601" t="inlineStr">
        <is>
          <t>Köln</t>
        </is>
      </c>
    </row>
    <row r="602">
      <c r="A602" t="inlineStr">
        <is>
          <t>Isabella Commodore North Vorzelt Größe A900 G16</t>
        </is>
      </c>
      <c r="B602" s="4" t="n">
        <v>2.05</v>
      </c>
      <c r="C602" t="inlineStr">
        <is>
          <t>VB</t>
        </is>
      </c>
      <c r="D602" t="inlineStr">
        <is>
          <t>46499 Nordrhein-Westfalen - Hamminkeln</t>
        </is>
      </c>
      <c r="E602" s="5" t="n">
        <v>45555</v>
      </c>
      <c r="F602" t="inlineStr"/>
      <c r="G602" s="6">
        <f>HYPERLINK("https://www.kleinanzeigen.de/s-anzeige/isabella-commodore-north-vorzelt-groesse-a900-g16/2868561511-230-1386", "Link")</f>
        <v/>
      </c>
      <c r="H602" s="6">
        <f>HYPERLINK("C:\Projects\Kleinanzeigen-Scraper\offer_images\2868561511", "Link")</f>
        <v/>
      </c>
      <c r="I602" t="inlineStr">
        <is>
          <t>JK</t>
        </is>
      </c>
      <c r="J602" s="6">
        <f>HYPERLINK("https://www.kleinanzeigen.de/s-bestandsliste.html?userId=3012163", "Link")</f>
        <v/>
      </c>
      <c r="K602" s="7" t="n">
        <v>45555.5624537037</v>
      </c>
      <c r="L602" s="3" t="inlineStr">
        <is>
          <t>90.67</t>
        </is>
      </c>
      <c r="M602" t="inlineStr">
        <is>
          <t>Köln</t>
        </is>
      </c>
    </row>
    <row r="603">
      <c r="A603" t="inlineStr">
        <is>
          <t>North Fuse 14qm 2013  5 Liner grün/blau</t>
        </is>
      </c>
      <c r="B603" s="4" t="n">
        <v>160</v>
      </c>
      <c r="C603" t="inlineStr">
        <is>
          <t>VB</t>
        </is>
      </c>
      <c r="D603" t="inlineStr">
        <is>
          <t>80809 München - Milbertshofen - Am Hart</t>
        </is>
      </c>
      <c r="E603" s="5" t="n">
        <v>45551</v>
      </c>
      <c r="F603" t="inlineStr"/>
      <c r="G603" s="6">
        <f>HYPERLINK("https://www.kleinanzeigen.de/s-anzeige/north-fuse-14qm-2013-5-liner-gruen-blau/2865380398-230-6471", "Link")</f>
        <v/>
      </c>
      <c r="H603" s="6">
        <f>HYPERLINK("C:\Projects\Kleinanzeigen-Scraper\offer_images\2865380398", "Link")</f>
        <v/>
      </c>
      <c r="I603" t="inlineStr">
        <is>
          <t>Stefan Aigner</t>
        </is>
      </c>
      <c r="J603" s="6">
        <f>HYPERLINK("https://www.kleinanzeigen.de/s-bestandsliste.html?userId=36402257", "Link")</f>
        <v/>
      </c>
      <c r="K603" s="7" t="n">
        <v>45555.56236111111</v>
      </c>
      <c r="L603" s="3" t="inlineStr">
        <is>
          <t>5.17</t>
        </is>
      </c>
      <c r="M603" t="inlineStr">
        <is>
          <t>München</t>
        </is>
      </c>
    </row>
    <row r="604">
      <c r="A604" t="inlineStr">
        <is>
          <t>Windsurf Segelnummern Schwarz auf Weiß Paar / 2 Stck</t>
        </is>
      </c>
      <c r="B604" s="4" t="n">
        <v>25</v>
      </c>
      <c r="C604" t="inlineStr"/>
      <c r="D604" t="inlineStr">
        <is>
          <t>94315 Bayern - Straubing</t>
        </is>
      </c>
      <c r="E604" s="5" t="n">
        <v>45553</v>
      </c>
      <c r="F604" t="inlineStr"/>
      <c r="G604" s="6">
        <f>HYPERLINK("https://www.kleinanzeigen.de/s-anzeige/windsurf-segelnummern-schwarz-auf-weiss-paar-2-stck/2867248788-298-7337", "Link")</f>
        <v/>
      </c>
      <c r="H604" s="6">
        <f>HYPERLINK("C:\Projects\Kleinanzeigen-Scraper\offer_images\2867248788", "Link")</f>
        <v/>
      </c>
      <c r="I604" t="inlineStr">
        <is>
          <t>R.M.</t>
        </is>
      </c>
      <c r="J604" s="6">
        <f>HYPERLINK("https://www.kleinanzeigen.de/s-bestandsliste.html?userId=12819128", "Link")</f>
        <v/>
      </c>
      <c r="K604" s="7" t="n">
        <v>45555.56234953704</v>
      </c>
      <c r="L604" s="3" t="inlineStr">
        <is>
          <t>110.14</t>
        </is>
      </c>
      <c r="M604" t="inlineStr">
        <is>
          <t>München</t>
        </is>
      </c>
    </row>
    <row r="605">
      <c r="A605" t="inlineStr">
        <is>
          <t>Duoton Rebel SLS 9qm</t>
        </is>
      </c>
      <c r="B605" s="4" t="n">
        <v>890</v>
      </c>
      <c r="C605" t="inlineStr"/>
      <c r="D605" t="inlineStr">
        <is>
          <t>12437 Berlin - Treptow</t>
        </is>
      </c>
      <c r="E605" s="5" t="n">
        <v>45530</v>
      </c>
      <c r="F605" t="inlineStr">
        <is>
          <t>Sold</t>
        </is>
      </c>
      <c r="G605" s="6">
        <f>HYPERLINK("https://www.kleinanzeigen.de/s-anzeige/duoton-rebel-sls-9qm/2847192612-230-3481", "Link")</f>
        <v/>
      </c>
      <c r="H605" s="6">
        <f>HYPERLINK("C:\Projects\Kleinanzeigen-Scraper\offer_images\2847192612", "Link")</f>
        <v/>
      </c>
      <c r="I605" t="inlineStr">
        <is>
          <t>Stresing</t>
        </is>
      </c>
      <c r="J605" s="6">
        <f>HYPERLINK("https://www.kleinanzeigen.de/s-bestandsliste.html?userId=16656859", "Link")</f>
        <v/>
      </c>
      <c r="K605" s="7" t="n">
        <v>45555.56232638889</v>
      </c>
      <c r="L605" s="3" t="inlineStr">
        <is>
          <t>480.44</t>
        </is>
      </c>
      <c r="M605" t="inlineStr">
        <is>
          <t>Köln</t>
        </is>
      </c>
    </row>
    <row r="606">
      <c r="A606" t="inlineStr">
        <is>
          <t>American Football – Florida, State of North Carolina, 1996</t>
        </is>
      </c>
      <c r="B606" s="4" t="n">
        <v>10</v>
      </c>
      <c r="C606" t="inlineStr">
        <is>
          <t>VB</t>
        </is>
      </c>
      <c r="D606" t="inlineStr">
        <is>
          <t>38122 Niedersachsen - Braunschweig</t>
        </is>
      </c>
      <c r="E606" s="5" t="n">
        <v>45554</v>
      </c>
      <c r="F606" t="inlineStr"/>
      <c r="G606" s="6">
        <f>HYPERLINK("https://www.kleinanzeigen.de/s-anzeige/american-football-florida-state-of-north-carolina-1996/2867889626-234-2454", "Link")</f>
        <v/>
      </c>
      <c r="H606" s="6">
        <f>HYPERLINK("C:\Projects\Kleinanzeigen-Scraper\offer_images\2867889626", "Link")</f>
        <v/>
      </c>
      <c r="I606" t="inlineStr">
        <is>
          <t>Anja</t>
        </is>
      </c>
      <c r="J606" s="6">
        <f>HYPERLINK("https://www.kleinanzeigen.de/s-bestandsliste.html?userId=121095257", "Link")</f>
        <v/>
      </c>
      <c r="K606" s="7" t="n">
        <v>45555.56231481482</v>
      </c>
      <c r="L606" s="3" t="inlineStr">
        <is>
          <t>281.87</t>
        </is>
      </c>
      <c r="M606" t="inlineStr">
        <is>
          <t>Köln</t>
        </is>
      </c>
    </row>
    <row r="607">
      <c r="A607" t="inlineStr">
        <is>
          <t>Herren-Neoprenanzug Neilpryde CUP 5000</t>
        </is>
      </c>
      <c r="B607" s="4" t="n">
        <v>70</v>
      </c>
      <c r="C607" t="inlineStr">
        <is>
          <t>VB</t>
        </is>
      </c>
      <c r="D607" t="inlineStr">
        <is>
          <t>97464 Bayern - Niederwerrn</t>
        </is>
      </c>
      <c r="E607" s="5" t="n">
        <v>45551</v>
      </c>
      <c r="F607" t="inlineStr">
        <is>
          <t>Sold</t>
        </is>
      </c>
      <c r="G607" s="6">
        <f>HYPERLINK("https://www.kleinanzeigen.de/s-anzeige/herren-neoprenanzug-neilpryde-cup-5000/2865731014-230-6855", "Link")</f>
        <v/>
      </c>
      <c r="H607" s="6">
        <f>HYPERLINK("C:\Projects\Kleinanzeigen-Scraper\offer_images\2865731014", "Link")</f>
        <v/>
      </c>
      <c r="I607" t="inlineStr">
        <is>
          <t>Kai Schlösser</t>
        </is>
      </c>
      <c r="J607" s="6">
        <f>HYPERLINK("https://www.kleinanzeigen.de/s-bestandsliste.html?userId=50985745", "Link")</f>
        <v/>
      </c>
      <c r="K607" s="7" t="n">
        <v>45555.56222222222</v>
      </c>
      <c r="L607" s="3" t="inlineStr">
        <is>
          <t>174.49</t>
        </is>
      </c>
      <c r="M607" t="inlineStr">
        <is>
          <t>Karlsruhe</t>
        </is>
      </c>
    </row>
    <row r="608">
      <c r="A608" t="inlineStr">
        <is>
          <t>SUP Starboard Tikihini Sun-Touring (11'6 x 29 Zoll) inkl. Zubehör</t>
        </is>
      </c>
      <c r="B608" s="4" t="n">
        <v>799</v>
      </c>
      <c r="C608" t="inlineStr">
        <is>
          <t>VB</t>
        </is>
      </c>
      <c r="D608" t="inlineStr">
        <is>
          <t>45964 Nordrhein-Westfalen - Gladbeck</t>
        </is>
      </c>
      <c r="E608" s="5" t="n">
        <v>45444</v>
      </c>
      <c r="F608" t="inlineStr"/>
      <c r="G608" s="6">
        <f>HYPERLINK("https://www.kleinanzeigen.de/s-anzeige/sup-starboard-tikihini-sun-touring-11-6-x-29-zoll-inkl-zubehoer/2777102718-230-1803", "Link")</f>
        <v/>
      </c>
      <c r="H608" s="6">
        <f>HYPERLINK("C:\Projects\Kleinanzeigen-Scraper\offer_images\2777102718", "Link")</f>
        <v/>
      </c>
      <c r="I608" t="inlineStr">
        <is>
          <t>Andrea</t>
        </is>
      </c>
      <c r="J608" s="6">
        <f>HYPERLINK("https://www.kleinanzeigen.de/s-bestandsliste.html?userId=63067732", "Link")</f>
        <v/>
      </c>
      <c r="K608" s="7" t="n">
        <v>45555.56221064815</v>
      </c>
      <c r="L608" s="3" t="inlineStr">
        <is>
          <t>70.88</t>
        </is>
      </c>
      <c r="M608" t="inlineStr">
        <is>
          <t>Köln</t>
        </is>
      </c>
    </row>
    <row r="609">
      <c r="A609" t="inlineStr">
        <is>
          <t>Snowboard Fanatic mit Bindung Länge 154cm</t>
        </is>
      </c>
      <c r="B609" s="4" t="n">
        <v>25</v>
      </c>
      <c r="C609" t="inlineStr"/>
      <c r="D609" t="inlineStr">
        <is>
          <t>65929 West - Höchst</t>
        </is>
      </c>
      <c r="E609" s="5" t="n">
        <v>45553</v>
      </c>
      <c r="F609" t="inlineStr">
        <is>
          <t>Sold</t>
        </is>
      </c>
      <c r="G609" s="6">
        <f>HYPERLINK("https://www.kleinanzeigen.de/s-anzeige/snowboard-fanatic-mit-bindung-laenge-154cm/2866825257-230-4314", "Link")</f>
        <v/>
      </c>
      <c r="H609" s="6">
        <f>HYPERLINK("C:\Projects\Kleinanzeigen-Scraper\offer_images\2866825257", "Link")</f>
        <v/>
      </c>
      <c r="I609" t="inlineStr">
        <is>
          <t>Igor</t>
        </is>
      </c>
      <c r="J609" s="6">
        <f>HYPERLINK("https://www.kleinanzeigen.de/s-bestandsliste.html?userId=118077640", "Link")</f>
        <v/>
      </c>
      <c r="K609" s="7" t="n">
        <v>45555.56221064815</v>
      </c>
      <c r="L609" s="3" t="inlineStr">
        <is>
          <t>122.16</t>
        </is>
      </c>
      <c r="M609" t="inlineStr">
        <is>
          <t>Karlsruhe</t>
        </is>
      </c>
    </row>
    <row r="610">
      <c r="A610" t="inlineStr">
        <is>
          <t>Duotone Glide 1305 &amp; P200 stabilizer</t>
        </is>
      </c>
      <c r="B610" s="4" t="n">
        <v>450</v>
      </c>
      <c r="C610" t="inlineStr"/>
      <c r="D610" t="inlineStr">
        <is>
          <t>59558 Nordrhein-Westfalen - Lippstadt</t>
        </is>
      </c>
      <c r="E610" s="5" t="n">
        <v>45555</v>
      </c>
      <c r="F610" t="inlineStr">
        <is>
          <t>Sold</t>
        </is>
      </c>
      <c r="G610" s="6">
        <f>HYPERLINK("https://www.kleinanzeigen.de/s-anzeige/duotone-glide-1305-p200-stabilizer/2868631863-230-1845", "Link")</f>
        <v/>
      </c>
      <c r="H610" s="6">
        <f>HYPERLINK("C:\Projects\Kleinanzeigen-Scraper\offer_images\2868631863", "Link")</f>
        <v/>
      </c>
      <c r="I610" t="inlineStr">
        <is>
          <t>Jannik</t>
        </is>
      </c>
      <c r="J610" s="6">
        <f>HYPERLINK("https://www.kleinanzeigen.de/s-bestandsliste.html?userId=24640490", "Link")</f>
        <v/>
      </c>
      <c r="K610" s="7" t="n">
        <v>45555.56219907408</v>
      </c>
      <c r="L610" s="3" t="inlineStr">
        <is>
          <t>129.62</t>
        </is>
      </c>
      <c r="M610" t="inlineStr">
        <is>
          <t>Köln</t>
        </is>
      </c>
    </row>
    <row r="611">
      <c r="A611" t="inlineStr">
        <is>
          <t>CAMPINGSTUHL Outwell Goya Chair    gebraucht</t>
        </is>
      </c>
      <c r="B611" s="4" t="n">
        <v>35</v>
      </c>
      <c r="C611" t="inlineStr"/>
      <c r="D611" t="inlineStr">
        <is>
          <t>28207 Hemelingen - Hastedt</t>
        </is>
      </c>
      <c r="E611" s="5" t="n">
        <v>45527</v>
      </c>
      <c r="F611" t="inlineStr"/>
      <c r="G611" s="6">
        <f>HYPERLINK("https://www.kleinanzeigen.de/s-anzeige/campingstuhl-outwell-goya-chair-gebraucht/2844472631-230-5", "Link")</f>
        <v/>
      </c>
      <c r="H611" s="6">
        <f>HYPERLINK("C:\Projects\Kleinanzeigen-Scraper\offer_images\2844472631", "Link")</f>
        <v/>
      </c>
      <c r="I611" t="inlineStr">
        <is>
          <t>Greve</t>
        </is>
      </c>
      <c r="J611" s="6">
        <f>HYPERLINK("https://www.kleinanzeigen.de/s-bestandsliste.html?userId=9761727", "Link")</f>
        <v/>
      </c>
      <c r="K611" s="7" t="n">
        <v>45555.56219907408</v>
      </c>
      <c r="L611" s="3" t="inlineStr">
        <is>
          <t>270.28</t>
        </is>
      </c>
      <c r="M611" t="inlineStr">
        <is>
          <t>Köln</t>
        </is>
      </c>
    </row>
    <row r="612">
      <c r="A612" t="inlineStr">
        <is>
          <t>Starboard Damen Trockenanzug All Star SUP Suit 3ColorBlue M neuw.</t>
        </is>
      </c>
      <c r="B612" s="4" t="n">
        <v>300</v>
      </c>
      <c r="C612" t="inlineStr"/>
      <c r="D612" t="inlineStr">
        <is>
          <t>47447 Nordrhein-Westfalen - Moers</t>
        </is>
      </c>
      <c r="E612" s="5" t="n">
        <v>45554</v>
      </c>
      <c r="F612" t="inlineStr">
        <is>
          <t>Sold</t>
        </is>
      </c>
      <c r="G612" s="6">
        <f>HYPERLINK("https://www.kleinanzeigen.de/s-anzeige/starboard-damen-trockenanzug-all-star-sup-suit-3colorblue-m-neuw-/2868281677-230-2130", "Link")</f>
        <v/>
      </c>
      <c r="H612" s="6">
        <f>HYPERLINK("C:\Projects\Kleinanzeigen-Scraper\offer_images\2868281677", "Link")</f>
        <v/>
      </c>
      <c r="I612" t="inlineStr">
        <is>
          <t>T. Annen</t>
        </is>
      </c>
      <c r="J612" s="6">
        <f>HYPERLINK("https://www.kleinanzeigen.de/s-bestandsliste.html?userId=9843694", "Link")</f>
        <v/>
      </c>
      <c r="K612" s="7" t="n">
        <v>45555.5621875</v>
      </c>
      <c r="L612" s="3" t="inlineStr">
        <is>
          <t>58.22</t>
        </is>
      </c>
      <c r="M612" t="inlineStr">
        <is>
          <t>Köln</t>
        </is>
      </c>
    </row>
    <row r="613">
      <c r="A613" t="inlineStr">
        <is>
          <t>Duotone Rebel SLS 2024 8qm</t>
        </is>
      </c>
      <c r="B613" s="4" t="n">
        <v>1.3</v>
      </c>
      <c r="C613" t="inlineStr">
        <is>
          <t>VB</t>
        </is>
      </c>
      <c r="D613" t="inlineStr">
        <is>
          <t>33719 Bielefeld - Heepen</t>
        </is>
      </c>
      <c r="E613" s="5" t="n">
        <v>45551</v>
      </c>
      <c r="F613" t="inlineStr">
        <is>
          <t>Sold</t>
        </is>
      </c>
      <c r="G613" s="6">
        <f>HYPERLINK("https://www.kleinanzeigen.de/s-anzeige/duotone-rebel-sls-2024-8qm/2865812018-230-1084", "Link")</f>
        <v/>
      </c>
      <c r="H613" s="6">
        <f>HYPERLINK("C:\Projects\Kleinanzeigen-Scraper\offer_images\2865812018", "Link")</f>
        <v/>
      </c>
      <c r="I613" t="inlineStr">
        <is>
          <t>Alex</t>
        </is>
      </c>
      <c r="J613" s="6">
        <f>HYPERLINK("https://www.kleinanzeigen.de/s-bestandsliste.html?userId=48410460", "Link")</f>
        <v/>
      </c>
      <c r="K613" s="7" t="n">
        <v>45555.56217592592</v>
      </c>
      <c r="L613" s="3" t="inlineStr">
        <is>
          <t>166.32</t>
        </is>
      </c>
      <c r="M613" t="inlineStr">
        <is>
          <t>Köln</t>
        </is>
      </c>
    </row>
    <row r="614">
      <c r="A614" t="inlineStr">
        <is>
          <t>Vorzelt Isabella Capri North (1001-1025) mit Carbon-X Gestänge</t>
        </is>
      </c>
      <c r="B614" s="4" t="n">
        <v>1.999</v>
      </c>
      <c r="C614" t="inlineStr">
        <is>
          <t>VB</t>
        </is>
      </c>
      <c r="D614" t="inlineStr">
        <is>
          <t>47625 Nordrhein-Westfalen - Kevelaer</t>
        </is>
      </c>
      <c r="E614" s="5" t="n">
        <v>45554</v>
      </c>
      <c r="F614" t="inlineStr"/>
      <c r="G614" s="6">
        <f>HYPERLINK("https://www.kleinanzeigen.de/s-anzeige/vorzelt-isabella-capri-north-1001-1025-mit-carbon-x-gestaenge/2868451263-230-1135", "Link")</f>
        <v/>
      </c>
      <c r="H614" s="6">
        <f>HYPERLINK("C:\Projects\Kleinanzeigen-Scraper\offer_images\2868451263", "Link")</f>
        <v/>
      </c>
      <c r="I614" t="inlineStr">
        <is>
          <t>Domenic</t>
        </is>
      </c>
      <c r="J614" s="6">
        <f>HYPERLINK("https://www.kleinanzeigen.de/s-bestandsliste.html?userId=4310899", "Link")</f>
        <v/>
      </c>
      <c r="K614" s="7" t="n">
        <v>45555.56210648148</v>
      </c>
      <c r="L614" s="3" t="inlineStr">
        <is>
          <t>83.97</t>
        </is>
      </c>
      <c r="M614" t="inlineStr">
        <is>
          <t>Köln</t>
        </is>
      </c>
    </row>
    <row r="615">
      <c r="A615" t="inlineStr">
        <is>
          <t>The north Face Summit Series Cobra 60 Alpin Rucksack</t>
        </is>
      </c>
      <c r="B615" s="4" t="n">
        <v>140</v>
      </c>
      <c r="C615" t="inlineStr">
        <is>
          <t>VB</t>
        </is>
      </c>
      <c r="D615" t="inlineStr">
        <is>
          <t>64625 Hessen - Bensheim</t>
        </is>
      </c>
      <c r="E615" s="5" t="n">
        <v>45554</v>
      </c>
      <c r="F615" t="inlineStr"/>
      <c r="G615" s="6">
        <f>HYPERLINK("https://www.kleinanzeigen.de/s-anzeige/the-north-face-summit-series-cobra-60-alpin-rucksack/2867867684-230-4769", "Link")</f>
        <v/>
      </c>
      <c r="H615" s="6">
        <f>HYPERLINK("C:\Projects\Kleinanzeigen-Scraper\offer_images\2867867684", "Link")</f>
        <v/>
      </c>
      <c r="I615" t="inlineStr">
        <is>
          <t>Alexander</t>
        </is>
      </c>
      <c r="J615" s="6">
        <f>HYPERLINK("https://www.kleinanzeigen.de/s-bestandsliste.html?userId=34124958", "Link")</f>
        <v/>
      </c>
      <c r="K615" s="7" t="n">
        <v>45555.56210648148</v>
      </c>
      <c r="L615" s="3" t="inlineStr">
        <is>
          <t>77.54</t>
        </is>
      </c>
      <c r="M615" t="inlineStr">
        <is>
          <t>Karlsruhe</t>
        </is>
      </c>
    </row>
    <row r="616">
      <c r="A616" t="inlineStr">
        <is>
          <t>LAGERVERKAUF: JP Australia SUP Boards zu Discount Preisen</t>
        </is>
      </c>
      <c r="B616" s="4" t="n">
        <v>269</v>
      </c>
      <c r="C616" t="inlineStr">
        <is>
          <t>VB</t>
        </is>
      </c>
      <c r="D616" t="inlineStr">
        <is>
          <t>57489 Nordrhein-Westfalen - Drolshagen</t>
        </is>
      </c>
      <c r="E616" s="5" t="n">
        <v>45554</v>
      </c>
      <c r="F616" t="inlineStr"/>
      <c r="G616" s="6">
        <f>HYPERLINK("https://www.kleinanzeigen.de/s-anzeige/lagerverkauf-jp-australia-sup-boards-zu-discount-preisen/2868051445-230-1530", "Link")</f>
        <v/>
      </c>
      <c r="H616" s="6">
        <f>HYPERLINK("C:\Projects\Kleinanzeigen-Scraper\offer_images\2868051445", "Link")</f>
        <v/>
      </c>
      <c r="I616" t="inlineStr">
        <is>
          <t>key2fun</t>
        </is>
      </c>
      <c r="J616" s="6">
        <f>HYPERLINK("https://www.kleinanzeigen.de/s-bestandsliste.html?userId=68821592", "Link")</f>
        <v/>
      </c>
      <c r="K616" s="7" t="n">
        <v>45555.56190972222</v>
      </c>
      <c r="L616" s="3" t="inlineStr">
        <is>
          <t>58.85</t>
        </is>
      </c>
      <c r="M616" t="inlineStr">
        <is>
          <t>Köln</t>
        </is>
      </c>
    </row>
    <row r="617">
      <c r="A617" t="inlineStr">
        <is>
          <t>Duotone Evo SLS 10m 2023 - guter Zustand</t>
        </is>
      </c>
      <c r="B617" s="4" t="n">
        <v>1.13</v>
      </c>
      <c r="C617" t="inlineStr">
        <is>
          <t>VB</t>
        </is>
      </c>
      <c r="D617" t="inlineStr">
        <is>
          <t>33604 Bielefeld - Bielefeld (Innenstadt)</t>
        </is>
      </c>
      <c r="E617" s="5" t="n">
        <v>45554</v>
      </c>
      <c r="F617" t="inlineStr">
        <is>
          <t>Sold</t>
        </is>
      </c>
      <c r="G617" s="6">
        <f>HYPERLINK("https://www.kleinanzeigen.de/s-anzeige/duotone-evo-sls-10m-2023-guter-zustand/2867677709-230-1066", "Link")</f>
        <v/>
      </c>
      <c r="H617" s="6">
        <f>HYPERLINK("C:\Projects\Kleinanzeigen-Scraper\offer_images\2867677709", "Link")</f>
        <v/>
      </c>
      <c r="I617" t="inlineStr">
        <is>
          <t>Gordon Schücker</t>
        </is>
      </c>
      <c r="J617" s="6">
        <f>HYPERLINK("https://www.kleinanzeigen.de/s-bestandsliste.html?userId=28414823", "Link")</f>
        <v/>
      </c>
      <c r="K617" s="7" t="n">
        <v>45555.56186342592</v>
      </c>
      <c r="L617" s="3" t="inlineStr">
        <is>
          <t>162.16</t>
        </is>
      </c>
      <c r="M617" t="inlineStr">
        <is>
          <t>Köln</t>
        </is>
      </c>
    </row>
    <row r="618">
      <c r="A618" t="inlineStr">
        <is>
          <t>Carbon Paddle Fanatic pink 3-teilig</t>
        </is>
      </c>
      <c r="B618" s="4" t="n">
        <v>119</v>
      </c>
      <c r="C618" t="inlineStr"/>
      <c r="D618" t="inlineStr">
        <is>
          <t>23769 Kreis Ostholstein - Fehmarn</t>
        </is>
      </c>
      <c r="E618" s="5" t="n">
        <v>45554</v>
      </c>
      <c r="F618" t="inlineStr"/>
      <c r="G618" s="6">
        <f>HYPERLINK("https://www.kleinanzeigen.de/s-anzeige/carbon-paddle-fanatic-pink-3-teilig/2868428751-230-19951", "Link")</f>
        <v/>
      </c>
      <c r="H618" s="6">
        <f>HYPERLINK("C:\Projects\Kleinanzeigen-Scraper\offer_images\2868428751", "Link")</f>
        <v/>
      </c>
      <c r="I618" t="inlineStr">
        <is>
          <t>Balti</t>
        </is>
      </c>
      <c r="J618" s="6">
        <f>HYPERLINK("https://www.kleinanzeigen.de/s-bestandsliste.html?userId=9950710", "Link")</f>
        <v/>
      </c>
      <c r="K618" s="7" t="n">
        <v>45555.56175925926</v>
      </c>
      <c r="L618" s="3" t="inlineStr">
        <is>
          <t>483.01</t>
        </is>
      </c>
      <c r="M618" t="inlineStr">
        <is>
          <t>Köln</t>
        </is>
      </c>
    </row>
    <row r="619">
      <c r="A619" t="inlineStr">
        <is>
          <t>Neuseeland Buch Fotografie Auckland North Rodney NEU</t>
        </is>
      </c>
      <c r="B619" s="4" t="n">
        <v>2</v>
      </c>
      <c r="C619" t="inlineStr">
        <is>
          <t>VB</t>
        </is>
      </c>
      <c r="D619" t="inlineStr">
        <is>
          <t>68782 Baden-Württemberg - Brühl</t>
        </is>
      </c>
      <c r="E619" s="5" t="n">
        <v>45552</v>
      </c>
      <c r="F619" t="inlineStr">
        <is>
          <t>Sold</t>
        </is>
      </c>
      <c r="G619" s="6">
        <f>HYPERLINK("https://www.kleinanzeigen.de/s-anzeige/neuseeland-buch-fotografie-auckland-north-rodney-neu/2866034020-233-1157", "Link")</f>
        <v/>
      </c>
      <c r="H619" s="6">
        <f>HYPERLINK("C:\Projects\Kleinanzeigen-Scraper\offer_images\2866034020", "Link")</f>
        <v/>
      </c>
      <c r="I619" t="inlineStr">
        <is>
          <t>Milena</t>
        </is>
      </c>
      <c r="J619" s="6">
        <f>HYPERLINK("https://www.kleinanzeigen.de/s-bestandsliste.html?userId=37077672", "Link")</f>
        <v/>
      </c>
      <c r="K619" s="7" t="n">
        <v>45555.56172453704</v>
      </c>
      <c r="L619" s="3" t="inlineStr">
        <is>
          <t>44.92</t>
        </is>
      </c>
      <c r="M619" t="inlineStr">
        <is>
          <t>Karlsruhe</t>
        </is>
      </c>
    </row>
    <row r="620">
      <c r="A620" t="inlineStr">
        <is>
          <t>DUOTONE Juice 15m2 Türkis / 2020 / wie neu</t>
        </is>
      </c>
      <c r="B620" s="4" t="n">
        <v>1.1</v>
      </c>
      <c r="C620" t="inlineStr"/>
      <c r="D620" t="inlineStr">
        <is>
          <t>80639 Neuhausen-Nymphenburg - Neuhausen</t>
        </is>
      </c>
      <c r="E620" s="5" t="n">
        <v>45554</v>
      </c>
      <c r="F620" t="inlineStr">
        <is>
          <t>Sold</t>
        </is>
      </c>
      <c r="G620" s="6">
        <f>HYPERLINK("https://www.kleinanzeigen.de/s-anzeige/duotone-juice-15m2-tuerkis-2020-wie-neu/2868168746-230-6420", "Link")</f>
        <v/>
      </c>
      <c r="H620" s="6">
        <f>HYPERLINK("C:\Projects\Kleinanzeigen-Scraper\offer_images\2868168746", "Link")</f>
        <v/>
      </c>
      <c r="I620" t="inlineStr">
        <is>
          <t>Christine</t>
        </is>
      </c>
      <c r="J620" s="6">
        <f>HYPERLINK("https://www.kleinanzeigen.de/s-bestandsliste.html?userId=21179668", "Link")</f>
        <v/>
      </c>
      <c r="K620" s="7" t="n">
        <v>45555.56167824074</v>
      </c>
      <c r="L620" s="3" t="inlineStr">
        <is>
          <t>4.83</t>
        </is>
      </c>
      <c r="M620" t="inlineStr">
        <is>
          <t>München</t>
        </is>
      </c>
    </row>
    <row r="621">
      <c r="A621" t="inlineStr">
        <is>
          <t>Duotone Evo SLS 12qm 2023 2024 Neuwertig</t>
        </is>
      </c>
      <c r="B621" s="4" t="n">
        <v>1.39</v>
      </c>
      <c r="C621" t="inlineStr">
        <is>
          <t>VB</t>
        </is>
      </c>
      <c r="D621" t="inlineStr">
        <is>
          <t>82288 Bayern - Kottgeisering</t>
        </is>
      </c>
      <c r="E621" s="5" t="n">
        <v>45551</v>
      </c>
      <c r="F621" t="inlineStr">
        <is>
          <t>Sold</t>
        </is>
      </c>
      <c r="G621" s="6">
        <f>HYPERLINK("https://www.kleinanzeigen.de/s-anzeige/duotone-evo-sls-12qm-2023-2024-neuwertig/2865568570-230-6312", "Link")</f>
        <v/>
      </c>
      <c r="H621" s="6">
        <f>HYPERLINK("C:\Projects\Kleinanzeigen-Scraper\offer_images\2865568570", "Link")</f>
        <v/>
      </c>
      <c r="I621" t="inlineStr">
        <is>
          <t>BR</t>
        </is>
      </c>
      <c r="J621" s="6">
        <f>HYPERLINK("https://www.kleinanzeigen.de/s-bestandsliste.html?userId=74114559", "Link")</f>
        <v/>
      </c>
      <c r="K621" s="7" t="n">
        <v>45555.56165509259</v>
      </c>
      <c r="L621" s="3" t="inlineStr">
        <is>
          <t>32.90</t>
        </is>
      </c>
      <c r="M621" t="inlineStr">
        <is>
          <t>München</t>
        </is>
      </c>
    </row>
    <row r="622">
      <c r="A622" t="inlineStr">
        <is>
          <t>Duotone EVO SLS 8qm blau Neu &amp; OVP 2023</t>
        </is>
      </c>
      <c r="B622" s="4" t="n">
        <v>1.2</v>
      </c>
      <c r="C622" t="inlineStr"/>
      <c r="D622" t="inlineStr">
        <is>
          <t>12555 Berlin - Köpenick</t>
        </is>
      </c>
      <c r="E622" s="5" t="n">
        <v>45553</v>
      </c>
      <c r="F622" t="inlineStr">
        <is>
          <t>Sold</t>
        </is>
      </c>
      <c r="G622" s="6">
        <f>HYPERLINK("https://www.kleinanzeigen.de/s-anzeige/duotone-evo-sls-8qm-blau-neu-ovp-2023/2866990764-230-3365", "Link")</f>
        <v/>
      </c>
      <c r="H622" s="6">
        <f>HYPERLINK("C:\Projects\Kleinanzeigen-Scraper\offer_images\2866990764", "Link")</f>
        <v/>
      </c>
      <c r="I622" t="inlineStr">
        <is>
          <t>Richter</t>
        </is>
      </c>
      <c r="J622" s="6">
        <f>HYPERLINK("https://www.kleinanzeigen.de/s-bestandsliste.html?userId=1654826", "Link")</f>
        <v/>
      </c>
      <c r="K622" s="7" t="n">
        <v>45555.5616087963</v>
      </c>
      <c r="L622" s="3" t="inlineStr">
        <is>
          <t>487.27</t>
        </is>
      </c>
      <c r="M622" t="inlineStr">
        <is>
          <t>Köln</t>
        </is>
      </c>
    </row>
    <row r="623">
      <c r="A623" t="inlineStr">
        <is>
          <t>RRD SUP Dynamic Paddel Y25 2023 Stand up Paddel</t>
        </is>
      </c>
      <c r="B623" s="4" t="n">
        <v>256</v>
      </c>
      <c r="C623" t="inlineStr"/>
      <c r="D623" t="inlineStr">
        <is>
          <t>82319 Bayern - Starnberg</t>
        </is>
      </c>
      <c r="E623" s="5" t="n">
        <v>45551</v>
      </c>
      <c r="F623" t="inlineStr"/>
      <c r="G623" s="6">
        <f>HYPERLINK("https://www.kleinanzeigen.de/s-anzeige/rrd-sup-dynamic-paddel-y25-2023-stand-up-paddel/2451583661-230-5525", "Link")</f>
        <v/>
      </c>
      <c r="H623" s="6">
        <f>HYPERLINK("C:\Projects\Kleinanzeigen-Scraper\offer_images\2451583661", "Link")</f>
        <v/>
      </c>
      <c r="I623" t="inlineStr">
        <is>
          <t>No user name</t>
        </is>
      </c>
      <c r="J623" s="6">
        <f>HYPERLINK("https://www.kleinanzeigen.deNo user link", "Link")</f>
        <v/>
      </c>
      <c r="K623" s="7" t="n">
        <v>45555.56158564815</v>
      </c>
      <c r="L623" s="3" t="inlineStr">
        <is>
          <t>23.17</t>
        </is>
      </c>
      <c r="M623" t="inlineStr">
        <is>
          <t>München</t>
        </is>
      </c>
    </row>
    <row r="624">
      <c r="A624" t="inlineStr">
        <is>
          <t>Starbucks Tasse City Mug * North Carolina * neu</t>
        </is>
      </c>
      <c r="B624" s="4" t="n">
        <v>51</v>
      </c>
      <c r="C624" t="inlineStr"/>
      <c r="D624" t="inlineStr">
        <is>
          <t>26441 Niedersachsen - Jever</t>
        </is>
      </c>
      <c r="E624" s="5" t="n">
        <v>45552</v>
      </c>
      <c r="F624" t="inlineStr"/>
      <c r="G624" s="6">
        <f>HYPERLINK("https://www.kleinanzeigen.de/s-anzeige/starbucks-tasse-city-mug-north-carolina-neu/2865982006-234-3010", "Link")</f>
        <v/>
      </c>
      <c r="H624" s="6">
        <f>HYPERLINK("C:\Projects\Kleinanzeigen-Scraper\offer_images\2865982006", "Link")</f>
        <v/>
      </c>
      <c r="I624" t="inlineStr">
        <is>
          <t>Niemann</t>
        </is>
      </c>
      <c r="J624" s="6">
        <f>HYPERLINK("https://www.kleinanzeigen.de/s-bestandsliste.html?userId=21282047", "Link")</f>
        <v/>
      </c>
      <c r="K624" s="7" t="n">
        <v>45555.56155092592</v>
      </c>
      <c r="L624" s="3" t="inlineStr">
        <is>
          <t>297.32</t>
        </is>
      </c>
      <c r="M624" t="inlineStr">
        <is>
          <t>Köln</t>
        </is>
      </c>
    </row>
    <row r="625">
      <c r="A625" t="inlineStr">
        <is>
          <t>Stunt Scooter North Tomahawk Farbe dark wine</t>
        </is>
      </c>
      <c r="B625" s="4" t="n">
        <v>130</v>
      </c>
      <c r="C625" t="inlineStr"/>
      <c r="D625" t="inlineStr">
        <is>
          <t>71229 Baden-Württemberg - Leonberg</t>
        </is>
      </c>
      <c r="E625" s="5" t="n">
        <v>45552</v>
      </c>
      <c r="F625" t="inlineStr"/>
      <c r="G625" s="6">
        <f>HYPERLINK("https://www.kleinanzeigen.de/s-anzeige/stunt-scooter-north-tomahawk-farbe-dark-wine/2866271085-230-8441", "Link")</f>
        <v/>
      </c>
      <c r="H625" s="6">
        <f>HYPERLINK("C:\Projects\Kleinanzeigen-Scraper\offer_images\2866271085", "Link")</f>
        <v/>
      </c>
      <c r="I625" t="inlineStr">
        <is>
          <t>Jasmin Kapfer</t>
        </is>
      </c>
      <c r="J625" s="6">
        <f>HYPERLINK("https://www.kleinanzeigen.de/s-bestandsliste.html?userId=68652141", "Link")</f>
        <v/>
      </c>
      <c r="K625" s="7" t="n">
        <v>45555.56152777778</v>
      </c>
      <c r="L625" s="3" t="inlineStr">
        <is>
          <t>13.97</t>
        </is>
      </c>
      <c r="M625" t="inlineStr">
        <is>
          <t>Böblingen</t>
        </is>
      </c>
    </row>
    <row r="626">
      <c r="A626" t="inlineStr">
        <is>
          <t>Duotone Combi Travel Bag (139er)</t>
        </is>
      </c>
      <c r="B626" s="4" t="n">
        <v>75</v>
      </c>
      <c r="C626" t="inlineStr"/>
      <c r="D626" t="inlineStr">
        <is>
          <t>10245 Friedrichshain-Kreuzberg - Friedrichshain</t>
        </is>
      </c>
      <c r="E626" s="5" t="n">
        <v>45554</v>
      </c>
      <c r="F626" t="inlineStr">
        <is>
          <t>Sold</t>
        </is>
      </c>
      <c r="G626" s="6">
        <f>HYPERLINK("https://www.kleinanzeigen.de/s-anzeige/duotone-combi-travel-bag-139er-/2867677289-230-3352", "Link")</f>
        <v/>
      </c>
      <c r="H626" s="6">
        <f>HYPERLINK("C:\Projects\Kleinanzeigen-Scraper\offer_images\2867677289", "Link")</f>
        <v/>
      </c>
      <c r="I626" t="inlineStr">
        <is>
          <t>Daniel</t>
        </is>
      </c>
      <c r="J626" s="6">
        <f>HYPERLINK("https://www.kleinanzeigen.de/s-bestandsliste.html?userId=137435090", "Link")</f>
        <v/>
      </c>
      <c r="K626" s="7" t="n">
        <v>45555.56150462963</v>
      </c>
      <c r="L626" s="3" t="inlineStr">
        <is>
          <t>480.20</t>
        </is>
      </c>
      <c r="M626" t="inlineStr">
        <is>
          <t>Köln</t>
        </is>
      </c>
    </row>
    <row r="627">
      <c r="A627" t="inlineStr">
        <is>
          <t>Windsurf iQ Foil Segelnummer Set für die Klasse „iQFoil“ 9m²</t>
        </is>
      </c>
      <c r="B627" s="4" t="n">
        <v>75</v>
      </c>
      <c r="C627" t="inlineStr"/>
      <c r="D627" t="inlineStr">
        <is>
          <t>94315 Bayern - Straubing</t>
        </is>
      </c>
      <c r="E627" s="5" t="n">
        <v>45553</v>
      </c>
      <c r="F627" t="inlineStr"/>
      <c r="G627" s="6">
        <f>HYPERLINK("https://www.kleinanzeigen.de/s-anzeige/windsurf-iq-foil-segelnummer-set-fuer-die-klasse-iqfoil-9m-/2867273017-298-7337", "Link")</f>
        <v/>
      </c>
      <c r="H627" s="6">
        <f>HYPERLINK("C:\Projects\Kleinanzeigen-Scraper\offer_images\2867273017", "Link")</f>
        <v/>
      </c>
      <c r="I627" t="inlineStr">
        <is>
          <t>R.M.</t>
        </is>
      </c>
      <c r="J627" s="6">
        <f>HYPERLINK("https://www.kleinanzeigen.de/s-bestandsliste.html?userId=12819128", "Link")</f>
        <v/>
      </c>
      <c r="K627" s="7" t="n">
        <v>45555.56148148148</v>
      </c>
      <c r="L627" s="3" t="inlineStr">
        <is>
          <t>110.14</t>
        </is>
      </c>
      <c r="M627" t="inlineStr">
        <is>
          <t>München</t>
        </is>
      </c>
    </row>
    <row r="628">
      <c r="A628" t="inlineStr">
        <is>
          <t>1:48 Tamiya North American F-51D Mustang Korean War</t>
        </is>
      </c>
      <c r="B628" s="4" t="n">
        <v>20</v>
      </c>
      <c r="C628" t="inlineStr"/>
      <c r="D628" t="inlineStr">
        <is>
          <t>48165 Münster (Westfalen) - Amelsbüren</t>
        </is>
      </c>
      <c r="E628" s="5" t="n">
        <v>45554</v>
      </c>
      <c r="F628" t="inlineStr"/>
      <c r="G628" s="6">
        <f>HYPERLINK("https://www.kleinanzeigen.de/s-anzeige/1-48-tamiya-north-american-f-51d-mustang-korean-war/2868483057-249-16775", "Link")</f>
        <v/>
      </c>
      <c r="H628" s="6">
        <f>HYPERLINK("C:\Projects\Kleinanzeigen-Scraper\offer_images\2868483057", "Link")</f>
        <v/>
      </c>
      <c r="I628" t="inlineStr">
        <is>
          <t>J.H</t>
        </is>
      </c>
      <c r="J628" s="6">
        <f>HYPERLINK("https://www.kleinanzeigen.de/s-bestandsliste.html?userId=65923771", "Link")</f>
        <v/>
      </c>
      <c r="K628" s="7" t="n">
        <v>45555.56133101852</v>
      </c>
      <c r="L628" s="3" t="inlineStr">
        <is>
          <t>116.99</t>
        </is>
      </c>
      <c r="M628" t="inlineStr">
        <is>
          <t>Köln</t>
        </is>
      </c>
    </row>
    <row r="629">
      <c r="A629" t="inlineStr">
        <is>
          <t>Nemesis Now "Guardian of The North", Lisa Parker, wie neu</t>
        </is>
      </c>
      <c r="B629" s="4" t="n">
        <v>30</v>
      </c>
      <c r="C629" t="inlineStr">
        <is>
          <t>VB</t>
        </is>
      </c>
      <c r="D629" t="inlineStr">
        <is>
          <t>06188 Sachsen-Anhalt - Landsberg (Saalekreis)</t>
        </is>
      </c>
      <c r="E629" s="5" t="n">
        <v>45553</v>
      </c>
      <c r="F629" t="inlineStr"/>
      <c r="G629" s="6">
        <f>HYPERLINK("https://www.kleinanzeigen.de/s-anzeige/nemesis-now-guardian-of-the-north-lisa-parker-wie-neu/2867050946-234-17954", "Link")</f>
        <v/>
      </c>
      <c r="H629" s="6">
        <f>HYPERLINK("C:\Projects\Kleinanzeigen-Scraper\offer_images\2867050946", "Link")</f>
        <v/>
      </c>
      <c r="I629" t="inlineStr">
        <is>
          <t>Maria Münch</t>
        </is>
      </c>
      <c r="J629" s="6">
        <f>HYPERLINK("https://www.kleinanzeigen.de/s-bestandsliste.html?userId=16220096", "Link")</f>
        <v/>
      </c>
      <c r="K629" s="7" t="n">
        <v>45555.5612962963</v>
      </c>
      <c r="L629" s="3" t="inlineStr">
        <is>
          <t>365.30</t>
        </is>
      </c>
      <c r="M629" t="inlineStr">
        <is>
          <t>Köln</t>
        </is>
      </c>
    </row>
    <row r="630">
      <c r="A630" t="inlineStr">
        <is>
          <t>Neuwertig Orvis Clearwater Klasse 4 10ft Sage simms Loop</t>
        </is>
      </c>
      <c r="B630" s="4" t="n">
        <v>200</v>
      </c>
      <c r="C630" t="inlineStr">
        <is>
          <t>VB</t>
        </is>
      </c>
      <c r="D630" t="inlineStr">
        <is>
          <t>14770 Brandenburg - Brandenburg an der Havel</t>
        </is>
      </c>
      <c r="E630" s="5" t="n">
        <v>45552</v>
      </c>
      <c r="F630" t="inlineStr"/>
      <c r="G630" s="6">
        <f>HYPERLINK("https://www.kleinanzeigen.de/s-anzeige/neuwertig-orvis-clearwater-klasse-4-10ft-sage-simms-loop/2866762959-187-7739", "Link")</f>
        <v/>
      </c>
      <c r="H630" s="6">
        <f>HYPERLINK("C:\Projects\Kleinanzeigen-Scraper\offer_images\2866762959", "Link")</f>
        <v/>
      </c>
      <c r="I630" t="inlineStr">
        <is>
          <t>Paul</t>
        </is>
      </c>
      <c r="J630" s="6">
        <f>HYPERLINK("https://www.kleinanzeigen.de/s-bestandsliste.html?userId=23023096", "Link")</f>
        <v/>
      </c>
      <c r="K630" s="7" t="n">
        <v>45555.56125</v>
      </c>
      <c r="L630" s="3" t="inlineStr">
        <is>
          <t>416.86</t>
        </is>
      </c>
      <c r="M630" t="inlineStr">
        <is>
          <t>Köln</t>
        </is>
      </c>
    </row>
    <row r="631">
      <c r="A631" t="inlineStr">
        <is>
          <t>Duotone juice 15m D-LAB 2024</t>
        </is>
      </c>
      <c r="B631" s="4" t="n">
        <v>2.2</v>
      </c>
      <c r="C631" t="inlineStr">
        <is>
          <t>VB</t>
        </is>
      </c>
      <c r="D631" t="inlineStr">
        <is>
          <t>25980 Sylt - Westerland</t>
        </is>
      </c>
      <c r="E631" s="5" t="n">
        <v>45553</v>
      </c>
      <c r="F631" t="inlineStr">
        <is>
          <t>Sold</t>
        </is>
      </c>
      <c r="G631" s="6">
        <f>HYPERLINK("https://www.kleinanzeigen.de/s-anzeige/duotone-juice-15m-d-lab-2024/2867137188-230-634", "Link")</f>
        <v/>
      </c>
      <c r="H631" s="6">
        <f>HYPERLINK("C:\Projects\Kleinanzeigen-Scraper\offer_images\2867137188", "Link")</f>
        <v/>
      </c>
      <c r="I631" t="inlineStr">
        <is>
          <t>Lenny kite</t>
        </is>
      </c>
      <c r="J631" s="6">
        <f>HYPERLINK("https://www.kleinanzeigen.de/s-bestandsliste.html?userId=14530034", "Link")</f>
        <v/>
      </c>
      <c r="K631" s="7" t="n">
        <v>45555.56121527778</v>
      </c>
      <c r="L631" s="3" t="inlineStr">
        <is>
          <t>448.30</t>
        </is>
      </c>
      <c r="M631" t="inlineStr">
        <is>
          <t>Köln</t>
        </is>
      </c>
    </row>
    <row r="632">
      <c r="A632" t="inlineStr">
        <is>
          <t>Starboard Foil Bag Hydrofoil Transporttasche für SuperFlyer used</t>
        </is>
      </c>
      <c r="B632" s="4" t="n">
        <v>95</v>
      </c>
      <c r="C632" t="inlineStr"/>
      <c r="D632" t="inlineStr">
        <is>
          <t>47495 Nordrhein-Westfalen - Rheinberg</t>
        </is>
      </c>
      <c r="E632" s="5" t="n">
        <v>45461</v>
      </c>
      <c r="F632" t="inlineStr"/>
      <c r="G632" s="6">
        <f>HYPERLINK("https://www.kleinanzeigen.de/s-anzeige/starboard-foil-bag-hydrofoil-transporttasche-fuer-superflyer-used/2791522873-230-1399", "Link")</f>
        <v/>
      </c>
      <c r="H632" s="6">
        <f>HYPERLINK("C:\Projects\Kleinanzeigen-Scraper\offer_images\2791522873", "Link")</f>
        <v/>
      </c>
      <c r="I632" t="inlineStr">
        <is>
          <t>S-F</t>
        </is>
      </c>
      <c r="J632" s="6">
        <f>HYPERLINK("https://www.kleinanzeigen.de/s-bestandsliste.html?userId=9131632", "Link")</f>
        <v/>
      </c>
      <c r="K632" s="7" t="n">
        <v>45555.56114583334</v>
      </c>
      <c r="L632" s="3" t="inlineStr">
        <is>
          <t>72.31</t>
        </is>
      </c>
      <c r="M632" t="inlineStr">
        <is>
          <t>Köln</t>
        </is>
      </c>
    </row>
    <row r="633">
      <c r="A633" t="inlineStr">
        <is>
          <t>Halsschmuck eines Häuptlings, North Coast Westpapua</t>
        </is>
      </c>
      <c r="B633" s="4" t="n">
        <v>90</v>
      </c>
      <c r="C633" t="inlineStr"/>
      <c r="D633" t="inlineStr">
        <is>
          <t>30900 Niedersachsen - Wedemark</t>
        </is>
      </c>
      <c r="E633" s="5" t="n">
        <v>45553</v>
      </c>
      <c r="F633" t="inlineStr"/>
      <c r="G633" s="6">
        <f>HYPERLINK("https://www.kleinanzeigen.de/s-anzeige/halsschmuck-eines-haeuptlings-north-coast-westpapua/2867110554-240-2918", "Link")</f>
        <v/>
      </c>
      <c r="H633" s="6">
        <f>HYPERLINK("C:\Projects\Kleinanzeigen-Scraper\offer_images\2867110554", "Link")</f>
        <v/>
      </c>
      <c r="I633" t="inlineStr">
        <is>
          <t>Michael Engelmann, Wedemark</t>
        </is>
      </c>
      <c r="J633" s="6">
        <f>HYPERLINK("https://www.kleinanzeigen.de/s-bestandsliste.html?userId=19900728", "Link")</f>
        <v/>
      </c>
      <c r="K633" s="7" t="n">
        <v>45555.56114583334</v>
      </c>
      <c r="L633" s="3" t="inlineStr">
        <is>
          <t>260.77</t>
        </is>
      </c>
      <c r="M633" t="inlineStr">
        <is>
          <t>Köln</t>
        </is>
      </c>
    </row>
    <row r="634">
      <c r="A634" t="inlineStr">
        <is>
          <t>Duotone Dice 10qm</t>
        </is>
      </c>
      <c r="B634" s="4" t="n">
        <v>380</v>
      </c>
      <c r="C634" t="inlineStr"/>
      <c r="D634" t="inlineStr">
        <is>
          <t>22529 Eimsbüttel - Hamburg Lokstedt</t>
        </is>
      </c>
      <c r="E634" s="5" t="n">
        <v>45552</v>
      </c>
      <c r="F634" t="inlineStr">
        <is>
          <t>Sold</t>
        </is>
      </c>
      <c r="G634" s="6">
        <f>HYPERLINK("https://www.kleinanzeigen.de/s-anzeige/duotone-dice-10qm/2866716788-230-9436", "Link")</f>
        <v/>
      </c>
      <c r="H634" s="6">
        <f>HYPERLINK("C:\Projects\Kleinanzeigen-Scraper\offer_images\2866716788", "Link")</f>
        <v/>
      </c>
      <c r="I634" t="inlineStr">
        <is>
          <t>Jan Kurniawan</t>
        </is>
      </c>
      <c r="J634" s="6">
        <f>HYPERLINK("https://www.kleinanzeigen.de/s-bestandsliste.html?userId=65700996", "Link")</f>
        <v/>
      </c>
      <c r="K634" s="7" t="n">
        <v>45555.56108796296</v>
      </c>
      <c r="L634" s="3" t="inlineStr">
        <is>
          <t>358.82</t>
        </is>
      </c>
      <c r="M634" t="inlineStr">
        <is>
          <t>Köln</t>
        </is>
      </c>
    </row>
    <row r="635">
      <c r="A635" t="inlineStr">
        <is>
          <t>Gebrauchtes DUOTONE UNIT 3 2022</t>
        </is>
      </c>
      <c r="B635" s="4" t="n">
        <v>290</v>
      </c>
      <c r="C635" t="inlineStr">
        <is>
          <t>VB</t>
        </is>
      </c>
      <c r="D635" t="inlineStr">
        <is>
          <t>85640 Kr. München - Putzbrunn</t>
        </is>
      </c>
      <c r="E635" s="5" t="n">
        <v>45554</v>
      </c>
      <c r="F635" t="inlineStr">
        <is>
          <t>Sold</t>
        </is>
      </c>
      <c r="G635" s="6">
        <f>HYPERLINK("https://www.kleinanzeigen.de/s-anzeige/gebrauchtes-duotone-unit-3-2022/2868133654-230-6182", "Link")</f>
        <v/>
      </c>
      <c r="H635" s="6">
        <f>HYPERLINK("C:\Projects\Kleinanzeigen-Scraper\offer_images\2868133654", "Link")</f>
        <v/>
      </c>
      <c r="I635" t="inlineStr">
        <is>
          <t>Ivano</t>
        </is>
      </c>
      <c r="J635" s="6">
        <f>HYPERLINK("https://www.kleinanzeigen.de/s-bestandsliste.html?userId=140866439", "Link")</f>
        <v/>
      </c>
      <c r="K635" s="7" t="n">
        <v>45555.56105324074</v>
      </c>
      <c r="L635" s="3" t="inlineStr">
        <is>
          <t>11.31</t>
        </is>
      </c>
      <c r="M635" t="inlineStr">
        <is>
          <t>München</t>
        </is>
      </c>
    </row>
    <row r="636">
      <c r="A636" t="inlineStr">
        <is>
          <t>Duotone Dice 8.0 qm 2023</t>
        </is>
      </c>
      <c r="B636" s="4" t="n">
        <v>940</v>
      </c>
      <c r="C636" t="inlineStr"/>
      <c r="D636" t="inlineStr">
        <is>
          <t>90451 Nürnberg (Mittelfr) - Aussenstadt-Sued</t>
        </is>
      </c>
      <c r="E636" s="5" t="n">
        <v>45554</v>
      </c>
      <c r="F636" t="inlineStr">
        <is>
          <t>Sold</t>
        </is>
      </c>
      <c r="G636" s="6">
        <f>HYPERLINK("https://www.kleinanzeigen.de/s-anzeige/duotone-dice-8-0-qm-2023/2817149173-230-6836", "Link")</f>
        <v/>
      </c>
      <c r="H636" s="6">
        <f>HYPERLINK("C:\Projects\Kleinanzeigen-Scraper\offer_images\2817149173", "Link")</f>
        <v/>
      </c>
      <c r="I636" t="inlineStr">
        <is>
          <t>No user name</t>
        </is>
      </c>
      <c r="J636" s="6">
        <f>HYPERLINK("https://www.kleinanzeigen.deNo user link", "Link")</f>
        <v/>
      </c>
      <c r="K636" s="7" t="n">
        <v>45555.56097222222</v>
      </c>
      <c r="L636" s="3" t="inlineStr">
        <is>
          <t>145.92</t>
        </is>
      </c>
      <c r="M636" t="inlineStr">
        <is>
          <t>München</t>
        </is>
      </c>
    </row>
    <row r="637">
      <c r="A637" t="inlineStr">
        <is>
          <t>Starboard SUP 12.6 Windsup</t>
        </is>
      </c>
      <c r="B637" s="4" t="n">
        <v>650</v>
      </c>
      <c r="C637" t="inlineStr"/>
      <c r="D637" t="inlineStr">
        <is>
          <t>50126 Nordrhein-Westfalen - Bergheim</t>
        </is>
      </c>
      <c r="E637" s="5" t="n">
        <v>45552</v>
      </c>
      <c r="F637" t="inlineStr"/>
      <c r="G637" s="6">
        <f>HYPERLINK("https://www.kleinanzeigen.de/s-anzeige/starboard-sup-12-6-windsup/2866654373-230-1875", "Link")</f>
        <v/>
      </c>
      <c r="H637" s="6">
        <f>HYPERLINK("C:\Projects\Kleinanzeigen-Scraper\offer_images\2866654373", "Link")</f>
        <v/>
      </c>
      <c r="I637" t="inlineStr">
        <is>
          <t>Stefan</t>
        </is>
      </c>
      <c r="J637" s="6">
        <f>HYPERLINK("https://www.kleinanzeigen.de/s-bestandsliste.html?userId=5614517", "Link")</f>
        <v/>
      </c>
      <c r="K637" s="7" t="n">
        <v>45555.5609375</v>
      </c>
      <c r="L637" s="3" t="inlineStr">
        <is>
          <t>23.45</t>
        </is>
      </c>
      <c r="M637" t="inlineStr">
        <is>
          <t>Köln</t>
        </is>
      </c>
    </row>
    <row r="638">
      <c r="A638" t="inlineStr">
        <is>
          <t>The North Face Eco Trail 2 Zelt</t>
        </is>
      </c>
      <c r="B638" s="4" t="n">
        <v>299</v>
      </c>
      <c r="C638" t="inlineStr"/>
      <c r="D638" t="inlineStr">
        <is>
          <t>64625 Hessen - Bensheim</t>
        </is>
      </c>
      <c r="E638" s="5" t="n">
        <v>45553</v>
      </c>
      <c r="F638" t="inlineStr"/>
      <c r="G638" s="6">
        <f>HYPERLINK("https://www.kleinanzeigen.de/s-anzeige/the-north-face-eco-trail-2-zelt/2866910215-230-4769", "Link")</f>
        <v/>
      </c>
      <c r="H638" s="6">
        <f>HYPERLINK("C:\Projects\Kleinanzeigen-Scraper\offer_images\2866910215", "Link")</f>
        <v/>
      </c>
      <c r="I638" t="inlineStr">
        <is>
          <t>Alexander</t>
        </is>
      </c>
      <c r="J638" s="6">
        <f>HYPERLINK("https://www.kleinanzeigen.de/s-bestandsliste.html?userId=34124958", "Link")</f>
        <v/>
      </c>
      <c r="K638" s="7" t="n">
        <v>45555.56091435185</v>
      </c>
      <c r="L638" s="3" t="inlineStr">
        <is>
          <t>77.54</t>
        </is>
      </c>
      <c r="M638" t="inlineStr">
        <is>
          <t>Karlsruhe</t>
        </is>
      </c>
    </row>
    <row r="639">
      <c r="A639" t="inlineStr">
        <is>
          <t>Duotone Rebel SLS 9qm</t>
        </is>
      </c>
      <c r="B639" s="4" t="n">
        <v>1.25</v>
      </c>
      <c r="C639" t="inlineStr"/>
      <c r="D639" t="inlineStr">
        <is>
          <t>32049 Nordrhein-Westfalen - Herford</t>
        </is>
      </c>
      <c r="E639" s="5" t="n">
        <v>45552</v>
      </c>
      <c r="F639" t="inlineStr">
        <is>
          <t>Sold</t>
        </is>
      </c>
      <c r="G639" s="6">
        <f>HYPERLINK("https://www.kleinanzeigen.de/s-anzeige/duotone-rebel-sls-9qm/2866604318-230-1834", "Link")</f>
        <v/>
      </c>
      <c r="H639" s="6">
        <f>HYPERLINK("C:\Projects\Kleinanzeigen-Scraper\offer_images\2866604318", "Link")</f>
        <v/>
      </c>
      <c r="I639" t="inlineStr">
        <is>
          <t>Dominik</t>
        </is>
      </c>
      <c r="J639" s="6">
        <f>HYPERLINK("https://www.kleinanzeigen.de/s-bestandsliste.html?userId=60537639", "Link")</f>
        <v/>
      </c>
      <c r="K639" s="7" t="n">
        <v>45555.56089120371</v>
      </c>
      <c r="L639" s="3" t="inlineStr">
        <is>
          <t>180.30</t>
        </is>
      </c>
      <c r="M639" t="inlineStr">
        <is>
          <t>Köln</t>
        </is>
      </c>
    </row>
    <row r="640">
      <c r="A640" t="inlineStr">
        <is>
          <t>RRD SUP AIR EVO Tourer Y26 12.0 2023 Stand up Paddel</t>
        </is>
      </c>
      <c r="B640" s="4" t="n">
        <v>598</v>
      </c>
      <c r="C640" t="inlineStr"/>
      <c r="D640" t="inlineStr">
        <is>
          <t>82319 Bayern - Starnberg</t>
        </is>
      </c>
      <c r="E640" s="5" t="n">
        <v>45551</v>
      </c>
      <c r="F640" t="inlineStr"/>
      <c r="G640" s="6">
        <f>HYPERLINK("https://www.kleinanzeigen.de/s-anzeige/rrd-sup-air-evo-tourer-y26-12-0-2023-stand-up-paddel/2451575161-230-5525", "Link")</f>
        <v/>
      </c>
      <c r="H640" s="6">
        <f>HYPERLINK("C:\Projects\Kleinanzeigen-Scraper\offer_images\2451575161", "Link")</f>
        <v/>
      </c>
      <c r="I640" t="inlineStr">
        <is>
          <t>No user name</t>
        </is>
      </c>
      <c r="J640" s="6">
        <f>HYPERLINK("https://www.kleinanzeigen.deNo user link", "Link")</f>
        <v/>
      </c>
      <c r="K640" s="7" t="n">
        <v>45555.56086805555</v>
      </c>
      <c r="L640" s="3" t="inlineStr">
        <is>
          <t>23.17</t>
        </is>
      </c>
      <c r="M640" t="inlineStr">
        <is>
          <t>München</t>
        </is>
      </c>
    </row>
    <row r="641">
      <c r="A641" t="inlineStr">
        <is>
          <t>Starboard Fuselage 95</t>
        </is>
      </c>
      <c r="B641" s="4" t="n">
        <v>100</v>
      </c>
      <c r="C641" t="inlineStr"/>
      <c r="D641" t="inlineStr">
        <is>
          <t>69221 Baden-Württemberg - Dossenheim</t>
        </is>
      </c>
      <c r="E641" s="5" t="n">
        <v>45550</v>
      </c>
      <c r="F641" t="inlineStr">
        <is>
          <t>Sold</t>
        </is>
      </c>
      <c r="G641" s="6">
        <f>HYPERLINK("https://www.kleinanzeigen.de/s-anzeige/starboard-fuselage-95/2864333191-230-9168", "Link")</f>
        <v/>
      </c>
      <c r="H641" s="6">
        <f>HYPERLINK("C:\Projects\Kleinanzeigen-Scraper\offer_images\2864333191", "Link")</f>
        <v/>
      </c>
      <c r="I641" t="inlineStr">
        <is>
          <t>Stepan Zuna</t>
        </is>
      </c>
      <c r="J641" s="6">
        <f>HYPERLINK("https://www.kleinanzeigen.de/s-bestandsliste.html?userId=20394775", "Link")</f>
        <v/>
      </c>
      <c r="K641" s="7" t="n">
        <v>45555.56081018518</v>
      </c>
      <c r="L641" s="3" t="inlineStr">
        <is>
          <t>53.20</t>
        </is>
      </c>
      <c r="M641" t="inlineStr">
        <is>
          <t>Karlsruhe</t>
        </is>
      </c>
    </row>
    <row r="642">
      <c r="A642" t="inlineStr">
        <is>
          <t>Isabella Commodore North 1025/ GR 19/ Sonnendach Atlas</t>
        </is>
      </c>
      <c r="B642" s="4" t="n">
        <v>2.85</v>
      </c>
      <c r="C642" t="inlineStr"/>
      <c r="D642" t="inlineStr">
        <is>
          <t>27751 Niedersachsen - Delmenhorst</t>
        </is>
      </c>
      <c r="E642" s="5" t="n">
        <v>45552</v>
      </c>
      <c r="F642" t="inlineStr"/>
      <c r="G642" s="6">
        <f>HYPERLINK("https://www.kleinanzeigen.de/s-anzeige/isabella-commodore-north-1025-gr-19-sonnendach-atlas/2865939958-230-2468", "Link")</f>
        <v/>
      </c>
      <c r="H642" s="6">
        <f>HYPERLINK("C:\Projects\Kleinanzeigen-Scraper\offer_images\2865939958", "Link")</f>
        <v/>
      </c>
      <c r="I642" t="inlineStr">
        <is>
          <t>Andre Paetz</t>
        </is>
      </c>
      <c r="J642" s="6">
        <f>HYPERLINK("https://www.kleinanzeigen.de/s-bestandsliste.html?userId=4011441", "Link")</f>
        <v/>
      </c>
      <c r="K642" s="7" t="n">
        <v>45555.5606712963</v>
      </c>
      <c r="L642" s="3" t="inlineStr">
        <is>
          <t>262.60</t>
        </is>
      </c>
      <c r="M642" t="inlineStr">
        <is>
          <t>Köln</t>
        </is>
      </c>
    </row>
    <row r="643">
      <c r="A643" t="inlineStr">
        <is>
          <t>Valorant Vandal Schlüsselanhänger</t>
        </is>
      </c>
      <c r="B643" s="4" t="n">
        <v>6</v>
      </c>
      <c r="C643" t="inlineStr"/>
      <c r="D643" t="inlineStr">
        <is>
          <t>31061 Niedersachsen - Alfeld (Leine)</t>
        </is>
      </c>
      <c r="E643" s="5" t="n">
        <v>45551</v>
      </c>
      <c r="F643" t="inlineStr"/>
      <c r="G643" s="6">
        <f>HYPERLINK("https://www.kleinanzeigen.de/s-anzeige/valorant-vandal-schluesselanhaenger/2865827613-234-2887", "Link")</f>
        <v/>
      </c>
      <c r="H643" s="6">
        <f>HYPERLINK("C:\Projects\Kleinanzeigen-Scraper\offer_images\2865827613", "Link")</f>
        <v/>
      </c>
      <c r="I643" t="inlineStr">
        <is>
          <t>Yasmin</t>
        </is>
      </c>
      <c r="J643" s="6">
        <f>HYPERLINK("https://www.kleinanzeigen.de/s-bestandsliste.html?userId=123879528", "Link")</f>
        <v/>
      </c>
      <c r="K643" s="7" t="n">
        <v>45555.56060185185</v>
      </c>
      <c r="L643" s="3" t="inlineStr">
        <is>
          <t>230.48</t>
        </is>
      </c>
      <c r="M643" t="inlineStr">
        <is>
          <t>Köln</t>
        </is>
      </c>
    </row>
    <row r="644">
      <c r="A644" t="inlineStr">
        <is>
          <t>Starboard Enduro S Hybrid-Carbon Paddle</t>
        </is>
      </c>
      <c r="B644" s="4" t="n">
        <v>120</v>
      </c>
      <c r="C644" t="inlineStr"/>
      <c r="D644" t="inlineStr">
        <is>
          <t>23795 Schleswig-Holstein - Bad Segeberg</t>
        </is>
      </c>
      <c r="E644" s="5" t="n">
        <v>45553</v>
      </c>
      <c r="F644" t="inlineStr"/>
      <c r="G644" s="6">
        <f>HYPERLINK("https://www.kleinanzeigen.de/s-anzeige/starboard-enduro-s-hybrid-carbon-paddle/2867529490-230-13372", "Link")</f>
        <v/>
      </c>
      <c r="H644" s="6">
        <f>HYPERLINK("C:\Projects\Kleinanzeigen-Scraper\offer_images\2867529490", "Link")</f>
        <v/>
      </c>
      <c r="I644" t="inlineStr">
        <is>
          <t>H.P.</t>
        </is>
      </c>
      <c r="J644" s="6">
        <f>HYPERLINK("https://www.kleinanzeigen.de/s-bestandsliste.html?userId=3587719", "Link")</f>
        <v/>
      </c>
      <c r="K644" s="7" t="n">
        <v>45555.56057870371</v>
      </c>
      <c r="L644" s="3" t="inlineStr">
        <is>
          <t>402.01</t>
        </is>
      </c>
      <c r="M644" t="inlineStr">
        <is>
          <t>Köln</t>
        </is>
      </c>
    </row>
    <row r="645">
      <c r="A645" t="inlineStr">
        <is>
          <t>Polizeimütze Alaska North Pole Police Polizei Pin Anstecker USA</t>
        </is>
      </c>
      <c r="B645" s="4" t="n">
        <v>20</v>
      </c>
      <c r="C645" t="inlineStr"/>
      <c r="D645" t="inlineStr">
        <is>
          <t>13503 Berlin - Reinickendorf</t>
        </is>
      </c>
      <c r="E645" s="5" t="n">
        <v>45555</v>
      </c>
      <c r="F645" t="inlineStr"/>
      <c r="G645" s="6">
        <f>HYPERLINK("https://www.kleinanzeigen.de/s-anzeige/polizeimuetze-alaska-north-pole-police-polizei-pin-anstecker-usa/2868696412-234-3451", "Link")</f>
        <v/>
      </c>
      <c r="H645" s="6">
        <f>HYPERLINK("C:\Projects\Kleinanzeigen-Scraper\offer_images\2868696412", "Link")</f>
        <v/>
      </c>
      <c r="I645" t="inlineStr">
        <is>
          <t>Gina</t>
        </is>
      </c>
      <c r="J645" s="6">
        <f>HYPERLINK("https://www.kleinanzeigen.de/s-bestandsliste.html?userId=969236", "Link")</f>
        <v/>
      </c>
      <c r="K645" s="7" t="n">
        <v>45555.56047453704</v>
      </c>
      <c r="L645" s="3" t="inlineStr">
        <is>
          <t>470.67</t>
        </is>
      </c>
      <c r="M645" t="inlineStr">
        <is>
          <t>Köln</t>
        </is>
      </c>
    </row>
    <row r="646">
      <c r="A646" t="inlineStr">
        <is>
          <t>Duotone Neo Rebel SLS 2024 9qm</t>
        </is>
      </c>
      <c r="B646" s="4" t="n">
        <v>1.599</v>
      </c>
      <c r="C646" t="inlineStr">
        <is>
          <t>VB</t>
        </is>
      </c>
      <c r="D646" t="inlineStr">
        <is>
          <t>24939 Schleswig-Holstein - Flensburg</t>
        </is>
      </c>
      <c r="E646" s="5" t="n">
        <v>45554</v>
      </c>
      <c r="F646" t="inlineStr">
        <is>
          <t>Sold</t>
        </is>
      </c>
      <c r="G646" s="6">
        <f>HYPERLINK("https://www.kleinanzeigen.de/s-anzeige/duotone-neo-rebel-sls-2024-9qm/2868306352-230-717", "Link")</f>
        <v/>
      </c>
      <c r="H646" s="6">
        <f>HYPERLINK("C:\Projects\Kleinanzeigen-Scraper\offer_images\2868306352", "Link")</f>
        <v/>
      </c>
      <c r="I646" t="inlineStr">
        <is>
          <t>Henri</t>
        </is>
      </c>
      <c r="J646" s="6">
        <f>HYPERLINK("https://www.kleinanzeigen.de/s-bestandsliste.html?userId=60259529", "Link")</f>
        <v/>
      </c>
      <c r="K646" s="7" t="n">
        <v>45555.56034722222</v>
      </c>
      <c r="L646" s="3" t="inlineStr">
        <is>
          <t>460.36</t>
        </is>
      </c>
      <c r="M646" t="inlineStr">
        <is>
          <t>Köln</t>
        </is>
      </c>
    </row>
    <row r="647">
      <c r="A647" t="inlineStr">
        <is>
          <t>Duotone Dice 7.0 qm 2023</t>
        </is>
      </c>
      <c r="B647" s="4" t="n">
        <v>900</v>
      </c>
      <c r="C647" t="inlineStr"/>
      <c r="D647" t="inlineStr">
        <is>
          <t>90451 Nürnberg (Mittelfr) - Aussenstadt-Sued</t>
        </is>
      </c>
      <c r="E647" s="5" t="n">
        <v>45554</v>
      </c>
      <c r="F647" t="inlineStr">
        <is>
          <t>Sold</t>
        </is>
      </c>
      <c r="G647" s="6">
        <f>HYPERLINK("https://www.kleinanzeigen.de/s-anzeige/duotone-dice-7-0-qm-2023/2817146739-230-6836", "Link")</f>
        <v/>
      </c>
      <c r="H647" s="6">
        <f>HYPERLINK("C:\Projects\Kleinanzeigen-Scraper\offer_images\2817146739", "Link")</f>
        <v/>
      </c>
      <c r="I647" t="inlineStr">
        <is>
          <t>No user name</t>
        </is>
      </c>
      <c r="J647" s="6">
        <f>HYPERLINK("https://www.kleinanzeigen.deNo user link", "Link")</f>
        <v/>
      </c>
      <c r="K647" s="7" t="n">
        <v>45555.56027777777</v>
      </c>
      <c r="L647" s="3" t="inlineStr">
        <is>
          <t>145.92</t>
        </is>
      </c>
      <c r="M647" t="inlineStr">
        <is>
          <t>München</t>
        </is>
      </c>
    </row>
    <row r="648">
      <c r="A648" t="inlineStr">
        <is>
          <t>North Explorer Trampolin black, oval</t>
        </is>
      </c>
      <c r="B648" s="4" t="n">
        <v>400</v>
      </c>
      <c r="C648" t="inlineStr"/>
      <c r="D648" t="inlineStr">
        <is>
          <t>83620 Bayern - Feldkirchen-Westerham</t>
        </is>
      </c>
      <c r="E648" s="5" t="n">
        <v>45551</v>
      </c>
      <c r="F648" t="inlineStr"/>
      <c r="G648" s="6">
        <f>HYPERLINK("https://www.kleinanzeigen.de/s-anzeige/north-explorer-trampolin-black-oval/2865565281-242-5895", "Link")</f>
        <v/>
      </c>
      <c r="H648" s="6">
        <f>HYPERLINK("C:\Projects\Kleinanzeigen-Scraper\offer_images\2865565281", "Link")</f>
        <v/>
      </c>
      <c r="I648" t="inlineStr">
        <is>
          <t>Miriam</t>
        </is>
      </c>
      <c r="J648" s="6">
        <f>HYPERLINK("https://www.kleinanzeigen.de/s-bestandsliste.html?userId=13789146", "Link")</f>
        <v/>
      </c>
      <c r="K648" s="7" t="n">
        <v>45555.56026620371</v>
      </c>
      <c r="L648" s="3" t="inlineStr">
        <is>
          <t>32.84</t>
        </is>
      </c>
      <c r="M648" t="inlineStr">
        <is>
          <t>München</t>
        </is>
      </c>
    </row>
    <row r="649">
      <c r="A649" t="inlineStr">
        <is>
          <t>Duotone Rebel SLS 2024 8qm</t>
        </is>
      </c>
      <c r="B649" s="4" t="n">
        <v>1.255</v>
      </c>
      <c r="C649" t="inlineStr">
        <is>
          <t>VB</t>
        </is>
      </c>
      <c r="D649" t="inlineStr">
        <is>
          <t>25348 Schleswig-Holstein - Glückstadt</t>
        </is>
      </c>
      <c r="E649" s="5" t="n">
        <v>45552</v>
      </c>
      <c r="F649" t="inlineStr">
        <is>
          <t>Sold</t>
        </is>
      </c>
      <c r="G649" s="6">
        <f>HYPERLINK("https://www.kleinanzeigen.de/s-anzeige/duotone-rebel-sls-2024-8qm/2866614920-230-867", "Link")</f>
        <v/>
      </c>
      <c r="H649" s="6">
        <f>HYPERLINK("C:\Projects\Kleinanzeigen-Scraper\offer_images\2866614920", "Link")</f>
        <v/>
      </c>
      <c r="I649" t="inlineStr">
        <is>
          <t>Bjarne Jensen</t>
        </is>
      </c>
      <c r="J649" s="6">
        <f>HYPERLINK("https://www.kleinanzeigen.de/s-bestandsliste.html?userId=119116338", "Link")</f>
        <v/>
      </c>
      <c r="K649" s="7" t="n">
        <v>45555.56024305556</v>
      </c>
      <c r="L649" s="3" t="inlineStr">
        <is>
          <t>359.03</t>
        </is>
      </c>
      <c r="M649" t="inlineStr">
        <is>
          <t>Köln</t>
        </is>
      </c>
    </row>
    <row r="650">
      <c r="A650" t="inlineStr">
        <is>
          <t>THE NORTH FACE Rucksack Terra 40 (schwarz)</t>
        </is>
      </c>
      <c r="B650" s="4" t="n">
        <v>50</v>
      </c>
      <c r="C650" t="inlineStr"/>
      <c r="D650" t="inlineStr">
        <is>
          <t>14482 Brandenburg - Potsdam</t>
        </is>
      </c>
      <c r="E650" s="5" t="n">
        <v>45554</v>
      </c>
      <c r="F650" t="inlineStr"/>
      <c r="G650" s="6">
        <f>HYPERLINK("https://www.kleinanzeigen.de/s-anzeige/the-north-face-rucksack-terra-40-schwarz-/2868288705-230-7964", "Link")</f>
        <v/>
      </c>
      <c r="H650" s="6">
        <f>HYPERLINK("C:\Projects\Kleinanzeigen-Scraper\offer_images\2868288705", "Link")</f>
        <v/>
      </c>
      <c r="I650" t="inlineStr">
        <is>
          <t>Simone</t>
        </is>
      </c>
      <c r="J650" s="6">
        <f>HYPERLINK("https://www.kleinanzeigen.de/s-bestandsliste.html?userId=2372944", "Link")</f>
        <v/>
      </c>
      <c r="K650" s="7" t="n">
        <v>45555.56023148148</v>
      </c>
      <c r="L650" s="3" t="inlineStr">
        <is>
          <t>453.50</t>
        </is>
      </c>
      <c r="M650" t="inlineStr">
        <is>
          <t>Köln</t>
        </is>
      </c>
    </row>
    <row r="651">
      <c r="A651" t="inlineStr">
        <is>
          <t>Fanatic Fly Air L SUP für 5 Personen</t>
        </is>
      </c>
      <c r="B651" s="4" t="n">
        <v>1.45</v>
      </c>
      <c r="C651" t="inlineStr"/>
      <c r="D651" t="inlineStr">
        <is>
          <t>78465 Baden-Württemberg - Konstanz</t>
        </is>
      </c>
      <c r="E651" s="5" t="n">
        <v>45512</v>
      </c>
      <c r="F651" t="inlineStr">
        <is>
          <t>Sold</t>
        </is>
      </c>
      <c r="G651" s="6">
        <f>HYPERLINK("https://www.kleinanzeigen.de/s-anzeige/fanatic-fly-air-l-sup-fuer-5-personen/2831960686-230-9388", "Link")</f>
        <v/>
      </c>
      <c r="H651" s="6">
        <f>HYPERLINK("C:\Projects\Kleinanzeigen-Scraper\offer_images\2831960686", "Link")</f>
        <v/>
      </c>
      <c r="I651" t="inlineStr">
        <is>
          <t>BS</t>
        </is>
      </c>
      <c r="J651" s="6">
        <f>HYPERLINK("https://www.kleinanzeigen.de/s-bestandsliste.html?userId=25961129", "Link")</f>
        <v/>
      </c>
      <c r="K651" s="7" t="n">
        <v>45555.56019675926</v>
      </c>
      <c r="L651" s="3" t="inlineStr">
        <is>
          <t>62.07</t>
        </is>
      </c>
      <c r="M651" t="inlineStr">
        <is>
          <t>Bonndorf</t>
        </is>
      </c>
    </row>
    <row r="652">
      <c r="A652" t="inlineStr">
        <is>
          <t>Duotone AMP 1750 Pumpfoil Set</t>
        </is>
      </c>
      <c r="B652" s="4" t="n">
        <v>750</v>
      </c>
      <c r="C652" t="inlineStr"/>
      <c r="D652" t="inlineStr">
        <is>
          <t>24235 Schleswig-Holstein - Wendtorf</t>
        </is>
      </c>
      <c r="E652" s="5" t="n">
        <v>45553</v>
      </c>
      <c r="F652" t="inlineStr">
        <is>
          <t>Sold</t>
        </is>
      </c>
      <c r="G652" s="6">
        <f>HYPERLINK("https://www.kleinanzeigen.de/s-anzeige/duotone-amp-1750-pumpfoil-set/2867202351-230-19458", "Link")</f>
        <v/>
      </c>
      <c r="H652" s="6">
        <f>HYPERLINK("C:\Projects\Kleinanzeigen-Scraper\offer_images\2867202351", "Link")</f>
        <v/>
      </c>
      <c r="I652" t="inlineStr">
        <is>
          <t>Privater Anbieter</t>
        </is>
      </c>
      <c r="J652" s="6">
        <f>HYPERLINK("https://www.kleinanzeigen.de/s-bestandsliste.html?userId=119683801", "Link")</f>
        <v/>
      </c>
      <c r="K652" s="7" t="n">
        <v>45555.56017361111</v>
      </c>
      <c r="L652" s="3" t="inlineStr">
        <is>
          <t>443.73</t>
        </is>
      </c>
      <c r="M652" t="inlineStr">
        <is>
          <t>Köln</t>
        </is>
      </c>
    </row>
    <row r="653">
      <c r="A653" t="inlineStr">
        <is>
          <t>Snowboard Fanatic</t>
        </is>
      </c>
      <c r="B653" s="4" t="n">
        <v>25</v>
      </c>
      <c r="C653" t="inlineStr">
        <is>
          <t>VB</t>
        </is>
      </c>
      <c r="D653" t="inlineStr">
        <is>
          <t>72622 Baden-Württemberg - Nürtingen</t>
        </is>
      </c>
      <c r="E653" s="5" t="n">
        <v>45551</v>
      </c>
      <c r="F653" t="inlineStr">
        <is>
          <t>Sold</t>
        </is>
      </c>
      <c r="G653" s="6">
        <f>HYPERLINK("https://www.kleinanzeigen.de/s-anzeige/snowboard-fanatic/2865541708-230-8219", "Link")</f>
        <v/>
      </c>
      <c r="H653" s="6">
        <f>HYPERLINK("C:\Projects\Kleinanzeigen-Scraper\offer_images\2865541708", "Link")</f>
        <v/>
      </c>
      <c r="I653" t="inlineStr">
        <is>
          <t>Adrian Plavan</t>
        </is>
      </c>
      <c r="J653" s="6">
        <f>HYPERLINK("https://www.kleinanzeigen.de/s-bestandsliste.html?userId=57933552", "Link")</f>
        <v/>
      </c>
      <c r="K653" s="7" t="n">
        <v>45555.56008101852</v>
      </c>
      <c r="L653" s="3" t="inlineStr">
        <is>
          <t>26.22</t>
        </is>
      </c>
      <c r="M653" t="inlineStr">
        <is>
          <t>Böblingen</t>
        </is>
      </c>
    </row>
    <row r="654">
      <c r="A654" t="inlineStr">
        <is>
          <t>Neu: NBA retro Jersey Trikot Michael Jordan North Carolina blau M</t>
        </is>
      </c>
      <c r="B654" s="4" t="n">
        <v>49</v>
      </c>
      <c r="C654" t="inlineStr"/>
      <c r="D654" t="inlineStr">
        <is>
          <t>52078 Aachen - Aachen-Brand</t>
        </is>
      </c>
      <c r="E654" s="5" t="n">
        <v>45553</v>
      </c>
      <c r="F654" t="inlineStr">
        <is>
          <t>Sold</t>
        </is>
      </c>
      <c r="G654" s="6">
        <f>HYPERLINK("https://www.kleinanzeigen.de/s-anzeige/neu-nba-retro-jersey-trikot-michael-jordan-north-carolina-blau-m/2867229420-230-1926", "Link")</f>
        <v/>
      </c>
      <c r="H654" s="6">
        <f>HYPERLINK("C:\Projects\Kleinanzeigen-Scraper\offer_images\2867229420", "Link")</f>
        <v/>
      </c>
      <c r="I654" t="inlineStr">
        <is>
          <t>RF</t>
        </is>
      </c>
      <c r="J654" s="6">
        <f>HYPERLINK("https://www.kleinanzeigen.de/s-bestandsliste.html?userId=33653620", "Link")</f>
        <v/>
      </c>
      <c r="K654" s="7" t="n">
        <v>45555.56005787037</v>
      </c>
      <c r="L654" s="3" t="inlineStr">
        <is>
          <t>59.31</t>
        </is>
      </c>
      <c r="M654" t="inlineStr">
        <is>
          <t>Köln</t>
        </is>
      </c>
    </row>
    <row r="655">
      <c r="A655" t="inlineStr">
        <is>
          <t>North Orbit 2024 10qm Top Zustand!!! Inkl. Garantie</t>
        </is>
      </c>
      <c r="B655" s="4" t="n">
        <v>1</v>
      </c>
      <c r="C655" t="inlineStr">
        <is>
          <t>VB</t>
        </is>
      </c>
      <c r="D655" t="inlineStr">
        <is>
          <t>40595 Düsseldorf - Garath</t>
        </is>
      </c>
      <c r="E655" s="5" t="n">
        <v>45552</v>
      </c>
      <c r="F655" t="inlineStr">
        <is>
          <t>Sold</t>
        </is>
      </c>
      <c r="G655" s="6">
        <f>HYPERLINK("https://www.kleinanzeigen.de/s-anzeige/north-orbit-2024-10qm-top-zustand-inkl-garantie/2866503658-230-2078", "Link")</f>
        <v/>
      </c>
      <c r="H655" s="6">
        <f>HYPERLINK("C:\Projects\Kleinanzeigen-Scraper\offer_images\2866503658", "Link")</f>
        <v/>
      </c>
      <c r="I655" t="inlineStr">
        <is>
          <t>Maximilian</t>
        </is>
      </c>
      <c r="J655" s="6">
        <f>HYPERLINK("https://www.kleinanzeigen.de/s-bestandsliste.html?userId=12537926", "Link")</f>
        <v/>
      </c>
      <c r="K655" s="7" t="n">
        <v>45555.56</v>
      </c>
      <c r="L655" s="3" t="inlineStr">
        <is>
          <t>22.73</t>
        </is>
      </c>
      <c r="M655" t="inlineStr">
        <is>
          <t>Köln</t>
        </is>
      </c>
    </row>
    <row r="656">
      <c r="A656" t="inlineStr">
        <is>
          <t>North Face Duffel S</t>
        </is>
      </c>
      <c r="B656" s="4" t="n">
        <v>79</v>
      </c>
      <c r="C656" t="inlineStr"/>
      <c r="D656" t="inlineStr">
        <is>
          <t>38667 Niedersachsen - Bad Harzburg</t>
        </is>
      </c>
      <c r="E656" s="5" t="n">
        <v>45552</v>
      </c>
      <c r="F656" t="inlineStr">
        <is>
          <t>Sold</t>
        </is>
      </c>
      <c r="G656" s="6">
        <f>HYPERLINK("https://www.kleinanzeigen.de/s-anzeige/north-face-duffel-s/2866327567-230-14380", "Link")</f>
        <v/>
      </c>
      <c r="H656" s="6">
        <f>HYPERLINK("C:\Projects\Kleinanzeigen-Scraper\offer_images\2866327567", "Link")</f>
        <v/>
      </c>
      <c r="I656" t="inlineStr">
        <is>
          <t>Norman Heyke</t>
        </is>
      </c>
      <c r="J656" s="6">
        <f>HYPERLINK("https://www.kleinanzeigen.de/s-bestandsliste.html?userId=42785944", "Link")</f>
        <v/>
      </c>
      <c r="K656" s="7" t="n">
        <v>45555.56</v>
      </c>
      <c r="L656" s="3" t="inlineStr">
        <is>
          <t>271.28</t>
        </is>
      </c>
      <c r="M656" t="inlineStr">
        <is>
          <t>Köln</t>
        </is>
      </c>
    </row>
    <row r="657">
      <c r="A657" t="inlineStr">
        <is>
          <t>In-ground Trampolin North Explorer Active 500 zu verkaufen</t>
        </is>
      </c>
      <c r="B657" s="4" t="n">
        <v>540</v>
      </c>
      <c r="C657" t="inlineStr">
        <is>
          <t>VB</t>
        </is>
      </c>
      <c r="D657" t="inlineStr">
        <is>
          <t>88400 Baden-Württemberg - Biberach an der Riß</t>
        </is>
      </c>
      <c r="E657" s="5" t="n">
        <v>45554</v>
      </c>
      <c r="F657" t="inlineStr"/>
      <c r="G657" s="6">
        <f>HYPERLINK("https://www.kleinanzeigen.de/s-anzeige/in-ground-trampolin-north-explorer-active-500-zu-verkaufen/2868211154-230-8706", "Link")</f>
        <v/>
      </c>
      <c r="H657" s="6">
        <f>HYPERLINK("C:\Projects\Kleinanzeigen-Scraper\offer_images\2868211154", "Link")</f>
        <v/>
      </c>
      <c r="I657" t="inlineStr">
        <is>
          <t>Christian</t>
        </is>
      </c>
      <c r="J657" s="6">
        <f>HYPERLINK("https://www.kleinanzeigen.de/s-bestandsliste.html?userId=79432025", "Link")</f>
        <v/>
      </c>
      <c r="K657" s="7" t="n">
        <v>45555.55997685185</v>
      </c>
      <c r="L657" s="3" t="inlineStr">
        <is>
          <t>89.53</t>
        </is>
      </c>
      <c r="M657" t="inlineStr">
        <is>
          <t>Böblingen</t>
        </is>
      </c>
    </row>
    <row r="658">
      <c r="A658" t="inlineStr">
        <is>
          <t>Snowboard Fanatic Player 156 Softboot</t>
        </is>
      </c>
      <c r="B658" s="4" t="n">
        <v>95</v>
      </c>
      <c r="C658" t="inlineStr">
        <is>
          <t>VB</t>
        </is>
      </c>
      <c r="D658" t="inlineStr">
        <is>
          <t>30855 Niedersachsen - Langenhagen</t>
        </is>
      </c>
      <c r="E658" s="5" t="n">
        <v>45554</v>
      </c>
      <c r="F658" t="inlineStr"/>
      <c r="G658" s="6">
        <f>HYPERLINK("https://www.kleinanzeigen.de/s-anzeige/snowboard-fanatic-player-156-softboot/2868061601-230-3043", "Link")</f>
        <v/>
      </c>
      <c r="H658" s="6">
        <f>HYPERLINK("C:\Projects\Kleinanzeigen-Scraper\offer_images\2868061601", "Link")</f>
        <v/>
      </c>
      <c r="I658" t="inlineStr">
        <is>
          <t>Carolin Böttcher</t>
        </is>
      </c>
      <c r="J658" s="6">
        <f>HYPERLINK("https://www.kleinanzeigen.de/s-bestandsliste.html?userId=3819375", "Link")</f>
        <v/>
      </c>
      <c r="K658" s="7" t="n">
        <v>45555.55987268518</v>
      </c>
      <c r="L658" s="3" t="inlineStr">
        <is>
          <t>255.34</t>
        </is>
      </c>
      <c r="M658" t="inlineStr">
        <is>
          <t>Köln</t>
        </is>
      </c>
    </row>
    <row r="659">
      <c r="A659" t="inlineStr">
        <is>
          <t>Duotone Evo 2023 9m2</t>
        </is>
      </c>
      <c r="B659" s="4" t="n">
        <v>799</v>
      </c>
      <c r="C659" t="inlineStr"/>
      <c r="D659" t="inlineStr">
        <is>
          <t>65191 Hessen - Wiesbaden</t>
        </is>
      </c>
      <c r="E659" s="5" t="n">
        <v>45554</v>
      </c>
      <c r="F659" t="inlineStr">
        <is>
          <t>Sold</t>
        </is>
      </c>
      <c r="G659" s="6">
        <f>HYPERLINK("https://www.kleinanzeigen.de/s-anzeige/duotone-evo-2023-9m2/2846625846-230-4908", "Link")</f>
        <v/>
      </c>
      <c r="H659" s="6">
        <f>HYPERLINK("C:\Projects\Kleinanzeigen-Scraper\offer_images\2846625846", "Link")</f>
        <v/>
      </c>
      <c r="I659" t="inlineStr">
        <is>
          <t>Werner Habermehl</t>
        </is>
      </c>
      <c r="J659" s="6">
        <f>HYPERLINK("https://www.kleinanzeigen.de/s-bestandsliste.html?userId=27840636", "Link")</f>
        <v/>
      </c>
      <c r="K659" s="7" t="n">
        <v>45555.55984953704</v>
      </c>
      <c r="L659" s="3" t="inlineStr">
        <is>
          <t>120.74</t>
        </is>
      </c>
      <c r="M659" t="inlineStr">
        <is>
          <t>Karlsruhe</t>
        </is>
      </c>
    </row>
    <row r="660">
      <c r="A660" t="inlineStr">
        <is>
          <t>Duotone Juice 15 2023</t>
        </is>
      </c>
      <c r="B660" s="4" t="n">
        <v>1.15</v>
      </c>
      <c r="C660" t="inlineStr">
        <is>
          <t>VB</t>
        </is>
      </c>
      <c r="D660" t="inlineStr">
        <is>
          <t>33129 Nordrhein-Westfalen - Delbrück</t>
        </is>
      </c>
      <c r="E660" s="5" t="n">
        <v>45552</v>
      </c>
      <c r="F660" t="inlineStr">
        <is>
          <t>Sold</t>
        </is>
      </c>
      <c r="G660" s="6">
        <f>HYPERLINK("https://www.kleinanzeigen.de/s-anzeige/duotone-juice-15-2023/2866168219-230-1264", "Link")</f>
        <v/>
      </c>
      <c r="H660" s="6">
        <f>HYPERLINK("C:\Projects\Kleinanzeigen-Scraper\offer_images\2866168219", "Link")</f>
        <v/>
      </c>
      <c r="I660" t="inlineStr">
        <is>
          <t>Karsten Sprenger</t>
        </is>
      </c>
      <c r="J660" s="6">
        <f>HYPERLINK("https://www.kleinanzeigen.de/s-bestandsliste.html?userId=29130764", "Link")</f>
        <v/>
      </c>
      <c r="K660" s="7" t="n">
        <v>45555.55982638889</v>
      </c>
      <c r="L660" s="3" t="inlineStr">
        <is>
          <t>145.00</t>
        </is>
      </c>
      <c r="M660" t="inlineStr">
        <is>
          <t>Köln</t>
        </is>
      </c>
    </row>
    <row r="661">
      <c r="A661" t="inlineStr">
        <is>
          <t>Neopren Anzug Neilpryde Gr. 42</t>
        </is>
      </c>
      <c r="B661" s="4" t="n">
        <v>40</v>
      </c>
      <c r="C661" t="inlineStr">
        <is>
          <t>VB</t>
        </is>
      </c>
      <c r="D661" t="inlineStr">
        <is>
          <t>12051 Berlin - Neukölln</t>
        </is>
      </c>
      <c r="E661" s="5" t="n">
        <v>45554</v>
      </c>
      <c r="F661" t="inlineStr">
        <is>
          <t>Sold</t>
        </is>
      </c>
      <c r="G661" s="6">
        <f>HYPERLINK("https://www.kleinanzeigen.de/s-anzeige/neopren-anzug-neilpryde-gr-42/2868326009-230-3393", "Link")</f>
        <v/>
      </c>
      <c r="H661" s="6">
        <f>HYPERLINK("C:\Projects\Kleinanzeigen-Scraper\offer_images\2868326009", "Link")</f>
        <v/>
      </c>
      <c r="I661" t="inlineStr">
        <is>
          <t>Schreiber</t>
        </is>
      </c>
      <c r="J661" s="6">
        <f>HYPERLINK("https://www.kleinanzeigen.de/s-bestandsliste.html?userId=59171059", "Link")</f>
        <v/>
      </c>
      <c r="K661" s="7" t="n">
        <v>45555.55980324074</v>
      </c>
      <c r="L661" s="3" t="inlineStr">
        <is>
          <t>477.35</t>
        </is>
      </c>
      <c r="M661" t="inlineStr">
        <is>
          <t>Köln</t>
        </is>
      </c>
    </row>
    <row r="662">
      <c r="A662" t="inlineStr">
        <is>
          <t>duotone Neo SLS 8m2  2023</t>
        </is>
      </c>
      <c r="B662" s="4" t="n">
        <v>790</v>
      </c>
      <c r="C662" t="inlineStr"/>
      <c r="D662" t="inlineStr">
        <is>
          <t>65191 Hessen - Wiesbaden</t>
        </is>
      </c>
      <c r="E662" s="5" t="n">
        <v>45554</v>
      </c>
      <c r="F662" t="inlineStr">
        <is>
          <t>Sold</t>
        </is>
      </c>
      <c r="G662" s="6">
        <f>HYPERLINK("https://www.kleinanzeigen.de/s-anzeige/duotone-neo-sls-8m2-2023/2835163017-230-4908", "Link")</f>
        <v/>
      </c>
      <c r="H662" s="6">
        <f>HYPERLINK("C:\Projects\Kleinanzeigen-Scraper\offer_images\2835163017", "Link")</f>
        <v/>
      </c>
      <c r="I662" t="inlineStr">
        <is>
          <t>Werner Habermehl</t>
        </is>
      </c>
      <c r="J662" s="6">
        <f>HYPERLINK("https://www.kleinanzeigen.de/s-bestandsliste.html?userId=27840636", "Link")</f>
        <v/>
      </c>
      <c r="K662" s="7" t="n">
        <v>45555.55979166667</v>
      </c>
      <c r="L662" s="3" t="inlineStr">
        <is>
          <t>120.74</t>
        </is>
      </c>
      <c r="M662" t="inlineStr">
        <is>
          <t>Karlsruhe</t>
        </is>
      </c>
    </row>
    <row r="663">
      <c r="A663" t="inlineStr">
        <is>
          <t>Windsurfer LT Segelnummer 4-stellig - Set schwarz</t>
        </is>
      </c>
      <c r="B663" s="4" t="n">
        <v>22</v>
      </c>
      <c r="C663" t="inlineStr"/>
      <c r="D663" t="inlineStr">
        <is>
          <t>94315 Bayern - Straubing</t>
        </is>
      </c>
      <c r="E663" s="5" t="n">
        <v>45553</v>
      </c>
      <c r="F663" t="inlineStr"/>
      <c r="G663" s="6">
        <f>HYPERLINK("https://www.kleinanzeigen.de/s-anzeige/windsurfer-lt-segelnummer-4-stellig-set-schwarz/2867278940-298-7337", "Link")</f>
        <v/>
      </c>
      <c r="H663" s="6">
        <f>HYPERLINK("C:\Projects\Kleinanzeigen-Scraper\offer_images\2867278940", "Link")</f>
        <v/>
      </c>
      <c r="I663" t="inlineStr">
        <is>
          <t>R.M.</t>
        </is>
      </c>
      <c r="J663" s="6">
        <f>HYPERLINK("https://www.kleinanzeigen.de/s-bestandsliste.html?userId=12819128", "Link")</f>
        <v/>
      </c>
      <c r="K663" s="7" t="n">
        <v>45555.55978009259</v>
      </c>
      <c r="L663" s="3" t="inlineStr">
        <is>
          <t>110.14</t>
        </is>
      </c>
      <c r="M663" t="inlineStr">
        <is>
          <t>München</t>
        </is>
      </c>
    </row>
    <row r="664">
      <c r="A664" t="inlineStr">
        <is>
          <t>Windsurfen - Urlaub am Top Spot - Makkum IJsselmeer - strandnah</t>
        </is>
      </c>
      <c r="B664" s="4" t="n">
        <v>75</v>
      </c>
      <c r="C664" t="inlineStr"/>
      <c r="D664" t="inlineStr">
        <is>
          <t>41069 Nordrhein-Westfalen - Mönchengladbach</t>
        </is>
      </c>
      <c r="E664" s="5" t="n">
        <v>45551</v>
      </c>
      <c r="F664" t="inlineStr">
        <is>
          <t>Sold</t>
        </is>
      </c>
      <c r="G664" s="6">
        <f>HYPERLINK("https://www.kleinanzeigen.de/s-anzeige/windsurfen-urlaub-am-top-spot-makkum-ijsselmeer-strandnah/2865834957-275-1970", "Link")</f>
        <v/>
      </c>
      <c r="H664" s="6">
        <f>HYPERLINK("C:\Projects\Kleinanzeigen-Scraper\offer_images\2865834957", "Link")</f>
        <v/>
      </c>
      <c r="I664" t="inlineStr">
        <is>
          <t>Familie A.</t>
        </is>
      </c>
      <c r="J664" s="6">
        <f>HYPERLINK("https://www.kleinanzeigen.de/s-bestandsliste.html?userId=143364184", "Link")</f>
        <v/>
      </c>
      <c r="K664" s="7" t="n">
        <v>45555.55974537037</v>
      </c>
      <c r="L664" s="3" t="inlineStr">
        <is>
          <t>47.11</t>
        </is>
      </c>
      <c r="M664" t="inlineStr">
        <is>
          <t>Köln</t>
        </is>
      </c>
    </row>
    <row r="665">
      <c r="A665" t="inlineStr">
        <is>
          <t>Duotone Evo 6qm 2021 - must have for Brazil &amp; Capetown</t>
        </is>
      </c>
      <c r="B665" s="4" t="n">
        <v>599</v>
      </c>
      <c r="C665" t="inlineStr">
        <is>
          <t>VB</t>
        </is>
      </c>
      <c r="D665" t="inlineStr">
        <is>
          <t>70374 Stuttgart - Bad Cannstatt</t>
        </is>
      </c>
      <c r="E665" s="5" t="n">
        <v>45554</v>
      </c>
      <c r="F665" t="inlineStr">
        <is>
          <t>Sold</t>
        </is>
      </c>
      <c r="G665" s="6">
        <f>HYPERLINK("https://www.kleinanzeigen.de/s-anzeige/duotone-evo-6qm-2021-must-have-for-brazil-capetown/2868469324-230-9335", "Link")</f>
        <v/>
      </c>
      <c r="H665" s="6">
        <f>HYPERLINK("C:\Projects\Kleinanzeigen-Scraper\offer_images\2868469324", "Link")</f>
        <v/>
      </c>
      <c r="I665" t="inlineStr">
        <is>
          <t>Felix</t>
        </is>
      </c>
      <c r="J665" s="6">
        <f>HYPERLINK("https://www.kleinanzeigen.de/s-bestandsliste.html?userId=50950761", "Link")</f>
        <v/>
      </c>
      <c r="K665" s="7" t="n">
        <v>45555.55974537037</v>
      </c>
      <c r="L665" s="3" t="inlineStr">
        <is>
          <t>24.40</t>
        </is>
      </c>
      <c r="M665" t="inlineStr">
        <is>
          <t>Böblingen</t>
        </is>
      </c>
    </row>
    <row r="666">
      <c r="A666" t="inlineStr">
        <is>
          <t>Kinetic X5 Watjacke (Raubfisch, kein simms)</t>
        </is>
      </c>
      <c r="B666" s="4" t="n">
        <v>110</v>
      </c>
      <c r="C666" t="inlineStr">
        <is>
          <t>VB</t>
        </is>
      </c>
      <c r="D666" t="inlineStr">
        <is>
          <t>24106 Schleswig-Holstein - Kiel</t>
        </is>
      </c>
      <c r="E666" s="5" t="n">
        <v>45554</v>
      </c>
      <c r="F666" t="inlineStr"/>
      <c r="G666" s="6">
        <f>HYPERLINK("https://www.kleinanzeigen.de/s-anzeige/kinetic-x5-watjacke-raubfisch-kein-simms-/2868341146-230-707", "Link")</f>
        <v/>
      </c>
      <c r="H666" s="6">
        <f>HYPERLINK("C:\Projects\Kleinanzeigen-Scraper\offer_images\2868341146", "Link")</f>
        <v/>
      </c>
      <c r="I666" t="inlineStr">
        <is>
          <t>Nico</t>
        </is>
      </c>
      <c r="J666" s="6">
        <f>HYPERLINK("https://www.kleinanzeigen.de/s-bestandsliste.html?userId=43307179", "Link")</f>
        <v/>
      </c>
      <c r="K666" s="7" t="n">
        <v>45555.55965277777</v>
      </c>
      <c r="L666" s="3" t="inlineStr">
        <is>
          <t>436.03</t>
        </is>
      </c>
      <c r="M666" t="inlineStr">
        <is>
          <t>Köln</t>
        </is>
      </c>
    </row>
    <row r="667">
      <c r="A667" t="inlineStr">
        <is>
          <t>The North Face Duffel Bag XXL schwarz</t>
        </is>
      </c>
      <c r="B667" s="4" t="n">
        <v>120</v>
      </c>
      <c r="C667" t="inlineStr"/>
      <c r="D667" t="inlineStr">
        <is>
          <t>73760 Baden-Württemberg - Ostfildern</t>
        </is>
      </c>
      <c r="E667" s="5" t="n">
        <v>45553</v>
      </c>
      <c r="F667" t="inlineStr"/>
      <c r="G667" s="6">
        <f>HYPERLINK("https://www.kleinanzeigen.de/s-anzeige/the-north-face-duffel-bag-xxl-schwarz/2867482522-233-8437", "Link")</f>
        <v/>
      </c>
      <c r="H667" s="6">
        <f>HYPERLINK("C:\Projects\Kleinanzeigen-Scraper\offer_images\2867482522", "Link")</f>
        <v/>
      </c>
      <c r="I667" t="inlineStr">
        <is>
          <t>Luise</t>
        </is>
      </c>
      <c r="J667" s="6">
        <f>HYPERLINK("https://www.kleinanzeigen.de/s-bestandsliste.html?userId=32587456", "Link")</f>
        <v/>
      </c>
      <c r="K667" s="7" t="n">
        <v>45555.5595949074</v>
      </c>
      <c r="L667" s="3" t="inlineStr">
        <is>
          <t>21.07</t>
        </is>
      </c>
      <c r="M667" t="inlineStr">
        <is>
          <t>Böblingen</t>
        </is>
      </c>
    </row>
    <row r="668">
      <c r="A668" t="inlineStr">
        <is>
          <t>SUP Paddel Fanatic Carbon 80 Vario zweiteilig no Starboard</t>
        </is>
      </c>
      <c r="B668" s="4" t="n">
        <v>110</v>
      </c>
      <c r="C668" t="inlineStr"/>
      <c r="D668" t="inlineStr">
        <is>
          <t>17255 Mecklenburg-Vorpommern - Wesenberg</t>
        </is>
      </c>
      <c r="E668" s="5" t="n">
        <v>45552</v>
      </c>
      <c r="F668" t="inlineStr"/>
      <c r="G668" s="6">
        <f>HYPERLINK("https://www.kleinanzeigen.de/s-anzeige/sup-paddel-fanatic-carbon-80-vario-zweiteilig-no-starboard/2866120057-230-19632", "Link")</f>
        <v/>
      </c>
      <c r="H668" s="6">
        <f>HYPERLINK("C:\Projects\Kleinanzeigen-Scraper\offer_images\2866120057", "Link")</f>
        <v/>
      </c>
      <c r="I668" t="inlineStr">
        <is>
          <t>Robert</t>
        </is>
      </c>
      <c r="J668" s="6">
        <f>HYPERLINK("https://www.kleinanzeigen.de/s-bestandsliste.html?userId=132736363", "Link")</f>
        <v/>
      </c>
      <c r="K668" s="7" t="n">
        <v>45555.55958333334</v>
      </c>
      <c r="L668" s="3" t="inlineStr">
        <is>
          <t>483.18</t>
        </is>
      </c>
      <c r="M668" t="inlineStr">
        <is>
          <t>Köln</t>
        </is>
      </c>
    </row>
    <row r="669">
      <c r="A669" t="inlineStr">
        <is>
          <t>Simms Freestone Chest Pack Steel</t>
        </is>
      </c>
      <c r="B669" s="4" t="n">
        <v>60</v>
      </c>
      <c r="C669" t="inlineStr"/>
      <c r="D669" t="inlineStr">
        <is>
          <t>01945 Brandenburg - Tettau</t>
        </is>
      </c>
      <c r="E669" s="5" t="n">
        <v>45552</v>
      </c>
      <c r="F669" t="inlineStr">
        <is>
          <t>Sold</t>
        </is>
      </c>
      <c r="G669" s="6">
        <f>HYPERLINK("https://www.kleinanzeigen.de/s-anzeige/simms-freestone-chest-pack-steel/2866059114-230-7802", "Link")</f>
        <v/>
      </c>
      <c r="H669" s="6">
        <f>HYPERLINK("C:\Projects\Kleinanzeigen-Scraper\offer_images\2866059114", "Link")</f>
        <v/>
      </c>
      <c r="I669" t="inlineStr">
        <is>
          <t>Kontakt-nur uber-Whatssapp</t>
        </is>
      </c>
      <c r="J669" s="6">
        <f>HYPERLINK("https://www.kleinanzeigen.de/s-bestandsliste.html?userId=40151263", "Link")</f>
        <v/>
      </c>
      <c r="K669" s="7" t="n">
        <v>45555.55952546297</v>
      </c>
      <c r="L669" s="3" t="inlineStr">
        <is>
          <t>404.14</t>
        </is>
      </c>
      <c r="M669" t="inlineStr">
        <is>
          <t>München</t>
        </is>
      </c>
    </row>
    <row r="670">
      <c r="A670" t="inlineStr">
        <is>
          <t>BALZER 71° North Baltic Sea 2,8m Rute</t>
        </is>
      </c>
      <c r="B670" s="4" t="n">
        <v>60</v>
      </c>
      <c r="C670" t="inlineStr"/>
      <c r="D670" t="inlineStr">
        <is>
          <t>26419 Niedersachsen - Schortens</t>
        </is>
      </c>
      <c r="E670" s="5" t="n">
        <v>45548</v>
      </c>
      <c r="F670" t="inlineStr">
        <is>
          <t>Sold</t>
        </is>
      </c>
      <c r="G670" s="6">
        <f>HYPERLINK("https://www.kleinanzeigen.de/s-anzeige/balzer-71-north-baltic-sea-2-8m-rute/2862439940-230-3011", "Link")</f>
        <v/>
      </c>
      <c r="H670" s="6">
        <f>HYPERLINK("C:\Projects\Kleinanzeigen-Scraper\offer_images\2862439940", "Link")</f>
        <v/>
      </c>
      <c r="I670" t="inlineStr">
        <is>
          <t>Dominik Hagenah</t>
        </is>
      </c>
      <c r="J670" s="6">
        <f>HYPERLINK("https://www.kleinanzeigen.de/s-bestandsliste.html?userId=13287181", "Link")</f>
        <v/>
      </c>
      <c r="K670" s="7" t="n">
        <v>45555.55952546297</v>
      </c>
      <c r="L670" s="3" t="inlineStr">
        <is>
          <t>298.19</t>
        </is>
      </c>
      <c r="M670" t="inlineStr">
        <is>
          <t>Köln</t>
        </is>
      </c>
    </row>
    <row r="671">
      <c r="A671" t="inlineStr">
        <is>
          <t>Duotone Slick SLS 4,5, wie neu</t>
        </is>
      </c>
      <c r="B671" s="4" t="n">
        <v>410</v>
      </c>
      <c r="C671" t="inlineStr"/>
      <c r="D671" t="inlineStr">
        <is>
          <t>91217 Bayern - Hersbruck</t>
        </is>
      </c>
      <c r="E671" s="5" t="n">
        <v>45555</v>
      </c>
      <c r="F671" t="inlineStr">
        <is>
          <t>Sold</t>
        </is>
      </c>
      <c r="G671" s="6">
        <f>HYPERLINK("https://www.kleinanzeigen.de/s-anzeige/duotone-slick-sls-4-5-wie-neu/2868737306-230-6364", "Link")</f>
        <v/>
      </c>
      <c r="H671" s="6">
        <f>HYPERLINK("C:\Projects\Kleinanzeigen-Scraper\offer_images\2868737306", "Link")</f>
        <v/>
      </c>
      <c r="I671" t="inlineStr">
        <is>
          <t>Wolfi</t>
        </is>
      </c>
      <c r="J671" s="6">
        <f>HYPERLINK("https://www.kleinanzeigen.de/s-bestandsliste.html?userId=11921964", "Link")</f>
        <v/>
      </c>
      <c r="K671" s="7" t="n">
        <v>45555.55947916667</v>
      </c>
      <c r="L671" s="3" t="inlineStr">
        <is>
          <t>152.99</t>
        </is>
      </c>
      <c r="M671" t="inlineStr">
        <is>
          <t>München</t>
        </is>
      </c>
    </row>
    <row r="672">
      <c r="A672" t="inlineStr">
        <is>
          <t>Duotone Aero Carve 2.0 1100 Inkl.Fuselage Aero AL 3BS 66</t>
        </is>
      </c>
      <c r="B672" s="4" t="n">
        <v>850</v>
      </c>
      <c r="C672" t="inlineStr"/>
      <c r="D672" t="inlineStr">
        <is>
          <t>83395 Bayern - Freilassing</t>
        </is>
      </c>
      <c r="E672" s="5" t="n">
        <v>45553</v>
      </c>
      <c r="F672" t="inlineStr">
        <is>
          <t>Sold</t>
        </is>
      </c>
      <c r="G672" s="6">
        <f>HYPERLINK("https://www.kleinanzeigen.de/s-anzeige/duotone-aero-carve-2-0-1100-inkl-fuselage-aero-al-3bs-66/2867515006-230-6273", "Link")</f>
        <v/>
      </c>
      <c r="H672" s="6">
        <f>HYPERLINK("C:\Projects\Kleinanzeigen-Scraper\offer_images\2867515006", "Link")</f>
        <v/>
      </c>
      <c r="I672" t="inlineStr">
        <is>
          <t>Hannes</t>
        </is>
      </c>
      <c r="J672" s="6">
        <f>HYPERLINK("https://www.kleinanzeigen.de/s-bestandsliste.html?userId=125303914", "Link")</f>
        <v/>
      </c>
      <c r="K672" s="7" t="n">
        <v>45555.55943287037</v>
      </c>
      <c r="L672" s="3" t="inlineStr">
        <is>
          <t>108.85</t>
        </is>
      </c>
      <c r="M672" t="inlineStr">
        <is>
          <t>München</t>
        </is>
      </c>
    </row>
    <row r="673">
      <c r="A673" t="inlineStr">
        <is>
          <t>Duotone Rebel 12qm 2020</t>
        </is>
      </c>
      <c r="B673" s="4" t="n">
        <v>650</v>
      </c>
      <c r="C673" t="inlineStr">
        <is>
          <t>VB</t>
        </is>
      </c>
      <c r="D673" t="inlineStr">
        <is>
          <t>24245 Schleswig-Holstein - Klein Barkau</t>
        </is>
      </c>
      <c r="E673" s="5" t="n">
        <v>45552</v>
      </c>
      <c r="F673" t="inlineStr">
        <is>
          <t>Sold</t>
        </is>
      </c>
      <c r="G673" s="6">
        <f>HYPERLINK("https://www.kleinanzeigen.de/s-anzeige/duotone-rebel-12qm-2020/2866273782-230-471", "Link")</f>
        <v/>
      </c>
      <c r="H673" s="6">
        <f>HYPERLINK("C:\Projects\Kleinanzeigen-Scraper\offer_images\2866273782", "Link")</f>
        <v/>
      </c>
      <c r="I673" t="inlineStr">
        <is>
          <t>Marc R.</t>
        </is>
      </c>
      <c r="J673" s="6">
        <f>HYPERLINK("https://www.kleinanzeigen.de/s-bestandsliste.html?userId=6789090", "Link")</f>
        <v/>
      </c>
      <c r="K673" s="7" t="n">
        <v>45555.55934027778</v>
      </c>
      <c r="L673" s="3" t="inlineStr">
        <is>
          <t>424.32</t>
        </is>
      </c>
      <c r="M673" t="inlineStr">
        <is>
          <t>Köln</t>
        </is>
      </c>
    </row>
    <row r="674">
      <c r="A674" t="inlineStr">
        <is>
          <t>Starboard Fuselage Quicklock 1</t>
        </is>
      </c>
      <c r="B674" s="4" t="n">
        <v>39</v>
      </c>
      <c r="C674" t="inlineStr">
        <is>
          <t>VB</t>
        </is>
      </c>
      <c r="D674" t="inlineStr">
        <is>
          <t>24975 Schleswig-Holstein - Maasbüll</t>
        </is>
      </c>
      <c r="E674" s="5" t="n">
        <v>45554</v>
      </c>
      <c r="F674" t="inlineStr"/>
      <c r="G674" s="6">
        <f>HYPERLINK("https://www.kleinanzeigen.de/s-anzeige/starboard-fuselage-quicklock-1/2868055621-230-725", "Link")</f>
        <v/>
      </c>
      <c r="H674" s="6">
        <f>HYPERLINK("C:\Projects\Kleinanzeigen-Scraper\offer_images\2868055621", "Link")</f>
        <v/>
      </c>
      <c r="I674" t="inlineStr">
        <is>
          <t>Peer</t>
        </is>
      </c>
      <c r="J674" s="6">
        <f>HYPERLINK("https://www.kleinanzeigen.de/s-bestandsliste.html?userId=20160158", "Link")</f>
        <v/>
      </c>
      <c r="K674" s="7" t="n">
        <v>45555.55929398148</v>
      </c>
      <c r="L674" s="3" t="inlineStr">
        <is>
          <t>458.46</t>
        </is>
      </c>
      <c r="M674" t="inlineStr">
        <is>
          <t>Köln</t>
        </is>
      </c>
    </row>
    <row r="675">
      <c r="A675" t="inlineStr">
        <is>
          <t>The north face Road Runner -33 Zelt / Expedition</t>
        </is>
      </c>
      <c r="B675" s="4" t="inlineStr">
        <is>
          <t>Zu verschenken</t>
        </is>
      </c>
      <c r="C675" t="inlineStr"/>
      <c r="D675" t="inlineStr">
        <is>
          <t>83317 Bayern - Teisendorf</t>
        </is>
      </c>
      <c r="E675" s="5" t="n">
        <v>45555</v>
      </c>
      <c r="F675" t="inlineStr">
        <is>
          <t>Sold</t>
        </is>
      </c>
      <c r="G675" s="6">
        <f>HYPERLINK("https://www.kleinanzeigen.de/s-anzeige/the-north-face-road-runner-33-zelt-expedition/2868642034-230-6269", "Link")</f>
        <v/>
      </c>
      <c r="H675" s="6">
        <f>HYPERLINK("C:\Projects\Kleinanzeigen-Scraper\offer_images\2868642034", "Link")</f>
        <v/>
      </c>
      <c r="I675" t="inlineStr">
        <is>
          <t>Andreas G</t>
        </is>
      </c>
      <c r="J675" s="6">
        <f>HYPERLINK("https://www.kleinanzeigen.de/s-bestandsliste.html?userId=9976128", "Link")</f>
        <v/>
      </c>
      <c r="K675" s="7" t="n">
        <v>45555.55918981481</v>
      </c>
      <c r="L675" s="3" t="inlineStr">
        <is>
          <t>98.85</t>
        </is>
      </c>
      <c r="M675" t="inlineStr">
        <is>
          <t>München</t>
        </is>
      </c>
    </row>
    <row r="676">
      <c r="A676" t="inlineStr">
        <is>
          <t>North Vegas 9 qm</t>
        </is>
      </c>
      <c r="B676" s="4" t="n">
        <v>199</v>
      </c>
      <c r="C676" t="inlineStr">
        <is>
          <t>VB</t>
        </is>
      </c>
      <c r="D676" t="inlineStr">
        <is>
          <t>86947 Bayern - Weil a. Lech</t>
        </is>
      </c>
      <c r="E676" s="5" t="n">
        <v>45554</v>
      </c>
      <c r="F676" t="inlineStr"/>
      <c r="G676" s="6">
        <f>HYPERLINK("https://www.kleinanzeigen.de/s-anzeige/north-vegas-9-qm/2868237892-230-7079", "Link")</f>
        <v/>
      </c>
      <c r="H676" s="6">
        <f>HYPERLINK("C:\Projects\Kleinanzeigen-Scraper\offer_images\2868237892", "Link")</f>
        <v/>
      </c>
      <c r="I676" t="inlineStr">
        <is>
          <t>Matthias Meyer</t>
        </is>
      </c>
      <c r="J676" s="6">
        <f>HYPERLINK("https://www.kleinanzeigen.de/s-bestandsliste.html?userId=17058073", "Link")</f>
        <v/>
      </c>
      <c r="K676" s="7" t="n">
        <v>45555.55916666667</v>
      </c>
      <c r="L676" s="3" t="inlineStr">
        <is>
          <t>48.17</t>
        </is>
      </c>
      <c r="M676" t="inlineStr">
        <is>
          <t>München</t>
        </is>
      </c>
    </row>
    <row r="677">
      <c r="A677" t="inlineStr">
        <is>
          <t>Windsurfer LT Segelnummer 3-stellig - Set schwarz</t>
        </is>
      </c>
      <c r="B677" s="4" t="n">
        <v>17</v>
      </c>
      <c r="C677" t="inlineStr"/>
      <c r="D677" t="inlineStr">
        <is>
          <t>94315 Bayern - Straubing</t>
        </is>
      </c>
      <c r="E677" s="5" t="n">
        <v>45553</v>
      </c>
      <c r="F677" t="inlineStr"/>
      <c r="G677" s="6">
        <f>HYPERLINK("https://www.kleinanzeigen.de/s-anzeige/windsurfer-lt-segelnummer-3-stellig-set-schwarz/2867277625-298-7337", "Link")</f>
        <v/>
      </c>
      <c r="H677" s="6">
        <f>HYPERLINK("C:\Projects\Kleinanzeigen-Scraper\offer_images\2867277625", "Link")</f>
        <v/>
      </c>
      <c r="I677" t="inlineStr">
        <is>
          <t>R.M.</t>
        </is>
      </c>
      <c r="J677" s="6">
        <f>HYPERLINK("https://www.kleinanzeigen.de/s-bestandsliste.html?userId=12819128", "Link")</f>
        <v/>
      </c>
      <c r="K677" s="7" t="n">
        <v>45555.55914351852</v>
      </c>
      <c r="L677" s="3" t="inlineStr">
        <is>
          <t>110.14</t>
        </is>
      </c>
      <c r="M677" t="inlineStr">
        <is>
          <t>München</t>
        </is>
      </c>
    </row>
    <row r="678">
      <c r="A678" t="inlineStr">
        <is>
          <t>Gebrauchtes DUOTONE UNIT 5 2022</t>
        </is>
      </c>
      <c r="B678" s="4" t="n">
        <v>320</v>
      </c>
      <c r="C678" t="inlineStr">
        <is>
          <t>VB</t>
        </is>
      </c>
      <c r="D678" t="inlineStr">
        <is>
          <t>85640 Kr. München - Putzbrunn</t>
        </is>
      </c>
      <c r="E678" s="5" t="n">
        <v>45554</v>
      </c>
      <c r="F678" t="inlineStr">
        <is>
          <t>Sold</t>
        </is>
      </c>
      <c r="G678" s="6">
        <f>HYPERLINK("https://www.kleinanzeigen.de/s-anzeige/gebrauchtes-duotone-unit-5-2022/2868130622-230-6182", "Link")</f>
        <v/>
      </c>
      <c r="H678" s="6">
        <f>HYPERLINK("C:\Projects\Kleinanzeigen-Scraper\offer_images\2868130622", "Link")</f>
        <v/>
      </c>
      <c r="I678" t="inlineStr">
        <is>
          <t>Ivano</t>
        </is>
      </c>
      <c r="J678" s="6">
        <f>HYPERLINK("https://www.kleinanzeigen.de/s-bestandsliste.html?userId=140866439", "Link")</f>
        <v/>
      </c>
      <c r="K678" s="7" t="n">
        <v>45555.55914351852</v>
      </c>
      <c r="L678" s="3" t="inlineStr">
        <is>
          <t>11.31</t>
        </is>
      </c>
      <c r="M678" t="inlineStr">
        <is>
          <t>München</t>
        </is>
      </c>
    </row>
    <row r="679">
      <c r="A679" t="inlineStr">
        <is>
          <t>Haus-Flohmarkt in Simmern am 21.09.2024</t>
        </is>
      </c>
      <c r="B679" s="4" t="n">
        <v>1</v>
      </c>
      <c r="C679" t="inlineStr">
        <is>
          <t>VB</t>
        </is>
      </c>
      <c r="D679" t="inlineStr">
        <is>
          <t>55543 Rheinland-Pfalz - Bad Kreuznach</t>
        </is>
      </c>
      <c r="E679" s="5" t="n">
        <v>45554</v>
      </c>
      <c r="F679" t="inlineStr">
        <is>
          <t>Sold</t>
        </is>
      </c>
      <c r="G679" s="6">
        <f>HYPERLINK("https://www.kleinanzeigen.de/s-anzeige/haus-flohmarkt-in-simmern-am-21-09-2024/2868348643-250-5073", "Link")</f>
        <v/>
      </c>
      <c r="H679" s="6">
        <f>HYPERLINK("C:\Projects\Kleinanzeigen-Scraper\offer_images\2868348643", "Link")</f>
        <v/>
      </c>
      <c r="I679" t="inlineStr">
        <is>
          <t>Anke</t>
        </is>
      </c>
      <c r="J679" s="6">
        <f>HYPERLINK("https://www.kleinanzeigen.de/s-bestandsliste.html?userId=60713006", "Link")</f>
        <v/>
      </c>
      <c r="K679" s="7" t="n">
        <v>45555.55913194444</v>
      </c>
      <c r="L679" s="3" t="inlineStr">
        <is>
          <t>98.92</t>
        </is>
      </c>
      <c r="M679" t="inlineStr">
        <is>
          <t>Karlsruhe</t>
        </is>
      </c>
    </row>
    <row r="680">
      <c r="A680" t="inlineStr">
        <is>
          <t>Haus-Flohmarkt in Simmern am 21.09.2024</t>
        </is>
      </c>
      <c r="B680" s="4" t="n">
        <v>1</v>
      </c>
      <c r="C680" t="inlineStr"/>
      <c r="D680" t="inlineStr">
        <is>
          <t>55543 Rheinland-Pfalz - Bad Kreuznach</t>
        </is>
      </c>
      <c r="E680" s="5" t="n">
        <v>45554</v>
      </c>
      <c r="F680" t="inlineStr">
        <is>
          <t>Sold</t>
        </is>
      </c>
      <c r="G680" s="6">
        <f>HYPERLINK("https://www.kleinanzeigen.de/s-anzeige/haus-flohmarkt-in-simmern-am-21-09-2024/2868356837-250-5073", "Link")</f>
        <v/>
      </c>
      <c r="H680" s="6">
        <f>HYPERLINK("C:\Projects\Kleinanzeigen-Scraper\offer_images\2868356837", "Link")</f>
        <v/>
      </c>
      <c r="I680" t="inlineStr">
        <is>
          <t>Anke</t>
        </is>
      </c>
      <c r="J680" s="6">
        <f>HYPERLINK("https://www.kleinanzeigen.de/s-bestandsliste.html?userId=10758997", "Link")</f>
        <v/>
      </c>
      <c r="K680" s="7" t="n">
        <v>45555.55908564815</v>
      </c>
      <c r="L680" s="3" t="inlineStr">
        <is>
          <t>98.92</t>
        </is>
      </c>
      <c r="M680" t="inlineStr">
        <is>
          <t>Karlsruhe</t>
        </is>
      </c>
    </row>
    <row r="681">
      <c r="A681" t="inlineStr">
        <is>
          <t>Windsurfen Starboard-Aufkleber -groß-</t>
        </is>
      </c>
      <c r="B681" s="4" t="n">
        <v>15</v>
      </c>
      <c r="C681" t="inlineStr"/>
      <c r="D681" t="inlineStr">
        <is>
          <t>45149 Nordrhein-Westfalen - Essen-Fulerum</t>
        </is>
      </c>
      <c r="E681" s="5" t="n">
        <v>45344</v>
      </c>
      <c r="F681" t="inlineStr">
        <is>
          <t>Sold</t>
        </is>
      </c>
      <c r="G681" s="6">
        <f>HYPERLINK("https://www.kleinanzeigen.de/s-anzeige/windsurfen-starboard-aufkleber-gross-/2686856757-230-17910", "Link")</f>
        <v/>
      </c>
      <c r="H681" s="6">
        <f>HYPERLINK("C:\Projects\Kleinanzeigen-Scraper\offer_images\2686856757", "Link")</f>
        <v/>
      </c>
      <c r="I681" t="inlineStr">
        <is>
          <t>der Dieter</t>
        </is>
      </c>
      <c r="J681" s="6">
        <f>HYPERLINK("https://www.kleinanzeigen.de/s-bestandsliste.html?userId=19057683", "Link")</f>
        <v/>
      </c>
      <c r="K681" s="7" t="n">
        <v>45555.55908564815</v>
      </c>
      <c r="L681" s="3" t="inlineStr">
        <is>
          <t>53.40</t>
        </is>
      </c>
      <c r="M681" t="inlineStr">
        <is>
          <t>Köln</t>
        </is>
      </c>
    </row>
    <row r="682">
      <c r="A682" t="inlineStr">
        <is>
          <t>North Orbit 2024 12 qm TOP Zustand!!! Inkl. Garantie</t>
        </is>
      </c>
      <c r="B682" s="4" t="n">
        <v>1</v>
      </c>
      <c r="C682" t="inlineStr">
        <is>
          <t>VB</t>
        </is>
      </c>
      <c r="D682" t="inlineStr">
        <is>
          <t>40595 Düsseldorf - Garath</t>
        </is>
      </c>
      <c r="E682" s="5" t="n">
        <v>45552</v>
      </c>
      <c r="F682" t="inlineStr"/>
      <c r="G682" s="6">
        <f>HYPERLINK("https://www.kleinanzeigen.de/s-anzeige/north-orbit-2024-12-qm-top-zustand-inkl-garantie/2866521288-230-2078", "Link")</f>
        <v/>
      </c>
      <c r="H682" s="6">
        <f>HYPERLINK("C:\Projects\Kleinanzeigen-Scraper\offer_images\2866521288", "Link")</f>
        <v/>
      </c>
      <c r="I682" t="inlineStr">
        <is>
          <t>Maximilian</t>
        </is>
      </c>
      <c r="J682" s="6">
        <f>HYPERLINK("https://www.kleinanzeigen.de/s-bestandsliste.html?userId=12537926", "Link")</f>
        <v/>
      </c>
      <c r="K682" s="7" t="n">
        <v>45555.55908564815</v>
      </c>
      <c r="L682" s="3" t="inlineStr">
        <is>
          <t>22.73</t>
        </is>
      </c>
      <c r="M682" t="inlineStr">
        <is>
          <t>Köln</t>
        </is>
      </c>
    </row>
    <row r="683">
      <c r="A683" t="inlineStr">
        <is>
          <t>North Navigator Bar 2024</t>
        </is>
      </c>
      <c r="B683" s="4" t="n">
        <v>349</v>
      </c>
      <c r="C683" t="inlineStr"/>
      <c r="D683" t="inlineStr">
        <is>
          <t>20251 Hamburg-Nord - Hamburg Eppendorf</t>
        </is>
      </c>
      <c r="E683" s="5" t="n">
        <v>45553</v>
      </c>
      <c r="F683" t="inlineStr"/>
      <c r="G683" s="6">
        <f>HYPERLINK("https://www.kleinanzeigen.de/s-anzeige/north-navigator-bar-2024/2867176292-230-9475", "Link")</f>
        <v/>
      </c>
      <c r="H683" s="6">
        <f>HYPERLINK("C:\Projects\Kleinanzeigen-Scraper\offer_images\2867176292", "Link")</f>
        <v/>
      </c>
      <c r="I683" t="inlineStr">
        <is>
          <t>Michael</t>
        </is>
      </c>
      <c r="J683" s="6">
        <f>HYPERLINK("https://www.kleinanzeigen.de/s-bestandsliste.html?userId=28639211", "Link")</f>
        <v/>
      </c>
      <c r="K683" s="7" t="n">
        <v>45555.55895833333</v>
      </c>
      <c r="L683" s="3" t="inlineStr">
        <is>
          <t>360.06</t>
        </is>
      </c>
      <c r="M683" t="inlineStr">
        <is>
          <t>Köln</t>
        </is>
      </c>
    </row>
    <row r="684">
      <c r="A684" t="inlineStr">
        <is>
          <t>Duotone Evo SLS 9qm 2023 2024 neuwertig</t>
        </is>
      </c>
      <c r="B684" s="4" t="n">
        <v>1.27</v>
      </c>
      <c r="C684" t="inlineStr">
        <is>
          <t>VB</t>
        </is>
      </c>
      <c r="D684" t="inlineStr">
        <is>
          <t>82288 Bayern - Kottgeisering</t>
        </is>
      </c>
      <c r="E684" s="5" t="n">
        <v>45551</v>
      </c>
      <c r="F684" t="inlineStr">
        <is>
          <t>Sold</t>
        </is>
      </c>
      <c r="G684" s="6">
        <f>HYPERLINK("https://www.kleinanzeigen.de/s-anzeige/duotone-evo-sls-9qm-2023-2024-neuwertig/2865574585-230-6312", "Link")</f>
        <v/>
      </c>
      <c r="H684" s="6">
        <f>HYPERLINK("C:\Projects\Kleinanzeigen-Scraper\offer_images\2865574585", "Link")</f>
        <v/>
      </c>
      <c r="I684" t="inlineStr">
        <is>
          <t>BR</t>
        </is>
      </c>
      <c r="J684" s="6">
        <f>HYPERLINK("https://www.kleinanzeigen.de/s-bestandsliste.html?userId=74114559", "Link")</f>
        <v/>
      </c>
      <c r="K684" s="7" t="n">
        <v>45555.55887731481</v>
      </c>
      <c r="L684" s="3" t="inlineStr">
        <is>
          <t>32.90</t>
        </is>
      </c>
      <c r="M684" t="inlineStr">
        <is>
          <t>München</t>
        </is>
      </c>
    </row>
    <row r="685">
      <c r="A685" t="inlineStr">
        <is>
          <t>Duotone Evo SLS 13</t>
        </is>
      </c>
      <c r="B685" s="4" t="n">
        <v>999</v>
      </c>
      <c r="C685" t="inlineStr"/>
      <c r="D685" t="inlineStr">
        <is>
          <t>10115 Berlin - Mitte</t>
        </is>
      </c>
      <c r="E685" s="5" t="n">
        <v>45554</v>
      </c>
      <c r="F685" t="inlineStr">
        <is>
          <t>Sold</t>
        </is>
      </c>
      <c r="G685" s="6">
        <f>HYPERLINK("https://www.kleinanzeigen.de/s-anzeige/duotone-evo-sls-13/2868413041-230-9668", "Link")</f>
        <v/>
      </c>
      <c r="H685" s="6">
        <f>HYPERLINK("C:\Projects\Kleinanzeigen-Scraper\offer_images\2868413041", "Link")</f>
        <v/>
      </c>
      <c r="I685" t="inlineStr">
        <is>
          <t>Axel</t>
        </is>
      </c>
      <c r="J685" s="6">
        <f>HYPERLINK("https://www.kleinanzeigen.de/s-bestandsliste.html?userId=14650113", "Link")</f>
        <v/>
      </c>
      <c r="K685" s="7" t="n">
        <v>45555.55883101852</v>
      </c>
      <c r="L685" s="3" t="inlineStr">
        <is>
          <t>476.33</t>
        </is>
      </c>
      <c r="M685" t="inlineStr">
        <is>
          <t>Köln</t>
        </is>
      </c>
    </row>
    <row r="686">
      <c r="A686" t="inlineStr">
        <is>
          <t>Duotone Dice 12.0 qm 2023</t>
        </is>
      </c>
      <c r="B686" s="4" t="n">
        <v>1.13</v>
      </c>
      <c r="C686" t="inlineStr"/>
      <c r="D686" t="inlineStr">
        <is>
          <t>90451 Nürnberg (Mittelfr) - Aussenstadt-Sued</t>
        </is>
      </c>
      <c r="E686" s="5" t="n">
        <v>45554</v>
      </c>
      <c r="F686" t="inlineStr">
        <is>
          <t>Sold</t>
        </is>
      </c>
      <c r="G686" s="6">
        <f>HYPERLINK("https://www.kleinanzeigen.de/s-anzeige/duotone-dice-12-0-qm-2023/2817155433-230-6836", "Link")</f>
        <v/>
      </c>
      <c r="H686" s="6">
        <f>HYPERLINK("C:\Projects\Kleinanzeigen-Scraper\offer_images\2817155433", "Link")</f>
        <v/>
      </c>
      <c r="I686" t="inlineStr">
        <is>
          <t>No user name</t>
        </is>
      </c>
      <c r="J686" s="6">
        <f>HYPERLINK("https://www.kleinanzeigen.deNo user link", "Link")</f>
        <v/>
      </c>
      <c r="K686" s="7" t="n">
        <v>45555.55878472222</v>
      </c>
      <c r="L686" s="3" t="inlineStr">
        <is>
          <t>145.92</t>
        </is>
      </c>
      <c r="M686" t="inlineStr">
        <is>
          <t>München</t>
        </is>
      </c>
    </row>
    <row r="687">
      <c r="A687" t="inlineStr">
        <is>
          <t>GA Windsurf Foil set Alu | Gaastra Hybrid HP 1450</t>
        </is>
      </c>
      <c r="B687" s="4" t="n">
        <v>550</v>
      </c>
      <c r="C687" t="inlineStr">
        <is>
          <t>VB</t>
        </is>
      </c>
      <c r="D687" t="inlineStr">
        <is>
          <t>48147 Münster (Westfalen) - Centrum</t>
        </is>
      </c>
      <c r="E687" s="5" t="n">
        <v>45550</v>
      </c>
      <c r="F687" t="inlineStr">
        <is>
          <t>Sold</t>
        </is>
      </c>
      <c r="G687" s="6">
        <f>HYPERLINK("https://www.kleinanzeigen.de/s-anzeige/ga-windsurf-foil-set-alu-gaastra-hybrid-hp-1450/2864967803-230-931", "Link")</f>
        <v/>
      </c>
      <c r="H687" s="6">
        <f>HYPERLINK("C:\Projects\Kleinanzeigen-Scraper\offer_images\2864967803", "Link")</f>
        <v/>
      </c>
      <c r="I687" t="inlineStr">
        <is>
          <t>Max</t>
        </is>
      </c>
      <c r="J687" s="6">
        <f>HYPERLINK("https://www.kleinanzeigen.de/s-bestandsliste.html?userId=45533165", "Link")</f>
        <v/>
      </c>
      <c r="K687" s="7" t="n">
        <v>45555.55877314815</v>
      </c>
      <c r="L687" s="3" t="inlineStr">
        <is>
          <t>124.93</t>
        </is>
      </c>
      <c r="M687" t="inlineStr">
        <is>
          <t>Köln</t>
        </is>
      </c>
    </row>
    <row r="688">
      <c r="A688" t="inlineStr">
        <is>
          <t>Gebrauchtes DUOTONE UNIT 4 2022</t>
        </is>
      </c>
      <c r="B688" s="4" t="n">
        <v>300</v>
      </c>
      <c r="C688" t="inlineStr">
        <is>
          <t>VB</t>
        </is>
      </c>
      <c r="D688" t="inlineStr">
        <is>
          <t>85640 Kr. München - Putzbrunn</t>
        </is>
      </c>
      <c r="E688" s="5" t="n">
        <v>45554</v>
      </c>
      <c r="F688" t="inlineStr">
        <is>
          <t>Sold</t>
        </is>
      </c>
      <c r="G688" s="6">
        <f>HYPERLINK("https://www.kleinanzeigen.de/s-anzeige/gebrauchtes-duotone-unit-4-2022/2868132180-230-6182", "Link")</f>
        <v/>
      </c>
      <c r="H688" s="6">
        <f>HYPERLINK("C:\Projects\Kleinanzeigen-Scraper\offer_images\2868132180", "Link")</f>
        <v/>
      </c>
      <c r="I688" t="inlineStr">
        <is>
          <t>Ivano</t>
        </is>
      </c>
      <c r="J688" s="6">
        <f>HYPERLINK("https://www.kleinanzeigen.de/s-bestandsliste.html?userId=140866439", "Link")</f>
        <v/>
      </c>
      <c r="K688" s="7" t="n">
        <v>45555.55871527778</v>
      </c>
      <c r="L688" s="3" t="inlineStr">
        <is>
          <t>11.31</t>
        </is>
      </c>
      <c r="M688" t="inlineStr">
        <is>
          <t>München</t>
        </is>
      </c>
    </row>
    <row r="689">
      <c r="A689" t="inlineStr">
        <is>
          <t>Neu Sage TXL Fliegenrute Klasse 00 7.1ft Simms Loop Hardy</t>
        </is>
      </c>
      <c r="B689" s="4" t="n">
        <v>450</v>
      </c>
      <c r="C689" t="inlineStr">
        <is>
          <t>VB</t>
        </is>
      </c>
      <c r="D689" t="inlineStr">
        <is>
          <t>14770 Brandenburg - Brandenburg an der Havel</t>
        </is>
      </c>
      <c r="E689" s="5" t="n">
        <v>45552</v>
      </c>
      <c r="F689" t="inlineStr">
        <is>
          <t>Sold</t>
        </is>
      </c>
      <c r="G689" s="6">
        <f>HYPERLINK("https://www.kleinanzeigen.de/s-anzeige/neu-sage-txl-fliegenrute-klasse-00-7-1ft-simms-loop-hardy/2866751015-187-7739", "Link")</f>
        <v/>
      </c>
      <c r="H689" s="6">
        <f>HYPERLINK("C:\Projects\Kleinanzeigen-Scraper\offer_images\2866751015", "Link")</f>
        <v/>
      </c>
      <c r="I689" t="inlineStr">
        <is>
          <t>Paul</t>
        </is>
      </c>
      <c r="J689" s="6">
        <f>HYPERLINK("https://www.kleinanzeigen.de/s-bestandsliste.html?userId=23023096", "Link")</f>
        <v/>
      </c>
      <c r="K689" s="7" t="n">
        <v>45555.5587037037</v>
      </c>
      <c r="L689" s="3" t="inlineStr">
        <is>
          <t>416.86</t>
        </is>
      </c>
      <c r="M689" t="inlineStr">
        <is>
          <t>Köln</t>
        </is>
      </c>
    </row>
    <row r="690">
      <c r="A690" t="inlineStr">
        <is>
          <t>Duotone Rebel SLS 2024 10qm</t>
        </is>
      </c>
      <c r="B690" s="4" t="n">
        <v>1.4</v>
      </c>
      <c r="C690" t="inlineStr">
        <is>
          <t>VB</t>
        </is>
      </c>
      <c r="D690" t="inlineStr">
        <is>
          <t>33719 Bielefeld - Heepen</t>
        </is>
      </c>
      <c r="E690" s="5" t="n">
        <v>45551</v>
      </c>
      <c r="F690" t="inlineStr">
        <is>
          <t>Sold</t>
        </is>
      </c>
      <c r="G690" s="6">
        <f>HYPERLINK("https://www.kleinanzeigen.de/s-anzeige/duotone-rebel-sls-2024-10qm/2865814516-230-1084", "Link")</f>
        <v/>
      </c>
      <c r="H690" s="6">
        <f>HYPERLINK("C:\Projects\Kleinanzeigen-Scraper\offer_images\2865814516", "Link")</f>
        <v/>
      </c>
      <c r="I690" t="inlineStr">
        <is>
          <t>Alex</t>
        </is>
      </c>
      <c r="J690" s="6">
        <f>HYPERLINK("https://www.kleinanzeigen.de/s-bestandsliste.html?userId=48410460", "Link")</f>
        <v/>
      </c>
      <c r="K690" s="7" t="n">
        <v>45555.55868055556</v>
      </c>
      <c r="L690" s="3" t="inlineStr">
        <is>
          <t>166.32</t>
        </is>
      </c>
      <c r="M690" t="inlineStr">
        <is>
          <t>Köln</t>
        </is>
      </c>
    </row>
    <row r="691">
      <c r="A691" t="inlineStr">
        <is>
          <t>Duotone 1305 Aero Glide</t>
        </is>
      </c>
      <c r="B691" s="4" t="n">
        <v>360</v>
      </c>
      <c r="C691" t="inlineStr">
        <is>
          <t>VB</t>
        </is>
      </c>
      <c r="D691" t="inlineStr">
        <is>
          <t>24226 Schleswig-Holstein - Heikendorf</t>
        </is>
      </c>
      <c r="E691" s="5" t="n">
        <v>45552</v>
      </c>
      <c r="F691" t="inlineStr">
        <is>
          <t>Sold</t>
        </is>
      </c>
      <c r="G691" s="6">
        <f>HYPERLINK("https://www.kleinanzeigen.de/s-anzeige/duotone-1305-aero-glide/2866485677-230-672", "Link")</f>
        <v/>
      </c>
      <c r="H691" s="6">
        <f>HYPERLINK("C:\Projects\Kleinanzeigen-Scraper\offer_images\2866485677", "Link")</f>
        <v/>
      </c>
      <c r="I691" t="inlineStr">
        <is>
          <t>Lars</t>
        </is>
      </c>
      <c r="J691" s="6">
        <f>HYPERLINK("https://www.kleinanzeigen.de/s-bestandsliste.html?userId=80055399", "Link")</f>
        <v/>
      </c>
      <c r="K691" s="7" t="n">
        <v>45555.55868055556</v>
      </c>
      <c r="L691" s="3" t="inlineStr">
        <is>
          <t>441.08</t>
        </is>
      </c>
      <c r="M691" t="inlineStr">
        <is>
          <t>Köln</t>
        </is>
      </c>
    </row>
    <row r="692">
      <c r="A692" t="inlineStr">
        <is>
          <t>2x Campingstühle North Camp Comfortstuhl faltbar inkl. Packsack</t>
        </is>
      </c>
      <c r="B692" s="4" t="n">
        <v>40</v>
      </c>
      <c r="C692" t="inlineStr"/>
      <c r="D692" t="inlineStr">
        <is>
          <t>73098 Baden-Württemberg - Rechberghausen</t>
        </is>
      </c>
      <c r="E692" s="5" t="n">
        <v>45551</v>
      </c>
      <c r="F692" t="inlineStr"/>
      <c r="G692" s="6">
        <f>HYPERLINK("https://www.kleinanzeigen.de/s-anzeige/2x-campingstuehle-north-camp-comfortstuhl-faltbar-inkl-packsack/2865423949-230-9021", "Link")</f>
        <v/>
      </c>
      <c r="H692" s="6">
        <f>HYPERLINK("C:\Projects\Kleinanzeigen-Scraper\offer_images\2865423949", "Link")</f>
        <v/>
      </c>
      <c r="I692" t="inlineStr">
        <is>
          <t>Kammer</t>
        </is>
      </c>
      <c r="J692" s="6">
        <f>HYPERLINK("https://www.kleinanzeigen.de/s-bestandsliste.html?userId=27157568", "Link")</f>
        <v/>
      </c>
      <c r="K692" s="7" t="n">
        <v>45555.55855324074</v>
      </c>
      <c r="L692" s="3" t="inlineStr">
        <is>
          <t>49.31</t>
        </is>
      </c>
      <c r="M692" t="inlineStr">
        <is>
          <t>Böblingen</t>
        </is>
      </c>
    </row>
    <row r="693">
      <c r="A693" t="inlineStr">
        <is>
          <t>Streetskate | Cruiser | Longboard Naish Deck ONLY 32" (Curfboard)</t>
        </is>
      </c>
      <c r="B693" s="4" t="n">
        <v>49</v>
      </c>
      <c r="C693" t="inlineStr">
        <is>
          <t>VB</t>
        </is>
      </c>
      <c r="D693" t="inlineStr">
        <is>
          <t>12049 Berlin - Neukölln</t>
        </is>
      </c>
      <c r="E693" s="5" t="n">
        <v>45554</v>
      </c>
      <c r="F693" t="inlineStr">
        <is>
          <t>Sold</t>
        </is>
      </c>
      <c r="G693" s="6">
        <f>HYPERLINK("https://www.kleinanzeigen.de/s-anzeige/streetskate-cruiser-longboard-naish-deck-only-32-curfboard-/2868003192-230-3396", "Link")</f>
        <v/>
      </c>
      <c r="H693" s="6">
        <f>HYPERLINK("C:\Projects\Kleinanzeigen-Scraper\offer_images\2868003192", "Link")</f>
        <v/>
      </c>
      <c r="I693" t="inlineStr">
        <is>
          <t>Philipp</t>
        </is>
      </c>
      <c r="J693" s="6">
        <f>HYPERLINK("https://www.kleinanzeigen.de/s-bestandsliste.html?userId=5047677", "Link")</f>
        <v/>
      </c>
      <c r="K693" s="7" t="n">
        <v>45555.5584837963</v>
      </c>
      <c r="L693" s="3" t="inlineStr">
        <is>
          <t>477.18</t>
        </is>
      </c>
      <c r="M693" t="inlineStr">
        <is>
          <t>Köln</t>
        </is>
      </c>
    </row>
    <row r="694">
      <c r="A694" t="inlineStr">
        <is>
          <t>SUP Paddel Carbon Vario Gaastra 2-teilig Stand-Up Paddle Naish</t>
        </is>
      </c>
      <c r="B694" s="4" t="n">
        <v>150</v>
      </c>
      <c r="C694" t="inlineStr">
        <is>
          <t>VB</t>
        </is>
      </c>
      <c r="D694" t="inlineStr">
        <is>
          <t>44139 Dortmund - Innenstadt-West</t>
        </is>
      </c>
      <c r="E694" s="5" t="n">
        <v>45553</v>
      </c>
      <c r="F694" t="inlineStr"/>
      <c r="G694" s="6">
        <f>HYPERLINK("https://www.kleinanzeigen.de/s-anzeige/sup-paddel-carbon-vario-gaastra-2-teilig-stand-up-paddle-naish/2867616375-230-1112", "Link")</f>
        <v/>
      </c>
      <c r="H694" s="6">
        <f>HYPERLINK("C:\Projects\Kleinanzeigen-Scraper\offer_images\2867616375", "Link")</f>
        <v/>
      </c>
      <c r="I694" t="inlineStr">
        <is>
          <t>Malte</t>
        </is>
      </c>
      <c r="J694" s="6">
        <f>HYPERLINK("https://www.kleinanzeigen.de/s-bestandsliste.html?userId=9597816", "Link")</f>
        <v/>
      </c>
      <c r="K694" s="7" t="n">
        <v>45555.55842592593</v>
      </c>
      <c r="L694" s="3" t="inlineStr">
        <is>
          <t>71.50</t>
        </is>
      </c>
      <c r="M694" t="inlineStr">
        <is>
          <t>Köln</t>
        </is>
      </c>
    </row>
    <row r="695">
      <c r="A695" t="inlineStr">
        <is>
          <t>Duotone Rebel 9qm 2020</t>
        </is>
      </c>
      <c r="B695" s="4" t="n">
        <v>550</v>
      </c>
      <c r="C695" t="inlineStr">
        <is>
          <t>VB</t>
        </is>
      </c>
      <c r="D695" t="inlineStr">
        <is>
          <t>24245 Schleswig-Holstein - Klein Barkau</t>
        </is>
      </c>
      <c r="E695" s="5" t="n">
        <v>45552</v>
      </c>
      <c r="F695" t="inlineStr">
        <is>
          <t>Sold</t>
        </is>
      </c>
      <c r="G695" s="6">
        <f>HYPERLINK("https://www.kleinanzeigen.de/s-anzeige/duotone-rebel-9qm-2020/2866270332-230-471", "Link")</f>
        <v/>
      </c>
      <c r="H695" s="6">
        <f>HYPERLINK("C:\Projects\Kleinanzeigen-Scraper\offer_images\2866270332", "Link")</f>
        <v/>
      </c>
      <c r="I695" t="inlineStr">
        <is>
          <t>Marc R.</t>
        </is>
      </c>
      <c r="J695" s="6">
        <f>HYPERLINK("https://www.kleinanzeigen.de/s-bestandsliste.html?userId=6789090", "Link")</f>
        <v/>
      </c>
      <c r="K695" s="7" t="n">
        <v>45555.55833333333</v>
      </c>
      <c r="L695" s="3" t="inlineStr">
        <is>
          <t>424.32</t>
        </is>
      </c>
      <c r="M695" t="inlineStr">
        <is>
          <t>Köln</t>
        </is>
      </c>
    </row>
    <row r="696">
      <c r="A696" t="inlineStr">
        <is>
          <t>Duotone Dice 13.0 qm 2023</t>
        </is>
      </c>
      <c r="B696" s="4" t="n">
        <v>1.17</v>
      </c>
      <c r="C696" t="inlineStr"/>
      <c r="D696" t="inlineStr">
        <is>
          <t>90451 Nürnberg (Mittelfr) - Aussenstadt-Sued</t>
        </is>
      </c>
      <c r="E696" s="5" t="n">
        <v>45554</v>
      </c>
      <c r="F696" t="inlineStr">
        <is>
          <t>Sold</t>
        </is>
      </c>
      <c r="G696" s="6">
        <f>HYPERLINK("https://www.kleinanzeigen.de/s-anzeige/duotone-dice-13-0-qm-2023/2817156470-230-6836", "Link")</f>
        <v/>
      </c>
      <c r="H696" s="6">
        <f>HYPERLINK("C:\Projects\Kleinanzeigen-Scraper\offer_images\2817156470", "Link")</f>
        <v/>
      </c>
      <c r="I696" t="inlineStr">
        <is>
          <t>No user name</t>
        </is>
      </c>
      <c r="J696" s="6">
        <f>HYPERLINK("https://www.kleinanzeigen.deNo user link", "Link")</f>
        <v/>
      </c>
      <c r="K696" s="7" t="n">
        <v>45555.55828703703</v>
      </c>
      <c r="L696" s="3" t="inlineStr">
        <is>
          <t>145.92</t>
        </is>
      </c>
      <c r="M696" t="inlineStr">
        <is>
          <t>München</t>
        </is>
      </c>
    </row>
    <row r="697">
      <c r="A697" t="inlineStr">
        <is>
          <t>Schottin Muffy  Vanderbear , North American  Bear</t>
        </is>
      </c>
      <c r="B697" s="4" t="n">
        <v>18</v>
      </c>
      <c r="C697" t="inlineStr"/>
      <c r="D697" t="inlineStr">
        <is>
          <t>63697 Hessen - Hirzenhain</t>
        </is>
      </c>
      <c r="E697" s="5" t="n">
        <v>45555</v>
      </c>
      <c r="F697" t="inlineStr"/>
      <c r="G697" s="6">
        <f>HYPERLINK("https://www.kleinanzeigen.de/s-anzeige/schottin-muffy-vanderbear-north-american-bear/2868484413-234-4686", "Link")</f>
        <v/>
      </c>
      <c r="H697" s="6">
        <f>HYPERLINK("C:\Projects\Kleinanzeigen-Scraper\offer_images\2868484413", "Link")</f>
        <v/>
      </c>
      <c r="I697" t="inlineStr">
        <is>
          <t>Nana</t>
        </is>
      </c>
      <c r="J697" s="6">
        <f>HYPERLINK("https://www.kleinanzeigen.de/s-bestandsliste.html?userId=640343", "Link")</f>
        <v/>
      </c>
      <c r="K697" s="7" t="n">
        <v>45555.55824074074</v>
      </c>
      <c r="L697" s="3" t="inlineStr">
        <is>
          <t>162.82</t>
        </is>
      </c>
      <c r="M697" t="inlineStr">
        <is>
          <t>Karlsruhe</t>
        </is>
      </c>
    </row>
    <row r="698">
      <c r="A698" t="inlineStr">
        <is>
          <t>Duotone Rebel 2020 Paket mit Bar</t>
        </is>
      </c>
      <c r="B698" s="4" t="n">
        <v>1.1</v>
      </c>
      <c r="C698" t="inlineStr">
        <is>
          <t>VB</t>
        </is>
      </c>
      <c r="D698" t="inlineStr">
        <is>
          <t>28757 Bremen - Vegesack</t>
        </is>
      </c>
      <c r="E698" s="5" t="n">
        <v>45554</v>
      </c>
      <c r="F698" t="inlineStr">
        <is>
          <t>Sold</t>
        </is>
      </c>
      <c r="G698" s="6">
        <f>HYPERLINK("https://www.kleinanzeigen.de/s-anzeige/duotone-rebel-2020-paket-mit-bar/2868386495-230-12", "Link")</f>
        <v/>
      </c>
      <c r="H698" s="6">
        <f>HYPERLINK("C:\Projects\Kleinanzeigen-Scraper\offer_images\2868386495", "Link")</f>
        <v/>
      </c>
      <c r="I698" t="inlineStr">
        <is>
          <t>Kira Gai</t>
        </is>
      </c>
      <c r="J698" s="6">
        <f>HYPERLINK("https://www.kleinanzeigen.de/s-bestandsliste.html?userId=14673629", "Link")</f>
        <v/>
      </c>
      <c r="K698" s="7" t="n">
        <v>45555.55813657407</v>
      </c>
      <c r="L698" s="3" t="inlineStr">
        <is>
          <t>274.08</t>
        </is>
      </c>
      <c r="M698" t="inlineStr">
        <is>
          <t>Köln</t>
        </is>
      </c>
    </row>
    <row r="699">
      <c r="A699" t="inlineStr">
        <is>
          <t>THE NORTH FACE Softshell SUMMIT-SERIENS Jacke Gr.ca.M ,L Unisex</t>
        </is>
      </c>
      <c r="B699" s="4" t="n">
        <v>25</v>
      </c>
      <c r="C699" t="inlineStr"/>
      <c r="D699" t="inlineStr">
        <is>
          <t>44879 Bochum - Bochum-Südwest</t>
        </is>
      </c>
      <c r="E699" s="5" t="n">
        <v>45551</v>
      </c>
      <c r="F699" t="inlineStr"/>
      <c r="G699" s="6">
        <f>HYPERLINK("https://www.kleinanzeigen.de/s-anzeige/the-north-face-softshell-summit-seriens-jacke-gr-ca-m-l-unisex/2865852240-230-1939", "Link")</f>
        <v/>
      </c>
      <c r="H699" s="6">
        <f>HYPERLINK("C:\Projects\Kleinanzeigen-Scraper\offer_images\2865852240", "Link")</f>
        <v/>
      </c>
      <c r="I699" t="inlineStr">
        <is>
          <t>jol</t>
        </is>
      </c>
      <c r="J699" s="6">
        <f>HYPERLINK("https://www.kleinanzeigen.de/s-bestandsliste.html?userId=15699637", "Link")</f>
        <v/>
      </c>
      <c r="K699" s="7" t="n">
        <v>45555.55810185185</v>
      </c>
      <c r="L699" s="3" t="inlineStr">
        <is>
          <t>56.23</t>
        </is>
      </c>
      <c r="M699" t="inlineStr">
        <is>
          <t>Köln</t>
        </is>
      </c>
    </row>
    <row r="700">
      <c r="A700" t="inlineStr">
        <is>
          <t>Naish Bolt 2011 14qm</t>
        </is>
      </c>
      <c r="B700" s="4" t="n">
        <v>60</v>
      </c>
      <c r="C700" t="inlineStr">
        <is>
          <t>VB</t>
        </is>
      </c>
      <c r="D700" t="inlineStr">
        <is>
          <t>73441 Baden-Württemberg - Bopfingen</t>
        </is>
      </c>
      <c r="E700" s="5" t="n">
        <v>45552</v>
      </c>
      <c r="F700" t="inlineStr">
        <is>
          <t>Sold</t>
        </is>
      </c>
      <c r="G700" s="6">
        <f>HYPERLINK("https://www.kleinanzeigen.de/s-anzeige/naish-bolt-2011-14qm/2866198077-230-18996", "Link")</f>
        <v/>
      </c>
      <c r="H700" s="6">
        <f>HYPERLINK("C:\Projects\Kleinanzeigen-Scraper\offer_images\2866198077", "Link")</f>
        <v/>
      </c>
      <c r="I700" t="inlineStr">
        <is>
          <t>Tobias</t>
        </is>
      </c>
      <c r="J700" s="6">
        <f>HYPERLINK("https://www.kleinanzeigen.de/s-bestandsliste.html?userId=32497765", "Link")</f>
        <v/>
      </c>
      <c r="K700" s="7" t="n">
        <v>45555.55803240741</v>
      </c>
      <c r="L700" s="3" t="inlineStr">
        <is>
          <t>101.66</t>
        </is>
      </c>
      <c r="M700" t="inlineStr">
        <is>
          <t>Böblingen</t>
        </is>
      </c>
    </row>
    <row r="701">
      <c r="A701" t="inlineStr">
        <is>
          <t>Zpey Switch/Einhand Fliegenrute Klasse 7 Sage Simms Loop</t>
        </is>
      </c>
      <c r="B701" s="4" t="n">
        <v>250</v>
      </c>
      <c r="C701" t="inlineStr">
        <is>
          <t>VB</t>
        </is>
      </c>
      <c r="D701" t="inlineStr">
        <is>
          <t>14770 Brandenburg - Brandenburg an der Havel</t>
        </is>
      </c>
      <c r="E701" s="5" t="n">
        <v>45553</v>
      </c>
      <c r="F701" t="inlineStr"/>
      <c r="G701" s="6">
        <f>HYPERLINK("https://www.kleinanzeigen.de/s-anzeige/zpey-switch-einhand-fliegenrute-klasse-7-sage-simms-loop/2866769819-187-7739", "Link")</f>
        <v/>
      </c>
      <c r="H701" s="6">
        <f>HYPERLINK("C:\Projects\Kleinanzeigen-Scraper\offer_images\2866769819", "Link")</f>
        <v/>
      </c>
      <c r="I701" t="inlineStr">
        <is>
          <t>Paul</t>
        </is>
      </c>
      <c r="J701" s="6">
        <f>HYPERLINK("https://www.kleinanzeigen.de/s-bestandsliste.html?userId=23023096", "Link")</f>
        <v/>
      </c>
      <c r="K701" s="7" t="n">
        <v>45555.55798611111</v>
      </c>
      <c r="L701" s="3" t="inlineStr">
        <is>
          <t>416.86</t>
        </is>
      </c>
      <c r="M701" t="inlineStr">
        <is>
          <t>Köln</t>
        </is>
      </c>
    </row>
    <row r="702">
      <c r="A702" t="inlineStr">
        <is>
          <t>SUP Fanatic Ray Air Pure 12‘6</t>
        </is>
      </c>
      <c r="B702" s="4" t="n">
        <v>365</v>
      </c>
      <c r="C702" t="inlineStr">
        <is>
          <t>VB</t>
        </is>
      </c>
      <c r="D702" t="inlineStr">
        <is>
          <t>22303 Hamburg-Nord - Hamburg Winterhude</t>
        </is>
      </c>
      <c r="E702" s="5" t="n">
        <v>45552</v>
      </c>
      <c r="F702" t="inlineStr">
        <is>
          <t>Sold</t>
        </is>
      </c>
      <c r="G702" s="6">
        <f>HYPERLINK("https://www.kleinanzeigen.de/s-anzeige/sup-fanatic-ray-air-pure-12-6/2865993846-230-9482", "Link")</f>
        <v/>
      </c>
      <c r="H702" s="6">
        <f>HYPERLINK("C:\Projects\Kleinanzeigen-Scraper\offer_images\2865993846", "Link")</f>
        <v/>
      </c>
      <c r="I702" t="inlineStr">
        <is>
          <t>Finn</t>
        </is>
      </c>
      <c r="J702" s="6">
        <f>HYPERLINK("https://www.kleinanzeigen.de/s-bestandsliste.html?userId=11475097", "Link")</f>
        <v/>
      </c>
      <c r="K702" s="7" t="n">
        <v>45555.55797453703</v>
      </c>
      <c r="L702" s="3" t="inlineStr">
        <is>
          <t>361.45</t>
        </is>
      </c>
      <c r="M702" t="inlineStr">
        <is>
          <t>Köln</t>
        </is>
      </c>
    </row>
    <row r="703">
      <c r="A703" t="inlineStr">
        <is>
          <t>NEU Commodore North Isabella Vorzelt A1075 G20 Carbon Gestänge</t>
        </is>
      </c>
      <c r="B703" s="4" t="n">
        <v>3.5</v>
      </c>
      <c r="C703" t="inlineStr"/>
      <c r="D703" t="inlineStr">
        <is>
          <t>28357 Bremen - Borgfeld</t>
        </is>
      </c>
      <c r="E703" s="5" t="n">
        <v>45554</v>
      </c>
      <c r="F703" t="inlineStr"/>
      <c r="G703" s="6">
        <f>HYPERLINK("https://www.kleinanzeigen.de/s-anzeige/neu-commodore-north-isabella-vorzelt-a1075-g20-carbon-gestaenge/2838419463-230-17309", "Link")</f>
        <v/>
      </c>
      <c r="H703" s="6">
        <f>HYPERLINK("C:\Projects\Kleinanzeigen-Scraper\offer_images\2838419463", "Link")</f>
        <v/>
      </c>
      <c r="I703" t="inlineStr">
        <is>
          <t>Anne</t>
        </is>
      </c>
      <c r="J703" s="6">
        <f>HYPERLINK("https://www.kleinanzeigen.de/s-bestandsliste.html?userId=21510022", "Link")</f>
        <v/>
      </c>
      <c r="K703" s="7" t="n">
        <v>45555.55796296296</v>
      </c>
      <c r="L703" s="3" t="inlineStr">
        <is>
          <t>275.85</t>
        </is>
      </c>
      <c r="M703" t="inlineStr">
        <is>
          <t>Köln</t>
        </is>
      </c>
    </row>
    <row r="704">
      <c r="A704" t="inlineStr">
        <is>
          <t>Fanatic Aero Lift 2400 Foil</t>
        </is>
      </c>
      <c r="B704" s="4" t="n">
        <v>500</v>
      </c>
      <c r="C704" t="inlineStr">
        <is>
          <t>VB</t>
        </is>
      </c>
      <c r="D704" t="inlineStr">
        <is>
          <t>56370 Rheinland-Pfalz - Eisighofen</t>
        </is>
      </c>
      <c r="E704" s="5" t="n">
        <v>45552</v>
      </c>
      <c r="F704" t="inlineStr">
        <is>
          <t>Sold</t>
        </is>
      </c>
      <c r="G704" s="6">
        <f>HYPERLINK("https://www.kleinanzeigen.de/s-anzeige/fanatic-aero-lift-2400-foil/2866572107-230-20201", "Link")</f>
        <v/>
      </c>
      <c r="H704" s="6">
        <f>HYPERLINK("C:\Projects\Kleinanzeigen-Scraper\offer_images\2866572107", "Link")</f>
        <v/>
      </c>
      <c r="I704" t="inlineStr">
        <is>
          <t>Jens</t>
        </is>
      </c>
      <c r="J704" s="6">
        <f>HYPERLINK("https://www.kleinanzeigen.de/s-bestandsliste.html?userId=8224978", "Link")</f>
        <v/>
      </c>
      <c r="K704" s="7" t="n">
        <v>45555.55793981482</v>
      </c>
      <c r="L704" s="3" t="inlineStr">
        <is>
          <t>98.65</t>
        </is>
      </c>
      <c r="M704" t="inlineStr">
        <is>
          <t>Köln</t>
        </is>
      </c>
    </row>
    <row r="705">
      <c r="A705" t="inlineStr">
        <is>
          <t>DUOTONE Neo SLS 2023 6m2 mint/blue</t>
        </is>
      </c>
      <c r="B705" s="4" t="n">
        <v>1.259</v>
      </c>
      <c r="C705" t="inlineStr"/>
      <c r="D705" t="inlineStr">
        <is>
          <t>17509 Mecklenburg-Vorpommern - Loissin</t>
        </is>
      </c>
      <c r="E705" s="5" t="n">
        <v>45551</v>
      </c>
      <c r="F705" t="inlineStr">
        <is>
          <t>Sold</t>
        </is>
      </c>
      <c r="G705" s="6">
        <f>HYPERLINK("https://www.kleinanzeigen.de/s-anzeige/duotone-neo-sls-2023-6m2-mint-blue/2738884691-230-21340", "Link")</f>
        <v/>
      </c>
      <c r="H705" s="6">
        <f>HYPERLINK("C:\Projects\Kleinanzeigen-Scraper\offer_images\2738884691", "Link")</f>
        <v/>
      </c>
      <c r="I705" t="inlineStr">
        <is>
          <t>No user name</t>
        </is>
      </c>
      <c r="J705" s="6">
        <f>HYPERLINK("https://www.kleinanzeigen.deNo user link", "Link")</f>
        <v/>
      </c>
      <c r="K705" s="7" t="n">
        <v>45555.5579050926</v>
      </c>
      <c r="L705" s="3" t="inlineStr">
        <is>
          <t>568.47</t>
        </is>
      </c>
      <c r="M705" t="inlineStr">
        <is>
          <t>Köln</t>
        </is>
      </c>
    </row>
    <row r="706">
      <c r="A706" t="inlineStr">
        <is>
          <t>Duotone 2024 - Juice 17qm neuwertig</t>
        </is>
      </c>
      <c r="B706" s="4" t="n">
        <v>1.409</v>
      </c>
      <c r="C706" t="inlineStr"/>
      <c r="D706" t="inlineStr">
        <is>
          <t>26427 Niedersachsen - Neuharlingersiel</t>
        </is>
      </c>
      <c r="E706" s="5" t="n">
        <v>45552</v>
      </c>
      <c r="F706" t="inlineStr">
        <is>
          <t>Sold</t>
        </is>
      </c>
      <c r="G706" s="6">
        <f>HYPERLINK("https://www.kleinanzeigen.de/s-anzeige/duotone-2024-juice-17qm-neuwertig/2866183456-230-17528", "Link")</f>
        <v/>
      </c>
      <c r="H706" s="6">
        <f>HYPERLINK("C:\Projects\Kleinanzeigen-Scraper\offer_images\2866183456", "Link")</f>
        <v/>
      </c>
      <c r="I706" t="inlineStr">
        <is>
          <t>Surfschule Windloop</t>
        </is>
      </c>
      <c r="J706" s="6">
        <f>HYPERLINK("https://www.kleinanzeigen.de/s-bestandsliste.html?userId=66736229", "Link")</f>
        <v/>
      </c>
      <c r="K706" s="7" t="n">
        <v>45555.5578125</v>
      </c>
      <c r="L706" s="3" t="inlineStr">
        <is>
          <t>304.19</t>
        </is>
      </c>
      <c r="M706" t="inlineStr">
        <is>
          <t>Köln</t>
        </is>
      </c>
    </row>
    <row r="707">
      <c r="A707" t="inlineStr">
        <is>
          <t>Duotone Dice 10.0 qm 2023</t>
        </is>
      </c>
      <c r="B707" s="4" t="n">
        <v>1.03</v>
      </c>
      <c r="C707" t="inlineStr"/>
      <c r="D707" t="inlineStr">
        <is>
          <t>90451 Nürnberg (Mittelfr) - Aussenstadt-Sued</t>
        </is>
      </c>
      <c r="E707" s="5" t="n">
        <v>45554</v>
      </c>
      <c r="F707" t="inlineStr">
        <is>
          <t>Sold</t>
        </is>
      </c>
      <c r="G707" s="6">
        <f>HYPERLINK("https://www.kleinanzeigen.de/s-anzeige/duotone-dice-10-0-qm-2023/2817152176-230-6836", "Link")</f>
        <v/>
      </c>
      <c r="H707" s="6">
        <f>HYPERLINK("C:\Projects\Kleinanzeigen-Scraper\offer_images\2817152176", "Link")</f>
        <v/>
      </c>
      <c r="I707" t="inlineStr">
        <is>
          <t>No user name</t>
        </is>
      </c>
      <c r="J707" s="6">
        <f>HYPERLINK("https://www.kleinanzeigen.deNo user link", "Link")</f>
        <v/>
      </c>
      <c r="K707" s="7" t="n">
        <v>45555.55778935185</v>
      </c>
      <c r="L707" s="3" t="inlineStr">
        <is>
          <t>145.92</t>
        </is>
      </c>
      <c r="M707" t="inlineStr">
        <is>
          <t>München</t>
        </is>
      </c>
    </row>
    <row r="708">
      <c r="A708" t="inlineStr">
        <is>
          <t>Fanatic Orks Nacht Goblins Warhammer Fantasy Oldhammer</t>
        </is>
      </c>
      <c r="B708" s="4" t="n">
        <v>33</v>
      </c>
      <c r="C708" t="inlineStr">
        <is>
          <t>VB</t>
        </is>
      </c>
      <c r="D708" t="inlineStr">
        <is>
          <t>60487 Frankfurt am Main - Bockenheim</t>
        </is>
      </c>
      <c r="E708" s="5" t="n">
        <v>45555</v>
      </c>
      <c r="F708" t="inlineStr"/>
      <c r="G708" s="6">
        <f>HYPERLINK("https://www.kleinanzeigen.de/s-anzeige/fanatic-orks-nacht-goblins-warhammer-fantasy-oldhammer/2868730907-249-4322", "Link")</f>
        <v/>
      </c>
      <c r="H708" s="6">
        <f>HYPERLINK("C:\Projects\Kleinanzeigen-Scraper\offer_images\2868730907", "Link")</f>
        <v/>
      </c>
      <c r="I708" t="inlineStr">
        <is>
          <t>Hendrik S.</t>
        </is>
      </c>
      <c r="J708" s="6">
        <f>HYPERLINK("https://www.kleinanzeigen.de/s-bestandsliste.html?userId=6794529", "Link")</f>
        <v/>
      </c>
      <c r="K708" s="7" t="n">
        <v>45555.55777777778</v>
      </c>
      <c r="L708" s="3" t="inlineStr">
        <is>
          <t>125.89</t>
        </is>
      </c>
      <c r="M708" t="inlineStr">
        <is>
          <t>Karlsruhe</t>
        </is>
      </c>
    </row>
    <row r="709">
      <c r="A709" t="inlineStr">
        <is>
          <t>Teppich Vorzeltteppich Carpert North von Isabella 2,5 x 3,0 m</t>
        </is>
      </c>
      <c r="B709" s="4" t="n">
        <v>79</v>
      </c>
      <c r="C709" t="inlineStr"/>
      <c r="D709" t="inlineStr">
        <is>
          <t>79725 Baden-Württemberg - Laufenburg (Baden)</t>
        </is>
      </c>
      <c r="E709" s="5" t="n">
        <v>45548</v>
      </c>
      <c r="F709" t="inlineStr">
        <is>
          <t>Sold</t>
        </is>
      </c>
      <c r="G709" s="6">
        <f>HYPERLINK("https://www.kleinanzeigen.de/s-anzeige/teppich-vorzeltteppich-carpert-north-von-isabella-2-5-x-3-0-m/2836606667-230-8612", "Link")</f>
        <v/>
      </c>
      <c r="H709" s="6">
        <f>HYPERLINK("C:\Projects\Kleinanzeigen-Scraper\offer_images\2836606667", "Link")</f>
        <v/>
      </c>
      <c r="I709" t="inlineStr">
        <is>
          <t>Reinhold Jäger</t>
        </is>
      </c>
      <c r="J709" s="6">
        <f>HYPERLINK("https://www.kleinanzeigen.de/s-bestandsliste.html?userId=117807953", "Link")</f>
        <v/>
      </c>
      <c r="K709" s="7" t="n">
        <v>45555.55760416666</v>
      </c>
      <c r="L709" s="3" t="inlineStr">
        <is>
          <t>32.97</t>
        </is>
      </c>
      <c r="M709" t="inlineStr">
        <is>
          <t>Bonndorf</t>
        </is>
      </c>
    </row>
    <row r="710">
      <c r="A710" t="inlineStr">
        <is>
          <t>Duotone Neo 2022 10qm</t>
        </is>
      </c>
      <c r="B710" s="4" t="n">
        <v>1</v>
      </c>
      <c r="C710" t="inlineStr"/>
      <c r="D710" t="inlineStr">
        <is>
          <t>22769 Altona - Hamburg Altona-Nord</t>
        </is>
      </c>
      <c r="E710" s="5" t="n">
        <v>45552</v>
      </c>
      <c r="F710" t="inlineStr">
        <is>
          <t>Sold</t>
        </is>
      </c>
      <c r="G710" s="6">
        <f>HYPERLINK("https://www.kleinanzeigen.de/s-anzeige/duotone-neo-2022-10qm/2865998524-230-26480", "Link")</f>
        <v/>
      </c>
      <c r="H710" s="6">
        <f>HYPERLINK("C:\Projects\Kleinanzeigen-Scraper\offer_images\2865998524", "Link")</f>
        <v/>
      </c>
      <c r="I710" t="inlineStr">
        <is>
          <t>Philipp Sudbrack</t>
        </is>
      </c>
      <c r="J710" s="6">
        <f>HYPERLINK("https://www.kleinanzeigen.de/s-bestandsliste.html?userId=26128046", "Link")</f>
        <v/>
      </c>
      <c r="K710" s="7" t="n">
        <v>45555.55758101852</v>
      </c>
      <c r="L710" s="3" t="inlineStr">
        <is>
          <t>356.14</t>
        </is>
      </c>
      <c r="M710" t="inlineStr">
        <is>
          <t>Köln</t>
        </is>
      </c>
    </row>
    <row r="711">
      <c r="A711" t="inlineStr">
        <is>
          <t>Werftmodell Northern General 130cm Containerschiff Reederei</t>
        </is>
      </c>
      <c r="B711" s="4" t="n">
        <v>2.9</v>
      </c>
      <c r="C711" t="inlineStr"/>
      <c r="D711" t="inlineStr">
        <is>
          <t>20249 Hamburg-Nord - Hamburg Eppendorf</t>
        </is>
      </c>
      <c r="E711" s="5" t="n">
        <v>45551</v>
      </c>
      <c r="F711" t="inlineStr"/>
      <c r="G711" s="6">
        <f>HYPERLINK("https://www.kleinanzeigen.de/s-anzeige/werftmodell-northern-general-130cm-containerschiff-reederei/2865597355-234-9476", "Link")</f>
        <v/>
      </c>
      <c r="H711" s="6">
        <f>HYPERLINK("C:\Projects\Kleinanzeigen-Scraper\offer_images\2865597355", "Link")</f>
        <v/>
      </c>
      <c r="I711" t="inlineStr">
        <is>
          <t>No user name</t>
        </is>
      </c>
      <c r="J711" s="6">
        <f>HYPERLINK("https://www.kleinanzeigen.deNo user link", "Link")</f>
        <v/>
      </c>
      <c r="K711" s="7" t="n">
        <v>45555.55755787037</v>
      </c>
      <c r="L711" s="3" t="inlineStr">
        <is>
          <t>359.93</t>
        </is>
      </c>
      <c r="M711" t="inlineStr">
        <is>
          <t>Köln</t>
        </is>
      </c>
    </row>
    <row r="712">
      <c r="A712" t="inlineStr">
        <is>
          <t>Pilkrute + Bootsrute - WFT Go North 30 lbs - top Zustand</t>
        </is>
      </c>
      <c r="B712" s="4" t="n">
        <v>40</v>
      </c>
      <c r="C712" t="inlineStr"/>
      <c r="D712" t="inlineStr">
        <is>
          <t>86488 Bayern - Breitenthal</t>
        </is>
      </c>
      <c r="E712" s="5" t="n">
        <v>45553</v>
      </c>
      <c r="F712" t="inlineStr">
        <is>
          <t>Sold</t>
        </is>
      </c>
      <c r="G712" s="6">
        <f>HYPERLINK("https://www.kleinanzeigen.de/s-anzeige/pilkrute-bootsrute-wft-go-north-30-lbs-top-zustand/2866931718-230-6671", "Link")</f>
        <v/>
      </c>
      <c r="H712" s="6">
        <f>HYPERLINK("C:\Projects\Kleinanzeigen-Scraper\offer_images\2866931718", "Link")</f>
        <v/>
      </c>
      <c r="I712" t="inlineStr">
        <is>
          <t>Jürgen</t>
        </is>
      </c>
      <c r="J712" s="6">
        <f>HYPERLINK("https://www.kleinanzeigen.de/s-bestandsliste.html?userId=15103444", "Link")</f>
        <v/>
      </c>
      <c r="K712" s="7" t="n">
        <v>45555.55753472223</v>
      </c>
      <c r="L712" s="3" t="inlineStr">
        <is>
          <t>95.46</t>
        </is>
      </c>
      <c r="M712" t="inlineStr">
        <is>
          <t>München</t>
        </is>
      </c>
    </row>
    <row r="713">
      <c r="A713" t="inlineStr">
        <is>
          <t>Duotone Clickbar S 20/22m 2024 mit Freeride Loop</t>
        </is>
      </c>
      <c r="B713" s="4" t="n">
        <v>520</v>
      </c>
      <c r="C713" t="inlineStr">
        <is>
          <t>VB</t>
        </is>
      </c>
      <c r="D713" t="inlineStr">
        <is>
          <t>22763 Altona - Hamburg Ottensen</t>
        </is>
      </c>
      <c r="E713" s="5" t="n">
        <v>45552</v>
      </c>
      <c r="F713" t="inlineStr">
        <is>
          <t>Sold</t>
        </is>
      </c>
      <c r="G713" s="6">
        <f>HYPERLINK("https://www.kleinanzeigen.de/s-anzeige/duotone-clickbar-s-20-22m-2024-mit-freeride-loop/2866782823-230-9505", "Link")</f>
        <v/>
      </c>
      <c r="H713" s="6">
        <f>HYPERLINK("C:\Projects\Kleinanzeigen-Scraper\offer_images\2866782823", "Link")</f>
        <v/>
      </c>
      <c r="I713" t="inlineStr">
        <is>
          <t>Peter Detjen</t>
        </is>
      </c>
      <c r="J713" s="6">
        <f>HYPERLINK("https://www.kleinanzeigen.de/s-bestandsliste.html?userId=19046965", "Link")</f>
        <v/>
      </c>
      <c r="K713" s="7" t="n">
        <v>45555.5575</v>
      </c>
      <c r="L713" s="3" t="inlineStr">
        <is>
          <t>354.04</t>
        </is>
      </c>
      <c r="M713" t="inlineStr">
        <is>
          <t>Köln</t>
        </is>
      </c>
    </row>
    <row r="714">
      <c r="A714" t="inlineStr">
        <is>
          <t>North Orbit 2023 gelb 8 + 10 qm</t>
        </is>
      </c>
      <c r="B714" s="4" t="n">
        <v>1.2</v>
      </c>
      <c r="C714" t="inlineStr">
        <is>
          <t>VB</t>
        </is>
      </c>
      <c r="D714" t="inlineStr">
        <is>
          <t>22765 Altona - Hamburg Ottensen</t>
        </is>
      </c>
      <c r="E714" s="5" t="n">
        <v>45553</v>
      </c>
      <c r="F714" t="inlineStr">
        <is>
          <t>Sold</t>
        </is>
      </c>
      <c r="G714" s="6">
        <f>HYPERLINK("https://www.kleinanzeigen.de/s-anzeige/north-orbit-2023-gelb-8-10-qm/2867403668-230-9504", "Link")</f>
        <v/>
      </c>
      <c r="H714" s="6">
        <f>HYPERLINK("C:\Projects\Kleinanzeigen-Scraper\offer_images\2867403668", "Link")</f>
        <v/>
      </c>
      <c r="I714" t="inlineStr">
        <is>
          <t>Fritz Jensen</t>
        </is>
      </c>
      <c r="J714" s="6">
        <f>HYPERLINK("https://www.kleinanzeigen.de/s-bestandsliste.html?userId=6454314", "Link")</f>
        <v/>
      </c>
      <c r="K714" s="7" t="n">
        <v>45555.55743055556</v>
      </c>
      <c r="L714" s="3" t="inlineStr">
        <is>
          <t>354.49</t>
        </is>
      </c>
      <c r="M714" t="inlineStr">
        <is>
          <t>Köln</t>
        </is>
      </c>
    </row>
    <row r="715">
      <c r="A715" t="inlineStr">
        <is>
          <t>Duoton EVO SLS 13m aus 2022 wie neu</t>
        </is>
      </c>
      <c r="B715" s="4" t="n">
        <v>1.09</v>
      </c>
      <c r="C715" t="inlineStr"/>
      <c r="D715" t="inlineStr">
        <is>
          <t>83324 Bayern - Ruhpolding</t>
        </is>
      </c>
      <c r="E715" s="5" t="n">
        <v>45555</v>
      </c>
      <c r="F715" t="inlineStr">
        <is>
          <t>Sold</t>
        </is>
      </c>
      <c r="G715" s="6">
        <f>HYPERLINK("https://www.kleinanzeigen.de/s-anzeige/duoton-evo-sls-13m-aus-2022-wie-neu/2868585602-230-5723", "Link")</f>
        <v/>
      </c>
      <c r="H715" s="6">
        <f>HYPERLINK("C:\Projects\Kleinanzeigen-Scraper\offer_images\2868585602", "Link")</f>
        <v/>
      </c>
      <c r="I715" t="inlineStr">
        <is>
          <t>Christian</t>
        </is>
      </c>
      <c r="J715" s="6">
        <f>HYPERLINK("https://www.kleinanzeigen.de/s-bestandsliste.html?userId=33066650", "Link")</f>
        <v/>
      </c>
      <c r="K715" s="7" t="n">
        <v>45555.55736111111</v>
      </c>
      <c r="L715" s="3" t="inlineStr">
        <is>
          <t>90.42</t>
        </is>
      </c>
      <c r="M715" t="inlineStr">
        <is>
          <t>München</t>
        </is>
      </c>
    </row>
    <row r="716">
      <c r="A716" t="inlineStr">
        <is>
          <t>Scierra Angelhose, Simms, Orvis, Hose</t>
        </is>
      </c>
      <c r="B716" s="4" t="inlineStr"/>
      <c r="C716" t="inlineStr">
        <is>
          <t>VB</t>
        </is>
      </c>
      <c r="D716" t="inlineStr">
        <is>
          <t>21614 Niedersachsen - Buxtehude</t>
        </is>
      </c>
      <c r="E716" s="5" t="n">
        <v>45552</v>
      </c>
      <c r="F716" t="inlineStr"/>
      <c r="G716" s="6">
        <f>HYPERLINK("https://www.kleinanzeigen.de/s-anzeige/scierra-angelhose-simms-orvis-hose/2866489910-230-3328", "Link")</f>
        <v/>
      </c>
      <c r="H716" s="6">
        <f>HYPERLINK("C:\Projects\Kleinanzeigen-Scraper\offer_images\2866489910", "Link")</f>
        <v/>
      </c>
      <c r="I716" t="inlineStr">
        <is>
          <t>LL</t>
        </is>
      </c>
      <c r="J716" s="6">
        <f>HYPERLINK("https://www.kleinanzeigen.de/s-bestandsliste.html?userId=129722226", "Link")</f>
        <v/>
      </c>
      <c r="K716" s="7" t="n">
        <v>45555.55728009259</v>
      </c>
      <c r="L716" s="3" t="inlineStr">
        <is>
          <t>336.75</t>
        </is>
      </c>
      <c r="M716" t="inlineStr">
        <is>
          <t>Köln</t>
        </is>
      </c>
    </row>
    <row r="717">
      <c r="A717" t="inlineStr">
        <is>
          <t>Neoprenanzug Neil Pryde 3mm Kurzarm Windsurfen</t>
        </is>
      </c>
      <c r="B717" s="4" t="n">
        <v>45</v>
      </c>
      <c r="C717" t="inlineStr"/>
      <c r="D717" t="inlineStr">
        <is>
          <t>70374 Stuttgart - Bad Cannstatt</t>
        </is>
      </c>
      <c r="E717" s="5" t="n">
        <v>45554</v>
      </c>
      <c r="F717" t="inlineStr">
        <is>
          <t>Sold</t>
        </is>
      </c>
      <c r="G717" s="6">
        <f>HYPERLINK("https://www.kleinanzeigen.de/s-anzeige/neoprenanzug-neil-pryde-3mm-kurzarm-windsurfen/2868168690-230-9335", "Link")</f>
        <v/>
      </c>
      <c r="H717" s="6">
        <f>HYPERLINK("C:\Projects\Kleinanzeigen-Scraper\offer_images\2868168690", "Link")</f>
        <v/>
      </c>
      <c r="I717" t="inlineStr">
        <is>
          <t>Stephan</t>
        </is>
      </c>
      <c r="J717" s="6">
        <f>HYPERLINK("https://www.kleinanzeigen.de/s-bestandsliste.html?userId=35669520", "Link")</f>
        <v/>
      </c>
      <c r="K717" s="7" t="n">
        <v>45555.55723379629</v>
      </c>
      <c r="L717" s="3" t="inlineStr">
        <is>
          <t>24.40</t>
        </is>
      </c>
      <c r="M717" t="inlineStr">
        <is>
          <t>Böblingen</t>
        </is>
      </c>
    </row>
    <row r="718">
      <c r="A718" t="inlineStr">
        <is>
          <t>Snowboardjacke Skijacke FANATIC Gr. 36 S</t>
        </is>
      </c>
      <c r="B718" s="4" t="n">
        <v>39</v>
      </c>
      <c r="C718" t="inlineStr"/>
      <c r="D718" t="inlineStr">
        <is>
          <t>85095 Bayern - Denkendorf</t>
        </is>
      </c>
      <c r="E718" s="5" t="n">
        <v>45553</v>
      </c>
      <c r="F718" t="inlineStr"/>
      <c r="G718" s="6">
        <f>HYPERLINK("https://www.kleinanzeigen.de/s-anzeige/snowboardjacke-skijacke-fanatic-gr-36-s/2867037945-230-7605", "Link")</f>
        <v/>
      </c>
      <c r="H718" s="6">
        <f>HYPERLINK("C:\Projects\Kleinanzeigen-Scraper\offer_images\2867037945", "Link")</f>
        <v/>
      </c>
      <c r="I718" t="inlineStr">
        <is>
          <t>Privat</t>
        </is>
      </c>
      <c r="J718" s="6">
        <f>HYPERLINK("https://www.kleinanzeigen.de/s-bestandsliste.html?userId=3238922", "Link")</f>
        <v/>
      </c>
      <c r="K718" s="7" t="n">
        <v>45555.55711805556</v>
      </c>
      <c r="L718" s="3" t="inlineStr">
        <is>
          <t>88.31</t>
        </is>
      </c>
      <c r="M718" t="inlineStr">
        <is>
          <t>München</t>
        </is>
      </c>
    </row>
    <row r="719">
      <c r="A719" t="inlineStr">
        <is>
          <t>North Orbit 2024 12m // inkl. Garantie</t>
        </is>
      </c>
      <c r="B719" s="4" t="n">
        <v>1.1</v>
      </c>
      <c r="C719" t="inlineStr">
        <is>
          <t>VB</t>
        </is>
      </c>
      <c r="D719" t="inlineStr">
        <is>
          <t>53173 Bonn - Bad Godesberg</t>
        </is>
      </c>
      <c r="E719" s="5" t="n">
        <v>45552</v>
      </c>
      <c r="F719" t="inlineStr"/>
      <c r="G719" s="6">
        <f>HYPERLINK("https://www.kleinanzeigen.de/s-anzeige/north-orbit-2024-12m-inkl-garantie/2866557490-230-1052", "Link")</f>
        <v/>
      </c>
      <c r="H719" s="6">
        <f>HYPERLINK("C:\Projects\Kleinanzeigen-Scraper\offer_images\2866557490", "Link")</f>
        <v/>
      </c>
      <c r="I719" t="inlineStr">
        <is>
          <t>Nik</t>
        </is>
      </c>
      <c r="J719" s="6">
        <f>HYPERLINK("https://www.kleinanzeigen.de/s-bestandsliste.html?userId=26940413", "Link")</f>
        <v/>
      </c>
      <c r="K719" s="7" t="n">
        <v>45555.55709490741</v>
      </c>
      <c r="L719" s="3" t="inlineStr">
        <is>
          <t>31.51</t>
        </is>
      </c>
      <c r="M719" t="inlineStr">
        <is>
          <t>Köln</t>
        </is>
      </c>
    </row>
    <row r="720">
      <c r="A720" t="inlineStr">
        <is>
          <t>Surfen, Neu Tender 1x, North Sails und 1x Base Komplett</t>
        </is>
      </c>
      <c r="B720" s="4" t="n">
        <v>55</v>
      </c>
      <c r="C720" t="inlineStr"/>
      <c r="D720" t="inlineStr">
        <is>
          <t>22177 Wandsbek - Hamburg Bramfeld</t>
        </is>
      </c>
      <c r="E720" s="5" t="n">
        <v>45553</v>
      </c>
      <c r="F720" t="inlineStr"/>
      <c r="G720" s="6">
        <f>HYPERLINK("https://www.kleinanzeigen.de/s-anzeige/surfen-neu-tender-1x-north-sails-und-1x-base-komplett/2867297056-230-9452", "Link")</f>
        <v/>
      </c>
      <c r="H720" s="6">
        <f>HYPERLINK("C:\Projects\Kleinanzeigen-Scraper\offer_images\2867297056", "Link")</f>
        <v/>
      </c>
      <c r="I720" t="inlineStr">
        <is>
          <t>Karsten</t>
        </is>
      </c>
      <c r="J720" s="6">
        <f>HYPERLINK("https://www.kleinanzeigen.de/s-bestandsliste.html?userId=1910707", "Link")</f>
        <v/>
      </c>
      <c r="K720" s="7" t="n">
        <v>45555.55707175926</v>
      </c>
      <c r="L720" s="3" t="inlineStr">
        <is>
          <t>364.64</t>
        </is>
      </c>
      <c r="M720" t="inlineStr">
        <is>
          <t>Köln</t>
        </is>
      </c>
    </row>
    <row r="721">
      <c r="A721" t="inlineStr">
        <is>
          <t>SUP STARBOARD Inflatables und Composite Boards - Restbestände</t>
        </is>
      </c>
      <c r="B721" s="4" t="n">
        <v>1</v>
      </c>
      <c r="C721" t="inlineStr">
        <is>
          <t>VB</t>
        </is>
      </c>
      <c r="D721" t="inlineStr">
        <is>
          <t>33100 Nordrhein-Westfalen - Paderborn</t>
        </is>
      </c>
      <c r="E721" s="5" t="n">
        <v>45450</v>
      </c>
      <c r="F721" t="inlineStr"/>
      <c r="G721" s="6">
        <f>HYPERLINK("https://www.kleinanzeigen.de/s-anzeige/sup-starboard-inflatables-und-composite-boards-restbestaende/2781783949-230-2164", "Link")</f>
        <v/>
      </c>
      <c r="H721" s="6">
        <f>HYPERLINK("C:\Projects\Kleinanzeigen-Scraper\offer_images\2781783949", "Link")</f>
        <v/>
      </c>
      <c r="I721" t="inlineStr">
        <is>
          <t>BORAVENT</t>
        </is>
      </c>
      <c r="J721" s="6">
        <f>HYPERLINK("https://www.kleinanzeigen.de/s-bestandsliste.html?userId=55973585", "Link")</f>
        <v/>
      </c>
      <c r="K721" s="7" t="n">
        <v>45555.55702546296</v>
      </c>
      <c r="L721" s="3" t="inlineStr">
        <is>
          <t>156.96</t>
        </is>
      </c>
      <c r="M721" t="inlineStr">
        <is>
          <t>Köln</t>
        </is>
      </c>
    </row>
    <row r="722">
      <c r="A722" t="inlineStr">
        <is>
          <t>NEU Guideline Drifter Belly Boat mit Ersatzschläuchen Simms Sage</t>
        </is>
      </c>
      <c r="B722" s="4" t="n">
        <v>200</v>
      </c>
      <c r="C722" t="inlineStr">
        <is>
          <t>VB</t>
        </is>
      </c>
      <c r="D722" t="inlineStr">
        <is>
          <t>14770 Brandenburg - Brandenburg an der Havel</t>
        </is>
      </c>
      <c r="E722" s="5" t="n">
        <v>45552</v>
      </c>
      <c r="F722" t="inlineStr"/>
      <c r="G722" s="6">
        <f>HYPERLINK("https://www.kleinanzeigen.de/s-anzeige/neu-guideline-drifter-belly-boat-mit-ersatzschlaeuchen-simms-sage/2866774309-187-7739", "Link")</f>
        <v/>
      </c>
      <c r="H722" s="6">
        <f>HYPERLINK("C:\Projects\Kleinanzeigen-Scraper\offer_images\2866774309", "Link")</f>
        <v/>
      </c>
      <c r="I722" t="inlineStr">
        <is>
          <t>Paul</t>
        </is>
      </c>
      <c r="J722" s="6">
        <f>HYPERLINK("https://www.kleinanzeigen.de/s-bestandsliste.html?userId=23023096", "Link")</f>
        <v/>
      </c>
      <c r="K722" s="7" t="n">
        <v>45555.55692129629</v>
      </c>
      <c r="L722" s="3" t="inlineStr">
        <is>
          <t>416.86</t>
        </is>
      </c>
      <c r="M722" t="inlineStr">
        <is>
          <t>Köln</t>
        </is>
      </c>
    </row>
    <row r="723">
      <c r="A723" t="inlineStr">
        <is>
          <t>Duotone Rebel 8 qm 2019 gelb</t>
        </is>
      </c>
      <c r="B723" s="4" t="n">
        <v>450</v>
      </c>
      <c r="C723" t="inlineStr"/>
      <c r="D723" t="inlineStr">
        <is>
          <t>20259 Eimsbüttel - Hamburg Eimsbüttel (Stadtteil)</t>
        </is>
      </c>
      <c r="E723" s="5" t="n">
        <v>45555</v>
      </c>
      <c r="F723" t="inlineStr">
        <is>
          <t>Sold</t>
        </is>
      </c>
      <c r="G723" s="6">
        <f>HYPERLINK("https://www.kleinanzeigen.de/s-anzeige/duotone-rebel-8-qm-2019-gelb/2868618667-230-9427", "Link")</f>
        <v/>
      </c>
      <c r="H723" s="6">
        <f>HYPERLINK("C:\Projects\Kleinanzeigen-Scraper\offer_images\2868618667", "Link")</f>
        <v/>
      </c>
      <c r="I723" t="inlineStr">
        <is>
          <t>Ferdinand Lange</t>
        </is>
      </c>
      <c r="J723" s="6">
        <f>HYPERLINK("https://www.kleinanzeigen.de/s-bestandsliste.html?userId=5248345", "Link")</f>
        <v/>
      </c>
      <c r="K723" s="7" t="n">
        <v>45555.55680555556</v>
      </c>
      <c r="L723" s="3" t="inlineStr">
        <is>
          <t>356.92</t>
        </is>
      </c>
      <c r="M723" t="inlineStr">
        <is>
          <t>Köln</t>
        </is>
      </c>
    </row>
    <row r="724">
      <c r="A724" t="inlineStr">
        <is>
          <t>Duotone Evo Sls 2024 12m</t>
        </is>
      </c>
      <c r="B724" s="4" t="n">
        <v>1.999</v>
      </c>
      <c r="C724" t="inlineStr"/>
      <c r="D724" t="inlineStr">
        <is>
          <t>25980 Sylt - Westerland</t>
        </is>
      </c>
      <c r="E724" s="5" t="n">
        <v>45553</v>
      </c>
      <c r="F724" t="inlineStr">
        <is>
          <t>Sold</t>
        </is>
      </c>
      <c r="G724" s="6">
        <f>HYPERLINK("https://www.kleinanzeigen.de/s-anzeige/duotone-evo-sls-2024-12m/2867475879-230-634", "Link")</f>
        <v/>
      </c>
      <c r="H724" s="6">
        <f>HYPERLINK("C:\Projects\Kleinanzeigen-Scraper\offer_images\2867475879", "Link")</f>
        <v/>
      </c>
      <c r="I724" t="inlineStr">
        <is>
          <t>Lenny kite</t>
        </is>
      </c>
      <c r="J724" s="6">
        <f>HYPERLINK("https://www.kleinanzeigen.de/s-bestandsliste.html?userId=14530034", "Link")</f>
        <v/>
      </c>
      <c r="K724" s="7" t="n">
        <v>45555.55673611111</v>
      </c>
      <c r="L724" s="3" t="inlineStr">
        <is>
          <t>448.30</t>
        </is>
      </c>
      <c r="M724" t="inlineStr">
        <is>
          <t>Köln</t>
        </is>
      </c>
    </row>
    <row r="725">
      <c r="A725" t="inlineStr">
        <is>
          <t>Angeln Fliegenfischen Simms Cape</t>
        </is>
      </c>
      <c r="B725" s="4" t="n">
        <v>30</v>
      </c>
      <c r="C725" t="inlineStr"/>
      <c r="D725" t="inlineStr">
        <is>
          <t>30851 Niedersachsen - Langenhagen</t>
        </is>
      </c>
      <c r="E725" s="5" t="n">
        <v>45555</v>
      </c>
      <c r="F725" t="inlineStr"/>
      <c r="G725" s="6">
        <f>HYPERLINK("https://www.kleinanzeigen.de/s-anzeige/angeln-fliegenfischen-simms-cape/2868769866-230-3045", "Link")</f>
        <v/>
      </c>
      <c r="H725" s="6">
        <f>HYPERLINK("C:\Projects\Kleinanzeigen-Scraper\offer_images\2868769866", "Link")</f>
        <v/>
      </c>
      <c r="I725" t="inlineStr">
        <is>
          <t>Björn</t>
        </is>
      </c>
      <c r="J725" s="6">
        <f>HYPERLINK("https://www.kleinanzeigen.de/s-bestandsliste.html?userId=64594425", "Link")</f>
        <v/>
      </c>
      <c r="K725" s="7" t="n">
        <v>45555.55665509259</v>
      </c>
      <c r="L725" s="3" t="inlineStr">
        <is>
          <t>253.44</t>
        </is>
      </c>
      <c r="M725" t="inlineStr">
        <is>
          <t>Köln</t>
        </is>
      </c>
    </row>
    <row r="726">
      <c r="A726" t="inlineStr">
        <is>
          <t>SUP Pumpe / FANATIC</t>
        </is>
      </c>
      <c r="B726" s="4" t="n">
        <v>35</v>
      </c>
      <c r="C726" t="inlineStr">
        <is>
          <t>VB</t>
        </is>
      </c>
      <c r="D726" t="inlineStr">
        <is>
          <t>48317 Nordrhein-Westfalen - Drensteinfurt</t>
        </is>
      </c>
      <c r="E726" s="5" t="n">
        <v>45553</v>
      </c>
      <c r="F726" t="inlineStr"/>
      <c r="G726" s="6">
        <f>HYPERLINK("https://www.kleinanzeigen.de/s-anzeige/sup-pumpe-fanatic/2867414730-230-1442", "Link")</f>
        <v/>
      </c>
      <c r="H726" s="6">
        <f>HYPERLINK("C:\Projects\Kleinanzeigen-Scraper\offer_images\2867414730", "Link")</f>
        <v/>
      </c>
      <c r="I726" t="inlineStr">
        <is>
          <t>T  Krieg</t>
        </is>
      </c>
      <c r="J726" s="6">
        <f>HYPERLINK("https://www.kleinanzeigen.de/s-bestandsliste.html?userId=22949298", "Link")</f>
        <v/>
      </c>
      <c r="K726" s="7" t="n">
        <v>45555.55665509259</v>
      </c>
      <c r="L726" s="3" t="inlineStr">
        <is>
          <t>109.63</t>
        </is>
      </c>
      <c r="M726" t="inlineStr">
        <is>
          <t>Köln</t>
        </is>
      </c>
    </row>
    <row r="727">
      <c r="A727" t="inlineStr">
        <is>
          <t>Kampfboot M 328, Kurland Armee, Militär Militaria Goya</t>
        </is>
      </c>
      <c r="B727" s="4" t="n">
        <v>6</v>
      </c>
      <c r="C727" t="inlineStr">
        <is>
          <t>VB</t>
        </is>
      </c>
      <c r="D727" t="inlineStr">
        <is>
          <t>31848 Niedersachsen - Bad Münder am Deister</t>
        </is>
      </c>
      <c r="E727" s="5" t="n">
        <v>45554</v>
      </c>
      <c r="F727" t="inlineStr">
        <is>
          <t>Sold</t>
        </is>
      </c>
      <c r="G727" s="6">
        <f>HYPERLINK("https://www.kleinanzeigen.de/s-anzeige/kampfboot-m-328-kurland-armee-militaer-militaria-goya/2868314429-234-2866", "Link")</f>
        <v/>
      </c>
      <c r="H727" s="6">
        <f>HYPERLINK("C:\Projects\Kleinanzeigen-Scraper\offer_images\2868314429", "Link")</f>
        <v/>
      </c>
      <c r="I727" t="inlineStr">
        <is>
          <t>Bücherwurm</t>
        </is>
      </c>
      <c r="J727" s="6">
        <f>HYPERLINK("https://www.kleinanzeigen.de/s-bestandsliste.html?userId=76163872", "Link")</f>
        <v/>
      </c>
      <c r="K727" s="7" t="n">
        <v>45555.55665509259</v>
      </c>
      <c r="L727" s="3" t="inlineStr">
        <is>
          <t>222.93</t>
        </is>
      </c>
      <c r="M727" t="inlineStr">
        <is>
          <t>Köln</t>
        </is>
      </c>
    </row>
    <row r="728">
      <c r="A728" t="inlineStr">
        <is>
          <t>5 Angelführer North Guiding, Schweden,Island, Bornholm</t>
        </is>
      </c>
      <c r="B728" s="4" t="n">
        <v>30</v>
      </c>
      <c r="C728" t="inlineStr"/>
      <c r="D728" t="inlineStr">
        <is>
          <t>23863 Schleswig-Holstein - Bargfeld-Stegen</t>
        </is>
      </c>
      <c r="E728" s="5" t="n">
        <v>45554</v>
      </c>
      <c r="F728" t="inlineStr"/>
      <c r="G728" s="6">
        <f>HYPERLINK("https://www.kleinanzeigen.de/s-anzeige/5-angelfuehrer-north-guiding-schweden-island-bornholm/2867946297-230-19519", "Link")</f>
        <v/>
      </c>
      <c r="H728" s="6">
        <f>HYPERLINK("C:\Projects\Kleinanzeigen-Scraper\offer_images\2867946297", "Link")</f>
        <v/>
      </c>
      <c r="I728" t="inlineStr">
        <is>
          <t>Privat</t>
        </is>
      </c>
      <c r="J728" s="6">
        <f>HYPERLINK("https://www.kleinanzeigen.de/s-bestandsliste.html?userId=11620851", "Link")</f>
        <v/>
      </c>
      <c r="K728" s="7" t="n">
        <v>45555.55652777778</v>
      </c>
      <c r="L728" s="3" t="inlineStr">
        <is>
          <t>383.95</t>
        </is>
      </c>
      <c r="M728" t="inlineStr">
        <is>
          <t>Köln</t>
        </is>
      </c>
    </row>
    <row r="729">
      <c r="A729" t="inlineStr">
        <is>
          <t>Duotone Dice 11.0 qm 2023</t>
        </is>
      </c>
      <c r="B729" s="4" t="n">
        <v>1.08</v>
      </c>
      <c r="C729" t="inlineStr"/>
      <c r="D729" t="inlineStr">
        <is>
          <t>90451 Nürnberg (Mittelfr) - Aussenstadt-Sued</t>
        </is>
      </c>
      <c r="E729" s="5" t="n">
        <v>45554</v>
      </c>
      <c r="F729" t="inlineStr">
        <is>
          <t>Sold</t>
        </is>
      </c>
      <c r="G729" s="6">
        <f>HYPERLINK("https://www.kleinanzeigen.de/s-anzeige/duotone-dice-11-0-qm-2023/2817154396-230-6836", "Link")</f>
        <v/>
      </c>
      <c r="H729" s="6">
        <f>HYPERLINK("C:\Projects\Kleinanzeigen-Scraper\offer_images\2817154396", "Link")</f>
        <v/>
      </c>
      <c r="I729" t="inlineStr">
        <is>
          <t>No user name</t>
        </is>
      </c>
      <c r="J729" s="6">
        <f>HYPERLINK("https://www.kleinanzeigen.deNo user link", "Link")</f>
        <v/>
      </c>
      <c r="K729" s="7" t="n">
        <v>45555.55650462963</v>
      </c>
      <c r="L729" s="3" t="inlineStr">
        <is>
          <t>145.92</t>
        </is>
      </c>
      <c r="M729" t="inlineStr">
        <is>
          <t>München</t>
        </is>
      </c>
    </row>
    <row r="730">
      <c r="A730" t="inlineStr">
        <is>
          <t>Duotone NEO SLS - 2022 - 5m</t>
        </is>
      </c>
      <c r="B730" s="4" t="n">
        <v>590</v>
      </c>
      <c r="C730" t="inlineStr">
        <is>
          <t>VB</t>
        </is>
      </c>
      <c r="D730" t="inlineStr">
        <is>
          <t>24159 Kiel - Pries-Friedrichsort</t>
        </is>
      </c>
      <c r="E730" s="5" t="n">
        <v>45552</v>
      </c>
      <c r="F730" t="inlineStr">
        <is>
          <t>Sold</t>
        </is>
      </c>
      <c r="G730" s="6">
        <f>HYPERLINK("https://www.kleinanzeigen.de/s-anzeige/duotone-neo-sls-2022-5m/2866118041-230-695", "Link")</f>
        <v/>
      </c>
      <c r="H730" s="6">
        <f>HYPERLINK("C:\Projects\Kleinanzeigen-Scraper\offer_images\2866118041", "Link")</f>
        <v/>
      </c>
      <c r="I730" t="inlineStr">
        <is>
          <t>Claas Behrens</t>
        </is>
      </c>
      <c r="J730" s="6">
        <f>HYPERLINK("https://www.kleinanzeigen.de/s-bestandsliste.html?userId=12343842", "Link")</f>
        <v/>
      </c>
      <c r="K730" s="7" t="n">
        <v>45555.55650462963</v>
      </c>
      <c r="L730" s="3" t="inlineStr">
        <is>
          <t>440.84</t>
        </is>
      </c>
      <c r="M730" t="inlineStr">
        <is>
          <t>Köln</t>
        </is>
      </c>
    </row>
    <row r="731">
      <c r="A731" t="inlineStr">
        <is>
          <t>Windsurf Segelnummer Weiß auf Schwarz -Paar / 2 Stck</t>
        </is>
      </c>
      <c r="B731" s="4" t="n">
        <v>23</v>
      </c>
      <c r="C731" t="inlineStr"/>
      <c r="D731" t="inlineStr">
        <is>
          <t>94315 Bayern - Straubing</t>
        </is>
      </c>
      <c r="E731" s="5" t="n">
        <v>45553</v>
      </c>
      <c r="F731" t="inlineStr"/>
      <c r="G731" s="6">
        <f>HYPERLINK("https://www.kleinanzeigen.de/s-anzeige/windsurf-segelnummer-weiss-auf-schwarz-paar-2-stck/2867254191-298-7337", "Link")</f>
        <v/>
      </c>
      <c r="H731" s="6">
        <f>HYPERLINK("C:\Projects\Kleinanzeigen-Scraper\offer_images\2867254191", "Link")</f>
        <v/>
      </c>
      <c r="I731" t="inlineStr">
        <is>
          <t>R.M.</t>
        </is>
      </c>
      <c r="J731" s="6">
        <f>HYPERLINK("https://www.kleinanzeigen.de/s-bestandsliste.html?userId=12819128", "Link")</f>
        <v/>
      </c>
      <c r="K731" s="7" t="n">
        <v>45555.55645833333</v>
      </c>
      <c r="L731" s="3" t="inlineStr">
        <is>
          <t>110.14</t>
        </is>
      </c>
      <c r="M731" t="inlineStr">
        <is>
          <t>München</t>
        </is>
      </c>
    </row>
    <row r="732">
      <c r="A732" t="inlineStr">
        <is>
          <t>The North Face Wetterschutzhose Männer Gr. 36 Regular</t>
        </is>
      </c>
      <c r="B732" s="4" t="n">
        <v>35</v>
      </c>
      <c r="C732" t="inlineStr"/>
      <c r="D732" t="inlineStr">
        <is>
          <t>48165 Münster (Westfalen) - Hiltrup</t>
        </is>
      </c>
      <c r="E732" s="5" t="n">
        <v>45552</v>
      </c>
      <c r="F732" t="inlineStr">
        <is>
          <t>Sold</t>
        </is>
      </c>
      <c r="G732" s="6">
        <f>HYPERLINK("https://www.kleinanzeigen.de/s-anzeige/the-north-face-wetterschutzhose-maenner-gr-36-regular/2866149630-230-941", "Link")</f>
        <v/>
      </c>
      <c r="H732" s="6">
        <f>HYPERLINK("C:\Projects\Kleinanzeigen-Scraper\offer_images\2866149630", "Link")</f>
        <v/>
      </c>
      <c r="I732" t="inlineStr">
        <is>
          <t>BG</t>
        </is>
      </c>
      <c r="J732" s="6">
        <f>HYPERLINK("https://www.kleinanzeigen.de/s-bestandsliste.html?userId=86100812", "Link")</f>
        <v/>
      </c>
      <c r="K732" s="7" t="n">
        <v>45555.55643518519</v>
      </c>
      <c r="L732" s="3" t="inlineStr">
        <is>
          <t>116.99</t>
        </is>
      </c>
      <c r="M732" t="inlineStr">
        <is>
          <t>Köln</t>
        </is>
      </c>
    </row>
    <row r="733">
      <c r="A733" t="inlineStr">
        <is>
          <t>SAGE Z-Axis Fliegenrute Klasse 7 9ft. Simms Rio</t>
        </is>
      </c>
      <c r="B733" s="4" t="n">
        <v>450</v>
      </c>
      <c r="C733" t="inlineStr">
        <is>
          <t>VB</t>
        </is>
      </c>
      <c r="D733" t="inlineStr">
        <is>
          <t>14770 Brandenburg - Brandenburg an der Havel</t>
        </is>
      </c>
      <c r="E733" s="5" t="n">
        <v>45553</v>
      </c>
      <c r="F733" t="inlineStr">
        <is>
          <t>Sold</t>
        </is>
      </c>
      <c r="G733" s="6">
        <f>HYPERLINK("https://www.kleinanzeigen.de/s-anzeige/sage-z-axis-fliegenrute-klasse-7-9ft-simms-rio/2867628021-187-7739", "Link")</f>
        <v/>
      </c>
      <c r="H733" s="6">
        <f>HYPERLINK("C:\Projects\Kleinanzeigen-Scraper\offer_images\2867628021", "Link")</f>
        <v/>
      </c>
      <c r="I733" t="inlineStr">
        <is>
          <t>Paul</t>
        </is>
      </c>
      <c r="J733" s="6">
        <f>HYPERLINK("https://www.kleinanzeigen.de/s-bestandsliste.html?userId=23023096", "Link")</f>
        <v/>
      </c>
      <c r="K733" s="7" t="n">
        <v>45555.55641203704</v>
      </c>
      <c r="L733" s="3" t="inlineStr">
        <is>
          <t>416.86</t>
        </is>
      </c>
      <c r="M733" t="inlineStr">
        <is>
          <t>Köln</t>
        </is>
      </c>
    </row>
    <row r="734">
      <c r="A734" t="inlineStr">
        <is>
          <t>Windsurf iQ Foil Segelnummer Set für die Klasse „iQFoil“ 7m²</t>
        </is>
      </c>
      <c r="B734" s="4" t="n">
        <v>65</v>
      </c>
      <c r="C734" t="inlineStr"/>
      <c r="D734" t="inlineStr">
        <is>
          <t>94315 Bayern - Straubing</t>
        </is>
      </c>
      <c r="E734" s="5" t="n">
        <v>45553</v>
      </c>
      <c r="F734" t="inlineStr"/>
      <c r="G734" s="6">
        <f>HYPERLINK("https://www.kleinanzeigen.de/s-anzeige/windsurf-iq-foil-segelnummer-set-fuer-die-klasse-iqfoil-7m-/2867261997-298-7337", "Link")</f>
        <v/>
      </c>
      <c r="H734" s="6">
        <f>HYPERLINK("C:\Projects\Kleinanzeigen-Scraper\offer_images\2867261997", "Link")</f>
        <v/>
      </c>
      <c r="I734" t="inlineStr">
        <is>
          <t>R.M.</t>
        </is>
      </c>
      <c r="J734" s="6">
        <f>HYPERLINK("https://www.kleinanzeigen.de/s-bestandsliste.html?userId=12819128", "Link")</f>
        <v/>
      </c>
      <c r="K734" s="7" t="n">
        <v>45555.55637731482</v>
      </c>
      <c r="L734" s="3" t="inlineStr">
        <is>
          <t>110.14</t>
        </is>
      </c>
      <c r="M734" t="inlineStr">
        <is>
          <t>München</t>
        </is>
      </c>
    </row>
    <row r="735">
      <c r="A735" t="inlineStr">
        <is>
          <t>The North Face Wanderrucksack Extreme 55 L</t>
        </is>
      </c>
      <c r="B735" s="4" t="n">
        <v>80</v>
      </c>
      <c r="C735" t="inlineStr"/>
      <c r="D735" t="inlineStr">
        <is>
          <t>67454 Rheinland-Pfalz - Haßloch</t>
        </is>
      </c>
      <c r="E735" s="5" t="n">
        <v>45554</v>
      </c>
      <c r="F735" t="inlineStr"/>
      <c r="G735" s="6">
        <f>HYPERLINK("https://www.kleinanzeigen.de/s-anzeige/the-north-face-wanderrucksack-extreme-55-l/2868378683-230-4966", "Link")</f>
        <v/>
      </c>
      <c r="H735" s="6">
        <f>HYPERLINK("C:\Projects\Kleinanzeigen-Scraper\offer_images\2868378683", "Link")</f>
        <v/>
      </c>
      <c r="I735" t="inlineStr">
        <is>
          <t>Emely</t>
        </is>
      </c>
      <c r="J735" s="6">
        <f>HYPERLINK("https://www.kleinanzeigen.de/s-bestandsliste.html?userId=140286048", "Link")</f>
        <v/>
      </c>
      <c r="K735" s="7" t="n">
        <v>45555.55614583333</v>
      </c>
      <c r="L735" s="3" t="inlineStr">
        <is>
          <t>38.68</t>
        </is>
      </c>
      <c r="M735" t="inlineStr">
        <is>
          <t>Karlsruhe</t>
        </is>
      </c>
    </row>
    <row r="736">
      <c r="A736" t="inlineStr">
        <is>
          <t>Duotone Evo SLS 10 qm, 2023, super  Zustand</t>
        </is>
      </c>
      <c r="B736" s="4" t="n">
        <v>1.1</v>
      </c>
      <c r="C736" t="inlineStr"/>
      <c r="D736" t="inlineStr">
        <is>
          <t>23684 Kreis Ostholstein - Scharbeutz</t>
        </is>
      </c>
      <c r="E736" s="5" t="n">
        <v>45554</v>
      </c>
      <c r="F736" t="inlineStr">
        <is>
          <t>Sold</t>
        </is>
      </c>
      <c r="G736" s="6">
        <f>HYPERLINK("https://www.kleinanzeigen.de/s-anzeige/duotone-evo-sls-10-qm-2023-super-zustand/2868159088-230-436", "Link")</f>
        <v/>
      </c>
      <c r="H736" s="6">
        <f>HYPERLINK("C:\Projects\Kleinanzeigen-Scraper\offer_images\2868159088", "Link")</f>
        <v/>
      </c>
      <c r="I736" t="inlineStr">
        <is>
          <t>Marcus Freter</t>
        </is>
      </c>
      <c r="J736" s="6">
        <f>HYPERLINK("https://www.kleinanzeigen.de/s-bestandsliste.html?userId=2895839", "Link")</f>
        <v/>
      </c>
      <c r="K736" s="7" t="n">
        <v>45555.55612268519</v>
      </c>
      <c r="L736" s="3" t="inlineStr">
        <is>
          <t>427.15</t>
        </is>
      </c>
      <c r="M736" t="inlineStr">
        <is>
          <t>Köln</t>
        </is>
      </c>
    </row>
    <row r="737">
      <c r="A737" t="inlineStr">
        <is>
          <t>Duotone Evo SLS 2023 7QM Blau / Rechnung / 1x genutzt</t>
        </is>
      </c>
      <c r="B737" s="4" t="n">
        <v>999</v>
      </c>
      <c r="C737" t="inlineStr"/>
      <c r="D737" t="inlineStr">
        <is>
          <t>81675 München - Au-Haidhausen</t>
        </is>
      </c>
      <c r="E737" s="5" t="n">
        <v>45553</v>
      </c>
      <c r="F737" t="inlineStr">
        <is>
          <t>Sold</t>
        </is>
      </c>
      <c r="G737" s="6">
        <f>HYPERLINK("https://www.kleinanzeigen.de/s-anzeige/duotone-evo-sls-2023-7qm-blau-rechnung-1x-genutzt/2866915768-230-16346", "Link")</f>
        <v/>
      </c>
      <c r="H737" s="6">
        <f>HYPERLINK("C:\Projects\Kleinanzeigen-Scraper\offer_images\2866915768", "Link")</f>
        <v/>
      </c>
      <c r="I737" t="inlineStr">
        <is>
          <t>Jasmin G.</t>
        </is>
      </c>
      <c r="J737" s="6">
        <f>HYPERLINK("https://www.kleinanzeigen.de/s-bestandsliste.html?userId=27379995", "Link")</f>
        <v/>
      </c>
      <c r="K737" s="7" t="n">
        <v>45555.55606481482</v>
      </c>
      <c r="L737" s="3" t="inlineStr">
        <is>
          <t>2.27</t>
        </is>
      </c>
      <c r="M737" t="inlineStr">
        <is>
          <t>München</t>
        </is>
      </c>
    </row>
    <row r="738">
      <c r="A738" t="inlineStr">
        <is>
          <t>3× North Western Sealey Carp 13ft 3lbs Karpfenruten Rods Angeln</t>
        </is>
      </c>
      <c r="B738" s="4" t="n">
        <v>480</v>
      </c>
      <c r="C738" t="inlineStr"/>
      <c r="D738" t="inlineStr">
        <is>
          <t>48455 Niedersachsen - Bad Bentheim</t>
        </is>
      </c>
      <c r="E738" s="5" t="n">
        <v>45552</v>
      </c>
      <c r="F738" t="inlineStr"/>
      <c r="G738" s="6">
        <f>HYPERLINK("https://www.kleinanzeigen.de/s-anzeige/3-north-western-sealey-carp-13ft-3lbs-karpfenruten-rods-angeln/2038002054-230-2492", "Link")</f>
        <v/>
      </c>
      <c r="H738" s="6">
        <f>HYPERLINK("C:\Projects\Kleinanzeigen-Scraper\offer_images\2038002054", "Link")</f>
        <v/>
      </c>
      <c r="I738" t="inlineStr">
        <is>
          <t>No user name</t>
        </is>
      </c>
      <c r="J738" s="6">
        <f>HYPERLINK("https://www.kleinanzeigen.deNo user link", "Link")</f>
        <v/>
      </c>
      <c r="K738" s="7" t="n">
        <v>45555.55604166666</v>
      </c>
      <c r="L738" s="3" t="inlineStr">
        <is>
          <t>151.42</t>
        </is>
      </c>
      <c r="M738" t="inlineStr">
        <is>
          <t>Köln</t>
        </is>
      </c>
    </row>
    <row r="739">
      <c r="A739" t="inlineStr">
        <is>
          <t>The North Face Snomad 34l Rucksack Freeride</t>
        </is>
      </c>
      <c r="B739" s="4" t="n">
        <v>130</v>
      </c>
      <c r="C739" t="inlineStr">
        <is>
          <t>VB</t>
        </is>
      </c>
      <c r="D739" t="inlineStr">
        <is>
          <t>64625 Hessen - Bensheim</t>
        </is>
      </c>
      <c r="E739" s="5" t="n">
        <v>45554</v>
      </c>
      <c r="F739" t="inlineStr"/>
      <c r="G739" s="6">
        <f>HYPERLINK("https://www.kleinanzeigen.de/s-anzeige/the-north-face-snomad-34l-rucksack-freeride/2867863729-230-4769", "Link")</f>
        <v/>
      </c>
      <c r="H739" s="6">
        <f>HYPERLINK("C:\Projects\Kleinanzeigen-Scraper\offer_images\2867863729", "Link")</f>
        <v/>
      </c>
      <c r="I739" t="inlineStr">
        <is>
          <t>Alexander</t>
        </is>
      </c>
      <c r="J739" s="6">
        <f>HYPERLINK("https://www.kleinanzeigen.de/s-bestandsliste.html?userId=34124958", "Link")</f>
        <v/>
      </c>
      <c r="K739" s="7" t="n">
        <v>45555.55601851852</v>
      </c>
      <c r="L739" s="3" t="inlineStr">
        <is>
          <t>77.54</t>
        </is>
      </c>
      <c r="M739" t="inlineStr">
        <is>
          <t>Karlsruhe</t>
        </is>
      </c>
    </row>
    <row r="740">
      <c r="A740" t="inlineStr">
        <is>
          <t>Ascan star thermo 6 mm surfschuhe Neopren windsurfen Damen 37 38</t>
        </is>
      </c>
      <c r="B740" s="4" t="n">
        <v>15</v>
      </c>
      <c r="C740" t="inlineStr">
        <is>
          <t>VB</t>
        </is>
      </c>
      <c r="D740" t="inlineStr">
        <is>
          <t>47239 Duisburg - Rumeln-Kaldenhausen</t>
        </is>
      </c>
      <c r="E740" s="5" t="n">
        <v>45553</v>
      </c>
      <c r="F740" t="inlineStr">
        <is>
          <t>Sold</t>
        </is>
      </c>
      <c r="G740" s="6">
        <f>HYPERLINK("https://www.kleinanzeigen.de/s-anzeige/ascan-star-thermo-6-mm-surfschuhe-neopren-windsurfen-damen-37-38/2867423915-230-2137", "Link")</f>
        <v/>
      </c>
      <c r="H740" s="6">
        <f>HYPERLINK("C:\Projects\Kleinanzeigen-Scraper\offer_images\2867423915", "Link")</f>
        <v/>
      </c>
      <c r="I740" t="inlineStr">
        <is>
          <t>MB</t>
        </is>
      </c>
      <c r="J740" s="6">
        <f>HYPERLINK("https://www.kleinanzeigen.de/s-bestandsliste.html?userId=1864376", "Link")</f>
        <v/>
      </c>
      <c r="K740" s="7" t="n">
        <v>45555.55597222222</v>
      </c>
      <c r="L740" s="3" t="inlineStr">
        <is>
          <t>54.92</t>
        </is>
      </c>
      <c r="M740" t="inlineStr">
        <is>
          <t>Köln</t>
        </is>
      </c>
    </row>
    <row r="741">
      <c r="A741" t="inlineStr">
        <is>
          <t>Ü-Ei Figuren, Natoons north america</t>
        </is>
      </c>
      <c r="B741" s="4" t="n">
        <v>20</v>
      </c>
      <c r="C741" t="inlineStr">
        <is>
          <t>VB</t>
        </is>
      </c>
      <c r="D741" t="inlineStr">
        <is>
          <t>12249 Berlin - Steglitz</t>
        </is>
      </c>
      <c r="E741" s="5" t="n">
        <v>45553</v>
      </c>
      <c r="F741" t="inlineStr"/>
      <c r="G741" s="6">
        <f>HYPERLINK("https://www.kleinanzeigen.de/s-anzeige/ue-ei-figuren-natoons-north-america/2867060020-234-3423", "Link")</f>
        <v/>
      </c>
      <c r="H741" s="6">
        <f>HYPERLINK("C:\Projects\Kleinanzeigen-Scraper\offer_images\2867060020", "Link")</f>
        <v/>
      </c>
      <c r="I741" t="inlineStr">
        <is>
          <t>Mali</t>
        </is>
      </c>
      <c r="J741" s="6">
        <f>HYPERLINK("https://www.kleinanzeigen.de/s-bestandsliste.html?userId=59689434", "Link")</f>
        <v/>
      </c>
      <c r="K741" s="7" t="n">
        <v>45555.55594907407</v>
      </c>
      <c r="L741" s="3" t="inlineStr">
        <is>
          <t>470.75</t>
        </is>
      </c>
      <c r="M741" t="inlineStr">
        <is>
          <t>Köln</t>
        </is>
      </c>
    </row>
    <row r="742">
      <c r="A742" t="inlineStr">
        <is>
          <t>Duotone Evo Dlab 12qm</t>
        </is>
      </c>
      <c r="B742" s="4" t="n">
        <v>1.89</v>
      </c>
      <c r="C742" t="inlineStr">
        <is>
          <t>VB</t>
        </is>
      </c>
      <c r="D742" t="inlineStr">
        <is>
          <t>24340 Schleswig-Holstein - Windeby</t>
        </is>
      </c>
      <c r="E742" s="5" t="n">
        <v>45553</v>
      </c>
      <c r="F742" t="inlineStr">
        <is>
          <t>Sold</t>
        </is>
      </c>
      <c r="G742" s="6">
        <f>HYPERLINK("https://www.kleinanzeigen.de/s-anzeige/duotone-evo-dlab-12qm/2867621350-230-509", "Link")</f>
        <v/>
      </c>
      <c r="H742" s="6">
        <f>HYPERLINK("C:\Projects\Kleinanzeigen-Scraper\offer_images\2867621350", "Link")</f>
        <v/>
      </c>
      <c r="I742" t="inlineStr">
        <is>
          <t>Jens Dürkop</t>
        </is>
      </c>
      <c r="J742" s="6">
        <f>HYPERLINK("https://www.kleinanzeigen.de/s-bestandsliste.html?userId=12812625", "Link")</f>
        <v/>
      </c>
      <c r="K742" s="7" t="n">
        <v>45555.55594907407</v>
      </c>
      <c r="L742" s="3" t="inlineStr">
        <is>
          <t>434.69</t>
        </is>
      </c>
      <c r="M742" t="inlineStr">
        <is>
          <t>Köln</t>
        </is>
      </c>
    </row>
    <row r="743">
      <c r="A743" t="inlineStr">
        <is>
          <t>Duotone Rebel SLS 9qm 2024</t>
        </is>
      </c>
      <c r="B743" s="4" t="n">
        <v>1.37</v>
      </c>
      <c r="C743" t="inlineStr">
        <is>
          <t>VB</t>
        </is>
      </c>
      <c r="D743" t="inlineStr">
        <is>
          <t>21423 Niedersachsen - Winsen (Luhe)</t>
        </is>
      </c>
      <c r="E743" s="5" t="n">
        <v>45555</v>
      </c>
      <c r="F743" t="inlineStr">
        <is>
          <t>Sold</t>
        </is>
      </c>
      <c r="G743" s="6">
        <f>HYPERLINK("https://www.kleinanzeigen.de/s-anzeige/duotone-rebel-sls-9qm-2024/2842409015-230-3223", "Link")</f>
        <v/>
      </c>
      <c r="H743" s="6">
        <f>HYPERLINK("C:\Projects\Kleinanzeigen-Scraper\offer_images\2842409015", "Link")</f>
        <v/>
      </c>
      <c r="I743" t="inlineStr">
        <is>
          <t>No user name</t>
        </is>
      </c>
      <c r="J743" s="6">
        <f>HYPERLINK("https://www.kleinanzeigen.deNo user link", "Link")</f>
        <v/>
      </c>
      <c r="K743" s="7" t="n">
        <v>45555.55594907407</v>
      </c>
      <c r="L743" s="3" t="inlineStr">
        <is>
          <t>349.14</t>
        </is>
      </c>
      <c r="M743" t="inlineStr">
        <is>
          <t>Köln</t>
        </is>
      </c>
    </row>
    <row r="744">
      <c r="A744" t="inlineStr">
        <is>
          <t>Fanatic  Carbon Paddel</t>
        </is>
      </c>
      <c r="B744" s="4" t="n">
        <v>100</v>
      </c>
      <c r="C744" t="inlineStr">
        <is>
          <t>VB</t>
        </is>
      </c>
      <c r="D744" t="inlineStr">
        <is>
          <t>20249 Hamburg-Nord - Hamburg Eppendorf</t>
        </is>
      </c>
      <c r="E744" s="5" t="n">
        <v>45538</v>
      </c>
      <c r="F744" t="inlineStr">
        <is>
          <t>Sold</t>
        </is>
      </c>
      <c r="G744" s="6">
        <f>HYPERLINK("https://www.kleinanzeigen.de/s-anzeige/fanatic-carbon-paddel/2853412783-230-9476", "Link")</f>
        <v/>
      </c>
      <c r="H744" s="6">
        <f>HYPERLINK("C:\Projects\Kleinanzeigen-Scraper\offer_images\2853412783", "Link")</f>
        <v/>
      </c>
      <c r="I744" t="inlineStr">
        <is>
          <t>Lucas</t>
        </is>
      </c>
      <c r="J744" s="6">
        <f>HYPERLINK("https://www.kleinanzeigen.de/s-bestandsliste.html?userId=28819252", "Link")</f>
        <v/>
      </c>
      <c r="K744" s="7" t="n">
        <v>45555.55590277778</v>
      </c>
      <c r="L744" s="3" t="inlineStr">
        <is>
          <t>359.93</t>
        </is>
      </c>
      <c r="M744" t="inlineStr">
        <is>
          <t>Köln</t>
        </is>
      </c>
    </row>
    <row r="745">
      <c r="A745" t="inlineStr">
        <is>
          <t>Windsurf iQ Foil Junior Segelnummer Set nach Klassenvorgabe 6,0m²</t>
        </is>
      </c>
      <c r="B745" s="4" t="n">
        <v>30</v>
      </c>
      <c r="C745" t="inlineStr"/>
      <c r="D745" t="inlineStr">
        <is>
          <t>94315 Bayern - Straubing</t>
        </is>
      </c>
      <c r="E745" s="5" t="n">
        <v>45553</v>
      </c>
      <c r="F745" t="inlineStr"/>
      <c r="G745" s="6">
        <f>HYPERLINK("https://www.kleinanzeigen.de/s-anzeige/windsurf-iq-foil-junior-segelnummer-set-nach-klassenvorgabe-6-0m-/2867260570-298-7337", "Link")</f>
        <v/>
      </c>
      <c r="H745" s="6">
        <f>HYPERLINK("C:\Projects\Kleinanzeigen-Scraper\offer_images\2867260570", "Link")</f>
        <v/>
      </c>
      <c r="I745" t="inlineStr">
        <is>
          <t>R.M.</t>
        </is>
      </c>
      <c r="J745" s="6">
        <f>HYPERLINK("https://www.kleinanzeigen.de/s-bestandsliste.html?userId=12819128", "Link")</f>
        <v/>
      </c>
      <c r="K745" s="7" t="n">
        <v>45555.55586805556</v>
      </c>
      <c r="L745" s="3" t="inlineStr">
        <is>
          <t>110.14</t>
        </is>
      </c>
      <c r="M745" t="inlineStr">
        <is>
          <t>München</t>
        </is>
      </c>
    </row>
    <row r="746">
      <c r="A746" t="inlineStr">
        <is>
          <t>Isabella Vorzelt Capri North 975/G18</t>
        </is>
      </c>
      <c r="B746" s="4" t="n">
        <v>1.3</v>
      </c>
      <c r="C746" t="inlineStr">
        <is>
          <t>VB</t>
        </is>
      </c>
      <c r="D746" t="inlineStr">
        <is>
          <t>41460 Nordrhein-Westfalen - Neuss</t>
        </is>
      </c>
      <c r="E746" s="5" t="n">
        <v>45552</v>
      </c>
      <c r="F746" t="inlineStr">
        <is>
          <t>Sold</t>
        </is>
      </c>
      <c r="G746" s="6">
        <f>HYPERLINK("https://www.kleinanzeigen.de/s-anzeige/isabella-vorzelt-capri-north-975-g18/2866137242-230-2110", "Link")</f>
        <v/>
      </c>
      <c r="H746" s="6">
        <f>HYPERLINK("C:\Projects\Kleinanzeigen-Scraper\offer_images\2866137242", "Link")</f>
        <v/>
      </c>
      <c r="I746" t="inlineStr">
        <is>
          <t>Natalie Beckers</t>
        </is>
      </c>
      <c r="J746" s="6">
        <f>HYPERLINK("https://www.kleinanzeigen.de/s-bestandsliste.html?userId=12758858", "Link")</f>
        <v/>
      </c>
      <c r="K746" s="7" t="n">
        <v>45555.55584490741</v>
      </c>
      <c r="L746" s="3" t="inlineStr">
        <is>
          <t>34.54</t>
        </is>
      </c>
      <c r="M746" t="inlineStr">
        <is>
          <t>Köln</t>
        </is>
      </c>
    </row>
    <row r="747">
      <c r="A747" t="inlineStr">
        <is>
          <t>Windsurf Ion Board Bug Nose Protektor</t>
        </is>
      </c>
      <c r="B747" s="4" t="n">
        <v>40</v>
      </c>
      <c r="C747" t="inlineStr"/>
      <c r="D747" t="inlineStr">
        <is>
          <t>71263 Baden-Württemberg - Weil der Stadt</t>
        </is>
      </c>
      <c r="E747" s="5" t="n">
        <v>45555</v>
      </c>
      <c r="F747" t="inlineStr"/>
      <c r="G747" s="6">
        <f>HYPERLINK("https://www.kleinanzeigen.de/s-anzeige/windsurf-ion-board-bug-nose-protektor/2868590963-230-8404", "Link")</f>
        <v/>
      </c>
      <c r="H747" s="6">
        <f>HYPERLINK("C:\Projects\Kleinanzeigen-Scraper\offer_images\2868590963", "Link")</f>
        <v/>
      </c>
      <c r="I747" t="inlineStr">
        <is>
          <t>Matteo</t>
        </is>
      </c>
      <c r="J747" s="6">
        <f>HYPERLINK("https://www.kleinanzeigen.de/s-bestandsliste.html?userId=67330044", "Link")</f>
        <v/>
      </c>
      <c r="K747" s="7" t="n">
        <v>45555.55583333333</v>
      </c>
      <c r="L747" s="3" t="inlineStr">
        <is>
          <t>12.30</t>
        </is>
      </c>
      <c r="M747" t="inlineStr">
        <is>
          <t>Böblingen</t>
        </is>
      </c>
    </row>
    <row r="748">
      <c r="A748" t="inlineStr">
        <is>
          <t>North EVO 12 QM inkl. Bar</t>
        </is>
      </c>
      <c r="B748" s="4" t="n">
        <v>299</v>
      </c>
      <c r="C748" t="inlineStr">
        <is>
          <t>VB</t>
        </is>
      </c>
      <c r="D748" t="inlineStr">
        <is>
          <t>26847 Niedersachsen - Detern</t>
        </is>
      </c>
      <c r="E748" s="5" t="n">
        <v>45552</v>
      </c>
      <c r="F748" t="inlineStr"/>
      <c r="G748" s="6">
        <f>HYPERLINK("https://www.kleinanzeigen.de/s-anzeige/north-evo-12-qm-inkl-bar/2866055966-230-2764", "Link")</f>
        <v/>
      </c>
      <c r="H748" s="6">
        <f>HYPERLINK("C:\Projects\Kleinanzeigen-Scraper\offer_images\2866055966", "Link")</f>
        <v/>
      </c>
      <c r="I748" t="inlineStr">
        <is>
          <t>Privat</t>
        </is>
      </c>
      <c r="J748" s="6">
        <f>HYPERLINK("https://www.kleinanzeigen.de/s-bestandsliste.html?userId=13368011", "Link")</f>
        <v/>
      </c>
      <c r="K748" s="7" t="n">
        <v>45555.55570601852</v>
      </c>
      <c r="L748" s="3" t="inlineStr">
        <is>
          <t>257.59</t>
        </is>
      </c>
      <c r="M748" t="inlineStr">
        <is>
          <t>Köln</t>
        </is>
      </c>
    </row>
    <row r="749">
      <c r="A749" t="inlineStr">
        <is>
          <t>Windsurf iQ Foil Segelnummer Set für die Klasse „iQFoil“ 8m²</t>
        </is>
      </c>
      <c r="B749" s="4" t="n">
        <v>70</v>
      </c>
      <c r="C749" t="inlineStr"/>
      <c r="D749" t="inlineStr">
        <is>
          <t>94315 Bayern - Straubing</t>
        </is>
      </c>
      <c r="E749" s="5" t="n">
        <v>45553</v>
      </c>
      <c r="F749" t="inlineStr"/>
      <c r="G749" s="6">
        <f>HYPERLINK("https://www.kleinanzeigen.de/s-anzeige/windsurf-iq-foil-segelnummer-set-fuer-die-klasse-iqfoil-8m-/2867265293-298-7337", "Link")</f>
        <v/>
      </c>
      <c r="H749" s="6">
        <f>HYPERLINK("C:\Projects\Kleinanzeigen-Scraper\offer_images\2867265293", "Link")</f>
        <v/>
      </c>
      <c r="I749" t="inlineStr">
        <is>
          <t>R.M.</t>
        </is>
      </c>
      <c r="J749" s="6">
        <f>HYPERLINK("https://www.kleinanzeigen.de/s-bestandsliste.html?userId=12819128", "Link")</f>
        <v/>
      </c>
      <c r="K749" s="7" t="n">
        <v>45555.55569444445</v>
      </c>
      <c r="L749" s="3" t="inlineStr">
        <is>
          <t>110.14</t>
        </is>
      </c>
      <c r="M749" t="inlineStr">
        <is>
          <t>München</t>
        </is>
      </c>
    </row>
    <row r="750">
      <c r="A750" t="inlineStr">
        <is>
          <t>SAGE ZXL Fliegenrute Klasse 4 8,6 ft Rio Simms</t>
        </is>
      </c>
      <c r="B750" s="4" t="n">
        <v>400</v>
      </c>
      <c r="C750" t="inlineStr">
        <is>
          <t>VB</t>
        </is>
      </c>
      <c r="D750" t="inlineStr">
        <is>
          <t>14770 Brandenburg - Brandenburg an der Havel</t>
        </is>
      </c>
      <c r="E750" s="5" t="n">
        <v>45553</v>
      </c>
      <c r="F750" t="inlineStr"/>
      <c r="G750" s="6">
        <f>HYPERLINK("https://www.kleinanzeigen.de/s-anzeige/sage-zxl-fliegenrute-klasse-4-8-6-ft-rio-simms/2867635036-187-7739", "Link")</f>
        <v/>
      </c>
      <c r="H750" s="6">
        <f>HYPERLINK("C:\Projects\Kleinanzeigen-Scraper\offer_images\2867635036", "Link")</f>
        <v/>
      </c>
      <c r="I750" t="inlineStr">
        <is>
          <t>Paul</t>
        </is>
      </c>
      <c r="J750" s="6">
        <f>HYPERLINK("https://www.kleinanzeigen.de/s-bestandsliste.html?userId=23023096", "Link")</f>
        <v/>
      </c>
      <c r="K750" s="7" t="n">
        <v>45555.55561342592</v>
      </c>
      <c r="L750" s="3" t="inlineStr">
        <is>
          <t>416.86</t>
        </is>
      </c>
      <c r="M750" t="inlineStr">
        <is>
          <t>Köln</t>
        </is>
      </c>
    </row>
    <row r="751">
      <c r="A751" t="inlineStr">
        <is>
          <t>Neil Pryde Windsurf foil</t>
        </is>
      </c>
      <c r="B751" s="4" t="n">
        <v>390</v>
      </c>
      <c r="C751" t="inlineStr">
        <is>
          <t>VB</t>
        </is>
      </c>
      <c r="D751" t="inlineStr">
        <is>
          <t>96135 Bayern - Stegaurach</t>
        </is>
      </c>
      <c r="E751" s="5" t="n">
        <v>45554</v>
      </c>
      <c r="F751" t="inlineStr">
        <is>
          <t>Sold</t>
        </is>
      </c>
      <c r="G751" s="6">
        <f>HYPERLINK("https://www.kleinanzeigen.de/s-anzeige/neil-pryde-windsurf-foil/2868242855-230-6902", "Link")</f>
        <v/>
      </c>
      <c r="H751" s="6">
        <f>HYPERLINK("C:\Projects\Kleinanzeigen-Scraper\offer_images\2868242855", "Link")</f>
        <v/>
      </c>
      <c r="I751" t="inlineStr">
        <is>
          <t>Gunther Heinlein</t>
        </is>
      </c>
      <c r="J751" s="6">
        <f>HYPERLINK("https://www.kleinanzeigen.de/s-bestandsliste.html?userId=12034373", "Link")</f>
        <v/>
      </c>
      <c r="K751" s="7" t="n">
        <v>45555.55560185185</v>
      </c>
      <c r="L751" s="3" t="inlineStr">
        <is>
          <t>188.64</t>
        </is>
      </c>
      <c r="M751" t="inlineStr">
        <is>
          <t>Böblingen</t>
        </is>
      </c>
    </row>
    <row r="752">
      <c r="A752" t="inlineStr">
        <is>
          <t>Starboard S-Type 1500 QL II</t>
        </is>
      </c>
      <c r="B752" s="4" t="n">
        <v>270</v>
      </c>
      <c r="C752" t="inlineStr">
        <is>
          <t>VB</t>
        </is>
      </c>
      <c r="D752" t="inlineStr">
        <is>
          <t>32107 Nordrhein-Westfalen - Bad Salzuflen</t>
        </is>
      </c>
      <c r="E752" s="5" t="n">
        <v>45525</v>
      </c>
      <c r="F752" t="inlineStr"/>
      <c r="G752" s="6">
        <f>HYPERLINK("https://www.kleinanzeigen.de/s-anzeige/starboard-s-type-1500-ql-ii/2842302538-230-1901", "Link")</f>
        <v/>
      </c>
      <c r="H752" s="6">
        <f>HYPERLINK("C:\Projects\Kleinanzeigen-Scraper\offer_images\2842302538", "Link")</f>
        <v/>
      </c>
      <c r="I752" t="inlineStr">
        <is>
          <t>Lohaus</t>
        </is>
      </c>
      <c r="J752" s="6">
        <f>HYPERLINK("https://www.kleinanzeigen.de/s-bestandsliste.html?userId=1626544", "Link")</f>
        <v/>
      </c>
      <c r="K752" s="7" t="n">
        <v>45555.55555555555</v>
      </c>
      <c r="L752" s="3" t="inlineStr">
        <is>
          <t>174.34</t>
        </is>
      </c>
      <c r="M752" t="inlineStr">
        <is>
          <t>Köln</t>
        </is>
      </c>
    </row>
    <row r="753">
      <c r="A753" t="inlineStr">
        <is>
          <t>Duotone Evo SLS 12 qm, 2023, sehr wenig geflogen</t>
        </is>
      </c>
      <c r="B753" s="4" t="n">
        <v>1.2</v>
      </c>
      <c r="C753" t="inlineStr"/>
      <c r="D753" t="inlineStr">
        <is>
          <t>23684 Kreis Ostholstein - Scharbeutz</t>
        </is>
      </c>
      <c r="E753" s="5" t="n">
        <v>45554</v>
      </c>
      <c r="F753" t="inlineStr">
        <is>
          <t>Sold</t>
        </is>
      </c>
      <c r="G753" s="6">
        <f>HYPERLINK("https://www.kleinanzeigen.de/s-anzeige/duotone-evo-sls-12-qm-2023-sehr-wenig-geflogen/2868072169-230-436", "Link")</f>
        <v/>
      </c>
      <c r="H753" s="6">
        <f>HYPERLINK("C:\Projects\Kleinanzeigen-Scraper\offer_images\2868072169", "Link")</f>
        <v/>
      </c>
      <c r="I753" t="inlineStr">
        <is>
          <t>Marcus Freter</t>
        </is>
      </c>
      <c r="J753" s="6">
        <f>HYPERLINK("https://www.kleinanzeigen.de/s-bestandsliste.html?userId=2895839", "Link")</f>
        <v/>
      </c>
      <c r="K753" s="7" t="n">
        <v>45555.55553240741</v>
      </c>
      <c r="L753" s="3" t="inlineStr">
        <is>
          <t>427.15</t>
        </is>
      </c>
      <c r="M753" t="inlineStr">
        <is>
          <t>Köln</t>
        </is>
      </c>
    </row>
    <row r="754">
      <c r="A754" t="inlineStr">
        <is>
          <t>Duotone Foil Speedster GT Combo inkl. 90er Mast</t>
        </is>
      </c>
      <c r="B754" s="4" t="n">
        <v>320</v>
      </c>
      <c r="C754" t="inlineStr">
        <is>
          <t>VB</t>
        </is>
      </c>
      <c r="D754" t="inlineStr">
        <is>
          <t>83250 Bayern - Marquartstein</t>
        </is>
      </c>
      <c r="E754" s="5" t="n">
        <v>45551</v>
      </c>
      <c r="F754" t="inlineStr">
        <is>
          <t>Sold</t>
        </is>
      </c>
      <c r="G754" s="6">
        <f>HYPERLINK("https://www.kleinanzeigen.de/s-anzeige/duotone-foil-speedster-gt-combo-inkl-90er-mast/2865568977-230-5736", "Link")</f>
        <v/>
      </c>
      <c r="H754" s="6">
        <f>HYPERLINK("C:\Projects\Kleinanzeigen-Scraper\offer_images\2865568977", "Link")</f>
        <v/>
      </c>
      <c r="I754" t="inlineStr">
        <is>
          <t>Maximilian</t>
        </is>
      </c>
      <c r="J754" s="6">
        <f>HYPERLINK("https://www.kleinanzeigen.de/s-bestandsliste.html?userId=7925699", "Link")</f>
        <v/>
      </c>
      <c r="K754" s="7" t="n">
        <v>45555.55552083333</v>
      </c>
      <c r="L754" s="3" t="inlineStr">
        <is>
          <t>78.42</t>
        </is>
      </c>
      <c r="M754" t="inlineStr">
        <is>
          <t>München</t>
        </is>
      </c>
    </row>
    <row r="755">
      <c r="A755" t="inlineStr">
        <is>
          <t>Trapezhose North Sails gebraucht</t>
        </is>
      </c>
      <c r="B755" s="4" t="n">
        <v>10</v>
      </c>
      <c r="C755" t="inlineStr"/>
      <c r="D755" t="inlineStr">
        <is>
          <t>37431 Niedersachsen - Bad Lauterberg im Harz</t>
        </is>
      </c>
      <c r="E755" s="5" t="n">
        <v>45553</v>
      </c>
      <c r="F755" t="inlineStr"/>
      <c r="G755" s="6">
        <f>HYPERLINK("https://www.kleinanzeigen.de/s-anzeige/trapezhose-north-sails-gebraucht/2866883973-230-2802", "Link")</f>
        <v/>
      </c>
      <c r="H755" s="6">
        <f>HYPERLINK("C:\Projects\Kleinanzeigen-Scraper\offer_images\2866883973", "Link")</f>
        <v/>
      </c>
      <c r="I755" t="inlineStr">
        <is>
          <t>Jonny</t>
        </is>
      </c>
      <c r="J755" s="6">
        <f>HYPERLINK("https://www.kleinanzeigen.de/s-bestandsliste.html?userId=76923132", "Link")</f>
        <v/>
      </c>
      <c r="K755" s="7" t="n">
        <v>45555.55550925926</v>
      </c>
      <c r="L755" s="3" t="inlineStr">
        <is>
          <t>253.41</t>
        </is>
      </c>
      <c r="M755" t="inlineStr">
        <is>
          <t>Köln</t>
        </is>
      </c>
    </row>
    <row r="756">
      <c r="A756" t="inlineStr">
        <is>
          <t>Neilpryde Glide Hp13 inkl PB Adapter Foil</t>
        </is>
      </c>
      <c r="B756" s="4" t="n">
        <v>350</v>
      </c>
      <c r="C756" t="inlineStr">
        <is>
          <t>VB</t>
        </is>
      </c>
      <c r="D756" t="inlineStr">
        <is>
          <t>54296 Rheinland-Pfalz - Trier</t>
        </is>
      </c>
      <c r="E756" s="5" t="n">
        <v>45555</v>
      </c>
      <c r="F756" t="inlineStr"/>
      <c r="G756" s="6">
        <f>HYPERLINK("https://www.kleinanzeigen.de/s-anzeige/neilpryde-glide-hp13-inkl-pb-adapter-foil/2868811792-230-5449", "Link")</f>
        <v/>
      </c>
      <c r="H756" s="6">
        <f>HYPERLINK("C:\Projects\Kleinanzeigen-Scraper\offer_images\2868811792", "Link")</f>
        <v/>
      </c>
      <c r="I756" t="inlineStr">
        <is>
          <t>Jacek Klopotek</t>
        </is>
      </c>
      <c r="J756" s="6">
        <f>HYPERLINK("https://www.kleinanzeigen.de/s-bestandsliste.html?userId=32842651", "Link")</f>
        <v/>
      </c>
      <c r="K756" s="7" t="n">
        <v>45555.55549768519</v>
      </c>
      <c r="L756" s="3" t="inlineStr">
        <is>
          <t>135.90</t>
        </is>
      </c>
      <c r="M756" t="inlineStr">
        <is>
          <t>Köln</t>
        </is>
      </c>
    </row>
    <row r="757">
      <c r="A757" t="inlineStr">
        <is>
          <t>Exclusive Windsurf Segelnummer 3-Farbig</t>
        </is>
      </c>
      <c r="B757" s="4" t="n">
        <v>26</v>
      </c>
      <c r="C757" t="inlineStr"/>
      <c r="D757" t="inlineStr">
        <is>
          <t>94315 Bayern - Straubing</t>
        </is>
      </c>
      <c r="E757" s="5" t="n">
        <v>45553</v>
      </c>
      <c r="F757" t="inlineStr"/>
      <c r="G757" s="6">
        <f>HYPERLINK("https://www.kleinanzeigen.de/s-anzeige/exclusive-windsurf-segelnummer-3-farbig/2867258647-298-7337", "Link")</f>
        <v/>
      </c>
      <c r="H757" s="6">
        <f>HYPERLINK("C:\Projects\Kleinanzeigen-Scraper\offer_images\2867258647", "Link")</f>
        <v/>
      </c>
      <c r="I757" t="inlineStr">
        <is>
          <t>R.M.</t>
        </is>
      </c>
      <c r="J757" s="6">
        <f>HYPERLINK("https://www.kleinanzeigen.de/s-bestandsliste.html?userId=12819128", "Link")</f>
        <v/>
      </c>
      <c r="K757" s="7" t="n">
        <v>45555.55549768519</v>
      </c>
      <c r="L757" s="3" t="inlineStr">
        <is>
          <t>110.14</t>
        </is>
      </c>
      <c r="M757" t="inlineStr">
        <is>
          <t>München</t>
        </is>
      </c>
    </row>
    <row r="758">
      <c r="A758" t="inlineStr">
        <is>
          <t>Windsurf Boardbag 245 x 65</t>
        </is>
      </c>
      <c r="B758" s="4" t="n">
        <v>60</v>
      </c>
      <c r="C758" t="inlineStr"/>
      <c r="D758" t="inlineStr">
        <is>
          <t>21075 Harburg - Hamburg Heimfeld</t>
        </is>
      </c>
      <c r="E758" s="5" t="n">
        <v>45553</v>
      </c>
      <c r="F758" t="inlineStr"/>
      <c r="G758" s="6">
        <f>HYPERLINK("https://www.kleinanzeigen.de/s-anzeige/windsurf-boardbag-245-x-65/2867357644-230-16405", "Link")</f>
        <v/>
      </c>
      <c r="H758" s="6">
        <f>HYPERLINK("C:\Projects\Kleinanzeigen-Scraper\offer_images\2867357644", "Link")</f>
        <v/>
      </c>
      <c r="I758" t="inlineStr">
        <is>
          <t>Emma</t>
        </is>
      </c>
      <c r="J758" s="6">
        <f>HYPERLINK("https://www.kleinanzeigen.de/s-bestandsliste.html?userId=131894757", "Link")</f>
        <v/>
      </c>
      <c r="K758" s="7" t="n">
        <v>45555.55545138889</v>
      </c>
      <c r="L758" s="3" t="inlineStr">
        <is>
          <t>345.92</t>
        </is>
      </c>
      <c r="M758" t="inlineStr">
        <is>
          <t>Köln</t>
        </is>
      </c>
    </row>
    <row r="759">
      <c r="A759" t="inlineStr">
        <is>
          <t>NORTH Pioneer Trampolin REDUZIERT</t>
        </is>
      </c>
      <c r="B759" s="4" t="n">
        <v>220</v>
      </c>
      <c r="C759" t="inlineStr"/>
      <c r="D759" t="inlineStr">
        <is>
          <t>78183 Baden-Württemberg - Hüfingen</t>
        </is>
      </c>
      <c r="E759" s="5" t="n">
        <v>45566</v>
      </c>
      <c r="F759" t="inlineStr"/>
      <c r="G759" s="6">
        <f>HYPERLINK("https://www.kleinanzeigen.de/s-anzeige/north-pioneer-trampolin-reduziert/2868530571-230-8859", "Link")</f>
        <v/>
      </c>
      <c r="H759" s="6">
        <f>HYPERLINK("C:\Projects\Kleinanzeigen-Scraper\offer_images\2868530571", "Link")</f>
        <v/>
      </c>
      <c r="I759" t="inlineStr">
        <is>
          <t>Merz</t>
        </is>
      </c>
      <c r="J759" s="6">
        <f>HYPERLINK("https://www.kleinanzeigen.de/s-bestandsliste.html?userId=122103856", "Link")</f>
        <v/>
      </c>
      <c r="K759" s="7" t="n">
        <v>45555.55542824074</v>
      </c>
      <c r="L759" s="3" t="inlineStr">
        <is>
          <t>16.39</t>
        </is>
      </c>
      <c r="M759" t="inlineStr">
        <is>
          <t>Bonndorf</t>
        </is>
      </c>
    </row>
    <row r="760">
      <c r="A760" t="inlineStr">
        <is>
          <t>Duotone Aero Glide 725 SLS</t>
        </is>
      </c>
      <c r="B760" s="4" t="n">
        <v>310</v>
      </c>
      <c r="C760" t="inlineStr"/>
      <c r="D760" t="inlineStr">
        <is>
          <t>83083 Bayern - Riedering</t>
        </is>
      </c>
      <c r="E760" s="5" t="n">
        <v>45554</v>
      </c>
      <c r="F760" t="inlineStr">
        <is>
          <t>Sold</t>
        </is>
      </c>
      <c r="G760" s="6">
        <f>HYPERLINK("https://www.kleinanzeigen.de/s-anzeige/duotone-aero-glide-725-sls/2868004787-230-7583", "Link")</f>
        <v/>
      </c>
      <c r="H760" s="6">
        <f>HYPERLINK("C:\Projects\Kleinanzeigen-Scraper\offer_images\2868004787", "Link")</f>
        <v/>
      </c>
      <c r="I760" t="inlineStr">
        <is>
          <t>Maik Stoltefaut</t>
        </is>
      </c>
      <c r="J760" s="6">
        <f>HYPERLINK("https://www.kleinanzeigen.de/s-bestandsliste.html?userId=24074172", "Link")</f>
        <v/>
      </c>
      <c r="K760" s="7" t="n">
        <v>45555.55540509259</v>
      </c>
      <c r="L760" s="3" t="inlineStr">
        <is>
          <t>59.00</t>
        </is>
      </c>
      <c r="M760" t="inlineStr">
        <is>
          <t>München</t>
        </is>
      </c>
    </row>
    <row r="761">
      <c r="A761" t="inlineStr">
        <is>
          <t>The North Face Wanderhose Trekkinghose blau</t>
        </is>
      </c>
      <c r="B761" s="4" t="n">
        <v>50</v>
      </c>
      <c r="C761" t="inlineStr">
        <is>
          <t>VB</t>
        </is>
      </c>
      <c r="D761" t="inlineStr">
        <is>
          <t>90482 Nürnberg (Mittelfr) - Oststadt</t>
        </is>
      </c>
      <c r="E761" s="5" t="n">
        <v>45552</v>
      </c>
      <c r="F761" t="inlineStr"/>
      <c r="G761" s="6">
        <f>HYPERLINK("https://www.kleinanzeigen.de/s-anzeige/the-north-face-wanderhose-trekkinghose-blau/2866726975-230-6819", "Link")</f>
        <v/>
      </c>
      <c r="H761" s="6">
        <f>HYPERLINK("C:\Projects\Kleinanzeigen-Scraper\offer_images\2866726975", "Link")</f>
        <v/>
      </c>
      <c r="I761" t="inlineStr">
        <is>
          <t>Jenny</t>
        </is>
      </c>
      <c r="J761" s="6">
        <f>HYPERLINK("https://www.kleinanzeigen.de/s-bestandsliste.html?userId=128924579", "Link")</f>
        <v/>
      </c>
      <c r="K761" s="7" t="n">
        <v>45555.55535879629</v>
      </c>
      <c r="L761" s="3" t="inlineStr">
        <is>
          <t>151.30</t>
        </is>
      </c>
      <c r="M761" t="inlineStr">
        <is>
          <t>München</t>
        </is>
      </c>
    </row>
    <row r="762">
      <c r="A762" t="inlineStr">
        <is>
          <t>The North Face Summit Verbier GTX Bib, Pants, schwarz, Größe L</t>
        </is>
      </c>
      <c r="B762" s="4" t="n">
        <v>310</v>
      </c>
      <c r="C762" t="inlineStr">
        <is>
          <t>VB</t>
        </is>
      </c>
      <c r="D762" t="inlineStr">
        <is>
          <t>80799 München - Maxvorstadt</t>
        </is>
      </c>
      <c r="E762" s="5" t="n">
        <v>45554</v>
      </c>
      <c r="F762" t="inlineStr">
        <is>
          <t>Sold</t>
        </is>
      </c>
      <c r="G762" s="6">
        <f>HYPERLINK("https://www.kleinanzeigen.de/s-anzeige/the-north-face-summit-verbier-gtx-bib-pants-schwarz-groesse-l/2867849092-230-16355", "Link")</f>
        <v/>
      </c>
      <c r="H762" s="6">
        <f>HYPERLINK("C:\Projects\Kleinanzeigen-Scraper\offer_images\2867849092", "Link")</f>
        <v/>
      </c>
      <c r="I762" t="inlineStr">
        <is>
          <t>Jonas</t>
        </is>
      </c>
      <c r="J762" s="6">
        <f>HYPERLINK("https://www.kleinanzeigen.de/s-bestandsliste.html?userId=43242581", "Link")</f>
        <v/>
      </c>
      <c r="K762" s="7" t="n">
        <v>45555.55521990741</v>
      </c>
      <c r="L762" s="3" t="inlineStr">
        <is>
          <t>1.66</t>
        </is>
      </c>
      <c r="M762" t="inlineStr">
        <is>
          <t>München</t>
        </is>
      </c>
    </row>
    <row r="763">
      <c r="A763" t="inlineStr">
        <is>
          <t>North Face Kinder skijacke doppeljacke 128 gelb</t>
        </is>
      </c>
      <c r="B763" s="4" t="n">
        <v>19</v>
      </c>
      <c r="C763" t="inlineStr"/>
      <c r="D763" t="inlineStr">
        <is>
          <t>65527 Hessen - Niedernhausen</t>
        </is>
      </c>
      <c r="E763" s="5" t="n">
        <v>45555</v>
      </c>
      <c r="F763" t="inlineStr">
        <is>
          <t>Sold</t>
        </is>
      </c>
      <c r="G763" s="6">
        <f>HYPERLINK("https://www.kleinanzeigen.de/s-anzeige/north-face-kinder-skijacke-doppeljacke-128-gelb/2868535864-230-4915", "Link")</f>
        <v/>
      </c>
      <c r="H763" s="6">
        <f>HYPERLINK("C:\Projects\Kleinanzeigen-Scraper\offer_images\2868535864", "Link")</f>
        <v/>
      </c>
      <c r="I763" t="inlineStr">
        <is>
          <t>MS</t>
        </is>
      </c>
      <c r="J763" s="6">
        <f>HYPERLINK("https://www.kleinanzeigen.de/s-bestandsliste.html?userId=7088857", "Link")</f>
        <v/>
      </c>
      <c r="K763" s="7" t="n">
        <v>45555.55519675926</v>
      </c>
      <c r="L763" s="3" t="inlineStr">
        <is>
          <t>128.26</t>
        </is>
      </c>
      <c r="M763" t="inlineStr">
        <is>
          <t>Köln</t>
        </is>
      </c>
    </row>
    <row r="764">
      <c r="A764" t="inlineStr">
        <is>
          <t>Duotone Dice SLS 2024 7qm</t>
        </is>
      </c>
      <c r="B764" s="4" t="n">
        <v>1.04</v>
      </c>
      <c r="C764" t="inlineStr">
        <is>
          <t>VB</t>
        </is>
      </c>
      <c r="D764" t="inlineStr">
        <is>
          <t>25348 Schleswig-Holstein - Glückstadt</t>
        </is>
      </c>
      <c r="E764" s="5" t="n">
        <v>45552</v>
      </c>
      <c r="F764" t="inlineStr">
        <is>
          <t>Sold</t>
        </is>
      </c>
      <c r="G764" s="6">
        <f>HYPERLINK("https://www.kleinanzeigen.de/s-anzeige/duotone-dice-sls-2024-7qm/2866617809-230-867", "Link")</f>
        <v/>
      </c>
      <c r="H764" s="6">
        <f>HYPERLINK("C:\Projects\Kleinanzeigen-Scraper\offer_images\2866617809", "Link")</f>
        <v/>
      </c>
      <c r="I764" t="inlineStr">
        <is>
          <t>Bjarne Jensen</t>
        </is>
      </c>
      <c r="J764" s="6">
        <f>HYPERLINK("https://www.kleinanzeigen.de/s-bestandsliste.html?userId=119116338", "Link")</f>
        <v/>
      </c>
      <c r="K764" s="7" t="n">
        <v>45555.55510416667</v>
      </c>
      <c r="L764" s="3" t="inlineStr">
        <is>
          <t>359.03</t>
        </is>
      </c>
      <c r="M764" t="inlineStr">
        <is>
          <t>Köln</t>
        </is>
      </c>
    </row>
    <row r="765">
      <c r="A765" t="inlineStr">
        <is>
          <t>Starbucks Been There - North Dakota, brand new</t>
        </is>
      </c>
      <c r="B765" s="4" t="n">
        <v>85</v>
      </c>
      <c r="C765" t="inlineStr">
        <is>
          <t>VB</t>
        </is>
      </c>
      <c r="D765" t="inlineStr">
        <is>
          <t>79801 Baden-Württemberg - Hohentengen am Hochrhein</t>
        </is>
      </c>
      <c r="E765" s="5" t="n">
        <v>45555</v>
      </c>
      <c r="F765" t="inlineStr"/>
      <c r="G765" s="6">
        <f>HYPERLINK("https://www.kleinanzeigen.de/s-anzeige/starbucks-been-there-north-dakota-brand-new/2868570304-234-8301", "Link")</f>
        <v/>
      </c>
      <c r="H765" s="6">
        <f>HYPERLINK("C:\Projects\Kleinanzeigen-Scraper\offer_images\2868570304", "Link")</f>
        <v/>
      </c>
      <c r="I765" t="inlineStr">
        <is>
          <t>burrito</t>
        </is>
      </c>
      <c r="J765" s="6">
        <f>HYPERLINK("https://www.kleinanzeigen.de/s-bestandsliste.html?userId=136960720", "Link")</f>
        <v/>
      </c>
      <c r="K765" s="7" t="n">
        <v>45555.55504629629</v>
      </c>
      <c r="L765" s="3" t="inlineStr">
        <is>
          <t>26.08</t>
        </is>
      </c>
      <c r="M765" t="inlineStr">
        <is>
          <t>Bonndorf</t>
        </is>
      </c>
    </row>
    <row r="766">
      <c r="A766" t="inlineStr">
        <is>
          <t>North Face Duffel XL</t>
        </is>
      </c>
      <c r="B766" s="4" t="n">
        <v>89</v>
      </c>
      <c r="C766" t="inlineStr"/>
      <c r="D766" t="inlineStr">
        <is>
          <t>38667 Niedersachsen - Bad Harzburg</t>
        </is>
      </c>
      <c r="E766" s="5" t="n">
        <v>45552</v>
      </c>
      <c r="F766" t="inlineStr">
        <is>
          <t>Sold</t>
        </is>
      </c>
      <c r="G766" s="6">
        <f>HYPERLINK("https://www.kleinanzeigen.de/s-anzeige/north-face-duffel-xl/2866340690-230-14380", "Link")</f>
        <v/>
      </c>
      <c r="H766" s="6">
        <f>HYPERLINK("C:\Projects\Kleinanzeigen-Scraper\offer_images\2866340690", "Link")</f>
        <v/>
      </c>
      <c r="I766" t="inlineStr">
        <is>
          <t>Norman Heyke</t>
        </is>
      </c>
      <c r="J766" s="6">
        <f>HYPERLINK("https://www.kleinanzeigen.de/s-bestandsliste.html?userId=42785944", "Link")</f>
        <v/>
      </c>
      <c r="K766" s="7" t="n">
        <v>45555.55502314815</v>
      </c>
      <c r="L766" s="3" t="inlineStr">
        <is>
          <t>271.28</t>
        </is>
      </c>
      <c r="M766" t="inlineStr">
        <is>
          <t>Köln</t>
        </is>
      </c>
    </row>
    <row r="767">
      <c r="A767" t="inlineStr">
        <is>
          <t>Neoprenanzug Shorty neilpryde Gr.42 Damen</t>
        </is>
      </c>
      <c r="B767" s="4" t="n">
        <v>55</v>
      </c>
      <c r="C767" t="inlineStr">
        <is>
          <t>VB</t>
        </is>
      </c>
      <c r="D767" t="inlineStr">
        <is>
          <t>89275 Bayern - Elchingen</t>
        </is>
      </c>
      <c r="E767" s="5" t="n">
        <v>45554</v>
      </c>
      <c r="F767" t="inlineStr">
        <is>
          <t>Sold</t>
        </is>
      </c>
      <c r="G767" s="6">
        <f>HYPERLINK("https://www.kleinanzeigen.de/s-anzeige/neoprenanzug-shorty-neilpryde-gr-42-damen/2868273706-230-6679", "Link")</f>
        <v/>
      </c>
      <c r="H767" s="6">
        <f>HYPERLINK("C:\Projects\Kleinanzeigen-Scraper\offer_images\2868273706", "Link")</f>
        <v/>
      </c>
      <c r="I767" t="inlineStr">
        <is>
          <t>Marcel</t>
        </is>
      </c>
      <c r="J767" s="6">
        <f>HYPERLINK("https://www.kleinanzeigen.de/s-bestandsliste.html?userId=40333872", "Link")</f>
        <v/>
      </c>
      <c r="K767" s="7" t="n">
        <v>45555.55502314815</v>
      </c>
      <c r="L767" s="3" t="inlineStr">
        <is>
          <t>85.62</t>
        </is>
      </c>
      <c r="M767" t="inlineStr">
        <is>
          <t>Böblingen</t>
        </is>
      </c>
    </row>
    <row r="768">
      <c r="A768" t="inlineStr">
        <is>
          <t>Villeroy &amp; Boch North Pole Express Candy shop</t>
        </is>
      </c>
      <c r="B768" s="4" t="n">
        <v>70</v>
      </c>
      <c r="C768" t="inlineStr"/>
      <c r="D768" t="inlineStr">
        <is>
          <t>46244 Nordrhein-Westfalen - Bottrop</t>
        </is>
      </c>
      <c r="E768" s="5" t="n">
        <v>45554</v>
      </c>
      <c r="F768" t="inlineStr">
        <is>
          <t>Sold</t>
        </is>
      </c>
      <c r="G768" s="6">
        <f>HYPERLINK("https://www.kleinanzeigen.de/s-anzeige/villeroy-boch-north-pole-express-candy-shop/2868046607-234-1956", "Link")</f>
        <v/>
      </c>
      <c r="H768" s="6">
        <f>HYPERLINK("C:\Projects\Kleinanzeigen-Scraper\offer_images\2868046607", "Link")</f>
        <v/>
      </c>
      <c r="I768" t="inlineStr">
        <is>
          <t>Mirco</t>
        </is>
      </c>
      <c r="J768" s="6">
        <f>HYPERLINK("https://www.kleinanzeigen.de/s-bestandsliste.html?userId=125031746", "Link")</f>
        <v/>
      </c>
      <c r="K768" s="7" t="n">
        <v>45555.55491898148</v>
      </c>
      <c r="L768" s="3" t="inlineStr">
        <is>
          <t>73.21</t>
        </is>
      </c>
      <c r="M768" t="inlineStr">
        <is>
          <t>Köln</t>
        </is>
      </c>
    </row>
    <row r="769">
      <c r="A769" t="inlineStr">
        <is>
          <t>The North Face Outdoor Jacke XXL</t>
        </is>
      </c>
      <c r="B769" s="4" t="n">
        <v>45</v>
      </c>
      <c r="C769" t="inlineStr">
        <is>
          <t>VB</t>
        </is>
      </c>
      <c r="D769" t="inlineStr">
        <is>
          <t>73770 Baden-Württemberg - Denkendorf</t>
        </is>
      </c>
      <c r="E769" s="5" t="n">
        <v>45551</v>
      </c>
      <c r="F769" t="inlineStr">
        <is>
          <t>Sold</t>
        </is>
      </c>
      <c r="G769" s="6">
        <f>HYPERLINK("https://www.kleinanzeigen.de/s-anzeige/the-north-face-outdoor-jacke-xxl/2865530648-230-8438", "Link")</f>
        <v/>
      </c>
      <c r="H769" s="6">
        <f>HYPERLINK("C:\Projects\Kleinanzeigen-Scraper\offer_images\2865530648", "Link")</f>
        <v/>
      </c>
      <c r="I769" t="inlineStr">
        <is>
          <t>Uwe Mack</t>
        </is>
      </c>
      <c r="J769" s="6">
        <f>HYPERLINK("https://www.kleinanzeigen.de/s-bestandsliste.html?userId=94319701", "Link")</f>
        <v/>
      </c>
      <c r="K769" s="7" t="n">
        <v>45555.55482638889</v>
      </c>
      <c r="L769" s="3" t="inlineStr">
        <is>
          <t>24.80</t>
        </is>
      </c>
      <c r="M769" t="inlineStr">
        <is>
          <t>Böblingen</t>
        </is>
      </c>
    </row>
    <row r="770">
      <c r="A770" t="inlineStr">
        <is>
          <t>North / Duotone Rebel 9 qm</t>
        </is>
      </c>
      <c r="B770" s="4" t="n">
        <v>199</v>
      </c>
      <c r="C770" t="inlineStr"/>
      <c r="D770" t="inlineStr">
        <is>
          <t>24105 Schleswig-Holstein - Kiel</t>
        </is>
      </c>
      <c r="E770" s="5" t="n">
        <v>45552</v>
      </c>
      <c r="F770" t="inlineStr">
        <is>
          <t>Sold</t>
        </is>
      </c>
      <c r="G770" s="6">
        <f>HYPERLINK("https://www.kleinanzeigen.de/s-anzeige/north-duotone-rebel-9-qm/2866118891-230-708", "Link")</f>
        <v/>
      </c>
      <c r="H770" s="6">
        <f>HYPERLINK("C:\Projects\Kleinanzeigen-Scraper\offer_images\2866118891", "Link")</f>
        <v/>
      </c>
      <c r="I770" t="inlineStr">
        <is>
          <t>Frederik</t>
        </is>
      </c>
      <c r="J770" s="6">
        <f>HYPERLINK("https://www.kleinanzeigen.de/s-bestandsliste.html?userId=48061862", "Link")</f>
        <v/>
      </c>
      <c r="K770" s="7" t="n">
        <v>45555.55480324074</v>
      </c>
      <c r="L770" s="3" t="inlineStr">
        <is>
          <t>435.05</t>
        </is>
      </c>
      <c r="M770" t="inlineStr">
        <is>
          <t>Köln</t>
        </is>
      </c>
    </row>
    <row r="771">
      <c r="A771" t="inlineStr">
        <is>
          <t>Duotone Evo 5qm</t>
        </is>
      </c>
      <c r="B771" s="4" t="n">
        <v>600</v>
      </c>
      <c r="C771" t="inlineStr">
        <is>
          <t>VB</t>
        </is>
      </c>
      <c r="D771" t="inlineStr">
        <is>
          <t>45131 Essen - Rüttenscheid</t>
        </is>
      </c>
      <c r="E771" s="5" t="n">
        <v>45554</v>
      </c>
      <c r="F771" t="inlineStr">
        <is>
          <t>Sold</t>
        </is>
      </c>
      <c r="G771" s="6">
        <f>HYPERLINK("https://www.kleinanzeigen.de/s-anzeige/duotone-evo-5qm/2867979508-230-2046", "Link")</f>
        <v/>
      </c>
      <c r="H771" s="6">
        <f>HYPERLINK("C:\Projects\Kleinanzeigen-Scraper\offer_images\2867979508", "Link")</f>
        <v/>
      </c>
      <c r="I771" t="inlineStr">
        <is>
          <t>Alica Pieper</t>
        </is>
      </c>
      <c r="J771" s="6">
        <f>HYPERLINK("https://www.kleinanzeigen.de/s-bestandsliste.html?userId=17801241", "Link")</f>
        <v/>
      </c>
      <c r="K771" s="7" t="n">
        <v>45555.55475694445</v>
      </c>
      <c r="L771" s="3" t="inlineStr">
        <is>
          <t>54.71</t>
        </is>
      </c>
      <c r="M771" t="inlineStr">
        <is>
          <t>Köln</t>
        </is>
      </c>
    </row>
    <row r="772">
      <c r="A772" t="inlineStr">
        <is>
          <t>Windsurfer LT Segelnummer 2-stellig - Set schwarz</t>
        </is>
      </c>
      <c r="B772" s="4" t="n">
        <v>13</v>
      </c>
      <c r="C772" t="inlineStr"/>
      <c r="D772" t="inlineStr">
        <is>
          <t>94315 Bayern - Straubing</t>
        </is>
      </c>
      <c r="E772" s="5" t="n">
        <v>45553</v>
      </c>
      <c r="F772" t="inlineStr"/>
      <c r="G772" s="6">
        <f>HYPERLINK("https://www.kleinanzeigen.de/s-anzeige/windsurfer-lt-segelnummer-2-stellig-set-schwarz/2867276666-298-7337", "Link")</f>
        <v/>
      </c>
      <c r="H772" s="6">
        <f>HYPERLINK("C:\Projects\Kleinanzeigen-Scraper\offer_images\2867276666", "Link")</f>
        <v/>
      </c>
      <c r="I772" t="inlineStr">
        <is>
          <t>R.M.</t>
        </is>
      </c>
      <c r="J772" s="6">
        <f>HYPERLINK("https://www.kleinanzeigen.de/s-bestandsliste.html?userId=12819128", "Link")</f>
        <v/>
      </c>
      <c r="K772" s="7" t="n">
        <v>45555.55469907408</v>
      </c>
      <c r="L772" s="3" t="inlineStr">
        <is>
          <t>110.14</t>
        </is>
      </c>
      <c r="M772" t="inlineStr">
        <is>
          <t>München</t>
        </is>
      </c>
    </row>
    <row r="773">
      <c r="A773" t="inlineStr">
        <is>
          <t>Neilpryde Glide Foil Windsurfen Windfoil</t>
        </is>
      </c>
      <c r="B773" s="4" t="n">
        <v>300</v>
      </c>
      <c r="C773" t="inlineStr"/>
      <c r="D773" t="inlineStr">
        <is>
          <t>24222 Schleswig-Holstein - Schwentinental</t>
        </is>
      </c>
      <c r="E773" s="5" t="n">
        <v>45552</v>
      </c>
      <c r="F773" t="inlineStr"/>
      <c r="G773" s="6">
        <f>HYPERLINK("https://www.kleinanzeigen.de/s-anzeige/neilpryde-glide-foil-windsurfen-windfoil/2866710343-230-13377", "Link")</f>
        <v/>
      </c>
      <c r="H773" s="6">
        <f>HYPERLINK("C:\Projects\Kleinanzeigen-Scraper\offer_images\2866710343", "Link")</f>
        <v/>
      </c>
      <c r="I773" t="inlineStr">
        <is>
          <t>Moritz</t>
        </is>
      </c>
      <c r="J773" s="6">
        <f>HYPERLINK("https://www.kleinanzeigen.de/s-bestandsliste.html?userId=10680857", "Link")</f>
        <v/>
      </c>
      <c r="K773" s="7" t="n">
        <v>45555.55465277778</v>
      </c>
      <c r="L773" s="3" t="inlineStr">
        <is>
          <t>433.89</t>
        </is>
      </c>
      <c r="M773" t="inlineStr">
        <is>
          <t>Köln</t>
        </is>
      </c>
    </row>
    <row r="774">
      <c r="A774" t="inlineStr">
        <is>
          <t>Duotone Evo blue Concent 10qm</t>
        </is>
      </c>
      <c r="B774" s="4" t="n">
        <v>1.2</v>
      </c>
      <c r="C774" t="inlineStr">
        <is>
          <t>VB</t>
        </is>
      </c>
      <c r="D774" t="inlineStr">
        <is>
          <t>25980 Sylt - Westerland</t>
        </is>
      </c>
      <c r="E774" s="5" t="n">
        <v>45551</v>
      </c>
      <c r="F774" t="inlineStr">
        <is>
          <t>Sold</t>
        </is>
      </c>
      <c r="G774" s="6">
        <f>HYPERLINK("https://www.kleinanzeigen.de/s-anzeige/duotone-evo-blue-concent-10qm/2865181675-230-634", "Link")</f>
        <v/>
      </c>
      <c r="H774" s="6">
        <f>HYPERLINK("C:\Projects\Kleinanzeigen-Scraper\offer_images\2865181675", "Link")</f>
        <v/>
      </c>
      <c r="I774" t="inlineStr">
        <is>
          <t>Benje</t>
        </is>
      </c>
      <c r="J774" s="6">
        <f>HYPERLINK("https://www.kleinanzeigen.de/s-bestandsliste.html?userId=42224523", "Link")</f>
        <v/>
      </c>
      <c r="K774" s="7" t="n">
        <v>45555.55465277778</v>
      </c>
      <c r="L774" s="3" t="inlineStr">
        <is>
          <t>448.30</t>
        </is>
      </c>
      <c r="M774" t="inlineStr">
        <is>
          <t>Köln</t>
        </is>
      </c>
    </row>
    <row r="775">
      <c r="A775" t="inlineStr">
        <is>
          <t>North Dice 10qm &amp; 12qm</t>
        </is>
      </c>
      <c r="B775" s="4" t="n">
        <v>585</v>
      </c>
      <c r="C775" t="inlineStr"/>
      <c r="D775" t="inlineStr">
        <is>
          <t>10245 Friedrichshain-Kreuzberg - Friedrichshain</t>
        </is>
      </c>
      <c r="E775" s="5" t="n">
        <v>45554</v>
      </c>
      <c r="F775" t="inlineStr">
        <is>
          <t>Sold</t>
        </is>
      </c>
      <c r="G775" s="6">
        <f>HYPERLINK("https://www.kleinanzeigen.de/s-anzeige/north-dice-10qm-12qm/2867676958-230-3352", "Link")</f>
        <v/>
      </c>
      <c r="H775" s="6">
        <f>HYPERLINK("C:\Projects\Kleinanzeigen-Scraper\offer_images\2867676958", "Link")</f>
        <v/>
      </c>
      <c r="I775" t="inlineStr">
        <is>
          <t>Daniel</t>
        </is>
      </c>
      <c r="J775" s="6">
        <f>HYPERLINK("https://www.kleinanzeigen.de/s-bestandsliste.html?userId=137435090", "Link")</f>
        <v/>
      </c>
      <c r="K775" s="7" t="n">
        <v>45555.5546412037</v>
      </c>
      <c r="L775" s="3" t="inlineStr">
        <is>
          <t>480.20</t>
        </is>
      </c>
      <c r="M775" t="inlineStr">
        <is>
          <t>Köln</t>
        </is>
      </c>
    </row>
    <row r="776">
      <c r="A776" t="inlineStr">
        <is>
          <t>Outwell Goya Faltstuhl - schwarz - 2023</t>
        </is>
      </c>
      <c r="B776" s="4" t="n">
        <v>43</v>
      </c>
      <c r="C776" t="inlineStr"/>
      <c r="D776" t="inlineStr">
        <is>
          <t>86707 Bayern - Westendorf</t>
        </is>
      </c>
      <c r="E776" s="5" t="n">
        <v>45557</v>
      </c>
      <c r="F776" t="inlineStr"/>
      <c r="G776" s="6">
        <f>HYPERLINK("https://www.kleinanzeigen.de/s-anzeige/outwell-goya-faltstuhl-schwarz-2023/2344998913-230-7148", "Link")</f>
        <v/>
      </c>
      <c r="H776" s="6">
        <f>HYPERLINK("C:\Projects\Kleinanzeigen-Scraper\offer_images\2344998913", "Link")</f>
        <v/>
      </c>
      <c r="I776" t="inlineStr">
        <is>
          <t>No user name</t>
        </is>
      </c>
      <c r="J776" s="6">
        <f>HYPERLINK("https://www.kleinanzeigen.deNo user link", "Link")</f>
        <v/>
      </c>
      <c r="K776" s="7" t="n">
        <v>45555.55445601852</v>
      </c>
      <c r="L776" s="3" t="inlineStr">
        <is>
          <t>72.77</t>
        </is>
      </c>
      <c r="M776" t="inlineStr">
        <is>
          <t>München</t>
        </is>
      </c>
    </row>
    <row r="777">
      <c r="A777" t="inlineStr">
        <is>
          <t>Neil Pryde Windsurf Tasche Mast Segel</t>
        </is>
      </c>
      <c r="B777" s="4" t="n">
        <v>70</v>
      </c>
      <c r="C777" t="inlineStr"/>
      <c r="D777" t="inlineStr">
        <is>
          <t>81371 München - Sendling</t>
        </is>
      </c>
      <c r="E777" s="5" t="n">
        <v>45553</v>
      </c>
      <c r="F777" t="inlineStr"/>
      <c r="G777" s="6">
        <f>HYPERLINK("https://www.kleinanzeigen.de/s-anzeige/neil-pryde-windsurf-tasche-mast-segel/2867492610-230-6416", "Link")</f>
        <v/>
      </c>
      <c r="H777" s="6">
        <f>HYPERLINK("C:\Projects\Kleinanzeigen-Scraper\offer_images\2867492610", "Link")</f>
        <v/>
      </c>
      <c r="I777" t="inlineStr">
        <is>
          <t>R. Witt</t>
        </is>
      </c>
      <c r="J777" s="6">
        <f>HYPERLINK("https://www.kleinanzeigen.de/s-bestandsliste.html?userId=14770671", "Link")</f>
        <v/>
      </c>
      <c r="K777" s="7" t="n">
        <v>45555.55445601852</v>
      </c>
      <c r="L777" s="3" t="inlineStr">
        <is>
          <t>2.76</t>
        </is>
      </c>
      <c r="M777" t="inlineStr">
        <is>
          <t>München</t>
        </is>
      </c>
    </row>
    <row r="778">
      <c r="A778" t="inlineStr">
        <is>
          <t>2 neuwertige Damen SUP- Trockenanzüge von Starboard</t>
        </is>
      </c>
      <c r="B778" s="4" t="n">
        <v>800</v>
      </c>
      <c r="C778" t="inlineStr"/>
      <c r="D778" t="inlineStr">
        <is>
          <t>42105 Elberfeld - Elberfeld-West</t>
        </is>
      </c>
      <c r="E778" s="5" t="n">
        <v>45442</v>
      </c>
      <c r="F778" t="inlineStr">
        <is>
          <t>Sold</t>
        </is>
      </c>
      <c r="G778" s="6">
        <f>HYPERLINK("https://www.kleinanzeigen.de/s-anzeige/2-neuwertige-damen-sup-trockenanzuege-von-starboard/2775180547-187-1564", "Link")</f>
        <v/>
      </c>
      <c r="H778" s="6">
        <f>HYPERLINK("C:\Projects\Kleinanzeigen-Scraper\offer_images\2775180547", "Link")</f>
        <v/>
      </c>
      <c r="I778" t="inlineStr">
        <is>
          <t>Schmitt</t>
        </is>
      </c>
      <c r="J778" s="6">
        <f>HYPERLINK("https://www.kleinanzeigen.de/s-bestandsliste.html?userId=32042905", "Link")</f>
        <v/>
      </c>
      <c r="K778" s="7" t="n">
        <v>45555.55443287037</v>
      </c>
      <c r="L778" s="3" t="inlineStr">
        <is>
          <t>38.31</t>
        </is>
      </c>
      <c r="M778" t="inlineStr">
        <is>
          <t>Köln</t>
        </is>
      </c>
    </row>
    <row r="779">
      <c r="A779" t="inlineStr">
        <is>
          <t>North Trust Bar</t>
        </is>
      </c>
      <c r="B779" s="4" t="n">
        <v>70</v>
      </c>
      <c r="C779" t="inlineStr">
        <is>
          <t>VB</t>
        </is>
      </c>
      <c r="D779" t="inlineStr">
        <is>
          <t>81477 München - Thalk.Obersendl.-Forsten-Fürstenr.-Solln</t>
        </is>
      </c>
      <c r="E779" s="5" t="n">
        <v>45553</v>
      </c>
      <c r="F779" t="inlineStr">
        <is>
          <t>Sold</t>
        </is>
      </c>
      <c r="G779" s="6">
        <f>HYPERLINK("https://www.kleinanzeigen.de/s-anzeige/north-trust-bar/2867663505-230-6435", "Link")</f>
        <v/>
      </c>
      <c r="H779" s="6">
        <f>HYPERLINK("C:\Projects\Kleinanzeigen-Scraper\offer_images\2867663505", "Link")</f>
        <v/>
      </c>
      <c r="I779" t="inlineStr">
        <is>
          <t>Felix</t>
        </is>
      </c>
      <c r="J779" s="6">
        <f>HYPERLINK("https://www.kleinanzeigen.de/s-bestandsliste.html?userId=133590962", "Link")</f>
        <v/>
      </c>
      <c r="K779" s="7" t="n">
        <v>45555.55438657408</v>
      </c>
      <c r="L779" s="3" t="inlineStr">
        <is>
          <t>7.49</t>
        </is>
      </c>
      <c r="M779" t="inlineStr">
        <is>
          <t>München</t>
        </is>
      </c>
    </row>
    <row r="780">
      <c r="A780" t="inlineStr">
        <is>
          <t>Vandal Faustschützer Größe L Freefight MMA</t>
        </is>
      </c>
      <c r="B780" s="4" t="n">
        <v>15</v>
      </c>
      <c r="C780" t="inlineStr">
        <is>
          <t>VB</t>
        </is>
      </c>
      <c r="D780" t="inlineStr">
        <is>
          <t>09661 Sachsen - Rossau (Sachsen)</t>
        </is>
      </c>
      <c r="E780" s="5" t="n">
        <v>45551</v>
      </c>
      <c r="F780" t="inlineStr"/>
      <c r="G780" s="6">
        <f>HYPERLINK("https://www.kleinanzeigen.de/s-anzeige/vandal-faustschuetzer-groesse-l-freefight-mma/2865389162-230-23559", "Link")</f>
        <v/>
      </c>
      <c r="H780" s="6">
        <f>HYPERLINK("C:\Projects\Kleinanzeigen-Scraper\offer_images\2865389162", "Link")</f>
        <v/>
      </c>
      <c r="I780" t="inlineStr">
        <is>
          <t>Thomas</t>
        </is>
      </c>
      <c r="J780" s="6">
        <f>HYPERLINK("https://www.kleinanzeigen.de/s-bestandsliste.html?userId=2540196", "Link")</f>
        <v/>
      </c>
      <c r="K780" s="7" t="n">
        <v>45555.55438657408</v>
      </c>
      <c r="L780" s="3" t="inlineStr">
        <is>
          <t>338.27</t>
        </is>
      </c>
      <c r="M780" t="inlineStr">
        <is>
          <t>München</t>
        </is>
      </c>
    </row>
    <row r="781">
      <c r="A781" t="inlineStr">
        <is>
          <t>Starboard Foil Evolution Super Cruiser /Freeride Surffoil Windfoi</t>
        </is>
      </c>
      <c r="B781" s="4" t="n">
        <v>975</v>
      </c>
      <c r="C781" t="inlineStr">
        <is>
          <t>VB</t>
        </is>
      </c>
      <c r="D781" t="inlineStr">
        <is>
          <t>85055 Bayern - Ingolstadt</t>
        </is>
      </c>
      <c r="E781" s="5" t="n">
        <v>45551</v>
      </c>
      <c r="F781" t="inlineStr">
        <is>
          <t>Sold</t>
        </is>
      </c>
      <c r="G781" s="6">
        <f>HYPERLINK("https://www.kleinanzeigen.de/s-anzeige/starboard-foil-evolution-super-cruiser-freeride-surffoil-windfoi/2865811077-230-7613", "Link")</f>
        <v/>
      </c>
      <c r="H781" s="6">
        <f>HYPERLINK("C:\Projects\Kleinanzeigen-Scraper\offer_images\2865811077", "Link")</f>
        <v/>
      </c>
      <c r="I781" t="inlineStr">
        <is>
          <t>Erwin E.</t>
        </is>
      </c>
      <c r="J781" s="6">
        <f>HYPERLINK("https://www.kleinanzeigen.de/s-bestandsliste.html?userId=7749088", "Link")</f>
        <v/>
      </c>
      <c r="K781" s="7" t="n">
        <v>45555.55435185185</v>
      </c>
      <c r="L781" s="3" t="inlineStr">
        <is>
          <t>73.53</t>
        </is>
      </c>
      <c r="M781" t="inlineStr">
        <is>
          <t>München</t>
        </is>
      </c>
    </row>
    <row r="782">
      <c r="A782" t="inlineStr">
        <is>
          <t>The North Face Rucksack</t>
        </is>
      </c>
      <c r="B782" s="4" t="n">
        <v>49</v>
      </c>
      <c r="C782" t="inlineStr">
        <is>
          <t>VB</t>
        </is>
      </c>
      <c r="D782" t="inlineStr">
        <is>
          <t>83071 Bayern - Stephanskirchen</t>
        </is>
      </c>
      <c r="E782" s="5" t="n">
        <v>45552</v>
      </c>
      <c r="F782" t="inlineStr"/>
      <c r="G782" s="6">
        <f>HYPERLINK("https://www.kleinanzeigen.de/s-anzeige/the-north-face-rucksack/2866027129-230-7577", "Link")</f>
        <v/>
      </c>
      <c r="H782" s="6">
        <f>HYPERLINK("C:\Projects\Kleinanzeigen-Scraper\offer_images\2866027129", "Link")</f>
        <v/>
      </c>
      <c r="I782" t="inlineStr">
        <is>
          <t>Hans Wiedemann</t>
        </is>
      </c>
      <c r="J782" s="6">
        <f>HYPERLINK("https://www.kleinanzeigen.de/s-bestandsliste.html?userId=3574827", "Link")</f>
        <v/>
      </c>
      <c r="K782" s="7" t="n">
        <v>45555.55432870371</v>
      </c>
      <c r="L782" s="3" t="inlineStr">
        <is>
          <t>54.85</t>
        </is>
      </c>
      <c r="M782" t="inlineStr">
        <is>
          <t>München</t>
        </is>
      </c>
    </row>
    <row r="783">
      <c r="A783" t="inlineStr">
        <is>
          <t>The North Face Base Tasche XL</t>
        </is>
      </c>
      <c r="B783" s="4" t="n">
        <v>80</v>
      </c>
      <c r="C783" t="inlineStr">
        <is>
          <t>VB</t>
        </is>
      </c>
      <c r="D783" t="inlineStr">
        <is>
          <t>58239 Nordrhein-Westfalen - Schwerte</t>
        </is>
      </c>
      <c r="E783" s="5" t="n">
        <v>45551</v>
      </c>
      <c r="F783" t="inlineStr">
        <is>
          <t>Sold</t>
        </is>
      </c>
      <c r="G783" s="6">
        <f>HYPERLINK("https://www.kleinanzeigen.de/s-anzeige/the-north-face-base-tasche-xl/2865025486-230-1916", "Link")</f>
        <v/>
      </c>
      <c r="H783" s="6">
        <f>HYPERLINK("C:\Projects\Kleinanzeigen-Scraper\offer_images\2865025486", "Link")</f>
        <v/>
      </c>
      <c r="I783" t="inlineStr">
        <is>
          <t>Andreas Schang</t>
        </is>
      </c>
      <c r="J783" s="6">
        <f>HYPERLINK("https://www.kleinanzeigen.de/s-bestandsliste.html?userId=18752006", "Link")</f>
        <v/>
      </c>
      <c r="K783" s="7" t="n">
        <v>45551.60011574074</v>
      </c>
      <c r="L783" s="3" t="inlineStr">
        <is>
          <t>69.21</t>
        </is>
      </c>
      <c r="M783" t="inlineStr">
        <is>
          <t>Köln</t>
        </is>
      </c>
    </row>
    <row r="784">
      <c r="A784" t="inlineStr">
        <is>
          <t>SIMMS Coldweather Fliegenfischerhemd</t>
        </is>
      </c>
      <c r="B784" s="4" t="n">
        <v>100</v>
      </c>
      <c r="C784" t="inlineStr">
        <is>
          <t>VB</t>
        </is>
      </c>
      <c r="D784" t="inlineStr">
        <is>
          <t>86159 Bayern - Augsburg</t>
        </is>
      </c>
      <c r="E784" s="5" t="n">
        <v>45551</v>
      </c>
      <c r="F784" t="inlineStr"/>
      <c r="G784" s="6">
        <f>HYPERLINK("https://www.kleinanzeigen.de/s-anzeige/simms-coldweather-fliegenfischerhemd/2865242041-230-7525", "Link")</f>
        <v/>
      </c>
      <c r="H784" s="6">
        <f>HYPERLINK("C:\Projects\Kleinanzeigen-Scraper\offer_images\2865242041", "Link")</f>
        <v/>
      </c>
      <c r="I784" t="inlineStr">
        <is>
          <t>Werner</t>
        </is>
      </c>
      <c r="J784" s="6">
        <f>HYPERLINK("https://www.kleinanzeigen.de/s-bestandsliste.html?userId=30174851", "Link")</f>
        <v/>
      </c>
      <c r="K784" s="7" t="n">
        <v>45551.59905092593</v>
      </c>
      <c r="L784" s="3" t="inlineStr">
        <is>
          <t>55.02</t>
        </is>
      </c>
      <c r="M784" t="inlineStr">
        <is>
          <t>München</t>
        </is>
      </c>
    </row>
    <row r="785">
      <c r="A785" t="inlineStr">
        <is>
          <t>Fanatic Package Fly Air Premium 10´4 I SUP NEU</t>
        </is>
      </c>
      <c r="B785" s="4" t="n">
        <v>485</v>
      </c>
      <c r="C785" t="inlineStr"/>
      <c r="D785" t="inlineStr">
        <is>
          <t>44866 Bochum - Bochum-Wattenscheid</t>
        </is>
      </c>
      <c r="E785" s="5" t="n">
        <v>45538</v>
      </c>
      <c r="F785" t="inlineStr">
        <is>
          <t>Sold</t>
        </is>
      </c>
      <c r="G785" s="6">
        <f>HYPERLINK("https://www.kleinanzeigen.de/s-anzeige/fanatic-package-fly-air-premium-10-4-i-sup-neu/2853304921-230-1934", "Link")</f>
        <v/>
      </c>
      <c r="H785" s="6">
        <f>HYPERLINK("C:\Projects\Kleinanzeigen-Scraper\offer_images\2853304921", "Link")</f>
        <v/>
      </c>
      <c r="I785" t="inlineStr">
        <is>
          <t>Allerlei</t>
        </is>
      </c>
      <c r="J785" s="6">
        <f>HYPERLINK("https://www.kleinanzeigen.de/s-bestandsliste.html?userId=125463426", "Link")</f>
        <v/>
      </c>
      <c r="K785" s="7" t="n">
        <v>45551.59887731481</v>
      </c>
      <c r="L785" s="3" t="inlineStr">
        <is>
          <t>61.71</t>
        </is>
      </c>
      <c r="M785" t="inlineStr">
        <is>
          <t>Köln</t>
        </is>
      </c>
    </row>
    <row r="786">
      <c r="A786" t="inlineStr">
        <is>
          <t>Northern Diver Dry Glove / Trockentauch-Handschuhe / Tauchen</t>
        </is>
      </c>
      <c r="B786" s="4" t="n">
        <v>50</v>
      </c>
      <c r="C786" t="inlineStr"/>
      <c r="D786" t="inlineStr">
        <is>
          <t>52076 Aachen - Kornelimünster/Walheim</t>
        </is>
      </c>
      <c r="E786" s="5" t="n">
        <v>45551</v>
      </c>
      <c r="F786" t="inlineStr">
        <is>
          <t>Sold</t>
        </is>
      </c>
      <c r="G786" s="6">
        <f>HYPERLINK("https://www.kleinanzeigen.de/s-anzeige/northern-diver-dry-glove-trockentauch-handschuhe-tauchen/2865031458-230-16880", "Link")</f>
        <v/>
      </c>
      <c r="H786" s="6">
        <f>HYPERLINK("C:\Projects\Kleinanzeigen-Scraper\offer_images\2865031458", "Link")</f>
        <v/>
      </c>
      <c r="I786" t="inlineStr">
        <is>
          <t>Jan</t>
        </is>
      </c>
      <c r="J786" s="6">
        <f>HYPERLINK("https://www.kleinanzeigen.de/s-bestandsliste.html?userId=7029589", "Link")</f>
        <v/>
      </c>
      <c r="K786" s="7" t="n">
        <v>45551.59859953704</v>
      </c>
      <c r="L786" s="3" t="inlineStr">
        <is>
          <t>61.76</t>
        </is>
      </c>
      <c r="M786" t="inlineStr">
        <is>
          <t>Köln</t>
        </is>
      </c>
    </row>
    <row r="787">
      <c r="A787" t="inlineStr">
        <is>
          <t>North Reach 9m 2023</t>
        </is>
      </c>
      <c r="B787" s="4" t="n">
        <v>810</v>
      </c>
      <c r="C787" t="inlineStr">
        <is>
          <t>VB</t>
        </is>
      </c>
      <c r="D787" t="inlineStr">
        <is>
          <t>70174 Stuttgart - Stuttgart-Mitte</t>
        </is>
      </c>
      <c r="E787" s="5" t="n">
        <v>45548</v>
      </c>
      <c r="F787" t="inlineStr">
        <is>
          <t>Sold</t>
        </is>
      </c>
      <c r="G787" s="6">
        <f>HYPERLINK("https://www.kleinanzeigen.de/s-anzeige/north-reach-9m-2023/2862350772-230-9289", "Link")</f>
        <v/>
      </c>
      <c r="H787" s="6">
        <f>HYPERLINK("C:\Projects\Kleinanzeigen-Scraper\offer_images\2862350772", "Link")</f>
        <v/>
      </c>
      <c r="I787" t="inlineStr">
        <is>
          <t>Sascha Trinkle</t>
        </is>
      </c>
      <c r="J787" s="6">
        <f>HYPERLINK("https://www.kleinanzeigen.de/s-bestandsliste.html?userId=49505878", "Link")</f>
        <v/>
      </c>
      <c r="K787" s="7" t="n">
        <v>45551.59800925926</v>
      </c>
      <c r="L787" s="3" t="inlineStr">
        <is>
          <t>18.45</t>
        </is>
      </c>
      <c r="M787" t="inlineStr">
        <is>
          <t>Böblingen</t>
        </is>
      </c>
    </row>
    <row r="788">
      <c r="A788" t="inlineStr">
        <is>
          <t>Duotone Boardbag / Gearbag Neu mit Rollen</t>
        </is>
      </c>
      <c r="B788" s="4" t="n">
        <v>150</v>
      </c>
      <c r="C788" t="inlineStr"/>
      <c r="D788" t="inlineStr">
        <is>
          <t>71549 Baden-Württemberg - Auenwald</t>
        </is>
      </c>
      <c r="E788" s="5" t="n">
        <v>45543</v>
      </c>
      <c r="F788" t="inlineStr">
        <is>
          <t>Sold</t>
        </is>
      </c>
      <c r="G788" s="6">
        <f>HYPERLINK("https://www.kleinanzeigen.de/s-anzeige/duotone-boardbag-gearbag-neu-mit-rollen/2857525542-230-20234", "Link")</f>
        <v/>
      </c>
      <c r="H788" s="6">
        <f>HYPERLINK("C:\Projects\Kleinanzeigen-Scraper\offer_images\2857525542", "Link")</f>
        <v/>
      </c>
      <c r="I788" t="inlineStr">
        <is>
          <t>Sam</t>
        </is>
      </c>
      <c r="J788" s="6">
        <f>HYPERLINK("https://www.kleinanzeigen.de/s-bestandsliste.html?userId=91227219", "Link")</f>
        <v/>
      </c>
      <c r="K788" s="7" t="n">
        <v>45551.59796296297</v>
      </c>
      <c r="L788" s="3" t="inlineStr">
        <is>
          <t>49.16</t>
        </is>
      </c>
      <c r="M788" t="inlineStr">
        <is>
          <t>Böblingen</t>
        </is>
      </c>
    </row>
    <row r="789">
      <c r="A789" t="inlineStr">
        <is>
          <t>North Rebel</t>
        </is>
      </c>
      <c r="B789" s="4" t="n">
        <v>135</v>
      </c>
      <c r="C789" t="inlineStr">
        <is>
          <t>VB</t>
        </is>
      </c>
      <c r="D789" t="inlineStr">
        <is>
          <t>26723 Niedersachsen - Emden</t>
        </is>
      </c>
      <c r="E789" s="5" t="n">
        <v>45550</v>
      </c>
      <c r="F789" t="inlineStr">
        <is>
          <t>Sold</t>
        </is>
      </c>
      <c r="G789" s="6">
        <f>HYPERLINK("https://www.kleinanzeigen.de/s-anzeige/north-rebel/2864172019-230-3106", "Link")</f>
        <v/>
      </c>
      <c r="H789" s="6">
        <f>HYPERLINK("C:\Projects\Kleinanzeigen-Scraper\offer_images\2864172019", "Link")</f>
        <v/>
      </c>
      <c r="I789" t="inlineStr">
        <is>
          <t>Fabian Kienitz</t>
        </is>
      </c>
      <c r="J789" s="6">
        <f>HYPERLINK("https://www.kleinanzeigen.de/s-bestandsliste.html?userId=3110399", "Link")</f>
        <v/>
      </c>
      <c r="K789" s="7" t="n">
        <v>45551.59778935185</v>
      </c>
      <c r="L789" s="3" t="inlineStr">
        <is>
          <t>270.18</t>
        </is>
      </c>
      <c r="M789" t="inlineStr">
        <is>
          <t>Köln</t>
        </is>
      </c>
    </row>
    <row r="790">
      <c r="A790" t="inlineStr">
        <is>
          <t>North Navigator Bar 2023</t>
        </is>
      </c>
      <c r="B790" s="4" t="n">
        <v>220</v>
      </c>
      <c r="C790" t="inlineStr"/>
      <c r="D790" t="inlineStr">
        <is>
          <t>25938 Nordfriesland - Wyk</t>
        </is>
      </c>
      <c r="E790" s="5" t="n">
        <v>45548</v>
      </c>
      <c r="F790" t="inlineStr">
        <is>
          <t>Sold</t>
        </is>
      </c>
      <c r="G790" s="6">
        <f>HYPERLINK("https://www.kleinanzeigen.de/s-anzeige/north-navigator-bar-2023/2862113302-230-640", "Link")</f>
        <v/>
      </c>
      <c r="H790" s="6">
        <f>HYPERLINK("C:\Projects\Kleinanzeigen-Scraper\offer_images\2862113302", "Link")</f>
        <v/>
      </c>
      <c r="I790" t="inlineStr">
        <is>
          <t>Lasse Voigt</t>
        </is>
      </c>
      <c r="J790" s="6">
        <f>HYPERLINK("https://www.kleinanzeigen.de/s-bestandsliste.html?userId=94087389", "Link")</f>
        <v/>
      </c>
      <c r="K790" s="7" t="n">
        <v>45551.5974537037</v>
      </c>
      <c r="L790" s="3" t="inlineStr">
        <is>
          <t>432.94</t>
        </is>
      </c>
      <c r="M790" t="inlineStr">
        <is>
          <t>Köln</t>
        </is>
      </c>
    </row>
    <row r="791">
      <c r="A791" t="inlineStr">
        <is>
          <t>Fanatic SUP Paddel 35%Carbon 3-teilig</t>
        </is>
      </c>
      <c r="B791" s="4" t="n">
        <v>99</v>
      </c>
      <c r="C791" t="inlineStr"/>
      <c r="D791" t="inlineStr">
        <is>
          <t>80993 München - Moosach</t>
        </is>
      </c>
      <c r="E791" s="5" t="n">
        <v>45550</v>
      </c>
      <c r="F791" t="inlineStr">
        <is>
          <t>Sold</t>
        </is>
      </c>
      <c r="G791" s="6">
        <f>HYPERLINK("https://www.kleinanzeigen.de/s-anzeige/fanatic-sup-paddel-35-carbon-3-teilig/2864056999-230-6446", "Link")</f>
        <v/>
      </c>
      <c r="H791" s="6">
        <f>HYPERLINK("C:\Projects\Kleinanzeigen-Scraper\offer_images\2864056999", "Link")</f>
        <v/>
      </c>
      <c r="I791" t="inlineStr">
        <is>
          <t>Magnus</t>
        </is>
      </c>
      <c r="J791" s="6">
        <f>HYPERLINK("https://www.kleinanzeigen.de/s-bestandsliste.html?userId=86472404", "Link")</f>
        <v/>
      </c>
      <c r="K791" s="7" t="n">
        <v>45551.59685185185</v>
      </c>
      <c r="L791" s="3" t="inlineStr">
        <is>
          <t>6.77</t>
        </is>
      </c>
      <c r="M791" t="inlineStr">
        <is>
          <t>München</t>
        </is>
      </c>
    </row>
    <row r="792">
      <c r="A792" t="inlineStr">
        <is>
          <t>Duotone Rebel 2020, 9m² und 12m² + ClickBar 24m + Trapez</t>
        </is>
      </c>
      <c r="B792" s="4" t="n">
        <v>2.6</v>
      </c>
      <c r="C792" t="inlineStr">
        <is>
          <t>VB</t>
        </is>
      </c>
      <c r="D792" t="inlineStr">
        <is>
          <t>24211 Schleswig-Holstein - Preetz</t>
        </is>
      </c>
      <c r="E792" s="5" t="n">
        <v>45551</v>
      </c>
      <c r="F792" t="inlineStr">
        <is>
          <t>Sold</t>
        </is>
      </c>
      <c r="G792" s="6">
        <f>HYPERLINK("https://www.kleinanzeigen.de/s-anzeige/duotone-rebel-2020-9m-und-12m-clickbar-24m-trapez/2865113611-230-473", "Link")</f>
        <v/>
      </c>
      <c r="H792" s="6">
        <f>HYPERLINK("C:\Projects\Kleinanzeigen-Scraper\offer_images\2865113611", "Link")</f>
        <v/>
      </c>
      <c r="I792" t="inlineStr">
        <is>
          <t>Guido</t>
        </is>
      </c>
      <c r="J792" s="6">
        <f>HYPERLINK("https://www.kleinanzeigen.de/s-bestandsliste.html?userId=3163915", "Link")</f>
        <v/>
      </c>
      <c r="K792" s="7" t="n">
        <v>45551.59641203703</v>
      </c>
      <c r="L792" s="3" t="inlineStr">
        <is>
          <t>429.47</t>
        </is>
      </c>
      <c r="M792" t="inlineStr">
        <is>
          <t>Köln</t>
        </is>
      </c>
    </row>
    <row r="793">
      <c r="A793" t="inlineStr">
        <is>
          <t>C. Kreul Solo Goya Keilrahmen und Malvorlage "Lilien" 40 x 40 cm</t>
        </is>
      </c>
      <c r="B793" s="4" t="n">
        <v>5</v>
      </c>
      <c r="C793" t="inlineStr"/>
      <c r="D793" t="inlineStr">
        <is>
          <t>90475 Nürnberg (Mittelfr) - Südoststadt</t>
        </is>
      </c>
      <c r="E793" s="5" t="n">
        <v>45312</v>
      </c>
      <c r="F793" t="inlineStr"/>
      <c r="G793" s="6">
        <f>HYPERLINK("https://www.kleinanzeigen.de/s-anzeige/c-kreul-solo-goya-keilrahmen-und-malvorlage-lilien-40-x-40-cm/2659271009-282-6813", "Link")</f>
        <v/>
      </c>
      <c r="H793" s="6">
        <f>HYPERLINK("C:\Projects\Kleinanzeigen-Scraper\offer_images\2659271009", "Link")</f>
        <v/>
      </c>
      <c r="I793" t="inlineStr">
        <is>
          <t>Christine</t>
        </is>
      </c>
      <c r="J793" s="6">
        <f>HYPERLINK("https://www.kleinanzeigen.de/s-bestandsliste.html?userId=14524523", "Link")</f>
        <v/>
      </c>
      <c r="K793" s="7" t="n">
        <v>45551.59641203703</v>
      </c>
      <c r="L793" s="3" t="inlineStr">
        <is>
          <t>145.12</t>
        </is>
      </c>
      <c r="M793" t="inlineStr">
        <is>
          <t>München</t>
        </is>
      </c>
    </row>
    <row r="794">
      <c r="A794" t="inlineStr">
        <is>
          <t>Duotone Click Bar S 20-22m 2024</t>
        </is>
      </c>
      <c r="B794" s="4" t="n">
        <v>520</v>
      </c>
      <c r="C794" t="inlineStr"/>
      <c r="D794" t="inlineStr">
        <is>
          <t>90451 Nürnberg (Mittelfr) - Aussenstadt-Sued</t>
        </is>
      </c>
      <c r="E794" s="5" t="n">
        <v>45551</v>
      </c>
      <c r="F794" t="inlineStr">
        <is>
          <t>Sold</t>
        </is>
      </c>
      <c r="G794" s="6">
        <f>HYPERLINK("https://www.kleinanzeigen.de/s-anzeige/duotone-click-bar-s-20-22m-2024/2838705873-230-6836", "Link")</f>
        <v/>
      </c>
      <c r="H794" s="6">
        <f>HYPERLINK("C:\Projects\Kleinanzeigen-Scraper\offer_images\2838705873", "Link")</f>
        <v/>
      </c>
      <c r="I794" t="inlineStr">
        <is>
          <t>No user name</t>
        </is>
      </c>
      <c r="J794" s="6">
        <f>HYPERLINK("https://www.kleinanzeigen.deNo user link", "Link")</f>
        <v/>
      </c>
      <c r="K794" s="7" t="n">
        <v>45551.59636574074</v>
      </c>
      <c r="L794" s="3" t="inlineStr">
        <is>
          <t>145.92</t>
        </is>
      </c>
      <c r="M794" t="inlineStr">
        <is>
          <t>München</t>
        </is>
      </c>
    </row>
    <row r="795">
      <c r="A795" t="inlineStr">
        <is>
          <t>Windsurf Foil Neilpryde F4</t>
        </is>
      </c>
      <c r="B795" s="4" t="n">
        <v>600</v>
      </c>
      <c r="C795" t="inlineStr">
        <is>
          <t>VB</t>
        </is>
      </c>
      <c r="D795" t="inlineStr">
        <is>
          <t>25813 Nordfriesland - Husum</t>
        </is>
      </c>
      <c r="E795" s="5" t="n">
        <v>45550</v>
      </c>
      <c r="F795" t="inlineStr"/>
      <c r="G795" s="6">
        <f>HYPERLINK("https://www.kleinanzeigen.de/s-anzeige/windsurf-foil-neilpryde-f4/2864608669-230-16719", "Link")</f>
        <v/>
      </c>
      <c r="H795" s="6">
        <f>HYPERLINK("C:\Projects\Kleinanzeigen-Scraper\offer_images\2864608669", "Link")</f>
        <v/>
      </c>
      <c r="I795" t="inlineStr">
        <is>
          <t>FinnN</t>
        </is>
      </c>
      <c r="J795" s="6">
        <f>HYPERLINK("https://www.kleinanzeigen.de/s-bestandsliste.html?userId=139851666", "Link")</f>
        <v/>
      </c>
      <c r="K795" s="7" t="n">
        <v>45551.59597222223</v>
      </c>
      <c r="L795" s="3" t="inlineStr">
        <is>
          <t>416.07</t>
        </is>
      </c>
      <c r="M795" t="inlineStr">
        <is>
          <t>Köln</t>
        </is>
      </c>
    </row>
    <row r="796">
      <c r="A796" t="inlineStr">
        <is>
          <t>North EVO 2017 6m2 (Duotone)</t>
        </is>
      </c>
      <c r="B796" s="4" t="n">
        <v>320</v>
      </c>
      <c r="C796" t="inlineStr">
        <is>
          <t>VB</t>
        </is>
      </c>
      <c r="D796" t="inlineStr">
        <is>
          <t>14165 Berlin - Zehlendorf</t>
        </is>
      </c>
      <c r="E796" s="5" t="n">
        <v>45551</v>
      </c>
      <c r="F796" t="inlineStr">
        <is>
          <t>Sold</t>
        </is>
      </c>
      <c r="G796" s="6">
        <f>HYPERLINK("https://www.kleinanzeigen.de/s-anzeige/north-evo-2017-6m2-duotone-/2865197168-230-3528", "Link")</f>
        <v/>
      </c>
      <c r="H796" s="6">
        <f>HYPERLINK("C:\Projects\Kleinanzeigen-Scraper\offer_images\2865197168", "Link")</f>
        <v/>
      </c>
      <c r="I796" t="inlineStr">
        <is>
          <t>Dr. Dorothée Ringsdorf</t>
        </is>
      </c>
      <c r="J796" s="6">
        <f>HYPERLINK("https://www.kleinanzeigen.de/s-bestandsliste.html?userId=22509947", "Link")</f>
        <v/>
      </c>
      <c r="K796" s="7" t="n">
        <v>45551.59572916666</v>
      </c>
      <c r="L796" s="3" t="inlineStr">
        <is>
          <t>464.54</t>
        </is>
      </c>
      <c r="M796" t="inlineStr">
        <is>
          <t>Köln</t>
        </is>
      </c>
    </row>
    <row r="797">
      <c r="A797" t="inlineStr">
        <is>
          <t>Naish Pivot 2021 9m</t>
        </is>
      </c>
      <c r="B797" s="4" t="n">
        <v>390</v>
      </c>
      <c r="C797" t="inlineStr"/>
      <c r="D797" t="inlineStr">
        <is>
          <t>10117 Berlin - Mitte</t>
        </is>
      </c>
      <c r="E797" s="5" t="n">
        <v>45551</v>
      </c>
      <c r="F797" t="inlineStr">
        <is>
          <t>Sold</t>
        </is>
      </c>
      <c r="G797" s="6">
        <f>HYPERLINK("https://www.kleinanzeigen.de/s-anzeige/naish-pivot-2021-9m/2865011164-230-3520", "Link")</f>
        <v/>
      </c>
      <c r="H797" s="6">
        <f>HYPERLINK("C:\Projects\Kleinanzeigen-Scraper\offer_images\2865011164", "Link")</f>
        <v/>
      </c>
      <c r="I797" t="inlineStr">
        <is>
          <t>Matthias</t>
        </is>
      </c>
      <c r="J797" s="6">
        <f>HYPERLINK("https://www.kleinanzeigen.de/s-bestandsliste.html?userId=27370782", "Link")</f>
        <v/>
      </c>
      <c r="K797" s="7" t="n">
        <v>45551.59568287037</v>
      </c>
      <c r="L797" s="3" t="inlineStr">
        <is>
          <t>476.16</t>
        </is>
      </c>
      <c r="M797" t="inlineStr">
        <is>
          <t>Köln</t>
        </is>
      </c>
    </row>
    <row r="798">
      <c r="A798" t="inlineStr">
        <is>
          <t>Wanderrucksack The North Face Trail Lite 65 - black/asphalt</t>
        </is>
      </c>
      <c r="B798" s="4" t="n">
        <v>129</v>
      </c>
      <c r="C798" t="inlineStr">
        <is>
          <t>VB</t>
        </is>
      </c>
      <c r="D798" t="inlineStr">
        <is>
          <t>37308 Thüringen - Heilbad Heiligenstadt</t>
        </is>
      </c>
      <c r="E798" s="5" t="n">
        <v>45551</v>
      </c>
      <c r="F798" t="inlineStr">
        <is>
          <t>Sold</t>
        </is>
      </c>
      <c r="G798" s="6">
        <f>HYPERLINK("https://www.kleinanzeigen.de/s-anzeige/wanderrucksack-the-north-face-trail-lite-65-black-asphalt/2865010449-187-3622", "Link")</f>
        <v/>
      </c>
      <c r="H798" s="6">
        <f>HYPERLINK("C:\Projects\Kleinanzeigen-Scraper\offer_images\2865010449", "Link")</f>
        <v/>
      </c>
      <c r="I798" t="inlineStr">
        <is>
          <t>Krebs</t>
        </is>
      </c>
      <c r="J798" s="6">
        <f>HYPERLINK("https://www.kleinanzeigen.de/s-bestandsliste.html?userId=7237602", "Link")</f>
        <v/>
      </c>
      <c r="K798" s="7" t="n">
        <v>45551.59517361111</v>
      </c>
      <c r="L798" s="3" t="inlineStr">
        <is>
          <t>229.65</t>
        </is>
      </c>
      <c r="M798" t="inlineStr">
        <is>
          <t>Köln</t>
        </is>
      </c>
    </row>
    <row r="799">
      <c r="A799" t="inlineStr">
        <is>
          <t>The North Face Rucksack Neu</t>
        </is>
      </c>
      <c r="B799" s="4" t="n">
        <v>75</v>
      </c>
      <c r="C799" t="inlineStr"/>
      <c r="D799" t="inlineStr">
        <is>
          <t>01589 Sachsen - Riesa</t>
        </is>
      </c>
      <c r="E799" s="5" t="n">
        <v>45551</v>
      </c>
      <c r="F799" t="inlineStr">
        <is>
          <t>Sold</t>
        </is>
      </c>
      <c r="G799" s="6">
        <f>HYPERLINK("https://www.kleinanzeigen.de/s-anzeige/the-north-face-rucksack-neu/2865209052-187-4063", "Link")</f>
        <v/>
      </c>
      <c r="H799" s="6">
        <f>HYPERLINK("C:\Projects\Kleinanzeigen-Scraper\offer_images\2865209052", "Link")</f>
        <v/>
      </c>
      <c r="I799" t="inlineStr">
        <is>
          <t>Nollau</t>
        </is>
      </c>
      <c r="J799" s="6">
        <f>HYPERLINK("https://www.kleinanzeigen.de/s-bestandsliste.html?userId=42544492", "Link")</f>
        <v/>
      </c>
      <c r="K799" s="7" t="n">
        <v>45551.5949537037</v>
      </c>
      <c r="L799" s="3" t="inlineStr">
        <is>
          <t>373.01</t>
        </is>
      </c>
      <c r="M799" t="inlineStr">
        <is>
          <t>München</t>
        </is>
      </c>
    </row>
    <row r="800">
      <c r="A800" t="inlineStr">
        <is>
          <t>Duotone Evo Sls 10qm</t>
        </is>
      </c>
      <c r="B800" s="4" t="n">
        <v>1.45</v>
      </c>
      <c r="C800" t="inlineStr"/>
      <c r="D800" t="inlineStr">
        <is>
          <t>25980 Sylt - Westerland</t>
        </is>
      </c>
      <c r="E800" s="5" t="n">
        <v>45551</v>
      </c>
      <c r="F800" t="inlineStr">
        <is>
          <t>Sold</t>
        </is>
      </c>
      <c r="G800" s="6">
        <f>HYPERLINK("https://www.kleinanzeigen.de/s-anzeige/duotone-evo-sls-10qm/2865190128-230-634", "Link")</f>
        <v/>
      </c>
      <c r="H800" s="6">
        <f>HYPERLINK("C:\Projects\Kleinanzeigen-Scraper\offer_images\2865190128", "Link")</f>
        <v/>
      </c>
      <c r="I800" t="inlineStr">
        <is>
          <t>Benje</t>
        </is>
      </c>
      <c r="J800" s="6">
        <f>HYPERLINK("https://www.kleinanzeigen.de/s-bestandsliste.html?userId=42224523", "Link")</f>
        <v/>
      </c>
      <c r="K800" s="7" t="n">
        <v>45551.59476851852</v>
      </c>
      <c r="L800" s="3" t="inlineStr">
        <is>
          <t>448.30</t>
        </is>
      </c>
      <c r="M800" t="inlineStr">
        <is>
          <t>Köln</t>
        </is>
      </c>
    </row>
    <row r="801">
      <c r="A801" t="inlineStr">
        <is>
          <t>C. Kreul Solo Goya Keilrahmen und Malvorlage "Der Klatschmohn"</t>
        </is>
      </c>
      <c r="B801" s="4" t="n">
        <v>7</v>
      </c>
      <c r="C801" t="inlineStr"/>
      <c r="D801" t="inlineStr">
        <is>
          <t>90475 Nürnberg (Mittelfr) - Südoststadt</t>
        </is>
      </c>
      <c r="E801" s="5" t="n">
        <v>45312</v>
      </c>
      <c r="F801" t="inlineStr"/>
      <c r="G801" s="6">
        <f>HYPERLINK("https://www.kleinanzeigen.de/s-anzeige/c-kreul-solo-goya-keilrahmen-und-malvorlage-der-klatschmohn-/2659268119-282-6813", "Link")</f>
        <v/>
      </c>
      <c r="H801" s="6">
        <f>HYPERLINK("C:\Projects\Kleinanzeigen-Scraper\offer_images\2659268119", "Link")</f>
        <v/>
      </c>
      <c r="I801" t="inlineStr">
        <is>
          <t>Christine</t>
        </is>
      </c>
      <c r="J801" s="6">
        <f>HYPERLINK("https://www.kleinanzeigen.de/s-bestandsliste.html?userId=14524523", "Link")</f>
        <v/>
      </c>
      <c r="K801" s="7" t="n">
        <v>45551.59427083333</v>
      </c>
      <c r="L801" s="3" t="inlineStr">
        <is>
          <t>145.12</t>
        </is>
      </c>
      <c r="M801" t="inlineStr">
        <is>
          <t>München</t>
        </is>
      </c>
    </row>
    <row r="802">
      <c r="A802" t="inlineStr">
        <is>
          <t>Neu Neoprenanzug Wetsuit M 50 3/2 Neilpryde Yamamoto Front Zip</t>
        </is>
      </c>
      <c r="B802" s="4" t="n">
        <v>159</v>
      </c>
      <c r="C802" t="inlineStr"/>
      <c r="D802" t="inlineStr">
        <is>
          <t>10967 Friedrichshain-Kreuzberg - Kreuzberg</t>
        </is>
      </c>
      <c r="E802" s="5" t="n">
        <v>45551</v>
      </c>
      <c r="F802" t="inlineStr">
        <is>
          <t>Sold</t>
        </is>
      </c>
      <c r="G802" s="6">
        <f>HYPERLINK("https://www.kleinanzeigen.de/s-anzeige/neu-neoprenanzug-wetsuit-m-50-3-2-neilpryde-yamamoto-front-zip/2865138206-230-9630", "Link")</f>
        <v/>
      </c>
      <c r="H802" s="6">
        <f>HYPERLINK("C:\Projects\Kleinanzeigen-Scraper\offer_images\2865138206", "Link")</f>
        <v/>
      </c>
      <c r="I802" t="inlineStr">
        <is>
          <t>Kaffee ohne Kuchen</t>
        </is>
      </c>
      <c r="J802" s="6">
        <f>HYPERLINK("https://www.kleinanzeigen.de/s-bestandsliste.html?userId=19377549", "Link")</f>
        <v/>
      </c>
      <c r="K802" s="7" t="n">
        <v>45551.59372685185</v>
      </c>
      <c r="L802" s="3" t="inlineStr">
        <is>
          <t>477.29</t>
        </is>
      </c>
      <c r="M802" t="inlineStr">
        <is>
          <t>Köln</t>
        </is>
      </c>
    </row>
    <row r="803">
      <c r="A803" t="inlineStr">
        <is>
          <t>Hose THE NORTH FACE  Softshell Zip-Off Wandern Gr. S/M</t>
        </is>
      </c>
      <c r="B803" s="4" t="n">
        <v>23</v>
      </c>
      <c r="C803" t="inlineStr"/>
      <c r="D803" t="inlineStr">
        <is>
          <t>51570 Nordrhein-Westfalen - Windeck</t>
        </is>
      </c>
      <c r="E803" s="5" t="n">
        <v>45548</v>
      </c>
      <c r="F803" t="inlineStr">
        <is>
          <t>Sold</t>
        </is>
      </c>
      <c r="G803" s="6">
        <f>HYPERLINK("https://www.kleinanzeigen.de/s-anzeige/hose-the-north-face-softshell-zip-off-wandern-gr-s-m/2862283780-230-1496", "Link")</f>
        <v/>
      </c>
      <c r="H803" s="6">
        <f>HYPERLINK("C:\Projects\Kleinanzeigen-Scraper\offer_images\2862283780", "Link")</f>
        <v/>
      </c>
      <c r="I803" t="inlineStr">
        <is>
          <t>Dieter Zerbin</t>
        </is>
      </c>
      <c r="J803" s="6">
        <f>HYPERLINK("https://www.kleinanzeigen.de/s-bestandsliste.html?userId=5096510", "Link")</f>
        <v/>
      </c>
      <c r="K803" s="7" t="n">
        <v>45551.59271990741</v>
      </c>
      <c r="L803" s="3" t="inlineStr">
        <is>
          <t>46.08</t>
        </is>
      </c>
      <c r="M803" t="inlineStr">
        <is>
          <t>Köln</t>
        </is>
      </c>
    </row>
    <row r="804">
      <c r="A804" t="inlineStr">
        <is>
          <t>Duotone Click Bar 2023</t>
        </is>
      </c>
      <c r="B804" s="4" t="n">
        <v>355</v>
      </c>
      <c r="C804" t="inlineStr">
        <is>
          <t>VB</t>
        </is>
      </c>
      <c r="D804" t="inlineStr">
        <is>
          <t>23769 Kreis Ostholstein - Fehmarn</t>
        </is>
      </c>
      <c r="E804" s="5" t="n">
        <v>45543</v>
      </c>
      <c r="F804" t="inlineStr">
        <is>
          <t>Sold</t>
        </is>
      </c>
      <c r="G804" s="6">
        <f>HYPERLINK("https://www.kleinanzeigen.de/s-anzeige/duotone-click-bar-2023/2857547348-230-19951", "Link")</f>
        <v/>
      </c>
      <c r="H804" s="6">
        <f>HYPERLINK("C:\Projects\Kleinanzeigen-Scraper\offer_images\2857547348", "Link")</f>
        <v/>
      </c>
      <c r="I804" t="inlineStr">
        <is>
          <t>Eugen</t>
        </is>
      </c>
      <c r="J804" s="6">
        <f>HYPERLINK("https://www.kleinanzeigen.de/s-bestandsliste.html?userId=16978001", "Link")</f>
        <v/>
      </c>
      <c r="K804" s="7" t="n">
        <v>45551.59269675926</v>
      </c>
      <c r="L804" s="3" t="inlineStr">
        <is>
          <t>483.01</t>
        </is>
      </c>
      <c r="M804" t="inlineStr">
        <is>
          <t>Köln</t>
        </is>
      </c>
    </row>
    <row r="805">
      <c r="A805" t="inlineStr">
        <is>
          <t>Spur N US-Güterwagen Burlington Northern ( OVP )</t>
        </is>
      </c>
      <c r="B805" s="4" t="n">
        <v>11</v>
      </c>
      <c r="C805" t="inlineStr"/>
      <c r="D805" t="inlineStr">
        <is>
          <t>15517 Brandenburg - Fürstenwalde (Spree)</t>
        </is>
      </c>
      <c r="E805" s="5" t="n">
        <v>45548</v>
      </c>
      <c r="F805" t="inlineStr">
        <is>
          <t>Sold</t>
        </is>
      </c>
      <c r="G805" s="6">
        <f>HYPERLINK("https://www.kleinanzeigen.de/s-anzeige/spur-n-us-gueterwagen-burlington-northern-ovp-/2862275225-249-7768", "Link")</f>
        <v/>
      </c>
      <c r="H805" s="6">
        <f>HYPERLINK("C:\Projects\Kleinanzeigen-Scraper\offer_images\2862275225", "Link")</f>
        <v/>
      </c>
      <c r="I805" t="inlineStr">
        <is>
          <t>iche</t>
        </is>
      </c>
      <c r="J805" s="6">
        <f>HYPERLINK("https://www.kleinanzeigen.de/s-bestandsliste.html?userId=11753609", "Link")</f>
        <v/>
      </c>
      <c r="K805" s="7" t="n">
        <v>45551.59267361111</v>
      </c>
      <c r="L805" s="3" t="inlineStr">
        <is>
          <t>502.59</t>
        </is>
      </c>
      <c r="M805" t="inlineStr">
        <is>
          <t>München</t>
        </is>
      </c>
    </row>
    <row r="806">
      <c r="A806" t="inlineStr">
        <is>
          <t>Goya Acrylfarben alle neu und unbenutzt</t>
        </is>
      </c>
      <c r="B806" s="4" t="n">
        <v>41</v>
      </c>
      <c r="C806" t="inlineStr"/>
      <c r="D806" t="inlineStr">
        <is>
          <t>65203 Wiesbaden - Mainz-Amöneburg</t>
        </is>
      </c>
      <c r="E806" s="5" t="n">
        <v>45525</v>
      </c>
      <c r="F806" t="inlineStr"/>
      <c r="G806" s="6">
        <f>HYPERLINK("https://www.kleinanzeigen.de/s-anzeige/goya-acrylfarben-alle-neu-und-unbenutzt/2842903894-282-26293", "Link")</f>
        <v/>
      </c>
      <c r="H806" s="6">
        <f>HYPERLINK("C:\Projects\Kleinanzeigen-Scraper\offer_images\2842903894", "Link")</f>
        <v/>
      </c>
      <c r="I806" t="inlineStr">
        <is>
          <t>S. G.</t>
        </is>
      </c>
      <c r="J806" s="6">
        <f>HYPERLINK("https://www.kleinanzeigen.de/s-bestandsliste.html?userId=127724320", "Link")</f>
        <v/>
      </c>
      <c r="K806" s="7" t="n">
        <v>45551.59252314815</v>
      </c>
      <c r="L806" s="3" t="inlineStr">
        <is>
          <t>115.59</t>
        </is>
      </c>
      <c r="M806" t="inlineStr">
        <is>
          <t>Karlsruhe</t>
        </is>
      </c>
    </row>
    <row r="807">
      <c r="A807" t="inlineStr">
        <is>
          <t>Goya Kopien</t>
        </is>
      </c>
      <c r="B807" s="4" t="n">
        <v>75</v>
      </c>
      <c r="C807" t="inlineStr"/>
      <c r="D807" t="inlineStr">
        <is>
          <t>12053 Berlin - Neukölln</t>
        </is>
      </c>
      <c r="E807" s="5" t="n">
        <v>45526</v>
      </c>
      <c r="F807" t="inlineStr"/>
      <c r="G807" s="6">
        <f>HYPERLINK("https://www.kleinanzeigen.de/s-anzeige/goya-kopien/2843657226-240-3391", "Link")</f>
        <v/>
      </c>
      <c r="H807" s="6">
        <f>HYPERLINK("C:\Projects\Kleinanzeigen-Scraper\offer_images\2843657226", "Link")</f>
        <v/>
      </c>
      <c r="I807" t="inlineStr">
        <is>
          <t>Daniel Hendrickson</t>
        </is>
      </c>
      <c r="J807" s="6">
        <f>HYPERLINK("https://www.kleinanzeigen.de/s-bestandsliste.html?userId=23298630", "Link")</f>
        <v/>
      </c>
      <c r="K807" s="7" t="n">
        <v>45551.59237268518</v>
      </c>
      <c r="L807" s="3" t="inlineStr">
        <is>
          <t>477.84</t>
        </is>
      </c>
      <c r="M807" t="inlineStr">
        <is>
          <t>Köln</t>
        </is>
      </c>
    </row>
    <row r="808">
      <c r="A808" t="inlineStr">
        <is>
          <t>Fanatic Fly Air Premium SUP 10‘8“ - NEU</t>
        </is>
      </c>
      <c r="B808" s="4" t="n">
        <v>409</v>
      </c>
      <c r="C808" t="inlineStr">
        <is>
          <t>VB</t>
        </is>
      </c>
      <c r="D808" t="inlineStr">
        <is>
          <t>83714 Bayern - Miesbach</t>
        </is>
      </c>
      <c r="E808" s="5" t="n">
        <v>45560</v>
      </c>
      <c r="F808" t="inlineStr"/>
      <c r="G808" s="6">
        <f>HYPERLINK("https://www.kleinanzeigen.de/s-anzeige/fanatic-fly-air-premium-sup-10-8-neu/2861611669-230-5896", "Link")</f>
        <v/>
      </c>
      <c r="H808" s="6">
        <f>HYPERLINK("C:\Projects\Kleinanzeigen-Scraper\offer_images\2861611669", "Link")</f>
        <v/>
      </c>
      <c r="I808" t="inlineStr">
        <is>
          <t>LR</t>
        </is>
      </c>
      <c r="J808" s="6">
        <f>HYPERLINK("https://www.kleinanzeigen.de/s-bestandsliste.html?userId=50215720", "Link")</f>
        <v/>
      </c>
      <c r="K808" s="7" t="n">
        <v>45551.59222222222</v>
      </c>
      <c r="L808" s="3" t="inlineStr">
        <is>
          <t>41.62</t>
        </is>
      </c>
      <c r="M808" t="inlineStr">
        <is>
          <t>München</t>
        </is>
      </c>
    </row>
    <row r="809">
      <c r="A809" t="inlineStr">
        <is>
          <t>North Orbit Pro 8m 2024</t>
        </is>
      </c>
      <c r="B809" s="4" t="n">
        <v>1.08</v>
      </c>
      <c r="C809" t="inlineStr"/>
      <c r="D809" t="inlineStr">
        <is>
          <t>80331 München - Altstadt-Lehel</t>
        </is>
      </c>
      <c r="E809" s="5" t="n">
        <v>45551</v>
      </c>
      <c r="F809" t="inlineStr">
        <is>
          <t>Sold</t>
        </is>
      </c>
      <c r="G809" s="6">
        <f>HYPERLINK("https://www.kleinanzeigen.de/s-anzeige/north-orbit-pro-8m-2024/2865036805-230-6443", "Link")</f>
        <v/>
      </c>
      <c r="H809" s="6">
        <f>HYPERLINK("C:\Projects\Kleinanzeigen-Scraper\offer_images\2865036805", "Link")</f>
        <v/>
      </c>
      <c r="I809" t="inlineStr">
        <is>
          <t>manuel</t>
        </is>
      </c>
      <c r="J809" s="6">
        <f>HYPERLINK("https://www.kleinanzeigen.de/s-bestandsliste.html?userId=32570701", "Link")</f>
        <v/>
      </c>
      <c r="K809" s="7" t="n">
        <v>45551.59182870371</v>
      </c>
      <c r="L809" s="3" t="inlineStr">
        <is>
          <t>0.00</t>
        </is>
      </c>
      <c r="M809" t="inlineStr">
        <is>
          <t>München</t>
        </is>
      </c>
    </row>
    <row r="810">
      <c r="A810" t="inlineStr">
        <is>
          <t>Duotone Rebel SLS 12 / 11 / 7 - 2024 - Neuwertig</t>
        </is>
      </c>
      <c r="B810" s="4" t="n">
        <v>1.525</v>
      </c>
      <c r="C810" t="inlineStr"/>
      <c r="D810" t="inlineStr">
        <is>
          <t>24103 Kiel - Kiel - Vorstadt</t>
        </is>
      </c>
      <c r="E810" s="5" t="n">
        <v>45543</v>
      </c>
      <c r="F810" t="inlineStr">
        <is>
          <t>Sold</t>
        </is>
      </c>
      <c r="G810" s="6">
        <f>HYPERLINK("https://www.kleinanzeigen.de/s-anzeige/duotone-rebel-sls-12-11-7-2024-neuwertig/2857510470-230-26995", "Link")</f>
        <v/>
      </c>
      <c r="H810" s="6">
        <f>HYPERLINK("C:\Projects\Kleinanzeigen-Scraper\offer_images\2857510470", "Link")</f>
        <v/>
      </c>
      <c r="I810" t="inlineStr">
        <is>
          <t>XXX</t>
        </is>
      </c>
      <c r="J810" s="6">
        <f>HYPERLINK("https://www.kleinanzeigen.de/s-bestandsliste.html?userId=50828155", "Link")</f>
        <v/>
      </c>
      <c r="K810" s="7" t="n">
        <v>45551.59097222222</v>
      </c>
      <c r="L810" s="3" t="inlineStr">
        <is>
          <t>433.13</t>
        </is>
      </c>
      <c r="M810" t="inlineStr">
        <is>
          <t>Köln</t>
        </is>
      </c>
    </row>
    <row r="811">
      <c r="A811" t="inlineStr">
        <is>
          <t>The North Face Trekkingrucksack 50L</t>
        </is>
      </c>
      <c r="B811" s="4" t="n">
        <v>130</v>
      </c>
      <c r="C811" t="inlineStr"/>
      <c r="D811" t="inlineStr">
        <is>
          <t>22049 Hamburg-Nord - Hamburg Dulsberg</t>
        </is>
      </c>
      <c r="E811" s="5" t="n">
        <v>45548</v>
      </c>
      <c r="F811" t="inlineStr">
        <is>
          <t>Sold</t>
        </is>
      </c>
      <c r="G811" s="6">
        <f>HYPERLINK("https://www.kleinanzeigen.de/s-anzeige/the-north-face-trekkingrucksack-50l/2862158620-230-16442", "Link")</f>
        <v/>
      </c>
      <c r="H811" s="6">
        <f>HYPERLINK("C:\Projects\Kleinanzeigen-Scraper\offer_images\2862158620", "Link")</f>
        <v/>
      </c>
      <c r="I811" t="inlineStr">
        <is>
          <t>Johanna</t>
        </is>
      </c>
      <c r="J811" s="6">
        <f>HYPERLINK("https://www.kleinanzeigen.de/s-bestandsliste.html?userId=42303867", "Link")</f>
        <v/>
      </c>
      <c r="K811" s="7" t="n">
        <v>45551.59074074074</v>
      </c>
      <c r="L811" s="3" t="inlineStr">
        <is>
          <t>362.49</t>
        </is>
      </c>
      <c r="M811" t="inlineStr">
        <is>
          <t>Köln</t>
        </is>
      </c>
    </row>
    <row r="812">
      <c r="A812" t="inlineStr">
        <is>
          <t>Starboard Foil Set</t>
        </is>
      </c>
      <c r="B812" s="4" t="n">
        <v>1.499</v>
      </c>
      <c r="C812" t="inlineStr">
        <is>
          <t>VB</t>
        </is>
      </c>
      <c r="D812" t="inlineStr">
        <is>
          <t>99817 Thüringen - Eisenach</t>
        </is>
      </c>
      <c r="E812" s="5" t="n">
        <v>45509</v>
      </c>
      <c r="F812" t="inlineStr"/>
      <c r="G812" s="6">
        <f>HYPERLINK("https://www.kleinanzeigen.de/s-anzeige/starboard-foil-set/2829800448-230-3714", "Link")</f>
        <v/>
      </c>
      <c r="H812" s="6">
        <f>HYPERLINK("C:\Projects\Kleinanzeigen-Scraper\offer_images\2829800448", "Link")</f>
        <v/>
      </c>
      <c r="I812" t="inlineStr">
        <is>
          <t>Virginia</t>
        </is>
      </c>
      <c r="J812" s="6">
        <f>HYPERLINK("https://www.kleinanzeigen.de/s-bestandsliste.html?userId=141754413", "Link")</f>
        <v/>
      </c>
      <c r="K812" s="7" t="n">
        <v>45551.59060185185</v>
      </c>
      <c r="L812" s="3" t="inlineStr">
        <is>
          <t>235.39</t>
        </is>
      </c>
      <c r="M812" t="inlineStr">
        <is>
          <t>Köln</t>
        </is>
      </c>
    </row>
    <row r="813">
      <c r="A813" t="inlineStr">
        <is>
          <t>Kraftstation, Fitnessgerät Northern Lights 200kG</t>
        </is>
      </c>
      <c r="B813" s="4" t="n">
        <v>350</v>
      </c>
      <c r="C813" t="inlineStr"/>
      <c r="D813" t="inlineStr">
        <is>
          <t>84513 Kr. Altötting - Töging am Inn</t>
        </is>
      </c>
      <c r="E813" s="5" t="n">
        <v>45550</v>
      </c>
      <c r="F813" t="inlineStr">
        <is>
          <t>Sold</t>
        </is>
      </c>
      <c r="G813" s="6">
        <f>HYPERLINK("https://www.kleinanzeigen.de/s-anzeige/kraftstation-fitnessgeraet-northern-lights-200kg/2864665916-230-6628", "Link")</f>
        <v/>
      </c>
      <c r="H813" s="6">
        <f>HYPERLINK("C:\Projects\Kleinanzeigen-Scraper\offer_images\2864665916", "Link")</f>
        <v/>
      </c>
      <c r="I813" t="inlineStr">
        <is>
          <t>Privat</t>
        </is>
      </c>
      <c r="J813" s="6">
        <f>HYPERLINK("https://www.kleinanzeigen.de/s-bestandsliste.html?userId=80969916", "Link")</f>
        <v/>
      </c>
      <c r="K813" s="7" t="n">
        <v>45551.59012731481</v>
      </c>
      <c r="L813" s="3" t="inlineStr">
        <is>
          <t>76.19</t>
        </is>
      </c>
      <c r="M813" t="inlineStr">
        <is>
          <t>München</t>
        </is>
      </c>
    </row>
    <row r="814">
      <c r="A814" t="inlineStr">
        <is>
          <t>NHL Cards Karten Eishockey north stars</t>
        </is>
      </c>
      <c r="B814" s="4" t="n">
        <v>3</v>
      </c>
      <c r="C814" t="inlineStr"/>
      <c r="D814" t="inlineStr">
        <is>
          <t>89129 Baden-Württemberg - Langenau</t>
        </is>
      </c>
      <c r="E814" s="5" t="n">
        <v>45548</v>
      </c>
      <c r="F814" t="inlineStr">
        <is>
          <t>Sold</t>
        </is>
      </c>
      <c r="G814" s="6">
        <f>HYPERLINK("https://www.kleinanzeigen.de/s-anzeige/nhl-cards-karten-eishockey-north-stars/2862275801-234-18599", "Link")</f>
        <v/>
      </c>
      <c r="H814" s="6">
        <f>HYPERLINK("C:\Projects\Kleinanzeigen-Scraper\offer_images\2862275801", "Link")</f>
        <v/>
      </c>
      <c r="I814" t="inlineStr">
        <is>
          <t>Mi</t>
        </is>
      </c>
      <c r="J814" s="6">
        <f>HYPERLINK("https://www.kleinanzeigen.de/s-bestandsliste.html?userId=30210573", "Link")</f>
        <v/>
      </c>
      <c r="K814" s="7" t="n">
        <v>45551.58991898148</v>
      </c>
      <c r="L814" s="3" t="inlineStr">
        <is>
          <t>85.38</t>
        </is>
      </c>
      <c r="M814" t="inlineStr">
        <is>
          <t>Böblingen</t>
        </is>
      </c>
    </row>
    <row r="815">
      <c r="A815" t="inlineStr">
        <is>
          <t>Fanatic Ray Air Pure 11’6 Neu Sup Supboard</t>
        </is>
      </c>
      <c r="B815" s="4" t="n">
        <v>399</v>
      </c>
      <c r="C815" t="inlineStr"/>
      <c r="D815" t="inlineStr">
        <is>
          <t>22457 Eimsbüttel - Hamburg Schnelsen</t>
        </is>
      </c>
      <c r="E815" s="5" t="n">
        <v>45547</v>
      </c>
      <c r="F815" t="inlineStr">
        <is>
          <t>Sold</t>
        </is>
      </c>
      <c r="G815" s="6">
        <f>HYPERLINK("https://www.kleinanzeigen.de/s-anzeige/fanatic-ray-air-pure-11-6-neu-sup-supboard/2281497385-230-9492", "Link")</f>
        <v/>
      </c>
      <c r="H815" s="6">
        <f>HYPERLINK("C:\Projects\Kleinanzeigen-Scraper\offer_images\2281497385", "Link")</f>
        <v/>
      </c>
      <c r="I815" t="inlineStr">
        <is>
          <t>No user name</t>
        </is>
      </c>
      <c r="J815" s="6">
        <f>HYPERLINK("https://www.kleinanzeigen.deNo user link", "Link")</f>
        <v/>
      </c>
      <c r="K815" s="7" t="n">
        <v>45551.58983796297</v>
      </c>
      <c r="L815" s="3" t="inlineStr">
        <is>
          <t>362.41</t>
        </is>
      </c>
      <c r="M815" t="inlineStr">
        <is>
          <t>Köln</t>
        </is>
      </c>
    </row>
    <row r="816">
      <c r="A816" t="inlineStr">
        <is>
          <t>Rucksack The North Face Borealis</t>
        </is>
      </c>
      <c r="B816" s="4" t="n">
        <v>70</v>
      </c>
      <c r="C816" t="inlineStr"/>
      <c r="D816" t="inlineStr">
        <is>
          <t>35039 Hessen - Marburg</t>
        </is>
      </c>
      <c r="E816" s="5" t="n">
        <v>45551</v>
      </c>
      <c r="F816" t="inlineStr">
        <is>
          <t>Sold</t>
        </is>
      </c>
      <c r="G816" s="6">
        <f>HYPERLINK("https://www.kleinanzeigen.de/s-anzeige/rucksack-the-north-face-borealis/2865061431-230-4832", "Link")</f>
        <v/>
      </c>
      <c r="H816" s="6">
        <f>HYPERLINK("C:\Projects\Kleinanzeigen-Scraper\offer_images\2865061431", "Link")</f>
        <v/>
      </c>
      <c r="I816" t="inlineStr">
        <is>
          <t>NN</t>
        </is>
      </c>
      <c r="J816" s="6">
        <f>HYPERLINK("https://www.kleinanzeigen.de/s-bestandsliste.html?userId=26239912", "Link")</f>
        <v/>
      </c>
      <c r="K816" s="7" t="n">
        <v>45551.58981481481</v>
      </c>
      <c r="L816" s="3" t="inlineStr">
        <is>
          <t>129.53</t>
        </is>
      </c>
      <c r="M816" t="inlineStr">
        <is>
          <t>Köln</t>
        </is>
      </c>
    </row>
    <row r="817">
      <c r="A817" t="inlineStr">
        <is>
          <t>The North Face Ski Snowboard 600 Daunen Jacke Recco</t>
        </is>
      </c>
      <c r="B817" s="4" t="n">
        <v>140</v>
      </c>
      <c r="C817" t="inlineStr"/>
      <c r="D817" t="inlineStr">
        <is>
          <t>60489 Frankfurt am Main - Rödelheim</t>
        </is>
      </c>
      <c r="E817" s="5" t="n">
        <v>45548</v>
      </c>
      <c r="F817" t="inlineStr">
        <is>
          <t>Sold</t>
        </is>
      </c>
      <c r="G817" s="6">
        <f>HYPERLINK("https://www.kleinanzeigen.de/s-anzeige/the-north-face-ski-snowboard-600-daunen-jacke-recco/2862160381-230-4324", "Link")</f>
        <v/>
      </c>
      <c r="H817" s="6">
        <f>HYPERLINK("C:\Projects\Kleinanzeigen-Scraper\offer_images\2862160381", "Link")</f>
        <v/>
      </c>
      <c r="I817" t="inlineStr">
        <is>
          <t>Niels</t>
        </is>
      </c>
      <c r="J817" s="6">
        <f>HYPERLINK("https://www.kleinanzeigen.de/s-bestandsliste.html?userId=13645598", "Link")</f>
        <v/>
      </c>
      <c r="K817" s="7" t="n">
        <v>45551.58965277778</v>
      </c>
      <c r="L817" s="3" t="inlineStr">
        <is>
          <t>125.26</t>
        </is>
      </c>
      <c r="M817" t="inlineStr">
        <is>
          <t>Karlsruhe</t>
        </is>
      </c>
    </row>
    <row r="818">
      <c r="A818" t="inlineStr">
        <is>
          <t>Fanatic Hoodie grau Gr.L</t>
        </is>
      </c>
      <c r="B818" s="4" t="n">
        <v>49</v>
      </c>
      <c r="C818" t="inlineStr"/>
      <c r="D818" t="inlineStr">
        <is>
          <t>24229 Schleswig-Holstein - Schwedeneck</t>
        </is>
      </c>
      <c r="E818" s="5" t="n">
        <v>45548</v>
      </c>
      <c r="F818" t="inlineStr">
        <is>
          <t>Sold</t>
        </is>
      </c>
      <c r="G818" s="6">
        <f>HYPERLINK("https://www.kleinanzeigen.de/s-anzeige/fanatic-hoodie-grau-gr-l/2862048347-230-17470", "Link")</f>
        <v/>
      </c>
      <c r="H818" s="6">
        <f>HYPERLINK("C:\Projects\Kleinanzeigen-Scraper\offer_images\2862048347", "Link")</f>
        <v/>
      </c>
      <c r="I818" t="inlineStr">
        <is>
          <t>Bernd</t>
        </is>
      </c>
      <c r="J818" s="6">
        <f>HYPERLINK("https://www.kleinanzeigen.de/s-bestandsliste.html?userId=7833787", "Link")</f>
        <v/>
      </c>
      <c r="K818" s="7" t="n">
        <v>45551.58960648148</v>
      </c>
      <c r="L818" s="3" t="inlineStr">
        <is>
          <t>445.58</t>
        </is>
      </c>
      <c r="M818" t="inlineStr">
        <is>
          <t>Köln</t>
        </is>
      </c>
    </row>
    <row r="819">
      <c r="A819" t="inlineStr">
        <is>
          <t>Foil  Fanatic  Aero Free 1000/216</t>
        </is>
      </c>
      <c r="B819" s="4" t="n">
        <v>400</v>
      </c>
      <c r="C819" t="inlineStr"/>
      <c r="D819" t="inlineStr">
        <is>
          <t>17268 Brandenburg - Templin</t>
        </is>
      </c>
      <c r="E819" s="5" t="n">
        <v>45532</v>
      </c>
      <c r="F819" t="inlineStr">
        <is>
          <t>Sold</t>
        </is>
      </c>
      <c r="G819" s="6">
        <f>HYPERLINK("https://www.kleinanzeigen.de/s-anzeige/foil-fanatic-aero-free-1000-216/2848395865-230-7858", "Link")</f>
        <v/>
      </c>
      <c r="H819" s="6">
        <f>HYPERLINK("C:\Projects\Kleinanzeigen-Scraper\offer_images\2848395865", "Link")</f>
        <v/>
      </c>
      <c r="I819" t="inlineStr">
        <is>
          <t>Uwe,Möller</t>
        </is>
      </c>
      <c r="J819" s="6">
        <f>HYPERLINK("https://www.kleinanzeigen.de/s-bestandsliste.html?userId=50037016", "Link")</f>
        <v/>
      </c>
      <c r="K819" s="7" t="n">
        <v>45551.58951388889</v>
      </c>
      <c r="L819" s="3" t="inlineStr">
        <is>
          <t>514.92</t>
        </is>
      </c>
      <c r="M819" t="inlineStr">
        <is>
          <t>Köln</t>
        </is>
      </c>
    </row>
    <row r="820">
      <c r="A820" t="inlineStr">
        <is>
          <t>Neue Foiltasche Starboard XL</t>
        </is>
      </c>
      <c r="B820" s="4" t="n">
        <v>75</v>
      </c>
      <c r="C820" t="inlineStr"/>
      <c r="D820" t="inlineStr">
        <is>
          <t>51399 Nordrhein-Westfalen - Burscheid</t>
        </is>
      </c>
      <c r="E820" s="5" t="n">
        <v>45493</v>
      </c>
      <c r="F820" t="inlineStr">
        <is>
          <t>Sold</t>
        </is>
      </c>
      <c r="G820" s="6">
        <f>HYPERLINK("https://www.kleinanzeigen.de/s-anzeige/neue-foiltasche-starboard-xl/2816681642-230-1512", "Link")</f>
        <v/>
      </c>
      <c r="H820" s="6">
        <f>HYPERLINK("C:\Projects\Kleinanzeigen-Scraper\offer_images\2816681642", "Link")</f>
        <v/>
      </c>
      <c r="I820" t="inlineStr">
        <is>
          <t>Guido Radermacher</t>
        </is>
      </c>
      <c r="J820" s="6">
        <f>HYPERLINK("https://www.kleinanzeigen.de/s-bestandsliste.html?userId=58539759", "Link")</f>
        <v/>
      </c>
      <c r="K820" s="7" t="n">
        <v>45551.41172453704</v>
      </c>
      <c r="L820" s="3" t="inlineStr">
        <is>
          <t>19.54</t>
        </is>
      </c>
      <c r="M820" t="inlineStr">
        <is>
          <t>Köln</t>
        </is>
      </c>
    </row>
    <row r="821">
      <c r="A821" t="inlineStr">
        <is>
          <t>The North Face Kaban Rucksack</t>
        </is>
      </c>
      <c r="B821" s="4" t="n">
        <v>45</v>
      </c>
      <c r="C821" t="inlineStr">
        <is>
          <t>VB</t>
        </is>
      </c>
      <c r="D821" t="inlineStr">
        <is>
          <t>14199 Berlin - Wilmersdorf</t>
        </is>
      </c>
      <c r="E821" s="5" t="n">
        <v>45549</v>
      </c>
      <c r="F821" t="inlineStr">
        <is>
          <t>Sold</t>
        </is>
      </c>
      <c r="G821" s="6">
        <f>HYPERLINK("https://www.kleinanzeigen.de/s-anzeige/the-north-face-kaban-rucksack/2863141754-187-3541", "Link")</f>
        <v/>
      </c>
      <c r="H821" s="6">
        <f>HYPERLINK("C:\Projects\Kleinanzeigen-Scraper\offer_images\2863141754", "Link")</f>
        <v/>
      </c>
      <c r="I821" t="inlineStr">
        <is>
          <t>Simon vom Dorp</t>
        </is>
      </c>
      <c r="J821" s="6">
        <f>HYPERLINK("https://www.kleinanzeigen.de/s-bestandsliste.html?userId=40310581", "Link")</f>
        <v/>
      </c>
      <c r="K821" s="7" t="n">
        <v>45551.41168981481</v>
      </c>
      <c r="L821" s="3" t="inlineStr">
        <is>
          <t>469.09</t>
        </is>
      </c>
      <c r="M821" t="inlineStr">
        <is>
          <t>Köln</t>
        </is>
      </c>
    </row>
    <row r="822">
      <c r="A822" t="inlineStr">
        <is>
          <t>Starboard Foil GTR EVOLUTION Carbon C300</t>
        </is>
      </c>
      <c r="B822" s="4" t="n">
        <v>2.199</v>
      </c>
      <c r="C822" t="inlineStr"/>
      <c r="D822" t="inlineStr">
        <is>
          <t>47495 Nordrhein-Westfalen - Rheinberg</t>
        </is>
      </c>
      <c r="E822" s="5" t="n">
        <v>45243</v>
      </c>
      <c r="F822" t="inlineStr">
        <is>
          <t>Sold</t>
        </is>
      </c>
      <c r="G822" s="6">
        <f>HYPERLINK("https://www.kleinanzeigen.de/s-anzeige/starboard-foil-gtr-evolution-carbon-c300/2601491136-230-1399", "Link")</f>
        <v/>
      </c>
      <c r="H822" s="6">
        <f>HYPERLINK("C:\Projects\Kleinanzeigen-Scraper\offer_images\2601491136", "Link")</f>
        <v/>
      </c>
      <c r="I822" t="inlineStr">
        <is>
          <t>Windcraft-Sports</t>
        </is>
      </c>
      <c r="J822" s="6">
        <f>HYPERLINK("https://www.kleinanzeigen.de/s-bestandsliste.html?userId=74756618", "Link")</f>
        <v/>
      </c>
      <c r="K822" s="7" t="n">
        <v>45551.41166666667</v>
      </c>
      <c r="L822" s="3" t="inlineStr">
        <is>
          <t>72.31</t>
        </is>
      </c>
      <c r="M822" t="inlineStr">
        <is>
          <t>Köln</t>
        </is>
      </c>
    </row>
    <row r="823">
      <c r="A823" t="inlineStr">
        <is>
          <t>TOP - Starboard SUP Generation Carbon Top 14x28 - 2021</t>
        </is>
      </c>
      <c r="B823" s="4" t="n">
        <v>1.299</v>
      </c>
      <c r="C823" t="inlineStr"/>
      <c r="D823" t="inlineStr">
        <is>
          <t>53819 Nordrhein-Westfalen - Neunkirchen-Seelscheid</t>
        </is>
      </c>
      <c r="E823" s="5" t="n">
        <v>45466</v>
      </c>
      <c r="F823" t="inlineStr">
        <is>
          <t>Sold</t>
        </is>
      </c>
      <c r="G823" s="6">
        <f>HYPERLINK("https://www.kleinanzeigen.de/s-anzeige/top-starboard-sup-generation-carbon-top-14x28-2021/2723228524-230-1676", "Link")</f>
        <v/>
      </c>
      <c r="H823" s="6">
        <f>HYPERLINK("C:\Projects\Kleinanzeigen-Scraper\offer_images\2723228524", "Link")</f>
        <v/>
      </c>
      <c r="I823" t="inlineStr">
        <is>
          <t>Daniel</t>
        </is>
      </c>
      <c r="J823" s="6">
        <f>HYPERLINK("https://www.kleinanzeigen.de/s-bestandsliste.html?userId=130954377", "Link")</f>
        <v/>
      </c>
      <c r="K823" s="7" t="n">
        <v>45551.41159722222</v>
      </c>
      <c r="L823" s="3" t="inlineStr">
        <is>
          <t>28.08</t>
        </is>
      </c>
      <c r="M823" t="inlineStr">
        <is>
          <t>Köln</t>
        </is>
      </c>
    </row>
    <row r="824">
      <c r="A824" t="inlineStr">
        <is>
          <t>Naish Pivot 2024 8 m !!!Abholung günstiger!!!</t>
        </is>
      </c>
      <c r="B824" s="4" t="n">
        <v>600</v>
      </c>
      <c r="C824" t="inlineStr"/>
      <c r="D824" t="inlineStr">
        <is>
          <t>22549 Altona - Hamburg Osdorf</t>
        </is>
      </c>
      <c r="E824" s="5" t="n">
        <v>45550</v>
      </c>
      <c r="F824" t="inlineStr">
        <is>
          <t>Sold</t>
        </is>
      </c>
      <c r="G824" s="6">
        <f>HYPERLINK("https://www.kleinanzeigen.de/s-anzeige/naish-pivot-2024-8-m-abholung-guenstiger-/2863884916-230-19496", "Link")</f>
        <v/>
      </c>
      <c r="H824" s="6">
        <f>HYPERLINK("C:\Projects\Kleinanzeigen-Scraper\offer_images\2863884916", "Link")</f>
        <v/>
      </c>
      <c r="I824" t="inlineStr">
        <is>
          <t>Malte</t>
        </is>
      </c>
      <c r="J824" s="6">
        <f>HYPERLINK("https://www.kleinanzeigen.de/s-bestandsliste.html?userId=32864332", "Link")</f>
        <v/>
      </c>
      <c r="K824" s="7" t="n">
        <v>45551.41148148148</v>
      </c>
      <c r="L824" s="3" t="inlineStr">
        <is>
          <t>354.40</t>
        </is>
      </c>
      <c r="M824" t="inlineStr">
        <is>
          <t>Köln</t>
        </is>
      </c>
    </row>
    <row r="825">
      <c r="A825" t="inlineStr">
        <is>
          <t>+++Neuwertig+++Großes Kit - Starboard Race Plus 2020</t>
        </is>
      </c>
      <c r="B825" s="4" t="n">
        <v>2.1</v>
      </c>
      <c r="C825" t="inlineStr">
        <is>
          <t>VB</t>
        </is>
      </c>
      <c r="D825" t="inlineStr">
        <is>
          <t>83236 Bayern - Übersee</t>
        </is>
      </c>
      <c r="E825" s="5" t="n">
        <v>45090</v>
      </c>
      <c r="F825" t="inlineStr"/>
      <c r="G825" s="6">
        <f>HYPERLINK("https://www.kleinanzeigen.de/s-anzeige/-neuwertig-grosses-kit-starboard-race-plus-2020/2467747762-230-5735", "Link")</f>
        <v/>
      </c>
      <c r="H825" s="6">
        <f>HYPERLINK("C:\Projects\Kleinanzeigen-Scraper\offer_images\2467747762", "Link")</f>
        <v/>
      </c>
      <c r="I825" t="inlineStr">
        <is>
          <t>C.Czerny</t>
        </is>
      </c>
      <c r="J825" s="6">
        <f>HYPERLINK("https://www.kleinanzeigen.de/s-bestandsliste.html?userId=30264399", "Link")</f>
        <v/>
      </c>
      <c r="K825" s="7" t="n">
        <v>45551.41138888889</v>
      </c>
      <c r="L825" s="3" t="inlineStr">
        <is>
          <t>76.24</t>
        </is>
      </c>
      <c r="M825" t="inlineStr">
        <is>
          <t>München</t>
        </is>
      </c>
    </row>
    <row r="826">
      <c r="A826" t="inlineStr">
        <is>
          <t>DUOTONE Rebel SLS 2022 12m² coral-red/blue</t>
        </is>
      </c>
      <c r="B826" s="4" t="n">
        <v>1.499</v>
      </c>
      <c r="C826" t="inlineStr"/>
      <c r="D826" t="inlineStr">
        <is>
          <t>17509 Mecklenburg-Vorpommern - Loissin</t>
        </is>
      </c>
      <c r="E826" s="5" t="n">
        <v>45550</v>
      </c>
      <c r="F826" t="inlineStr">
        <is>
          <t>Sold</t>
        </is>
      </c>
      <c r="G826" s="6">
        <f>HYPERLINK("https://www.kleinanzeigen.de/s-anzeige/duotone-rebel-sls-2022-12m-coral-red-blue/2738035568-230-21340", "Link")</f>
        <v/>
      </c>
      <c r="H826" s="6">
        <f>HYPERLINK("C:\Projects\Kleinanzeigen-Scraper\offer_images\2738035568", "Link")</f>
        <v/>
      </c>
      <c r="I826" t="inlineStr">
        <is>
          <t>No user name</t>
        </is>
      </c>
      <c r="J826" s="6">
        <f>HYPERLINK("https://www.kleinanzeigen.deNo user link", "Link")</f>
        <v/>
      </c>
      <c r="K826" s="7" t="n">
        <v>45551.41118055556</v>
      </c>
      <c r="L826" s="3" t="inlineStr">
        <is>
          <t>568.47</t>
        </is>
      </c>
      <c r="M826" t="inlineStr">
        <is>
          <t>Köln</t>
        </is>
      </c>
    </row>
    <row r="827">
      <c r="A827" t="inlineStr">
        <is>
          <t>SUP Drysuit/Trockenanzug Starboard/Whitewater + Restube Gratis ab</t>
        </is>
      </c>
      <c r="B827" s="4" t="n">
        <v>399</v>
      </c>
      <c r="C827" t="inlineStr"/>
      <c r="D827" t="inlineStr">
        <is>
          <t>67346 Rheinland-Pfalz - Speyer</t>
        </is>
      </c>
      <c r="E827" s="5" t="n">
        <v>45247</v>
      </c>
      <c r="F827" t="inlineStr">
        <is>
          <t>Sold</t>
        </is>
      </c>
      <c r="G827" s="6">
        <f>HYPERLINK("https://www.kleinanzeigen.de/s-anzeige/sup-drysuit-trockenanzug-starboard-whitewater-restube-gratis-ab/2604834858-230-5365", "Link")</f>
        <v/>
      </c>
      <c r="H827" s="6">
        <f>HYPERLINK("C:\Projects\Kleinanzeigen-Scraper\offer_images\2604834858", "Link")</f>
        <v/>
      </c>
      <c r="I827" t="inlineStr">
        <is>
          <t>Trittbrett - Trend&amp;Sport</t>
        </is>
      </c>
      <c r="J827" s="6">
        <f>HYPERLINK("https://www.kleinanzeigen.de/s-bestandsliste.html?userId=33159760", "Link")</f>
        <v/>
      </c>
      <c r="K827" s="7" t="n">
        <v>45551.4111574074</v>
      </c>
      <c r="L827" s="3" t="inlineStr">
        <is>
          <t>35.76</t>
        </is>
      </c>
      <c r="M827" t="inlineStr">
        <is>
          <t>Karlsruhe</t>
        </is>
      </c>
    </row>
    <row r="828">
      <c r="A828" t="inlineStr">
        <is>
          <t>Antike Schiffslampe STARBOARD Kupfer super Zustand</t>
        </is>
      </c>
      <c r="B828" s="4" t="n">
        <v>149</v>
      </c>
      <c r="C828" t="inlineStr">
        <is>
          <t>VB</t>
        </is>
      </c>
      <c r="D828" t="inlineStr">
        <is>
          <t>87561 Bayern - Oberstdorf</t>
        </is>
      </c>
      <c r="E828" s="5" t="n">
        <v>45251</v>
      </c>
      <c r="F828" t="inlineStr">
        <is>
          <t>Sold</t>
        </is>
      </c>
      <c r="G828" s="6">
        <f>HYPERLINK("https://www.kleinanzeigen.de/s-anzeige/antike-schiffslampe-starboard-kupfer-super-zustand/2608858785-240-5529", "Link")</f>
        <v/>
      </c>
      <c r="H828" s="6">
        <f>HYPERLINK("C:\Projects\Kleinanzeigen-Scraper\offer_images\2608858785", "Link")</f>
        <v/>
      </c>
      <c r="I828" t="inlineStr">
        <is>
          <t>Letitia</t>
        </is>
      </c>
      <c r="J828" s="6">
        <f>HYPERLINK("https://www.kleinanzeigen.de/s-bestandsliste.html?userId=28941598", "Link")</f>
        <v/>
      </c>
      <c r="K828" s="7" t="n">
        <v>45551.4111574074</v>
      </c>
      <c r="L828" s="3" t="inlineStr">
        <is>
          <t>128.77</t>
        </is>
      </c>
      <c r="M828" t="inlineStr">
        <is>
          <t>München</t>
        </is>
      </c>
    </row>
    <row r="829">
      <c r="A829" t="inlineStr">
        <is>
          <t>North Wave Rebel MTB Schuh schwarz Größe 40,5</t>
        </is>
      </c>
      <c r="B829" s="4" t="n">
        <v>50</v>
      </c>
      <c r="C829" t="inlineStr"/>
      <c r="D829" t="inlineStr">
        <is>
          <t>85221 Kr. Dachau - Dachau</t>
        </is>
      </c>
      <c r="E829" s="5" t="n">
        <v>45549</v>
      </c>
      <c r="F829" t="inlineStr">
        <is>
          <t>Sold</t>
        </is>
      </c>
      <c r="G829" s="6">
        <f>HYPERLINK("https://www.kleinanzeigen.de/s-anzeige/north-wave-rebel-mtb-schuh-schwarz-groesse-40-5/2863508574-230-5977", "Link")</f>
        <v/>
      </c>
      <c r="H829" s="6">
        <f>HYPERLINK("C:\Projects\Kleinanzeigen-Scraper\offer_images\2863508574", "Link")</f>
        <v/>
      </c>
      <c r="I829" t="inlineStr">
        <is>
          <t>CZ</t>
        </is>
      </c>
      <c r="J829" s="6">
        <f>HYPERLINK("https://www.kleinanzeigen.de/s-bestandsliste.html?userId=137319459", "Link")</f>
        <v/>
      </c>
      <c r="K829" s="7" t="n">
        <v>45551.41111111111</v>
      </c>
      <c r="L829" s="3" t="inlineStr">
        <is>
          <t>16.19</t>
        </is>
      </c>
      <c r="M829" t="inlineStr">
        <is>
          <t>München</t>
        </is>
      </c>
    </row>
    <row r="830">
      <c r="A830" t="inlineStr">
        <is>
          <t>IQ- Foil Starboard / Windsurfing Foil</t>
        </is>
      </c>
      <c r="B830" s="4" t="n">
        <v>1.69</v>
      </c>
      <c r="C830" t="inlineStr"/>
      <c r="D830" t="inlineStr">
        <is>
          <t>22045 Wandsbek - Hamburg Tonndorf</t>
        </is>
      </c>
      <c r="E830" s="5" t="n">
        <v>45338</v>
      </c>
      <c r="F830" t="inlineStr">
        <is>
          <t>Sold</t>
        </is>
      </c>
      <c r="G830" s="6">
        <f>HYPERLINK("https://www.kleinanzeigen.de/s-anzeige/iq-foil-starboard-windsurfing-foil/2681076485-230-17135", "Link")</f>
        <v/>
      </c>
      <c r="H830" s="6">
        <f>HYPERLINK("C:\Projects\Kleinanzeigen-Scraper\offer_images\2681076485", "Link")</f>
        <v/>
      </c>
      <c r="I830" t="inlineStr">
        <is>
          <t>Nadia J.</t>
        </is>
      </c>
      <c r="J830" s="6">
        <f>HYPERLINK("https://www.kleinanzeigen.de/s-bestandsliste.html?userId=79389459", "Link")</f>
        <v/>
      </c>
      <c r="K830" s="7" t="n">
        <v>45551.41106481481</v>
      </c>
      <c r="L830" s="3" t="inlineStr">
        <is>
          <t>364.91</t>
        </is>
      </c>
      <c r="M830" t="inlineStr">
        <is>
          <t>Köln</t>
        </is>
      </c>
    </row>
    <row r="831">
      <c r="A831" t="inlineStr">
        <is>
          <t>Point 7 Windsurf Segel</t>
        </is>
      </c>
      <c r="B831" s="4" t="n">
        <v>80</v>
      </c>
      <c r="C831" t="inlineStr">
        <is>
          <t>VB</t>
        </is>
      </c>
      <c r="D831" t="inlineStr">
        <is>
          <t>37574 Niedersachsen - Einbeck</t>
        </is>
      </c>
      <c r="E831" s="5" t="n">
        <v>45550</v>
      </c>
      <c r="F831" t="inlineStr"/>
      <c r="G831" s="6">
        <f>HYPERLINK("https://www.kleinanzeigen.de/s-anzeige/point-7-windsurf-segel/2864474760-230-2842", "Link")</f>
        <v/>
      </c>
      <c r="H831" s="6">
        <f>HYPERLINK("C:\Projects\Kleinanzeigen-Scraper\offer_images\2864474760", "Link")</f>
        <v/>
      </c>
      <c r="I831" t="inlineStr">
        <is>
          <t>M. Fischer</t>
        </is>
      </c>
      <c r="J831" s="6">
        <f>HYPERLINK("https://www.kleinanzeigen.de/s-bestandsliste.html?userId=4803195", "Link")</f>
        <v/>
      </c>
      <c r="K831" s="7" t="n">
        <v>45551.4108912037</v>
      </c>
      <c r="L831" s="3" t="inlineStr">
        <is>
          <t>226.22</t>
        </is>
      </c>
      <c r="M831" t="inlineStr">
        <is>
          <t>Köln</t>
        </is>
      </c>
    </row>
    <row r="832">
      <c r="A832" t="inlineStr">
        <is>
          <t>66˚North Iceland Skaftafell Gore-Tex Infinium Jacke XL Island</t>
        </is>
      </c>
      <c r="B832" s="4" t="n">
        <v>199</v>
      </c>
      <c r="C832" t="inlineStr"/>
      <c r="D832" t="inlineStr">
        <is>
          <t>21220 Niedersachsen - Seevetal</t>
        </is>
      </c>
      <c r="E832" s="5" t="n">
        <v>45550</v>
      </c>
      <c r="F832" t="inlineStr">
        <is>
          <t>Sold</t>
        </is>
      </c>
      <c r="G832" s="6">
        <f>HYPERLINK("https://www.kleinanzeigen.de/s-anzeige/66-north-iceland-skaftafell-gore-tex-infinium-jacke-xl-island/2863740060-230-2813", "Link")</f>
        <v/>
      </c>
      <c r="H832" s="6">
        <f>HYPERLINK("C:\Projects\Kleinanzeigen-Scraper\offer_images\2863740060", "Link")</f>
        <v/>
      </c>
      <c r="I832" t="inlineStr">
        <is>
          <t>Robert</t>
        </is>
      </c>
      <c r="J832" s="6">
        <f>HYPERLINK("https://www.kleinanzeigen.de/s-bestandsliste.html?userId=122520791", "Link")</f>
        <v/>
      </c>
      <c r="K832" s="7" t="n">
        <v>45551.41082175926</v>
      </c>
      <c r="L832" s="3" t="inlineStr">
        <is>
          <t>342.14</t>
        </is>
      </c>
      <c r="M832" t="inlineStr">
        <is>
          <t>Köln</t>
        </is>
      </c>
    </row>
    <row r="833">
      <c r="A833" t="inlineStr">
        <is>
          <t>RRD Fahrenheit Chest ZIP Hooded Neoprenanzug 6/4 Surfen Wakeboard</t>
        </is>
      </c>
      <c r="B833" s="4" t="n">
        <v>99</v>
      </c>
      <c r="C833" t="inlineStr"/>
      <c r="D833" t="inlineStr">
        <is>
          <t>99428 Thüringen - Niederzimmern</t>
        </is>
      </c>
      <c r="E833" s="5" t="n">
        <v>45549</v>
      </c>
      <c r="F833" t="inlineStr">
        <is>
          <t>Sold</t>
        </is>
      </c>
      <c r="G833" s="6">
        <f>HYPERLINK("https://www.kleinanzeigen.de/s-anzeige/rrd-fahrenheit-chest-zip-hooded-neoprenanzug-6-4-surfen-wakeboard/2863072359-230-22940", "Link")</f>
        <v/>
      </c>
      <c r="H833" s="6">
        <f>HYPERLINK("C:\Projects\Kleinanzeigen-Scraper\offer_images\2863072359", "Link")</f>
        <v/>
      </c>
      <c r="I833" t="inlineStr">
        <is>
          <t>Sil.</t>
        </is>
      </c>
      <c r="J833" s="6">
        <f>HYPERLINK("https://www.kleinanzeigen.de/s-bestandsliste.html?userId=9201022", "Link")</f>
        <v/>
      </c>
      <c r="K833" s="7" t="n">
        <v>45551.41082175926</v>
      </c>
      <c r="L833" s="3" t="inlineStr">
        <is>
          <t>298.38</t>
        </is>
      </c>
      <c r="M833" t="inlineStr">
        <is>
          <t>Karlsruhe</t>
        </is>
      </c>
    </row>
    <row r="834">
      <c r="A834" t="inlineStr">
        <is>
          <t>Century Armalite CPT Avon,North Western,Karpfenrute,Tricast,Fox</t>
        </is>
      </c>
      <c r="B834" s="4" t="n">
        <v>300</v>
      </c>
      <c r="C834" t="inlineStr"/>
      <c r="D834" t="inlineStr">
        <is>
          <t>78199 Baden-Württemberg - Bräunlingen</t>
        </is>
      </c>
      <c r="E834" s="5" t="n">
        <v>45549</v>
      </c>
      <c r="F834" t="inlineStr">
        <is>
          <t>Sold</t>
        </is>
      </c>
      <c r="G834" s="6">
        <f>HYPERLINK("https://www.kleinanzeigen.de/s-anzeige/century-armalite-cpt-avon-north-western-karpfenrute-tricast-fox/2863459211-230-8858", "Link")</f>
        <v/>
      </c>
      <c r="H834" s="6">
        <f>HYPERLINK("C:\Projects\Kleinanzeigen-Scraper\offer_images\2863459211", "Link")</f>
        <v/>
      </c>
      <c r="I834" t="inlineStr">
        <is>
          <t>Christian Hildenbrand</t>
        </is>
      </c>
      <c r="J834" s="6">
        <f>HYPERLINK("https://www.kleinanzeigen.de/s-bestandsliste.html?userId=94466610", "Link")</f>
        <v/>
      </c>
      <c r="K834" s="7" t="n">
        <v>45551.41079861111</v>
      </c>
      <c r="L834" s="3" t="inlineStr">
        <is>
          <t>14.93</t>
        </is>
      </c>
      <c r="M834" t="inlineStr">
        <is>
          <t>Bonndorf</t>
        </is>
      </c>
    </row>
    <row r="835">
      <c r="A835" t="inlineStr">
        <is>
          <t>Duotone Evo 9qm 2023</t>
        </is>
      </c>
      <c r="B835" s="4" t="n">
        <v>750</v>
      </c>
      <c r="C835" t="inlineStr">
        <is>
          <t>VB</t>
        </is>
      </c>
      <c r="D835" t="inlineStr">
        <is>
          <t>21423 Niedersachsen - Winsen (Luhe)</t>
        </is>
      </c>
      <c r="E835" s="5" t="n">
        <v>45549</v>
      </c>
      <c r="F835" t="inlineStr">
        <is>
          <t>Sold</t>
        </is>
      </c>
      <c r="G835" s="6">
        <f>HYPERLINK("https://www.kleinanzeigen.de/s-anzeige/duotone-evo-9qm-2023/2813738016-230-3223", "Link")</f>
        <v/>
      </c>
      <c r="H835" s="6">
        <f>HYPERLINK("C:\Projects\Kleinanzeigen-Scraper\offer_images\2813738016", "Link")</f>
        <v/>
      </c>
      <c r="I835" t="inlineStr">
        <is>
          <t>No user name</t>
        </is>
      </c>
      <c r="J835" s="6">
        <f>HYPERLINK("https://www.kleinanzeigen.deNo user link", "Link")</f>
        <v/>
      </c>
      <c r="K835" s="7" t="n">
        <v>45551.41079861111</v>
      </c>
      <c r="L835" s="3" t="inlineStr">
        <is>
          <t>349.14</t>
        </is>
      </c>
      <c r="M835" t="inlineStr">
        <is>
          <t>Köln</t>
        </is>
      </c>
    </row>
    <row r="836">
      <c r="A836" t="inlineStr">
        <is>
          <t>Rivarossi Northern Pacific Caboose Ho</t>
        </is>
      </c>
      <c r="B836" s="4" t="n">
        <v>18</v>
      </c>
      <c r="C836" t="inlineStr">
        <is>
          <t>VB</t>
        </is>
      </c>
      <c r="D836" t="inlineStr">
        <is>
          <t>26506 Niedersachsen - Norden</t>
        </is>
      </c>
      <c r="E836" s="5" t="n">
        <v>45549</v>
      </c>
      <c r="F836" t="inlineStr">
        <is>
          <t>Sold</t>
        </is>
      </c>
      <c r="G836" s="6">
        <f>HYPERLINK("https://www.kleinanzeigen.de/s-anzeige/rivarossi-northern-pacific-caboose-ho/2863546456-249-2777", "Link")</f>
        <v/>
      </c>
      <c r="H836" s="6">
        <f>HYPERLINK("C:\Projects\Kleinanzeigen-Scraper\offer_images\2863546456", "Link")</f>
        <v/>
      </c>
      <c r="I836" t="inlineStr">
        <is>
          <t>J. Pietzka</t>
        </is>
      </c>
      <c r="J836" s="6">
        <f>HYPERLINK("https://www.kleinanzeigen.de/s-bestandsliste.html?userId=136120815", "Link")</f>
        <v/>
      </c>
      <c r="K836" s="7" t="n">
        <v>45551.41076388889</v>
      </c>
      <c r="L836" s="3" t="inlineStr">
        <is>
          <t>293.71</t>
        </is>
      </c>
      <c r="M836" t="inlineStr">
        <is>
          <t>Köln</t>
        </is>
      </c>
    </row>
    <row r="837">
      <c r="A837" t="inlineStr">
        <is>
          <t>Vorzelt Isabella Comodore North G19+Sonnenvordach+Seitenwände</t>
        </is>
      </c>
      <c r="B837" s="4" t="n">
        <v>2.1</v>
      </c>
      <c r="C837" t="inlineStr"/>
      <c r="D837" t="inlineStr">
        <is>
          <t>46395 Nordrhein-Westfalen - Bocholt</t>
        </is>
      </c>
      <c r="E837" s="5" t="n">
        <v>45550</v>
      </c>
      <c r="F837" t="inlineStr">
        <is>
          <t>Sold</t>
        </is>
      </c>
      <c r="G837" s="6">
        <f>HYPERLINK("https://www.kleinanzeigen.de/s-anzeige/vorzelt-isabella-comodore-north-g19-sonnenvordach-seitenwaende/2863755145-230-1849", "Link")</f>
        <v/>
      </c>
      <c r="H837" s="6">
        <f>HYPERLINK("C:\Projects\Kleinanzeigen-Scraper\offer_images\2863755145", "Link")</f>
        <v/>
      </c>
      <c r="I837" t="inlineStr">
        <is>
          <t>Kirsten</t>
        </is>
      </c>
      <c r="J837" s="6">
        <f>HYPERLINK("https://www.kleinanzeigen.de/s-bestandsliste.html?userId=24173293", "Link")</f>
        <v/>
      </c>
      <c r="K837" s="7" t="n">
        <v>45551.41075231481</v>
      </c>
      <c r="L837" s="3" t="inlineStr">
        <is>
          <t>101.96</t>
        </is>
      </c>
      <c r="M837" t="inlineStr">
        <is>
          <t>Köln</t>
        </is>
      </c>
    </row>
    <row r="838">
      <c r="A838" t="inlineStr">
        <is>
          <t>Boardbag Ion Double 260 cm - Windsurf Reisetasche</t>
        </is>
      </c>
      <c r="B838" s="4" t="n">
        <v>130</v>
      </c>
      <c r="C838" t="inlineStr">
        <is>
          <t>VB</t>
        </is>
      </c>
      <c r="D838" t="inlineStr">
        <is>
          <t>91710 Bayern - Gunzenhausen</t>
        </is>
      </c>
      <c r="E838" s="5" t="n">
        <v>45549</v>
      </c>
      <c r="F838" t="inlineStr">
        <is>
          <t>Sold</t>
        </is>
      </c>
      <c r="G838" s="6">
        <f>HYPERLINK("https://www.kleinanzeigen.de/s-anzeige/boardbag-ion-double-260-cm-windsurf-reisetasche/2863124449-230-6163", "Link")</f>
        <v/>
      </c>
      <c r="H838" s="6">
        <f>HYPERLINK("C:\Projects\Kleinanzeigen-Scraper\offer_images\2863124449", "Link")</f>
        <v/>
      </c>
      <c r="I838" t="inlineStr">
        <is>
          <t>Marc Seubert</t>
        </is>
      </c>
      <c r="J838" s="6">
        <f>HYPERLINK("https://www.kleinanzeigen.de/s-bestandsliste.html?userId=30784994", "Link")</f>
        <v/>
      </c>
      <c r="K838" s="7" t="n">
        <v>45551.41070601852</v>
      </c>
      <c r="L838" s="3" t="inlineStr">
        <is>
          <t>125.65</t>
        </is>
      </c>
      <c r="M838" t="inlineStr">
        <is>
          <t>München</t>
        </is>
      </c>
    </row>
    <row r="839">
      <c r="A839" t="inlineStr">
        <is>
          <t>Starboard SUP Hardboard 12‘6x31‘‘Touring Starlite</t>
        </is>
      </c>
      <c r="B839" s="4" t="n">
        <v>1.2</v>
      </c>
      <c r="C839" t="inlineStr"/>
      <c r="D839" t="inlineStr">
        <is>
          <t>23774 Kreis Ostholstein - Heiligenhafen</t>
        </is>
      </c>
      <c r="E839" s="5" t="n">
        <v>45497</v>
      </c>
      <c r="F839" t="inlineStr"/>
      <c r="G839" s="6">
        <f>HYPERLINK("https://www.kleinanzeigen.de/s-anzeige/starboard-sup-hardboard-12-6x31-touring-starlite/2820383665-230-427", "Link")</f>
        <v/>
      </c>
      <c r="H839" s="6">
        <f>HYPERLINK("C:\Projects\Kleinanzeigen-Scraper\offer_images\2820383665", "Link")</f>
        <v/>
      </c>
      <c r="I839" t="inlineStr">
        <is>
          <t>Bootsie_66</t>
        </is>
      </c>
      <c r="J839" s="6">
        <f>HYPERLINK("https://www.kleinanzeigen.de/s-bestandsliste.html?userId=139990764", "Link")</f>
        <v/>
      </c>
      <c r="K839" s="7" t="n">
        <v>45551.41070601852</v>
      </c>
      <c r="L839" s="3" t="inlineStr">
        <is>
          <t>467.75</t>
        </is>
      </c>
      <c r="M839" t="inlineStr">
        <is>
          <t>Köln</t>
        </is>
      </c>
    </row>
    <row r="840">
      <c r="A840" t="inlineStr">
        <is>
          <t>Starboard Foilset Windfoil Foil</t>
        </is>
      </c>
      <c r="B840" s="4" t="n">
        <v>950</v>
      </c>
      <c r="C840" t="inlineStr"/>
      <c r="D840" t="inlineStr">
        <is>
          <t>24119 Kiel - Kronshagen</t>
        </is>
      </c>
      <c r="E840" s="5" t="n">
        <v>45503</v>
      </c>
      <c r="F840" t="inlineStr"/>
      <c r="G840" s="6">
        <f>HYPERLINK("https://www.kleinanzeigen.de/s-anzeige/starboard-foilset-windfoil-foil/2825133024-230-705", "Link")</f>
        <v/>
      </c>
      <c r="H840" s="6">
        <f>HYPERLINK("C:\Projects\Kleinanzeigen-Scraper\offer_images\2825133024", "Link")</f>
        <v/>
      </c>
      <c r="I840" t="inlineStr">
        <is>
          <t>Jo</t>
        </is>
      </c>
      <c r="J840" s="6">
        <f>HYPERLINK("https://www.kleinanzeigen.de/s-bestandsliste.html?userId=4228966", "Link")</f>
        <v/>
      </c>
      <c r="K840" s="7" t="n">
        <v>45551.41039351852</v>
      </c>
      <c r="L840" s="3" t="inlineStr">
        <is>
          <t>432.46</t>
        </is>
      </c>
      <c r="M840" t="inlineStr">
        <is>
          <t>Köln</t>
        </is>
      </c>
    </row>
    <row r="841">
      <c r="A841" t="inlineStr">
        <is>
          <t>Duotone Unit 4.5 2024</t>
        </is>
      </c>
      <c r="B841" s="4" t="n">
        <v>600</v>
      </c>
      <c r="C841" t="inlineStr"/>
      <c r="D841" t="inlineStr">
        <is>
          <t>82449 Bayern - Uffing</t>
        </is>
      </c>
      <c r="E841" s="5" t="n">
        <v>45550</v>
      </c>
      <c r="F841" t="inlineStr">
        <is>
          <t>Sold</t>
        </is>
      </c>
      <c r="G841" s="6">
        <f>HYPERLINK("https://www.kleinanzeigen.de/s-anzeige/duotone-unit-4-5-2024/2864105832-230-5553", "Link")</f>
        <v/>
      </c>
      <c r="H841" s="6">
        <f>HYPERLINK("C:\Projects\Kleinanzeigen-Scraper\offer_images\2864105832", "Link")</f>
        <v/>
      </c>
      <c r="I841" t="inlineStr">
        <is>
          <t>Bert Lammel</t>
        </is>
      </c>
      <c r="J841" s="6">
        <f>HYPERLINK("https://www.kleinanzeigen.de/s-bestandsliste.html?userId=11036507", "Link")</f>
        <v/>
      </c>
      <c r="K841" s="7" t="n">
        <v>45551.41034722222</v>
      </c>
      <c r="L841" s="3" t="inlineStr">
        <is>
          <t>58.83</t>
        </is>
      </c>
      <c r="M841" t="inlineStr">
        <is>
          <t>München</t>
        </is>
      </c>
    </row>
    <row r="842">
      <c r="A842" t="inlineStr">
        <is>
          <t>Steiff Teddy Bär Basa, Baby Sailor Bear North Amerika</t>
        </is>
      </c>
      <c r="B842" s="4" t="n">
        <v>80</v>
      </c>
      <c r="C842" t="inlineStr"/>
      <c r="D842" t="inlineStr">
        <is>
          <t>44793 Bochum - Bochum-Mitte</t>
        </is>
      </c>
      <c r="E842" s="5" t="n">
        <v>45543</v>
      </c>
      <c r="F842" t="inlineStr">
        <is>
          <t>Sold</t>
        </is>
      </c>
      <c r="G842" s="6">
        <f>HYPERLINK("https://www.kleinanzeigen.de/s-anzeige/steiff-teddy-baer-basa-baby-sailor-bear-north-amerika/2857438382-234-1948", "Link")</f>
        <v/>
      </c>
      <c r="H842" s="6">
        <f>HYPERLINK("C:\Projects\Kleinanzeigen-Scraper\offer_images\2857438382", "Link")</f>
        <v/>
      </c>
      <c r="I842" t="inlineStr">
        <is>
          <t>Unger</t>
        </is>
      </c>
      <c r="J842" s="6">
        <f>HYPERLINK("https://www.kleinanzeigen.de/s-bestandsliste.html?userId=11324341", "Link")</f>
        <v/>
      </c>
      <c r="K842" s="7" t="n">
        <v>45551.4103125</v>
      </c>
      <c r="L842" s="3" t="inlineStr">
        <is>
          <t>62.35</t>
        </is>
      </c>
      <c r="M842" t="inlineStr">
        <is>
          <t>Köln</t>
        </is>
      </c>
    </row>
    <row r="843">
      <c r="A843" t="inlineStr">
        <is>
          <t>FANATIC Triple Boardbag</t>
        </is>
      </c>
      <c r="B843" s="4" t="n">
        <v>150</v>
      </c>
      <c r="C843" t="inlineStr"/>
      <c r="D843" t="inlineStr">
        <is>
          <t>20355 Hamburg-Mitte - Hamburg Neustadt</t>
        </is>
      </c>
      <c r="E843" s="5" t="n">
        <v>45550</v>
      </c>
      <c r="F843" t="inlineStr">
        <is>
          <t>Sold</t>
        </is>
      </c>
      <c r="G843" s="6">
        <f>HYPERLINK("https://www.kleinanzeigen.de/s-anzeige/fanatic-triple-boardbag/2863905350-230-9419", "Link")</f>
        <v/>
      </c>
      <c r="H843" s="6">
        <f>HYPERLINK("C:\Projects\Kleinanzeigen-Scraper\offer_images\2863905350", "Link")</f>
        <v/>
      </c>
      <c r="I843" t="inlineStr">
        <is>
          <t>Jan</t>
        </is>
      </c>
      <c r="J843" s="6">
        <f>HYPERLINK("https://www.kleinanzeigen.de/s-bestandsliste.html?userId=17196134", "Link")</f>
        <v/>
      </c>
      <c r="K843" s="7" t="n">
        <v>45551.4102662037</v>
      </c>
      <c r="L843" s="3" t="inlineStr">
        <is>
          <t>356.47</t>
        </is>
      </c>
      <c r="M843" t="inlineStr">
        <is>
          <t>Köln</t>
        </is>
      </c>
    </row>
    <row r="844">
      <c r="A844" t="inlineStr">
        <is>
          <t>Air Cirrus North 400 - Luftvorzelt / Camping / Wohnwagen</t>
        </is>
      </c>
      <c r="B844" s="4" t="n">
        <v>2.15</v>
      </c>
      <c r="C844" t="inlineStr">
        <is>
          <t>VB</t>
        </is>
      </c>
      <c r="D844" t="inlineStr">
        <is>
          <t>59609 Nordrhein-Westfalen - Anröchte</t>
        </is>
      </c>
      <c r="E844" s="5" t="n">
        <v>45533</v>
      </c>
      <c r="F844" t="inlineStr">
        <is>
          <t>Sold</t>
        </is>
      </c>
      <c r="G844" s="6">
        <f>HYPERLINK("https://www.kleinanzeigen.de/s-anzeige/air-cirrus-north-400-luftvorzelt-camping-wohnwagen/2849423530-230-1267", "Link")</f>
        <v/>
      </c>
      <c r="H844" s="6">
        <f>HYPERLINK("C:\Projects\Kleinanzeigen-Scraper\offer_images\2849423530", "Link")</f>
        <v/>
      </c>
      <c r="I844" t="inlineStr">
        <is>
          <t>H.J.</t>
        </is>
      </c>
      <c r="J844" s="6">
        <f>HYPERLINK("https://www.kleinanzeigen.de/s-bestandsliste.html?userId=62824042", "Link")</f>
        <v/>
      </c>
      <c r="K844" s="7" t="n">
        <v>45551.41024305556</v>
      </c>
      <c r="L844" s="3" t="inlineStr">
        <is>
          <t>116.12</t>
        </is>
      </c>
      <c r="M844" t="inlineStr">
        <is>
          <t>Köln</t>
        </is>
      </c>
    </row>
    <row r="845">
      <c r="A845" t="inlineStr">
        <is>
          <t>Starboard SUP iGO ZSC 11‘2 + Paddel, Pumpe, Finne, Rucksack,Leash</t>
        </is>
      </c>
      <c r="B845" s="4" t="n">
        <v>520</v>
      </c>
      <c r="C845" t="inlineStr"/>
      <c r="D845" t="inlineStr">
        <is>
          <t>22087 Hamburg-Nord - Hamburg Hohenfelde</t>
        </is>
      </c>
      <c r="E845" s="5" t="n">
        <v>45103</v>
      </c>
      <c r="F845" t="inlineStr">
        <is>
          <t>Sold</t>
        </is>
      </c>
      <c r="G845" s="6">
        <f>HYPERLINK("https://www.kleinanzeigen.de/s-anzeige/starboard-sup-igo-zsc-11-2-paddel-pumpe-finne-rucksack-leash/2465412055-230-9421", "Link")</f>
        <v/>
      </c>
      <c r="H845" s="6">
        <f>HYPERLINK("C:\Projects\Kleinanzeigen-Scraper\offer_images\2465412055", "Link")</f>
        <v/>
      </c>
      <c r="I845" t="inlineStr">
        <is>
          <t>Maxim</t>
        </is>
      </c>
      <c r="J845" s="6">
        <f>HYPERLINK("https://www.kleinanzeigen.de/s-bestandsliste.html?userId=3444991", "Link")</f>
        <v/>
      </c>
      <c r="K845" s="7" t="n">
        <v>45551.41020833333</v>
      </c>
      <c r="L845" s="3" t="inlineStr">
        <is>
          <t>358.93</t>
        </is>
      </c>
      <c r="M845" t="inlineStr">
        <is>
          <t>Köln</t>
        </is>
      </c>
    </row>
    <row r="846">
      <c r="A846" t="inlineStr">
        <is>
          <t>The North Face Travel Canister Kulturbeutel</t>
        </is>
      </c>
      <c r="B846" s="4" t="n">
        <v>15</v>
      </c>
      <c r="C846" t="inlineStr"/>
      <c r="D846" t="inlineStr">
        <is>
          <t>82131 Bayern - Gauting</t>
        </is>
      </c>
      <c r="E846" s="5" t="n">
        <v>45550</v>
      </c>
      <c r="F846" t="inlineStr">
        <is>
          <t>Sold</t>
        </is>
      </c>
      <c r="G846" s="6">
        <f>HYPERLINK("https://www.kleinanzeigen.de/s-anzeige/the-north-face-travel-canister-kulturbeutel/2864629675-230-6334", "Link")</f>
        <v/>
      </c>
      <c r="H846" s="6">
        <f>HYPERLINK("C:\Projects\Kleinanzeigen-Scraper\offer_images\2864629675", "Link")</f>
        <v/>
      </c>
      <c r="I846" t="inlineStr">
        <is>
          <t>Alex</t>
        </is>
      </c>
      <c r="J846" s="6">
        <f>HYPERLINK("https://www.kleinanzeigen.de/s-bestandsliste.html?userId=32044101", "Link")</f>
        <v/>
      </c>
      <c r="K846" s="7" t="n">
        <v>45551.41018518519</v>
      </c>
      <c r="L846" s="3" t="inlineStr">
        <is>
          <t>16.76</t>
        </is>
      </c>
      <c r="M846" t="inlineStr">
        <is>
          <t>München</t>
        </is>
      </c>
    </row>
    <row r="847">
      <c r="A847" t="inlineStr">
        <is>
          <t>SUP Paddel Carbon. Kein Naish, Fanatic</t>
        </is>
      </c>
      <c r="B847" s="4" t="n">
        <v>50</v>
      </c>
      <c r="C847" t="inlineStr"/>
      <c r="D847" t="inlineStr">
        <is>
          <t>22459 Eimsbüttel - Hamburg Schnelsen</t>
        </is>
      </c>
      <c r="E847" s="5" t="n">
        <v>45549</v>
      </c>
      <c r="F847" t="inlineStr">
        <is>
          <t>Sold</t>
        </is>
      </c>
      <c r="G847" s="6">
        <f>HYPERLINK("https://www.kleinanzeigen.de/s-anzeige/sup-paddel-carbon-kein-naish-fanatic/2863453678-187-9490", "Link")</f>
        <v/>
      </c>
      <c r="H847" s="6">
        <f>HYPERLINK("C:\Projects\Kleinanzeigen-Scraper\offer_images\2863453678", "Link")</f>
        <v/>
      </c>
      <c r="I847" t="inlineStr">
        <is>
          <t>Oliver Jantsch</t>
        </is>
      </c>
      <c r="J847" s="6">
        <f>HYPERLINK("https://www.kleinanzeigen.de/s-bestandsliste.html?userId=22996155", "Link")</f>
        <v/>
      </c>
      <c r="K847" s="7" t="n">
        <v>45551.41018518519</v>
      </c>
      <c r="L847" s="3" t="inlineStr">
        <is>
          <t>361.89</t>
        </is>
      </c>
      <c r="M847" t="inlineStr">
        <is>
          <t>Köln</t>
        </is>
      </c>
    </row>
    <row r="848">
      <c r="A848" t="inlineStr">
        <is>
          <t>Duotone Dice 7m und 9m</t>
        </is>
      </c>
      <c r="B848" s="4" t="n">
        <v>600</v>
      </c>
      <c r="C848" t="inlineStr">
        <is>
          <t>VB</t>
        </is>
      </c>
      <c r="D848" t="inlineStr">
        <is>
          <t>80799 München - Maxvorstadt</t>
        </is>
      </c>
      <c r="E848" s="5" t="n">
        <v>45550</v>
      </c>
      <c r="F848" t="inlineStr">
        <is>
          <t>Sold</t>
        </is>
      </c>
      <c r="G848" s="6">
        <f>HYPERLINK("https://www.kleinanzeigen.de/s-anzeige/duotone-dice-7m-und-9m/2864793386-230-16355", "Link")</f>
        <v/>
      </c>
      <c r="H848" s="6">
        <f>HYPERLINK("C:\Projects\Kleinanzeigen-Scraper\offer_images\2864793386", "Link")</f>
        <v/>
      </c>
      <c r="I848" t="inlineStr">
        <is>
          <t>Daniel Bibo</t>
        </is>
      </c>
      <c r="J848" s="6">
        <f>HYPERLINK("https://www.kleinanzeigen.de/s-bestandsliste.html?userId=15093290", "Link")</f>
        <v/>
      </c>
      <c r="K848" s="7" t="n">
        <v>45551.41016203703</v>
      </c>
      <c r="L848" s="3" t="inlineStr">
        <is>
          <t>1.66</t>
        </is>
      </c>
      <c r="M848" t="inlineStr">
        <is>
          <t>München</t>
        </is>
      </c>
    </row>
    <row r="849">
      <c r="A849" t="inlineStr">
        <is>
          <t>Gasgrill North Bay Mr. Gardener #LI14ww</t>
        </is>
      </c>
      <c r="B849" s="4" t="n">
        <v>179</v>
      </c>
      <c r="C849" t="inlineStr"/>
      <c r="D849" t="inlineStr">
        <is>
          <t>77839 Baden-Württemberg - Lichtenau</t>
        </is>
      </c>
      <c r="E849" s="5" t="n">
        <v>45550</v>
      </c>
      <c r="F849" t="inlineStr">
        <is>
          <t>Sold</t>
        </is>
      </c>
      <c r="G849" s="6">
        <f>HYPERLINK("https://www.kleinanzeigen.de/s-anzeige/gasgrill-north-bay-mr-gardener-li14ww/2475731825-187-8747", "Link")</f>
        <v/>
      </c>
      <c r="H849" s="6">
        <f>HYPERLINK("C:\Projects\Kleinanzeigen-Scraper\offer_images\2475731825", "Link")</f>
        <v/>
      </c>
      <c r="I849" t="inlineStr">
        <is>
          <t>No user name</t>
        </is>
      </c>
      <c r="J849" s="6">
        <f>HYPERLINK("https://www.kleinanzeigen.deNo user link", "Link")</f>
        <v/>
      </c>
      <c r="K849" s="7" t="n">
        <v>45551.41008101852</v>
      </c>
      <c r="L849" s="3" t="inlineStr">
        <is>
          <t>42.18</t>
        </is>
      </c>
      <c r="M849" t="inlineStr">
        <is>
          <t>Karlsruhe</t>
        </is>
      </c>
    </row>
    <row r="850">
      <c r="A850" t="inlineStr">
        <is>
          <t>Starboard SUP Paddel Enduro Carbon Tiki Tech blau 2 tlg. Gr. M</t>
        </is>
      </c>
      <c r="B850" s="4" t="n">
        <v>165</v>
      </c>
      <c r="C850" t="inlineStr">
        <is>
          <t>VB</t>
        </is>
      </c>
      <c r="D850" t="inlineStr">
        <is>
          <t>23560 Schleswig-Holstein - Lübeck</t>
        </is>
      </c>
      <c r="E850" s="5" t="n">
        <v>45489</v>
      </c>
      <c r="F850" t="inlineStr"/>
      <c r="G850" s="6">
        <f>HYPERLINK("https://www.kleinanzeigen.de/s-anzeige/starboard-sup-paddel-enduro-carbon-tiki-tech-blau-2-tlg-gr-m/2813762279-230-422", "Link")</f>
        <v/>
      </c>
      <c r="H850" s="6">
        <f>HYPERLINK("C:\Projects\Kleinanzeigen-Scraper\offer_images\2813762279", "Link")</f>
        <v/>
      </c>
      <c r="I850" t="inlineStr">
        <is>
          <t>F. Meyer</t>
        </is>
      </c>
      <c r="J850" s="6">
        <f>HYPERLINK("https://www.kleinanzeigen.de/s-bestandsliste.html?userId=13065541", "Link")</f>
        <v/>
      </c>
      <c r="K850" s="7" t="n">
        <v>45551.41008101852</v>
      </c>
      <c r="L850" s="3" t="inlineStr">
        <is>
          <t>406.24</t>
        </is>
      </c>
      <c r="M850" t="inlineStr">
        <is>
          <t>Köln</t>
        </is>
      </c>
    </row>
    <row r="851">
      <c r="A851" t="inlineStr">
        <is>
          <t>Starboard Race plus Carbon foil 2020</t>
        </is>
      </c>
      <c r="B851" s="4" t="n">
        <v>1.2</v>
      </c>
      <c r="C851" t="inlineStr">
        <is>
          <t>VB</t>
        </is>
      </c>
      <c r="D851" t="inlineStr">
        <is>
          <t>66287 Saarland - Quierschied</t>
        </is>
      </c>
      <c r="E851" s="5" t="n">
        <v>45492</v>
      </c>
      <c r="F851" t="inlineStr"/>
      <c r="G851" s="6">
        <f>HYPERLINK("https://www.kleinanzeigen.de/s-anzeige/starboard-race-plus-carbon-foil-2020/2816190900-230-330", "Link")</f>
        <v/>
      </c>
      <c r="H851" s="6">
        <f>HYPERLINK("C:\Projects\Kleinanzeigen-Scraper\offer_images\2816190900", "Link")</f>
        <v/>
      </c>
      <c r="I851" t="inlineStr">
        <is>
          <t>Oliver</t>
        </is>
      </c>
      <c r="J851" s="6">
        <f>HYPERLINK("https://www.kleinanzeigen.de/s-bestandsliste.html?userId=129668761", "Link")</f>
        <v/>
      </c>
      <c r="K851" s="7" t="n">
        <v>45551.41001157407</v>
      </c>
      <c r="L851" s="3" t="inlineStr">
        <is>
          <t>103.51</t>
        </is>
      </c>
      <c r="M851" t="inlineStr">
        <is>
          <t>Karlsruhe</t>
        </is>
      </c>
    </row>
    <row r="852">
      <c r="A852" t="inlineStr">
        <is>
          <t>Duotone Rebel SLS in 12, Modell '22</t>
        </is>
      </c>
      <c r="B852" s="4" t="n">
        <v>950</v>
      </c>
      <c r="C852" t="inlineStr">
        <is>
          <t>VB</t>
        </is>
      </c>
      <c r="D852" t="inlineStr">
        <is>
          <t>18230 Bad Doberan - Landkreis - Rerik</t>
        </is>
      </c>
      <c r="E852" s="5" t="n">
        <v>45550</v>
      </c>
      <c r="F852" t="inlineStr">
        <is>
          <t>Sold</t>
        </is>
      </c>
      <c r="G852" s="6">
        <f>HYPERLINK("https://www.kleinanzeigen.de/s-anzeige/duotone-rebel-sls-in-12-modell-22/2864360624-230-219", "Link")</f>
        <v/>
      </c>
      <c r="H852" s="6">
        <f>HYPERLINK("C:\Projects\Kleinanzeigen-Scraper\offer_images\2864360624", "Link")</f>
        <v/>
      </c>
      <c r="I852" t="inlineStr">
        <is>
          <t>Thomas</t>
        </is>
      </c>
      <c r="J852" s="6">
        <f>HYPERLINK("https://www.kleinanzeigen.de/s-bestandsliste.html?userId=57257332", "Link")</f>
        <v/>
      </c>
      <c r="K852" s="7" t="n">
        <v>45551.41001157407</v>
      </c>
      <c r="L852" s="3" t="inlineStr">
        <is>
          <t>475.42</t>
        </is>
      </c>
      <c r="M852" t="inlineStr">
        <is>
          <t>Köln</t>
        </is>
      </c>
    </row>
    <row r="853">
      <c r="A853" t="inlineStr">
        <is>
          <t>Masten Windsurfen Surfen Neilpryde</t>
        </is>
      </c>
      <c r="B853" s="4" t="n">
        <v>50</v>
      </c>
      <c r="C853" t="inlineStr">
        <is>
          <t>VB</t>
        </is>
      </c>
      <c r="D853" t="inlineStr">
        <is>
          <t>32549 Nordrhein-Westfalen - Bad Oeynhausen</t>
        </is>
      </c>
      <c r="E853" s="5" t="n">
        <v>45484</v>
      </c>
      <c r="F853" t="inlineStr">
        <is>
          <t>Sold</t>
        </is>
      </c>
      <c r="G853" s="6">
        <f>HYPERLINK("https://www.kleinanzeigen.de/s-anzeige/masten-windsurfen-surfen-neilpryde/2809836540-230-1239", "Link")</f>
        <v/>
      </c>
      <c r="H853" s="6">
        <f>HYPERLINK("C:\Projects\Kleinanzeigen-Scraper\offer_images\2809836540", "Link")</f>
        <v/>
      </c>
      <c r="I853" t="inlineStr">
        <is>
          <t>Marcel</t>
        </is>
      </c>
      <c r="J853" s="6">
        <f>HYPERLINK("https://www.kleinanzeigen.de/s-bestandsliste.html?userId=23626151", "Link")</f>
        <v/>
      </c>
      <c r="K853" s="7" t="n">
        <v>45551.4099537037</v>
      </c>
      <c r="L853" s="3" t="inlineStr">
        <is>
          <t>192.60</t>
        </is>
      </c>
      <c r="M853" t="inlineStr">
        <is>
          <t>Köln</t>
        </is>
      </c>
    </row>
    <row r="854">
      <c r="A854" t="inlineStr">
        <is>
          <t>STARBOARD SUP Inflatables 2024 Designs - sofort verfügbare SUPs</t>
        </is>
      </c>
      <c r="B854" s="4" t="n">
        <v>799</v>
      </c>
      <c r="C854" t="inlineStr"/>
      <c r="D854" t="inlineStr">
        <is>
          <t>33100 Nordrhein-Westfalen - Paderborn</t>
        </is>
      </c>
      <c r="E854" s="5" t="n">
        <v>45386</v>
      </c>
      <c r="F854" t="inlineStr"/>
      <c r="G854" s="6">
        <f>HYPERLINK("https://www.kleinanzeigen.de/s-anzeige/starboard-sup-inflatables-2024-designs-sofort-verfuegbare-sups/2725708250-230-2164", "Link")</f>
        <v/>
      </c>
      <c r="H854" s="6">
        <f>HYPERLINK("C:\Projects\Kleinanzeigen-Scraper\offer_images\2725708250", "Link")</f>
        <v/>
      </c>
      <c r="I854" t="inlineStr">
        <is>
          <t>BORAVENT</t>
        </is>
      </c>
      <c r="J854" s="6">
        <f>HYPERLINK("https://www.kleinanzeigen.de/s-bestandsliste.html?userId=55973585", "Link")</f>
        <v/>
      </c>
      <c r="K854" s="7" t="n">
        <v>45551.4099074074</v>
      </c>
      <c r="L854" s="3" t="inlineStr">
        <is>
          <t>156.96</t>
        </is>
      </c>
      <c r="M854" t="inlineStr">
        <is>
          <t>Köln</t>
        </is>
      </c>
    </row>
    <row r="855">
      <c r="A855" t="inlineStr">
        <is>
          <t>Boss Schwert für Starboard Phantom 377</t>
        </is>
      </c>
      <c r="B855" s="4" t="n">
        <v>650</v>
      </c>
      <c r="C855" t="inlineStr">
        <is>
          <t>VB</t>
        </is>
      </c>
      <c r="D855" t="inlineStr">
        <is>
          <t>23843 Schleswig-Holstein - Bad Oldesloe</t>
        </is>
      </c>
      <c r="E855" s="5" t="n">
        <v>45494</v>
      </c>
      <c r="F855" t="inlineStr">
        <is>
          <t>Sold</t>
        </is>
      </c>
      <c r="G855" s="6">
        <f>HYPERLINK("https://www.kleinanzeigen.de/s-anzeige/boss-schwert-fuer-starboard-phantom-377/2816793574-230-12923", "Link")</f>
        <v/>
      </c>
      <c r="H855" s="6">
        <f>HYPERLINK("C:\Projects\Kleinanzeigen-Scraper\offer_images\2816793574", "Link")</f>
        <v/>
      </c>
      <c r="I855" t="inlineStr">
        <is>
          <t>Hubertus</t>
        </is>
      </c>
      <c r="J855" s="6">
        <f>HYPERLINK("https://www.kleinanzeigen.de/s-bestandsliste.html?userId=2299691", "Link")</f>
        <v/>
      </c>
      <c r="K855" s="7" t="n">
        <v>45551.40988425926</v>
      </c>
      <c r="L855" s="3" t="inlineStr">
        <is>
          <t>393.04</t>
        </is>
      </c>
      <c r="M855" t="inlineStr">
        <is>
          <t>Köln</t>
        </is>
      </c>
    </row>
    <row r="856">
      <c r="A856" t="inlineStr">
        <is>
          <t>Hobby Master HA4305 23707 North American F-86 Sabre RCAF 1:72</t>
        </is>
      </c>
      <c r="B856" s="4" t="n">
        <v>80</v>
      </c>
      <c r="C856" t="inlineStr"/>
      <c r="D856" t="inlineStr">
        <is>
          <t>85356 Bayern - München-Flughafen</t>
        </is>
      </c>
      <c r="E856" s="5" t="n">
        <v>45550</v>
      </c>
      <c r="F856" t="inlineStr">
        <is>
          <t>Sold</t>
        </is>
      </c>
      <c r="G856" s="6">
        <f>HYPERLINK("https://www.kleinanzeigen.de/s-anzeige/hobby-master-ha4305-23707-north-american-f-86-sabre-rcaf-1-72/2863806483-249-6264", "Link")</f>
        <v/>
      </c>
      <c r="H856" s="6">
        <f>HYPERLINK("C:\Projects\Kleinanzeigen-Scraper\offer_images\2863806483", "Link")</f>
        <v/>
      </c>
      <c r="I856" t="inlineStr">
        <is>
          <t>Alexander</t>
        </is>
      </c>
      <c r="J856" s="6">
        <f>HYPERLINK("https://www.kleinanzeigen.de/s-bestandsliste.html?userId=123551245", "Link")</f>
        <v/>
      </c>
      <c r="K856" s="7" t="n">
        <v>45551.40980324074</v>
      </c>
      <c r="L856" s="3" t="inlineStr">
        <is>
          <t>30.83</t>
        </is>
      </c>
      <c r="M856" t="inlineStr">
        <is>
          <t>München</t>
        </is>
      </c>
    </row>
    <row r="857">
      <c r="A857" t="inlineStr">
        <is>
          <t>Windsurf, Windsurfboard, Boardbag TEKKNO Sport 280</t>
        </is>
      </c>
      <c r="B857" s="4" t="n">
        <v>80</v>
      </c>
      <c r="C857" t="inlineStr">
        <is>
          <t>VB</t>
        </is>
      </c>
      <c r="D857" t="inlineStr">
        <is>
          <t>66130 Saarbrücken-Halberg - Eschringen</t>
        </is>
      </c>
      <c r="E857" s="5" t="n">
        <v>45549</v>
      </c>
      <c r="F857" t="inlineStr">
        <is>
          <t>Sold</t>
        </is>
      </c>
      <c r="G857" s="6">
        <f>HYPERLINK("https://www.kleinanzeigen.de/s-anzeige/windsurf-windsurfboard-boardbag-tekkno-sport-280/2862881223-230-398", "Link")</f>
        <v/>
      </c>
      <c r="H857" s="6">
        <f>HYPERLINK("C:\Projects\Kleinanzeigen-Scraper\offer_images\2862881223", "Link")</f>
        <v/>
      </c>
      <c r="I857" t="inlineStr">
        <is>
          <t>Wolf</t>
        </is>
      </c>
      <c r="J857" s="6">
        <f>HYPERLINK("https://www.kleinanzeigen.de/s-bestandsliste.html?userId=18453454", "Link")</f>
        <v/>
      </c>
      <c r="K857" s="7" t="n">
        <v>45551.40979166667</v>
      </c>
      <c r="L857" s="3" t="inlineStr">
        <is>
          <t>98.87</t>
        </is>
      </c>
      <c r="M857" t="inlineStr">
        <is>
          <t>Karlsruhe</t>
        </is>
      </c>
    </row>
    <row r="858">
      <c r="A858" t="inlineStr">
        <is>
          <t>Duotone Evo D/LAB 8 m²</t>
        </is>
      </c>
      <c r="B858" s="4" t="n">
        <v>1.499</v>
      </c>
      <c r="C858" t="inlineStr">
        <is>
          <t>VB</t>
        </is>
      </c>
      <c r="D858" t="inlineStr">
        <is>
          <t>87509 Bayern - Immenstadt</t>
        </is>
      </c>
      <c r="E858" s="5" t="n">
        <v>45550</v>
      </c>
      <c r="F858" t="inlineStr">
        <is>
          <t>Sold</t>
        </is>
      </c>
      <c r="G858" s="6">
        <f>HYPERLINK("https://www.kleinanzeigen.de/s-anzeige/duotone-evo-d-lab-8-m-/2864189531-230-5538", "Link")</f>
        <v/>
      </c>
      <c r="H858" s="6">
        <f>HYPERLINK("C:\Projects\Kleinanzeigen-Scraper\offer_images\2864189531", "Link")</f>
        <v/>
      </c>
      <c r="I858" t="inlineStr">
        <is>
          <t>OJ</t>
        </is>
      </c>
      <c r="J858" s="6">
        <f>HYPERLINK("https://www.kleinanzeigen.de/s-bestandsliste.html?userId=5638425", "Link")</f>
        <v/>
      </c>
      <c r="K858" s="7" t="n">
        <v>45551.4097800926</v>
      </c>
      <c r="L858" s="3" t="inlineStr">
        <is>
          <t>120.75</t>
        </is>
      </c>
      <c r="M858" t="inlineStr">
        <is>
          <t>München</t>
        </is>
      </c>
    </row>
    <row r="859">
      <c r="A859" t="inlineStr">
        <is>
          <t>The North Face Westwind 2 Zelt</t>
        </is>
      </c>
      <c r="B859" s="4" t="n">
        <v>100</v>
      </c>
      <c r="C859" t="inlineStr"/>
      <c r="D859" t="inlineStr">
        <is>
          <t>91099 Bayern - Poxdorf</t>
        </is>
      </c>
      <c r="E859" s="5" t="n">
        <v>45550</v>
      </c>
      <c r="F859" t="inlineStr">
        <is>
          <t>Sold</t>
        </is>
      </c>
      <c r="G859" s="6">
        <f>HYPERLINK("https://www.kleinanzeigen.de/s-anzeige/the-north-face-westwind-2-zelt/2864706207-230-6277", "Link")</f>
        <v/>
      </c>
      <c r="H859" s="6">
        <f>HYPERLINK("C:\Projects\Kleinanzeigen-Scraper\offer_images\2864706207", "Link")</f>
        <v/>
      </c>
      <c r="I859" t="inlineStr">
        <is>
          <t>A. Teichtmann</t>
        </is>
      </c>
      <c r="J859" s="6">
        <f>HYPERLINK("https://www.kleinanzeigen.de/s-bestandsliste.html?userId=6370011", "Link")</f>
        <v/>
      </c>
      <c r="K859" s="7" t="n">
        <v>45551.40975694444</v>
      </c>
      <c r="L859" s="3" t="inlineStr">
        <is>
          <t>174.04</t>
        </is>
      </c>
      <c r="M859" t="inlineStr">
        <is>
          <t>München</t>
        </is>
      </c>
    </row>
    <row r="860">
      <c r="A860" t="inlineStr">
        <is>
          <t>Paddel sup Kids Carbon starboard</t>
        </is>
      </c>
      <c r="B860" s="4" t="n">
        <v>60</v>
      </c>
      <c r="C860" t="inlineStr"/>
      <c r="D860" t="inlineStr">
        <is>
          <t>50259 Nordrhein-Westfalen - Pulheim</t>
        </is>
      </c>
      <c r="E860" s="5" t="n">
        <v>45179</v>
      </c>
      <c r="F860" t="inlineStr">
        <is>
          <t>Sold</t>
        </is>
      </c>
      <c r="G860" s="6">
        <f>HYPERLINK("https://www.kleinanzeigen.de/s-anzeige/paddel-sup-kids-carbon-starboard/2542176414-230-1889", "Link")</f>
        <v/>
      </c>
      <c r="H860" s="6">
        <f>HYPERLINK("C:\Projects\Kleinanzeigen-Scraper\offer_images\2542176414", "Link")</f>
        <v/>
      </c>
      <c r="I860" t="inlineStr">
        <is>
          <t>Sabine</t>
        </is>
      </c>
      <c r="J860" s="6">
        <f>HYPERLINK("https://www.kleinanzeigen.de/s-bestandsliste.html?userId=25264364", "Link")</f>
        <v/>
      </c>
      <c r="K860" s="7" t="n">
        <v>45551.4096875</v>
      </c>
      <c r="L860" s="3" t="inlineStr">
        <is>
          <t>13.20</t>
        </is>
      </c>
      <c r="M860" t="inlineStr">
        <is>
          <t>Köln</t>
        </is>
      </c>
    </row>
    <row r="861">
      <c r="A861" t="inlineStr">
        <is>
          <t>Neilpryde Woman, Jenna,Gr. 42, ungetragen, Surf, Wassersport, SUP</t>
        </is>
      </c>
      <c r="B861" s="4" t="n">
        <v>60</v>
      </c>
      <c r="C861" t="inlineStr">
        <is>
          <t>VB</t>
        </is>
      </c>
      <c r="D861" t="inlineStr">
        <is>
          <t>33615 Bielefeld - Bielefeld (Innenstadt)</t>
        </is>
      </c>
      <c r="E861" s="5" t="n">
        <v>45483</v>
      </c>
      <c r="F861" t="inlineStr">
        <is>
          <t>Sold</t>
        </is>
      </c>
      <c r="G861" s="6">
        <f>HYPERLINK("https://www.kleinanzeigen.de/s-anzeige/neilpryde-woman-jenna-gr-42-ungetragen-surf-wassersport-sup/2808824560-230-1058", "Link")</f>
        <v/>
      </c>
      <c r="H861" s="6">
        <f>HYPERLINK("C:\Projects\Kleinanzeigen-Scraper\offer_images\2808824560", "Link")</f>
        <v/>
      </c>
      <c r="I861" t="inlineStr">
        <is>
          <t>Carola Giller</t>
        </is>
      </c>
      <c r="J861" s="6">
        <f>HYPERLINK("https://www.kleinanzeigen.de/s-bestandsliste.html?userId=7988525", "Link")</f>
        <v/>
      </c>
      <c r="K861" s="7" t="n">
        <v>45551.40966435185</v>
      </c>
      <c r="L861" s="3" t="inlineStr">
        <is>
          <t>162.21</t>
        </is>
      </c>
      <c r="M861" t="inlineStr">
        <is>
          <t>Köln</t>
        </is>
      </c>
    </row>
    <row r="862">
      <c r="A862" t="inlineStr">
        <is>
          <t>North Reach 10qm neu (2023 Modell)</t>
        </is>
      </c>
      <c r="B862" s="4" t="n">
        <v>850</v>
      </c>
      <c r="C862" t="inlineStr">
        <is>
          <t>VB</t>
        </is>
      </c>
      <c r="D862" t="inlineStr">
        <is>
          <t>26388 Niedersachsen - Wilhelmshaven</t>
        </is>
      </c>
      <c r="E862" s="5" t="n">
        <v>45550</v>
      </c>
      <c r="F862" t="inlineStr">
        <is>
          <t>Sold</t>
        </is>
      </c>
      <c r="G862" s="6">
        <f>HYPERLINK("https://www.kleinanzeigen.de/s-anzeige/north-reach-10qm-neu-2023-modell-/2863684116-230-3098", "Link")</f>
        <v/>
      </c>
      <c r="H862" s="6">
        <f>HYPERLINK("C:\Projects\Kleinanzeigen-Scraper\offer_images\2863684116", "Link")</f>
        <v/>
      </c>
      <c r="I862" t="inlineStr">
        <is>
          <t>Kira</t>
        </is>
      </c>
      <c r="J862" s="6">
        <f>HYPERLINK("https://www.kleinanzeigen.de/s-bestandsliste.html?userId=15277573", "Link")</f>
        <v/>
      </c>
      <c r="K862" s="7" t="n">
        <v>45551.40958333333</v>
      </c>
      <c r="L862" s="3" t="inlineStr">
        <is>
          <t>303.78</t>
        </is>
      </c>
      <c r="M862" t="inlineStr">
        <is>
          <t>Köln</t>
        </is>
      </c>
    </row>
    <row r="863">
      <c r="A863" t="inlineStr">
        <is>
          <t>Fanatic Sup Pure</t>
        </is>
      </c>
      <c r="B863" s="4" t="n">
        <v>190</v>
      </c>
      <c r="C863" t="inlineStr">
        <is>
          <t>VB</t>
        </is>
      </c>
      <c r="D863" t="inlineStr">
        <is>
          <t>85435 Bayern - Erding</t>
        </is>
      </c>
      <c r="E863" s="5" t="n">
        <v>45542</v>
      </c>
      <c r="F863" t="inlineStr">
        <is>
          <t>Sold</t>
        </is>
      </c>
      <c r="G863" s="6">
        <f>HYPERLINK("https://www.kleinanzeigen.de/s-anzeige/fanatic-sup-pure/2856240306-230-6080", "Link")</f>
        <v/>
      </c>
      <c r="H863" s="6">
        <f>HYPERLINK("C:\Projects\Kleinanzeigen-Scraper\offer_images\2856240306", "Link")</f>
        <v/>
      </c>
      <c r="I863" t="inlineStr">
        <is>
          <t>M. B.</t>
        </is>
      </c>
      <c r="J863" s="6">
        <f>HYPERLINK("https://www.kleinanzeigen.de/s-bestandsliste.html?userId=30524492", "Link")</f>
        <v/>
      </c>
      <c r="K863" s="7" t="n">
        <v>45551.40958333333</v>
      </c>
      <c r="L863" s="3" t="inlineStr">
        <is>
          <t>32.53</t>
        </is>
      </c>
      <c r="M863" t="inlineStr">
        <is>
          <t>München</t>
        </is>
      </c>
    </row>
    <row r="864">
      <c r="A864" t="inlineStr">
        <is>
          <t>The North Face Laufjacke Gr. S weiss</t>
        </is>
      </c>
      <c r="B864" s="4" t="n">
        <v>35</v>
      </c>
      <c r="C864" t="inlineStr"/>
      <c r="D864" t="inlineStr">
        <is>
          <t>50354 Nordrhein-Westfalen - Hürth</t>
        </is>
      </c>
      <c r="E864" s="5" t="n">
        <v>45550</v>
      </c>
      <c r="F864" t="inlineStr">
        <is>
          <t>Sold</t>
        </is>
      </c>
      <c r="G864" s="6">
        <f>HYPERLINK("https://www.kleinanzeigen.de/s-anzeige/the-north-face-laufjacke-gr-s-weiss/2863761274-230-1891", "Link")</f>
        <v/>
      </c>
      <c r="H864" s="6">
        <f>HYPERLINK("C:\Projects\Kleinanzeigen-Scraper\offer_images\2863761274", "Link")</f>
        <v/>
      </c>
      <c r="I864" t="inlineStr">
        <is>
          <t>Jonas</t>
        </is>
      </c>
      <c r="J864" s="6">
        <f>HYPERLINK("https://www.kleinanzeigen.de/s-bestandsliste.html?userId=8177292", "Link")</f>
        <v/>
      </c>
      <c r="K864" s="7" t="n">
        <v>45551.40953703703</v>
      </c>
      <c r="L864" s="3" t="inlineStr">
        <is>
          <t>10.69</t>
        </is>
      </c>
      <c r="M864" t="inlineStr">
        <is>
          <t>Köln</t>
        </is>
      </c>
    </row>
    <row r="865">
      <c r="A865" t="inlineStr">
        <is>
          <t>Starboard Foil superflyer Evolution 1300</t>
        </is>
      </c>
      <c r="B865" s="4" t="n">
        <v>800</v>
      </c>
      <c r="C865" t="inlineStr">
        <is>
          <t>VB</t>
        </is>
      </c>
      <c r="D865" t="inlineStr">
        <is>
          <t>66287 Saarland - Quierschied</t>
        </is>
      </c>
      <c r="E865" s="5" t="n">
        <v>45492</v>
      </c>
      <c r="F865" t="inlineStr"/>
      <c r="G865" s="6">
        <f>HYPERLINK("https://www.kleinanzeigen.de/s-anzeige/starboard-foil-superflyer-evolution-1300/2816196005-230-330", "Link")</f>
        <v/>
      </c>
      <c r="H865" s="6">
        <f>HYPERLINK("C:\Projects\Kleinanzeigen-Scraper\offer_images\2816196005", "Link")</f>
        <v/>
      </c>
      <c r="I865" t="inlineStr">
        <is>
          <t>Oliver</t>
        </is>
      </c>
      <c r="J865" s="6">
        <f>HYPERLINK("https://www.kleinanzeigen.de/s-bestandsliste.html?userId=129668761", "Link")</f>
        <v/>
      </c>
      <c r="K865" s="7" t="n">
        <v>45551.40953703703</v>
      </c>
      <c r="L865" s="3" t="inlineStr">
        <is>
          <t>103.51</t>
        </is>
      </c>
      <c r="M865" t="inlineStr">
        <is>
          <t>Karlsruhe</t>
        </is>
      </c>
    </row>
    <row r="866">
      <c r="A866" t="inlineStr">
        <is>
          <t>North Sails Herren Softshelljacke Windsurf Gr. S Jacke Sommerjack</t>
        </is>
      </c>
      <c r="B866" s="4" t="n">
        <v>100</v>
      </c>
      <c r="C866" t="inlineStr"/>
      <c r="D866" t="inlineStr">
        <is>
          <t>24105 Schleswig-Holstein - Kiel</t>
        </is>
      </c>
      <c r="E866" s="5" t="n">
        <v>45550</v>
      </c>
      <c r="F866" t="inlineStr">
        <is>
          <t>Sold</t>
        </is>
      </c>
      <c r="G866" s="6">
        <f>HYPERLINK("https://www.kleinanzeigen.de/s-anzeige/north-sails-herren-softshelljacke-windsurf-gr-s-jacke-sommerjack/2863717361-160-708", "Link")</f>
        <v/>
      </c>
      <c r="H866" s="6">
        <f>HYPERLINK("C:\Projects\Kleinanzeigen-Scraper\offer_images\2863717361", "Link")</f>
        <v/>
      </c>
      <c r="I866" t="inlineStr">
        <is>
          <t>Jan</t>
        </is>
      </c>
      <c r="J866" s="6">
        <f>HYPERLINK("https://www.kleinanzeigen.de/s-bestandsliste.html?userId=9631650", "Link")</f>
        <v/>
      </c>
      <c r="K866" s="7" t="n">
        <v>45551.40947916666</v>
      </c>
      <c r="L866" s="3" t="inlineStr">
        <is>
          <t>435.05</t>
        </is>
      </c>
      <c r="M866" t="inlineStr">
        <is>
          <t>Köln</t>
        </is>
      </c>
    </row>
    <row r="867">
      <c r="A867" t="inlineStr">
        <is>
          <t>Snowboard Fanatic</t>
        </is>
      </c>
      <c r="B867" s="4" t="n">
        <v>80</v>
      </c>
      <c r="C867" t="inlineStr">
        <is>
          <t>VB</t>
        </is>
      </c>
      <c r="D867" t="inlineStr">
        <is>
          <t>81927 München - Bogenhausen</t>
        </is>
      </c>
      <c r="E867" s="5" t="n">
        <v>45550</v>
      </c>
      <c r="F867" t="inlineStr">
        <is>
          <t>Sold</t>
        </is>
      </c>
      <c r="G867" s="6">
        <f>HYPERLINK("https://www.kleinanzeigen.de/s-anzeige/snowboard-fanatic/2863828952-230-6527", "Link")</f>
        <v/>
      </c>
      <c r="H867" s="6">
        <f>HYPERLINK("C:\Projects\Kleinanzeigen-Scraper\offer_images\2863828952", "Link")</f>
        <v/>
      </c>
      <c r="I867" t="inlineStr">
        <is>
          <t>Armin Schroth</t>
        </is>
      </c>
      <c r="J867" s="6">
        <f>HYPERLINK("https://www.kleinanzeigen.de/s-bestandsliste.html?userId=14402098", "Link")</f>
        <v/>
      </c>
      <c r="K867" s="7" t="n">
        <v>45551.40931712963</v>
      </c>
      <c r="L867" s="3" t="inlineStr">
        <is>
          <t>5.60</t>
        </is>
      </c>
      <c r="M867" t="inlineStr">
        <is>
          <t>München</t>
        </is>
      </c>
    </row>
    <row r="868">
      <c r="A868" t="inlineStr">
        <is>
          <t>Starboard SUP Go 11.2 x 32" ASAP</t>
        </is>
      </c>
      <c r="B868" s="4" t="n">
        <v>400</v>
      </c>
      <c r="C868" t="inlineStr"/>
      <c r="D868" t="inlineStr">
        <is>
          <t>24113 Schleswig-Holstein - Molfsee</t>
        </is>
      </c>
      <c r="E868" s="5" t="n">
        <v>45194</v>
      </c>
      <c r="F868" t="inlineStr">
        <is>
          <t>Sold</t>
        </is>
      </c>
      <c r="G868" s="6">
        <f>HYPERLINK("https://www.kleinanzeigen.de/s-anzeige/starboard-sup-go-11-2-x-32-asap/2555387858-230-21250", "Link")</f>
        <v/>
      </c>
      <c r="H868" s="6">
        <f>HYPERLINK("C:\Projects\Kleinanzeigen-Scraper\offer_images\2555387858", "Link")</f>
        <v/>
      </c>
      <c r="I868" t="inlineStr">
        <is>
          <t>Schneider</t>
        </is>
      </c>
      <c r="J868" s="6">
        <f>HYPERLINK("https://www.kleinanzeigen.de/s-bestandsliste.html?userId=15943150", "Link")</f>
        <v/>
      </c>
      <c r="K868" s="7" t="n">
        <v>45551.40930555556</v>
      </c>
      <c r="L868" s="3" t="inlineStr">
        <is>
          <t>427.37</t>
        </is>
      </c>
      <c r="M868" t="inlineStr">
        <is>
          <t>Köln</t>
        </is>
      </c>
    </row>
    <row r="869">
      <c r="A869" t="inlineStr">
        <is>
          <t>Foil Starboard Alu GT Windsurfen</t>
        </is>
      </c>
      <c r="B869" s="4" t="n">
        <v>490</v>
      </c>
      <c r="C869" t="inlineStr"/>
      <c r="D869" t="inlineStr">
        <is>
          <t>26131 Niedersachsen - Oldenburg</t>
        </is>
      </c>
      <c r="E869" s="5" t="n">
        <v>45508</v>
      </c>
      <c r="F869" t="inlineStr">
        <is>
          <t>Sold</t>
        </is>
      </c>
      <c r="G869" s="6">
        <f>HYPERLINK("https://www.kleinanzeigen.de/s-anzeige/foil-starboard-alu-gt-windsurfen/2829298062-230-3109", "Link")</f>
        <v/>
      </c>
      <c r="H869" s="6">
        <f>HYPERLINK("C:\Projects\Kleinanzeigen-Scraper\offer_images\2829298062", "Link")</f>
        <v/>
      </c>
      <c r="I869" t="inlineStr">
        <is>
          <t>Anna</t>
        </is>
      </c>
      <c r="J869" s="6">
        <f>HYPERLINK("https://www.kleinanzeigen.de/s-bestandsliste.html?userId=2364080", "Link")</f>
        <v/>
      </c>
      <c r="K869" s="7" t="n">
        <v>45551.40921296296</v>
      </c>
      <c r="L869" s="3" t="inlineStr">
        <is>
          <t>257.10</t>
        </is>
      </c>
      <c r="M869" t="inlineStr">
        <is>
          <t>Köln</t>
        </is>
      </c>
    </row>
    <row r="870">
      <c r="A870" t="inlineStr">
        <is>
          <t>Starboard SUP 2024 iGo Deluxe / Touring Deluxe Lite Roll, NEU</t>
        </is>
      </c>
      <c r="B870" s="4" t="n">
        <v>839</v>
      </c>
      <c r="C870" t="inlineStr"/>
      <c r="D870" t="inlineStr">
        <is>
          <t>33100 Nordrhein-Westfalen - Paderborn</t>
        </is>
      </c>
      <c r="E870" s="5" t="n">
        <v>45133</v>
      </c>
      <c r="F870" t="inlineStr">
        <is>
          <t>Sold</t>
        </is>
      </c>
      <c r="G870" s="6">
        <f>HYPERLINK("https://www.kleinanzeigen.de/s-anzeige/starboard-sup-2024-igo-deluxe-touring-deluxe-lite-roll-neu/2502994830-230-2164", "Link")</f>
        <v/>
      </c>
      <c r="H870" s="6">
        <f>HYPERLINK("C:\Projects\Kleinanzeigen-Scraper\offer_images\2502994830", "Link")</f>
        <v/>
      </c>
      <c r="I870" t="inlineStr">
        <is>
          <t>BORAVENT</t>
        </is>
      </c>
      <c r="J870" s="6">
        <f>HYPERLINK("https://www.kleinanzeigen.de/s-bestandsliste.html?userId=55973585", "Link")</f>
        <v/>
      </c>
      <c r="K870" s="7" t="n">
        <v>45551.4091550926</v>
      </c>
      <c r="L870" s="3" t="inlineStr">
        <is>
          <t>156.96</t>
        </is>
      </c>
      <c r="M870" t="inlineStr">
        <is>
          <t>Köln</t>
        </is>
      </c>
    </row>
    <row r="871">
      <c r="A871" t="inlineStr">
        <is>
          <t>Villeroy &amp; Boch North Pole Express Szene Rarität</t>
        </is>
      </c>
      <c r="B871" s="4" t="n">
        <v>90</v>
      </c>
      <c r="C871" t="inlineStr"/>
      <c r="D871" t="inlineStr">
        <is>
          <t>50170 Nordrhein-Westfalen - Kerpen</t>
        </is>
      </c>
      <c r="E871" s="5" t="n">
        <v>45550</v>
      </c>
      <c r="F871" t="inlineStr">
        <is>
          <t>Sold</t>
        </is>
      </c>
      <c r="G871" s="6">
        <f>HYPERLINK("https://www.kleinanzeigen.de/s-anzeige/villeroy-boch-north-pole-express-szene-raritaet/2863762322-234-1826", "Link")</f>
        <v/>
      </c>
      <c r="H871" s="6">
        <f>HYPERLINK("C:\Projects\Kleinanzeigen-Scraper\offer_images\2863762322", "Link")</f>
        <v/>
      </c>
      <c r="I871" t="inlineStr">
        <is>
          <t>Privat</t>
        </is>
      </c>
      <c r="J871" s="6">
        <f>HYPERLINK("https://www.kleinanzeigen.de/s-bestandsliste.html?userId=46083755", "Link")</f>
        <v/>
      </c>
      <c r="K871" s="7" t="n">
        <v>45551.40908564815</v>
      </c>
      <c r="L871" s="3" t="inlineStr">
        <is>
          <t>25.61</t>
        </is>
      </c>
      <c r="M871" t="inlineStr">
        <is>
          <t>Köln</t>
        </is>
      </c>
    </row>
    <row r="872">
      <c r="A872" t="inlineStr">
        <is>
          <t>Duotone Evo SLS  9m</t>
        </is>
      </c>
      <c r="B872" s="4" t="n">
        <v>990</v>
      </c>
      <c r="C872" t="inlineStr">
        <is>
          <t>VB</t>
        </is>
      </c>
      <c r="D872" t="inlineStr">
        <is>
          <t>89284 Bayern - Pfaffenhofen a. d. Roth</t>
        </is>
      </c>
      <c r="E872" s="5" t="n">
        <v>45549</v>
      </c>
      <c r="F872" t="inlineStr">
        <is>
          <t>Sold</t>
        </is>
      </c>
      <c r="G872" s="6">
        <f>HYPERLINK("https://www.kleinanzeigen.de/s-anzeige/duotone-evo-sls-9m/2863258228-230-6692", "Link")</f>
        <v/>
      </c>
      <c r="H872" s="6">
        <f>HYPERLINK("C:\Projects\Kleinanzeigen-Scraper\offer_images\2863258228", "Link")</f>
        <v/>
      </c>
      <c r="I872" t="inlineStr">
        <is>
          <t>Alexandra Keder</t>
        </is>
      </c>
      <c r="J872" s="6">
        <f>HYPERLINK("https://www.kleinanzeigen.de/s-bestandsliste.html?userId=88539891", "Link")</f>
        <v/>
      </c>
      <c r="K872" s="7" t="n">
        <v>45551.4090625</v>
      </c>
      <c r="L872" s="3" t="inlineStr">
        <is>
          <t>93.95</t>
        </is>
      </c>
      <c r="M872" t="inlineStr">
        <is>
          <t>Böblingen</t>
        </is>
      </c>
    </row>
    <row r="873">
      <c r="A873" t="inlineStr">
        <is>
          <t>The North Face Kulturbeutel</t>
        </is>
      </c>
      <c r="B873" s="4" t="n">
        <v>25</v>
      </c>
      <c r="C873" t="inlineStr">
        <is>
          <t>VB</t>
        </is>
      </c>
      <c r="D873" t="inlineStr">
        <is>
          <t>12051 Berlin - Neukölln</t>
        </is>
      </c>
      <c r="E873" s="5" t="n">
        <v>45549</v>
      </c>
      <c r="F873" t="inlineStr">
        <is>
          <t>Sold</t>
        </is>
      </c>
      <c r="G873" s="6">
        <f>HYPERLINK("https://www.kleinanzeigen.de/s-anzeige/the-north-face-kulturbeutel/2863525155-230-3393", "Link")</f>
        <v/>
      </c>
      <c r="H873" s="6">
        <f>HYPERLINK("C:\Projects\Kleinanzeigen-Scraper\offer_images\2863525155", "Link")</f>
        <v/>
      </c>
      <c r="I873" t="inlineStr">
        <is>
          <t>Nicole Höhme-Richter</t>
        </is>
      </c>
      <c r="J873" s="6">
        <f>HYPERLINK("https://www.kleinanzeigen.de/s-bestandsliste.html?userId=16618518", "Link")</f>
        <v/>
      </c>
      <c r="K873" s="7" t="n">
        <v>45551.4090625</v>
      </c>
      <c r="L873" s="3" t="inlineStr">
        <is>
          <t>477.35</t>
        </is>
      </c>
      <c r="M873" t="inlineStr">
        <is>
          <t>Köln</t>
        </is>
      </c>
    </row>
    <row r="874">
      <c r="A874" t="inlineStr">
        <is>
          <t>Snowboard Santa Cruz 138 cm mit Duotone Bindung</t>
        </is>
      </c>
      <c r="B874" s="4" t="n">
        <v>50</v>
      </c>
      <c r="C874" t="inlineStr">
        <is>
          <t>VB</t>
        </is>
      </c>
      <c r="D874" t="inlineStr">
        <is>
          <t>83661 Bayern - Lenggries</t>
        </is>
      </c>
      <c r="E874" s="5" t="n">
        <v>45549</v>
      </c>
      <c r="F874" t="inlineStr">
        <is>
          <t>Sold</t>
        </is>
      </c>
      <c r="G874" s="6">
        <f>HYPERLINK("https://www.kleinanzeigen.de/s-anzeige/snowboard-santa-cruz-138-cm-mit-duotone-bindung/2863382412-230-5892", "Link")</f>
        <v/>
      </c>
      <c r="H874" s="6">
        <f>HYPERLINK("C:\Projects\Kleinanzeigen-Scraper\offer_images\2863382412", "Link")</f>
        <v/>
      </c>
      <c r="I874" t="inlineStr">
        <is>
          <t>Andi Eß</t>
        </is>
      </c>
      <c r="J874" s="6">
        <f>HYPERLINK("https://www.kleinanzeigen.de/s-bestandsliste.html?userId=20153000", "Link")</f>
        <v/>
      </c>
      <c r="K874" s="7" t="n">
        <v>45551.40893518519</v>
      </c>
      <c r="L874" s="3" t="inlineStr">
        <is>
          <t>64.41</t>
        </is>
      </c>
      <c r="M874" t="inlineStr">
        <is>
          <t>München</t>
        </is>
      </c>
    </row>
    <row r="875">
      <c r="A875" t="inlineStr">
        <is>
          <t>*NEUWERTIGE* The North Face Summit Cayesh Futurelight</t>
        </is>
      </c>
      <c r="B875" s="4" t="n">
        <v>215</v>
      </c>
      <c r="C875" t="inlineStr">
        <is>
          <t>VB</t>
        </is>
      </c>
      <c r="D875" t="inlineStr">
        <is>
          <t>53115 Bonn - Weststadt</t>
        </is>
      </c>
      <c r="E875" s="5" t="n">
        <v>45549</v>
      </c>
      <c r="F875" t="inlineStr">
        <is>
          <t>Sold</t>
        </is>
      </c>
      <c r="G875" s="6">
        <f>HYPERLINK("https://www.kleinanzeigen.de/s-anzeige/-neuwertige-the-north-face-summit-cayesh-futurelight/2863033497-230-23688", "Link")</f>
        <v/>
      </c>
      <c r="H875" s="6">
        <f>HYPERLINK("C:\Projects\Kleinanzeigen-Scraper\offer_images\2863033497", "Link")</f>
        <v/>
      </c>
      <c r="I875" t="inlineStr">
        <is>
          <t>Giulio L.</t>
        </is>
      </c>
      <c r="J875" s="6">
        <f>HYPERLINK("https://www.kleinanzeigen.de/s-bestandsliste.html?userId=140840902", "Link")</f>
        <v/>
      </c>
      <c r="K875" s="7" t="n">
        <v>45551.40875</v>
      </c>
      <c r="L875" s="3" t="inlineStr">
        <is>
          <t>25.98</t>
        </is>
      </c>
      <c r="M875" t="inlineStr">
        <is>
          <t>Köln</t>
        </is>
      </c>
    </row>
    <row r="876">
      <c r="A876" t="inlineStr">
        <is>
          <t>Neilpryde-Long John mit Jacke, Gr. 94, ungetragen, Surfen, SUP</t>
        </is>
      </c>
      <c r="B876" s="4" t="n">
        <v>70</v>
      </c>
      <c r="C876" t="inlineStr">
        <is>
          <t>VB</t>
        </is>
      </c>
      <c r="D876" t="inlineStr">
        <is>
          <t>33615 Bielefeld - Bielefeld (Innenstadt)</t>
        </is>
      </c>
      <c r="E876" s="5" t="n">
        <v>45482</v>
      </c>
      <c r="F876" t="inlineStr">
        <is>
          <t>Sold</t>
        </is>
      </c>
      <c r="G876" s="6">
        <f>HYPERLINK("https://www.kleinanzeigen.de/s-anzeige/neilpryde-long-john-mit-jacke-gr-94-ungetragen-surfen-sup/2808539227-230-1058", "Link")</f>
        <v/>
      </c>
      <c r="H876" s="6">
        <f>HYPERLINK("C:\Projects\Kleinanzeigen-Scraper\offer_images\2808539227", "Link")</f>
        <v/>
      </c>
      <c r="I876" t="inlineStr">
        <is>
          <t>Carola Giller</t>
        </is>
      </c>
      <c r="J876" s="6">
        <f>HYPERLINK("https://www.kleinanzeigen.de/s-bestandsliste.html?userId=7988525", "Link")</f>
        <v/>
      </c>
      <c r="K876" s="7" t="n">
        <v>45551.40865740741</v>
      </c>
      <c r="L876" s="3" t="inlineStr">
        <is>
          <t>162.21</t>
        </is>
      </c>
      <c r="M876" t="inlineStr">
        <is>
          <t>Köln</t>
        </is>
      </c>
    </row>
    <row r="877">
      <c r="A877" t="inlineStr">
        <is>
          <t>Neilpryde woman 44, Surf, Wassersport</t>
        </is>
      </c>
      <c r="B877" s="4" t="n">
        <v>60</v>
      </c>
      <c r="C877" t="inlineStr">
        <is>
          <t>VB</t>
        </is>
      </c>
      <c r="D877" t="inlineStr">
        <is>
          <t>33615 Bielefeld - Bielefeld (Innenstadt)</t>
        </is>
      </c>
      <c r="E877" s="5" t="n">
        <v>45483</v>
      </c>
      <c r="F877" t="inlineStr">
        <is>
          <t>Sold</t>
        </is>
      </c>
      <c r="G877" s="6">
        <f>HYPERLINK("https://www.kleinanzeigen.de/s-anzeige/neilpryde-woman-44-surf-wassersport/2808820188-230-1058", "Link")</f>
        <v/>
      </c>
      <c r="H877" s="6">
        <f>HYPERLINK("C:\Projects\Kleinanzeigen-Scraper\offer_images\2808820188", "Link")</f>
        <v/>
      </c>
      <c r="I877" t="inlineStr">
        <is>
          <t>Carola Giller</t>
        </is>
      </c>
      <c r="J877" s="6">
        <f>HYPERLINK("https://www.kleinanzeigen.de/s-bestandsliste.html?userId=7988525", "Link")</f>
        <v/>
      </c>
      <c r="K877" s="7" t="n">
        <v>45551.40862268519</v>
      </c>
      <c r="L877" s="3" t="inlineStr">
        <is>
          <t>162.21</t>
        </is>
      </c>
      <c r="M877" t="inlineStr">
        <is>
          <t>Köln</t>
        </is>
      </c>
    </row>
    <row r="878">
      <c r="A878" t="inlineStr">
        <is>
          <t>North Rebel 7 m2 schwarz/pink mit Bar</t>
        </is>
      </c>
      <c r="B878" s="4" t="n">
        <v>50</v>
      </c>
      <c r="C878" t="inlineStr"/>
      <c r="D878" t="inlineStr">
        <is>
          <t>24857 Schleswig-Holstein - Fahrdorf</t>
        </is>
      </c>
      <c r="E878" s="5" t="n">
        <v>45550</v>
      </c>
      <c r="F878" t="inlineStr">
        <is>
          <t>Sold</t>
        </is>
      </c>
      <c r="G878" s="6">
        <f>HYPERLINK("https://www.kleinanzeigen.de/s-anzeige/north-rebel-7-m2-schwarz-pink-mit-bar/2864575145-230-550", "Link")</f>
        <v/>
      </c>
      <c r="H878" s="6">
        <f>HYPERLINK("C:\Projects\Kleinanzeigen-Scraper\offer_images\2864575145", "Link")</f>
        <v/>
      </c>
      <c r="I878" t="inlineStr">
        <is>
          <t>Alexander</t>
        </is>
      </c>
      <c r="J878" s="6">
        <f>HYPERLINK("https://www.kleinanzeigen.de/s-bestandsliste.html?userId=14329408", "Link")</f>
        <v/>
      </c>
      <c r="K878" s="7" t="n">
        <v>45551.40850694444</v>
      </c>
      <c r="L878" s="3" t="inlineStr">
        <is>
          <t>434.90</t>
        </is>
      </c>
      <c r="M878" t="inlineStr">
        <is>
          <t>Köln</t>
        </is>
      </c>
    </row>
    <row r="879">
      <c r="A879" t="inlineStr">
        <is>
          <t>SUP Starboard Touring Deluxe 14“</t>
        </is>
      </c>
      <c r="B879" s="4" t="n">
        <v>590</v>
      </c>
      <c r="C879" t="inlineStr"/>
      <c r="D879" t="inlineStr">
        <is>
          <t>85128 Bayern - Nassenfels</t>
        </is>
      </c>
      <c r="E879" s="5" t="n">
        <v>45472</v>
      </c>
      <c r="F879" t="inlineStr"/>
      <c r="G879" s="6">
        <f>HYPERLINK("https://www.kleinanzeigen.de/s-anzeige/sup-starboard-touring-deluxe-14-/2760530923-230-6605", "Link")</f>
        <v/>
      </c>
      <c r="H879" s="6">
        <f>HYPERLINK("C:\Projects\Kleinanzeigen-Scraper\offer_images\2760530923", "Link")</f>
        <v/>
      </c>
      <c r="I879" t="inlineStr">
        <is>
          <t>Privater Anbieter</t>
        </is>
      </c>
      <c r="J879" s="6">
        <f>HYPERLINK("https://www.kleinanzeigen.de/s-bestandsliste.html?userId=25902296", "Link")</f>
        <v/>
      </c>
      <c r="K879" s="7" t="n">
        <v>45551.40848379629</v>
      </c>
      <c r="L879" s="3" t="inlineStr">
        <is>
          <t>77.95</t>
        </is>
      </c>
      <c r="M879" t="inlineStr">
        <is>
          <t>München</t>
        </is>
      </c>
    </row>
    <row r="880">
      <c r="A880" t="inlineStr">
        <is>
          <t>SUP Starboard Astro Deluxe 8'2" x 32" x 4" Carbonpaddel Rucksack</t>
        </is>
      </c>
      <c r="B880" s="4" t="n">
        <v>449</v>
      </c>
      <c r="C880" t="inlineStr">
        <is>
          <t>VB</t>
        </is>
      </c>
      <c r="D880" t="inlineStr">
        <is>
          <t>20249 Hamburg-Nord - Hamburg Eppendorf</t>
        </is>
      </c>
      <c r="E880" s="5" t="n">
        <v>45104</v>
      </c>
      <c r="F880" t="inlineStr">
        <is>
          <t>Sold</t>
        </is>
      </c>
      <c r="G880" s="6">
        <f>HYPERLINK("https://www.kleinanzeigen.de/s-anzeige/sup-starboard-astro-deluxe-8-2-x-32-x-4-carbonpaddel-rucksack/1821213442-230-9476", "Link")</f>
        <v/>
      </c>
      <c r="H880" s="6">
        <f>HYPERLINK("C:\Projects\Kleinanzeigen-Scraper\offer_images\1821213442", "Link")</f>
        <v/>
      </c>
      <c r="I880" t="inlineStr">
        <is>
          <t>SMG</t>
        </is>
      </c>
      <c r="J880" s="6">
        <f>HYPERLINK("https://www.kleinanzeigen.de/s-bestandsliste.html?userId=27763438", "Link")</f>
        <v/>
      </c>
      <c r="K880" s="7" t="n">
        <v>45551.40842592593</v>
      </c>
      <c r="L880" s="3" t="inlineStr">
        <is>
          <t>359.93</t>
        </is>
      </c>
      <c r="M880" t="inlineStr">
        <is>
          <t>Köln</t>
        </is>
      </c>
    </row>
    <row r="881">
      <c r="A881" t="inlineStr">
        <is>
          <t>North Vegas 12m 12qm 2013 (jetzt Duotone)</t>
        </is>
      </c>
      <c r="B881" s="4" t="n">
        <v>240</v>
      </c>
      <c r="C881" t="inlineStr">
        <is>
          <t>VB</t>
        </is>
      </c>
      <c r="D881" t="inlineStr">
        <is>
          <t>88097 Baden-Württemberg - Eriskirch</t>
        </is>
      </c>
      <c r="E881" s="5" t="n">
        <v>45550</v>
      </c>
      <c r="F881" t="inlineStr">
        <is>
          <t>Sold</t>
        </is>
      </c>
      <c r="G881" s="6">
        <f>HYPERLINK("https://www.kleinanzeigen.de/s-anzeige/north-vegas-12m-12qm-2013-jetzt-duotone-/2864350780-230-9215", "Link")</f>
        <v/>
      </c>
      <c r="H881" s="6">
        <f>HYPERLINK("C:\Projects\Kleinanzeigen-Scraper\offer_images\2864350780", "Link")</f>
        <v/>
      </c>
      <c r="I881" t="inlineStr">
        <is>
          <t>Thomas</t>
        </is>
      </c>
      <c r="J881" s="6">
        <f>HYPERLINK("https://www.kleinanzeigen.de/s-bestandsliste.html?userId=36593890", "Link")</f>
        <v/>
      </c>
      <c r="K881" s="7" t="n">
        <v>45551.40840277778</v>
      </c>
      <c r="L881" s="3" t="inlineStr">
        <is>
          <t>91.55</t>
        </is>
      </c>
      <c r="M881" t="inlineStr">
        <is>
          <t>Bonndorf</t>
        </is>
      </c>
    </row>
    <row r="882">
      <c r="A882" t="inlineStr">
        <is>
          <t>Öllampe Starboard</t>
        </is>
      </c>
      <c r="B882" s="4" t="n">
        <v>75</v>
      </c>
      <c r="C882" t="inlineStr"/>
      <c r="D882" t="inlineStr">
        <is>
          <t>42781 Nordrhein-Westfalen - Haan</t>
        </is>
      </c>
      <c r="E882" s="5" t="n">
        <v>44831</v>
      </c>
      <c r="F882" t="inlineStr">
        <is>
          <t>Sold</t>
        </is>
      </c>
      <c r="G882" s="6">
        <f>HYPERLINK("https://www.kleinanzeigen.de/s-anzeige/oellampe-starboard/2225388114-240-1516", "Link")</f>
        <v/>
      </c>
      <c r="H882" s="6">
        <f>HYPERLINK("C:\Projects\Kleinanzeigen-Scraper\offer_images\2225388114", "Link")</f>
        <v/>
      </c>
      <c r="I882" t="inlineStr">
        <is>
          <t>C.W.</t>
        </is>
      </c>
      <c r="J882" s="6">
        <f>HYPERLINK("https://www.kleinanzeigen.de/s-bestandsliste.html?userId=11396817", "Link")</f>
        <v/>
      </c>
      <c r="K882" s="7" t="n">
        <v>45551.40837962963</v>
      </c>
      <c r="L882" s="3" t="inlineStr">
        <is>
          <t>29.91</t>
        </is>
      </c>
      <c r="M882" t="inlineStr">
        <is>
          <t>Köln</t>
        </is>
      </c>
    </row>
    <row r="883">
      <c r="A883" t="inlineStr">
        <is>
          <t>Fanatic Fuselage Carbon 78</t>
        </is>
      </c>
      <c r="B883" s="4" t="n">
        <v>260</v>
      </c>
      <c r="C883" t="inlineStr">
        <is>
          <t>VB</t>
        </is>
      </c>
      <c r="D883" t="inlineStr">
        <is>
          <t>78315 Baden-Württemberg - Radolfzell am Bodensee</t>
        </is>
      </c>
      <c r="E883" s="5" t="n">
        <v>45550</v>
      </c>
      <c r="F883" t="inlineStr">
        <is>
          <t>Sold</t>
        </is>
      </c>
      <c r="G883" s="6">
        <f>HYPERLINK("https://www.kleinanzeigen.de/s-anzeige/fanatic-fuselage-carbon-78/2863743669-230-8190", "Link")</f>
        <v/>
      </c>
      <c r="H883" s="6">
        <f>HYPERLINK("C:\Projects\Kleinanzeigen-Scraper\offer_images\2863743669", "Link")</f>
        <v/>
      </c>
      <c r="I883" t="inlineStr">
        <is>
          <t>Daniel</t>
        </is>
      </c>
      <c r="J883" s="6">
        <f>HYPERLINK("https://www.kleinanzeigen.de/s-bestandsliste.html?userId=36474675", "Link")</f>
        <v/>
      </c>
      <c r="K883" s="7" t="n">
        <v>45551.40834490741</v>
      </c>
      <c r="L883" s="3" t="inlineStr">
        <is>
          <t>48.46</t>
        </is>
      </c>
      <c r="M883" t="inlineStr">
        <is>
          <t>Bonndorf</t>
        </is>
      </c>
    </row>
    <row r="884">
      <c r="A884" t="inlineStr">
        <is>
          <t>Starboard - Travel Paddle Bag</t>
        </is>
      </c>
      <c r="B884" s="4" t="n">
        <v>35</v>
      </c>
      <c r="C884" t="inlineStr"/>
      <c r="D884" t="inlineStr">
        <is>
          <t>40589 Düsseldorf - Flehe</t>
        </is>
      </c>
      <c r="E884" s="5" t="n">
        <v>45366</v>
      </c>
      <c r="F884" t="inlineStr"/>
      <c r="G884" s="6">
        <f>HYPERLINK("https://www.kleinanzeigen.de/s-anzeige/starboard-travel-paddle-bag/2707150765-230-2072", "Link")</f>
        <v/>
      </c>
      <c r="H884" s="6">
        <f>HYPERLINK("C:\Projects\Kleinanzeigen-Scraper\offer_images\2707150765", "Link")</f>
        <v/>
      </c>
      <c r="I884" t="inlineStr">
        <is>
          <t>Rachman Djajakusuma</t>
        </is>
      </c>
      <c r="J884" s="6">
        <f>HYPERLINK("https://www.kleinanzeigen.de/s-bestandsliste.html?userId=31623477", "Link")</f>
        <v/>
      </c>
      <c r="K884" s="7" t="n">
        <v>45551.40825231482</v>
      </c>
      <c r="L884" s="3" t="inlineStr">
        <is>
          <t>26.72</t>
        </is>
      </c>
      <c r="M884" t="inlineStr">
        <is>
          <t>Köln</t>
        </is>
      </c>
    </row>
    <row r="885">
      <c r="A885" t="inlineStr">
        <is>
          <t>10er Duotone Evo 2023- guter Zustand</t>
        </is>
      </c>
      <c r="B885" s="4" t="n">
        <v>655</v>
      </c>
      <c r="C885" t="inlineStr">
        <is>
          <t>VB</t>
        </is>
      </c>
      <c r="D885" t="inlineStr">
        <is>
          <t>24119 Kiel - Kronshagen</t>
        </is>
      </c>
      <c r="E885" s="5" t="n">
        <v>45550</v>
      </c>
      <c r="F885" t="inlineStr">
        <is>
          <t>Sold</t>
        </is>
      </c>
      <c r="G885" s="6">
        <f>HYPERLINK("https://www.kleinanzeigen.de/s-anzeige/10er-duotone-evo-2023-guter-zustand/2864527230-230-705", "Link")</f>
        <v/>
      </c>
      <c r="H885" s="6">
        <f>HYPERLINK("C:\Projects\Kleinanzeigen-Scraper\offer_images\2864527230", "Link")</f>
        <v/>
      </c>
      <c r="I885" t="inlineStr">
        <is>
          <t>Ina</t>
        </is>
      </c>
      <c r="J885" s="6">
        <f>HYPERLINK("https://www.kleinanzeigen.de/s-bestandsliste.html?userId=19853579", "Link")</f>
        <v/>
      </c>
      <c r="K885" s="7" t="n">
        <v>45551.40825231482</v>
      </c>
      <c r="L885" s="3" t="inlineStr">
        <is>
          <t>432.46</t>
        </is>
      </c>
      <c r="M885" t="inlineStr">
        <is>
          <t>Köln</t>
        </is>
      </c>
    </row>
    <row r="886">
      <c r="A886" t="inlineStr">
        <is>
          <t>Werftmodell Northern Devotion 150cm Reedermodell Containerschiff</t>
        </is>
      </c>
      <c r="B886" s="4" t="n">
        <v>3.4</v>
      </c>
      <c r="C886" t="inlineStr"/>
      <c r="D886" t="inlineStr">
        <is>
          <t>20249 Hamburg-Nord - Hamburg Eppendorf</t>
        </is>
      </c>
      <c r="E886" s="5" t="n">
        <v>45550</v>
      </c>
      <c r="F886" t="inlineStr"/>
      <c r="G886" s="6">
        <f>HYPERLINK("https://www.kleinanzeigen.de/s-anzeige/werftmodell-northern-devotion-150cm-reedermodell-containerschiff/2864868709-234-9476", "Link")</f>
        <v/>
      </c>
      <c r="H886" s="6">
        <f>HYPERLINK("C:\Projects\Kleinanzeigen-Scraper\offer_images\2864868709", "Link")</f>
        <v/>
      </c>
      <c r="I886" t="inlineStr">
        <is>
          <t>No user name</t>
        </is>
      </c>
      <c r="J886" s="6">
        <f>HYPERLINK("https://www.kleinanzeigen.deNo user link", "Link")</f>
        <v/>
      </c>
      <c r="K886" s="7" t="n">
        <v>45551.40822916666</v>
      </c>
      <c r="L886" s="3" t="inlineStr">
        <is>
          <t>359.93</t>
        </is>
      </c>
      <c r="M886" t="inlineStr">
        <is>
          <t>Köln</t>
        </is>
      </c>
    </row>
    <row r="887">
      <c r="A887" t="inlineStr">
        <is>
          <t>Starboard Touring SUP 12'6" x 31" Carbon Rails TOP</t>
        </is>
      </c>
      <c r="B887" s="4" t="n">
        <v>649</v>
      </c>
      <c r="C887" t="inlineStr"/>
      <c r="D887" t="inlineStr">
        <is>
          <t>87600 Bayern - Kaufbeuren</t>
        </is>
      </c>
      <c r="E887" s="5" t="n">
        <v>45474</v>
      </c>
      <c r="F887" t="inlineStr"/>
      <c r="G887" s="6">
        <f>HYPERLINK("https://www.kleinanzeigen.de/s-anzeige/starboard-touring-sup-12-6-x-31-carbon-rails-top/2801459195-230-7262", "Link")</f>
        <v/>
      </c>
      <c r="H887" s="6">
        <f>HYPERLINK("C:\Projects\Kleinanzeigen-Scraper\offer_images\2801459195", "Link")</f>
        <v/>
      </c>
      <c r="I887" t="inlineStr">
        <is>
          <t>Gigi</t>
        </is>
      </c>
      <c r="J887" s="6">
        <f>HYPERLINK("https://www.kleinanzeigen.de/s-bestandsliste.html?userId=11574938", "Link")</f>
        <v/>
      </c>
      <c r="K887" s="7" t="n">
        <v>45551.40817129629</v>
      </c>
      <c r="L887" s="3" t="inlineStr">
        <is>
          <t>76.14</t>
        </is>
      </c>
      <c r="M887" t="inlineStr">
        <is>
          <t>München</t>
        </is>
      </c>
    </row>
    <row r="888">
      <c r="A888" t="inlineStr">
        <is>
          <t>Isabella Vorzeltteppich Carpet North 300cmx300cm</t>
        </is>
      </c>
      <c r="B888" s="4" t="n">
        <v>69</v>
      </c>
      <c r="C888" t="inlineStr"/>
      <c r="D888" t="inlineStr">
        <is>
          <t>72622 Baden-Württemberg - Nürtingen</t>
        </is>
      </c>
      <c r="E888" s="5" t="n">
        <v>45550</v>
      </c>
      <c r="F888" t="inlineStr">
        <is>
          <t>Sold</t>
        </is>
      </c>
      <c r="G888" s="6">
        <f>HYPERLINK("https://www.kleinanzeigen.de/s-anzeige/isabella-vorzeltteppich-carpet-north-300cmx300cm/2863677297-230-8219", "Link")</f>
        <v/>
      </c>
      <c r="H888" s="6">
        <f>HYPERLINK("C:\Projects\Kleinanzeigen-Scraper\offer_images\2863677297", "Link")</f>
        <v/>
      </c>
      <c r="I888" t="inlineStr">
        <is>
          <t>Maximilian</t>
        </is>
      </c>
      <c r="J888" s="6">
        <f>HYPERLINK("https://www.kleinanzeigen.de/s-bestandsliste.html?userId=128320335", "Link")</f>
        <v/>
      </c>
      <c r="K888" s="7" t="n">
        <v>45551.40810185186</v>
      </c>
      <c r="L888" s="3" t="inlineStr">
        <is>
          <t>26.22</t>
        </is>
      </c>
      <c r="M888" t="inlineStr">
        <is>
          <t>Böblingen</t>
        </is>
      </c>
    </row>
    <row r="889">
      <c r="A889" t="inlineStr">
        <is>
          <t>Starboard Kinder Race ISUP 12'6x21x4.75 Deluxe</t>
        </is>
      </c>
      <c r="B889" s="4" t="n">
        <v>400</v>
      </c>
      <c r="C889" t="inlineStr">
        <is>
          <t>VB</t>
        </is>
      </c>
      <c r="D889" t="inlineStr">
        <is>
          <t>24340 Schleswig-Holstein - Eckernförde</t>
        </is>
      </c>
      <c r="E889" s="5" t="n">
        <v>45504</v>
      </c>
      <c r="F889" t="inlineStr">
        <is>
          <t>Sold</t>
        </is>
      </c>
      <c r="G889" s="6">
        <f>HYPERLINK("https://www.kleinanzeigen.de/s-anzeige/starboard-kinder-race-isup-12-6x21x4-75-deluxe/2825513846-230-13234", "Link")</f>
        <v/>
      </c>
      <c r="H889" s="6">
        <f>HYPERLINK("C:\Projects\Kleinanzeigen-Scraper\offer_images\2825513846", "Link")</f>
        <v/>
      </c>
      <c r="I889" t="inlineStr">
        <is>
          <t>Tanja Miranda</t>
        </is>
      </c>
      <c r="J889" s="6">
        <f>HYPERLINK("https://www.kleinanzeigen.de/s-bestandsliste.html?userId=77431213", "Link")</f>
        <v/>
      </c>
      <c r="K889" s="7" t="n">
        <v>45551.40803240741</v>
      </c>
      <c r="L889" s="3" t="inlineStr">
        <is>
          <t>434.69</t>
        </is>
      </c>
      <c r="M889" t="inlineStr">
        <is>
          <t>Köln</t>
        </is>
      </c>
    </row>
    <row r="890">
      <c r="A890" t="inlineStr">
        <is>
          <t>DUOTONE Rebel SLS 2022 9m² coral-red/blue</t>
        </is>
      </c>
      <c r="B890" s="4" t="n">
        <v>1.349</v>
      </c>
      <c r="C890" t="inlineStr"/>
      <c r="D890" t="inlineStr">
        <is>
          <t>17509 Mecklenburg-Vorpommern - Loissin</t>
        </is>
      </c>
      <c r="E890" s="5" t="n">
        <v>45550</v>
      </c>
      <c r="F890" t="inlineStr">
        <is>
          <t>Sold</t>
        </is>
      </c>
      <c r="G890" s="6">
        <f>HYPERLINK("https://www.kleinanzeigen.de/s-anzeige/duotone-rebel-sls-2022-9m-coral-red-blue/2738035535-230-21340", "Link")</f>
        <v/>
      </c>
      <c r="H890" s="6">
        <f>HYPERLINK("C:\Projects\Kleinanzeigen-Scraper\offer_images\2738035535", "Link")</f>
        <v/>
      </c>
      <c r="I890" t="inlineStr">
        <is>
          <t>No user name</t>
        </is>
      </c>
      <c r="J890" s="6">
        <f>HYPERLINK("https://www.kleinanzeigen.deNo user link", "Link")</f>
        <v/>
      </c>
      <c r="K890" s="7" t="n">
        <v>45551.40785879629</v>
      </c>
      <c r="L890" s="3" t="inlineStr">
        <is>
          <t>568.47</t>
        </is>
      </c>
      <c r="M890" t="inlineStr">
        <is>
          <t>Köln</t>
        </is>
      </c>
    </row>
    <row r="891">
      <c r="A891" t="inlineStr">
        <is>
          <t>Duotone Evo D/LAB  9</t>
        </is>
      </c>
      <c r="B891" s="4" t="n">
        <v>1.588</v>
      </c>
      <c r="C891" t="inlineStr"/>
      <c r="D891" t="inlineStr">
        <is>
          <t>23769 Kreis Ostholstein - Fehmarn</t>
        </is>
      </c>
      <c r="E891" s="5" t="n">
        <v>45550</v>
      </c>
      <c r="F891" t="inlineStr">
        <is>
          <t>Sold</t>
        </is>
      </c>
      <c r="G891" s="6">
        <f>HYPERLINK("https://www.kleinanzeigen.de/s-anzeige/duotone-evo-d-lab-9/2863704223-230-19951", "Link")</f>
        <v/>
      </c>
      <c r="H891" s="6">
        <f>HYPERLINK("C:\Projects\Kleinanzeigen-Scraper\offer_images\2863704223", "Link")</f>
        <v/>
      </c>
      <c r="I891" t="inlineStr">
        <is>
          <t>Eugen</t>
        </is>
      </c>
      <c r="J891" s="6">
        <f>HYPERLINK("https://www.kleinanzeigen.de/s-bestandsliste.html?userId=16978001", "Link")</f>
        <v/>
      </c>
      <c r="K891" s="7" t="n">
        <v>45551.40777777778</v>
      </c>
      <c r="L891" s="3" t="inlineStr">
        <is>
          <t>483.01</t>
        </is>
      </c>
      <c r="M891" t="inlineStr">
        <is>
          <t>Köln</t>
        </is>
      </c>
    </row>
    <row r="892">
      <c r="A892" t="inlineStr">
        <is>
          <t>2 x 2000 Pesetas PTAS 1996 Francisco de Goya Silber 925</t>
        </is>
      </c>
      <c r="B892" s="4" t="inlineStr"/>
      <c r="C892" t="inlineStr">
        <is>
          <t>VB</t>
        </is>
      </c>
      <c r="D892" t="inlineStr">
        <is>
          <t>91799 Bayern - Langenaltheim</t>
        </is>
      </c>
      <c r="E892" s="5" t="n">
        <v>45310</v>
      </c>
      <c r="F892" t="inlineStr"/>
      <c r="G892" s="6">
        <f>HYPERLINK("https://www.kleinanzeigen.de/s-anzeige/2-x-2000-pesetas-ptas-1996-francisco-de-goya-silber-925/2657142329-234-5865", "Link")</f>
        <v/>
      </c>
      <c r="H892" s="6">
        <f>HYPERLINK("C:\Projects\Kleinanzeigen-Scraper\offer_images\2657142329", "Link")</f>
        <v/>
      </c>
      <c r="I892" t="inlineStr">
        <is>
          <t>Jasmin</t>
        </is>
      </c>
      <c r="J892" s="6">
        <f>HYPERLINK("https://www.kleinanzeigen.de/s-bestandsliste.html?userId=51195748", "Link")</f>
        <v/>
      </c>
      <c r="K892" s="7" t="n">
        <v>45551.40775462963</v>
      </c>
      <c r="L892" s="3" t="inlineStr">
        <is>
          <t>96.68</t>
        </is>
      </c>
      <c r="M892" t="inlineStr">
        <is>
          <t>München</t>
        </is>
      </c>
    </row>
    <row r="893">
      <c r="A893" t="inlineStr">
        <is>
          <t>Werftmodell Norther Reliance Hamburg Containerschiff Reeder</t>
        </is>
      </c>
      <c r="B893" s="4" t="n">
        <v>2.9</v>
      </c>
      <c r="C893" t="inlineStr"/>
      <c r="D893" t="inlineStr">
        <is>
          <t>20249 Hamburg-Nord - Hamburg Eppendorf</t>
        </is>
      </c>
      <c r="E893" s="5" t="n">
        <v>45550</v>
      </c>
      <c r="F893" t="inlineStr"/>
      <c r="G893" s="6">
        <f>HYPERLINK("https://www.kleinanzeigen.de/s-anzeige/werftmodell-norther-reliance-hamburg-containerschiff-reeder/2864868372-234-9476", "Link")</f>
        <v/>
      </c>
      <c r="H893" s="6">
        <f>HYPERLINK("C:\Projects\Kleinanzeigen-Scraper\offer_images\2864868372", "Link")</f>
        <v/>
      </c>
      <c r="I893" t="inlineStr">
        <is>
          <t>No user name</t>
        </is>
      </c>
      <c r="J893" s="6">
        <f>HYPERLINK("https://www.kleinanzeigen.deNo user link", "Link")</f>
        <v/>
      </c>
      <c r="K893" s="7" t="n">
        <v>45551.40775462963</v>
      </c>
      <c r="L893" s="3" t="inlineStr">
        <is>
          <t>359.93</t>
        </is>
      </c>
      <c r="M893" t="inlineStr">
        <is>
          <t>Köln</t>
        </is>
      </c>
    </row>
    <row r="894">
      <c r="A894" t="inlineStr">
        <is>
          <t>North Rebel 6qm aus 2011</t>
        </is>
      </c>
      <c r="B894" s="4" t="n">
        <v>100</v>
      </c>
      <c r="C894" t="inlineStr">
        <is>
          <t>VB</t>
        </is>
      </c>
      <c r="D894" t="inlineStr">
        <is>
          <t>41812 Nordrhein-Westfalen - Erkelenz</t>
        </is>
      </c>
      <c r="E894" s="5" t="n">
        <v>45550</v>
      </c>
      <c r="F894" t="inlineStr">
        <is>
          <t>Sold</t>
        </is>
      </c>
      <c r="G894" s="6">
        <f>HYPERLINK("https://www.kleinanzeigen.de/s-anzeige/north-rebel-6qm-aus-2011/2863926636-242-1202", "Link")</f>
        <v/>
      </c>
      <c r="H894" s="6">
        <f>HYPERLINK("C:\Projects\Kleinanzeigen-Scraper\offer_images\2863926636", "Link")</f>
        <v/>
      </c>
      <c r="I894" t="inlineStr">
        <is>
          <t>Privat</t>
        </is>
      </c>
      <c r="J894" s="6">
        <f>HYPERLINK("https://www.kleinanzeigen.de/s-bestandsliste.html?userId=119306679", "Link")</f>
        <v/>
      </c>
      <c r="K894" s="7" t="n">
        <v>45551.40775462963</v>
      </c>
      <c r="L894" s="3" t="inlineStr">
        <is>
          <t>46.78</t>
        </is>
      </c>
      <c r="M894" t="inlineStr">
        <is>
          <t>Köln</t>
        </is>
      </c>
    </row>
    <row r="895">
      <c r="A895" t="inlineStr">
        <is>
          <t>2 x New York Giants Patch Cards Simms /60 &amp; Barber /10!</t>
        </is>
      </c>
      <c r="B895" s="4" t="n">
        <v>15</v>
      </c>
      <c r="C895" t="inlineStr"/>
      <c r="D895" t="inlineStr">
        <is>
          <t>65189 Hessen - Wiesbaden</t>
        </is>
      </c>
      <c r="E895" s="5" t="n">
        <v>45550</v>
      </c>
      <c r="F895" t="inlineStr">
        <is>
          <t>Sold</t>
        </is>
      </c>
      <c r="G895" s="6">
        <f>HYPERLINK("https://www.kleinanzeigen.de/s-anzeige/2-x-new-york-giants-patch-cards-simms-60-barber-10-/2864953490-234-4904", "Link")</f>
        <v/>
      </c>
      <c r="H895" s="6">
        <f>HYPERLINK("C:\Projects\Kleinanzeigen-Scraper\offer_images\2864953490", "Link")</f>
        <v/>
      </c>
      <c r="I895" t="inlineStr">
        <is>
          <t>Raimund</t>
        </is>
      </c>
      <c r="J895" s="6">
        <f>HYPERLINK("https://www.kleinanzeigen.de/s-bestandsliste.html?userId=893919", "Link")</f>
        <v/>
      </c>
      <c r="K895" s="7" t="n">
        <v>45551.40770833333</v>
      </c>
      <c r="L895" s="3" t="inlineStr">
        <is>
          <t>118.94</t>
        </is>
      </c>
      <c r="M895" t="inlineStr">
        <is>
          <t>Karlsruhe</t>
        </is>
      </c>
    </row>
    <row r="896">
      <c r="A896" t="inlineStr">
        <is>
          <t>SUP Starboard Kinderbrett</t>
        </is>
      </c>
      <c r="B896" s="4" t="n">
        <v>200</v>
      </c>
      <c r="C896" t="inlineStr">
        <is>
          <t>VB</t>
        </is>
      </c>
      <c r="D896" t="inlineStr">
        <is>
          <t>22399 Wandsbek - Hamburg Hummelsbüttel</t>
        </is>
      </c>
      <c r="E896" s="5" t="n">
        <v>45502</v>
      </c>
      <c r="F896" t="inlineStr">
        <is>
          <t>Sold</t>
        </is>
      </c>
      <c r="G896" s="6">
        <f>HYPERLINK("https://www.kleinanzeigen.de/s-anzeige/sup-starboard-kinderbrett/2823867252-187-9472", "Link")</f>
        <v/>
      </c>
      <c r="H896" s="6">
        <f>HYPERLINK("C:\Projects\Kleinanzeigen-Scraper\offer_images\2823867252", "Link")</f>
        <v/>
      </c>
      <c r="I896" t="inlineStr">
        <is>
          <t>S. Lehne</t>
        </is>
      </c>
      <c r="J896" s="6">
        <f>HYPERLINK("https://www.kleinanzeigen.de/s-bestandsliste.html?userId=63220298", "Link")</f>
        <v/>
      </c>
      <c r="K896" s="7" t="n">
        <v>45551.40758101852</v>
      </c>
      <c r="L896" s="3" t="inlineStr">
        <is>
          <t>369.80</t>
        </is>
      </c>
      <c r="M896" t="inlineStr">
        <is>
          <t>Köln</t>
        </is>
      </c>
    </row>
    <row r="897">
      <c r="A897" t="inlineStr">
        <is>
          <t>2021 Starboard Foil Carbon GT-R Plus, VK 2.399€</t>
        </is>
      </c>
      <c r="B897" s="4" t="n">
        <v>1.699</v>
      </c>
      <c r="C897" t="inlineStr"/>
      <c r="D897" t="inlineStr">
        <is>
          <t>47495 Nordrhein-Westfalen - Rheinberg</t>
        </is>
      </c>
      <c r="E897" s="5" t="n">
        <v>45243</v>
      </c>
      <c r="F897" t="inlineStr">
        <is>
          <t>Sold</t>
        </is>
      </c>
      <c r="G897" s="6">
        <f>HYPERLINK("https://www.kleinanzeigen.de/s-anzeige/2021-starboard-foil-carbon-gt-r-plus-vk-2-399-/2601497713-230-1399", "Link")</f>
        <v/>
      </c>
      <c r="H897" s="6">
        <f>HYPERLINK("C:\Projects\Kleinanzeigen-Scraper\offer_images\2601497713", "Link")</f>
        <v/>
      </c>
      <c r="I897" t="inlineStr">
        <is>
          <t>Windcraft-Sports</t>
        </is>
      </c>
      <c r="J897" s="6">
        <f>HYPERLINK("https://www.kleinanzeigen.de/s-bestandsliste.html?userId=74756618", "Link")</f>
        <v/>
      </c>
      <c r="K897" s="7" t="n">
        <v>45551.40752314815</v>
      </c>
      <c r="L897" s="3" t="inlineStr">
        <is>
          <t>72.31</t>
        </is>
      </c>
      <c r="M897" t="inlineStr">
        <is>
          <t>Köln</t>
        </is>
      </c>
    </row>
    <row r="898">
      <c r="A898" t="inlineStr">
        <is>
          <t>SUP starboard Deluxe  Single Chamber NEU OVP Stand up paddle</t>
        </is>
      </c>
      <c r="B898" s="4" t="n">
        <v>600</v>
      </c>
      <c r="C898" t="inlineStr">
        <is>
          <t>VB</t>
        </is>
      </c>
      <c r="D898" t="inlineStr">
        <is>
          <t>24768 Schleswig-Holstein - Rendsburg</t>
        </is>
      </c>
      <c r="E898" s="5" t="n">
        <v>45420</v>
      </c>
      <c r="F898" t="inlineStr"/>
      <c r="G898" s="6">
        <f>HYPERLINK("https://www.kleinanzeigen.de/s-anzeige/sup-starboard-deluxe-single-chamber-neu-ovp-stand-up-paddle/2756494310-230-496", "Link")</f>
        <v/>
      </c>
      <c r="H898" s="6">
        <f>HYPERLINK("C:\Projects\Kleinanzeigen-Scraper\offer_images\2756494310", "Link")</f>
        <v/>
      </c>
      <c r="I898" t="inlineStr">
        <is>
          <t>Camperhuus</t>
        </is>
      </c>
      <c r="J898" s="6">
        <f>HYPERLINK("https://www.kleinanzeigen.de/s-bestandsliste.html?userId=7394138", "Link")</f>
        <v/>
      </c>
      <c r="K898" s="7" t="n">
        <v>45551.40743055556</v>
      </c>
      <c r="L898" s="3" t="inlineStr">
        <is>
          <t>416.07</t>
        </is>
      </c>
      <c r="M898" t="inlineStr">
        <is>
          <t>Köln</t>
        </is>
      </c>
    </row>
    <row r="899">
      <c r="A899" t="inlineStr">
        <is>
          <t>NP Neilpryde Flight SLR 800 Race Foil Slalom</t>
        </is>
      </c>
      <c r="B899" s="4" t="n">
        <v>1.4</v>
      </c>
      <c r="C899" t="inlineStr">
        <is>
          <t>VB</t>
        </is>
      </c>
      <c r="D899" t="inlineStr">
        <is>
          <t>24105 Schleswig-Holstein - Kiel</t>
        </is>
      </c>
      <c r="E899" s="5" t="n">
        <v>45479</v>
      </c>
      <c r="F899" t="inlineStr">
        <is>
          <t>Sold</t>
        </is>
      </c>
      <c r="G899" s="6">
        <f>HYPERLINK("https://www.kleinanzeigen.de/s-anzeige/np-neilpryde-flight-slr-800-race-foil-slalom/2805491041-230-708", "Link")</f>
        <v/>
      </c>
      <c r="H899" s="6">
        <f>HYPERLINK("C:\Projects\Kleinanzeigen-Scraper\offer_images\2805491041", "Link")</f>
        <v/>
      </c>
      <c r="I899" t="inlineStr">
        <is>
          <t>Leo Richter</t>
        </is>
      </c>
      <c r="J899" s="6">
        <f>HYPERLINK("https://www.kleinanzeigen.de/s-bestandsliste.html?userId=56454387", "Link")</f>
        <v/>
      </c>
      <c r="K899" s="7" t="n">
        <v>45551.40736111111</v>
      </c>
      <c r="L899" s="3" t="inlineStr">
        <is>
          <t>435.05</t>
        </is>
      </c>
      <c r="M899" t="inlineStr">
        <is>
          <t>Köln</t>
        </is>
      </c>
    </row>
    <row r="900">
      <c r="A900" t="inlineStr">
        <is>
          <t>Windsurfen ION Neoprenanzug Größe 56</t>
        </is>
      </c>
      <c r="B900" s="4" t="n">
        <v>55</v>
      </c>
      <c r="C900" t="inlineStr"/>
      <c r="D900" t="inlineStr">
        <is>
          <t>48249 Nordrhein-Westfalen - Dülmen</t>
        </is>
      </c>
      <c r="E900" s="5" t="n">
        <v>45550</v>
      </c>
      <c r="F900" t="inlineStr">
        <is>
          <t>Sold</t>
        </is>
      </c>
      <c r="G900" s="6">
        <f>HYPERLINK("https://www.kleinanzeigen.de/s-anzeige/windsurfen-ion-neoprenanzug-groesse-56/2864106876-230-1331", "Link")</f>
        <v/>
      </c>
      <c r="H900" s="6">
        <f>HYPERLINK("C:\Projects\Kleinanzeigen-Scraper\offer_images\2864106876", "Link")</f>
        <v/>
      </c>
      <c r="I900" t="inlineStr">
        <is>
          <t>Karl-Surf</t>
        </is>
      </c>
      <c r="J900" s="6">
        <f>HYPERLINK("https://www.kleinanzeigen.de/s-bestandsliste.html?userId=143409109", "Link")</f>
        <v/>
      </c>
      <c r="K900" s="7" t="n">
        <v>45551.40728009259</v>
      </c>
      <c r="L900" s="3" t="inlineStr">
        <is>
          <t>105.23</t>
        </is>
      </c>
      <c r="M900" t="inlineStr">
        <is>
          <t>Köln</t>
        </is>
      </c>
    </row>
    <row r="901">
      <c r="A901" t="inlineStr">
        <is>
          <t>Duotone EVO D/LAB 8qm 2024 **NEU**</t>
        </is>
      </c>
      <c r="B901" s="4" t="n">
        <v>1.599</v>
      </c>
      <c r="C901" t="inlineStr">
        <is>
          <t>VB</t>
        </is>
      </c>
      <c r="D901" t="inlineStr">
        <is>
          <t>14469 Brandenburg - Potsdam</t>
        </is>
      </c>
      <c r="E901" s="5" t="n">
        <v>45549</v>
      </c>
      <c r="F901" t="inlineStr">
        <is>
          <t>Sold</t>
        </is>
      </c>
      <c r="G901" s="6">
        <f>HYPERLINK("https://www.kleinanzeigen.de/s-anzeige/duotone-evo-d-lab-8qm-2024-neu-/2863385941-230-7963", "Link")</f>
        <v/>
      </c>
      <c r="H901" s="6">
        <f>HYPERLINK("C:\Projects\Kleinanzeigen-Scraper\offer_images\2863385941", "Link")</f>
        <v/>
      </c>
      <c r="I901" t="inlineStr">
        <is>
          <t>DJW</t>
        </is>
      </c>
      <c r="J901" s="6">
        <f>HYPERLINK("https://www.kleinanzeigen.de/s-bestandsliste.html?userId=87610914", "Link")</f>
        <v/>
      </c>
      <c r="K901" s="7" t="n">
        <v>45551.40725694445</v>
      </c>
      <c r="L901" s="3" t="inlineStr">
        <is>
          <t>450.30</t>
        </is>
      </c>
      <c r="M901" t="inlineStr">
        <is>
          <t>Köln</t>
        </is>
      </c>
    </row>
    <row r="902">
      <c r="A902" t="inlineStr">
        <is>
          <t>Starboard Foil Bag S (Freeride, GT Aluminium), ca. 92cm lang NEU</t>
        </is>
      </c>
      <c r="B902" s="4" t="n">
        <v>80</v>
      </c>
      <c r="C902" t="inlineStr">
        <is>
          <t>VB</t>
        </is>
      </c>
      <c r="D902" t="inlineStr">
        <is>
          <t>47495 Nordrhein-Westfalen - Rheinberg</t>
        </is>
      </c>
      <c r="E902" s="5" t="n">
        <v>45254</v>
      </c>
      <c r="F902" t="inlineStr">
        <is>
          <t>Sold</t>
        </is>
      </c>
      <c r="G902" s="6">
        <f>HYPERLINK("https://www.kleinanzeigen.de/s-anzeige/starboard-foil-bag-s-freeride-gt-aluminium-ca-92cm-lang-neu/2611746865-230-1399", "Link")</f>
        <v/>
      </c>
      <c r="H902" s="6">
        <f>HYPERLINK("C:\Projects\Kleinanzeigen-Scraper\offer_images\2611746865", "Link")</f>
        <v/>
      </c>
      <c r="I902" t="inlineStr">
        <is>
          <t>PTC-GmbH</t>
        </is>
      </c>
      <c r="J902" s="6">
        <f>HYPERLINK("https://www.kleinanzeigen.de/s-bestandsliste.html?userId=74756618", "Link")</f>
        <v/>
      </c>
      <c r="K902" s="7" t="n">
        <v>45551.40721064815</v>
      </c>
      <c r="L902" s="3" t="inlineStr">
        <is>
          <t>72.31</t>
        </is>
      </c>
      <c r="M902" t="inlineStr">
        <is>
          <t>Köln</t>
        </is>
      </c>
    </row>
    <row r="903">
      <c r="A903" t="inlineStr">
        <is>
          <t>SUP Paddel Starboard Tufskin Enduro S Kids</t>
        </is>
      </c>
      <c r="B903" s="4" t="n">
        <v>50</v>
      </c>
      <c r="C903" t="inlineStr"/>
      <c r="D903" t="inlineStr">
        <is>
          <t>53127 Bonn - Lengsdorf</t>
        </is>
      </c>
      <c r="E903" s="5" t="n">
        <v>45494</v>
      </c>
      <c r="F903" t="inlineStr"/>
      <c r="G903" s="6">
        <f>HYPERLINK("https://www.kleinanzeigen.de/s-anzeige/sup-paddel-starboard-tufskin-enduro-s-kids/2817763443-230-23718", "Link")</f>
        <v/>
      </c>
      <c r="H903" s="6">
        <f>HYPERLINK("C:\Projects\Kleinanzeigen-Scraper\offer_images\2817763443", "Link")</f>
        <v/>
      </c>
      <c r="I903" t="inlineStr">
        <is>
          <t>Familie Eco</t>
        </is>
      </c>
      <c r="J903" s="6">
        <f>HYPERLINK("https://www.kleinanzeigen.de/s-bestandsliste.html?userId=49515258", "Link")</f>
        <v/>
      </c>
      <c r="K903" s="7" t="n">
        <v>45551.40717592592</v>
      </c>
      <c r="L903" s="3" t="inlineStr">
        <is>
          <t>28.34</t>
        </is>
      </c>
      <c r="M903" t="inlineStr">
        <is>
          <t>Köln</t>
        </is>
      </c>
    </row>
    <row r="904">
      <c r="A904" t="inlineStr">
        <is>
          <t>North Wave Winterschuhe Rennrad Look System</t>
        </is>
      </c>
      <c r="B904" s="4" t="n">
        <v>29</v>
      </c>
      <c r="C904" t="inlineStr"/>
      <c r="D904" t="inlineStr">
        <is>
          <t>51519 Nordrhein-Westfalen - Odenthal</t>
        </is>
      </c>
      <c r="E904" s="5" t="n">
        <v>45549</v>
      </c>
      <c r="F904" t="inlineStr">
        <is>
          <t>Sold</t>
        </is>
      </c>
      <c r="G904" s="6">
        <f>HYPERLINK("https://www.kleinanzeigen.de/s-anzeige/north-wave-winterschuhe-rennrad-look-system/2863307547-230-1114", "Link")</f>
        <v/>
      </c>
      <c r="H904" s="6">
        <f>HYPERLINK("C:\Projects\Kleinanzeigen-Scraper\offer_images\2863307547", "Link")</f>
        <v/>
      </c>
      <c r="I904" t="inlineStr">
        <is>
          <t>Michael Osenberg</t>
        </is>
      </c>
      <c r="J904" s="6">
        <f>HYPERLINK("https://www.kleinanzeigen.de/s-bestandsliste.html?userId=4680082", "Link")</f>
        <v/>
      </c>
      <c r="K904" s="7" t="n">
        <v>45551.40715277778</v>
      </c>
      <c r="L904" s="3" t="inlineStr">
        <is>
          <t>15.82</t>
        </is>
      </c>
      <c r="M904" t="inlineStr">
        <is>
          <t>Köln</t>
        </is>
      </c>
    </row>
    <row r="905">
      <c r="A905" t="inlineStr">
        <is>
          <t>Naish Pivot 2024 9 m !!!Bis zum 05.10.24 Angebot!!!</t>
        </is>
      </c>
      <c r="B905" s="4" t="n">
        <v>500</v>
      </c>
      <c r="C905" t="inlineStr"/>
      <c r="D905" t="inlineStr">
        <is>
          <t>22549 Altona - Hamburg Osdorf</t>
        </is>
      </c>
      <c r="E905" s="5" t="n">
        <v>45550</v>
      </c>
      <c r="F905" t="inlineStr">
        <is>
          <t>Sold</t>
        </is>
      </c>
      <c r="G905" s="6">
        <f>HYPERLINK("https://www.kleinanzeigen.de/s-anzeige/naish-pivot-2024-9-m-bis-zum-05-10-24-angebot-/2863906052-230-19496", "Link")</f>
        <v/>
      </c>
      <c r="H905" s="6">
        <f>HYPERLINK("C:\Projects\Kleinanzeigen-Scraper\offer_images\2863906052", "Link")</f>
        <v/>
      </c>
      <c r="I905" t="inlineStr">
        <is>
          <t>Malte</t>
        </is>
      </c>
      <c r="J905" s="6">
        <f>HYPERLINK("https://www.kleinanzeigen.de/s-bestandsliste.html?userId=32864332", "Link")</f>
        <v/>
      </c>
      <c r="K905" s="7" t="n">
        <v>45551.40712962963</v>
      </c>
      <c r="L905" s="3" t="inlineStr">
        <is>
          <t>354.40</t>
        </is>
      </c>
      <c r="M905" t="inlineStr">
        <is>
          <t>Köln</t>
        </is>
      </c>
    </row>
    <row r="906">
      <c r="A906" t="inlineStr">
        <is>
          <t>Diverse SUP Trockenanzüge | Starboard, DryFashion, StandOut, Palm</t>
        </is>
      </c>
      <c r="B906" s="4" t="n">
        <v>300</v>
      </c>
      <c r="C906" t="inlineStr">
        <is>
          <t>VB</t>
        </is>
      </c>
      <c r="D906" t="inlineStr">
        <is>
          <t>14471 Brandenburg - Potsdam</t>
        </is>
      </c>
      <c r="E906" s="5" t="n">
        <v>45407</v>
      </c>
      <c r="F906" t="inlineStr"/>
      <c r="G906" s="6">
        <f>HYPERLINK("https://www.kleinanzeigen.de/s-anzeige/diverse-sup-trockenanzuege-starboard-dryfashion-standout-palm/2744655373-230-7968", "Link")</f>
        <v/>
      </c>
      <c r="H906" s="6">
        <f>HYPERLINK("C:\Projects\Kleinanzeigen-Scraper\offer_images\2744655373", "Link")</f>
        <v/>
      </c>
      <c r="I906" t="inlineStr">
        <is>
          <t>SUP TRIP</t>
        </is>
      </c>
      <c r="J906" s="6">
        <f>HYPERLINK("https://www.kleinanzeigen.de/s-bestandsliste.html?userId=137999724", "Link")</f>
        <v/>
      </c>
      <c r="K906" s="7" t="n">
        <v>45551.40707175926</v>
      </c>
      <c r="L906" s="3" t="inlineStr">
        <is>
          <t>446.87</t>
        </is>
      </c>
      <c r="M906" t="inlineStr">
        <is>
          <t>Köln</t>
        </is>
      </c>
    </row>
    <row r="907">
      <c r="A907" t="inlineStr">
        <is>
          <t>Profi Trampolin North Explorer 350 oval</t>
        </is>
      </c>
      <c r="B907" s="4" t="n">
        <v>500</v>
      </c>
      <c r="C907" t="inlineStr">
        <is>
          <t>VB</t>
        </is>
      </c>
      <c r="D907" t="inlineStr">
        <is>
          <t>10318 Berlin - Karlshorst</t>
        </is>
      </c>
      <c r="E907" s="5" t="n">
        <v>45550</v>
      </c>
      <c r="F907" t="inlineStr">
        <is>
          <t>Sold</t>
        </is>
      </c>
      <c r="G907" s="6">
        <f>HYPERLINK("https://www.kleinanzeigen.de/s-anzeige/profi-trampolin-north-explorer-350-oval/2864081886-230-25917", "Link")</f>
        <v/>
      </c>
      <c r="H907" s="6">
        <f>HYPERLINK("C:\Projects\Kleinanzeigen-Scraper\offer_images\2864081886", "Link")</f>
        <v/>
      </c>
      <c r="I907" t="inlineStr">
        <is>
          <t>Privat</t>
        </is>
      </c>
      <c r="J907" s="6">
        <f>HYPERLINK("https://www.kleinanzeigen.de/s-bestandsliste.html?userId=6951404", "Link")</f>
        <v/>
      </c>
      <c r="K907" s="7" t="n">
        <v>45551.40689814815</v>
      </c>
      <c r="L907" s="3" t="inlineStr">
        <is>
          <t>483.53</t>
        </is>
      </c>
      <c r="M907" t="inlineStr">
        <is>
          <t>Köln</t>
        </is>
      </c>
    </row>
    <row r="908">
      <c r="A908" t="inlineStr">
        <is>
          <t>STAND UP PADDLE STARBOARD RACE SUP SPRINT UNLIMITED TORPEDO TOP</t>
        </is>
      </c>
      <c r="B908" s="4" t="n">
        <v>1.649</v>
      </c>
      <c r="C908" t="inlineStr"/>
      <c r="D908" t="inlineStr">
        <is>
          <t>24837 Schleswig-Holstein - Schleswig</t>
        </is>
      </c>
      <c r="E908" s="5" t="n">
        <v>44973</v>
      </c>
      <c r="F908" t="inlineStr"/>
      <c r="G908" s="6">
        <f>HYPERLINK("https://www.kleinanzeigen.de/s-anzeige/stand-up-paddle-starboard-race-sup-sprint-unlimited-torpedo-top/2359746267-230-558", "Link")</f>
        <v/>
      </c>
      <c r="H908" s="6">
        <f>HYPERLINK("C:\Projects\Kleinanzeigen-Scraper\offer_images\2359746267", "Link")</f>
        <v/>
      </c>
      <c r="I908" t="inlineStr">
        <is>
          <t>Jens Christian Klinker</t>
        </is>
      </c>
      <c r="J908" s="6">
        <f>HYPERLINK("https://www.kleinanzeigen.de/s-bestandsliste.html?userId=993018", "Link")</f>
        <v/>
      </c>
      <c r="K908" s="7" t="n">
        <v>45551.40685185185</v>
      </c>
      <c r="L908" s="3" t="inlineStr">
        <is>
          <t>435.51</t>
        </is>
      </c>
      <c r="M908" t="inlineStr">
        <is>
          <t>Köln</t>
        </is>
      </c>
    </row>
    <row r="909">
      <c r="A909" t="inlineStr">
        <is>
          <t>Surfanzug Neilpryde 5.4 RISE Herren</t>
        </is>
      </c>
      <c r="B909" s="4" t="n">
        <v>45</v>
      </c>
      <c r="C909" t="inlineStr">
        <is>
          <t>VB</t>
        </is>
      </c>
      <c r="D909" t="inlineStr">
        <is>
          <t>71296 Baden-Württemberg - Heimsheim</t>
        </is>
      </c>
      <c r="E909" s="5" t="n">
        <v>45550</v>
      </c>
      <c r="F909" t="inlineStr">
        <is>
          <t>Sold</t>
        </is>
      </c>
      <c r="G909" s="6">
        <f>HYPERLINK("https://www.kleinanzeigen.de/s-anzeige/surfanzug-neilpryde-5-4-rise-herren/2864201232-230-8405", "Link")</f>
        <v/>
      </c>
      <c r="H909" s="6">
        <f>HYPERLINK("C:\Projects\Kleinanzeigen-Scraper\offer_images\2864201232", "Link")</f>
        <v/>
      </c>
      <c r="I909" t="inlineStr">
        <is>
          <t>Michel</t>
        </is>
      </c>
      <c r="J909" s="6">
        <f>HYPERLINK("https://www.kleinanzeigen.de/s-bestandsliste.html?userId=36420511", "Link")</f>
        <v/>
      </c>
      <c r="K909" s="7" t="n">
        <v>45551.40681712963</v>
      </c>
      <c r="L909" s="3" t="inlineStr">
        <is>
          <t>16.81</t>
        </is>
      </c>
      <c r="M909" t="inlineStr">
        <is>
          <t>Böblingen</t>
        </is>
      </c>
    </row>
    <row r="910">
      <c r="A910" t="inlineStr">
        <is>
          <t>2022 Starboard SuperCruiser EVOLUTION Carbon C300 NEU &amp; lieferbar</t>
        </is>
      </c>
      <c r="B910" s="4" t="n">
        <v>2.269</v>
      </c>
      <c r="C910" t="inlineStr">
        <is>
          <t>VB</t>
        </is>
      </c>
      <c r="D910" t="inlineStr">
        <is>
          <t>47495 Nordrhein-Westfalen - Rheinberg</t>
        </is>
      </c>
      <c r="E910" s="5" t="n">
        <v>44609</v>
      </c>
      <c r="F910" t="inlineStr"/>
      <c r="G910" s="6">
        <f>HYPERLINK("https://www.kleinanzeigen.de/s-anzeige/2022-starboard-supercruiser-evolution-carbon-c300-neu-lieferbar/2024844703-230-1399", "Link")</f>
        <v/>
      </c>
      <c r="H910" s="6">
        <f>HYPERLINK("C:\Projects\Kleinanzeigen-Scraper\offer_images\2024844703", "Link")</f>
        <v/>
      </c>
      <c r="I910" t="inlineStr">
        <is>
          <t>Windcraft-Sports</t>
        </is>
      </c>
      <c r="J910" s="6">
        <f>HYPERLINK("https://www.kleinanzeigen.de/s-bestandsliste.html?userId=74756618", "Link")</f>
        <v/>
      </c>
      <c r="K910" s="7" t="n">
        <v>45551.40680555555</v>
      </c>
      <c r="L910" s="3" t="inlineStr">
        <is>
          <t>72.31</t>
        </is>
      </c>
      <c r="M910" t="inlineStr">
        <is>
          <t>Köln</t>
        </is>
      </c>
    </row>
    <row r="911">
      <c r="A911" t="inlineStr">
        <is>
          <t>Duotone rebel 12 m2   2021</t>
        </is>
      </c>
      <c r="B911" s="4" t="n">
        <v>730</v>
      </c>
      <c r="C911" t="inlineStr"/>
      <c r="D911" t="inlineStr">
        <is>
          <t>13086 Pankow - Weissensee</t>
        </is>
      </c>
      <c r="E911" s="5" t="n">
        <v>45549</v>
      </c>
      <c r="F911" t="inlineStr">
        <is>
          <t>Sold</t>
        </is>
      </c>
      <c r="G911" s="6">
        <f>HYPERLINK("https://www.kleinanzeigen.de/s-anzeige/duotone-rebel-12-m2-2021/2863090912-230-3478", "Link")</f>
        <v/>
      </c>
      <c r="H911" s="6">
        <f>HYPERLINK("C:\Projects\Kleinanzeigen-Scraper\offer_images\2863090912", "Link")</f>
        <v/>
      </c>
      <c r="I911" t="inlineStr">
        <is>
          <t>Alex</t>
        </is>
      </c>
      <c r="J911" s="6">
        <f>HYPERLINK("https://www.kleinanzeigen.de/s-bestandsliste.html?userId=129142099", "Link")</f>
        <v/>
      </c>
      <c r="K911" s="7" t="n">
        <v>45551.40677083333</v>
      </c>
      <c r="L911" s="3" t="inlineStr">
        <is>
          <t>481.54</t>
        </is>
      </c>
      <c r="M911" t="inlineStr">
        <is>
          <t>Köln</t>
        </is>
      </c>
    </row>
    <row r="912">
      <c r="A912" t="inlineStr">
        <is>
          <t>Ölfarben  von Goya</t>
        </is>
      </c>
      <c r="B912" s="4" t="n">
        <v>30</v>
      </c>
      <c r="C912" t="inlineStr">
        <is>
          <t>VB</t>
        </is>
      </c>
      <c r="D912" t="inlineStr">
        <is>
          <t>51143 Köln - Porz</t>
        </is>
      </c>
      <c r="E912" s="5" t="n">
        <v>45550</v>
      </c>
      <c r="F912" t="inlineStr"/>
      <c r="G912" s="6">
        <f>HYPERLINK("https://www.kleinanzeigen.de/s-anzeige/oelfarben-von-goya/2864770364-240-963", "Link")</f>
        <v/>
      </c>
      <c r="H912" s="6">
        <f>HYPERLINK("C:\Projects\Kleinanzeigen-Scraper\offer_images\2864770364", "Link")</f>
        <v/>
      </c>
      <c r="I912" t="inlineStr">
        <is>
          <t>Baykal</t>
        </is>
      </c>
      <c r="J912" s="6">
        <f>HYPERLINK("https://www.kleinanzeigen.de/s-bestandsliste.html?userId=123173215", "Link")</f>
        <v/>
      </c>
      <c r="K912" s="7" t="n">
        <v>45551.40648148148</v>
      </c>
      <c r="L912" s="3" t="inlineStr">
        <is>
          <t>10.66</t>
        </is>
      </c>
      <c r="M912" t="inlineStr">
        <is>
          <t>Köln</t>
        </is>
      </c>
    </row>
    <row r="913">
      <c r="A913" t="inlineStr">
        <is>
          <t>Windsurf Foil</t>
        </is>
      </c>
      <c r="B913" s="4" t="n">
        <v>550</v>
      </c>
      <c r="C913" t="inlineStr">
        <is>
          <t>VB</t>
        </is>
      </c>
      <c r="D913" t="inlineStr">
        <is>
          <t>79364 Baden-Württemberg - Malterdingen</t>
        </is>
      </c>
      <c r="E913" s="5" t="n">
        <v>45549</v>
      </c>
      <c r="F913" t="inlineStr">
        <is>
          <t>Sold</t>
        </is>
      </c>
      <c r="G913" s="6">
        <f>HYPERLINK("https://www.kleinanzeigen.de/s-anzeige/windsurf-foil/2862966614-230-8907", "Link")</f>
        <v/>
      </c>
      <c r="H913" s="6">
        <f>HYPERLINK("C:\Projects\Kleinanzeigen-Scraper\offer_images\2862966614", "Link")</f>
        <v/>
      </c>
      <c r="I913" t="inlineStr">
        <is>
          <t>Torsten</t>
        </is>
      </c>
      <c r="J913" s="6">
        <f>HYPERLINK("https://www.kleinanzeigen.de/s-bestandsliste.html?userId=27095158", "Link")</f>
        <v/>
      </c>
      <c r="K913" s="7" t="n">
        <v>45551.40636574074</v>
      </c>
      <c r="L913" s="3" t="inlineStr">
        <is>
          <t>55.80</t>
        </is>
      </c>
      <c r="M913" t="inlineStr">
        <is>
          <t>Bonndorf</t>
        </is>
      </c>
    </row>
    <row r="914">
      <c r="A914" t="inlineStr">
        <is>
          <t>Starboard prepreg carbon paddle Bolt -wie Lima</t>
        </is>
      </c>
      <c r="B914" s="4" t="n">
        <v>250</v>
      </c>
      <c r="C914" t="inlineStr">
        <is>
          <t>VB</t>
        </is>
      </c>
      <c r="D914" t="inlineStr">
        <is>
          <t>86551 Bayern - Aichach</t>
        </is>
      </c>
      <c r="E914" s="5" t="n">
        <v>45504</v>
      </c>
      <c r="F914" t="inlineStr"/>
      <c r="G914" s="6">
        <f>HYPERLINK("https://www.kleinanzeigen.de/s-anzeige/starboard-prepreg-carbon-paddle-bolt-wie-lima/2825965726-230-7194", "Link")</f>
        <v/>
      </c>
      <c r="H914" s="6">
        <f>HYPERLINK("C:\Projects\Kleinanzeigen-Scraper\offer_images\2825965726", "Link")</f>
        <v/>
      </c>
      <c r="I914" t="inlineStr">
        <is>
          <t>Krönauer</t>
        </is>
      </c>
      <c r="J914" s="6">
        <f>HYPERLINK("https://www.kleinanzeigen.de/s-bestandsliste.html?userId=22991354", "Link")</f>
        <v/>
      </c>
      <c r="K914" s="7" t="n">
        <v>45551.40631944445</v>
      </c>
      <c r="L914" s="3" t="inlineStr">
        <is>
          <t>47.87</t>
        </is>
      </c>
      <c r="M914" t="inlineStr">
        <is>
          <t>München</t>
        </is>
      </c>
    </row>
    <row r="915">
      <c r="A915" t="inlineStr">
        <is>
          <t>Duotone Vegas 9m 2020 blau</t>
        </is>
      </c>
      <c r="B915" s="4" t="n">
        <v>200</v>
      </c>
      <c r="C915" t="inlineStr"/>
      <c r="D915" t="inlineStr">
        <is>
          <t>39106 Sachsen-Anhalt - Magdeburg</t>
        </is>
      </c>
      <c r="E915" s="5" t="n">
        <v>45550</v>
      </c>
      <c r="F915" t="inlineStr">
        <is>
          <t>Sold</t>
        </is>
      </c>
      <c r="G915" s="6">
        <f>HYPERLINK("https://www.kleinanzeigen.de/s-anzeige/duotone-vegas-9m-2020-blau/2864161831-230-2230", "Link")</f>
        <v/>
      </c>
      <c r="H915" s="6">
        <f>HYPERLINK("C:\Projects\Kleinanzeigen-Scraper\offer_images\2864161831", "Link")</f>
        <v/>
      </c>
      <c r="I915" t="inlineStr">
        <is>
          <t>Benjamin</t>
        </is>
      </c>
      <c r="J915" s="6">
        <f>HYPERLINK("https://www.kleinanzeigen.de/s-bestandsliste.html?userId=10463512", "Link")</f>
        <v/>
      </c>
      <c r="K915" s="7" t="n">
        <v>45551.40625</v>
      </c>
      <c r="L915" s="3" t="inlineStr">
        <is>
          <t>351.35</t>
        </is>
      </c>
      <c r="M915" t="inlineStr">
        <is>
          <t>Köln</t>
        </is>
      </c>
    </row>
    <row r="916">
      <c r="A916" t="inlineStr">
        <is>
          <t>Gepanzerte Platte aus North American P51 Mustang 1 Luftfahrt</t>
        </is>
      </c>
      <c r="B916" s="4" t="n">
        <v>65</v>
      </c>
      <c r="C916" t="inlineStr">
        <is>
          <t>VB</t>
        </is>
      </c>
      <c r="D916" t="inlineStr">
        <is>
          <t>61118 Hessen - Bad Vilbel</t>
        </is>
      </c>
      <c r="E916" s="5" t="n">
        <v>45550</v>
      </c>
      <c r="F916" t="inlineStr"/>
      <c r="G916" s="6">
        <f>HYPERLINK("https://www.kleinanzeigen.de/s-anzeige/gepanzerte-platte-aus-north-american-p51-mustang-1-luftfahrt/2857945217-234-4548", "Link")</f>
        <v/>
      </c>
      <c r="H916" s="6">
        <f>HYPERLINK("C:\Projects\Kleinanzeigen-Scraper\offer_images\2857945217", "Link")</f>
        <v/>
      </c>
      <c r="I916" t="inlineStr">
        <is>
          <t>Burkhard Fiebig</t>
        </is>
      </c>
      <c r="J916" s="6">
        <f>HYPERLINK("https://www.kleinanzeigen.de/s-bestandsliste.html?userId=125724226", "Link")</f>
        <v/>
      </c>
      <c r="K916" s="7" t="n">
        <v>45551.4062037037</v>
      </c>
      <c r="L916" s="3" t="inlineStr">
        <is>
          <t>134.59</t>
        </is>
      </c>
      <c r="M916" t="inlineStr">
        <is>
          <t>Karlsruhe</t>
        </is>
      </c>
    </row>
    <row r="917">
      <c r="A917" t="inlineStr">
        <is>
          <t>FANATIC RAY AIR PREMIUM 11,6 SUP BOARD MIT CARBON PADDLE</t>
        </is>
      </c>
      <c r="B917" s="4" t="n">
        <v>390</v>
      </c>
      <c r="C917" t="inlineStr">
        <is>
          <t>VB</t>
        </is>
      </c>
      <c r="D917" t="inlineStr">
        <is>
          <t>91781 Bayern - Weißenburg in Bayern</t>
        </is>
      </c>
      <c r="E917" s="5" t="n">
        <v>45539</v>
      </c>
      <c r="F917" t="inlineStr">
        <is>
          <t>Sold</t>
        </is>
      </c>
      <c r="G917" s="6">
        <f>HYPERLINK("https://www.kleinanzeigen.de/s-anzeige/fanatic-ray-air-premium-11-6-sup-board-mit-carbon-paddle/2853991176-230-5862", "Link")</f>
        <v/>
      </c>
      <c r="H917" s="6">
        <f>HYPERLINK("C:\Projects\Kleinanzeigen-Scraper\offer_images\2853991176", "Link")</f>
        <v/>
      </c>
      <c r="I917" t="inlineStr">
        <is>
          <t>A. Meyer</t>
        </is>
      </c>
      <c r="J917" s="6">
        <f>HYPERLINK("https://www.kleinanzeigen.de/s-bestandsliste.html?userId=134258518", "Link")</f>
        <v/>
      </c>
      <c r="K917" s="7" t="n">
        <v>45551.40618055555</v>
      </c>
      <c r="L917" s="3" t="inlineStr">
        <is>
          <t>108.52</t>
        </is>
      </c>
      <c r="M917" t="inlineStr">
        <is>
          <t>München</t>
        </is>
      </c>
    </row>
    <row r="918">
      <c r="A918" t="inlineStr">
        <is>
          <t>Neilpryde Helm Slide 24 NEU Größe S</t>
        </is>
      </c>
      <c r="B918" s="4" t="n">
        <v>45</v>
      </c>
      <c r="C918" t="inlineStr"/>
      <c r="D918" t="inlineStr">
        <is>
          <t>83088 Bayern - Kiefersfelden</t>
        </is>
      </c>
      <c r="E918" s="5" t="n">
        <v>45550</v>
      </c>
      <c r="F918" t="inlineStr"/>
      <c r="G918" s="6">
        <f>HYPERLINK("https://www.kleinanzeigen.de/s-anzeige/neilpryde-helm-slide-24-neu-groesse-s/2863843859-230-7584", "Link")</f>
        <v/>
      </c>
      <c r="H918" s="6">
        <f>HYPERLINK("C:\Projects\Kleinanzeigen-Scraper\offer_images\2863843859", "Link")</f>
        <v/>
      </c>
      <c r="I918" t="inlineStr">
        <is>
          <t>Elisa</t>
        </is>
      </c>
      <c r="J918" s="6">
        <f>HYPERLINK("https://www.kleinanzeigen.de/s-bestandsliste.html?userId=74365647", "Link")</f>
        <v/>
      </c>
      <c r="K918" s="7" t="n">
        <v>45551.40612268518</v>
      </c>
      <c r="L918" s="3" t="inlineStr">
        <is>
          <t>73.59</t>
        </is>
      </c>
      <c r="M918" t="inlineStr">
        <is>
          <t>München</t>
        </is>
      </c>
    </row>
    <row r="919">
      <c r="A919" t="inlineStr">
        <is>
          <t>Dice9 von North (Duotone)</t>
        </is>
      </c>
      <c r="B919" s="4" t="n">
        <v>245</v>
      </c>
      <c r="C919" t="inlineStr">
        <is>
          <t>VB</t>
        </is>
      </c>
      <c r="D919" t="inlineStr">
        <is>
          <t>23689 Schleswig-Holstein - Pansdorf</t>
        </is>
      </c>
      <c r="E919" s="5" t="n">
        <v>45550</v>
      </c>
      <c r="F919" t="inlineStr"/>
      <c r="G919" s="6">
        <f>HYPERLINK("https://www.kleinanzeigen.de/s-anzeige/dice9-von-north-duotone-/2864782907-230-20090", "Link")</f>
        <v/>
      </c>
      <c r="H919" s="6">
        <f>HYPERLINK("C:\Projects\Kleinanzeigen-Scraper\offer_images\2864782907", "Link")</f>
        <v/>
      </c>
      <c r="I919" t="inlineStr">
        <is>
          <t>Meyer Volker Olaf</t>
        </is>
      </c>
      <c r="J919" s="6">
        <f>HYPERLINK("https://www.kleinanzeigen.de/s-bestandsliste.html?userId=17513529", "Link")</f>
        <v/>
      </c>
      <c r="K919" s="7" t="n">
        <v>45551.40612268518</v>
      </c>
      <c r="L919" s="3" t="inlineStr">
        <is>
          <t>423.41</t>
        </is>
      </c>
      <c r="M919" t="inlineStr">
        <is>
          <t>Köln</t>
        </is>
      </c>
    </row>
    <row r="920">
      <c r="A920" t="inlineStr">
        <is>
          <t>SUP Paddel Starboard Enduro Tiki Tech 2 pcs in blau Blattgrösse M</t>
        </is>
      </c>
      <c r="B920" s="4" t="n">
        <v>180</v>
      </c>
      <c r="C920" t="inlineStr"/>
      <c r="D920" t="inlineStr">
        <is>
          <t>89257 Bayern - Illertissen</t>
        </is>
      </c>
      <c r="E920" s="5" t="n">
        <v>44391</v>
      </c>
      <c r="F920" t="inlineStr"/>
      <c r="G920" s="6">
        <f>HYPERLINK("https://www.kleinanzeigen.de/s-anzeige/sup-paddel-starboard-enduro-tiki-tech-2-pcs-in-blau-blattgroesse-m/1820477616-230-6651", "Link")</f>
        <v/>
      </c>
      <c r="H920" s="6">
        <f>HYPERLINK("C:\Projects\Kleinanzeigen-Scraper\offer_images\1820477616", "Link")</f>
        <v/>
      </c>
      <c r="I920" t="inlineStr">
        <is>
          <t>M. W</t>
        </is>
      </c>
      <c r="J920" s="6">
        <f>HYPERLINK("https://www.kleinanzeigen.de/s-bestandsliste.html?userId=37083504", "Link")</f>
        <v/>
      </c>
      <c r="K920" s="7" t="n">
        <v>45551.40611111111</v>
      </c>
      <c r="L920" s="3" t="inlineStr">
        <is>
          <t>97.59</t>
        </is>
      </c>
      <c r="M920" t="inlineStr">
        <is>
          <t>Böblingen</t>
        </is>
      </c>
    </row>
    <row r="921">
      <c r="A921" t="inlineStr">
        <is>
          <t>SUP Starboard Touring Deluxe Double Chamber 12'6</t>
        </is>
      </c>
      <c r="B921" s="4" t="n">
        <v>500</v>
      </c>
      <c r="C921" t="inlineStr">
        <is>
          <t>VB</t>
        </is>
      </c>
      <c r="D921" t="inlineStr">
        <is>
          <t>84547 Kr. Altötting - Emmerting</t>
        </is>
      </c>
      <c r="E921" s="5" t="n">
        <v>45511</v>
      </c>
      <c r="F921" t="inlineStr"/>
      <c r="G921" s="6">
        <f>HYPERLINK("https://www.kleinanzeigen.de/s-anzeige/sup-starboard-touring-deluxe-double-chamber-12-6/2831422268-230-5908", "Link")</f>
        <v/>
      </c>
      <c r="H921" s="6">
        <f>HYPERLINK("C:\Projects\Kleinanzeigen-Scraper\offer_images\2831422268", "Link")</f>
        <v/>
      </c>
      <c r="I921" t="inlineStr">
        <is>
          <t>Mirko Köhler</t>
        </is>
      </c>
      <c r="J921" s="6">
        <f>HYPERLINK("https://www.kleinanzeigen.de/s-bestandsliste.html?userId=18268092", "Link")</f>
        <v/>
      </c>
      <c r="K921" s="7" t="n">
        <v>45551.40606481482</v>
      </c>
      <c r="L921" s="3" t="inlineStr">
        <is>
          <t>89.14</t>
        </is>
      </c>
      <c r="M921" t="inlineStr">
        <is>
          <t>München</t>
        </is>
      </c>
    </row>
    <row r="922">
      <c r="A922" t="inlineStr">
        <is>
          <t>Starboard Lima SUP Paddel</t>
        </is>
      </c>
      <c r="B922" s="4" t="n">
        <v>175</v>
      </c>
      <c r="C922" t="inlineStr"/>
      <c r="D922" t="inlineStr">
        <is>
          <t>01129 Dresden - Trachau</t>
        </is>
      </c>
      <c r="E922" s="5" t="n">
        <v>45510</v>
      </c>
      <c r="F922" t="inlineStr"/>
      <c r="G922" s="6">
        <f>HYPERLINK("https://www.kleinanzeigen.de/s-anzeige/starboard-lima-sup-paddel/2830690320-230-21009", "Link")</f>
        <v/>
      </c>
      <c r="H922" s="6">
        <f>HYPERLINK("C:\Projects\Kleinanzeigen-Scraper\offer_images\2830690320", "Link")</f>
        <v/>
      </c>
      <c r="I922" t="inlineStr">
        <is>
          <t>duns_de</t>
        </is>
      </c>
      <c r="J922" s="6">
        <f>HYPERLINK("https://www.kleinanzeigen.de/s-bestandsliste.html?userId=26227438", "Link")</f>
        <v/>
      </c>
      <c r="K922" s="7" t="n">
        <v>45551.40601851852</v>
      </c>
      <c r="L922" s="3" t="inlineStr">
        <is>
          <t>363.47</t>
        </is>
      </c>
      <c r="M922" t="inlineStr">
        <is>
          <t>München</t>
        </is>
      </c>
    </row>
    <row r="923">
      <c r="A923" t="inlineStr">
        <is>
          <t>North Dice 5qm aus 2014</t>
        </is>
      </c>
      <c r="B923" s="4" t="n">
        <v>100</v>
      </c>
      <c r="C923" t="inlineStr"/>
      <c r="D923" t="inlineStr">
        <is>
          <t>41812 Nordrhein-Westfalen - Erkelenz</t>
        </is>
      </c>
      <c r="E923" s="5" t="n">
        <v>45550</v>
      </c>
      <c r="F923" t="inlineStr">
        <is>
          <t>Sold</t>
        </is>
      </c>
      <c r="G923" s="6">
        <f>HYPERLINK("https://www.kleinanzeigen.de/s-anzeige/north-dice-5qm-aus-2014/2863935626-242-1202", "Link")</f>
        <v/>
      </c>
      <c r="H923" s="6">
        <f>HYPERLINK("C:\Projects\Kleinanzeigen-Scraper\offer_images\2863935626", "Link")</f>
        <v/>
      </c>
      <c r="I923" t="inlineStr">
        <is>
          <t>Privat</t>
        </is>
      </c>
      <c r="J923" s="6">
        <f>HYPERLINK("https://www.kleinanzeigen.de/s-bestandsliste.html?userId=119306679", "Link")</f>
        <v/>
      </c>
      <c r="K923" s="7" t="n">
        <v>45551.40596064815</v>
      </c>
      <c r="L923" s="3" t="inlineStr">
        <is>
          <t>46.78</t>
        </is>
      </c>
      <c r="M923" t="inlineStr">
        <is>
          <t>Köln</t>
        </is>
      </c>
    </row>
    <row r="924">
      <c r="A924" t="inlineStr">
        <is>
          <t>Duotone Clickbar 2024 Neu</t>
        </is>
      </c>
      <c r="B924" s="4" t="n">
        <v>470</v>
      </c>
      <c r="C924" t="inlineStr">
        <is>
          <t>VB</t>
        </is>
      </c>
      <c r="D924" t="inlineStr">
        <is>
          <t>46282 Nordrhein-Westfalen - Dorsten</t>
        </is>
      </c>
      <c r="E924" s="5" t="n">
        <v>45550</v>
      </c>
      <c r="F924" t="inlineStr">
        <is>
          <t>Sold</t>
        </is>
      </c>
      <c r="G924" s="6">
        <f>HYPERLINK("https://www.kleinanzeigen.de/s-anzeige/duotone-clickbar-2024-neu/2864335617-230-1757", "Link")</f>
        <v/>
      </c>
      <c r="H924" s="6">
        <f>HYPERLINK("C:\Projects\Kleinanzeigen-Scraper\offer_images\2864335617", "Link")</f>
        <v/>
      </c>
      <c r="I924" t="inlineStr">
        <is>
          <t>Michael</t>
        </is>
      </c>
      <c r="J924" s="6">
        <f>HYPERLINK("https://www.kleinanzeigen.de/s-bestandsliste.html?userId=6877913", "Link")</f>
        <v/>
      </c>
      <c r="K924" s="7" t="n">
        <v>45551.40592592592</v>
      </c>
      <c r="L924" s="3" t="inlineStr">
        <is>
          <t>79.22</t>
        </is>
      </c>
      <c r="M924" t="inlineStr">
        <is>
          <t>Köln</t>
        </is>
      </c>
    </row>
    <row r="925">
      <c r="A925" t="inlineStr">
        <is>
          <t>Rebel 6 von North (Duotone)</t>
        </is>
      </c>
      <c r="B925" s="4" t="n">
        <v>370</v>
      </c>
      <c r="C925" t="inlineStr">
        <is>
          <t>VB</t>
        </is>
      </c>
      <c r="D925" t="inlineStr">
        <is>
          <t>23689 Schleswig-Holstein - Pansdorf</t>
        </is>
      </c>
      <c r="E925" s="5" t="n">
        <v>45550</v>
      </c>
      <c r="F925" t="inlineStr"/>
      <c r="G925" s="6">
        <f>HYPERLINK("https://www.kleinanzeigen.de/s-anzeige/rebel-6-von-north-duotone-/2864786952-230-20090", "Link")</f>
        <v/>
      </c>
      <c r="H925" s="6">
        <f>HYPERLINK("C:\Projects\Kleinanzeigen-Scraper\offer_images\2864786952", "Link")</f>
        <v/>
      </c>
      <c r="I925" t="inlineStr">
        <is>
          <t>Meyer Volker Olaf</t>
        </is>
      </c>
      <c r="J925" s="6">
        <f>HYPERLINK("https://www.kleinanzeigen.de/s-bestandsliste.html?userId=17513529", "Link")</f>
        <v/>
      </c>
      <c r="K925" s="7" t="n">
        <v>45551.40591435185</v>
      </c>
      <c r="L925" s="3" t="inlineStr">
        <is>
          <t>423.41</t>
        </is>
      </c>
      <c r="M925" t="inlineStr">
        <is>
          <t>Köln</t>
        </is>
      </c>
    </row>
    <row r="926">
      <c r="A926" t="inlineStr">
        <is>
          <t>Fanatic DIAMOND AIR SUP</t>
        </is>
      </c>
      <c r="B926" s="4" t="n">
        <v>160</v>
      </c>
      <c r="C926" t="inlineStr">
        <is>
          <t>VB</t>
        </is>
      </c>
      <c r="D926" t="inlineStr">
        <is>
          <t>40597 Düsseldorf - Benrath</t>
        </is>
      </c>
      <c r="E926" s="5" t="n">
        <v>45550</v>
      </c>
      <c r="F926" t="inlineStr">
        <is>
          <t>Sold</t>
        </is>
      </c>
      <c r="G926" s="6">
        <f>HYPERLINK("https://www.kleinanzeigen.de/s-anzeige/fanatic-diamond-air-sup/2863844992-230-2077", "Link")</f>
        <v/>
      </c>
      <c r="H926" s="6">
        <f>HYPERLINK("C:\Projects\Kleinanzeigen-Scraper\offer_images\2863844992", "Link")</f>
        <v/>
      </c>
      <c r="I926" t="inlineStr">
        <is>
          <t>Jannis</t>
        </is>
      </c>
      <c r="J926" s="6">
        <f>HYPERLINK("https://www.kleinanzeigen.de/s-bestandsliste.html?userId=66354915", "Link")</f>
        <v/>
      </c>
      <c r="K926" s="7" t="n">
        <v>45551.40586805555</v>
      </c>
      <c r="L926" s="3" t="inlineStr">
        <is>
          <t>25.70</t>
        </is>
      </c>
      <c r="M926" t="inlineStr">
        <is>
          <t>Köln</t>
        </is>
      </c>
    </row>
    <row r="927">
      <c r="A927" t="inlineStr">
        <is>
          <t>Duotone Slick SLS 4.0 mod. 2023</t>
        </is>
      </c>
      <c r="B927" s="4" t="n">
        <v>475</v>
      </c>
      <c r="C927" t="inlineStr">
        <is>
          <t>VB</t>
        </is>
      </c>
      <c r="D927" t="inlineStr">
        <is>
          <t>26180 Niedersachsen - Rastede</t>
        </is>
      </c>
      <c r="E927" s="5" t="n">
        <v>45550</v>
      </c>
      <c r="F927" t="inlineStr">
        <is>
          <t>Sold</t>
        </is>
      </c>
      <c r="G927" s="6">
        <f>HYPERLINK("https://www.kleinanzeigen.de/s-anzeige/duotone-slick-sls-4-0-mod-2023/2864082272-230-2575", "Link")</f>
        <v/>
      </c>
      <c r="H927" s="6">
        <f>HYPERLINK("C:\Projects\Kleinanzeigen-Scraper\offer_images\2864082272", "Link")</f>
        <v/>
      </c>
      <c r="I927" t="inlineStr">
        <is>
          <t>Sven Gogolka</t>
        </is>
      </c>
      <c r="J927" s="6">
        <f>HYPERLINK("https://www.kleinanzeigen.de/s-bestandsliste.html?userId=14254069", "Link")</f>
        <v/>
      </c>
      <c r="K927" s="7" t="n">
        <v>45551.40583333333</v>
      </c>
      <c r="L927" s="3" t="inlineStr">
        <is>
          <t>272.02</t>
        </is>
      </c>
      <c r="M927" t="inlineStr">
        <is>
          <t>Köln</t>
        </is>
      </c>
    </row>
    <row r="928">
      <c r="A928" t="inlineStr">
        <is>
          <t>Starboard Fuselage 95 Plus *NEU*</t>
        </is>
      </c>
      <c r="B928" s="4" t="n">
        <v>255</v>
      </c>
      <c r="C928" t="inlineStr"/>
      <c r="D928" t="inlineStr">
        <is>
          <t>47495 Nordrhein-Westfalen - Rheinberg</t>
        </is>
      </c>
      <c r="E928" s="5" t="n">
        <v>45243</v>
      </c>
      <c r="F928" t="inlineStr">
        <is>
          <t>Sold</t>
        </is>
      </c>
      <c r="G928" s="6">
        <f>HYPERLINK("https://www.kleinanzeigen.de/s-anzeige/starboard-fuselage-95-plus-neu-/2601503876-230-1399", "Link")</f>
        <v/>
      </c>
      <c r="H928" s="6">
        <f>HYPERLINK("C:\Projects\Kleinanzeigen-Scraper\offer_images\2601503876", "Link")</f>
        <v/>
      </c>
      <c r="I928" t="inlineStr">
        <is>
          <t>Windcraft-Sports</t>
        </is>
      </c>
      <c r="J928" s="6">
        <f>HYPERLINK("https://www.kleinanzeigen.de/s-bestandsliste.html?userId=74756618", "Link")</f>
        <v/>
      </c>
      <c r="K928" s="7" t="n">
        <v>45551.40581018518</v>
      </c>
      <c r="L928" s="3" t="inlineStr">
        <is>
          <t>72.31</t>
        </is>
      </c>
      <c r="M928" t="inlineStr">
        <is>
          <t>Köln</t>
        </is>
      </c>
    </row>
    <row r="929">
      <c r="A929" t="inlineStr">
        <is>
          <t>North Duotone Juice 2015 in 18m2, top Zustand</t>
        </is>
      </c>
      <c r="B929" s="4" t="n">
        <v>500</v>
      </c>
      <c r="C929" t="inlineStr"/>
      <c r="D929" t="inlineStr">
        <is>
          <t>19053 Schwerin - Altstadt</t>
        </is>
      </c>
      <c r="E929" s="5" t="n">
        <v>45550</v>
      </c>
      <c r="F929" t="inlineStr">
        <is>
          <t>Sold</t>
        </is>
      </c>
      <c r="G929" s="6">
        <f>HYPERLINK("https://www.kleinanzeigen.de/s-anzeige/north-duotone-juice-2015-in-18m2-top-zustand/2864031248-230-284", "Link")</f>
        <v/>
      </c>
      <c r="H929" s="6">
        <f>HYPERLINK("C:\Projects\Kleinanzeigen-Scraper\offer_images\2864031248", "Link")</f>
        <v/>
      </c>
      <c r="I929" t="inlineStr">
        <is>
          <t>Michael</t>
        </is>
      </c>
      <c r="J929" s="6">
        <f>HYPERLINK("https://www.kleinanzeigen.de/s-bestandsliste.html?userId=3017955", "Link")</f>
        <v/>
      </c>
      <c r="K929" s="7" t="n">
        <v>45551.40581018518</v>
      </c>
      <c r="L929" s="3" t="inlineStr">
        <is>
          <t>425.13</t>
        </is>
      </c>
      <c r="M929" t="inlineStr">
        <is>
          <t>Köln</t>
        </is>
      </c>
    </row>
    <row r="930">
      <c r="A930" t="inlineStr">
        <is>
          <t>SUP STARBOARD 12'6 x 30'' x 6'' TOURING ZEN SC mit Paddel</t>
        </is>
      </c>
      <c r="B930" s="4" t="n">
        <v>600</v>
      </c>
      <c r="C930" t="inlineStr">
        <is>
          <t>VB</t>
        </is>
      </c>
      <c r="D930" t="inlineStr">
        <is>
          <t>67240 Rheinland-Pfalz - Bobenheim-Roxheim</t>
        </is>
      </c>
      <c r="E930" s="5" t="n">
        <v>45491</v>
      </c>
      <c r="F930" t="inlineStr"/>
      <c r="G930" s="6">
        <f>HYPERLINK("https://www.kleinanzeigen.de/s-anzeige/sup-starboard-12-6-x-30-x-6-touring-zen-sc-mit-paddel/2815528762-230-5187", "Link")</f>
        <v/>
      </c>
      <c r="H930" s="6">
        <f>HYPERLINK("C:\Projects\Kleinanzeigen-Scraper\offer_images\2815528762", "Link")</f>
        <v/>
      </c>
      <c r="I930" t="inlineStr">
        <is>
          <t>Nadja Fellhauer</t>
        </is>
      </c>
      <c r="J930" s="6">
        <f>HYPERLINK("https://www.kleinanzeigen.de/s-bestandsliste.html?userId=45788457", "Link")</f>
        <v/>
      </c>
      <c r="K930" s="7" t="n">
        <v>45551.40570601852</v>
      </c>
      <c r="L930" s="3" t="inlineStr">
        <is>
          <t>63.50</t>
        </is>
      </c>
      <c r="M930" t="inlineStr">
        <is>
          <t>Karlsruhe</t>
        </is>
      </c>
    </row>
    <row r="931">
      <c r="A931" t="inlineStr">
        <is>
          <t>Neilpryde Spark 5.4 Wetsuit Damen 40/42</t>
        </is>
      </c>
      <c r="B931" s="4" t="n">
        <v>75</v>
      </c>
      <c r="C931" t="inlineStr">
        <is>
          <t>VB</t>
        </is>
      </c>
      <c r="D931" t="inlineStr">
        <is>
          <t>50674 Innenstadt - Köln Altstadt</t>
        </is>
      </c>
      <c r="E931" s="5" t="n">
        <v>45549</v>
      </c>
      <c r="F931" t="inlineStr"/>
      <c r="G931" s="6">
        <f>HYPERLINK("https://www.kleinanzeigen.de/s-anzeige/neilpryde-spark-5-4-wetsuit-damen-40-42/2863112487-230-989", "Link")</f>
        <v/>
      </c>
      <c r="H931" s="6">
        <f>HYPERLINK("C:\Projects\Kleinanzeigen-Scraper\offer_images\2863112487", "Link")</f>
        <v/>
      </c>
      <c r="I931" t="inlineStr">
        <is>
          <t>Anna Jakobi</t>
        </is>
      </c>
      <c r="J931" s="6">
        <f>HYPERLINK("https://www.kleinanzeigen.de/s-bestandsliste.html?userId=48068704", "Link")</f>
        <v/>
      </c>
      <c r="K931" s="7" t="n">
        <v>45551.40561342592</v>
      </c>
      <c r="L931" s="3" t="inlineStr">
        <is>
          <t>1.52</t>
        </is>
      </c>
      <c r="M931" t="inlineStr">
        <is>
          <t>Köln</t>
        </is>
      </c>
    </row>
    <row r="932">
      <c r="A932" t="inlineStr">
        <is>
          <t>Duotone Rebel SLS 10m</t>
        </is>
      </c>
      <c r="B932" s="4" t="n">
        <v>1.15</v>
      </c>
      <c r="C932" t="inlineStr"/>
      <c r="D932" t="inlineStr">
        <is>
          <t>82211 Bayern - Herrsching</t>
        </is>
      </c>
      <c r="E932" s="5" t="n">
        <v>45550</v>
      </c>
      <c r="F932" t="inlineStr">
        <is>
          <t>Sold</t>
        </is>
      </c>
      <c r="G932" s="6">
        <f>HYPERLINK("https://www.kleinanzeigen.de/s-anzeige/duotone-rebel-sls-10m/2864355458-230-5520", "Link")</f>
        <v/>
      </c>
      <c r="H932" s="6">
        <f>HYPERLINK("C:\Projects\Kleinanzeigen-Scraper\offer_images\2864355458", "Link")</f>
        <v/>
      </c>
      <c r="I932" t="inlineStr">
        <is>
          <t>Marlo Kindl</t>
        </is>
      </c>
      <c r="J932" s="6">
        <f>HYPERLINK("https://www.kleinanzeigen.de/s-bestandsliste.html?userId=14416867", "Link")</f>
        <v/>
      </c>
      <c r="K932" s="7" t="n">
        <v>45551.40561342592</v>
      </c>
      <c r="L932" s="3" t="inlineStr">
        <is>
          <t>32.73</t>
        </is>
      </c>
      <c r="M932" t="inlineStr">
        <is>
          <t>München</t>
        </is>
      </c>
    </row>
    <row r="933">
      <c r="A933" t="inlineStr">
        <is>
          <t>starboard Lima</t>
        </is>
      </c>
      <c r="B933" s="4" t="n">
        <v>260</v>
      </c>
      <c r="C933" t="inlineStr">
        <is>
          <t>VB</t>
        </is>
      </c>
      <c r="D933" t="inlineStr">
        <is>
          <t>53117 Bonn - Graurheindorf</t>
        </is>
      </c>
      <c r="E933" s="5" t="n">
        <v>45506</v>
      </c>
      <c r="F933" t="inlineStr">
        <is>
          <t>Sold</t>
        </is>
      </c>
      <c r="G933" s="6">
        <f>HYPERLINK("https://www.kleinanzeigen.de/s-anzeige/starboard-lima/2827265597-230-23709", "Link")</f>
        <v/>
      </c>
      <c r="H933" s="6">
        <f>HYPERLINK("C:\Projects\Kleinanzeigen-Scraper\offer_images\2827265597", "Link")</f>
        <v/>
      </c>
      <c r="I933" t="inlineStr">
        <is>
          <t>Ole</t>
        </is>
      </c>
      <c r="J933" s="6">
        <f>HYPERLINK("https://www.kleinanzeigen.de/s-bestandsliste.html?userId=21558380", "Link")</f>
        <v/>
      </c>
      <c r="K933" s="7" t="n">
        <v>45551.40559027778</v>
      </c>
      <c r="L933" s="3" t="inlineStr">
        <is>
          <t>21.66</t>
        </is>
      </c>
      <c r="M933" t="inlineStr">
        <is>
          <t>Köln</t>
        </is>
      </c>
    </row>
    <row r="934">
      <c r="A934" t="inlineStr">
        <is>
          <t>Duotone Trust Bar Quad Control 22m Leinen</t>
        </is>
      </c>
      <c r="B934" s="4" t="n">
        <v>160</v>
      </c>
      <c r="C934" t="inlineStr">
        <is>
          <t>VB</t>
        </is>
      </c>
      <c r="D934" t="inlineStr">
        <is>
          <t>14163 Berlin - Zehlendorf</t>
        </is>
      </c>
      <c r="E934" s="5" t="n">
        <v>45550</v>
      </c>
      <c r="F934" t="inlineStr">
        <is>
          <t>Sold</t>
        </is>
      </c>
      <c r="G934" s="6">
        <f>HYPERLINK("https://www.kleinanzeigen.de/s-anzeige/duotone-trust-bar-quad-control-22m-leinen/2863940810-230-3527", "Link")</f>
        <v/>
      </c>
      <c r="H934" s="6">
        <f>HYPERLINK("C:\Projects\Kleinanzeigen-Scraper\offer_images\2863940810", "Link")</f>
        <v/>
      </c>
      <c r="I934" t="inlineStr">
        <is>
          <t>Pi</t>
        </is>
      </c>
      <c r="J934" s="6">
        <f>HYPERLINK("https://www.kleinanzeigen.de/s-bestandsliste.html?userId=2102494", "Link")</f>
        <v/>
      </c>
      <c r="K934" s="7" t="n">
        <v>45551.40548611111</v>
      </c>
      <c r="L934" s="3" t="inlineStr">
        <is>
          <t>464.44</t>
        </is>
      </c>
      <c r="M934" t="inlineStr">
        <is>
          <t>Köln</t>
        </is>
      </c>
    </row>
    <row r="935">
      <c r="A935" t="inlineStr">
        <is>
          <t>DUOTONE Rebel SLS 2022 7m² grey/coral-red</t>
        </is>
      </c>
      <c r="B935" s="4" t="n">
        <v>1.249</v>
      </c>
      <c r="C935" t="inlineStr"/>
      <c r="D935" t="inlineStr">
        <is>
          <t>17509 Mecklenburg-Vorpommern - Loissin</t>
        </is>
      </c>
      <c r="E935" s="5" t="n">
        <v>45550</v>
      </c>
      <c r="F935" t="inlineStr">
        <is>
          <t>Sold</t>
        </is>
      </c>
      <c r="G935" s="6">
        <f>HYPERLINK("https://www.kleinanzeigen.de/s-anzeige/duotone-rebel-sls-2022-7m-grey-coral-red/2738034769-230-21340", "Link")</f>
        <v/>
      </c>
      <c r="H935" s="6">
        <f>HYPERLINK("C:\Projects\Kleinanzeigen-Scraper\offer_images\2738034769", "Link")</f>
        <v/>
      </c>
      <c r="I935" t="inlineStr">
        <is>
          <t>No user name</t>
        </is>
      </c>
      <c r="J935" s="6">
        <f>HYPERLINK("https://www.kleinanzeigen.deNo user link", "Link")</f>
        <v/>
      </c>
      <c r="K935" s="7" t="n">
        <v>45551.40546296296</v>
      </c>
      <c r="L935" s="3" t="inlineStr">
        <is>
          <t>568.47</t>
        </is>
      </c>
      <c r="M935" t="inlineStr">
        <is>
          <t>Köln</t>
        </is>
      </c>
    </row>
    <row r="936">
      <c r="A936" t="inlineStr">
        <is>
          <t>Laufgürtel - North Face - Running Belt</t>
        </is>
      </c>
      <c r="B936" s="4" t="n">
        <v>15</v>
      </c>
      <c r="C936" t="inlineStr">
        <is>
          <t>VB</t>
        </is>
      </c>
      <c r="D936" t="inlineStr">
        <is>
          <t>80639 Neuhausen-Nymphenburg - Neuhausen</t>
        </is>
      </c>
      <c r="E936" s="5" t="n">
        <v>45549</v>
      </c>
      <c r="F936" t="inlineStr">
        <is>
          <t>Sold</t>
        </is>
      </c>
      <c r="G936" s="6">
        <f>HYPERLINK("https://www.kleinanzeigen.de/s-anzeige/laufguertel-north-face-running-belt/2863030185-230-6420", "Link")</f>
        <v/>
      </c>
      <c r="H936" s="6">
        <f>HYPERLINK("C:\Projects\Kleinanzeigen-Scraper\offer_images\2863030185", "Link")</f>
        <v/>
      </c>
      <c r="I936" t="inlineStr">
        <is>
          <t>Claudia Erzberger</t>
        </is>
      </c>
      <c r="J936" s="6">
        <f>HYPERLINK("https://www.kleinanzeigen.de/s-bestandsliste.html?userId=23364183", "Link")</f>
        <v/>
      </c>
      <c r="K936" s="7" t="n">
        <v>45551.40546296296</v>
      </c>
      <c r="L936" s="3" t="inlineStr">
        <is>
          <t>4.83</t>
        </is>
      </c>
      <c r="M936" t="inlineStr">
        <is>
          <t>München</t>
        </is>
      </c>
    </row>
    <row r="937">
      <c r="A937" t="inlineStr">
        <is>
          <t>DUOTONE SLS 2022 / 8'Rebel,10'und12'Dice ,Clickbar 2023</t>
        </is>
      </c>
      <c r="B937" s="4" t="n">
        <v>2</v>
      </c>
      <c r="C937" t="inlineStr"/>
      <c r="D937" t="inlineStr">
        <is>
          <t>17491 Mecklenburg-Vorpommern - Greifswald</t>
        </is>
      </c>
      <c r="E937" s="5" t="n">
        <v>45550</v>
      </c>
      <c r="F937" t="inlineStr">
        <is>
          <t>Sold</t>
        </is>
      </c>
      <c r="G937" s="6">
        <f>HYPERLINK("https://www.kleinanzeigen.de/s-anzeige/duotone-sls-2022-8-rebel-10-und12-dice-clickbar-2023/2863921304-230-247", "Link")</f>
        <v/>
      </c>
      <c r="H937" s="6">
        <f>HYPERLINK("C:\Projects\Kleinanzeigen-Scraper\offer_images\2863921304", "Link")</f>
        <v/>
      </c>
      <c r="I937" t="inlineStr">
        <is>
          <t>Manne</t>
        </is>
      </c>
      <c r="J937" s="6">
        <f>HYPERLINK("https://www.kleinanzeigen.de/s-bestandsliste.html?userId=6220692", "Link")</f>
        <v/>
      </c>
      <c r="K937" s="7" t="n">
        <v>45551.40542824074</v>
      </c>
      <c r="L937" s="3" t="inlineStr">
        <is>
          <t>559.49</t>
        </is>
      </c>
      <c r="M937" t="inlineStr">
        <is>
          <t>Köln</t>
        </is>
      </c>
    </row>
    <row r="938">
      <c r="A938" t="inlineStr">
        <is>
          <t>Duotone Click Bar mit Leech Line, M 22-24</t>
        </is>
      </c>
      <c r="B938" s="4" t="n">
        <v>195</v>
      </c>
      <c r="C938" t="inlineStr"/>
      <c r="D938" t="inlineStr">
        <is>
          <t>70178 Stuttgart - Stuttgart-Süd</t>
        </is>
      </c>
      <c r="E938" s="5" t="n">
        <v>45550</v>
      </c>
      <c r="F938" t="inlineStr">
        <is>
          <t>Sold</t>
        </is>
      </c>
      <c r="G938" s="6">
        <f>HYPERLINK("https://www.kleinanzeigen.de/s-anzeige/duotone-click-bar-mit-leech-line-m-22-24/2864760271-230-9596", "Link")</f>
        <v/>
      </c>
      <c r="H938" s="6">
        <f>HYPERLINK("C:\Projects\Kleinanzeigen-Scraper\offer_images\2864760271", "Link")</f>
        <v/>
      </c>
      <c r="I938" t="inlineStr">
        <is>
          <t>Joe</t>
        </is>
      </c>
      <c r="J938" s="6">
        <f>HYPERLINK("https://www.kleinanzeigen.de/s-bestandsliste.html?userId=41893126", "Link")</f>
        <v/>
      </c>
      <c r="K938" s="7" t="n">
        <v>45551.40542824074</v>
      </c>
      <c r="L938" s="3" t="inlineStr">
        <is>
          <t>17.53</t>
        </is>
      </c>
      <c r="M938" t="inlineStr">
        <is>
          <t>Böblingen</t>
        </is>
      </c>
    </row>
    <row r="939">
      <c r="A939" t="inlineStr">
        <is>
          <t>Haus-Flohmarkt in Simmern am 21.09.2024</t>
        </is>
      </c>
      <c r="B939" s="4" t="n">
        <v>1</v>
      </c>
      <c r="C939" t="inlineStr">
        <is>
          <t>VB</t>
        </is>
      </c>
      <c r="D939" t="inlineStr">
        <is>
          <t>55469 Rheinland-Pfalz - Simmern</t>
        </is>
      </c>
      <c r="E939" s="5" t="n">
        <v>45550</v>
      </c>
      <c r="F939" t="inlineStr">
        <is>
          <t>Sold</t>
        </is>
      </c>
      <c r="G939" s="6">
        <f>HYPERLINK("https://www.kleinanzeigen.de/s-anzeige/haus-flohmarkt-in-simmern-am-21-09-2024/2863657009-250-20854", "Link")</f>
        <v/>
      </c>
      <c r="H939" s="6">
        <f>HYPERLINK("C:\Projects\Kleinanzeigen-Scraper\offer_images\2863657009", "Link")</f>
        <v/>
      </c>
      <c r="I939" t="inlineStr">
        <is>
          <t>Jürgen</t>
        </is>
      </c>
      <c r="J939" s="6">
        <f>HYPERLINK("https://www.kleinanzeigen.de/s-bestandsliste.html?userId=141593145", "Link")</f>
        <v/>
      </c>
      <c r="K939" s="7" t="n">
        <v>45551.40542824074</v>
      </c>
      <c r="L939" s="3" t="inlineStr">
        <is>
          <t>113.56</t>
        </is>
      </c>
      <c r="M939" t="inlineStr">
        <is>
          <t>Köln</t>
        </is>
      </c>
    </row>
    <row r="940">
      <c r="A940" t="inlineStr">
        <is>
          <t>Starboard Super Cruiser Carbon Windfoil Freeride</t>
        </is>
      </c>
      <c r="B940" s="4" t="n">
        <v>700</v>
      </c>
      <c r="C940" t="inlineStr"/>
      <c r="D940" t="inlineStr">
        <is>
          <t>97353 Bayern - Wiesentheid</t>
        </is>
      </c>
      <c r="E940" s="5" t="n">
        <v>45504</v>
      </c>
      <c r="F940" t="inlineStr"/>
      <c r="G940" s="6">
        <f>HYPERLINK("https://www.kleinanzeigen.de/s-anzeige/starboard-super-cruiser-carbon-windfoil-freeride/2825569903-230-6759", "Link")</f>
        <v/>
      </c>
      <c r="H940" s="6">
        <f>HYPERLINK("C:\Projects\Kleinanzeigen-Scraper\offer_images\2825569903", "Link")</f>
        <v/>
      </c>
      <c r="I940" t="inlineStr">
        <is>
          <t>Thomas</t>
        </is>
      </c>
      <c r="J940" s="6">
        <f>HYPERLINK("https://www.kleinanzeigen.de/s-bestandsliste.html?userId=1340137", "Link")</f>
        <v/>
      </c>
      <c r="K940" s="7" t="n">
        <v>45551.40540509259</v>
      </c>
      <c r="L940" s="3" t="inlineStr">
        <is>
          <t>159.07</t>
        </is>
      </c>
      <c r="M940" t="inlineStr">
        <is>
          <t>Böblingen</t>
        </is>
      </c>
    </row>
    <row r="941">
      <c r="A941" t="inlineStr">
        <is>
          <t>Alte Segel Windsurfen abzugeben</t>
        </is>
      </c>
      <c r="B941" s="4" t="n">
        <v>40</v>
      </c>
      <c r="C941" t="inlineStr">
        <is>
          <t>VB</t>
        </is>
      </c>
      <c r="D941" t="inlineStr">
        <is>
          <t>59227 Nordrhein-Westfalen - Ahlen</t>
        </is>
      </c>
      <c r="E941" s="5" t="n">
        <v>45550</v>
      </c>
      <c r="F941" t="inlineStr">
        <is>
          <t>Sold</t>
        </is>
      </c>
      <c r="G941" s="6">
        <f>HYPERLINK("https://www.kleinanzeigen.de/s-anzeige/alte-segel-windsurfen-abzugeben/2864528801-230-1905", "Link")</f>
        <v/>
      </c>
      <c r="H941" s="6">
        <f>HYPERLINK("C:\Projects\Kleinanzeigen-Scraper\offer_images\2864528801", "Link")</f>
        <v/>
      </c>
      <c r="I941" t="inlineStr">
        <is>
          <t>Christoph Schöler</t>
        </is>
      </c>
      <c r="J941" s="6">
        <f>HYPERLINK("https://www.kleinanzeigen.de/s-bestandsliste.html?userId=40464635", "Link")</f>
        <v/>
      </c>
      <c r="K941" s="7" t="n">
        <v>45551.40537037037</v>
      </c>
      <c r="L941" s="3" t="inlineStr">
        <is>
          <t>114.52</t>
        </is>
      </c>
      <c r="M941" t="inlineStr">
        <is>
          <t>Köln</t>
        </is>
      </c>
    </row>
    <row r="942">
      <c r="A942" t="inlineStr">
        <is>
          <t>Neilpryde-Long John mit Jacke,  Gr. 94, ungetragen,  Surfen,  SUP</t>
        </is>
      </c>
      <c r="B942" s="4" t="n">
        <v>70</v>
      </c>
      <c r="C942" t="inlineStr">
        <is>
          <t>VB</t>
        </is>
      </c>
      <c r="D942" t="inlineStr">
        <is>
          <t>33615 Bielefeld - Bielefeld (Innenstadt)</t>
        </is>
      </c>
      <c r="E942" s="5" t="n">
        <v>45480</v>
      </c>
      <c r="F942" t="inlineStr">
        <is>
          <t>Sold</t>
        </is>
      </c>
      <c r="G942" s="6">
        <f>HYPERLINK("https://www.kleinanzeigen.de/s-anzeige/neilpryde-long-john-mit-jacke-gr-94-ungetragen-surfen-sup/2806604634-230-1058", "Link")</f>
        <v/>
      </c>
      <c r="H942" s="6">
        <f>HYPERLINK("C:\Projects\Kleinanzeigen-Scraper\offer_images\2806604634", "Link")</f>
        <v/>
      </c>
      <c r="I942" t="inlineStr">
        <is>
          <t>Carola Giller</t>
        </is>
      </c>
      <c r="J942" s="6">
        <f>HYPERLINK("https://www.kleinanzeigen.de/s-bestandsliste.html?userId=7988525", "Link")</f>
        <v/>
      </c>
      <c r="K942" s="7" t="n">
        <v>45551.40532407408</v>
      </c>
      <c r="L942" s="3" t="inlineStr">
        <is>
          <t>162.21</t>
        </is>
      </c>
      <c r="M942" t="inlineStr">
        <is>
          <t>Köln</t>
        </is>
      </c>
    </row>
    <row r="943">
      <c r="A943" t="inlineStr">
        <is>
          <t>Eispickel Stubai Austria Vaude Camp Grivel Mammut North Face</t>
        </is>
      </c>
      <c r="B943" s="4" t="n">
        <v>35</v>
      </c>
      <c r="C943" t="inlineStr">
        <is>
          <t>VB</t>
        </is>
      </c>
      <c r="D943" t="inlineStr">
        <is>
          <t>60438 Frankfurt am Main - Kalbach-Riedberg</t>
        </is>
      </c>
      <c r="E943" s="5" t="n">
        <v>45550</v>
      </c>
      <c r="F943" t="inlineStr">
        <is>
          <t>Sold</t>
        </is>
      </c>
      <c r="G943" s="6">
        <f>HYPERLINK("https://www.kleinanzeigen.de/s-anzeige/eispickel-stubai-austria-vaude-camp-grivel-mammut-north-face/2864957151-230-27003", "Link")</f>
        <v/>
      </c>
      <c r="H943" s="6">
        <f>HYPERLINK("C:\Projects\Kleinanzeigen-Scraper\offer_images\2864957151", "Link")</f>
        <v/>
      </c>
      <c r="I943" t="inlineStr">
        <is>
          <t>Martin</t>
        </is>
      </c>
      <c r="J943" s="6">
        <f>HYPERLINK("https://www.kleinanzeigen.de/s-bestandsliste.html?userId=2918837", "Link")</f>
        <v/>
      </c>
      <c r="K943" s="7" t="n">
        <v>45551.40527777778</v>
      </c>
      <c r="L943" s="3" t="inlineStr">
        <is>
          <t>131.22</t>
        </is>
      </c>
      <c r="M943" t="inlineStr">
        <is>
          <t>Karlsruhe</t>
        </is>
      </c>
    </row>
    <row r="944">
      <c r="A944" t="inlineStr">
        <is>
          <t>Stand up Paddle sup Paddle von Starboard</t>
        </is>
      </c>
      <c r="B944" s="4" t="n">
        <v>90</v>
      </c>
      <c r="C944" t="inlineStr">
        <is>
          <t>VB</t>
        </is>
      </c>
      <c r="D944" t="inlineStr">
        <is>
          <t>83646 Bayern - Bad Tölz</t>
        </is>
      </c>
      <c r="E944" s="5" t="n">
        <v>45426</v>
      </c>
      <c r="F944" t="inlineStr"/>
      <c r="G944" s="6">
        <f>HYPERLINK("https://www.kleinanzeigen.de/s-anzeige/stand-up-paddle-sup-paddle-von-starboard/2761533670-230-5883", "Link")</f>
        <v/>
      </c>
      <c r="H944" s="6">
        <f>HYPERLINK("C:\Projects\Kleinanzeigen-Scraper\offer_images\2761533670", "Link")</f>
        <v/>
      </c>
      <c r="I944" t="inlineStr">
        <is>
          <t>Nikolai</t>
        </is>
      </c>
      <c r="J944" s="6">
        <f>HYPERLINK("https://www.kleinanzeigen.de/s-bestandsliste.html?userId=51434067", "Link")</f>
        <v/>
      </c>
      <c r="K944" s="7" t="n">
        <v>45551.40527777778</v>
      </c>
      <c r="L944" s="3" t="inlineStr">
        <is>
          <t>43.27</t>
        </is>
      </c>
      <c r="M944" t="inlineStr">
        <is>
          <t>München</t>
        </is>
      </c>
    </row>
    <row r="945">
      <c r="A945" t="inlineStr">
        <is>
          <t>Ski-Jacke von north riders</t>
        </is>
      </c>
      <c r="B945" s="4" t="n">
        <v>50</v>
      </c>
      <c r="C945" t="inlineStr"/>
      <c r="D945" t="inlineStr">
        <is>
          <t>10369 Berlin - Lichtenberg</t>
        </is>
      </c>
      <c r="E945" s="5" t="n">
        <v>45550</v>
      </c>
      <c r="F945" t="inlineStr"/>
      <c r="G945" s="6">
        <f>HYPERLINK("https://www.kleinanzeigen.de/s-anzeige/ski-jacke-von-north-riders/2864768890-230-3546", "Link")</f>
        <v/>
      </c>
      <c r="H945" s="6">
        <f>HYPERLINK("C:\Projects\Kleinanzeigen-Scraper\offer_images\2864768890", "Link")</f>
        <v/>
      </c>
      <c r="I945" t="inlineStr">
        <is>
          <t>Steven</t>
        </is>
      </c>
      <c r="J945" s="6">
        <f>HYPERLINK("https://www.kleinanzeigen.de/s-bestandsliste.html?userId=52279597", "Link")</f>
        <v/>
      </c>
      <c r="K945" s="7" t="n">
        <v>45551.40525462963</v>
      </c>
      <c r="L945" s="3" t="inlineStr">
        <is>
          <t>481.88</t>
        </is>
      </c>
      <c r="M945" t="inlineStr">
        <is>
          <t>Köln</t>
        </is>
      </c>
    </row>
    <row r="946">
      <c r="A946" t="inlineStr">
        <is>
          <t>super Neoprenanzug, Neilpryde, Männer , Größe 52, 5/ 3 mm</t>
        </is>
      </c>
      <c r="B946" s="4" t="n">
        <v>80</v>
      </c>
      <c r="C946" t="inlineStr"/>
      <c r="D946" t="inlineStr">
        <is>
          <t>98693 Thüringen - Ilmenau</t>
        </is>
      </c>
      <c r="E946" s="5" t="n">
        <v>45484</v>
      </c>
      <c r="F946" t="inlineStr">
        <is>
          <t>Sold</t>
        </is>
      </c>
      <c r="G946" s="6">
        <f>HYPERLINK("https://www.kleinanzeigen.de/s-anzeige/super-neoprenanzug-neilpryde-maenner-groesse-52-5-3-mm/2809809502-230-3687", "Link")</f>
        <v/>
      </c>
      <c r="H946" s="6">
        <f>HYPERLINK("C:\Projects\Kleinanzeigen-Scraper\offer_images\2809809502", "Link")</f>
        <v/>
      </c>
      <c r="I946" t="inlineStr">
        <is>
          <t>gla</t>
        </is>
      </c>
      <c r="J946" s="6">
        <f>HYPERLINK("https://www.kleinanzeigen.de/s-bestandsliste.html?userId=7990875", "Link")</f>
        <v/>
      </c>
      <c r="K946" s="7" t="n">
        <v>45550.99853009259</v>
      </c>
      <c r="L946" s="3" t="inlineStr">
        <is>
          <t>260.54</t>
        </is>
      </c>
      <c r="M946" t="inlineStr">
        <is>
          <t>Karlsruhe</t>
        </is>
      </c>
    </row>
    <row r="947">
      <c r="A947" t="inlineStr">
        <is>
          <t>JP Australia Windsurf Flagge Team Banner Fahne Surf Deko Bulli</t>
        </is>
      </c>
      <c r="B947" s="4" t="n">
        <v>100</v>
      </c>
      <c r="C947" t="inlineStr"/>
      <c r="D947" t="inlineStr">
        <is>
          <t>24105 Schleswig-Holstein - Kiel</t>
        </is>
      </c>
      <c r="E947" s="5" t="n">
        <v>45550</v>
      </c>
      <c r="F947" t="inlineStr"/>
      <c r="G947" s="6">
        <f>HYPERLINK("https://www.kleinanzeigen.de/s-anzeige/jp-australia-windsurf-flagge-team-banner-fahne-surf-deko-bulli/2863718531-230-708", "Link")</f>
        <v/>
      </c>
      <c r="H947" s="6">
        <f>HYPERLINK("C:\Projects\Kleinanzeigen-Scraper\offer_images\2863718531", "Link")</f>
        <v/>
      </c>
      <c r="I947" t="inlineStr">
        <is>
          <t>Jan</t>
        </is>
      </c>
      <c r="J947" s="6">
        <f>HYPERLINK("https://www.kleinanzeigen.de/s-bestandsliste.html?userId=9631650", "Link")</f>
        <v/>
      </c>
      <c r="K947" s="7" t="n">
        <v>45550.9984837963</v>
      </c>
      <c r="L947" s="3" t="inlineStr">
        <is>
          <t>435.05</t>
        </is>
      </c>
      <c r="M947" t="inlineStr">
        <is>
          <t>Köln</t>
        </is>
      </c>
    </row>
    <row r="948">
      <c r="A948" t="inlineStr">
        <is>
          <t>duotone board bag tec 6,8 mit rollen</t>
        </is>
      </c>
      <c r="B948" s="4" t="n">
        <v>130</v>
      </c>
      <c r="C948" t="inlineStr"/>
      <c r="D948" t="inlineStr">
        <is>
          <t>89073 Baden-Württemberg - Ulm</t>
        </is>
      </c>
      <c r="E948" s="5" t="n">
        <v>45549</v>
      </c>
      <c r="F948" t="inlineStr">
        <is>
          <t>Sold</t>
        </is>
      </c>
      <c r="G948" s="6">
        <f>HYPERLINK("https://www.kleinanzeigen.de/s-anzeige/duotone-board-bag-tec-6-8-mit-rollen/2863036796-230-9342", "Link")</f>
        <v/>
      </c>
      <c r="H948" s="6">
        <f>HYPERLINK("C:\Projects\Kleinanzeigen-Scraper\offer_images\2863036796", "Link")</f>
        <v/>
      </c>
      <c r="I948" t="inlineStr">
        <is>
          <t>flori</t>
        </is>
      </c>
      <c r="J948" s="6">
        <f>HYPERLINK("https://www.kleinanzeigen.de/s-bestandsliste.html?userId=13436736", "Link")</f>
        <v/>
      </c>
      <c r="K948" s="7" t="n">
        <v>45550.9984837963</v>
      </c>
      <c r="L948" s="3" t="inlineStr">
        <is>
          <t>81.07</t>
        </is>
      </c>
      <c r="M948" t="inlineStr">
        <is>
          <t>Böblingen</t>
        </is>
      </c>
    </row>
    <row r="949">
      <c r="A949" t="inlineStr">
        <is>
          <t>2x Masttop jeweils 430, Fiberspar, Windgear, Windsurfen, Mast</t>
        </is>
      </c>
      <c r="B949" s="4" t="n">
        <v>10</v>
      </c>
      <c r="C949" t="inlineStr"/>
      <c r="D949" t="inlineStr">
        <is>
          <t>16341 Brandenburg - Panketal</t>
        </is>
      </c>
      <c r="E949" s="5" t="n">
        <v>45550</v>
      </c>
      <c r="F949" t="inlineStr">
        <is>
          <t>Sold</t>
        </is>
      </c>
      <c r="G949" s="6">
        <f>HYPERLINK("https://www.kleinanzeigen.de/s-anzeige/2x-masttop-jeweils-430-fiberspar-windgear-windsurfen-mast/2864100863-230-7919", "Link")</f>
        <v/>
      </c>
      <c r="H949" s="6">
        <f>HYPERLINK("C:\Projects\Kleinanzeigen-Scraper\offer_images\2864100863", "Link")</f>
        <v/>
      </c>
      <c r="I949" t="inlineStr">
        <is>
          <t>Andre Rudolph</t>
        </is>
      </c>
      <c r="J949" s="6">
        <f>HYPERLINK("https://www.kleinanzeigen.de/s-bestandsliste.html?userId=12872693", "Link")</f>
        <v/>
      </c>
      <c r="K949" s="7" t="n">
        <v>45550.9984837963</v>
      </c>
      <c r="L949" s="3" t="inlineStr">
        <is>
          <t>490.55</t>
        </is>
      </c>
      <c r="M949" t="inlineStr">
        <is>
          <t>Köln</t>
        </is>
      </c>
    </row>
    <row r="950">
      <c r="A950" t="inlineStr">
        <is>
          <t>SUP STARBOARD Kaufberatung</t>
        </is>
      </c>
      <c r="B950" s="4" t="inlineStr">
        <is>
          <t>Zu verschenken</t>
        </is>
      </c>
      <c r="C950" t="inlineStr"/>
      <c r="D950" t="inlineStr">
        <is>
          <t>33100 Nordrhein-Westfalen - Paderborn</t>
        </is>
      </c>
      <c r="E950" s="5" t="n">
        <v>45186</v>
      </c>
      <c r="F950" t="inlineStr">
        <is>
          <t>Sold</t>
        </is>
      </c>
      <c r="G950" s="6">
        <f>HYPERLINK("https://www.kleinanzeigen.de/s-anzeige/sup-starboard-kaufberatung/2547416620-230-2164", "Link")</f>
        <v/>
      </c>
      <c r="H950" s="6">
        <f>HYPERLINK("C:\Projects\Kleinanzeigen-Scraper\offer_images\2547416620", "Link")</f>
        <v/>
      </c>
      <c r="I950" t="inlineStr">
        <is>
          <t>BORAVENT</t>
        </is>
      </c>
      <c r="J950" s="6">
        <f>HYPERLINK("https://www.kleinanzeigen.de/s-bestandsliste.html?userId=55973585", "Link")</f>
        <v/>
      </c>
      <c r="K950" s="7" t="n">
        <v>45550.99847222222</v>
      </c>
      <c r="L950" s="3" t="inlineStr">
        <is>
          <t>156.96</t>
        </is>
      </c>
      <c r="M950" t="inlineStr">
        <is>
          <t>Köln</t>
        </is>
      </c>
    </row>
    <row r="951">
      <c r="A951" t="inlineStr">
        <is>
          <t>Duotone Evo D/LAB in 6 m²</t>
        </is>
      </c>
      <c r="B951" s="4" t="n">
        <v>1.349</v>
      </c>
      <c r="C951" t="inlineStr">
        <is>
          <t>VB</t>
        </is>
      </c>
      <c r="D951" t="inlineStr">
        <is>
          <t>87509 Bayern - Immenstadt</t>
        </is>
      </c>
      <c r="E951" s="5" t="n">
        <v>45550</v>
      </c>
      <c r="F951" t="inlineStr">
        <is>
          <t>Sold</t>
        </is>
      </c>
      <c r="G951" s="6">
        <f>HYPERLINK("https://www.kleinanzeigen.de/s-anzeige/duotone-evo-d-lab-in-6-m-/2864187092-230-5538", "Link")</f>
        <v/>
      </c>
      <c r="H951" s="6">
        <f>HYPERLINK("C:\Projects\Kleinanzeigen-Scraper\offer_images\2864187092", "Link")</f>
        <v/>
      </c>
      <c r="I951" t="inlineStr">
        <is>
          <t>OJ</t>
        </is>
      </c>
      <c r="J951" s="6">
        <f>HYPERLINK("https://www.kleinanzeigen.de/s-bestandsliste.html?userId=5638425", "Link")</f>
        <v/>
      </c>
      <c r="K951" s="7" t="n">
        <v>45550.99844907408</v>
      </c>
      <c r="L951" s="3" t="inlineStr">
        <is>
          <t>120.75</t>
        </is>
      </c>
      <c r="M951" t="inlineStr">
        <is>
          <t>München</t>
        </is>
      </c>
    </row>
    <row r="952">
      <c r="A952" t="inlineStr">
        <is>
          <t>Neuwertiges Starboard Deluxe Chamber SUP + Carbon Paddel</t>
        </is>
      </c>
      <c r="B952" s="4" t="n">
        <v>749</v>
      </c>
      <c r="C952" t="inlineStr"/>
      <c r="D952" t="inlineStr">
        <is>
          <t>25920 Nordfriesland - Risum-Lindholm</t>
        </is>
      </c>
      <c r="E952" s="5" t="n">
        <v>45505</v>
      </c>
      <c r="F952" t="inlineStr">
        <is>
          <t>Sold</t>
        </is>
      </c>
      <c r="G952" s="6">
        <f>HYPERLINK("https://www.kleinanzeigen.de/s-anzeige/neuwertiges-starboard-deluxe-chamber-sup-carbon-paddel/2826492768-230-20530", "Link")</f>
        <v/>
      </c>
      <c r="H952" s="6">
        <f>HYPERLINK("C:\Projects\Kleinanzeigen-Scraper\offer_images\2826492768", "Link")</f>
        <v/>
      </c>
      <c r="I952" t="inlineStr">
        <is>
          <t>Ich</t>
        </is>
      </c>
      <c r="J952" s="6">
        <f>HYPERLINK("https://www.kleinanzeigen.de/s-bestandsliste.html?userId=7990602", "Link")</f>
        <v/>
      </c>
      <c r="K952" s="7" t="n">
        <v>45550.99844907408</v>
      </c>
      <c r="L952" s="3" t="inlineStr">
        <is>
          <t>444.21</t>
        </is>
      </c>
      <c r="M952" t="inlineStr">
        <is>
          <t>Köln</t>
        </is>
      </c>
    </row>
    <row r="953">
      <c r="A953" t="inlineStr">
        <is>
          <t>Wanderschuhe von The  North Face</t>
        </is>
      </c>
      <c r="B953" s="4" t="n">
        <v>20</v>
      </c>
      <c r="C953" t="inlineStr"/>
      <c r="D953" t="inlineStr">
        <is>
          <t>10243 Friedrichshain-Kreuzberg - Friedrichshain</t>
        </is>
      </c>
      <c r="E953" s="5" t="n">
        <v>45550</v>
      </c>
      <c r="F953" t="inlineStr">
        <is>
          <t>Sold</t>
        </is>
      </c>
      <c r="G953" s="6">
        <f>HYPERLINK("https://www.kleinanzeigen.de/s-anzeige/wanderschuhe-von-the-north-face/2864737054-230-3354", "Link")</f>
        <v/>
      </c>
      <c r="H953" s="6">
        <f>HYPERLINK("C:\Projects\Kleinanzeigen-Scraper\offer_images\2864737054", "Link")</f>
        <v/>
      </c>
      <c r="I953" t="inlineStr">
        <is>
          <t>Lena</t>
        </is>
      </c>
      <c r="J953" s="6">
        <f>HYPERLINK("https://www.kleinanzeigen.de/s-bestandsliste.html?userId=9740523", "Link")</f>
        <v/>
      </c>
      <c r="K953" s="7" t="n">
        <v>45550.99837962963</v>
      </c>
      <c r="L953" s="3" t="inlineStr">
        <is>
          <t>479.58</t>
        </is>
      </c>
      <c r="M953" t="inlineStr">
        <is>
          <t>Köln</t>
        </is>
      </c>
    </row>
    <row r="954">
      <c r="A954" t="inlineStr">
        <is>
          <t>North Reach 12qm 2024</t>
        </is>
      </c>
      <c r="B954" s="4" t="n">
        <v>995</v>
      </c>
      <c r="C954" t="inlineStr"/>
      <c r="D954" t="inlineStr">
        <is>
          <t>26757 Niedersachsen - Borkum</t>
        </is>
      </c>
      <c r="E954" s="5" t="n">
        <v>45550</v>
      </c>
      <c r="F954" t="inlineStr">
        <is>
          <t>Sold</t>
        </is>
      </c>
      <c r="G954" s="6">
        <f>HYPERLINK("https://www.kleinanzeigen.de/s-anzeige/north-reach-12qm-2024/2864250924-230-2447", "Link")</f>
        <v/>
      </c>
      <c r="H954" s="6">
        <f>HYPERLINK("C:\Projects\Kleinanzeigen-Scraper\offer_images\2864250924", "Link")</f>
        <v/>
      </c>
      <c r="I954" t="inlineStr">
        <is>
          <t>Klaas Im Sande</t>
        </is>
      </c>
      <c r="J954" s="6">
        <f>HYPERLINK("https://www.kleinanzeigen.de/s-bestandsliste.html?userId=84904614", "Link")</f>
        <v/>
      </c>
      <c r="K954" s="7" t="n">
        <v>45550.99827546296</v>
      </c>
      <c r="L954" s="3" t="inlineStr">
        <is>
          <t>295.18</t>
        </is>
      </c>
      <c r="M954" t="inlineStr">
        <is>
          <t>Köln</t>
        </is>
      </c>
    </row>
    <row r="955">
      <c r="A955" t="inlineStr">
        <is>
          <t>Trekkingrucksack The North Face  ALTEO 35</t>
        </is>
      </c>
      <c r="B955" s="4" t="n">
        <v>56</v>
      </c>
      <c r="C955" t="inlineStr"/>
      <c r="D955" t="inlineStr">
        <is>
          <t>71083 Baden-Württemberg - Herrenberg</t>
        </is>
      </c>
      <c r="E955" s="5" t="n">
        <v>45550</v>
      </c>
      <c r="F955" t="inlineStr">
        <is>
          <t>Sold</t>
        </is>
      </c>
      <c r="G955" s="6">
        <f>HYPERLINK("https://www.kleinanzeigen.de/s-anzeige/trekkingrucksack-the-north-face-alteo-35/2863982244-230-8097", "Link")</f>
        <v/>
      </c>
      <c r="H955" s="6">
        <f>HYPERLINK("C:\Projects\Kleinanzeigen-Scraper\offer_images\2863982244", "Link")</f>
        <v/>
      </c>
      <c r="I955" t="inlineStr">
        <is>
          <t>Fam. Barth</t>
        </is>
      </c>
      <c r="J955" s="6">
        <f>HYPERLINK("https://www.kleinanzeigen.de/s-bestandsliste.html?userId=17079676", "Link")</f>
        <v/>
      </c>
      <c r="K955" s="7" t="n">
        <v>45550.99825231481</v>
      </c>
      <c r="L955" s="3" t="inlineStr">
        <is>
          <t>12.18</t>
        </is>
      </c>
      <c r="M955" t="inlineStr">
        <is>
          <t>Böblingen</t>
        </is>
      </c>
    </row>
    <row r="956">
      <c r="A956" t="inlineStr">
        <is>
          <t>Watjacke Simms XL</t>
        </is>
      </c>
      <c r="B956" s="4" t="n">
        <v>89</v>
      </c>
      <c r="C956" t="inlineStr"/>
      <c r="D956" t="inlineStr">
        <is>
          <t>51109 Köln - Köln Brück</t>
        </is>
      </c>
      <c r="E956" s="5" t="n">
        <v>45550</v>
      </c>
      <c r="F956" t="inlineStr"/>
      <c r="G956" s="6">
        <f>HYPERLINK("https://www.kleinanzeigen.de/s-anzeige/watjacke-simms-xl/2864115018-230-966", "Link")</f>
        <v/>
      </c>
      <c r="H956" s="6">
        <f>HYPERLINK("C:\Projects\Kleinanzeigen-Scraper\offer_images\2864115018", "Link")</f>
        <v/>
      </c>
      <c r="I956" t="inlineStr">
        <is>
          <t>Bojan</t>
        </is>
      </c>
      <c r="J956" s="6">
        <f>HYPERLINK("https://www.kleinanzeigen.de/s-bestandsliste.html?userId=11551031", "Link")</f>
        <v/>
      </c>
      <c r="K956" s="7" t="n">
        <v>45550.99824074074</v>
      </c>
      <c r="L956" s="3" t="inlineStr">
        <is>
          <t>9.01</t>
        </is>
      </c>
      <c r="M956" t="inlineStr">
        <is>
          <t>Köln</t>
        </is>
      </c>
    </row>
    <row r="957">
      <c r="A957" t="inlineStr">
        <is>
          <t>North Evo 12qm aus 2016</t>
        </is>
      </c>
      <c r="B957" s="4" t="n">
        <v>150</v>
      </c>
      <c r="C957" t="inlineStr">
        <is>
          <t>VB</t>
        </is>
      </c>
      <c r="D957" t="inlineStr">
        <is>
          <t>41812 Nordrhein-Westfalen - Erkelenz</t>
        </is>
      </c>
      <c r="E957" s="5" t="n">
        <v>45550</v>
      </c>
      <c r="F957" t="inlineStr">
        <is>
          <t>Sold</t>
        </is>
      </c>
      <c r="G957" s="6">
        <f>HYPERLINK("https://www.kleinanzeigen.de/s-anzeige/north-evo-12qm-aus-2016/2863918048-230-1202", "Link")</f>
        <v/>
      </c>
      <c r="H957" s="6">
        <f>HYPERLINK("C:\Projects\Kleinanzeigen-Scraper\offer_images\2863918048", "Link")</f>
        <v/>
      </c>
      <c r="I957" t="inlineStr">
        <is>
          <t>Privat</t>
        </is>
      </c>
      <c r="J957" s="6">
        <f>HYPERLINK("https://www.kleinanzeigen.de/s-bestandsliste.html?userId=119306679", "Link")</f>
        <v/>
      </c>
      <c r="K957" s="7" t="n">
        <v>45550.99824074074</v>
      </c>
      <c r="L957" s="3" t="inlineStr">
        <is>
          <t>46.78</t>
        </is>
      </c>
      <c r="M957" t="inlineStr">
        <is>
          <t>Köln</t>
        </is>
      </c>
    </row>
    <row r="958">
      <c r="A958" t="inlineStr">
        <is>
          <t>GUN Sails Neopren Haube</t>
        </is>
      </c>
      <c r="B958" s="4" t="n">
        <v>7</v>
      </c>
      <c r="C958" t="inlineStr">
        <is>
          <t>VB</t>
        </is>
      </c>
      <c r="D958" t="inlineStr">
        <is>
          <t>64407 Hessen - Fränkisch-Crumbach</t>
        </is>
      </c>
      <c r="E958" s="5" t="n">
        <v>45549</v>
      </c>
      <c r="F958" t="inlineStr">
        <is>
          <t>Sold</t>
        </is>
      </c>
      <c r="G958" s="6">
        <f>HYPERLINK("https://www.kleinanzeigen.de/s-anzeige/gun-sails-neopren-haube/2863224579-230-4457", "Link")</f>
        <v/>
      </c>
      <c r="H958" s="6">
        <f>HYPERLINK("C:\Projects\Kleinanzeigen-Scraper\offer_images\2863224579", "Link")</f>
        <v/>
      </c>
      <c r="I958" t="inlineStr">
        <is>
          <t>Andreas</t>
        </is>
      </c>
      <c r="J958" s="6">
        <f>HYPERLINK("https://www.kleinanzeigen.de/s-bestandsliste.html?userId=34491112", "Link")</f>
        <v/>
      </c>
      <c r="K958" s="7" t="n">
        <v>45550.99818287037</v>
      </c>
      <c r="L958" s="3" t="inlineStr">
        <is>
          <t>88.81</t>
        </is>
      </c>
      <c r="M958" t="inlineStr">
        <is>
          <t>Karlsruhe</t>
        </is>
      </c>
    </row>
    <row r="959">
      <c r="A959" t="inlineStr">
        <is>
          <t>Vintage antik Metalldose North State 16.5x11.5 cm</t>
        </is>
      </c>
      <c r="B959" s="4" t="n">
        <v>10</v>
      </c>
      <c r="C959" t="inlineStr"/>
      <c r="D959" t="inlineStr">
        <is>
          <t>26160 Bad Zwischenahn - Bloh</t>
        </is>
      </c>
      <c r="E959" s="5" t="n">
        <v>45550</v>
      </c>
      <c r="F959" t="inlineStr">
        <is>
          <t>Sold</t>
        </is>
      </c>
      <c r="G959" s="6">
        <f>HYPERLINK("https://www.kleinanzeigen.de/s-anzeige/vintage-antik-metalldose-north-state-16-5x11-5-cm/2864339721-234-25886", "Link")</f>
        <v/>
      </c>
      <c r="H959" s="6">
        <f>HYPERLINK("C:\Projects\Kleinanzeigen-Scraper\offer_images\2864339721", "Link")</f>
        <v/>
      </c>
      <c r="I959" t="inlineStr">
        <is>
          <t>LH</t>
        </is>
      </c>
      <c r="J959" s="6">
        <f>HYPERLINK("https://www.kleinanzeigen.de/s-bestandsliste.html?userId=18589657", "Link")</f>
        <v/>
      </c>
      <c r="K959" s="7" t="n">
        <v>45550.99813657408</v>
      </c>
      <c r="L959" s="3" t="inlineStr">
        <is>
          <t>260.27</t>
        </is>
      </c>
      <c r="M959" t="inlineStr">
        <is>
          <t>Köln</t>
        </is>
      </c>
    </row>
    <row r="960">
      <c r="A960" t="inlineStr">
        <is>
          <t>Starboard  SUP   defekt</t>
        </is>
      </c>
      <c r="B960" s="4" t="n">
        <v>150</v>
      </c>
      <c r="C960" t="inlineStr"/>
      <c r="D960" t="inlineStr">
        <is>
          <t>82362 Bayern - Weilheim i.OB</t>
        </is>
      </c>
      <c r="E960" s="5" t="n">
        <v>45437</v>
      </c>
      <c r="F960" t="inlineStr">
        <is>
          <t>Sold</t>
        </is>
      </c>
      <c r="G960" s="6">
        <f>HYPERLINK("https://www.kleinanzeigen.de/s-anzeige/starboard-sup-defekt/2770795115-242-10173", "Link")</f>
        <v/>
      </c>
      <c r="H960" s="6">
        <f>HYPERLINK("C:\Projects\Kleinanzeigen-Scraper\offer_images\2770795115", "Link")</f>
        <v/>
      </c>
      <c r="I960" t="inlineStr">
        <is>
          <t>Kilian</t>
        </is>
      </c>
      <c r="J960" s="6">
        <f>HYPERLINK("https://www.kleinanzeigen.de/s-bestandsliste.html?userId=82040028", "Link")</f>
        <v/>
      </c>
      <c r="K960" s="7" t="n">
        <v>45550.99813657408</v>
      </c>
      <c r="L960" s="3" t="inlineStr">
        <is>
          <t>44.78</t>
        </is>
      </c>
      <c r="M960" t="inlineStr">
        <is>
          <t>München</t>
        </is>
      </c>
    </row>
    <row r="961">
      <c r="A961" t="inlineStr">
        <is>
          <t>Neilpryde Long John mit Jacke, Woman 44, Surf, SUP, Wassersport</t>
        </is>
      </c>
      <c r="B961" s="4" t="n">
        <v>75</v>
      </c>
      <c r="C961" t="inlineStr">
        <is>
          <t>VB</t>
        </is>
      </c>
      <c r="D961" t="inlineStr">
        <is>
          <t>33615 Bielefeld - Bielefeld (Innenstadt)</t>
        </is>
      </c>
      <c r="E961" s="5" t="n">
        <v>45483</v>
      </c>
      <c r="F961" t="inlineStr">
        <is>
          <t>Sold</t>
        </is>
      </c>
      <c r="G961" s="6">
        <f>HYPERLINK("https://www.kleinanzeigen.de/s-anzeige/neilpryde-long-john-mit-jacke-woman-44-surf-sup-wassersport/2808822577-230-1058", "Link")</f>
        <v/>
      </c>
      <c r="H961" s="6">
        <f>HYPERLINK("C:\Projects\Kleinanzeigen-Scraper\offer_images\2808822577", "Link")</f>
        <v/>
      </c>
      <c r="I961" t="inlineStr">
        <is>
          <t>Carola Giller</t>
        </is>
      </c>
      <c r="J961" s="6">
        <f>HYPERLINK("https://www.kleinanzeigen.de/s-bestandsliste.html?userId=7988525", "Link")</f>
        <v/>
      </c>
      <c r="K961" s="7" t="n">
        <v>45550.998125</v>
      </c>
      <c r="L961" s="3" t="inlineStr">
        <is>
          <t>162.21</t>
        </is>
      </c>
      <c r="M961" t="inlineStr">
        <is>
          <t>Köln</t>
        </is>
      </c>
    </row>
    <row r="962">
      <c r="A962" t="inlineStr">
        <is>
          <t>Boardprotektor Mastprotektor Surfbent Windsurf Protektor Schutz</t>
        </is>
      </c>
      <c r="B962" s="4" t="n">
        <v>45</v>
      </c>
      <c r="C962" t="inlineStr"/>
      <c r="D962" t="inlineStr">
        <is>
          <t>82178 Bayern - Puchheim</t>
        </is>
      </c>
      <c r="E962" s="5" t="n">
        <v>45549</v>
      </c>
      <c r="F962" t="inlineStr">
        <is>
          <t>Sold</t>
        </is>
      </c>
      <c r="G962" s="6">
        <f>HYPERLINK("https://www.kleinanzeigen.de/s-anzeige/boardprotektor-mastprotektor-surfbent-windsurf-protektor-schutz/2862687266-230-5599", "Link")</f>
        <v/>
      </c>
      <c r="H962" s="6">
        <f>HYPERLINK("C:\Projects\Kleinanzeigen-Scraper\offer_images\2862687266", "Link")</f>
        <v/>
      </c>
      <c r="I962" t="inlineStr">
        <is>
          <t>Michael Nanini</t>
        </is>
      </c>
      <c r="J962" s="6">
        <f>HYPERLINK("https://www.kleinanzeigen.de/s-bestandsliste.html?userId=11859414", "Link")</f>
        <v/>
      </c>
      <c r="K962" s="7" t="n">
        <v>45550.99807870371</v>
      </c>
      <c r="L962" s="3" t="inlineStr">
        <is>
          <t>17.38</t>
        </is>
      </c>
      <c r="M962" t="inlineStr">
        <is>
          <t>München</t>
        </is>
      </c>
    </row>
    <row r="963">
      <c r="A963" t="inlineStr">
        <is>
          <t>The North Face Base Camp Duffel M, Reisetasche , Duffle</t>
        </is>
      </c>
      <c r="B963" s="4" t="n">
        <v>80</v>
      </c>
      <c r="C963" t="inlineStr"/>
      <c r="D963" t="inlineStr">
        <is>
          <t>50129 Nordrhein-Westfalen - Bergheim</t>
        </is>
      </c>
      <c r="E963" s="5" t="n">
        <v>45549</v>
      </c>
      <c r="F963" t="inlineStr">
        <is>
          <t>Sold</t>
        </is>
      </c>
      <c r="G963" s="6">
        <f>HYPERLINK("https://www.kleinanzeigen.de/s-anzeige/the-north-face-base-camp-duffel-m-reisetasche-duffle/2863121143-233-1876", "Link")</f>
        <v/>
      </c>
      <c r="H963" s="6">
        <f>HYPERLINK("C:\Projects\Kleinanzeigen-Scraper\offer_images\2863121143", "Link")</f>
        <v/>
      </c>
      <c r="I963" t="inlineStr">
        <is>
          <t>Peter</t>
        </is>
      </c>
      <c r="J963" s="6">
        <f>HYPERLINK("https://www.kleinanzeigen.de/s-bestandsliste.html?userId=22599558", "Link")</f>
        <v/>
      </c>
      <c r="K963" s="7" t="n">
        <v>45550.99807870371</v>
      </c>
      <c r="L963" s="3" t="inlineStr">
        <is>
          <t>18.04</t>
        </is>
      </c>
      <c r="M963" t="inlineStr">
        <is>
          <t>Köln</t>
        </is>
      </c>
    </row>
    <row r="964">
      <c r="A964" t="inlineStr">
        <is>
          <t>❌❌Starboard 10,5 deluxe Astro drive SUP paddle board</t>
        </is>
      </c>
      <c r="B964" s="4" t="n">
        <v>455</v>
      </c>
      <c r="C964" t="inlineStr"/>
      <c r="D964" t="inlineStr">
        <is>
          <t>88138 Bayern - Weißensberg</t>
        </is>
      </c>
      <c r="E964" s="5" t="n">
        <v>45176</v>
      </c>
      <c r="F964" t="inlineStr">
        <is>
          <t>Sold</t>
        </is>
      </c>
      <c r="G964" s="6">
        <f>HYPERLINK("https://www.kleinanzeigen.de/s-anzeige/-starboard-10-5-deluxe-astro-drive-sup-paddle-board/2539929872-230-7705", "Link")</f>
        <v/>
      </c>
      <c r="H964" s="6">
        <f>HYPERLINK("C:\Projects\Kleinanzeigen-Scraper\offer_images\2539929872", "Link")</f>
        <v/>
      </c>
      <c r="I964" t="inlineStr">
        <is>
          <t>Privat</t>
        </is>
      </c>
      <c r="J964" s="6">
        <f>HYPERLINK("https://www.kleinanzeigen.de/s-bestandsliste.html?userId=3646501", "Link")</f>
        <v/>
      </c>
      <c r="K964" s="7" t="n">
        <v>45550.99774305556</v>
      </c>
      <c r="L964" s="3" t="inlineStr">
        <is>
          <t>106.94</t>
        </is>
      </c>
      <c r="M964" t="inlineStr">
        <is>
          <t>Bonndorf</t>
        </is>
      </c>
    </row>
    <row r="965">
      <c r="A965" t="inlineStr">
        <is>
          <t>Sup Double Action Pump Fix Base Sup Pumpe Starboard 2024 - NEU!</t>
        </is>
      </c>
      <c r="B965" s="4" t="n">
        <v>55</v>
      </c>
      <c r="C965" t="inlineStr"/>
      <c r="D965" t="inlineStr">
        <is>
          <t>51377 Nordrhein-Westfalen - Leverkusen</t>
        </is>
      </c>
      <c r="E965" s="5" t="n">
        <v>45463</v>
      </c>
      <c r="F965" t="inlineStr"/>
      <c r="G965" s="6">
        <f>HYPERLINK("https://www.kleinanzeigen.de/s-anzeige/sup-double-action-pump-fix-base-sup-pumpe-starboard-2024-neu-/2792770587-230-1992", "Link")</f>
        <v/>
      </c>
      <c r="H965" s="6">
        <f>HYPERLINK("C:\Projects\Kleinanzeigen-Scraper\offer_images\2792770587", "Link")</f>
        <v/>
      </c>
      <c r="I965" t="inlineStr">
        <is>
          <t>Privat</t>
        </is>
      </c>
      <c r="J965" s="6">
        <f>HYPERLINK("https://www.kleinanzeigen.de/s-bestandsliste.html?userId=135281310", "Link")</f>
        <v/>
      </c>
      <c r="K965" s="7" t="n">
        <v>45550.99770833334</v>
      </c>
      <c r="L965" s="3" t="inlineStr">
        <is>
          <t>15.33</t>
        </is>
      </c>
      <c r="M965" t="inlineStr">
        <is>
          <t>Köln</t>
        </is>
      </c>
    </row>
    <row r="966">
      <c r="A966" t="inlineStr">
        <is>
          <t>Öllampe Starboard Antike Super Zustand</t>
        </is>
      </c>
      <c r="B966" s="4" t="n">
        <v>95</v>
      </c>
      <c r="C966" t="inlineStr">
        <is>
          <t>VB</t>
        </is>
      </c>
      <c r="D966" t="inlineStr">
        <is>
          <t>63329 Hessen - Egelsbach</t>
        </is>
      </c>
      <c r="E966" s="5" t="n">
        <v>44820</v>
      </c>
      <c r="F966" t="inlineStr"/>
      <c r="G966" s="6">
        <f>HYPERLINK("https://www.kleinanzeigen.de/s-anzeige/oellampe-starboard-antike-super-zustand/2213497681-240-4478", "Link")</f>
        <v/>
      </c>
      <c r="H966" s="6">
        <f>HYPERLINK("C:\Projects\Kleinanzeigen-Scraper\offer_images\2213497681", "Link")</f>
        <v/>
      </c>
      <c r="I966" t="inlineStr">
        <is>
          <t>Eee</t>
        </is>
      </c>
      <c r="J966" s="6">
        <f>HYPERLINK("https://www.kleinanzeigen.de/s-bestandsliste.html?userId=11594002", "Link")</f>
        <v/>
      </c>
      <c r="K966" s="7" t="n">
        <v>45550.99760416667</v>
      </c>
      <c r="L966" s="3" t="inlineStr">
        <is>
          <t>108.67</t>
        </is>
      </c>
      <c r="M966" t="inlineStr">
        <is>
          <t>Karlsruhe</t>
        </is>
      </c>
    </row>
    <row r="967">
      <c r="A967" t="inlineStr">
        <is>
          <t>Stand Up paddle Starboard  10.8 Set i Fiberglaspaddle</t>
        </is>
      </c>
      <c r="B967" s="4" t="n">
        <v>599</v>
      </c>
      <c r="C967" t="inlineStr">
        <is>
          <t>VB</t>
        </is>
      </c>
      <c r="D967" t="inlineStr">
        <is>
          <t>45472 Nordrhein-Westfalen - Mülheim (Ruhr)</t>
        </is>
      </c>
      <c r="E967" s="5" t="n">
        <v>45434</v>
      </c>
      <c r="F967" t="inlineStr"/>
      <c r="G967" s="6">
        <f>HYPERLINK("https://www.kleinanzeigen.de/s-anzeige/stand-up-paddle-starboard-10-8-set-i-fiberglaspaddle/2767742865-230-2061", "Link")</f>
        <v/>
      </c>
      <c r="H967" s="6">
        <f>HYPERLINK("C:\Projects\Kleinanzeigen-Scraper\offer_images\2767742865", "Link")</f>
        <v/>
      </c>
      <c r="I967" t="inlineStr">
        <is>
          <t>Sascha W</t>
        </is>
      </c>
      <c r="J967" s="6">
        <f>HYPERLINK("https://www.kleinanzeigen.de/s-bestandsliste.html?userId=129447204", "Link")</f>
        <v/>
      </c>
      <c r="K967" s="7" t="n">
        <v>45550.99759259259</v>
      </c>
      <c r="L967" s="3" t="inlineStr">
        <is>
          <t>54.84</t>
        </is>
      </c>
      <c r="M967" t="inlineStr">
        <is>
          <t>Köln</t>
        </is>
      </c>
    </row>
    <row r="968">
      <c r="A968" t="inlineStr">
        <is>
          <t>Camping North Camp Deluxe Stuhl</t>
        </is>
      </c>
      <c r="B968" s="4" t="n">
        <v>35</v>
      </c>
      <c r="C968" t="inlineStr"/>
      <c r="D968" t="inlineStr">
        <is>
          <t>13467 Berlin - Reinickendorf</t>
        </is>
      </c>
      <c r="E968" s="5" t="n">
        <v>45549</v>
      </c>
      <c r="F968" t="inlineStr">
        <is>
          <t>Sold</t>
        </is>
      </c>
      <c r="G968" s="6">
        <f>HYPERLINK("https://www.kleinanzeigen.de/s-anzeige/camping-north-camp-deluxe-stuhl/2863547444-230-3455", "Link")</f>
        <v/>
      </c>
      <c r="H968" s="6">
        <f>HYPERLINK("C:\Projects\Kleinanzeigen-Scraper\offer_images\2863547444", "Link")</f>
        <v/>
      </c>
      <c r="I968" t="inlineStr">
        <is>
          <t>C.H.</t>
        </is>
      </c>
      <c r="J968" s="6">
        <f>HYPERLINK("https://www.kleinanzeigen.de/s-bestandsliste.html?userId=2826011", "Link")</f>
        <v/>
      </c>
      <c r="K968" s="7" t="n">
        <v>45550.99753472222</v>
      </c>
      <c r="L968" s="3" t="inlineStr">
        <is>
          <t>474.84</t>
        </is>
      </c>
      <c r="M968" t="inlineStr">
        <is>
          <t>Köln</t>
        </is>
      </c>
    </row>
    <row r="969">
      <c r="A969" t="inlineStr">
        <is>
          <t>DUOTONE Rebel SLS 2022 9m² grey/coral-red</t>
        </is>
      </c>
      <c r="B969" s="4" t="n">
        <v>1.349</v>
      </c>
      <c r="C969" t="inlineStr"/>
      <c r="D969" t="inlineStr">
        <is>
          <t>17509 Mecklenburg-Vorpommern - Loissin</t>
        </is>
      </c>
      <c r="E969" s="5" t="n">
        <v>45550</v>
      </c>
      <c r="F969" t="inlineStr">
        <is>
          <t>Sold</t>
        </is>
      </c>
      <c r="G969" s="6">
        <f>HYPERLINK("https://www.kleinanzeigen.de/s-anzeige/duotone-rebel-sls-2022-9m-grey-coral-red/2738034996-230-21340", "Link")</f>
        <v/>
      </c>
      <c r="H969" s="6">
        <f>HYPERLINK("C:\Projects\Kleinanzeigen-Scraper\offer_images\2738034996", "Link")</f>
        <v/>
      </c>
      <c r="I969" t="inlineStr">
        <is>
          <t>No user name</t>
        </is>
      </c>
      <c r="J969" s="6">
        <f>HYPERLINK("https://www.kleinanzeigen.deNo user link", "Link")</f>
        <v/>
      </c>
      <c r="K969" s="7" t="n">
        <v>45550.9975</v>
      </c>
      <c r="L969" s="3" t="inlineStr">
        <is>
          <t>568.47</t>
        </is>
      </c>
      <c r="M969" t="inlineStr">
        <is>
          <t>Köln</t>
        </is>
      </c>
    </row>
    <row r="970">
      <c r="A970" t="inlineStr">
        <is>
          <t>Div. Windsurfmaterial, Fanatic, Segel, Surfbretter</t>
        </is>
      </c>
      <c r="B970" s="4" t="n">
        <v>50</v>
      </c>
      <c r="C970" t="inlineStr"/>
      <c r="D970" t="inlineStr">
        <is>
          <t>22415 Hamburg-Nord - Hamburg Langenhorn</t>
        </is>
      </c>
      <c r="E970" s="5" t="n">
        <v>45542</v>
      </c>
      <c r="F970" t="inlineStr">
        <is>
          <t>Sold</t>
        </is>
      </c>
      <c r="G970" s="6">
        <f>HYPERLINK("https://www.kleinanzeigen.de/s-anzeige/div-windsurfmaterial-fanatic-segel-surfbretter/2813046757-230-9488", "Link")</f>
        <v/>
      </c>
      <c r="H970" s="6">
        <f>HYPERLINK("C:\Projects\Kleinanzeigen-Scraper\offer_images\2813046757", "Link")</f>
        <v/>
      </c>
      <c r="I970" t="inlineStr">
        <is>
          <t>m.f.G. K. Axmann</t>
        </is>
      </c>
      <c r="J970" s="6">
        <f>HYPERLINK("https://www.kleinanzeigen.de/s-bestandsliste.html?userId=120924553", "Link")</f>
        <v/>
      </c>
      <c r="K970" s="7" t="n">
        <v>45550.99747685185</v>
      </c>
      <c r="L970" s="3" t="inlineStr">
        <is>
          <t>366.01</t>
        </is>
      </c>
      <c r="M970" t="inlineStr">
        <is>
          <t>Köln</t>
        </is>
      </c>
    </row>
    <row r="971">
      <c r="A971" t="inlineStr">
        <is>
          <t>Compoundbogen - Simms Vibration Lab Limb Saver Artikeln</t>
        </is>
      </c>
      <c r="B971" s="4" t="n">
        <v>10</v>
      </c>
      <c r="C971" t="inlineStr"/>
      <c r="D971" t="inlineStr">
        <is>
          <t>24944 Flensburg - Fruerlund</t>
        </is>
      </c>
      <c r="E971" s="5" t="n">
        <v>45550</v>
      </c>
      <c r="F971" t="inlineStr"/>
      <c r="G971" s="6">
        <f>HYPERLINK("https://www.kleinanzeigen.de/s-anzeige/compoundbogen-simms-vibration-lab-limb-saver-artikeln/2864057186-230-716", "Link")</f>
        <v/>
      </c>
      <c r="H971" s="6">
        <f>HYPERLINK("C:\Projects\Kleinanzeigen-Scraper\offer_images\2864057186", "Link")</f>
        <v/>
      </c>
      <c r="I971" t="inlineStr">
        <is>
          <t>Per Knudsen</t>
        </is>
      </c>
      <c r="J971" s="6">
        <f>HYPERLINK("https://www.kleinanzeigen.de/s-bestandsliste.html?userId=55205387", "Link")</f>
        <v/>
      </c>
      <c r="K971" s="7" t="n">
        <v>45550.99744212963</v>
      </c>
      <c r="L971" s="3" t="inlineStr">
        <is>
          <t>462.42</t>
        </is>
      </c>
      <c r="M971" t="inlineStr">
        <is>
          <t>Köln</t>
        </is>
      </c>
    </row>
    <row r="972">
      <c r="A972" t="inlineStr">
        <is>
          <t>Windsurfer Segelsack gebr. L: 103cm, 16€ [2137]</t>
        </is>
      </c>
      <c r="B972" s="4" t="n">
        <v>16</v>
      </c>
      <c r="C972" t="inlineStr">
        <is>
          <t>VB</t>
        </is>
      </c>
      <c r="D972" t="inlineStr">
        <is>
          <t>37124 Niedersachsen - Rosdorf</t>
        </is>
      </c>
      <c r="E972" s="5" t="n">
        <v>45549</v>
      </c>
      <c r="F972" t="inlineStr">
        <is>
          <t>Sold</t>
        </is>
      </c>
      <c r="G972" s="6">
        <f>HYPERLINK("https://www.kleinanzeigen.de/s-anzeige/windsurfer-segelsack-gebr-l-103cm-16-2137-/2737689710-230-3133", "Link")</f>
        <v/>
      </c>
      <c r="H972" s="6">
        <f>HYPERLINK("C:\Projects\Kleinanzeigen-Scraper\offer_images\2737689710", "Link")</f>
        <v/>
      </c>
      <c r="I972" t="inlineStr">
        <is>
          <t>No user name</t>
        </is>
      </c>
      <c r="J972" s="6">
        <f>HYPERLINK("https://www.kleinanzeigen.deNo user link", "Link")</f>
        <v/>
      </c>
      <c r="K972" s="7" t="n">
        <v>45550.99737268518</v>
      </c>
      <c r="L972" s="3" t="inlineStr">
        <is>
          <t>214.72</t>
        </is>
      </c>
      <c r="M972" t="inlineStr">
        <is>
          <t>Köln</t>
        </is>
      </c>
    </row>
    <row r="973">
      <c r="A973" t="inlineStr">
        <is>
          <t>Windsurfen</t>
        </is>
      </c>
      <c r="B973" s="4" t="n">
        <v>20</v>
      </c>
      <c r="C973" t="inlineStr"/>
      <c r="D973" t="inlineStr">
        <is>
          <t>81476 München - Thalk.Obersendl.-Forsten-Fürstenr.-Solln</t>
        </is>
      </c>
      <c r="E973" s="5" t="n">
        <v>45549</v>
      </c>
      <c r="F973" t="inlineStr">
        <is>
          <t>Sold</t>
        </is>
      </c>
      <c r="G973" s="6">
        <f>HYPERLINK("https://www.kleinanzeigen.de/s-anzeige/windsurfen/2862655592-230-6436", "Link")</f>
        <v/>
      </c>
      <c r="H973" s="6">
        <f>HYPERLINK("C:\Projects\Kleinanzeigen-Scraper\offer_images\2862655592", "Link")</f>
        <v/>
      </c>
      <c r="I973" t="inlineStr">
        <is>
          <t>R.R</t>
        </is>
      </c>
      <c r="J973" s="6">
        <f>HYPERLINK("https://www.kleinanzeigen.de/s-bestandsliste.html?userId=135566434", "Link")</f>
        <v/>
      </c>
      <c r="K973" s="7" t="n">
        <v>45550.99732638889</v>
      </c>
      <c r="L973" s="3" t="inlineStr">
        <is>
          <t>8.19</t>
        </is>
      </c>
      <c r="M973" t="inlineStr">
        <is>
          <t>München</t>
        </is>
      </c>
    </row>
    <row r="974">
      <c r="A974" t="inlineStr">
        <is>
          <t>Starboard Foil Schrauben Edelstahl Torx Race Carbon</t>
        </is>
      </c>
      <c r="B974" s="4" t="n">
        <v>2</v>
      </c>
      <c r="C974" t="inlineStr"/>
      <c r="D974" t="inlineStr">
        <is>
          <t>87730 Bayern - Bad Grönenbach</t>
        </is>
      </c>
      <c r="E974" s="5" t="n">
        <v>45171</v>
      </c>
      <c r="F974" t="inlineStr">
        <is>
          <t>Sold</t>
        </is>
      </c>
      <c r="G974" s="6">
        <f>HYPERLINK("https://www.kleinanzeigen.de/s-anzeige/starboard-foil-schrauben-edelstahl-torx-race-carbon/2535475120-230-7286", "Link")</f>
        <v/>
      </c>
      <c r="H974" s="6">
        <f>HYPERLINK("C:\Projects\Kleinanzeigen-Scraper\offer_images\2535475120", "Link")</f>
        <v/>
      </c>
      <c r="I974" t="inlineStr">
        <is>
          <t>KK</t>
        </is>
      </c>
      <c r="J974" s="6">
        <f>HYPERLINK("https://www.kleinanzeigen.de/s-bestandsliste.html?userId=7859434", "Link")</f>
        <v/>
      </c>
      <c r="K974" s="7" t="n">
        <v>45550.99732638889</v>
      </c>
      <c r="L974" s="3" t="inlineStr">
        <is>
          <t>103.42</t>
        </is>
      </c>
      <c r="M974" t="inlineStr">
        <is>
          <t>München</t>
        </is>
      </c>
    </row>
    <row r="975">
      <c r="A975" t="inlineStr">
        <is>
          <t>Camping Stuhl blau - North Camp</t>
        </is>
      </c>
      <c r="B975" s="4" t="n">
        <v>29</v>
      </c>
      <c r="C975" t="inlineStr">
        <is>
          <t>VB</t>
        </is>
      </c>
      <c r="D975" t="inlineStr">
        <is>
          <t>15366 Brandenburg - Neuenhagen</t>
        </is>
      </c>
      <c r="E975" s="5" t="n">
        <v>45550</v>
      </c>
      <c r="F975" t="inlineStr">
        <is>
          <t>Sold</t>
        </is>
      </c>
      <c r="G975" s="6">
        <f>HYPERLINK("https://www.kleinanzeigen.de/s-anzeige/camping-stuhl-blau-north-camp/2863975653-230-7915", "Link")</f>
        <v/>
      </c>
      <c r="H975" s="6">
        <f>HYPERLINK("C:\Projects\Kleinanzeigen-Scraper\offer_images\2863975653", "Link")</f>
        <v/>
      </c>
      <c r="I975" t="inlineStr">
        <is>
          <t>Marcus Funk</t>
        </is>
      </c>
      <c r="J975" s="6">
        <f>HYPERLINK("https://www.kleinanzeigen.de/s-bestandsliste.html?userId=43896050", "Link")</f>
        <v/>
      </c>
      <c r="K975" s="7" t="n">
        <v>45550.99731481481</v>
      </c>
      <c r="L975" s="3" t="inlineStr">
        <is>
          <t>493.44</t>
        </is>
      </c>
      <c r="M975" t="inlineStr">
        <is>
          <t>Köln</t>
        </is>
      </c>
    </row>
    <row r="976">
      <c r="A976" t="inlineStr">
        <is>
          <t>Starboard iGo 11‘2 x 31+ Lascana B Zen Single chamber</t>
        </is>
      </c>
      <c r="B976" s="4" t="n">
        <v>399</v>
      </c>
      <c r="C976" t="inlineStr"/>
      <c r="D976" t="inlineStr">
        <is>
          <t>83684 Bayern - Tegernsee</t>
        </is>
      </c>
      <c r="E976" s="5" t="n">
        <v>45177</v>
      </c>
      <c r="F976" t="inlineStr">
        <is>
          <t>Sold</t>
        </is>
      </c>
      <c r="G976" s="6">
        <f>HYPERLINK("https://www.kleinanzeigen.de/s-anzeige/starboard-igo-11-2-x-31-lascana-b-zen-single-chamber/2540936220-230-5893", "Link")</f>
        <v/>
      </c>
      <c r="H976" s="6">
        <f>HYPERLINK("C:\Projects\Kleinanzeigen-Scraper\offer_images\2540936220", "Link")</f>
        <v/>
      </c>
      <c r="I976" t="inlineStr">
        <is>
          <t>Stephan</t>
        </is>
      </c>
      <c r="J976" s="6">
        <f>HYPERLINK("https://www.kleinanzeigen.de/s-bestandsliste.html?userId=57946498", "Link")</f>
        <v/>
      </c>
      <c r="K976" s="7" t="n">
        <v>45550.99730324074</v>
      </c>
      <c r="L976" s="3" t="inlineStr">
        <is>
          <t>48.45</t>
        </is>
      </c>
      <c r="M976" t="inlineStr">
        <is>
          <t>München</t>
        </is>
      </c>
    </row>
    <row r="977">
      <c r="A977" t="inlineStr">
        <is>
          <t>Skihose Größe 140 North Ville</t>
        </is>
      </c>
      <c r="B977" s="4" t="n">
        <v>15</v>
      </c>
      <c r="C977" t="inlineStr"/>
      <c r="D977" t="inlineStr">
        <is>
          <t>01259 Dresden - Niedersedlitz</t>
        </is>
      </c>
      <c r="E977" s="5" t="n">
        <v>45549</v>
      </c>
      <c r="F977" t="inlineStr">
        <is>
          <t>Sold</t>
        </is>
      </c>
      <c r="G977" s="6">
        <f>HYPERLINK("https://www.kleinanzeigen.de/s-anzeige/skihose-groesse-140-north-ville/2863068624-230-25872", "Link")</f>
        <v/>
      </c>
      <c r="H977" s="6">
        <f>HYPERLINK("C:\Projects\Kleinanzeigen-Scraper\offer_images\2863068624", "Link")</f>
        <v/>
      </c>
      <c r="I977" t="inlineStr">
        <is>
          <t>Torsten</t>
        </is>
      </c>
      <c r="J977" s="6">
        <f>HYPERLINK("https://www.kleinanzeigen.de/s-bestandsliste.html?userId=130022369", "Link")</f>
        <v/>
      </c>
      <c r="K977" s="7" t="n">
        <v>45550.9972337963</v>
      </c>
      <c r="L977" s="3" t="inlineStr">
        <is>
          <t>358.55</t>
        </is>
      </c>
      <c r="M977" t="inlineStr">
        <is>
          <t>München</t>
        </is>
      </c>
    </row>
    <row r="978">
      <c r="A978" t="inlineStr">
        <is>
          <t>Stand Up Paddle (SUP) Starboard Enduro L</t>
        </is>
      </c>
      <c r="B978" s="4" t="n">
        <v>35</v>
      </c>
      <c r="C978" t="inlineStr"/>
      <c r="D978" t="inlineStr">
        <is>
          <t>16244 Brandenburg - Schorfheide</t>
        </is>
      </c>
      <c r="E978" s="5" t="n">
        <v>45508</v>
      </c>
      <c r="F978" t="inlineStr"/>
      <c r="G978" s="6">
        <f>HYPERLINK("https://www.kleinanzeigen.de/s-anzeige/stand-up-paddle-sup-starboard-enduro-l/2828955284-230-17005", "Link")</f>
        <v/>
      </c>
      <c r="H978" s="6">
        <f>HYPERLINK("C:\Projects\Kleinanzeigen-Scraper\offer_images\2828955284", "Link")</f>
        <v/>
      </c>
      <c r="I978" t="inlineStr">
        <is>
          <t>CM</t>
        </is>
      </c>
      <c r="J978" s="6">
        <f>HYPERLINK("https://www.kleinanzeigen.de/s-bestandsliste.html?userId=41228604", "Link")</f>
        <v/>
      </c>
      <c r="K978" s="7" t="n">
        <v>45550.9972337963</v>
      </c>
      <c r="L978" s="3" t="inlineStr">
        <is>
          <t>508.04</t>
        </is>
      </c>
      <c r="M978" t="inlineStr">
        <is>
          <t>Köln</t>
        </is>
      </c>
    </row>
    <row r="979">
      <c r="A979" t="inlineStr">
        <is>
          <t>Duotone Evo 2022 13qm</t>
        </is>
      </c>
      <c r="B979" s="4" t="n">
        <v>1.05</v>
      </c>
      <c r="C979" t="inlineStr">
        <is>
          <t>VB</t>
        </is>
      </c>
      <c r="D979" t="inlineStr">
        <is>
          <t>67117 Rheinland-Pfalz - Limburgerhof</t>
        </is>
      </c>
      <c r="E979" s="5" t="n">
        <v>45525</v>
      </c>
      <c r="F979" t="inlineStr">
        <is>
          <t>Sold</t>
        </is>
      </c>
      <c r="G979" s="6">
        <f>HYPERLINK("https://www.kleinanzeigen.de/s-anzeige/duotone-evo-2022-13qm/2842428576-230-4957", "Link")</f>
        <v/>
      </c>
      <c r="H979" s="6">
        <f>HYPERLINK("C:\Projects\Kleinanzeigen-Scraper\offer_images\2842428576", "Link")</f>
        <v/>
      </c>
      <c r="I979" t="inlineStr">
        <is>
          <t>Andreas</t>
        </is>
      </c>
      <c r="J979" s="6">
        <f>HYPERLINK("https://www.kleinanzeigen.de/s-bestandsliste.html?userId=37878052", "Link")</f>
        <v/>
      </c>
      <c r="K979" s="7" t="n">
        <v>45550.99719907407</v>
      </c>
      <c r="L979" s="3" t="inlineStr">
        <is>
          <t>45.05</t>
        </is>
      </c>
      <c r="M979" t="inlineStr">
        <is>
          <t>Karlsruhe</t>
        </is>
      </c>
    </row>
    <row r="980">
      <c r="A980" t="inlineStr">
        <is>
          <t>❣️Pumpe für SUP: Starboard Double Action Pump❣️</t>
        </is>
      </c>
      <c r="B980" s="4" t="n">
        <v>25</v>
      </c>
      <c r="C980" t="inlineStr">
        <is>
          <t>VB</t>
        </is>
      </c>
      <c r="D980" t="inlineStr">
        <is>
          <t>82335 Bayern - Berg</t>
        </is>
      </c>
      <c r="E980" s="5" t="n">
        <v>45466</v>
      </c>
      <c r="F980" t="inlineStr"/>
      <c r="G980" s="6">
        <f>HYPERLINK("https://www.kleinanzeigen.de/s-anzeige/-pumpe-fuer-sup-starboard-double-action-pump-/2795146575-230-5521", "Link")</f>
        <v/>
      </c>
      <c r="H980" s="6">
        <f>HYPERLINK("C:\Projects\Kleinanzeigen-Scraper\offer_images\2795146575", "Link")</f>
        <v/>
      </c>
      <c r="I980" t="inlineStr">
        <is>
          <t>Andrea Janeck</t>
        </is>
      </c>
      <c r="J980" s="6">
        <f>HYPERLINK("https://www.kleinanzeigen.de/s-bestandsliste.html?userId=11476641", "Link")</f>
        <v/>
      </c>
      <c r="K980" s="7" t="n">
        <v>45550.9971412037</v>
      </c>
      <c r="L980" s="3" t="inlineStr">
        <is>
          <t>24.93</t>
        </is>
      </c>
      <c r="M980" t="inlineStr">
        <is>
          <t>München</t>
        </is>
      </c>
    </row>
    <row r="981">
      <c r="A981" t="inlineStr">
        <is>
          <t>Starboard Blend Deluxe Sup Windsurfing</t>
        </is>
      </c>
      <c r="B981" s="4" t="n">
        <v>550</v>
      </c>
      <c r="C981" t="inlineStr">
        <is>
          <t>VB</t>
        </is>
      </c>
      <c r="D981" t="inlineStr">
        <is>
          <t>12247 Berlin - Steglitz</t>
        </is>
      </c>
      <c r="E981" s="5" t="n">
        <v>45363</v>
      </c>
      <c r="F981" t="inlineStr"/>
      <c r="G981" s="6">
        <f>HYPERLINK("https://www.kleinanzeigen.de/s-anzeige/starboard-blend-deluxe-sup-windsurfing/2704311013-230-3424", "Link")</f>
        <v/>
      </c>
      <c r="H981" s="6">
        <f>HYPERLINK("C:\Projects\Kleinanzeigen-Scraper\offer_images\2704311013", "Link")</f>
        <v/>
      </c>
      <c r="I981" t="inlineStr">
        <is>
          <t>Matthias Schadow</t>
        </is>
      </c>
      <c r="J981" s="6">
        <f>HYPERLINK("https://www.kleinanzeigen.de/s-bestandsliste.html?userId=5225565", "Link")</f>
        <v/>
      </c>
      <c r="K981" s="7" t="n">
        <v>45550.9971412037</v>
      </c>
      <c r="L981" s="3" t="inlineStr">
        <is>
          <t>470.80</t>
        </is>
      </c>
      <c r="M981" t="inlineStr">
        <is>
          <t>Köln</t>
        </is>
      </c>
    </row>
    <row r="982">
      <c r="A982" t="inlineStr">
        <is>
          <t>ION doppel Boardbag Windsurf SUP</t>
        </is>
      </c>
      <c r="B982" s="4" t="n">
        <v>119</v>
      </c>
      <c r="C982" t="inlineStr">
        <is>
          <t>VB</t>
        </is>
      </c>
      <c r="D982" t="inlineStr">
        <is>
          <t>87490 Bayern - Haldenwang i. Allgäu</t>
        </is>
      </c>
      <c r="E982" s="5" t="n">
        <v>45550</v>
      </c>
      <c r="F982" t="inlineStr">
        <is>
          <t>Sold</t>
        </is>
      </c>
      <c r="G982" s="6">
        <f>HYPERLINK("https://www.kleinanzeigen.de/s-anzeige/ion-doppel-boardbag-windsurf-sup/2863669350-230-7635", "Link")</f>
        <v/>
      </c>
      <c r="H982" s="6">
        <f>HYPERLINK("C:\Projects\Kleinanzeigen-Scraper\offer_images\2863669350", "Link")</f>
        <v/>
      </c>
      <c r="I982" t="inlineStr">
        <is>
          <t>Stan</t>
        </is>
      </c>
      <c r="J982" s="6">
        <f>HYPERLINK("https://www.kleinanzeigen.de/s-bestandsliste.html?userId=14354082", "Link")</f>
        <v/>
      </c>
      <c r="K982" s="7" t="n">
        <v>45550.99703703704</v>
      </c>
      <c r="L982" s="3" t="inlineStr">
        <is>
          <t>98.56</t>
        </is>
      </c>
      <c r="M982" t="inlineStr">
        <is>
          <t>München</t>
        </is>
      </c>
    </row>
    <row r="983">
      <c r="A983" t="inlineStr">
        <is>
          <t>66°North Tindur Technical Shearling Fleecejacke Gr. L-XL 66 North</t>
        </is>
      </c>
      <c r="B983" s="4" t="n">
        <v>89</v>
      </c>
      <c r="C983" t="inlineStr">
        <is>
          <t>VB</t>
        </is>
      </c>
      <c r="D983" t="inlineStr">
        <is>
          <t>21217 Niedersachsen - Seevetal</t>
        </is>
      </c>
      <c r="E983" s="5" t="n">
        <v>45549</v>
      </c>
      <c r="F983" t="inlineStr">
        <is>
          <t>Sold</t>
        </is>
      </c>
      <c r="G983" s="6">
        <f>HYPERLINK("https://www.kleinanzeigen.de/s-anzeige/66-north-tindur-technical-shearling-fleecejacke-gr-l-xl-66-north/2863274349-230-2812", "Link")</f>
        <v/>
      </c>
      <c r="H983" s="6">
        <f>HYPERLINK("C:\Projects\Kleinanzeigen-Scraper\offer_images\2863274349", "Link")</f>
        <v/>
      </c>
      <c r="I983" t="inlineStr">
        <is>
          <t>reich</t>
        </is>
      </c>
      <c r="J983" s="6">
        <f>HYPERLINK("https://www.kleinanzeigen.de/s-bestandsliste.html?userId=20190057", "Link")</f>
        <v/>
      </c>
      <c r="K983" s="7" t="n">
        <v>45550.99700231481</v>
      </c>
      <c r="L983" s="3" t="inlineStr">
        <is>
          <t>348.89</t>
        </is>
      </c>
      <c r="M983" t="inlineStr">
        <is>
          <t>Köln</t>
        </is>
      </c>
    </row>
    <row r="984">
      <c r="A984" t="inlineStr">
        <is>
          <t>Duotone Dice SLS 2022 7qm und 9qm</t>
        </is>
      </c>
      <c r="B984" s="4" t="n">
        <v>680</v>
      </c>
      <c r="C984" t="inlineStr">
        <is>
          <t>VB</t>
        </is>
      </c>
      <c r="D984" t="inlineStr">
        <is>
          <t>31162 Niedersachsen - Bad Salzdetfurth</t>
        </is>
      </c>
      <c r="E984" s="5" t="n">
        <v>45549</v>
      </c>
      <c r="F984" t="inlineStr">
        <is>
          <t>Sold</t>
        </is>
      </c>
      <c r="G984" s="6">
        <f>HYPERLINK("https://www.kleinanzeigen.de/s-anzeige/duotone-dice-sls-2022-7qm-und-9qm/2863301847-230-3144", "Link")</f>
        <v/>
      </c>
      <c r="H984" s="6">
        <f>HYPERLINK("C:\Projects\Kleinanzeigen-Scraper\offer_images\2863301847", "Link")</f>
        <v/>
      </c>
      <c r="I984" t="inlineStr">
        <is>
          <t>Rainer</t>
        </is>
      </c>
      <c r="J984" s="6">
        <f>HYPERLINK("https://www.kleinanzeigen.de/s-bestandsliste.html?userId=127025116", "Link")</f>
        <v/>
      </c>
      <c r="K984" s="7" t="n">
        <v>45550.99673611111</v>
      </c>
      <c r="L984" s="3" t="inlineStr">
        <is>
          <t>247.57</t>
        </is>
      </c>
      <c r="M984" t="inlineStr">
        <is>
          <t>Köln</t>
        </is>
      </c>
    </row>
    <row r="985">
      <c r="A985" t="inlineStr">
        <is>
          <t>Starboard Foil Race EVOLUTION Carbon C400</t>
        </is>
      </c>
      <c r="B985" s="4" t="n">
        <v>2.499</v>
      </c>
      <c r="C985" t="inlineStr"/>
      <c r="D985" t="inlineStr">
        <is>
          <t>47495 Nordrhein-Westfalen - Rheinberg</t>
        </is>
      </c>
      <c r="E985" s="5" t="n">
        <v>45243</v>
      </c>
      <c r="F985" t="inlineStr">
        <is>
          <t>Sold</t>
        </is>
      </c>
      <c r="G985" s="6">
        <f>HYPERLINK("https://www.kleinanzeigen.de/s-anzeige/starboard-foil-race-evolution-carbon-c400/2601488436-230-1399", "Link")</f>
        <v/>
      </c>
      <c r="H985" s="6">
        <f>HYPERLINK("C:\Projects\Kleinanzeigen-Scraper\offer_images\2601488436", "Link")</f>
        <v/>
      </c>
      <c r="I985" t="inlineStr">
        <is>
          <t>Windcraft-Sports</t>
        </is>
      </c>
      <c r="J985" s="6">
        <f>HYPERLINK("https://www.kleinanzeigen.de/s-bestandsliste.html?userId=74756618", "Link")</f>
        <v/>
      </c>
      <c r="K985" s="7" t="n">
        <v>45550.99671296297</v>
      </c>
      <c r="L985" s="3" t="inlineStr">
        <is>
          <t>72.31</t>
        </is>
      </c>
      <c r="M985" t="inlineStr">
        <is>
          <t>Köln</t>
        </is>
      </c>
    </row>
    <row r="986">
      <c r="A986" t="inlineStr">
        <is>
          <t>SUP 2024 STARBOARD Element HD SUP SUIT men</t>
        </is>
      </c>
      <c r="B986" s="4" t="n">
        <v>719</v>
      </c>
      <c r="C986" t="inlineStr"/>
      <c r="D986" t="inlineStr">
        <is>
          <t>33100 Nordrhein-Westfalen - Paderborn</t>
        </is>
      </c>
      <c r="E986" s="5" t="n">
        <v>45242</v>
      </c>
      <c r="F986" t="inlineStr">
        <is>
          <t>Sold</t>
        </is>
      </c>
      <c r="G986" s="6">
        <f>HYPERLINK("https://www.kleinanzeigen.de/s-anzeige/sup-2024-starboard-element-hd-sup-suit-men/2600670409-230-2164", "Link")</f>
        <v/>
      </c>
      <c r="H986" s="6">
        <f>HYPERLINK("C:\Projects\Kleinanzeigen-Scraper\offer_images\2600670409", "Link")</f>
        <v/>
      </c>
      <c r="I986" t="inlineStr">
        <is>
          <t>BORAVENT UG</t>
        </is>
      </c>
      <c r="J986" s="6">
        <f>HYPERLINK("https://www.kleinanzeigen.de/s-bestandsliste.html?userId=55973585", "Link")</f>
        <v/>
      </c>
      <c r="K986" s="7" t="n">
        <v>45550.99667824074</v>
      </c>
      <c r="L986" s="3" t="inlineStr">
        <is>
          <t>156.96</t>
        </is>
      </c>
      <c r="M986" t="inlineStr">
        <is>
          <t>Köln</t>
        </is>
      </c>
    </row>
    <row r="987">
      <c r="A987" t="inlineStr">
        <is>
          <t>Isabella Cirrus North 400 Linker Schlauch NEU</t>
        </is>
      </c>
      <c r="B987" s="4" t="n">
        <v>21</v>
      </c>
      <c r="C987" t="inlineStr">
        <is>
          <t>VB</t>
        </is>
      </c>
      <c r="D987" t="inlineStr">
        <is>
          <t>32130 Nordrhein-Westfalen - Enger</t>
        </is>
      </c>
      <c r="E987" s="5" t="n">
        <v>45550</v>
      </c>
      <c r="F987" t="inlineStr">
        <is>
          <t>Sold</t>
        </is>
      </c>
      <c r="G987" s="6">
        <f>HYPERLINK("https://www.kleinanzeigen.de/s-anzeige/isabella-cirrus-north-400-linker-schlauch-neu/2864044024-230-1592", "Link")</f>
        <v/>
      </c>
      <c r="H987" s="6">
        <f>HYPERLINK("C:\Projects\Kleinanzeigen-Scraper\offer_images\2864044024", "Link")</f>
        <v/>
      </c>
      <c r="I987" t="inlineStr">
        <is>
          <t>Stefan</t>
        </is>
      </c>
      <c r="J987" s="6">
        <f>HYPERLINK("https://www.kleinanzeigen.de/s-bestandsliste.html?userId=7031131", "Link")</f>
        <v/>
      </c>
      <c r="K987" s="7" t="n">
        <v>45550.99664351852</v>
      </c>
      <c r="L987" s="3" t="inlineStr">
        <is>
          <t>173.83</t>
        </is>
      </c>
      <c r="M987" t="inlineStr">
        <is>
          <t>Köln</t>
        </is>
      </c>
    </row>
    <row r="988">
      <c r="A988" t="inlineStr">
        <is>
          <t>RRD Religion 9m²</t>
        </is>
      </c>
      <c r="B988" s="4" t="n">
        <v>445</v>
      </c>
      <c r="C988" t="inlineStr"/>
      <c r="D988" t="inlineStr">
        <is>
          <t>51063 Köln - Mülheim</t>
        </is>
      </c>
      <c r="E988" s="5" t="n">
        <v>45550</v>
      </c>
      <c r="F988" t="inlineStr"/>
      <c r="G988" s="6">
        <f>HYPERLINK("https://www.kleinanzeigen.de/s-anzeige/rrd-religion-9m-/2863829759-230-996", "Link")</f>
        <v/>
      </c>
      <c r="H988" s="6">
        <f>HYPERLINK("C:\Projects\Kleinanzeigen-Scraper\offer_images\2863829759", "Link")</f>
        <v/>
      </c>
      <c r="I988" t="inlineStr">
        <is>
          <t>Micha</t>
        </is>
      </c>
      <c r="J988" s="6">
        <f>HYPERLINK("https://www.kleinanzeigen.de/s-bestandsliste.html?userId=6959703", "Link")</f>
        <v/>
      </c>
      <c r="K988" s="7" t="n">
        <v>45550.9966087963</v>
      </c>
      <c r="L988" s="3" t="inlineStr">
        <is>
          <t>5.71</t>
        </is>
      </c>
      <c r="M988" t="inlineStr">
        <is>
          <t>Köln</t>
        </is>
      </c>
    </row>
    <row r="989">
      <c r="A989" t="inlineStr">
        <is>
          <t>Duotone Unit 5.0 2024</t>
        </is>
      </c>
      <c r="B989" s="4" t="n">
        <v>600</v>
      </c>
      <c r="C989" t="inlineStr"/>
      <c r="D989" t="inlineStr">
        <is>
          <t>59558 Nordrhein-Westfalen - Lippstadt</t>
        </is>
      </c>
      <c r="E989" s="5" t="n">
        <v>45550</v>
      </c>
      <c r="F989" t="inlineStr">
        <is>
          <t>Sold</t>
        </is>
      </c>
      <c r="G989" s="6">
        <f>HYPERLINK("https://www.kleinanzeigen.de/s-anzeige/duotone-unit-5-0-2024/2864396995-230-1845", "Link")</f>
        <v/>
      </c>
      <c r="H989" s="6">
        <f>HYPERLINK("C:\Projects\Kleinanzeigen-Scraper\offer_images\2864396995", "Link")</f>
        <v/>
      </c>
      <c r="I989" t="inlineStr">
        <is>
          <t>Jannik</t>
        </is>
      </c>
      <c r="J989" s="6">
        <f>HYPERLINK("https://www.kleinanzeigen.de/s-bestandsliste.html?userId=24640490", "Link")</f>
        <v/>
      </c>
      <c r="K989" s="7" t="n">
        <v>45550.9966087963</v>
      </c>
      <c r="L989" s="3" t="inlineStr">
        <is>
          <t>129.62</t>
        </is>
      </c>
      <c r="M989" t="inlineStr">
        <is>
          <t>Köln</t>
        </is>
      </c>
    </row>
    <row r="990">
      <c r="A990" t="inlineStr">
        <is>
          <t>SUP Paddel Starboard Enduro Tiki Tech 2-pcs/S35</t>
        </is>
      </c>
      <c r="B990" s="4" t="n">
        <v>120</v>
      </c>
      <c r="C990" t="inlineStr"/>
      <c r="D990" t="inlineStr">
        <is>
          <t>90451 Nürnberg (Mittelfr) - Aussenstadt-Sued</t>
        </is>
      </c>
      <c r="E990" s="5" t="n">
        <v>45480</v>
      </c>
      <c r="F990" t="inlineStr"/>
      <c r="G990" s="6">
        <f>HYPERLINK("https://www.kleinanzeigen.de/s-anzeige/sup-paddel-starboard-enduro-tiki-tech-2-pcs-s35/2806166110-230-6836", "Link")</f>
        <v/>
      </c>
      <c r="H990" s="6">
        <f>HYPERLINK("C:\Projects\Kleinanzeigen-Scraper\offer_images\2806166110", "Link")</f>
        <v/>
      </c>
      <c r="I990" t="inlineStr">
        <is>
          <t>Tina Nguyen</t>
        </is>
      </c>
      <c r="J990" s="6">
        <f>HYPERLINK("https://www.kleinanzeigen.de/s-bestandsliste.html?userId=16339384", "Link")</f>
        <v/>
      </c>
      <c r="K990" s="7" t="n">
        <v>45550.9965625</v>
      </c>
      <c r="L990" s="3" t="inlineStr">
        <is>
          <t>145.92</t>
        </is>
      </c>
      <c r="M990" t="inlineStr">
        <is>
          <t>München</t>
        </is>
      </c>
    </row>
    <row r="991">
      <c r="A991" t="inlineStr">
        <is>
          <t>Windsurfen Starboard-Aufkleber -groß -</t>
        </is>
      </c>
      <c r="B991" s="4" t="n">
        <v>15</v>
      </c>
      <c r="C991" t="inlineStr"/>
      <c r="D991" t="inlineStr">
        <is>
          <t>45149 Nordrhein-Westfalen - Essen-Fulerum</t>
        </is>
      </c>
      <c r="E991" s="5" t="n">
        <v>45344</v>
      </c>
      <c r="F991" t="inlineStr"/>
      <c r="G991" s="6">
        <f>HYPERLINK("https://www.kleinanzeigen.de/s-anzeige/windsurfen-starboard-aufkleber-gross-/2686858836-230-17910", "Link")</f>
        <v/>
      </c>
      <c r="H991" s="6">
        <f>HYPERLINK("C:\Projects\Kleinanzeigen-Scraper\offer_images\2686858836", "Link")</f>
        <v/>
      </c>
      <c r="I991" t="inlineStr">
        <is>
          <t>der Dieter</t>
        </is>
      </c>
      <c r="J991" s="6">
        <f>HYPERLINK("https://www.kleinanzeigen.de/s-bestandsliste.html?userId=19057683", "Link")</f>
        <v/>
      </c>
      <c r="K991" s="7" t="n">
        <v>45550.99652777778</v>
      </c>
      <c r="L991" s="3" t="inlineStr">
        <is>
          <t>53.40</t>
        </is>
      </c>
      <c r="M991" t="inlineStr">
        <is>
          <t>Köln</t>
        </is>
      </c>
    </row>
    <row r="992">
      <c r="A992" t="inlineStr">
        <is>
          <t>Graff Lachs Angelanzug, Angeljacke, Angelhose, wie Simms</t>
        </is>
      </c>
      <c r="B992" s="4" t="n">
        <v>250</v>
      </c>
      <c r="C992" t="inlineStr">
        <is>
          <t>VB</t>
        </is>
      </c>
      <c r="D992" t="inlineStr">
        <is>
          <t>79395 Baden-Württemberg - Neuenburg am Rhein</t>
        </is>
      </c>
      <c r="E992" s="5" t="n">
        <v>45550</v>
      </c>
      <c r="F992" t="inlineStr">
        <is>
          <t>Sold</t>
        </is>
      </c>
      <c r="G992" s="6">
        <f>HYPERLINK("https://www.kleinanzeigen.de/s-anzeige/graff-lachs-angelanzug-angeljacke-angelhose-wie-simms/2864367048-230-8032", "Link")</f>
        <v/>
      </c>
      <c r="H992" s="6">
        <f>HYPERLINK("C:\Projects\Kleinanzeigen-Scraper\offer_images\2864367048", "Link")</f>
        <v/>
      </c>
      <c r="I992" t="inlineStr">
        <is>
          <t>Anbieter</t>
        </is>
      </c>
      <c r="J992" s="6">
        <f>HYPERLINK("https://www.kleinanzeigen.de/s-bestandsliste.html?userId=7587046", "Link")</f>
        <v/>
      </c>
      <c r="K992" s="7" t="n">
        <v>45550.99652777778</v>
      </c>
      <c r="L992" s="3" t="inlineStr">
        <is>
          <t>56.92</t>
        </is>
      </c>
      <c r="M992" t="inlineStr">
        <is>
          <t>Bonndorf</t>
        </is>
      </c>
    </row>
    <row r="993">
      <c r="A993" t="inlineStr">
        <is>
          <t>Neilpryde Neopren</t>
        </is>
      </c>
      <c r="B993" s="4" t="n">
        <v>10</v>
      </c>
      <c r="C993" t="inlineStr"/>
      <c r="D993" t="inlineStr">
        <is>
          <t>40549 Düsseldorf - Heerdt</t>
        </is>
      </c>
      <c r="E993" s="5" t="n">
        <v>45550</v>
      </c>
      <c r="F993" t="inlineStr">
        <is>
          <t>Sold</t>
        </is>
      </c>
      <c r="G993" s="6">
        <f>HYPERLINK("https://www.kleinanzeigen.de/s-anzeige/neilpryde-neopren/2863797921-230-2069", "Link")</f>
        <v/>
      </c>
      <c r="H993" s="6">
        <f>HYPERLINK("C:\Projects\Kleinanzeigen-Scraper\offer_images\2863797921", "Link")</f>
        <v/>
      </c>
      <c r="I993" t="inlineStr">
        <is>
          <t>J. Blens</t>
        </is>
      </c>
      <c r="J993" s="6">
        <f>HYPERLINK("https://www.kleinanzeigen.de/s-bestandsliste.html?userId=40766446", "Link")</f>
        <v/>
      </c>
      <c r="K993" s="7" t="n">
        <v>45550.99626157407</v>
      </c>
      <c r="L993" s="3" t="inlineStr">
        <is>
          <t>36.62</t>
        </is>
      </c>
      <c r="M993" t="inlineStr">
        <is>
          <t>Köln</t>
        </is>
      </c>
    </row>
    <row r="994">
      <c r="A994" t="inlineStr">
        <is>
          <t>H9 Foil von Fanatic</t>
        </is>
      </c>
      <c r="B994" s="4" t="n">
        <v>320</v>
      </c>
      <c r="C994" t="inlineStr"/>
      <c r="D994" t="inlineStr">
        <is>
          <t>04928 Brandenburg - Plessa</t>
        </is>
      </c>
      <c r="E994" s="5" t="n">
        <v>45548</v>
      </c>
      <c r="F994" t="inlineStr">
        <is>
          <t>Sold</t>
        </is>
      </c>
      <c r="G994" s="6">
        <f>HYPERLINK("https://www.kleinanzeigen.de/s-anzeige/h9-foil-von-fanatic/2862119759-230-20492", "Link")</f>
        <v/>
      </c>
      <c r="H994" s="6">
        <f>HYPERLINK("C:\Projects\Kleinanzeigen-Scraper\offer_images\2862119759", "Link")</f>
        <v/>
      </c>
      <c r="I994" t="inlineStr">
        <is>
          <t>Peter</t>
        </is>
      </c>
      <c r="J994" s="6">
        <f>HYPERLINK("https://www.kleinanzeigen.de/s-bestandsliste.html?userId=67668108", "Link")</f>
        <v/>
      </c>
      <c r="K994" s="7" t="n">
        <v>45550.99625</v>
      </c>
      <c r="L994" s="3" t="inlineStr">
        <is>
          <t>398.41</t>
        </is>
      </c>
      <c r="M994" t="inlineStr">
        <is>
          <t>München</t>
        </is>
      </c>
    </row>
    <row r="995">
      <c r="A995" t="inlineStr">
        <is>
          <t>Fanatic SUP Power Pump HP8</t>
        </is>
      </c>
      <c r="B995" s="4" t="n">
        <v>35</v>
      </c>
      <c r="C995" t="inlineStr"/>
      <c r="D995" t="inlineStr">
        <is>
          <t>85107 Bayern - Baar-Ebenhausen</t>
        </is>
      </c>
      <c r="E995" s="5" t="n">
        <v>45538</v>
      </c>
      <c r="F995" t="inlineStr">
        <is>
          <t>Sold</t>
        </is>
      </c>
      <c r="G995" s="6">
        <f>HYPERLINK("https://www.kleinanzeigen.de/s-anzeige/fanatic-sup-power-pump-hp8/2853722435-230-7587", "Link")</f>
        <v/>
      </c>
      <c r="H995" s="6">
        <f>HYPERLINK("C:\Projects\Kleinanzeigen-Scraper\offer_images\2853722435", "Link")</f>
        <v/>
      </c>
      <c r="I995" t="inlineStr">
        <is>
          <t>Sabrina</t>
        </is>
      </c>
      <c r="J995" s="6">
        <f>HYPERLINK("https://www.kleinanzeigen.de/s-bestandsliste.html?userId=25978604", "Link")</f>
        <v/>
      </c>
      <c r="K995" s="7" t="n">
        <v>45550.99621527778</v>
      </c>
      <c r="L995" s="3" t="inlineStr">
        <is>
          <t>60.23</t>
        </is>
      </c>
      <c r="M995" t="inlineStr">
        <is>
          <t>München</t>
        </is>
      </c>
    </row>
    <row r="996">
      <c r="A996" t="inlineStr">
        <is>
          <t>Starboard SUP Touring</t>
        </is>
      </c>
      <c r="B996" s="4" t="n">
        <v>470</v>
      </c>
      <c r="C996" t="inlineStr"/>
      <c r="D996" t="inlineStr">
        <is>
          <t>65343 Hessen - Eltville</t>
        </is>
      </c>
      <c r="E996" s="5" t="n">
        <v>45494</v>
      </c>
      <c r="F996" t="inlineStr"/>
      <c r="G996" s="6">
        <f>HYPERLINK("https://www.kleinanzeigen.de/s-anzeige/starboard-sup-touring/2817875391-230-4795", "Link")</f>
        <v/>
      </c>
      <c r="H996" s="6">
        <f>HYPERLINK("C:\Projects\Kleinanzeigen-Scraper\offer_images\2817875391", "Link")</f>
        <v/>
      </c>
      <c r="I996" t="inlineStr">
        <is>
          <t>B. Genehr</t>
        </is>
      </c>
      <c r="J996" s="6">
        <f>HYPERLINK("https://www.kleinanzeigen.de/s-bestandsliste.html?userId=14607114", "Link")</f>
        <v/>
      </c>
      <c r="K996" s="7" t="n">
        <v>45550.99614583333</v>
      </c>
      <c r="L996" s="3" t="inlineStr">
        <is>
          <t>117.42</t>
        </is>
      </c>
      <c r="M996" t="inlineStr">
        <is>
          <t>Karlsruhe</t>
        </is>
      </c>
    </row>
    <row r="997">
      <c r="A997" t="inlineStr">
        <is>
          <t>PADDEL Starboard Stand Up Paddle Board Paddelboard Paddling</t>
        </is>
      </c>
      <c r="B997" s="4" t="n">
        <v>30</v>
      </c>
      <c r="C997" t="inlineStr"/>
      <c r="D997" t="inlineStr">
        <is>
          <t>21745 Niedersachsen - Hemmoor</t>
        </is>
      </c>
      <c r="E997" s="5" t="n">
        <v>45510</v>
      </c>
      <c r="F997" t="inlineStr"/>
      <c r="G997" s="6">
        <f>HYPERLINK("https://www.kleinanzeigen.de/s-anzeige/paddel-starboard-stand-up-paddle-board-paddelboard-paddling/2830560874-230-859", "Link")</f>
        <v/>
      </c>
      <c r="H997" s="6">
        <f>HYPERLINK("C:\Projects\Kleinanzeigen-Scraper\offer_images\2830560874", "Link")</f>
        <v/>
      </c>
      <c r="I997" t="inlineStr">
        <is>
          <t>privat</t>
        </is>
      </c>
      <c r="J997" s="6">
        <f>HYPERLINK("https://www.kleinanzeigen.de/s-bestandsliste.html?userId=41190137", "Link")</f>
        <v/>
      </c>
      <c r="K997" s="7" t="n">
        <v>45550.99609953703</v>
      </c>
      <c r="L997" s="3" t="inlineStr">
        <is>
          <t>339.04</t>
        </is>
      </c>
      <c r="M997" t="inlineStr">
        <is>
          <t>Köln</t>
        </is>
      </c>
    </row>
    <row r="998">
      <c r="A998" t="inlineStr">
        <is>
          <t>Neoprenanzug Kids 4 neilpryde</t>
        </is>
      </c>
      <c r="B998" s="4" t="n">
        <v>8</v>
      </c>
      <c r="C998" t="inlineStr"/>
      <c r="D998" t="inlineStr">
        <is>
          <t>93161 Bayern - Sinzing</t>
        </is>
      </c>
      <c r="E998" s="5" t="n">
        <v>45549</v>
      </c>
      <c r="F998" t="inlineStr">
        <is>
          <t>Sold</t>
        </is>
      </c>
      <c r="G998" s="6">
        <f>HYPERLINK("https://www.kleinanzeigen.de/s-anzeige/neoprenanzug-kids-4-neilpryde/2863205282-230-7639", "Link")</f>
        <v/>
      </c>
      <c r="H998" s="6">
        <f>HYPERLINK("C:\Projects\Kleinanzeigen-Scraper\offer_images\2863205282", "Link")</f>
        <v/>
      </c>
      <c r="I998" t="inlineStr">
        <is>
          <t>karolina</t>
        </is>
      </c>
      <c r="J998" s="6">
        <f>HYPERLINK("https://www.kleinanzeigen.de/s-bestandsliste.html?userId=26113543", "Link")</f>
        <v/>
      </c>
      <c r="K998" s="7" t="n">
        <v>45550.99587962963</v>
      </c>
      <c r="L998" s="3" t="inlineStr">
        <is>
          <t>100.94</t>
        </is>
      </c>
      <c r="M998" t="inlineStr">
        <is>
          <t>München</t>
        </is>
      </c>
    </row>
    <row r="999">
      <c r="A999" t="inlineStr">
        <is>
          <t>Starboard SuperCruiser EVOLUTION Carbon C300</t>
        </is>
      </c>
      <c r="B999" s="4" t="n">
        <v>1.999</v>
      </c>
      <c r="C999" t="inlineStr"/>
      <c r="D999" t="inlineStr">
        <is>
          <t>47495 Nordrhein-Westfalen - Rheinberg</t>
        </is>
      </c>
      <c r="E999" s="5" t="n">
        <v>45243</v>
      </c>
      <c r="F999" t="inlineStr">
        <is>
          <t>Sold</t>
        </is>
      </c>
      <c r="G999" s="6">
        <f>HYPERLINK("https://www.kleinanzeigen.de/s-anzeige/starboard-supercruiser-evolution-carbon-c300/2601494333-230-1399", "Link")</f>
        <v/>
      </c>
      <c r="H999" s="6">
        <f>HYPERLINK("C:\Projects\Kleinanzeigen-Scraper\offer_images\2601494333", "Link")</f>
        <v/>
      </c>
      <c r="I999" t="inlineStr">
        <is>
          <t>Windcraft-Sports</t>
        </is>
      </c>
      <c r="J999" s="6">
        <f>HYPERLINK("https://www.kleinanzeigen.de/s-bestandsliste.html?userId=74756618", "Link")</f>
        <v/>
      </c>
      <c r="K999" s="7" t="n">
        <v>45550.9958449074</v>
      </c>
      <c r="L999" s="3" t="inlineStr">
        <is>
          <t>72.31</t>
        </is>
      </c>
      <c r="M999" t="inlineStr">
        <is>
          <t>Köln</t>
        </is>
      </c>
    </row>
    <row r="1000">
      <c r="A1000" t="inlineStr">
        <is>
          <t>Starboard Rucksack mit Rollen für Sub</t>
        </is>
      </c>
      <c r="B1000" s="4" t="n">
        <v>43</v>
      </c>
      <c r="C1000" t="inlineStr"/>
      <c r="D1000" t="inlineStr">
        <is>
          <t>36167 Hessen - Nüsttal</t>
        </is>
      </c>
      <c r="E1000" s="5" t="n">
        <v>45145</v>
      </c>
      <c r="F1000" t="inlineStr">
        <is>
          <t>Sold</t>
        </is>
      </c>
      <c r="G1000" s="6">
        <f>HYPERLINK("https://www.kleinanzeigen.de/s-anzeige/starboard-rucksack-mit-rollen-fuer-sub/2514755957-230-4622", "Link")</f>
        <v/>
      </c>
      <c r="H1000" s="6">
        <f>HYPERLINK("C:\Projects\Kleinanzeigen-Scraper\offer_images\2514755957", "Link")</f>
        <v/>
      </c>
      <c r="I1000" t="inlineStr">
        <is>
          <t>Gudrun Fischer</t>
        </is>
      </c>
      <c r="J1000" s="6">
        <f>HYPERLINK("https://www.kleinanzeigen.de/s-bestandsliste.html?userId=16664757", "Link")</f>
        <v/>
      </c>
      <c r="K1000" s="7" t="n">
        <v>45550.9958449074</v>
      </c>
      <c r="L1000" s="3" t="inlineStr">
        <is>
          <t>206.69</t>
        </is>
      </c>
      <c r="M1000" t="inlineStr">
        <is>
          <t>Köln</t>
        </is>
      </c>
    </row>
    <row r="1001">
      <c r="A1001" t="inlineStr">
        <is>
          <t>Fanatic Ripper 2021 Pure &amp; Ripper C25 3-Teiliges Kinderpaddel</t>
        </is>
      </c>
      <c r="B1001" s="4" t="n">
        <v>79</v>
      </c>
      <c r="C1001" t="inlineStr">
        <is>
          <t>VB</t>
        </is>
      </c>
      <c r="D1001" t="inlineStr">
        <is>
          <t>18586 Mecklenburg-Vorpommern - Mönchgut, Ostseebad</t>
        </is>
      </c>
      <c r="E1001" s="5" t="n">
        <v>45539</v>
      </c>
      <c r="F1001" t="inlineStr">
        <is>
          <t>Sold</t>
        </is>
      </c>
      <c r="G1001" s="6">
        <f>HYPERLINK("https://www.kleinanzeigen.de/s-anzeige/fanatic-ripper-2021-pure-ripper-c25-3-teiliges-kinderpaddel/1583209776-230-120", "Link")</f>
        <v/>
      </c>
      <c r="H1001" s="6">
        <f>HYPERLINK("C:\Projects\Kleinanzeigen-Scraper\offer_images\1583209776", "Link")</f>
        <v/>
      </c>
      <c r="I1001" t="inlineStr">
        <is>
          <t>No user name</t>
        </is>
      </c>
      <c r="J1001" s="6">
        <f>HYPERLINK("https://www.kleinanzeigen.deNo user link", "Link")</f>
        <v/>
      </c>
      <c r="K1001" s="7" t="n">
        <v>45550.99564814815</v>
      </c>
      <c r="L1001" s="3" t="inlineStr">
        <is>
          <t>591.22</t>
        </is>
      </c>
      <c r="M1001" t="inlineStr">
        <is>
          <t>Köln</t>
        </is>
      </c>
    </row>
    <row r="1002">
      <c r="A1002" t="inlineStr">
        <is>
          <t>The North Face Trolley Thunder 160 L Volumen schwarz gross Koffer</t>
        </is>
      </c>
      <c r="B1002" s="4" t="n">
        <v>189</v>
      </c>
      <c r="C1002" t="inlineStr">
        <is>
          <t>VB</t>
        </is>
      </c>
      <c r="D1002" t="inlineStr">
        <is>
          <t>40223 Düsseldorf - Bilk</t>
        </is>
      </c>
      <c r="E1002" s="5" t="n">
        <v>45550</v>
      </c>
      <c r="F1002" t="inlineStr">
        <is>
          <t>Sold</t>
        </is>
      </c>
      <c r="G1002" s="6">
        <f>HYPERLINK("https://www.kleinanzeigen.de/s-anzeige/the-north-face-trolley-thunder-160-l-volumen-schwarz-gross-koffer/2864363748-230-2095", "Link")</f>
        <v/>
      </c>
      <c r="H1002" s="6">
        <f>HYPERLINK("C:\Projects\Kleinanzeigen-Scraper\offer_images\2864363748", "Link")</f>
        <v/>
      </c>
      <c r="I1002" t="inlineStr">
        <is>
          <t>phil</t>
        </is>
      </c>
      <c r="J1002" s="6">
        <f>HYPERLINK("https://www.kleinanzeigen.de/s-bestandsliste.html?userId=74965534", "Link")</f>
        <v/>
      </c>
      <c r="K1002" s="7" t="n">
        <v>45550.99561342593</v>
      </c>
      <c r="L1002" s="3" t="inlineStr">
        <is>
          <t>31.69</t>
        </is>
      </c>
      <c r="M1002" t="inlineStr">
        <is>
          <t>Köln</t>
        </is>
      </c>
    </row>
    <row r="1003">
      <c r="A1003" t="inlineStr">
        <is>
          <t>Isabella Cirrus Air North 400 mit Boden, Teppich &amp; 2. Verandatube</t>
        </is>
      </c>
      <c r="B1003" s="4" t="n">
        <v>1.7</v>
      </c>
      <c r="C1003" t="inlineStr">
        <is>
          <t>VB</t>
        </is>
      </c>
      <c r="D1003" t="inlineStr">
        <is>
          <t>24376 Schleswig-Holstein - Kappeln</t>
        </is>
      </c>
      <c r="E1003" s="5" t="n">
        <v>45550</v>
      </c>
      <c r="F1003" t="inlineStr">
        <is>
          <t>Sold</t>
        </is>
      </c>
      <c r="G1003" s="6">
        <f>HYPERLINK("https://www.kleinanzeigen.de/s-anzeige/isabella-cirrus-air-north-400-mit-boden-teppich-2-verandatube/2863976656-230-18638", "Link")</f>
        <v/>
      </c>
      <c r="H1003" s="6">
        <f>HYPERLINK("C:\Projects\Kleinanzeigen-Scraper\offer_images\2863976656", "Link")</f>
        <v/>
      </c>
      <c r="I1003" t="inlineStr">
        <is>
          <t>schleihecht</t>
        </is>
      </c>
      <c r="J1003" s="6">
        <f>HYPERLINK("https://www.kleinanzeigen.de/s-bestandsliste.html?userId=27140169", "Link")</f>
        <v/>
      </c>
      <c r="K1003" s="7" t="n">
        <v>45550.99553240741</v>
      </c>
      <c r="L1003" s="3" t="inlineStr">
        <is>
          <t>461.27</t>
        </is>
      </c>
      <c r="M1003" t="inlineStr">
        <is>
          <t>Köln</t>
        </is>
      </c>
    </row>
    <row r="1004">
      <c r="A1004" t="inlineStr">
        <is>
          <t>THE NORTH FACE Damen Longsleeve Shirt Gr. S 34 36 Running Outdoor</t>
        </is>
      </c>
      <c r="B1004" s="4" t="n">
        <v>18</v>
      </c>
      <c r="C1004" t="inlineStr">
        <is>
          <t>VB</t>
        </is>
      </c>
      <c r="D1004" t="inlineStr">
        <is>
          <t>87730 Bayern - Bad Grönenbach</t>
        </is>
      </c>
      <c r="E1004" s="5" t="n">
        <v>45550</v>
      </c>
      <c r="F1004" t="inlineStr"/>
      <c r="G1004" s="6">
        <f>HYPERLINK("https://www.kleinanzeigen.de/s-anzeige/the-north-face-damen-longsleeve-shirt-gr-s-34-36-running-outdoor/2864891897-230-7286", "Link")</f>
        <v/>
      </c>
      <c r="H1004" s="6">
        <f>HYPERLINK("C:\Projects\Kleinanzeigen-Scraper\offer_images\2864891897", "Link")</f>
        <v/>
      </c>
      <c r="I1004" t="inlineStr">
        <is>
          <t>petramuc</t>
        </is>
      </c>
      <c r="J1004" s="6">
        <f>HYPERLINK("https://www.kleinanzeigen.de/s-bestandsliste.html?userId=12305378", "Link")</f>
        <v/>
      </c>
      <c r="K1004" s="7" t="n">
        <v>45550.99550925926</v>
      </c>
      <c r="L1004" s="3" t="inlineStr">
        <is>
          <t>103.42</t>
        </is>
      </c>
      <c r="M1004" t="inlineStr">
        <is>
          <t>München</t>
        </is>
      </c>
    </row>
    <row r="1005">
      <c r="A1005" t="inlineStr">
        <is>
          <t>Boardbags Windsurfen, Neil Pryde, Wassersport</t>
        </is>
      </c>
      <c r="B1005" s="4" t="inlineStr"/>
      <c r="C1005" t="inlineStr">
        <is>
          <t>VB</t>
        </is>
      </c>
      <c r="D1005" t="inlineStr">
        <is>
          <t>24896 Schleswig-Holstein - Treia</t>
        </is>
      </c>
      <c r="E1005" s="5" t="n">
        <v>45549</v>
      </c>
      <c r="F1005" t="inlineStr">
        <is>
          <t>Sold</t>
        </is>
      </c>
      <c r="G1005" s="6">
        <f>HYPERLINK("https://www.kleinanzeigen.de/s-anzeige/boardbags-windsurfen-neil-pryde-wassersport/2862863860-230-533", "Link")</f>
        <v/>
      </c>
      <c r="H1005" s="6">
        <f>HYPERLINK("C:\Projects\Kleinanzeigen-Scraper\offer_images\2862863860", "Link")</f>
        <v/>
      </c>
      <c r="I1005" t="inlineStr">
        <is>
          <t>Kauf</t>
        </is>
      </c>
      <c r="J1005" s="6">
        <f>HYPERLINK("https://www.kleinanzeigen.de/s-bestandsliste.html?userId=37454238", "Link")</f>
        <v/>
      </c>
      <c r="K1005" s="7" t="n">
        <v>45550.99549768519</v>
      </c>
      <c r="L1005" s="3" t="inlineStr">
        <is>
          <t>429.51</t>
        </is>
      </c>
      <c r="M1005" t="inlineStr">
        <is>
          <t>Köln</t>
        </is>
      </c>
    </row>
    <row r="1006">
      <c r="A1006" t="inlineStr">
        <is>
          <t>2022 Starboard Foil GTR EVOLUTION Carbon C300 NEU &amp; lieferbar</t>
        </is>
      </c>
      <c r="B1006" s="4" t="n">
        <v>2.469</v>
      </c>
      <c r="C1006" t="inlineStr">
        <is>
          <t>VB</t>
        </is>
      </c>
      <c r="D1006" t="inlineStr">
        <is>
          <t>47495 Nordrhein-Westfalen - Rheinberg</t>
        </is>
      </c>
      <c r="E1006" s="5" t="n">
        <v>44628</v>
      </c>
      <c r="F1006" t="inlineStr"/>
      <c r="G1006" s="6">
        <f>HYPERLINK("https://www.kleinanzeigen.de/s-anzeige/2022-starboard-foil-gtr-evolution-carbon-c300-neu-lieferbar/2043557425-230-1399", "Link")</f>
        <v/>
      </c>
      <c r="H1006" s="6">
        <f>HYPERLINK("C:\Projects\Kleinanzeigen-Scraper\offer_images\2043557425", "Link")</f>
        <v/>
      </c>
      <c r="I1006" t="inlineStr">
        <is>
          <t>Windcraft-Sports</t>
        </is>
      </c>
      <c r="J1006" s="6">
        <f>HYPERLINK("https://www.kleinanzeigen.de/s-bestandsliste.html?userId=74756618", "Link")</f>
        <v/>
      </c>
      <c r="K1006" s="7" t="n">
        <v>45550.9954050926</v>
      </c>
      <c r="L1006" s="3" t="inlineStr">
        <is>
          <t>72.31</t>
        </is>
      </c>
      <c r="M1006" t="inlineStr">
        <is>
          <t>Köln</t>
        </is>
      </c>
    </row>
    <row r="1007">
      <c r="A1007" t="inlineStr">
        <is>
          <t>Fanatic Rucksack/Tasche und Neue Pumpe</t>
        </is>
      </c>
      <c r="B1007" s="4" t="n">
        <v>45</v>
      </c>
      <c r="C1007" t="inlineStr"/>
      <c r="D1007" t="inlineStr">
        <is>
          <t>86911 Bayern - Dießen</t>
        </is>
      </c>
      <c r="E1007" s="5" t="n">
        <v>45548</v>
      </c>
      <c r="F1007" t="inlineStr">
        <is>
          <t>Sold</t>
        </is>
      </c>
      <c r="G1007" s="6">
        <f>HYPERLINK("https://www.kleinanzeigen.de/s-anzeige/fanatic-rucksack-tasche-und-neue-pumpe/2861946109-230-5566", "Link")</f>
        <v/>
      </c>
      <c r="H1007" s="6">
        <f>HYPERLINK("C:\Projects\Kleinanzeigen-Scraper\offer_images\2861946109", "Link")</f>
        <v/>
      </c>
      <c r="I1007" t="inlineStr">
        <is>
          <t>Selina</t>
        </is>
      </c>
      <c r="J1007" s="6">
        <f>HYPERLINK("https://www.kleinanzeigen.de/s-bestandsliste.html?userId=18513295", "Link")</f>
        <v/>
      </c>
      <c r="K1007" s="7" t="n">
        <v>45550.99528935185</v>
      </c>
      <c r="L1007" s="3" t="inlineStr">
        <is>
          <t>41.04</t>
        </is>
      </c>
      <c r="M1007" t="inlineStr">
        <is>
          <t>München</t>
        </is>
      </c>
    </row>
    <row r="1008">
      <c r="A1008" t="inlineStr">
        <is>
          <t>Duotone Aero Glide SLS  2145 Pumpfoil 2024</t>
        </is>
      </c>
      <c r="B1008" s="4" t="n">
        <v>570</v>
      </c>
      <c r="C1008" t="inlineStr"/>
      <c r="D1008" t="inlineStr">
        <is>
          <t>24248 Schleswig-Holstein - Mönkeberg</t>
        </is>
      </c>
      <c r="E1008" s="5" t="n">
        <v>45550</v>
      </c>
      <c r="F1008" t="inlineStr">
        <is>
          <t>Sold</t>
        </is>
      </c>
      <c r="G1008" s="6">
        <f>HYPERLINK("https://www.kleinanzeigen.de/s-anzeige/duotone-aero-glide-sls-2145-pumpfoil-2024/2864881909-230-666", "Link")</f>
        <v/>
      </c>
      <c r="H1008" s="6">
        <f>HYPERLINK("C:\Projects\Kleinanzeigen-Scraper\offer_images\2864881909", "Link")</f>
        <v/>
      </c>
      <c r="I1008" t="inlineStr">
        <is>
          <t>Max D.</t>
        </is>
      </c>
      <c r="J1008" s="6">
        <f>HYPERLINK("https://www.kleinanzeigen.de/s-bestandsliste.html?userId=29561204", "Link")</f>
        <v/>
      </c>
      <c r="K1008" s="7" t="n">
        <v>45550.99521990741</v>
      </c>
      <c r="L1008" s="3" t="inlineStr">
        <is>
          <t>437.31</t>
        </is>
      </c>
      <c r="M1008" t="inlineStr">
        <is>
          <t>Köln</t>
        </is>
      </c>
    </row>
    <row r="1009">
      <c r="A1009" t="inlineStr">
        <is>
          <t>Fanatic foil H9</t>
        </is>
      </c>
      <c r="B1009" s="4" t="inlineStr"/>
      <c r="C1009" t="inlineStr">
        <is>
          <t>VB</t>
        </is>
      </c>
      <c r="D1009" t="inlineStr">
        <is>
          <t>87534 Bayern - Oberstaufen</t>
        </is>
      </c>
      <c r="E1009" s="5" t="n">
        <v>45550</v>
      </c>
      <c r="F1009" t="inlineStr">
        <is>
          <t>Sold</t>
        </is>
      </c>
      <c r="G1009" s="6">
        <f>HYPERLINK("https://www.kleinanzeigen.de/s-anzeige/fanatic-foil-h9/2863935551-230-8600", "Link")</f>
        <v/>
      </c>
      <c r="H1009" s="6">
        <f>HYPERLINK("C:\Projects\Kleinanzeigen-Scraper\offer_images\2863935551", "Link")</f>
        <v/>
      </c>
      <c r="I1009" t="inlineStr">
        <is>
          <t>D. Kirschenbaum</t>
        </is>
      </c>
      <c r="J1009" s="6">
        <f>HYPERLINK("https://www.kleinanzeigen.de/s-bestandsliste.html?userId=12855145", "Link")</f>
        <v/>
      </c>
      <c r="K1009" s="7" t="n">
        <v>45550.99515046296</v>
      </c>
      <c r="L1009" s="3" t="inlineStr">
        <is>
          <t>131.12</t>
        </is>
      </c>
      <c r="M1009" t="inlineStr">
        <is>
          <t>München</t>
        </is>
      </c>
    </row>
    <row r="1010">
      <c r="A1010" t="inlineStr">
        <is>
          <t>Leggings Northern Spirit Arizona S unbenutzt CROSSFIT</t>
        </is>
      </c>
      <c r="B1010" s="4" t="n">
        <v>18</v>
      </c>
      <c r="C1010" t="inlineStr"/>
      <c r="D1010" t="inlineStr">
        <is>
          <t>32052 Nordrhein-Westfalen - Herford</t>
        </is>
      </c>
      <c r="E1010" s="5" t="n">
        <v>45550</v>
      </c>
      <c r="F1010" t="inlineStr">
        <is>
          <t>Sold</t>
        </is>
      </c>
      <c r="G1010" s="6">
        <f>HYPERLINK("https://www.kleinanzeigen.de/s-anzeige/leggings-northern-spirit-arizona-s-unbenutzt-crossfit/2864485169-230-1836", "Link")</f>
        <v/>
      </c>
      <c r="H1010" s="6">
        <f>HYPERLINK("C:\Projects\Kleinanzeigen-Scraper\offer_images\2864485169", "Link")</f>
        <v/>
      </c>
      <c r="I1010" t="inlineStr">
        <is>
          <t>Maike</t>
        </is>
      </c>
      <c r="J1010" s="6">
        <f>HYPERLINK("https://www.kleinanzeigen.de/s-bestandsliste.html?userId=46907116", "Link")</f>
        <v/>
      </c>
      <c r="K1010" s="7" t="n">
        <v>45550.9950925926</v>
      </c>
      <c r="L1010" s="3" t="inlineStr">
        <is>
          <t>173.84</t>
        </is>
      </c>
      <c r="M1010" t="inlineStr">
        <is>
          <t>Köln</t>
        </is>
      </c>
    </row>
    <row r="1011">
      <c r="A1011" t="inlineStr">
        <is>
          <t>The North Face Versatech - Schlafsack / Gänsedauen, bis -40 Grad</t>
        </is>
      </c>
      <c r="B1011" s="4" t="n">
        <v>150</v>
      </c>
      <c r="C1011" t="inlineStr"/>
      <c r="D1011" t="inlineStr">
        <is>
          <t>86150 Bayern - Augsburg</t>
        </is>
      </c>
      <c r="E1011" s="5" t="n">
        <v>45550</v>
      </c>
      <c r="F1011" t="inlineStr">
        <is>
          <t>Sold</t>
        </is>
      </c>
      <c r="G1011" s="6">
        <f>HYPERLINK("https://www.kleinanzeigen.de/s-anzeige/the-north-face-versatech-schlafsack-gaensedauen-bis-40-grad/2864235731-230-7522", "Link")</f>
        <v/>
      </c>
      <c r="H1011" s="6">
        <f>HYPERLINK("C:\Projects\Kleinanzeigen-Scraper\offer_images\2864235731", "Link")</f>
        <v/>
      </c>
      <c r="I1011" t="inlineStr">
        <is>
          <t>Maik W.</t>
        </is>
      </c>
      <c r="J1011" s="6">
        <f>HYPERLINK("https://www.kleinanzeigen.de/s-bestandsliste.html?userId=39628668", "Link")</f>
        <v/>
      </c>
      <c r="K1011" s="7" t="n">
        <v>45550.99506944444</v>
      </c>
      <c r="L1011" s="3" t="inlineStr">
        <is>
          <t>56.35</t>
        </is>
      </c>
      <c r="M1011" t="inlineStr">
        <is>
          <t>München</t>
        </is>
      </c>
    </row>
    <row r="1012">
      <c r="A1012" t="inlineStr">
        <is>
          <t>Duotone Unit 3.5 2024</t>
        </is>
      </c>
      <c r="B1012" s="4" t="n">
        <v>600</v>
      </c>
      <c r="C1012" t="inlineStr"/>
      <c r="D1012" t="inlineStr">
        <is>
          <t>82449 Bayern - Uffing</t>
        </is>
      </c>
      <c r="E1012" s="5" t="n">
        <v>45550</v>
      </c>
      <c r="F1012" t="inlineStr">
        <is>
          <t>Sold</t>
        </is>
      </c>
      <c r="G1012" s="6">
        <f>HYPERLINK("https://www.kleinanzeigen.de/s-anzeige/duotone-unit-3-5-2024/2864115207-230-5553", "Link")</f>
        <v/>
      </c>
      <c r="H1012" s="6">
        <f>HYPERLINK("C:\Projects\Kleinanzeigen-Scraper\offer_images\2864115207", "Link")</f>
        <v/>
      </c>
      <c r="I1012" t="inlineStr">
        <is>
          <t>Bert Lammel</t>
        </is>
      </c>
      <c r="J1012" s="6">
        <f>HYPERLINK("https://www.kleinanzeigen.de/s-bestandsliste.html?userId=11036507", "Link")</f>
        <v/>
      </c>
      <c r="K1012" s="7" t="n">
        <v>45550.99505787037</v>
      </c>
      <c r="L1012" s="3" t="inlineStr">
        <is>
          <t>58.83</t>
        </is>
      </c>
      <c r="M1012" t="inlineStr">
        <is>
          <t>München</t>
        </is>
      </c>
    </row>
    <row r="1013">
      <c r="A1013" t="inlineStr">
        <is>
          <t>Neilpryde Flight AL Neil pryde Windsurf Foil</t>
        </is>
      </c>
      <c r="B1013" s="4" t="n">
        <v>190</v>
      </c>
      <c r="C1013" t="inlineStr"/>
      <c r="D1013" t="inlineStr">
        <is>
          <t>47239 Duisburg - Rumeln-Kaldenhausen</t>
        </is>
      </c>
      <c r="E1013" s="5" t="n">
        <v>45550</v>
      </c>
      <c r="F1013" t="inlineStr">
        <is>
          <t>Sold</t>
        </is>
      </c>
      <c r="G1013" s="6">
        <f>HYPERLINK("https://www.kleinanzeigen.de/s-anzeige/neilpryde-flight-al-neil-pryde-windsurf-foil/2864770854-230-2137", "Link")</f>
        <v/>
      </c>
      <c r="H1013" s="6">
        <f>HYPERLINK("C:\Projects\Kleinanzeigen-Scraper\offer_images\2864770854", "Link")</f>
        <v/>
      </c>
      <c r="I1013" t="inlineStr">
        <is>
          <t>MB</t>
        </is>
      </c>
      <c r="J1013" s="6">
        <f>HYPERLINK("https://www.kleinanzeigen.de/s-bestandsliste.html?userId=1864376", "Link")</f>
        <v/>
      </c>
      <c r="K1013" s="7" t="n">
        <v>45550.99498842593</v>
      </c>
      <c r="L1013" s="3" t="inlineStr">
        <is>
          <t>54.92</t>
        </is>
      </c>
      <c r="M1013" t="inlineStr">
        <is>
          <t>Köln</t>
        </is>
      </c>
    </row>
    <row r="1014">
      <c r="A1014" t="inlineStr">
        <is>
          <t>Duotone Evo 13qm 2023</t>
        </is>
      </c>
      <c r="B1014" s="4" t="n">
        <v>915</v>
      </c>
      <c r="C1014" t="inlineStr">
        <is>
          <t>VB</t>
        </is>
      </c>
      <c r="D1014" t="inlineStr">
        <is>
          <t>21423 Niedersachsen - Winsen (Luhe)</t>
        </is>
      </c>
      <c r="E1014" s="5" t="n">
        <v>45549</v>
      </c>
      <c r="F1014" t="inlineStr">
        <is>
          <t>Sold</t>
        </is>
      </c>
      <c r="G1014" s="6">
        <f>HYPERLINK("https://www.kleinanzeigen.de/s-anzeige/duotone-evo-13qm-2023/2813737727-230-3223", "Link")</f>
        <v/>
      </c>
      <c r="H1014" s="6">
        <f>HYPERLINK("C:\Projects\Kleinanzeigen-Scraper\offer_images\2813737727", "Link")</f>
        <v/>
      </c>
      <c r="I1014" t="inlineStr">
        <is>
          <t>No user name</t>
        </is>
      </c>
      <c r="J1014" s="6">
        <f>HYPERLINK("https://www.kleinanzeigen.deNo user link", "Link")</f>
        <v/>
      </c>
      <c r="K1014" s="7" t="n">
        <v>45550.99488425926</v>
      </c>
      <c r="L1014" s="3" t="inlineStr">
        <is>
          <t>349.14</t>
        </is>
      </c>
      <c r="M1014" t="inlineStr">
        <is>
          <t>Köln</t>
        </is>
      </c>
    </row>
    <row r="1015">
      <c r="A1015" t="inlineStr">
        <is>
          <t>Rucksack North Face</t>
        </is>
      </c>
      <c r="B1015" s="4" t="n">
        <v>45</v>
      </c>
      <c r="C1015" t="inlineStr">
        <is>
          <t>VB</t>
        </is>
      </c>
      <c r="D1015" t="inlineStr">
        <is>
          <t>40227 Düsseldorf - Oberbilk</t>
        </is>
      </c>
      <c r="E1015" s="5" t="n">
        <v>45549</v>
      </c>
      <c r="F1015" t="inlineStr">
        <is>
          <t>Sold</t>
        </is>
      </c>
      <c r="G1015" s="6">
        <f>HYPERLINK("https://www.kleinanzeigen.de/s-anzeige/rucksack-north-face/2863153283-230-16749", "Link")</f>
        <v/>
      </c>
      <c r="H1015" s="6">
        <f>HYPERLINK("C:\Projects\Kleinanzeigen-Scraper\offer_images\2863153283", "Link")</f>
        <v/>
      </c>
      <c r="I1015" t="inlineStr">
        <is>
          <t>Christa</t>
        </is>
      </c>
      <c r="J1015" s="6">
        <f>HYPERLINK("https://www.kleinanzeigen.de/s-bestandsliste.html?userId=52689159", "Link")</f>
        <v/>
      </c>
      <c r="K1015" s="7" t="n">
        <v>45550.99457175926</v>
      </c>
      <c r="L1015" s="3" t="inlineStr">
        <is>
          <t>32.65</t>
        </is>
      </c>
      <c r="M1015" t="inlineStr">
        <is>
          <t>Köln</t>
        </is>
      </c>
    </row>
    <row r="1016">
      <c r="A1016" t="inlineStr">
        <is>
          <t>Naish Pivot 12m 2024 Yellow</t>
        </is>
      </c>
      <c r="B1016" s="4" t="n">
        <v>900</v>
      </c>
      <c r="C1016" t="inlineStr"/>
      <c r="D1016" t="inlineStr">
        <is>
          <t>86150 Bayern - Augsburg</t>
        </is>
      </c>
      <c r="E1016" s="5" t="n">
        <v>45507</v>
      </c>
      <c r="F1016" t="inlineStr">
        <is>
          <t>Sold</t>
        </is>
      </c>
      <c r="G1016" s="6">
        <f>HYPERLINK("https://www.kleinanzeigen.de/s-anzeige/naish-pivot-12m-2024-yellow/2828188670-230-7522", "Link")</f>
        <v/>
      </c>
      <c r="H1016" s="6">
        <f>HYPERLINK("C:\Projects\Kleinanzeigen-Scraper\offer_images\2828188670", "Link")</f>
        <v/>
      </c>
      <c r="I1016" t="inlineStr">
        <is>
          <t>Robert</t>
        </is>
      </c>
      <c r="J1016" s="6">
        <f>HYPERLINK("https://www.kleinanzeigen.de/s-bestandsliste.html?userId=4568311", "Link")</f>
        <v/>
      </c>
      <c r="K1016" s="7" t="n">
        <v>45550.99434027778</v>
      </c>
      <c r="L1016" s="3" t="inlineStr">
        <is>
          <t>56.35</t>
        </is>
      </c>
      <c r="M1016" t="inlineStr">
        <is>
          <t>München</t>
        </is>
      </c>
    </row>
    <row r="1017">
      <c r="A1017" t="inlineStr">
        <is>
          <t>6er Duotone Evo 2023 - guter Zustand</t>
        </is>
      </c>
      <c r="B1017" s="4" t="n">
        <v>555</v>
      </c>
      <c r="C1017" t="inlineStr">
        <is>
          <t>VB</t>
        </is>
      </c>
      <c r="D1017" t="inlineStr">
        <is>
          <t>24119 Kiel - Kronshagen</t>
        </is>
      </c>
      <c r="E1017" s="5" t="n">
        <v>45550</v>
      </c>
      <c r="F1017" t="inlineStr">
        <is>
          <t>Sold</t>
        </is>
      </c>
      <c r="G1017" s="6">
        <f>HYPERLINK("https://www.kleinanzeigen.de/s-anzeige/6er-duotone-evo-2023-guter-zustand/2864523270-230-705", "Link")</f>
        <v/>
      </c>
      <c r="H1017" s="6">
        <f>HYPERLINK("C:\Projects\Kleinanzeigen-Scraper\offer_images\2864523270", "Link")</f>
        <v/>
      </c>
      <c r="I1017" t="inlineStr">
        <is>
          <t>Ina</t>
        </is>
      </c>
      <c r="J1017" s="6">
        <f>HYPERLINK("https://www.kleinanzeigen.de/s-bestandsliste.html?userId=19853579", "Link")</f>
        <v/>
      </c>
      <c r="K1017" s="7" t="n">
        <v>45550.99423611111</v>
      </c>
      <c r="L1017" s="3" t="inlineStr">
        <is>
          <t>432.46</t>
        </is>
      </c>
      <c r="M1017" t="inlineStr">
        <is>
          <t>Köln</t>
        </is>
      </c>
    </row>
    <row r="1018">
      <c r="A1018" t="inlineStr">
        <is>
          <t>Duotone Unit 2024 4.0</t>
        </is>
      </c>
      <c r="B1018" s="4" t="n">
        <v>600</v>
      </c>
      <c r="C1018" t="inlineStr"/>
      <c r="D1018" t="inlineStr">
        <is>
          <t>59558 Nordrhein-Westfalen - Lippstadt</t>
        </is>
      </c>
      <c r="E1018" s="5" t="n">
        <v>45550</v>
      </c>
      <c r="F1018" t="inlineStr">
        <is>
          <t>Sold</t>
        </is>
      </c>
      <c r="G1018" s="6">
        <f>HYPERLINK("https://www.kleinanzeigen.de/s-anzeige/duotone-unit-2024-4-0/2864429145-230-1845", "Link")</f>
        <v/>
      </c>
      <c r="H1018" s="6">
        <f>HYPERLINK("C:\Projects\Kleinanzeigen-Scraper\offer_images\2864429145", "Link")</f>
        <v/>
      </c>
      <c r="I1018" t="inlineStr">
        <is>
          <t>Jannik</t>
        </is>
      </c>
      <c r="J1018" s="6">
        <f>HYPERLINK("https://www.kleinanzeigen.de/s-bestandsliste.html?userId=24640490", "Link")</f>
        <v/>
      </c>
      <c r="K1018" s="7" t="n">
        <v>45550.99417824074</v>
      </c>
      <c r="L1018" s="3" t="inlineStr">
        <is>
          <t>129.62</t>
        </is>
      </c>
      <c r="M1018" t="inlineStr">
        <is>
          <t>Köln</t>
        </is>
      </c>
    </row>
    <row r="1019">
      <c r="A1019" t="inlineStr">
        <is>
          <t>Fanatic Aero 2500/300 Foil Set</t>
        </is>
      </c>
      <c r="B1019" s="4" t="n">
        <v>410</v>
      </c>
      <c r="C1019" t="inlineStr">
        <is>
          <t>VB</t>
        </is>
      </c>
      <c r="D1019" t="inlineStr">
        <is>
          <t>85737 Kr. München - Ismaning</t>
        </is>
      </c>
      <c r="E1019" s="5" t="n">
        <v>45541</v>
      </c>
      <c r="F1019" t="inlineStr">
        <is>
          <t>Sold</t>
        </is>
      </c>
      <c r="G1019" s="6">
        <f>HYPERLINK("https://www.kleinanzeigen.de/s-anzeige/fanatic-aero-2500-300-foil-set/2855657045-230-17192", "Link")</f>
        <v/>
      </c>
      <c r="H1019" s="6">
        <f>HYPERLINK("C:\Projects\Kleinanzeigen-Scraper\offer_images\2855657045", "Link")</f>
        <v/>
      </c>
      <c r="I1019" t="inlineStr">
        <is>
          <t>Florian</t>
        </is>
      </c>
      <c r="J1019" s="6">
        <f>HYPERLINK("https://www.kleinanzeigen.de/s-bestandsliste.html?userId=2124459", "Link")</f>
        <v/>
      </c>
      <c r="K1019" s="7" t="n">
        <v>45550.99415509259</v>
      </c>
      <c r="L1019" s="3" t="inlineStr">
        <is>
          <t>14.56</t>
        </is>
      </c>
      <c r="M1019" t="inlineStr">
        <is>
          <t>München</t>
        </is>
      </c>
    </row>
    <row r="1020">
      <c r="A1020" t="inlineStr">
        <is>
          <t>FANATIC DUOTONE Foil Set Carbon FREE 1000 216</t>
        </is>
      </c>
      <c r="B1020" s="4" t="n">
        <v>200</v>
      </c>
      <c r="C1020" t="inlineStr"/>
      <c r="D1020" t="inlineStr">
        <is>
          <t>20253 Eimsbüttel - Hamburg Eimsbüttel (Stadtteil)</t>
        </is>
      </c>
      <c r="E1020" s="5" t="n">
        <v>45550</v>
      </c>
      <c r="F1020" t="inlineStr">
        <is>
          <t>Sold</t>
        </is>
      </c>
      <c r="G1020" s="6">
        <f>HYPERLINK("https://www.kleinanzeigen.de/s-anzeige/fanatic-duotone-foil-set-carbon-free-1000-216/2864349266-230-9430", "Link")</f>
        <v/>
      </c>
      <c r="H1020" s="6">
        <f>HYPERLINK("C:\Projects\Kleinanzeigen-Scraper\offer_images\2864349266", "Link")</f>
        <v/>
      </c>
      <c r="I1020" t="inlineStr">
        <is>
          <t>Arne</t>
        </is>
      </c>
      <c r="J1020" s="6">
        <f>HYPERLINK("https://www.kleinanzeigen.de/s-bestandsliste.html?userId=5804853", "Link")</f>
        <v/>
      </c>
      <c r="K1020" s="7" t="n">
        <v>45550.99407407407</v>
      </c>
      <c r="L1020" s="3" t="inlineStr">
        <is>
          <t>357.98</t>
        </is>
      </c>
      <c r="M1020" t="inlineStr">
        <is>
          <t>Köln</t>
        </is>
      </c>
    </row>
    <row r="1021">
      <c r="A1021" t="inlineStr">
        <is>
          <t>Langarm Surfanzug von North Sailes</t>
        </is>
      </c>
      <c r="B1021" s="4" t="n">
        <v>25</v>
      </c>
      <c r="C1021" t="inlineStr">
        <is>
          <t>VB</t>
        </is>
      </c>
      <c r="D1021" t="inlineStr">
        <is>
          <t>55268 Rheinland-Pfalz - Nieder-Olm</t>
        </is>
      </c>
      <c r="E1021" s="5" t="n">
        <v>45550</v>
      </c>
      <c r="F1021" t="inlineStr"/>
      <c r="G1021" s="6">
        <f>HYPERLINK("https://www.kleinanzeigen.de/s-anzeige/langarm-surfanzug-von-north-sailes/2864742725-230-5333", "Link")</f>
        <v/>
      </c>
      <c r="H1021" s="6">
        <f>HYPERLINK("C:\Projects\Kleinanzeigen-Scraper\offer_images\2864742725", "Link")</f>
        <v/>
      </c>
      <c r="I1021" t="inlineStr">
        <is>
          <t>Birgit</t>
        </is>
      </c>
      <c r="J1021" s="6">
        <f>HYPERLINK("https://www.kleinanzeigen.de/s-bestandsliste.html?userId=6846356", "Link")</f>
        <v/>
      </c>
      <c r="K1021" s="7" t="n">
        <v>45550.99394675926</v>
      </c>
      <c r="L1021" s="3" t="inlineStr">
        <is>
          <t>101.19</t>
        </is>
      </c>
      <c r="M1021" t="inlineStr">
        <is>
          <t>Karlsruhe</t>
        </is>
      </c>
    </row>
    <row r="1022">
      <c r="A1022" t="inlineStr">
        <is>
          <t>Simms Hoody XXl neuwertig gebraucht (Fliegenfischen)</t>
        </is>
      </c>
      <c r="B1022" s="4" t="n">
        <v>75</v>
      </c>
      <c r="C1022" t="inlineStr">
        <is>
          <t>VB</t>
        </is>
      </c>
      <c r="D1022" t="inlineStr">
        <is>
          <t>76476 Baden-Württemberg - Bischweier</t>
        </is>
      </c>
      <c r="E1022" s="5" t="n">
        <v>45550</v>
      </c>
      <c r="F1022" t="inlineStr"/>
      <c r="G1022" s="6">
        <f>HYPERLINK("https://www.kleinanzeigen.de/s-anzeige/simms-hoody-xxl-neuwertig-gebraucht-fliegenfischen-/2864837309-230-8989", "Link")</f>
        <v/>
      </c>
      <c r="H1022" s="6">
        <f>HYPERLINK("C:\Projects\Kleinanzeigen-Scraper\offer_images\2864837309", "Link")</f>
        <v/>
      </c>
      <c r="I1022" t="inlineStr">
        <is>
          <t>Privater Anbieter</t>
        </is>
      </c>
      <c r="J1022" s="6">
        <f>HYPERLINK("https://www.kleinanzeigen.de/s-bestandsliste.html?userId=12495622", "Link")</f>
        <v/>
      </c>
      <c r="K1022" s="7" t="n">
        <v>45550.99393518519</v>
      </c>
      <c r="L1022" s="3" t="inlineStr">
        <is>
          <t>20.37</t>
        </is>
      </c>
      <c r="M1022" t="inlineStr">
        <is>
          <t>Karlsruhe</t>
        </is>
      </c>
    </row>
    <row r="1023">
      <c r="A1023" t="inlineStr">
        <is>
          <t>duotone zip hoddie frauen M lila</t>
        </is>
      </c>
      <c r="B1023" s="4" t="n">
        <v>45</v>
      </c>
      <c r="C1023" t="inlineStr"/>
      <c r="D1023" t="inlineStr">
        <is>
          <t>89073 Baden-Württemberg - Ulm</t>
        </is>
      </c>
      <c r="E1023" s="5" t="n">
        <v>45549</v>
      </c>
      <c r="F1023" t="inlineStr">
        <is>
          <t>Sold</t>
        </is>
      </c>
      <c r="G1023" s="6">
        <f>HYPERLINK("https://www.kleinanzeigen.de/s-anzeige/duotone-zip-hoddie-frauen-m-lila/2863041919-230-9342", "Link")</f>
        <v/>
      </c>
      <c r="H1023" s="6">
        <f>HYPERLINK("C:\Projects\Kleinanzeigen-Scraper\offer_images\2863041919", "Link")</f>
        <v/>
      </c>
      <c r="I1023" t="inlineStr">
        <is>
          <t>flori</t>
        </is>
      </c>
      <c r="J1023" s="6">
        <f>HYPERLINK("https://www.kleinanzeigen.de/s-bestandsliste.html?userId=13436736", "Link")</f>
        <v/>
      </c>
      <c r="K1023" s="7" t="n">
        <v>45550.99376157407</v>
      </c>
      <c r="L1023" s="3" t="inlineStr">
        <is>
          <t>81.07</t>
        </is>
      </c>
      <c r="M1023" t="inlineStr">
        <is>
          <t>Böblingen</t>
        </is>
      </c>
    </row>
    <row r="1024">
      <c r="A1024" t="inlineStr">
        <is>
          <t>Starboard Sup Yoga Boards gebraucht</t>
        </is>
      </c>
      <c r="B1024" s="4" t="n">
        <v>300</v>
      </c>
      <c r="C1024" t="inlineStr">
        <is>
          <t>VB</t>
        </is>
      </c>
      <c r="D1024" t="inlineStr">
        <is>
          <t>23769 Kreis Ostholstein - Fehmarn</t>
        </is>
      </c>
      <c r="E1024" s="5" t="n">
        <v>45506</v>
      </c>
      <c r="F1024" t="inlineStr">
        <is>
          <t>Sold</t>
        </is>
      </c>
      <c r="G1024" s="6">
        <f>HYPERLINK("https://www.kleinanzeigen.de/s-anzeige/starboard-sup-yoga-boards-gebraucht/2826917107-230-19951", "Link")</f>
        <v/>
      </c>
      <c r="H1024" s="6">
        <f>HYPERLINK("C:\Projects\Kleinanzeigen-Scraper\offer_images\2826917107", "Link")</f>
        <v/>
      </c>
      <c r="I1024" t="inlineStr">
        <is>
          <t>Emilio</t>
        </is>
      </c>
      <c r="J1024" s="6">
        <f>HYPERLINK("https://www.kleinanzeigen.de/s-bestandsliste.html?userId=43217940", "Link")</f>
        <v/>
      </c>
      <c r="K1024" s="7" t="n">
        <v>45550.99358796296</v>
      </c>
      <c r="L1024" s="3" t="inlineStr">
        <is>
          <t>483.01</t>
        </is>
      </c>
      <c r="M1024" t="inlineStr">
        <is>
          <t>Köln</t>
        </is>
      </c>
    </row>
    <row r="1025">
      <c r="A1025" t="inlineStr">
        <is>
          <t>Rebel12 von North (Duotone)</t>
        </is>
      </c>
      <c r="B1025" s="4" t="n">
        <v>201</v>
      </c>
      <c r="C1025" t="inlineStr">
        <is>
          <t>VB</t>
        </is>
      </c>
      <c r="D1025" t="inlineStr">
        <is>
          <t>23689 Schleswig-Holstein - Pansdorf</t>
        </is>
      </c>
      <c r="E1025" s="5" t="n">
        <v>45550</v>
      </c>
      <c r="F1025" t="inlineStr"/>
      <c r="G1025" s="6">
        <f>HYPERLINK("https://www.kleinanzeigen.de/s-anzeige/rebel12-von-north-duotone-/2864777579-230-20090", "Link")</f>
        <v/>
      </c>
      <c r="H1025" s="6">
        <f>HYPERLINK("C:\Projects\Kleinanzeigen-Scraper\offer_images\2864777579", "Link")</f>
        <v/>
      </c>
      <c r="I1025" t="inlineStr">
        <is>
          <t>Meyer Volker Olaf</t>
        </is>
      </c>
      <c r="J1025" s="6">
        <f>HYPERLINK("https://www.kleinanzeigen.de/s-bestandsliste.html?userId=17513529", "Link")</f>
        <v/>
      </c>
      <c r="K1025" s="7" t="n">
        <v>45550.99335648148</v>
      </c>
      <c r="L1025" s="3" t="inlineStr">
        <is>
          <t>423.41</t>
        </is>
      </c>
      <c r="M1025" t="inlineStr">
        <is>
          <t>Köln</t>
        </is>
      </c>
    </row>
    <row r="1026">
      <c r="A1026" t="inlineStr">
        <is>
          <t>Starboard Foil, Mast, Fuselage, iQFOiL, Windfoil</t>
        </is>
      </c>
      <c r="B1026" s="4" t="n">
        <v>99</v>
      </c>
      <c r="C1026" t="inlineStr"/>
      <c r="D1026" t="inlineStr">
        <is>
          <t>24118 Kiel - Ravensberg-Brunswik-Düsternbrook</t>
        </is>
      </c>
      <c r="E1026" s="5" t="n">
        <v>45462</v>
      </c>
      <c r="F1026" t="inlineStr">
        <is>
          <t>Sold</t>
        </is>
      </c>
      <c r="G1026" s="6">
        <f>HYPERLINK("https://www.kleinanzeigen.de/s-anzeige/starboard-foil-mast-fuselage-iqfoil-windfoil/2792399814-230-704", "Link")</f>
        <v/>
      </c>
      <c r="H1026" s="6">
        <f>HYPERLINK("C:\Projects\Kleinanzeigen-Scraper\offer_images\2792399814", "Link")</f>
        <v/>
      </c>
      <c r="I1026" t="inlineStr">
        <is>
          <t>Leon</t>
        </is>
      </c>
      <c r="J1026" s="6">
        <f>HYPERLINK("https://www.kleinanzeigen.de/s-bestandsliste.html?userId=66304477", "Link")</f>
        <v/>
      </c>
      <c r="K1026" s="7" t="n">
        <v>45550.99327546296</v>
      </c>
      <c r="L1026" s="3" t="inlineStr">
        <is>
          <t>434.29</t>
        </is>
      </c>
      <c r="M1026" t="inlineStr">
        <is>
          <t>Köln</t>
        </is>
      </c>
    </row>
    <row r="1027">
      <c r="A1027" t="inlineStr">
        <is>
          <t>Tauchanzug Northern Diver 54XL Trockentauchanzug ohne Flossen</t>
        </is>
      </c>
      <c r="B1027" s="4" t="n">
        <v>279</v>
      </c>
      <c r="C1027" t="inlineStr">
        <is>
          <t>VB</t>
        </is>
      </c>
      <c r="D1027" t="inlineStr">
        <is>
          <t>73453 Baden-Württemberg - Abtsgmünd</t>
        </is>
      </c>
      <c r="E1027" s="5" t="n">
        <v>45549</v>
      </c>
      <c r="F1027" t="inlineStr">
        <is>
          <t>Sold</t>
        </is>
      </c>
      <c r="G1027" s="6">
        <f>HYPERLINK("https://www.kleinanzeigen.de/s-anzeige/tauchanzug-northern-diver-54xl-trockentauchanzug-ohne-flossen/2863522765-230-9080", "Link")</f>
        <v/>
      </c>
      <c r="H1027" s="6">
        <f>HYPERLINK("C:\Projects\Kleinanzeigen-Scraper\offer_images\2863522765", "Link")</f>
        <v/>
      </c>
      <c r="I1027" t="inlineStr">
        <is>
          <t>Privat</t>
        </is>
      </c>
      <c r="J1027" s="6">
        <f>HYPERLINK("https://www.kleinanzeigen.de/s-bestandsliste.html?userId=28770573", "Link")</f>
        <v/>
      </c>
      <c r="K1027" s="7" t="n">
        <v>45550.99325231482</v>
      </c>
      <c r="L1027" s="3" t="inlineStr">
        <is>
          <t>78.08</t>
        </is>
      </c>
      <c r="M1027" t="inlineStr">
        <is>
          <t>Böblingen</t>
        </is>
      </c>
    </row>
    <row r="1028">
      <c r="A1028" t="inlineStr">
        <is>
          <t>North Vegas 9qm 9m2 2013 (jetzt Duotone)</t>
        </is>
      </c>
      <c r="B1028" s="4" t="n">
        <v>220</v>
      </c>
      <c r="C1028" t="inlineStr">
        <is>
          <t>VB</t>
        </is>
      </c>
      <c r="D1028" t="inlineStr">
        <is>
          <t>88097 Baden-Württemberg - Eriskirch</t>
        </is>
      </c>
      <c r="E1028" s="5" t="n">
        <v>45550</v>
      </c>
      <c r="F1028" t="inlineStr">
        <is>
          <t>Sold</t>
        </is>
      </c>
      <c r="G1028" s="6">
        <f>HYPERLINK("https://www.kleinanzeigen.de/s-anzeige/north-vegas-9qm-9m2-2013-jetzt-duotone-/2864357594-230-9215", "Link")</f>
        <v/>
      </c>
      <c r="H1028" s="6">
        <f>HYPERLINK("C:\Projects\Kleinanzeigen-Scraper\offer_images\2864357594", "Link")</f>
        <v/>
      </c>
      <c r="I1028" t="inlineStr">
        <is>
          <t>Thomas</t>
        </is>
      </c>
      <c r="J1028" s="6">
        <f>HYPERLINK("https://www.kleinanzeigen.de/s-bestandsliste.html?userId=36593890", "Link")</f>
        <v/>
      </c>
      <c r="K1028" s="7" t="n">
        <v>45550.99319444445</v>
      </c>
      <c r="L1028" s="3" t="inlineStr">
        <is>
          <t>91.55</t>
        </is>
      </c>
      <c r="M1028" t="inlineStr">
        <is>
          <t>Bonndorf</t>
        </is>
      </c>
    </row>
    <row r="1029">
      <c r="A1029" t="inlineStr">
        <is>
          <t>Caas 340 100 cc</t>
        </is>
      </c>
      <c r="B1029" s="4" t="inlineStr">
        <is>
          <t>220euro</t>
        </is>
      </c>
      <c r="C1029" t="inlineStr"/>
      <c r="D1029" t="inlineStr">
        <is>
          <t>24944 Flensburg</t>
        </is>
      </c>
      <c r="E1029" s="5" t="n">
        <v>45548</v>
      </c>
      <c r="F1029" t="inlineStr"/>
      <c r="G1029" s="6">
        <f>HYPERLINK("https://www.dailydose.de/kleinanzeigen/detail.htm?ai=422506&amp;cf=kk&amp;pg=2&amp;ci=2", "Link")</f>
        <v/>
      </c>
      <c r="H1029" s="6">
        <f>HYPERLINK("C:\Projects\Kleinanzeigen-Scraper\offer_images\422506", "Link")</f>
        <v/>
      </c>
      <c r="I1029" t="inlineStr">
        <is>
          <t>marc_133</t>
        </is>
      </c>
      <c r="J1029" s="6">
        <f>HYPERLINK("https://www.dailydose.de/kleinanzeigen/user/15302", "Link")</f>
        <v/>
      </c>
      <c r="K1029" s="7" t="n">
        <v>45549.58513888889</v>
      </c>
      <c r="L1029" s="3" t="inlineStr">
        <is>
          <t>462.42</t>
        </is>
      </c>
      <c r="M1029" t="inlineStr">
        <is>
          <t>Köln</t>
        </is>
      </c>
    </row>
    <row r="1030">
      <c r="A1030" t="inlineStr">
        <is>
          <t>GA-Sails - Manic‘s , Boost, Hybrid, Cosmic … 2024</t>
        </is>
      </c>
      <c r="B1030" s="4" t="inlineStr"/>
      <c r="C1030" t="inlineStr">
        <is>
          <t>VB</t>
        </is>
      </c>
      <c r="D1030" t="inlineStr">
        <is>
          <t>51069  Köln</t>
        </is>
      </c>
      <c r="E1030" s="5" t="n">
        <v>45548</v>
      </c>
      <c r="F1030" t="inlineStr">
        <is>
          <t>Sold</t>
        </is>
      </c>
      <c r="G1030" s="6">
        <f>HYPERLINK("https://www.dailydose.de/kleinanzeigen/detail.htm?ai=422515&amp;cf=kk&amp;pg=5&amp;ci=5", "Link")</f>
        <v/>
      </c>
      <c r="H1030" s="6">
        <f>HYPERLINK("C:\Projects\Kleinanzeigen-Scraper\offer_images\422515", "Link")</f>
        <v/>
      </c>
      <c r="I1030" t="inlineStr">
        <is>
          <t>Bj_37</t>
        </is>
      </c>
      <c r="J1030" s="6">
        <f>HYPERLINK("https://www.dailydose.de/kleinanzeigen/user/4920", "Link")</f>
        <v/>
      </c>
      <c r="K1030" s="7" t="n">
        <v>45549.58447916667</v>
      </c>
      <c r="L1030" s="3" t="inlineStr">
        <is>
          <t>9.37</t>
        </is>
      </c>
      <c r="M1030" t="inlineStr">
        <is>
          <t>Köln</t>
        </is>
      </c>
    </row>
    <row r="1031">
      <c r="A1031" t="inlineStr">
        <is>
          <t>Kinderrigg</t>
        </is>
      </c>
      <c r="B1031" s="4" t="n">
        <v>109119</v>
      </c>
      <c r="C1031" t="inlineStr"/>
      <c r="D1031" t="inlineStr">
        <is>
          <t>versand</t>
        </is>
      </c>
      <c r="E1031" s="5" t="n">
        <v>45549</v>
      </c>
      <c r="F1031" t="inlineStr">
        <is>
          <t>Sold</t>
        </is>
      </c>
      <c r="G1031" s="6">
        <f>HYPERLINK("https://www.dailydose.de/kleinanzeigen/detail.htm?ai=422559&amp;cf=kk&amp;pg=3&amp;ci=5", "Link")</f>
        <v/>
      </c>
      <c r="H1031" s="6">
        <f>HYPERLINK("C:\Projects\Kleinanzeigen-Scraper\offer_images\422559", "Link")</f>
        <v/>
      </c>
      <c r="I1031" t="inlineStr">
        <is>
          <t>j_20</t>
        </is>
      </c>
      <c r="J1031" s="6">
        <f>HYPERLINK("https://www.dailydose.de/kleinanzeigen/user/9702", "Link")</f>
        <v/>
      </c>
      <c r="K1031" s="7" t="n">
        <v>45549.58148148148</v>
      </c>
      <c r="L1031" s="3" t="inlineStr">
        <is>
          <t>343.40</t>
        </is>
      </c>
      <c r="M1031" t="inlineStr">
        <is>
          <t>München</t>
        </is>
      </c>
    </row>
    <row r="1032">
      <c r="A1032" t="inlineStr">
        <is>
          <t>Snowboard Fanatic Raceboard LTD SL 159 cm lang</t>
        </is>
      </c>
      <c r="B1032" s="4" t="n">
        <v>150</v>
      </c>
      <c r="C1032" t="inlineStr">
        <is>
          <t>VB</t>
        </is>
      </c>
      <c r="D1032" t="inlineStr">
        <is>
          <t>55130 Rheinland-Pfalz - Mainz</t>
        </is>
      </c>
      <c r="E1032" s="5" t="n">
        <v>45545</v>
      </c>
      <c r="F1032" t="inlineStr">
        <is>
          <t>Sold</t>
        </is>
      </c>
      <c r="G1032" s="6">
        <f>HYPERLINK("https://www.kleinanzeigen.de/s-anzeige/snowboard-fanatic-raceboard-ltd-sl-159-cm-lang/2859403995-230-5316", "Link")</f>
        <v/>
      </c>
      <c r="H1032" s="6">
        <f>HYPERLINK("C:\Projects\Kleinanzeigen-Scraper\offer_images\2859403995", "Link")</f>
        <v/>
      </c>
      <c r="I1032" t="inlineStr">
        <is>
          <t>Michael</t>
        </is>
      </c>
      <c r="J1032" s="6">
        <f>HYPERLINK("https://www.kleinanzeigen.de/s-bestandsliste.html?userId=14540255", "Link")</f>
        <v/>
      </c>
      <c r="K1032" s="7" t="n">
        <v>45549.58131944444</v>
      </c>
      <c r="L1032" s="3" t="inlineStr">
        <is>
          <t>105.20</t>
        </is>
      </c>
      <c r="M1032" t="inlineStr">
        <is>
          <t>Karlsruhe</t>
        </is>
      </c>
    </row>
    <row r="1033">
      <c r="A1033" t="inlineStr">
        <is>
          <t>Gemälde/Bild "After Goya", Künstler "Slavko Radisic", 55x76cm</t>
        </is>
      </c>
      <c r="B1033" s="4" t="n">
        <v>490</v>
      </c>
      <c r="C1033" t="inlineStr">
        <is>
          <t>VB</t>
        </is>
      </c>
      <c r="D1033" t="inlineStr">
        <is>
          <t>72581 Baden-Württemberg - Dettingen an der Erms</t>
        </is>
      </c>
      <c r="E1033" s="5" t="n">
        <v>43817</v>
      </c>
      <c r="F1033" t="inlineStr"/>
      <c r="G1033" s="6">
        <f>HYPERLINK("https://www.kleinanzeigen.de/s-anzeige/gemaelde-bild-after-goya-kuenstler-slavko-radisic-55x76cm/1281444313-240-7998", "Link")</f>
        <v/>
      </c>
      <c r="H1033" s="6">
        <f>HYPERLINK("C:\Projects\Kleinanzeigen-Scraper\offer_images\1281444313", "Link")</f>
        <v/>
      </c>
      <c r="I1033" t="inlineStr">
        <is>
          <t>Slavko-Radisic-Galerie.de</t>
        </is>
      </c>
      <c r="J1033" s="6">
        <f>HYPERLINK("https://www.kleinanzeigen.de/s-bestandsliste.html?userId=70698358", "Link")</f>
        <v/>
      </c>
      <c r="K1033" s="7" t="n">
        <v>45549.58130787037</v>
      </c>
      <c r="L1033" s="3" t="inlineStr">
        <is>
          <t>31.52</t>
        </is>
      </c>
      <c r="M1033" t="inlineStr">
        <is>
          <t>Böblingen</t>
        </is>
      </c>
    </row>
    <row r="1034">
      <c r="A1034" t="inlineStr">
        <is>
          <t>Funimi F20-800 -North American Rockwell RF-86F Sabre Wood Pecker</t>
        </is>
      </c>
      <c r="B1034" s="4" t="n">
        <v>22</v>
      </c>
      <c r="C1034" t="inlineStr">
        <is>
          <t>VB</t>
        </is>
      </c>
      <c r="D1034" t="inlineStr">
        <is>
          <t>63110 Hessen - Rodgau</t>
        </is>
      </c>
      <c r="E1034" s="5" t="n">
        <v>45544</v>
      </c>
      <c r="F1034" t="inlineStr">
        <is>
          <t>Sold</t>
        </is>
      </c>
      <c r="G1034" s="6">
        <f>HYPERLINK("https://www.kleinanzeigen.de/s-anzeige/funimi-f20-800-north-american-rockwell-rf-86f-sabre-wood-pecker/2859009033-249-4358", "Link")</f>
        <v/>
      </c>
      <c r="H1034" s="6">
        <f>HYPERLINK("C:\Projects\Kleinanzeigen-Scraper\offer_images\2859009033", "Link")</f>
        <v/>
      </c>
      <c r="I1034" t="inlineStr">
        <is>
          <t>Nik</t>
        </is>
      </c>
      <c r="J1034" s="6">
        <f>HYPERLINK("https://www.kleinanzeigen.de/s-bestandsliste.html?userId=18897590", "Link")</f>
        <v/>
      </c>
      <c r="K1034" s="7" t="n">
        <v>45549.5812962963</v>
      </c>
      <c r="L1034" s="3" t="inlineStr">
        <is>
          <t>118.01</t>
        </is>
      </c>
      <c r="M1034" t="inlineStr">
        <is>
          <t>Karlsruhe</t>
        </is>
      </c>
    </row>
    <row r="1035">
      <c r="A1035" t="inlineStr">
        <is>
          <t>Naish pivot 9 kite surfen</t>
        </is>
      </c>
      <c r="B1035" s="4" t="n">
        <v>250</v>
      </c>
      <c r="C1035" t="inlineStr">
        <is>
          <t>VB</t>
        </is>
      </c>
      <c r="D1035" t="inlineStr">
        <is>
          <t>28865 Niedersachsen - Lilienthal</t>
        </is>
      </c>
      <c r="E1035" s="5" t="n">
        <v>45482</v>
      </c>
      <c r="F1035" t="inlineStr">
        <is>
          <t>Sold</t>
        </is>
      </c>
      <c r="G1035" s="6">
        <f>HYPERLINK("https://www.kleinanzeigen.de/s-anzeige/naish-pivot-9-kite-surfen/2808521431-230-2650", "Link")</f>
        <v/>
      </c>
      <c r="H1035" s="6">
        <f>HYPERLINK("C:\Projects\Kleinanzeigen-Scraper\offer_images\2808521431", "Link")</f>
        <v/>
      </c>
      <c r="I1035" t="inlineStr">
        <is>
          <t>Philipp</t>
        </is>
      </c>
      <c r="J1035" s="6">
        <f>HYPERLINK("https://www.kleinanzeigen.de/s-bestandsliste.html?userId=7350424", "Link")</f>
        <v/>
      </c>
      <c r="K1035" s="7" t="n">
        <v>45549.58128472222</v>
      </c>
      <c r="L1035" s="3" t="inlineStr">
        <is>
          <t>280.02</t>
        </is>
      </c>
      <c r="M1035" t="inlineStr">
        <is>
          <t>Köln</t>
        </is>
      </c>
    </row>
    <row r="1036">
      <c r="A1036" t="inlineStr">
        <is>
          <t>Naish Fly 15qm 2015 mit Bar</t>
        </is>
      </c>
      <c r="B1036" s="4" t="n">
        <v>300</v>
      </c>
      <c r="C1036" t="inlineStr">
        <is>
          <t>VB</t>
        </is>
      </c>
      <c r="D1036" t="inlineStr">
        <is>
          <t>28219 Bremen - Walle</t>
        </is>
      </c>
      <c r="E1036" s="5" t="n">
        <v>45519</v>
      </c>
      <c r="F1036" t="inlineStr"/>
      <c r="G1036" s="6">
        <f>HYPERLINK("https://www.kleinanzeigen.de/s-anzeige/naish-fly-15qm-2015-mit-bar/2837302088-230-24", "Link")</f>
        <v/>
      </c>
      <c r="H1036" s="6">
        <f>HYPERLINK("C:\Projects\Kleinanzeigen-Scraper\offer_images\2837302088", "Link")</f>
        <v/>
      </c>
      <c r="I1036" t="inlineStr">
        <is>
          <t>J. Grohme</t>
        </is>
      </c>
      <c r="J1036" s="6">
        <f>HYPERLINK("https://www.kleinanzeigen.de/s-bestandsliste.html?userId=14191724", "Link")</f>
        <v/>
      </c>
      <c r="K1036" s="7" t="n">
        <v>45549.58128472222</v>
      </c>
      <c r="L1036" s="3" t="inlineStr">
        <is>
          <t>271.44</t>
        </is>
      </c>
      <c r="M1036" t="inlineStr">
        <is>
          <t>Köln</t>
        </is>
      </c>
    </row>
    <row r="1037">
      <c r="A1037" t="inlineStr">
        <is>
          <t>North Kite Rebel (5 Leinen) 2015 8m2</t>
        </is>
      </c>
      <c r="B1037" s="4" t="n">
        <v>390</v>
      </c>
      <c r="C1037" t="inlineStr"/>
      <c r="D1037" t="inlineStr">
        <is>
          <t>22303 Hamburg-Nord - Hamburg Winterhude</t>
        </is>
      </c>
      <c r="E1037" s="5" t="n">
        <v>45536</v>
      </c>
      <c r="F1037" t="inlineStr">
        <is>
          <t>Sold</t>
        </is>
      </c>
      <c r="G1037" s="6">
        <f>HYPERLINK("https://www.kleinanzeigen.de/s-anzeige/north-kite-rebel-5-leinen-2015-8m2/2851879539-230-9482", "Link")</f>
        <v/>
      </c>
      <c r="H1037" s="6">
        <f>HYPERLINK("C:\Projects\Kleinanzeigen-Scraper\offer_images\2851879539", "Link")</f>
        <v/>
      </c>
      <c r="I1037" t="inlineStr">
        <is>
          <t>Kristin</t>
        </is>
      </c>
      <c r="J1037" s="6">
        <f>HYPERLINK("https://www.kleinanzeigen.de/s-bestandsliste.html?userId=73238786", "Link")</f>
        <v/>
      </c>
      <c r="K1037" s="7" t="n">
        <v>45549.58128472222</v>
      </c>
      <c r="L1037" s="3" t="inlineStr">
        <is>
          <t>361.45</t>
        </is>
      </c>
      <c r="M1037" t="inlineStr">
        <is>
          <t>Köln</t>
        </is>
      </c>
    </row>
    <row r="1038">
      <c r="A1038" t="inlineStr">
        <is>
          <t>SUP Starboard Touring M Deluxe DC 12´6 2023 NEU &amp; OVP</t>
        </is>
      </c>
      <c r="B1038" s="4" t="n">
        <v>839</v>
      </c>
      <c r="C1038" t="inlineStr">
        <is>
          <t>VB</t>
        </is>
      </c>
      <c r="D1038" t="inlineStr">
        <is>
          <t>09126 Chemnitz - Lutherviertel</t>
        </is>
      </c>
      <c r="E1038" s="5" t="n">
        <v>45524</v>
      </c>
      <c r="F1038" t="inlineStr">
        <is>
          <t>Sold</t>
        </is>
      </c>
      <c r="G1038" s="6">
        <f>HYPERLINK("https://www.kleinanzeigen.de/s-anzeige/sup-starboard-touring-m-deluxe-dc-12-6-2023-neu-ovp/2841722006-230-26106", "Link")</f>
        <v/>
      </c>
      <c r="H1038" s="6">
        <f>HYPERLINK("C:\Projects\Kleinanzeigen-Scraper\offer_images\2841722006", "Link")</f>
        <v/>
      </c>
      <c r="I1038" t="inlineStr">
        <is>
          <t>Steffen</t>
        </is>
      </c>
      <c r="J1038" s="6">
        <f>HYPERLINK("https://www.kleinanzeigen.de/s-bestandsliste.html?userId=20015328", "Link")</f>
        <v/>
      </c>
      <c r="K1038" s="7" t="n">
        <v>45549.58128472222</v>
      </c>
      <c r="L1038" s="3" t="inlineStr">
        <is>
          <t>314.18</t>
        </is>
      </c>
      <c r="M1038" t="inlineStr">
        <is>
          <t>München</t>
        </is>
      </c>
    </row>
    <row r="1039">
      <c r="A1039" t="inlineStr">
        <is>
          <t>Snowboard Fanatic</t>
        </is>
      </c>
      <c r="B1039" s="4" t="n">
        <v>50</v>
      </c>
      <c r="C1039" t="inlineStr"/>
      <c r="D1039" t="inlineStr">
        <is>
          <t>60528 Süd - Niederrad</t>
        </is>
      </c>
      <c r="E1039" s="5" t="n">
        <v>45543</v>
      </c>
      <c r="F1039" t="inlineStr">
        <is>
          <t>Sold</t>
        </is>
      </c>
      <c r="G1039" s="6">
        <f>HYPERLINK("https://www.kleinanzeigen.de/s-anzeige/snowboard-fanatic/2857326939-230-4321", "Link")</f>
        <v/>
      </c>
      <c r="H1039" s="6">
        <f>HYPERLINK("C:\Projects\Kleinanzeigen-Scraper\offer_images\2857326939", "Link")</f>
        <v/>
      </c>
      <c r="I1039" t="inlineStr">
        <is>
          <t>Andrei L.</t>
        </is>
      </c>
      <c r="J1039" s="6">
        <f>HYPERLINK("https://www.kleinanzeigen.de/s-bestandsliste.html?userId=86502463", "Link")</f>
        <v/>
      </c>
      <c r="K1039" s="7" t="n">
        <v>45549.58123842593</v>
      </c>
      <c r="L1039" s="3" t="inlineStr">
        <is>
          <t>119.89</t>
        </is>
      </c>
      <c r="M1039" t="inlineStr">
        <is>
          <t>Karlsruhe</t>
        </is>
      </c>
    </row>
    <row r="1040">
      <c r="A1040" t="inlineStr">
        <is>
          <t>Neoprenanzug shorty Kinder gr. 12 Neilpryde</t>
        </is>
      </c>
      <c r="B1040" s="4" t="n">
        <v>25</v>
      </c>
      <c r="C1040" t="inlineStr"/>
      <c r="D1040" t="inlineStr">
        <is>
          <t>26689 Niedersachsen - Apen</t>
        </is>
      </c>
      <c r="E1040" s="5" t="n">
        <v>45495</v>
      </c>
      <c r="F1040" t="inlineStr">
        <is>
          <t>Sold</t>
        </is>
      </c>
      <c r="G1040" s="6">
        <f>HYPERLINK("https://www.kleinanzeigen.de/s-anzeige/neoprenanzug-shorty-kinder-gr-12-neilpryde/2818256517-230-2642", "Link")</f>
        <v/>
      </c>
      <c r="H1040" s="6">
        <f>HYPERLINK("C:\Projects\Kleinanzeigen-Scraper\offer_images\2818256517", "Link")</f>
        <v/>
      </c>
      <c r="I1040" t="inlineStr">
        <is>
          <t>Zech</t>
        </is>
      </c>
      <c r="J1040" s="6">
        <f>HYPERLINK("https://www.kleinanzeigen.de/s-bestandsliste.html?userId=5704135", "Link")</f>
        <v/>
      </c>
      <c r="K1040" s="7" t="n">
        <v>45549.58123842593</v>
      </c>
      <c r="L1040" s="3" t="inlineStr">
        <is>
          <t>258.00</t>
        </is>
      </c>
      <c r="M1040" t="inlineStr">
        <is>
          <t>Köln</t>
        </is>
      </c>
    </row>
    <row r="1041">
      <c r="A1041" t="inlineStr">
        <is>
          <t>Fanatic Sup Pumpe, neu und unbenutzt</t>
        </is>
      </c>
      <c r="B1041" s="4" t="n">
        <v>20</v>
      </c>
      <c r="C1041" t="inlineStr"/>
      <c r="D1041" t="inlineStr">
        <is>
          <t>04416 Sachsen - Markkleeberg</t>
        </is>
      </c>
      <c r="E1041" s="5" t="n">
        <v>45529</v>
      </c>
      <c r="F1041" t="inlineStr">
        <is>
          <t>Sold</t>
        </is>
      </c>
      <c r="G1041" s="6">
        <f>HYPERLINK("https://www.kleinanzeigen.de/s-anzeige/fanatic-sup-pumpe-neu-und-unbenutzt/2845538686-230-3911", "Link")</f>
        <v/>
      </c>
      <c r="H1041" s="6">
        <f>HYPERLINK("C:\Projects\Kleinanzeigen-Scraper\offer_images\2845538686", "Link")</f>
        <v/>
      </c>
      <c r="I1041" t="inlineStr">
        <is>
          <t>Marcus</t>
        </is>
      </c>
      <c r="J1041" s="6">
        <f>HYPERLINK("https://www.kleinanzeigen.de/s-bestandsliste.html?userId=13985899", "Link")</f>
        <v/>
      </c>
      <c r="K1041" s="7" t="n">
        <v>45549.58123842593</v>
      </c>
      <c r="L1041" s="3" t="inlineStr">
        <is>
          <t>353.27</t>
        </is>
      </c>
      <c r="M1041" t="inlineStr">
        <is>
          <t>München</t>
        </is>
      </c>
    </row>
    <row r="1042">
      <c r="A1042" t="inlineStr">
        <is>
          <t>JP Australia SUP Board Pumpe mit Schlauch und Druckanzeige</t>
        </is>
      </c>
      <c r="B1042" s="4" t="n">
        <v>10</v>
      </c>
      <c r="C1042" t="inlineStr"/>
      <c r="D1042" t="inlineStr">
        <is>
          <t>78467 Baden-Württemberg - Konstanz</t>
        </is>
      </c>
      <c r="E1042" s="5" t="n">
        <v>45389</v>
      </c>
      <c r="F1042" t="inlineStr"/>
      <c r="G1042" s="6">
        <f>HYPERLINK("https://www.kleinanzeigen.de/s-anzeige/jp-australia-sup-board-pumpe-mit-schlauch-und-druckanzeige/2728400925-230-9389", "Link")</f>
        <v/>
      </c>
      <c r="H1042" s="6">
        <f>HYPERLINK("C:\Projects\Kleinanzeigen-Scraper\offer_images\2728400925", "Link")</f>
        <v/>
      </c>
      <c r="I1042" t="inlineStr">
        <is>
          <t>Matthias</t>
        </is>
      </c>
      <c r="J1042" s="6">
        <f>HYPERLINK("https://www.kleinanzeigen.de/s-bestandsliste.html?userId=20513439", "Link")</f>
        <v/>
      </c>
      <c r="K1042" s="7" t="n">
        <v>45549.58121527778</v>
      </c>
      <c r="L1042" s="3" t="inlineStr">
        <is>
          <t>62.51</t>
        </is>
      </c>
      <c r="M1042" t="inlineStr">
        <is>
          <t>Bonndorf</t>
        </is>
      </c>
    </row>
    <row r="1043">
      <c r="A1043" t="inlineStr">
        <is>
          <t>de Goya-Repro von El Pelele im edlen Nielsen Alu-Wechselrahmen</t>
        </is>
      </c>
      <c r="B1043" s="4" t="n">
        <v>30</v>
      </c>
      <c r="C1043" t="inlineStr"/>
      <c r="D1043" t="inlineStr">
        <is>
          <t>67098 Rheinland-Pfalz - Bad Dürkheim</t>
        </is>
      </c>
      <c r="E1043" s="5" t="n">
        <v>43604</v>
      </c>
      <c r="F1043" t="inlineStr"/>
      <c r="G1043" s="6">
        <f>HYPERLINK("https://www.kleinanzeigen.de/s-anzeige/de-goya-repro-von-el-pelele-im-edlen-nielsen-alu-wechselrahmen/1125385983-240-5343", "Link")</f>
        <v/>
      </c>
      <c r="H1043" s="6">
        <f>HYPERLINK("C:\Projects\Kleinanzeigen-Scraper\offer_images\1125385983", "Link")</f>
        <v/>
      </c>
      <c r="I1043" t="inlineStr">
        <is>
          <t>Peter</t>
        </is>
      </c>
      <c r="J1043" s="6">
        <f>HYPERLINK("https://www.kleinanzeigen.de/s-bestandsliste.html?userId=49480429", "Link")</f>
        <v/>
      </c>
      <c r="K1043" s="7" t="n">
        <v>45549.58121527778</v>
      </c>
      <c r="L1043" s="3" t="inlineStr">
        <is>
          <t>54.79</t>
        </is>
      </c>
      <c r="M1043" t="inlineStr">
        <is>
          <t>Karlsruhe</t>
        </is>
      </c>
    </row>
    <row r="1044">
      <c r="A1044" t="inlineStr">
        <is>
          <t>Duotone Evo 2024 OVP</t>
        </is>
      </c>
      <c r="B1044" s="4" t="n">
        <v>940</v>
      </c>
      <c r="C1044" t="inlineStr"/>
      <c r="D1044" t="inlineStr">
        <is>
          <t>26579 Niedersachsen - Baltrum</t>
        </is>
      </c>
      <c r="E1044" s="5" t="n">
        <v>45544</v>
      </c>
      <c r="F1044" t="inlineStr">
        <is>
          <t>Sold</t>
        </is>
      </c>
      <c r="G1044" s="6">
        <f>HYPERLINK("https://www.kleinanzeigen.de/s-anzeige/duotone-evo-2024-ovp/2858322852-230-2481", "Link")</f>
        <v/>
      </c>
      <c r="H1044" s="6">
        <f>HYPERLINK("C:\Projects\Kleinanzeigen-Scraper\offer_images\2858322852", "Link")</f>
        <v/>
      </c>
      <c r="I1044" t="inlineStr">
        <is>
          <t>Philipp</t>
        </is>
      </c>
      <c r="J1044" s="6">
        <f>HYPERLINK("https://www.kleinanzeigen.de/s-bestandsliste.html?userId=89454610", "Link")</f>
        <v/>
      </c>
      <c r="K1044" s="7" t="n">
        <v>45549.58121527778</v>
      </c>
      <c r="L1044" s="3" t="inlineStr">
        <is>
          <t>311.71</t>
        </is>
      </c>
      <c r="M1044" t="inlineStr">
        <is>
          <t>Köln</t>
        </is>
      </c>
    </row>
    <row r="1045">
      <c r="A1045" t="inlineStr">
        <is>
          <t>North (Duotone) Vegas inkl. Bag, Hadlow edition Kite 9 qm (m²)</t>
        </is>
      </c>
      <c r="B1045" s="4" t="n">
        <v>250</v>
      </c>
      <c r="C1045" t="inlineStr"/>
      <c r="D1045" t="inlineStr">
        <is>
          <t>13507 Berlin - Reinickendorf</t>
        </is>
      </c>
      <c r="E1045" s="5" t="n">
        <v>45540</v>
      </c>
      <c r="F1045" t="inlineStr">
        <is>
          <t>Sold</t>
        </is>
      </c>
      <c r="G1045" s="6">
        <f>HYPERLINK("https://www.kleinanzeigen.de/s-anzeige/north-duotone-vegas-inkl-bag-hadlow-edition-kite-9-qm-m-/2855255951-230-3453", "Link")</f>
        <v/>
      </c>
      <c r="H1045" s="6">
        <f>HYPERLINK("C:\Projects\Kleinanzeigen-Scraper\offer_images\2855255951", "Link")</f>
        <v/>
      </c>
      <c r="I1045" t="inlineStr">
        <is>
          <t>Marc</t>
        </is>
      </c>
      <c r="J1045" s="6">
        <f>HYPERLINK("https://www.kleinanzeigen.de/s-bestandsliste.html?userId=52554448", "Link")</f>
        <v/>
      </c>
      <c r="K1045" s="7" t="n">
        <v>45549.5812037037</v>
      </c>
      <c r="L1045" s="3" t="inlineStr">
        <is>
          <t>471.11</t>
        </is>
      </c>
      <c r="M1045" t="inlineStr">
        <is>
          <t>Köln</t>
        </is>
      </c>
    </row>
    <row r="1046">
      <c r="A1046" t="inlineStr">
        <is>
          <t>Wing Sailloft UFO 5,0</t>
        </is>
      </c>
      <c r="B1046" s="4" t="n">
        <v>330</v>
      </c>
      <c r="C1046" t="inlineStr">
        <is>
          <t>VB</t>
        </is>
      </c>
      <c r="D1046" t="inlineStr">
        <is>
          <t>25578 Schleswig-Holstein - Dägeling</t>
        </is>
      </c>
      <c r="E1046" s="5" t="n">
        <v>45542</v>
      </c>
      <c r="F1046" t="inlineStr">
        <is>
          <t>Sold</t>
        </is>
      </c>
      <c r="G1046" s="6">
        <f>HYPERLINK("https://www.kleinanzeigen.de/s-anzeige/wing-sailloft-ufo-5-0/2856645473-230-20070", "Link")</f>
        <v/>
      </c>
      <c r="H1046" s="6">
        <f>HYPERLINK("C:\Projects\Kleinanzeigen-Scraper\offer_images\2856645473", "Link")</f>
        <v/>
      </c>
      <c r="I1046" t="inlineStr">
        <is>
          <t>Sven Olde</t>
        </is>
      </c>
      <c r="J1046" s="6">
        <f>HYPERLINK("https://www.kleinanzeigen.de/s-bestandsliste.html?userId=22610828", "Link")</f>
        <v/>
      </c>
      <c r="K1046" s="7" t="n">
        <v>45549.58119212963</v>
      </c>
      <c r="L1046" s="3" t="inlineStr">
        <is>
          <t>370.63</t>
        </is>
      </c>
      <c r="M1046" t="inlineStr">
        <is>
          <t>Köln</t>
        </is>
      </c>
    </row>
    <row r="1047">
      <c r="A1047" t="inlineStr">
        <is>
          <t>Kite Set RRD Religion Passion und Bar (Set oder einzeln) 7, 9, 12</t>
        </is>
      </c>
      <c r="B1047" s="4" t="n">
        <v>900</v>
      </c>
      <c r="C1047" t="inlineStr">
        <is>
          <t>VB</t>
        </is>
      </c>
      <c r="D1047" t="inlineStr">
        <is>
          <t>19057 Schwerin - Lankow</t>
        </is>
      </c>
      <c r="E1047" s="5" t="n">
        <v>45529</v>
      </c>
      <c r="F1047" t="inlineStr">
        <is>
          <t>Sold</t>
        </is>
      </c>
      <c r="G1047" s="6">
        <f>HYPERLINK("https://www.kleinanzeigen.de/s-anzeige/kite-set-rrd-religion-passion-und-bar-set-oder-einzeln-7-9-12/2846332372-230-281", "Link")</f>
        <v/>
      </c>
      <c r="H1047" s="6">
        <f>HYPERLINK("C:\Projects\Kleinanzeigen-Scraper\offer_images\2846332372", "Link")</f>
        <v/>
      </c>
      <c r="I1047" t="inlineStr">
        <is>
          <t>Kim</t>
        </is>
      </c>
      <c r="J1047" s="6">
        <f>HYPERLINK("https://www.kleinanzeigen.de/s-bestandsliste.html?userId=141461145", "Link")</f>
        <v/>
      </c>
      <c r="K1047" s="7" t="n">
        <v>45549.58119212963</v>
      </c>
      <c r="L1047" s="3" t="inlineStr">
        <is>
          <t>424.45</t>
        </is>
      </c>
      <c r="M1047" t="inlineStr">
        <is>
          <t>Köln</t>
        </is>
      </c>
    </row>
    <row r="1048">
      <c r="A1048" t="inlineStr">
        <is>
          <t>Gun Sails Auftriebsweste S schwarz blau</t>
        </is>
      </c>
      <c r="B1048" s="4" t="n">
        <v>45</v>
      </c>
      <c r="C1048" t="inlineStr"/>
      <c r="D1048" t="inlineStr">
        <is>
          <t>86470 Bayern - Thannhausen</t>
        </is>
      </c>
      <c r="E1048" s="5" t="n">
        <v>45542</v>
      </c>
      <c r="F1048" t="inlineStr"/>
      <c r="G1048" s="6">
        <f>HYPERLINK("https://www.kleinanzeigen.de/s-anzeige/gun-sails-auftriebsweste-s-schwarz-blau/2856500925-187-6714", "Link")</f>
        <v/>
      </c>
      <c r="H1048" s="6">
        <f>HYPERLINK("C:\Projects\Kleinanzeigen-Scraper\offer_images\2856500925", "Link")</f>
        <v/>
      </c>
      <c r="I1048" t="inlineStr">
        <is>
          <t>C.H</t>
        </is>
      </c>
      <c r="J1048" s="6">
        <f>HYPERLINK("https://www.kleinanzeigen.de/s-bestandsliste.html?userId=142814125", "Link")</f>
        <v/>
      </c>
      <c r="K1048" s="7" t="n">
        <v>45549.58118055556</v>
      </c>
      <c r="L1048" s="3" t="inlineStr">
        <is>
          <t>83.01</t>
        </is>
      </c>
      <c r="M1048" t="inlineStr">
        <is>
          <t>München</t>
        </is>
      </c>
    </row>
    <row r="1049">
      <c r="A1049" t="inlineStr">
        <is>
          <t>North Reach Kite 2024 7m</t>
        </is>
      </c>
      <c r="B1049" s="4" t="n">
        <v>700</v>
      </c>
      <c r="C1049" t="inlineStr"/>
      <c r="D1049" t="inlineStr">
        <is>
          <t>80638 Neuhausen-Nymphenburg - Nymphenburg</t>
        </is>
      </c>
      <c r="E1049" s="5" t="n">
        <v>45543</v>
      </c>
      <c r="F1049" t="inlineStr">
        <is>
          <t>Sold</t>
        </is>
      </c>
      <c r="G1049" s="6">
        <f>HYPERLINK("https://www.kleinanzeigen.de/s-anzeige/north-reach-kite-2024-7m/2857117957-230-6421", "Link")</f>
        <v/>
      </c>
      <c r="H1049" s="6">
        <f>HYPERLINK("C:\Projects\Kleinanzeigen-Scraper\offer_images\2857117957", "Link")</f>
        <v/>
      </c>
      <c r="I1049" t="inlineStr">
        <is>
          <t>Loui</t>
        </is>
      </c>
      <c r="J1049" s="6">
        <f>HYPERLINK("https://www.kleinanzeigen.de/s-bestandsliste.html?userId=67174608", "Link")</f>
        <v/>
      </c>
      <c r="K1049" s="7" t="n">
        <v>45549.58118055556</v>
      </c>
      <c r="L1049" s="3" t="inlineStr">
        <is>
          <t>5.88</t>
        </is>
      </c>
      <c r="M1049" t="inlineStr">
        <is>
          <t>München</t>
        </is>
      </c>
    </row>
    <row r="1050">
      <c r="A1050" t="inlineStr">
        <is>
          <t>Naish Dash Kite 6/8/10 2018 gebraucht inkl Bar</t>
        </is>
      </c>
      <c r="B1050" s="4" t="n">
        <v>1.049</v>
      </c>
      <c r="C1050" t="inlineStr"/>
      <c r="D1050" t="inlineStr">
        <is>
          <t>22457 Eimsbüttel - Hamburg Schnelsen</t>
        </is>
      </c>
      <c r="E1050" s="5" t="n">
        <v>45539</v>
      </c>
      <c r="F1050" t="inlineStr">
        <is>
          <t>Sold</t>
        </is>
      </c>
      <c r="G1050" s="6">
        <f>HYPERLINK("https://www.kleinanzeigen.de/s-anzeige/naish-dash-kite-6-8-10-2018-gebraucht-inkl-bar/2781525720-230-9492", "Link")</f>
        <v/>
      </c>
      <c r="H1050" s="6">
        <f>HYPERLINK("C:\Projects\Kleinanzeigen-Scraper\offer_images\2781525720", "Link")</f>
        <v/>
      </c>
      <c r="I1050" t="inlineStr">
        <is>
          <t>No user name</t>
        </is>
      </c>
      <c r="J1050" s="6">
        <f>HYPERLINK("https://www.kleinanzeigen.deNo user link", "Link")</f>
        <v/>
      </c>
      <c r="K1050" s="7" t="n">
        <v>45549.58118055556</v>
      </c>
      <c r="L1050" s="3" t="inlineStr">
        <is>
          <t>362.41</t>
        </is>
      </c>
      <c r="M1050" t="inlineStr">
        <is>
          <t>Köln</t>
        </is>
      </c>
    </row>
    <row r="1051">
      <c r="A1051" t="inlineStr">
        <is>
          <t>Duotone Fanatic Aero Free 1000/216 Foil Set</t>
        </is>
      </c>
      <c r="B1051" s="4" t="n">
        <v>419</v>
      </c>
      <c r="C1051" t="inlineStr"/>
      <c r="D1051" t="inlineStr">
        <is>
          <t>85080 Bayern - Gaimersheim</t>
        </is>
      </c>
      <c r="E1051" s="5" t="n">
        <v>45543</v>
      </c>
      <c r="F1051" t="inlineStr">
        <is>
          <t>Sold</t>
        </is>
      </c>
      <c r="G1051" s="6">
        <f>HYPERLINK("https://www.kleinanzeigen.de/s-anzeige/duotone-fanatic-aero-free-1000-216-foil-set/2857039224-230-7607", "Link")</f>
        <v/>
      </c>
      <c r="H1051" s="6">
        <f>HYPERLINK("C:\Projects\Kleinanzeigen-Scraper\offer_images\2857039224", "Link")</f>
        <v/>
      </c>
      <c r="I1051" t="inlineStr">
        <is>
          <t>Florian</t>
        </is>
      </c>
      <c r="J1051" s="6">
        <f>HYPERLINK("https://www.kleinanzeigen.de/s-bestandsliste.html?userId=19610498", "Link")</f>
        <v/>
      </c>
      <c r="K1051" s="7" t="n">
        <v>45549.58116898148</v>
      </c>
      <c r="L1051" s="3" t="inlineStr">
        <is>
          <t>77.03</t>
        </is>
      </c>
      <c r="M1051" t="inlineStr">
        <is>
          <t>München</t>
        </is>
      </c>
    </row>
    <row r="1052">
      <c r="A1052" t="inlineStr">
        <is>
          <t>Fliegenfischerweste - Simms G3 Guide - Gr. M - wie neu</t>
        </is>
      </c>
      <c r="B1052" s="4" t="n">
        <v>260</v>
      </c>
      <c r="C1052" t="inlineStr"/>
      <c r="D1052" t="inlineStr">
        <is>
          <t>86488 Bayern - Breitenthal</t>
        </is>
      </c>
      <c r="E1052" s="5" t="n">
        <v>45548</v>
      </c>
      <c r="F1052" t="inlineStr"/>
      <c r="G1052" s="6">
        <f>HYPERLINK("https://www.kleinanzeigen.de/s-anzeige/fliegenfischerweste-simms-g3-guide-gr-m-wie-neu/2862034513-230-6671", "Link")</f>
        <v/>
      </c>
      <c r="H1052" s="6">
        <f>HYPERLINK("C:\Projects\Kleinanzeigen-Scraper\offer_images\2862034513", "Link")</f>
        <v/>
      </c>
      <c r="I1052" t="inlineStr">
        <is>
          <t>Jürgen</t>
        </is>
      </c>
      <c r="J1052" s="6">
        <f>HYPERLINK("https://www.kleinanzeigen.de/s-bestandsliste.html?userId=15103444", "Link")</f>
        <v/>
      </c>
      <c r="K1052" s="7" t="n">
        <v>45549.58115740741</v>
      </c>
      <c r="L1052" s="3" t="inlineStr">
        <is>
          <t>95.46</t>
        </is>
      </c>
      <c r="M1052" t="inlineStr">
        <is>
          <t>München</t>
        </is>
      </c>
    </row>
    <row r="1053">
      <c r="A1053" t="inlineStr">
        <is>
          <t>North (Duotone) Rebel 5, 8, 12 qm mit Bar</t>
        </is>
      </c>
      <c r="B1053" s="4" t="n">
        <v>849</v>
      </c>
      <c r="C1053" t="inlineStr">
        <is>
          <t>VB</t>
        </is>
      </c>
      <c r="D1053" t="inlineStr">
        <is>
          <t>57462 Nordrhein-Westfalen - Olpe</t>
        </is>
      </c>
      <c r="E1053" s="5" t="n">
        <v>45543</v>
      </c>
      <c r="F1053" t="inlineStr">
        <is>
          <t>Sold</t>
        </is>
      </c>
      <c r="G1053" s="6">
        <f>HYPERLINK("https://www.kleinanzeigen.de/s-anzeige/north-duotone-rebel-5-8-12-qm-mit-bar/2857225341-230-1529", "Link")</f>
        <v/>
      </c>
      <c r="H1053" s="6">
        <f>HYPERLINK("C:\Projects\Kleinanzeigen-Scraper\offer_images\2857225341", "Link")</f>
        <v/>
      </c>
      <c r="I1053" t="inlineStr">
        <is>
          <t>Jan Müller</t>
        </is>
      </c>
      <c r="J1053" s="6">
        <f>HYPERLINK("https://www.kleinanzeigen.de/s-bestandsliste.html?userId=11545555", "Link")</f>
        <v/>
      </c>
      <c r="K1053" s="7" t="n">
        <v>45549.58115740741</v>
      </c>
      <c r="L1053" s="3" t="inlineStr">
        <is>
          <t>66.77</t>
        </is>
      </c>
      <c r="M1053" t="inlineStr">
        <is>
          <t>Köln</t>
        </is>
      </c>
    </row>
    <row r="1054">
      <c r="A1054" t="inlineStr">
        <is>
          <t>The North Face Funktionsjacke/Outdoor Damen beige Gr.S  *top*</t>
        </is>
      </c>
      <c r="B1054" s="4" t="n">
        <v>44</v>
      </c>
      <c r="C1054" t="inlineStr"/>
      <c r="D1054" t="inlineStr">
        <is>
          <t>32052 Nordrhein-Westfalen - Herford</t>
        </is>
      </c>
      <c r="E1054" s="5" t="n">
        <v>45537</v>
      </c>
      <c r="F1054" t="inlineStr">
        <is>
          <t>Sold</t>
        </is>
      </c>
      <c r="G1054" s="6">
        <f>HYPERLINK("https://www.kleinanzeigen.de/s-anzeige/the-north-face-funktionsjacke-outdoor-damen-beige-gr-s-top-/2852689215-230-1836", "Link")</f>
        <v/>
      </c>
      <c r="H1054" s="6">
        <f>HYPERLINK("C:\Projects\Kleinanzeigen-Scraper\offer_images\2852689215", "Link")</f>
        <v/>
      </c>
      <c r="I1054" t="inlineStr">
        <is>
          <t>Katrin</t>
        </is>
      </c>
      <c r="J1054" s="6">
        <f>HYPERLINK("https://www.kleinanzeigen.de/s-bestandsliste.html?userId=87815084", "Link")</f>
        <v/>
      </c>
      <c r="K1054" s="7" t="n">
        <v>45549.58115740741</v>
      </c>
      <c r="L1054" s="3" t="inlineStr">
        <is>
          <t>173.84</t>
        </is>
      </c>
      <c r="M1054" t="inlineStr">
        <is>
          <t>Köln</t>
        </is>
      </c>
    </row>
    <row r="1055">
      <c r="A1055" t="inlineStr">
        <is>
          <t>North Neo 8 NEU jetzt Duotone</t>
        </is>
      </c>
      <c r="B1055" s="4" t="n">
        <v>310</v>
      </c>
      <c r="C1055" t="inlineStr"/>
      <c r="D1055" t="inlineStr">
        <is>
          <t>26197 Niedersachsen - Großenkneten</t>
        </is>
      </c>
      <c r="E1055" s="5" t="n">
        <v>45546</v>
      </c>
      <c r="F1055" t="inlineStr">
        <is>
          <t>Sold</t>
        </is>
      </c>
      <c r="G1055" s="6">
        <f>HYPERLINK("https://www.kleinanzeigen.de/s-anzeige/north-neo-8-neu-jetzt-duotone/2860384389-230-2635", "Link")</f>
        <v/>
      </c>
      <c r="H1055" s="6">
        <f>HYPERLINK("C:\Projects\Kleinanzeigen-Scraper\offer_images\2860384389", "Link")</f>
        <v/>
      </c>
      <c r="I1055" t="inlineStr">
        <is>
          <t>Falk</t>
        </is>
      </c>
      <c r="J1055" s="6">
        <f>HYPERLINK("https://www.kleinanzeigen.de/s-bestandsliste.html?userId=121207122", "Link")</f>
        <v/>
      </c>
      <c r="K1055" s="7" t="n">
        <v>45549.58115740741</v>
      </c>
      <c r="L1055" s="3" t="inlineStr">
        <is>
          <t>240.81</t>
        </is>
      </c>
      <c r="M1055" t="inlineStr">
        <is>
          <t>Köln</t>
        </is>
      </c>
    </row>
    <row r="1056">
      <c r="A1056" t="inlineStr">
        <is>
          <t>Neilpryde RSR Evo original Carbon Tube Latten Cambersegel</t>
        </is>
      </c>
      <c r="B1056" s="4" t="n">
        <v>70</v>
      </c>
      <c r="C1056" t="inlineStr"/>
      <c r="D1056" t="inlineStr">
        <is>
          <t>93128 Bayern - Regenstauf</t>
        </is>
      </c>
      <c r="E1056" s="5" t="n">
        <v>45539</v>
      </c>
      <c r="F1056" t="inlineStr"/>
      <c r="G1056" s="6">
        <f>HYPERLINK("https://www.kleinanzeigen.de/s-anzeige/neilpryde-rsr-evo-original-carbon-tube-latten-cambersegel/2854135254-230-5781", "Link")</f>
        <v/>
      </c>
      <c r="H1056" s="6">
        <f>HYPERLINK("C:\Projects\Kleinanzeigen-Scraper\offer_images\2854135254", "Link")</f>
        <v/>
      </c>
      <c r="I1056" t="inlineStr">
        <is>
          <t>Dan</t>
        </is>
      </c>
      <c r="J1056" s="6">
        <f>HYPERLINK("https://www.kleinanzeigen.de/s-bestandsliste.html?userId=21958890", "Link")</f>
        <v/>
      </c>
      <c r="K1056" s="7" t="n">
        <v>45549.58115740741</v>
      </c>
      <c r="L1056" s="3" t="inlineStr">
        <is>
          <t>120.91</t>
        </is>
      </c>
      <c r="M1056" t="inlineStr">
        <is>
          <t>München</t>
        </is>
      </c>
    </row>
    <row r="1057">
      <c r="A1057" t="inlineStr">
        <is>
          <t>Märklin Z 8693A US-Boxcar Great Northern OVP sehr selten</t>
        </is>
      </c>
      <c r="B1057" s="4" t="n">
        <v>50</v>
      </c>
      <c r="C1057" t="inlineStr">
        <is>
          <t>VB</t>
        </is>
      </c>
      <c r="D1057" t="inlineStr">
        <is>
          <t>65183 Hessen - Wiesbaden</t>
        </is>
      </c>
      <c r="E1057" s="5" t="n">
        <v>45543</v>
      </c>
      <c r="F1057" t="inlineStr">
        <is>
          <t>Sold</t>
        </is>
      </c>
      <c r="G1057" s="6">
        <f>HYPERLINK("https://www.kleinanzeigen.de/s-anzeige/maerklin-z-8693a-us-boxcar-great-northern-ovp-sehr-selten/2857429413-249-4905", "Link")</f>
        <v/>
      </c>
      <c r="H1057" s="6">
        <f>HYPERLINK("C:\Projects\Kleinanzeigen-Scraper\offer_images\2857429413", "Link")</f>
        <v/>
      </c>
      <c r="I1057" t="inlineStr">
        <is>
          <t>Michael Epple</t>
        </is>
      </c>
      <c r="J1057" s="6">
        <f>HYPERLINK("https://www.kleinanzeigen.de/s-bestandsliste.html?userId=14515030", "Link")</f>
        <v/>
      </c>
      <c r="K1057" s="7" t="n">
        <v>45549.58113425926</v>
      </c>
      <c r="L1057" s="3" t="inlineStr">
        <is>
          <t>120.20</t>
        </is>
      </c>
      <c r="M1057" t="inlineStr">
        <is>
          <t>Karlsruhe</t>
        </is>
      </c>
    </row>
    <row r="1058">
      <c r="A1058" t="inlineStr">
        <is>
          <t>OVP Fanatic Power Spezial Doppelhub SUP Handpumpe</t>
        </is>
      </c>
      <c r="B1058" s="4" t="n">
        <v>32</v>
      </c>
      <c r="C1058" t="inlineStr">
        <is>
          <t>VB</t>
        </is>
      </c>
      <c r="D1058" t="inlineStr">
        <is>
          <t>80801 München - Schwabing-West</t>
        </is>
      </c>
      <c r="E1058" s="5" t="n">
        <v>45543</v>
      </c>
      <c r="F1058" t="inlineStr">
        <is>
          <t>Sold</t>
        </is>
      </c>
      <c r="G1058" s="6">
        <f>HYPERLINK("https://www.kleinanzeigen.de/s-anzeige/ovp-fanatic-power-spezial-doppelhub-sup-handpumpe/2857532446-230-16374", "Link")</f>
        <v/>
      </c>
      <c r="H1058" s="6">
        <f>HYPERLINK("C:\Projects\Kleinanzeigen-Scraper\offer_images\2857532446", "Link")</f>
        <v/>
      </c>
      <c r="I1058" t="inlineStr">
        <is>
          <t>Kristian</t>
        </is>
      </c>
      <c r="J1058" s="6">
        <f>HYPERLINK("https://www.kleinanzeigen.de/s-bestandsliste.html?userId=8315958", "Link")</f>
        <v/>
      </c>
      <c r="K1058" s="7" t="n">
        <v>45549.58113425926</v>
      </c>
      <c r="L1058" s="3" t="inlineStr">
        <is>
          <t>2.49</t>
        </is>
      </c>
      <c r="M1058" t="inlineStr">
        <is>
          <t>München</t>
        </is>
      </c>
    </row>
    <row r="1059">
      <c r="A1059" t="inlineStr">
        <is>
          <t>Neuer Neilpryde Neopren Anzug Damen 3/2 Gr.38/M mit Etikett</t>
        </is>
      </c>
      <c r="B1059" s="4" t="n">
        <v>95</v>
      </c>
      <c r="C1059" t="inlineStr">
        <is>
          <t>VB</t>
        </is>
      </c>
      <c r="D1059" t="inlineStr">
        <is>
          <t>81677 München - Bogenhausen</t>
        </is>
      </c>
      <c r="E1059" s="5" t="n">
        <v>45509</v>
      </c>
      <c r="F1059" t="inlineStr">
        <is>
          <t>Sold</t>
        </is>
      </c>
      <c r="G1059" s="6">
        <f>HYPERLINK("https://www.kleinanzeigen.de/s-anzeige/neuer-neilpryde-neopren-anzug-damen-3-2-gr-38-m-mit-etikett/2830011359-230-6456", "Link")</f>
        <v/>
      </c>
      <c r="H1059" s="6">
        <f>HYPERLINK("C:\Projects\Kleinanzeigen-Scraper\offer_images\2830011359", "Link")</f>
        <v/>
      </c>
      <c r="I1059" t="inlineStr">
        <is>
          <t>Dominique</t>
        </is>
      </c>
      <c r="J1059" s="6">
        <f>HYPERLINK("https://www.kleinanzeigen.de/s-bestandsliste.html?userId=44117754", "Link")</f>
        <v/>
      </c>
      <c r="K1059" s="7" t="n">
        <v>45549.58113425926</v>
      </c>
      <c r="L1059" s="3" t="inlineStr">
        <is>
          <t>4.29</t>
        </is>
      </c>
      <c r="M1059" t="inlineStr">
        <is>
          <t>München</t>
        </is>
      </c>
    </row>
    <row r="1060">
      <c r="A1060" t="inlineStr">
        <is>
          <t>K2 Vandal Snowboard 137cm</t>
        </is>
      </c>
      <c r="B1060" s="4" t="n">
        <v>65</v>
      </c>
      <c r="C1060" t="inlineStr"/>
      <c r="D1060" t="inlineStr">
        <is>
          <t>71665 Baden-Württemberg - Vaihingen an der Enz</t>
        </is>
      </c>
      <c r="E1060" s="5" t="n">
        <v>45324</v>
      </c>
      <c r="F1060" t="inlineStr"/>
      <c r="G1060" s="6">
        <f>HYPERLINK("https://www.kleinanzeigen.de/s-anzeige/k2-vandal-snowboard-137cm/2669125871-230-8397", "Link")</f>
        <v/>
      </c>
      <c r="H1060" s="6">
        <f>HYPERLINK("C:\Projects\Kleinanzeigen-Scraper\offer_images\2669125871", "Link")</f>
        <v/>
      </c>
      <c r="I1060" t="inlineStr">
        <is>
          <t>Rieth, Sindy</t>
        </is>
      </c>
      <c r="J1060" s="6">
        <f>HYPERLINK("https://www.kleinanzeigen.de/s-bestandsliste.html?userId=23139003", "Link")</f>
        <v/>
      </c>
      <c r="K1060" s="7" t="n">
        <v>45549.58113425926</v>
      </c>
      <c r="L1060" s="3" t="inlineStr">
        <is>
          <t>29.96</t>
        </is>
      </c>
      <c r="M1060" t="inlineStr">
        <is>
          <t>Böblingen</t>
        </is>
      </c>
    </row>
    <row r="1061">
      <c r="A1061" t="inlineStr">
        <is>
          <t>North Rebel 13qm Leichtwind</t>
        </is>
      </c>
      <c r="B1061" s="4" t="n">
        <v>180</v>
      </c>
      <c r="C1061" t="inlineStr"/>
      <c r="D1061" t="inlineStr">
        <is>
          <t>24960 Schleswig-Holstein - Glücksburg</t>
        </is>
      </c>
      <c r="E1061" s="5" t="n">
        <v>45537</v>
      </c>
      <c r="F1061" t="inlineStr">
        <is>
          <t>Sold</t>
        </is>
      </c>
      <c r="G1061" s="6">
        <f>HYPERLINK("https://www.kleinanzeigen.de/s-anzeige/north-rebel-13qm-leichtwind/2852259998-230-19313", "Link")</f>
        <v/>
      </c>
      <c r="H1061" s="6">
        <f>HYPERLINK("C:\Projects\Kleinanzeigen-Scraper\offer_images\2852259998", "Link")</f>
        <v/>
      </c>
      <c r="I1061" t="inlineStr">
        <is>
          <t>B.K</t>
        </is>
      </c>
      <c r="J1061" s="6">
        <f>HYPERLINK("https://www.kleinanzeigen.de/s-bestandsliste.html?userId=74574837", "Link")</f>
        <v/>
      </c>
      <c r="K1061" s="7" t="n">
        <v>45549.58113425926</v>
      </c>
      <c r="L1061" s="3" t="inlineStr">
        <is>
          <t>467.53</t>
        </is>
      </c>
      <c r="M1061" t="inlineStr">
        <is>
          <t>Köln</t>
        </is>
      </c>
    </row>
    <row r="1062">
      <c r="A1062" t="inlineStr">
        <is>
          <t>DUOTONE 21 NEO 12qm Kite - Top Zustand</t>
        </is>
      </c>
      <c r="B1062" s="4" t="n">
        <v>630</v>
      </c>
      <c r="C1062" t="inlineStr"/>
      <c r="D1062" t="inlineStr">
        <is>
          <t>25746 Dithmarschen - Heide</t>
        </is>
      </c>
      <c r="E1062" s="5" t="n">
        <v>45544</v>
      </c>
      <c r="F1062" t="inlineStr">
        <is>
          <t>Sold</t>
        </is>
      </c>
      <c r="G1062" s="6">
        <f>HYPERLINK("https://www.kleinanzeigen.de/s-anzeige/duotone-21-neo-12qm-kite-top-zustand/2858247998-230-855", "Link")</f>
        <v/>
      </c>
      <c r="H1062" s="6">
        <f>HYPERLINK("C:\Projects\Kleinanzeigen-Scraper\offer_images\2858247998", "Link")</f>
        <v/>
      </c>
      <c r="I1062" t="inlineStr">
        <is>
          <t>Jesse E.</t>
        </is>
      </c>
      <c r="J1062" s="6">
        <f>HYPERLINK("https://www.kleinanzeigen.de/s-bestandsliste.html?userId=42799424", "Link")</f>
        <v/>
      </c>
      <c r="K1062" s="7" t="n">
        <v>45549.58113425926</v>
      </c>
      <c r="L1062" s="3" t="inlineStr">
        <is>
          <t>389.26</t>
        </is>
      </c>
      <c r="M1062" t="inlineStr">
        <is>
          <t>Köln</t>
        </is>
      </c>
    </row>
    <row r="1063">
      <c r="A1063" t="inlineStr">
        <is>
          <t>Fanatic Ray Air Premium 11,6“ Neu</t>
        </is>
      </c>
      <c r="B1063" s="4" t="n">
        <v>480</v>
      </c>
      <c r="C1063" t="inlineStr">
        <is>
          <t>VB</t>
        </is>
      </c>
      <c r="D1063" t="inlineStr">
        <is>
          <t>86859 Bayern - Igling</t>
        </is>
      </c>
      <c r="E1063" s="5" t="n">
        <v>45531</v>
      </c>
      <c r="F1063" t="inlineStr">
        <is>
          <t>Sold</t>
        </is>
      </c>
      <c r="G1063" s="6">
        <f>HYPERLINK("https://www.kleinanzeigen.de/s-anzeige/fanatic-ray-air-premium-11-6-neu/2847389842-230-7087", "Link")</f>
        <v/>
      </c>
      <c r="H1063" s="6">
        <f>HYPERLINK("C:\Projects\Kleinanzeigen-Scraper\offer_images\2847389842", "Link")</f>
        <v/>
      </c>
      <c r="I1063" t="inlineStr">
        <is>
          <t>CH</t>
        </is>
      </c>
      <c r="J1063" s="6">
        <f>HYPERLINK("https://www.kleinanzeigen.de/s-bestandsliste.html?userId=133103983", "Link")</f>
        <v/>
      </c>
      <c r="K1063" s="7" t="n">
        <v>45549.58111111111</v>
      </c>
      <c r="L1063" s="3" t="inlineStr">
        <is>
          <t>57.26</t>
        </is>
      </c>
      <c r="M1063" t="inlineStr">
        <is>
          <t>München</t>
        </is>
      </c>
    </row>
    <row r="1064">
      <c r="A1064" t="inlineStr">
        <is>
          <t>Surfbag ION 85x250 cm NEU !!!Passt genau für Tabou Rocket 125 l.</t>
        </is>
      </c>
      <c r="B1064" s="4" t="n">
        <v>90</v>
      </c>
      <c r="C1064" t="inlineStr"/>
      <c r="D1064" t="inlineStr">
        <is>
          <t>57078 Nordrhein-Westfalen - Siegen</t>
        </is>
      </c>
      <c r="E1064" s="5" t="n">
        <v>45563</v>
      </c>
      <c r="F1064" t="inlineStr"/>
      <c r="G1064" s="6">
        <f>HYPERLINK("https://www.kleinanzeigen.de/s-anzeige/surfbag-ion-85x250-cm-neu-passt-genau-fuer-tabou-rocket-125-l-/2858745853-230-1030", "Link")</f>
        <v/>
      </c>
      <c r="H1064" s="6">
        <f>HYPERLINK("C:\Projects\Kleinanzeigen-Scraper\offer_images\2858745853", "Link")</f>
        <v/>
      </c>
      <c r="I1064" t="inlineStr">
        <is>
          <t>Rudolf</t>
        </is>
      </c>
      <c r="J1064" s="6">
        <f>HYPERLINK("https://www.kleinanzeigen.de/s-bestandsliste.html?userId=16368232", "Link")</f>
        <v/>
      </c>
      <c r="K1064" s="7" t="n">
        <v>45549.58111111111</v>
      </c>
      <c r="L1064" s="3" t="inlineStr">
        <is>
          <t>72.53</t>
        </is>
      </c>
      <c r="M1064" t="inlineStr">
        <is>
          <t>Köln</t>
        </is>
      </c>
    </row>
    <row r="1065">
      <c r="A1065" t="inlineStr">
        <is>
          <t>North (Duotone) Rebel 9 + 12 + Bar</t>
        </is>
      </c>
      <c r="B1065" s="4" t="n">
        <v>500</v>
      </c>
      <c r="C1065" t="inlineStr">
        <is>
          <t>VB</t>
        </is>
      </c>
      <c r="D1065" t="inlineStr">
        <is>
          <t>20146 Eimsbüttel - Hamburg Rotherbaum</t>
        </is>
      </c>
      <c r="E1065" s="5" t="n">
        <v>45537</v>
      </c>
      <c r="F1065" t="inlineStr">
        <is>
          <t>Sold</t>
        </is>
      </c>
      <c r="G1065" s="6">
        <f>HYPERLINK("https://www.kleinanzeigen.de/s-anzeige/north-duotone-rebel-9-12-bar/2852702911-230-9433", "Link")</f>
        <v/>
      </c>
      <c r="H1065" s="6">
        <f>HYPERLINK("C:\Projects\Kleinanzeigen-Scraper\offer_images\2852702911", "Link")</f>
        <v/>
      </c>
      <c r="I1065" t="inlineStr">
        <is>
          <t>Erik</t>
        </is>
      </c>
      <c r="J1065" s="6">
        <f>HYPERLINK("https://www.kleinanzeigen.de/s-bestandsliste.html?userId=39430089", "Link")</f>
        <v/>
      </c>
      <c r="K1065" s="7" t="n">
        <v>45549.58111111111</v>
      </c>
      <c r="L1065" s="3" t="inlineStr">
        <is>
          <t>357.73</t>
        </is>
      </c>
      <c r="M1065" t="inlineStr">
        <is>
          <t>Köln</t>
        </is>
      </c>
    </row>
    <row r="1066">
      <c r="A1066" t="inlineStr">
        <is>
          <t>Kite, Naish X4, 10 qm</t>
        </is>
      </c>
      <c r="B1066" s="4" t="n">
        <v>120</v>
      </c>
      <c r="C1066" t="inlineStr"/>
      <c r="D1066" t="inlineStr">
        <is>
          <t>83435 Bayern - Bad Reichenhall</t>
        </is>
      </c>
      <c r="E1066" s="5" t="n">
        <v>45548</v>
      </c>
      <c r="F1066" t="inlineStr">
        <is>
          <t>Sold</t>
        </is>
      </c>
      <c r="G1066" s="6">
        <f>HYPERLINK("https://www.kleinanzeigen.de/s-anzeige/kite-naish-x4-10-qm/2861839707-230-5881", "Link")</f>
        <v/>
      </c>
      <c r="H1066" s="6">
        <f>HYPERLINK("C:\Projects\Kleinanzeigen-Scraper\offer_images\2861839707", "Link")</f>
        <v/>
      </c>
      <c r="I1066" t="inlineStr">
        <is>
          <t>Klaus Schwendtbauer</t>
        </is>
      </c>
      <c r="J1066" s="6">
        <f>HYPERLINK("https://www.kleinanzeigen.de/s-bestandsliste.html?userId=25325609", "Link")</f>
        <v/>
      </c>
      <c r="K1066" s="7" t="n">
        <v>45549.58109953703</v>
      </c>
      <c r="L1066" s="3" t="inlineStr">
        <is>
          <t>104.89</t>
        </is>
      </c>
      <c r="M1066" t="inlineStr">
        <is>
          <t>München</t>
        </is>
      </c>
    </row>
    <row r="1067">
      <c r="A1067" t="inlineStr">
        <is>
          <t>RRD set kite ,  6,7,9,12,15 - 5 Stück (k. Core north)</t>
        </is>
      </c>
      <c r="B1067" s="4" t="n">
        <v>1.5</v>
      </c>
      <c r="C1067" t="inlineStr"/>
      <c r="D1067" t="inlineStr">
        <is>
          <t>55299 Rheinland-Pfalz - Nackenheim</t>
        </is>
      </c>
      <c r="E1067" s="5" t="n">
        <v>45545</v>
      </c>
      <c r="F1067" t="inlineStr">
        <is>
          <t>Sold</t>
        </is>
      </c>
      <c r="G1067" s="6">
        <f>HYPERLINK("https://www.kleinanzeigen.de/s-anzeige/rrd-set-kite-6-7-9-12-15-5-stueck-k-core-north-/2859664041-230-4443", "Link")</f>
        <v/>
      </c>
      <c r="H1067" s="6">
        <f>HYPERLINK("C:\Projects\Kleinanzeigen-Scraper\offer_images\2859664041", "Link")</f>
        <v/>
      </c>
      <c r="I1067" t="inlineStr">
        <is>
          <t>Michael P</t>
        </is>
      </c>
      <c r="J1067" s="6">
        <f>HYPERLINK("https://www.kleinanzeigen.de/s-bestandsliste.html?userId=7203325", "Link")</f>
        <v/>
      </c>
      <c r="K1067" s="7" t="n">
        <v>45549.58108796296</v>
      </c>
      <c r="L1067" s="3" t="inlineStr">
        <is>
          <t>100.46</t>
        </is>
      </c>
      <c r="M1067" t="inlineStr">
        <is>
          <t>Karlsruhe</t>
        </is>
      </c>
    </row>
    <row r="1068">
      <c r="A1068" t="inlineStr">
        <is>
          <t>JP Australia Double Action SUP Pumpe mit Manometer</t>
        </is>
      </c>
      <c r="B1068" s="4" t="n">
        <v>26</v>
      </c>
      <c r="C1068" t="inlineStr"/>
      <c r="D1068" t="inlineStr">
        <is>
          <t>23611 Kreis Ostholstein - Sereetz</t>
        </is>
      </c>
      <c r="E1068" s="5" t="n">
        <v>45143</v>
      </c>
      <c r="F1068" t="inlineStr"/>
      <c r="G1068" s="6">
        <f>HYPERLINK("https://www.kleinanzeigen.de/s-anzeige/jp-australia-double-action-sup-pumpe-mit-manometer/2512425099-230-21872", "Link")</f>
        <v/>
      </c>
      <c r="H1068" s="6">
        <f>HYPERLINK("C:\Projects\Kleinanzeigen-Scraper\offer_images\2512425099", "Link")</f>
        <v/>
      </c>
      <c r="I1068" t="inlineStr">
        <is>
          <t>Lucy mclane</t>
        </is>
      </c>
      <c r="J1068" s="6">
        <f>HYPERLINK("https://www.kleinanzeigen.de/s-bestandsliste.html?userId=56707576", "Link")</f>
        <v/>
      </c>
      <c r="K1068" s="7" t="n">
        <v>45549.58108796296</v>
      </c>
      <c r="L1068" s="3" t="inlineStr">
        <is>
          <t>417.93</t>
        </is>
      </c>
      <c r="M1068" t="inlineStr">
        <is>
          <t>Köln</t>
        </is>
      </c>
    </row>
    <row r="1069">
      <c r="A1069" t="inlineStr">
        <is>
          <t>Segeltasche Neilpryde</t>
        </is>
      </c>
      <c r="B1069" s="4" t="n">
        <v>50</v>
      </c>
      <c r="C1069" t="inlineStr"/>
      <c r="D1069" t="inlineStr">
        <is>
          <t>04159 Leipzig - Wahren</t>
        </is>
      </c>
      <c r="E1069" s="5" t="n">
        <v>45543</v>
      </c>
      <c r="F1069" t="inlineStr"/>
      <c r="G1069" s="6">
        <f>HYPERLINK("https://www.kleinanzeigen.de/s-anzeige/segeltasche-neilpryde/2857333943-230-30072", "Link")</f>
        <v/>
      </c>
      <c r="H1069" s="6">
        <f>HYPERLINK("C:\Projects\Kleinanzeigen-Scraper\offer_images\2857333943", "Link")</f>
        <v/>
      </c>
      <c r="I1069" t="inlineStr">
        <is>
          <t>Gerald Hutter</t>
        </is>
      </c>
      <c r="J1069" s="6">
        <f>HYPERLINK("https://www.kleinanzeigen.de/s-bestandsliste.html?userId=29882869", "Link")</f>
        <v/>
      </c>
      <c r="K1069" s="7" t="n">
        <v>45549.58108796296</v>
      </c>
      <c r="L1069" s="3" t="inlineStr">
        <is>
          <t>364.41</t>
        </is>
      </c>
      <c r="M1069" t="inlineStr">
        <is>
          <t>München</t>
        </is>
      </c>
    </row>
    <row r="1070">
      <c r="A1070" t="inlineStr">
        <is>
          <t>RRD Bartasche Bar Tasche (bag only) Roberto Ricci Design</t>
        </is>
      </c>
      <c r="B1070" s="4" t="n">
        <v>10</v>
      </c>
      <c r="C1070" t="inlineStr">
        <is>
          <t>VB</t>
        </is>
      </c>
      <c r="D1070" t="inlineStr">
        <is>
          <t>24105 Schleswig-Holstein - Kiel</t>
        </is>
      </c>
      <c r="E1070" s="5" t="n">
        <v>45530</v>
      </c>
      <c r="F1070" t="inlineStr"/>
      <c r="G1070" s="6">
        <f>HYPERLINK("https://www.kleinanzeigen.de/s-anzeige/rrd-bartasche-bar-tasche-bag-only-roberto-ricci-design/2846934079-230-708", "Link")</f>
        <v/>
      </c>
      <c r="H1070" s="6">
        <f>HYPERLINK("C:\Projects\Kleinanzeigen-Scraper\offer_images\2846934079", "Link")</f>
        <v/>
      </c>
      <c r="I1070" t="inlineStr">
        <is>
          <t>Florian</t>
        </is>
      </c>
      <c r="J1070" s="6">
        <f>HYPERLINK("https://www.kleinanzeigen.de/s-bestandsliste.html?userId=42087331", "Link")</f>
        <v/>
      </c>
      <c r="K1070" s="7" t="n">
        <v>45549.58108796296</v>
      </c>
      <c r="L1070" s="3" t="inlineStr">
        <is>
          <t>435.05</t>
        </is>
      </c>
      <c r="M1070" t="inlineStr">
        <is>
          <t>Köln</t>
        </is>
      </c>
    </row>
    <row r="1071">
      <c r="A1071" t="inlineStr">
        <is>
          <t>Bilder 5 verschiedene Motive Brueghel, Goya, Rubens</t>
        </is>
      </c>
      <c r="B1071" s="4" t="n">
        <v>45</v>
      </c>
      <c r="C1071" t="inlineStr">
        <is>
          <t>VB</t>
        </is>
      </c>
      <c r="D1071" t="inlineStr">
        <is>
          <t>78234 Baden-Württemberg - Engen</t>
        </is>
      </c>
      <c r="E1071" s="5" t="n">
        <v>45442</v>
      </c>
      <c r="F1071" t="inlineStr"/>
      <c r="G1071" s="6">
        <f>HYPERLINK("https://www.kleinanzeigen.de/s-anzeige/bilder-5-verschiedene-motive-brueghel-goya-rubens/1603177960-240-9404", "Link")</f>
        <v/>
      </c>
      <c r="H1071" s="6">
        <f>HYPERLINK("C:\Projects\Kleinanzeigen-Scraper\offer_images\1603177960", "Link")</f>
        <v/>
      </c>
      <c r="I1071" t="inlineStr">
        <is>
          <t>Thomas</t>
        </is>
      </c>
      <c r="J1071" s="6">
        <f>HYPERLINK("https://www.kleinanzeigen.de/s-bestandsliste.html?userId=20850028", "Link")</f>
        <v/>
      </c>
      <c r="K1071" s="7" t="n">
        <v>45549.58107638889</v>
      </c>
      <c r="L1071" s="3" t="inlineStr">
        <is>
          <t>32.97</t>
        </is>
      </c>
      <c r="M1071" t="inlineStr">
        <is>
          <t>Bonndorf</t>
        </is>
      </c>
    </row>
    <row r="1072">
      <c r="A1072" t="inlineStr">
        <is>
          <t>Duotone Rebel SLS 14qm 2023</t>
        </is>
      </c>
      <c r="B1072" s="4" t="n">
        <v>1.2</v>
      </c>
      <c r="C1072" t="inlineStr">
        <is>
          <t>VB</t>
        </is>
      </c>
      <c r="D1072" t="inlineStr">
        <is>
          <t>21423 Niedersachsen - Winsen (Luhe)</t>
        </is>
      </c>
      <c r="E1072" s="5" t="n">
        <v>45548</v>
      </c>
      <c r="F1072" t="inlineStr">
        <is>
          <t>Sold</t>
        </is>
      </c>
      <c r="G1072" s="6">
        <f>HYPERLINK("https://www.kleinanzeigen.de/s-anzeige/duotone-rebel-sls-14qm-2023/2763172822-230-3223", "Link")</f>
        <v/>
      </c>
      <c r="H1072" s="6">
        <f>HYPERLINK("C:\Projects\Kleinanzeigen-Scraper\offer_images\2763172822", "Link")</f>
        <v/>
      </c>
      <c r="I1072" t="inlineStr">
        <is>
          <t>No user name</t>
        </is>
      </c>
      <c r="J1072" s="6">
        <f>HYPERLINK("https://www.kleinanzeigen.deNo user link", "Link")</f>
        <v/>
      </c>
      <c r="K1072" s="7" t="n">
        <v>45549.58107638889</v>
      </c>
      <c r="L1072" s="3" t="inlineStr">
        <is>
          <t>349.14</t>
        </is>
      </c>
      <c r="M1072" t="inlineStr">
        <is>
          <t>Köln</t>
        </is>
      </c>
    </row>
    <row r="1073">
      <c r="A1073" t="inlineStr">
        <is>
          <t>RRD PASSION MKVI 5QM Kite</t>
        </is>
      </c>
      <c r="B1073" s="4" t="n">
        <v>180</v>
      </c>
      <c r="C1073" t="inlineStr"/>
      <c r="D1073" t="inlineStr">
        <is>
          <t>68199 Baden-Württemberg - Mannheim</t>
        </is>
      </c>
      <c r="E1073" s="5" t="n">
        <v>45354</v>
      </c>
      <c r="F1073" t="inlineStr">
        <is>
          <t>Sold</t>
        </is>
      </c>
      <c r="G1073" s="6">
        <f>HYPERLINK("https://www.kleinanzeigen.de/s-anzeige/rrd-passion-mkvi-5qm-kite/2696264065-230-7986", "Link")</f>
        <v/>
      </c>
      <c r="H1073" s="6">
        <f>HYPERLINK("C:\Projects\Kleinanzeigen-Scraper\offer_images\2696264065", "Link")</f>
        <v/>
      </c>
      <c r="I1073" t="inlineStr">
        <is>
          <t>Nick</t>
        </is>
      </c>
      <c r="J1073" s="6">
        <f>HYPERLINK("https://www.kleinanzeigen.de/s-bestandsliste.html?userId=16046840", "Link")</f>
        <v/>
      </c>
      <c r="K1073" s="7" t="n">
        <v>45549.58107638889</v>
      </c>
      <c r="L1073" s="3" t="inlineStr">
        <is>
          <t>50.45</t>
        </is>
      </c>
      <c r="M1073" t="inlineStr">
        <is>
          <t>Karlsruhe</t>
        </is>
      </c>
    </row>
    <row r="1074">
      <c r="A1074" t="inlineStr">
        <is>
          <t>Sub Paddel RRD</t>
        </is>
      </c>
      <c r="B1074" s="4" t="n">
        <v>59</v>
      </c>
      <c r="C1074" t="inlineStr">
        <is>
          <t>VB</t>
        </is>
      </c>
      <c r="D1074" t="inlineStr">
        <is>
          <t>82319 Bayern - Starnberg</t>
        </is>
      </c>
      <c r="E1074" s="5" t="n">
        <v>45492</v>
      </c>
      <c r="F1074" t="inlineStr">
        <is>
          <t>Sold</t>
        </is>
      </c>
      <c r="G1074" s="6">
        <f>HYPERLINK("https://www.kleinanzeigen.de/s-anzeige/sub-paddel-rrd/2815774541-230-5525", "Link")</f>
        <v/>
      </c>
      <c r="H1074" s="6">
        <f>HYPERLINK("C:\Projects\Kleinanzeigen-Scraper\offer_images\2815774541", "Link")</f>
        <v/>
      </c>
      <c r="I1074" t="inlineStr">
        <is>
          <t>Nutzer1212</t>
        </is>
      </c>
      <c r="J1074" s="6">
        <f>HYPERLINK("https://www.kleinanzeigen.de/s-bestandsliste.html?userId=40118078", "Link")</f>
        <v/>
      </c>
      <c r="K1074" s="7" t="n">
        <v>45549.58106481482</v>
      </c>
      <c r="L1074" s="3" t="inlineStr">
        <is>
          <t>23.17</t>
        </is>
      </c>
      <c r="M1074" t="inlineStr">
        <is>
          <t>München</t>
        </is>
      </c>
    </row>
    <row r="1075">
      <c r="A1075" t="inlineStr">
        <is>
          <t>Naish Pivot SE 2021 8m</t>
        </is>
      </c>
      <c r="B1075" s="4" t="n">
        <v>399</v>
      </c>
      <c r="C1075" t="inlineStr">
        <is>
          <t>VB</t>
        </is>
      </c>
      <c r="D1075" t="inlineStr">
        <is>
          <t>72459 Baden-Württemberg - Albstadt</t>
        </is>
      </c>
      <c r="E1075" s="5" t="n">
        <v>45499</v>
      </c>
      <c r="F1075" t="inlineStr">
        <is>
          <t>Sold</t>
        </is>
      </c>
      <c r="G1075" s="6">
        <f>HYPERLINK("https://www.kleinanzeigen.de/s-anzeige/naish-pivot-se-2021-8m/2821432410-230-8650", "Link")</f>
        <v/>
      </c>
      <c r="H1075" s="6">
        <f>HYPERLINK("C:\Projects\Kleinanzeigen-Scraper\offer_images\2821432410", "Link")</f>
        <v/>
      </c>
      <c r="I1075" t="inlineStr">
        <is>
          <t>Ralf</t>
        </is>
      </c>
      <c r="J1075" s="6">
        <f>HYPERLINK("https://www.kleinanzeigen.de/s-bestandsliste.html?userId=29222017", "Link")</f>
        <v/>
      </c>
      <c r="K1075" s="7" t="n">
        <v>45549.58105324074</v>
      </c>
      <c r="L1075" s="3" t="inlineStr">
        <is>
          <t>50.69</t>
        </is>
      </c>
      <c r="M1075" t="inlineStr">
        <is>
          <t>Böblingen</t>
        </is>
      </c>
    </row>
    <row r="1076">
      <c r="A1076" t="inlineStr">
        <is>
          <t>Duotone Neo 7m SLS 2021 - Freeride Wave Kite (anfängertauglich)</t>
        </is>
      </c>
      <c r="B1076" s="4" t="n">
        <v>549</v>
      </c>
      <c r="C1076" t="inlineStr"/>
      <c r="D1076" t="inlineStr">
        <is>
          <t>18059 Rostock - Südstadt</t>
        </is>
      </c>
      <c r="E1076" s="5" t="n">
        <v>45544</v>
      </c>
      <c r="F1076" t="inlineStr">
        <is>
          <t>Sold</t>
        </is>
      </c>
      <c r="G1076" s="6">
        <f>HYPERLINK("https://www.kleinanzeigen.de/s-anzeige/duotone-neo-7m-sls-2021-freeride-wave-kite-anfaengertauglich-/2858266653-230-13049", "Link")</f>
        <v/>
      </c>
      <c r="H1076" s="6">
        <f>HYPERLINK("C:\Projects\Kleinanzeigen-Scraper\offer_images\2858266653", "Link")</f>
        <v/>
      </c>
      <c r="I1076" t="inlineStr">
        <is>
          <t>Stefan Laabs</t>
        </is>
      </c>
      <c r="J1076" s="6">
        <f>HYPERLINK("https://www.kleinanzeigen.de/s-bestandsliste.html?userId=2221381", "Link")</f>
        <v/>
      </c>
      <c r="K1076" s="7" t="n">
        <v>45549.58104166666</v>
      </c>
      <c r="L1076" s="3" t="inlineStr">
        <is>
          <t>489.44</t>
        </is>
      </c>
      <c r="M1076" t="inlineStr">
        <is>
          <t>Köln</t>
        </is>
      </c>
    </row>
    <row r="1077">
      <c r="A1077" t="inlineStr">
        <is>
          <t>Outwell Camping Stuhl Goya Chair</t>
        </is>
      </c>
      <c r="B1077" s="4" t="n">
        <v>35</v>
      </c>
      <c r="C1077" t="inlineStr"/>
      <c r="D1077" t="inlineStr">
        <is>
          <t>21244 Niedersachsen - Buchholz in der Nordheide</t>
        </is>
      </c>
      <c r="E1077" s="5" t="n">
        <v>45502</v>
      </c>
      <c r="F1077" t="inlineStr"/>
      <c r="G1077" s="6">
        <f>HYPERLINK("https://www.kleinanzeigen.de/s-anzeige/outwell-camping-stuhl-goya-chair/2824266600-230-14101", "Link")</f>
        <v/>
      </c>
      <c r="H1077" s="6">
        <f>HYPERLINK("C:\Projects\Kleinanzeigen-Scraper\offer_images\2824266600", "Link")</f>
        <v/>
      </c>
      <c r="I1077" t="inlineStr">
        <is>
          <t>MK</t>
        </is>
      </c>
      <c r="J1077" s="6">
        <f>HYPERLINK("https://www.kleinanzeigen.de/s-bestandsliste.html?userId=5633614", "Link")</f>
        <v/>
      </c>
      <c r="K1077" s="7" t="n">
        <v>45549.58104166666</v>
      </c>
      <c r="L1077" s="3" t="inlineStr">
        <is>
          <t>330.99</t>
        </is>
      </c>
      <c r="M1077" t="inlineStr">
        <is>
          <t>Köln</t>
        </is>
      </c>
    </row>
    <row r="1078">
      <c r="A1078" t="inlineStr">
        <is>
          <t>Buff Bushcraft North</t>
        </is>
      </c>
      <c r="B1078" s="4" t="n">
        <v>15</v>
      </c>
      <c r="C1078" t="inlineStr"/>
      <c r="D1078" t="inlineStr">
        <is>
          <t>16909 Heiligengrabe - Blumenthal</t>
        </is>
      </c>
      <c r="E1078" s="5" t="n">
        <v>45567</v>
      </c>
      <c r="F1078" t="inlineStr"/>
      <c r="G1078" s="6">
        <f>HYPERLINK("https://www.kleinanzeigen.de/s-anzeige/buff-bushcraft-north/2645674020-230-24458", "Link")</f>
        <v/>
      </c>
      <c r="H1078" s="6">
        <f>HYPERLINK("C:\Projects\Kleinanzeigen-Scraper\offer_images\2645674020", "Link")</f>
        <v/>
      </c>
      <c r="I1078" t="inlineStr">
        <is>
          <t>No user name</t>
        </is>
      </c>
      <c r="J1078" s="6">
        <f>HYPERLINK("https://www.kleinanzeigen.deNo user link", "Link")</f>
        <v/>
      </c>
      <c r="K1078" s="7" t="n">
        <v>45549.5810300926</v>
      </c>
      <c r="L1078" s="3" t="inlineStr">
        <is>
          <t>451.08</t>
        </is>
      </c>
      <c r="M1078" t="inlineStr">
        <is>
          <t>Köln</t>
        </is>
      </c>
    </row>
    <row r="1079">
      <c r="A1079" t="inlineStr">
        <is>
          <t>Naish Pivot 8 qm 2021 Kite</t>
        </is>
      </c>
      <c r="B1079" s="4" t="n">
        <v>333</v>
      </c>
      <c r="C1079" t="inlineStr"/>
      <c r="D1079" t="inlineStr">
        <is>
          <t>51399 Nordrhein-Westfalen - Burscheid</t>
        </is>
      </c>
      <c r="E1079" s="5" t="n">
        <v>45544</v>
      </c>
      <c r="F1079" t="inlineStr">
        <is>
          <t>Sold</t>
        </is>
      </c>
      <c r="G1079" s="6">
        <f>HYPERLINK("https://www.kleinanzeigen.de/s-anzeige/naish-pivot-8-qm-2021-kite/2858264004-230-1512", "Link")</f>
        <v/>
      </c>
      <c r="H1079" s="6">
        <f>HYPERLINK("C:\Projects\Kleinanzeigen-Scraper\offer_images\2858264004", "Link")</f>
        <v/>
      </c>
      <c r="I1079" t="inlineStr">
        <is>
          <t>Rudolf</t>
        </is>
      </c>
      <c r="J1079" s="6">
        <f>HYPERLINK("https://www.kleinanzeigen.de/s-bestandsliste.html?userId=5804101", "Link")</f>
        <v/>
      </c>
      <c r="K1079" s="7" t="n">
        <v>45549.5810300926</v>
      </c>
      <c r="L1079" s="3" t="inlineStr">
        <is>
          <t>19.54</t>
        </is>
      </c>
      <c r="M1079" t="inlineStr">
        <is>
          <t>Köln</t>
        </is>
      </c>
    </row>
    <row r="1080">
      <c r="A1080" t="inlineStr">
        <is>
          <t>Windsurf Modell JP Australia Board + Neilpryde Segel</t>
        </is>
      </c>
      <c r="B1080" s="4" t="n">
        <v>45</v>
      </c>
      <c r="C1080" t="inlineStr">
        <is>
          <t>VB</t>
        </is>
      </c>
      <c r="D1080" t="inlineStr">
        <is>
          <t>24631 Schleswig-Holstein - Langwedel</t>
        </is>
      </c>
      <c r="E1080" s="5" t="n">
        <v>45499</v>
      </c>
      <c r="F1080" t="inlineStr"/>
      <c r="G1080" s="6">
        <f>HYPERLINK("https://www.kleinanzeigen.de/s-anzeige/windsurf-modell-jp-australia-board-neilpryde-segel/2821302564-230-652", "Link")</f>
        <v/>
      </c>
      <c r="H1080" s="6">
        <f>HYPERLINK("C:\Projects\Kleinanzeigen-Scraper\offer_images\2821302564", "Link")</f>
        <v/>
      </c>
      <c r="I1080" t="inlineStr">
        <is>
          <t>Family</t>
        </is>
      </c>
      <c r="J1080" s="6">
        <f>HYPERLINK("https://www.kleinanzeigen.de/s-bestandsliste.html?userId=7531559", "Link")</f>
        <v/>
      </c>
      <c r="K1080" s="7" t="n">
        <v>45549.5810300926</v>
      </c>
      <c r="L1080" s="3" t="inlineStr">
        <is>
          <t>415.72</t>
        </is>
      </c>
      <c r="M1080" t="inlineStr">
        <is>
          <t>Köln</t>
        </is>
      </c>
    </row>
    <row r="1081">
      <c r="A1081" t="inlineStr">
        <is>
          <t>Standort momentan Fehmarn! Naish Boxer 12qm Kite Foil Leichtwind</t>
        </is>
      </c>
      <c r="B1081" s="4" t="n">
        <v>450</v>
      </c>
      <c r="C1081" t="inlineStr">
        <is>
          <t>VB</t>
        </is>
      </c>
      <c r="D1081" t="inlineStr">
        <is>
          <t>89073 Baden-Württemberg - Ulm</t>
        </is>
      </c>
      <c r="E1081" s="5" t="n">
        <v>45523</v>
      </c>
      <c r="F1081" t="inlineStr">
        <is>
          <t>Sold</t>
        </is>
      </c>
      <c r="G1081" s="6">
        <f>HYPERLINK("https://www.kleinanzeigen.de/s-anzeige/standort-momentan-fehmarn-naish-boxer-12qm-kite-foil-leichtwind/2840897165-230-9342", "Link")</f>
        <v/>
      </c>
      <c r="H1081" s="6">
        <f>HYPERLINK("C:\Projects\Kleinanzeigen-Scraper\offer_images\2840897165", "Link")</f>
        <v/>
      </c>
      <c r="I1081" t="inlineStr">
        <is>
          <t>Rainer Bächle</t>
        </is>
      </c>
      <c r="J1081" s="6">
        <f>HYPERLINK("https://www.kleinanzeigen.de/s-bestandsliste.html?userId=12810476", "Link")</f>
        <v/>
      </c>
      <c r="K1081" s="7" t="n">
        <v>45549.5810300926</v>
      </c>
      <c r="L1081" s="3" t="inlineStr">
        <is>
          <t>81.07</t>
        </is>
      </c>
      <c r="M1081" t="inlineStr">
        <is>
          <t>Böblingen</t>
        </is>
      </c>
    </row>
    <row r="1082">
      <c r="A1082" t="inlineStr">
        <is>
          <t>Kitesurf Ausrüstung Core Kite XR 6 und Naish Kiteboard</t>
        </is>
      </c>
      <c r="B1082" s="4" t="n">
        <v>1.25</v>
      </c>
      <c r="C1082" t="inlineStr"/>
      <c r="D1082" t="inlineStr">
        <is>
          <t>31535 Niedersachsen - Neustadt am Rübenberge</t>
        </is>
      </c>
      <c r="E1082" s="5" t="n">
        <v>45520</v>
      </c>
      <c r="F1082" t="inlineStr">
        <is>
          <t>Sold</t>
        </is>
      </c>
      <c r="G1082" s="6">
        <f>HYPERLINK("https://www.kleinanzeigen.de/s-anzeige/kitesurf-ausruestung-core-kite-xr-6-und-naish-kiteboard/2838562911-230-2912", "Link")</f>
        <v/>
      </c>
      <c r="H1082" s="6">
        <f>HYPERLINK("C:\Projects\Kleinanzeigen-Scraper\offer_images\2838562911", "Link")</f>
        <v/>
      </c>
      <c r="I1082" t="inlineStr">
        <is>
          <t>Schmidt</t>
        </is>
      </c>
      <c r="J1082" s="6">
        <f>HYPERLINK("https://www.kleinanzeigen.de/s-bestandsliste.html?userId=19216551", "Link")</f>
        <v/>
      </c>
      <c r="K1082" s="7" t="n">
        <v>45549.5810300926</v>
      </c>
      <c r="L1082" s="3" t="inlineStr">
        <is>
          <t>248.74</t>
        </is>
      </c>
      <c r="M1082" t="inlineStr">
        <is>
          <t>Köln</t>
        </is>
      </c>
    </row>
    <row r="1083">
      <c r="A1083" t="inlineStr">
        <is>
          <t>Neopren Schuhe Neilpryde 41</t>
        </is>
      </c>
      <c r="B1083" s="4" t="n">
        <v>10</v>
      </c>
      <c r="C1083" t="inlineStr"/>
      <c r="D1083" t="inlineStr">
        <is>
          <t>65795 Hessen - Hattersheim am Main</t>
        </is>
      </c>
      <c r="E1083" s="5" t="n">
        <v>45479</v>
      </c>
      <c r="F1083" t="inlineStr">
        <is>
          <t>Sold</t>
        </is>
      </c>
      <c r="G1083" s="6">
        <f>HYPERLINK("https://www.kleinanzeigen.de/s-anzeige/neopren-schuhe-neilpryde-41/2805332424-230-4519", "Link")</f>
        <v/>
      </c>
      <c r="H1083" s="6">
        <f>HYPERLINK("C:\Projects\Kleinanzeigen-Scraper\offer_images\2805332424", "Link")</f>
        <v/>
      </c>
      <c r="I1083" t="inlineStr">
        <is>
          <t>Sabrina</t>
        </is>
      </c>
      <c r="J1083" s="6">
        <f>HYPERLINK("https://www.kleinanzeigen.de/s-bestandsliste.html?userId=1843709", "Link")</f>
        <v/>
      </c>
      <c r="K1083" s="7" t="n">
        <v>45549.58100694444</v>
      </c>
      <c r="L1083" s="3" t="inlineStr">
        <is>
          <t>116.59</t>
        </is>
      </c>
      <c r="M1083" t="inlineStr">
        <is>
          <t>Karlsruhe</t>
        </is>
      </c>
    </row>
    <row r="1084">
      <c r="A1084" t="inlineStr">
        <is>
          <t>Werftmodell Northern Devotion 150cm Reedermodell Containerschiff</t>
        </is>
      </c>
      <c r="B1084" s="4" t="n">
        <v>3.4</v>
      </c>
      <c r="C1084" t="inlineStr"/>
      <c r="D1084" t="inlineStr">
        <is>
          <t>20249 Hamburg-Nord - Hamburg Eppendorf</t>
        </is>
      </c>
      <c r="E1084" s="5" t="n">
        <v>45544</v>
      </c>
      <c r="F1084" t="inlineStr">
        <is>
          <t>Sold</t>
        </is>
      </c>
      <c r="G1084" s="6">
        <f>HYPERLINK("https://www.kleinanzeigen.de/s-anzeige/werftmodell-northern-devotion-150cm-reedermodell-containerschiff/2858352477-234-9476", "Link")</f>
        <v/>
      </c>
      <c r="H1084" s="6">
        <f>HYPERLINK("C:\Projects\Kleinanzeigen-Scraper\offer_images\2858352477", "Link")</f>
        <v/>
      </c>
      <c r="I1084" t="inlineStr">
        <is>
          <t>No user name</t>
        </is>
      </c>
      <c r="J1084" s="6">
        <f>HYPERLINK("https://www.kleinanzeigen.deNo user link", "Link")</f>
        <v/>
      </c>
      <c r="K1084" s="7" t="n">
        <v>45549.58100694444</v>
      </c>
      <c r="L1084" s="3" t="inlineStr">
        <is>
          <t>359.93</t>
        </is>
      </c>
      <c r="M1084" t="inlineStr">
        <is>
          <t>Köln</t>
        </is>
      </c>
    </row>
    <row r="1085">
      <c r="A1085" t="inlineStr">
        <is>
          <t>Simms Taschen</t>
        </is>
      </c>
      <c r="B1085" s="4" t="n">
        <v>175</v>
      </c>
      <c r="C1085" t="inlineStr">
        <is>
          <t>VB</t>
        </is>
      </c>
      <c r="D1085" t="inlineStr">
        <is>
          <t>83134 Bayern - Prutting</t>
        </is>
      </c>
      <c r="E1085" s="5" t="n">
        <v>45529</v>
      </c>
      <c r="F1085" t="inlineStr"/>
      <c r="G1085" s="6">
        <f>HYPERLINK("https://www.kleinanzeigen.de/s-anzeige/simms-taschen/2846146854-230-7569", "Link")</f>
        <v/>
      </c>
      <c r="H1085" s="6">
        <f>HYPERLINK("C:\Projects\Kleinanzeigen-Scraper\offer_images\2846146854", "Link")</f>
        <v/>
      </c>
      <c r="I1085" t="inlineStr">
        <is>
          <t>David</t>
        </is>
      </c>
      <c r="J1085" s="6">
        <f>HYPERLINK("https://www.kleinanzeigen.de/s-bestandsliste.html?userId=50462064", "Link")</f>
        <v/>
      </c>
      <c r="K1085" s="7" t="n">
        <v>45549.58100694444</v>
      </c>
      <c r="L1085" s="3" t="inlineStr">
        <is>
          <t>53.62</t>
        </is>
      </c>
      <c r="M1085" t="inlineStr">
        <is>
          <t>München</t>
        </is>
      </c>
    </row>
    <row r="1086">
      <c r="A1086" t="inlineStr">
        <is>
          <t>Naish Ride</t>
        </is>
      </c>
      <c r="B1086" s="4" t="n">
        <v>150</v>
      </c>
      <c r="C1086" t="inlineStr"/>
      <c r="D1086" t="inlineStr">
        <is>
          <t>24955 Schleswig-Holstein - Harrislee</t>
        </is>
      </c>
      <c r="E1086" s="5" t="n">
        <v>45510</v>
      </c>
      <c r="F1086" t="inlineStr"/>
      <c r="G1086" s="6">
        <f>HYPERLINK("https://www.kleinanzeigen.de/s-anzeige/naish-ride/2830482481-230-734", "Link")</f>
        <v/>
      </c>
      <c r="H1086" s="6">
        <f>HYPERLINK("C:\Projects\Kleinanzeigen-Scraper\offer_images\2830482481", "Link")</f>
        <v/>
      </c>
      <c r="I1086" t="inlineStr">
        <is>
          <t>David</t>
        </is>
      </c>
      <c r="J1086" s="6">
        <f>HYPERLINK("https://www.kleinanzeigen.de/s-bestandsliste.html?userId=31170145", "Link")</f>
        <v/>
      </c>
      <c r="K1086" s="7" t="n">
        <v>45549.58099537037</v>
      </c>
      <c r="L1086" s="3" t="inlineStr">
        <is>
          <t>459.37</t>
        </is>
      </c>
      <c r="M1086" t="inlineStr">
        <is>
          <t>Köln</t>
        </is>
      </c>
    </row>
    <row r="1087">
      <c r="A1087" t="inlineStr">
        <is>
          <t>Naish Park 7qm kite only</t>
        </is>
      </c>
      <c r="B1087" s="4" t="n">
        <v>165</v>
      </c>
      <c r="C1087" t="inlineStr">
        <is>
          <t>VB</t>
        </is>
      </c>
      <c r="D1087" t="inlineStr">
        <is>
          <t>91336 Bayern - Heroldsbach</t>
        </is>
      </c>
      <c r="E1087" s="5" t="n">
        <v>45530</v>
      </c>
      <c r="F1087" t="inlineStr">
        <is>
          <t>Sold</t>
        </is>
      </c>
      <c r="G1087" s="6">
        <f>HYPERLINK("https://www.kleinanzeigen.de/s-anzeige/naish-park-7qm-kite-only/2847153366-230-6279", "Link")</f>
        <v/>
      </c>
      <c r="H1087" s="6">
        <f>HYPERLINK("C:\Projects\Kleinanzeigen-Scraper\offer_images\2847153366", "Link")</f>
        <v/>
      </c>
      <c r="I1087" t="inlineStr">
        <is>
          <t>Florian Reinhold</t>
        </is>
      </c>
      <c r="J1087" s="6">
        <f>HYPERLINK("https://www.kleinanzeigen.de/s-bestandsliste.html?userId=12524453", "Link")</f>
        <v/>
      </c>
      <c r="K1087" s="7" t="n">
        <v>45549.5809837963</v>
      </c>
      <c r="L1087" s="3" t="inlineStr">
        <is>
          <t>177.78</t>
        </is>
      </c>
      <c r="M1087" t="inlineStr">
        <is>
          <t>München</t>
        </is>
      </c>
    </row>
    <row r="1088">
      <c r="A1088" t="inlineStr">
        <is>
          <t>28 x Stabilo Point 88  / 7 x Stabilo Pen 68 neuw</t>
        </is>
      </c>
      <c r="B1088" s="4" t="n">
        <v>20</v>
      </c>
      <c r="C1088" t="inlineStr"/>
      <c r="D1088" t="inlineStr">
        <is>
          <t>36199 Hessen - Rotenburg</t>
        </is>
      </c>
      <c r="E1088" s="5" t="n">
        <v>45399</v>
      </c>
      <c r="F1088" t="inlineStr"/>
      <c r="G1088" s="6">
        <f>HYPERLINK("https://www.kleinanzeigen.de/s-anzeige/28-x-stabilo-point-88-7-x-stabilo-pen-68-neuw/2737838719-242-4643", "Link")</f>
        <v/>
      </c>
      <c r="H1088" s="6">
        <f>HYPERLINK("C:\Projects\Kleinanzeigen-Scraper\offer_images\2737838719", "Link")</f>
        <v/>
      </c>
      <c r="I1088" t="inlineStr">
        <is>
          <t>Familie Mi.</t>
        </is>
      </c>
      <c r="J1088" s="6">
        <f>HYPERLINK("https://www.kleinanzeigen.de/s-bestandsliste.html?userId=8522704", "Link")</f>
        <v/>
      </c>
      <c r="K1088" s="7" t="n">
        <v>45549.5809837963</v>
      </c>
      <c r="L1088" s="3" t="inlineStr">
        <is>
          <t>195.16</t>
        </is>
      </c>
      <c r="M1088" t="inlineStr">
        <is>
          <t>Köln</t>
        </is>
      </c>
    </row>
    <row r="1089">
      <c r="A1089" t="inlineStr">
        <is>
          <t>Simms Neoprene-Wathose Größe ML, neu &amp; unbenutzt</t>
        </is>
      </c>
      <c r="B1089" s="4" t="n">
        <v>229</v>
      </c>
      <c r="C1089" t="inlineStr"/>
      <c r="D1089" t="inlineStr">
        <is>
          <t>14478 Brandenburg - Potsdam</t>
        </is>
      </c>
      <c r="E1089" s="5" t="n">
        <v>45434</v>
      </c>
      <c r="F1089" t="inlineStr">
        <is>
          <t>Sold</t>
        </is>
      </c>
      <c r="G1089" s="6">
        <f>HYPERLINK("https://www.kleinanzeigen.de/s-anzeige/simms-neoprene-wathose-groesse-ml-neu-unbenutzt/2768461017-230-7967", "Link")</f>
        <v/>
      </c>
      <c r="H1089" s="6">
        <f>HYPERLINK("C:\Projects\Kleinanzeigen-Scraper\offer_images\2768461017", "Link")</f>
        <v/>
      </c>
      <c r="I1089" t="inlineStr">
        <is>
          <t>Erbring</t>
        </is>
      </c>
      <c r="J1089" s="6">
        <f>HYPERLINK("https://www.kleinanzeigen.de/s-bestandsliste.html?userId=17161560", "Link")</f>
        <v/>
      </c>
      <c r="K1089" s="7" t="n">
        <v>45549.5809837963</v>
      </c>
      <c r="L1089" s="3" t="inlineStr">
        <is>
          <t>452.15</t>
        </is>
      </c>
      <c r="M1089" t="inlineStr">
        <is>
          <t>Köln</t>
        </is>
      </c>
    </row>
    <row r="1090">
      <c r="A1090" t="inlineStr">
        <is>
          <t>North (Duotone) Vegas Kite 6 m² (2015) inkl. Bag</t>
        </is>
      </c>
      <c r="B1090" s="4" t="n">
        <v>320</v>
      </c>
      <c r="C1090" t="inlineStr"/>
      <c r="D1090" t="inlineStr">
        <is>
          <t>70176 Stuttgart - Stuttgart-West</t>
        </is>
      </c>
      <c r="E1090" s="5" t="n">
        <v>45541</v>
      </c>
      <c r="F1090" t="inlineStr">
        <is>
          <t>Sold</t>
        </is>
      </c>
      <c r="G1090" s="6">
        <f>HYPERLINK("https://www.kleinanzeigen.de/s-anzeige/north-duotone-vegas-kite-6-m-2015-inkl-bag/2855530265-230-9284", "Link")</f>
        <v/>
      </c>
      <c r="H1090" s="6">
        <f>HYPERLINK("C:\Projects\Kleinanzeigen-Scraper\offer_images\2855530265", "Link")</f>
        <v/>
      </c>
      <c r="I1090" t="inlineStr">
        <is>
          <t>Marcel Eberbach</t>
        </is>
      </c>
      <c r="J1090" s="6">
        <f>HYPERLINK("https://www.kleinanzeigen.de/s-bestandsliste.html?userId=22418306", "Link")</f>
        <v/>
      </c>
      <c r="K1090" s="7" t="n">
        <v>45549.58097222223</v>
      </c>
      <c r="L1090" s="3" t="inlineStr">
        <is>
          <t>17.55</t>
        </is>
      </c>
      <c r="M1090" t="inlineStr">
        <is>
          <t>Böblingen</t>
        </is>
      </c>
    </row>
    <row r="1091">
      <c r="A1091" t="inlineStr">
        <is>
          <t>2 Antike Geldscheine von 1918 Kreis Simmern 50 Pfennig</t>
        </is>
      </c>
      <c r="B1091" s="4" t="n">
        <v>4</v>
      </c>
      <c r="C1091" t="inlineStr">
        <is>
          <t>VB</t>
        </is>
      </c>
      <c r="D1091" t="inlineStr">
        <is>
          <t>63486 Hessen - Bruchköbel</t>
        </is>
      </c>
      <c r="E1091" s="5" t="n">
        <v>45383</v>
      </c>
      <c r="F1091" t="inlineStr"/>
      <c r="G1091" s="6">
        <f>HYPERLINK("https://www.kleinanzeigen.de/s-anzeige/2-antike-geldscheine-von-1918-kreis-simmern-50-pfennig/2722452106-234-4555", "Link")</f>
        <v/>
      </c>
      <c r="H1091" s="6">
        <f>HYPERLINK("C:\Projects\Kleinanzeigen-Scraper\offer_images\2722452106", "Link")</f>
        <v/>
      </c>
      <c r="I1091" t="inlineStr">
        <is>
          <t>Gabi</t>
        </is>
      </c>
      <c r="J1091" s="6">
        <f>HYPERLINK("https://www.kleinanzeigen.de/s-bestandsliste.html?userId=2370339", "Link")</f>
        <v/>
      </c>
      <c r="K1091" s="7" t="n">
        <v>45549.5809375</v>
      </c>
      <c r="L1091" s="3" t="inlineStr">
        <is>
          <t>136.28</t>
        </is>
      </c>
      <c r="M1091" t="inlineStr">
        <is>
          <t>Karlsruhe</t>
        </is>
      </c>
    </row>
    <row r="1092">
      <c r="A1092" t="inlineStr">
        <is>
          <t>North Rebel 8m2 ( Jetzt Duotone )</t>
        </is>
      </c>
      <c r="B1092" s="4" t="n">
        <v>300</v>
      </c>
      <c r="C1092" t="inlineStr"/>
      <c r="D1092" t="inlineStr">
        <is>
          <t>26655 Niedersachsen - Westerstede</t>
        </is>
      </c>
      <c r="E1092" s="5" t="n">
        <v>45537</v>
      </c>
      <c r="F1092" t="inlineStr">
        <is>
          <t>Sold</t>
        </is>
      </c>
      <c r="G1092" s="6">
        <f>HYPERLINK("https://www.kleinanzeigen.de/s-anzeige/north-rebel-8m2-jetzt-duotone-/2852451238-230-2641", "Link")</f>
        <v/>
      </c>
      <c r="H1092" s="6">
        <f>HYPERLINK("C:\Projects\Kleinanzeigen-Scraper\offer_images\2852451238", "Link")</f>
        <v/>
      </c>
      <c r="I1092" t="inlineStr">
        <is>
          <t>Enrico</t>
        </is>
      </c>
      <c r="J1092" s="6">
        <f>HYPERLINK("https://www.kleinanzeigen.de/s-bestandsliste.html?userId=37855769", "Link")</f>
        <v/>
      </c>
      <c r="K1092" s="7" t="n">
        <v>45549.5809375</v>
      </c>
      <c r="L1092" s="3" t="inlineStr">
        <is>
          <t>268.59</t>
        </is>
      </c>
      <c r="M1092" t="inlineStr">
        <is>
          <t>Köln</t>
        </is>
      </c>
    </row>
    <row r="1093">
      <c r="A1093" t="inlineStr">
        <is>
          <t>Naish 22/23 Wing-Surfer MK4 gelb 6.0qm</t>
        </is>
      </c>
      <c r="B1093" s="4" t="n">
        <v>450</v>
      </c>
      <c r="C1093" t="inlineStr"/>
      <c r="D1093" t="inlineStr">
        <is>
          <t>64521 Hessen - Groß-Gerau</t>
        </is>
      </c>
      <c r="E1093" s="5" t="n">
        <v>45519</v>
      </c>
      <c r="F1093" t="inlineStr">
        <is>
          <t>Sold</t>
        </is>
      </c>
      <c r="G1093" s="6">
        <f>HYPERLINK("https://www.kleinanzeigen.de/s-anzeige/naish-22-23-wing-surfer-mk4-gelb-6-0qm/2837618470-230-4506", "Link")</f>
        <v/>
      </c>
      <c r="H1093" s="6">
        <f>HYPERLINK("C:\Projects\Kleinanzeigen-Scraper\offer_images\2837618470", "Link")</f>
        <v/>
      </c>
      <c r="I1093" t="inlineStr">
        <is>
          <t>Wolfgang</t>
        </is>
      </c>
      <c r="J1093" s="6">
        <f>HYPERLINK("https://www.kleinanzeigen.de/s-bestandsliste.html?userId=66211746", "Link")</f>
        <v/>
      </c>
      <c r="K1093" s="7" t="n">
        <v>45549.5809375</v>
      </c>
      <c r="L1093" s="3" t="inlineStr">
        <is>
          <t>100.06</t>
        </is>
      </c>
      <c r="M1093" t="inlineStr">
        <is>
          <t>Karlsruhe</t>
        </is>
      </c>
    </row>
    <row r="1094">
      <c r="A1094" t="inlineStr">
        <is>
          <t>North Reach 2024 Kites alle Größen und Farben</t>
        </is>
      </c>
      <c r="B1094" s="4" t="n">
        <v>1</v>
      </c>
      <c r="C1094" t="inlineStr">
        <is>
          <t>VB</t>
        </is>
      </c>
      <c r="D1094" t="inlineStr">
        <is>
          <t>23774 Kreis Ostholstein - Heiligenhafen</t>
        </is>
      </c>
      <c r="E1094" s="5" t="n">
        <v>45547</v>
      </c>
      <c r="F1094" t="inlineStr">
        <is>
          <t>Sold</t>
        </is>
      </c>
      <c r="G1094" s="6">
        <f>HYPERLINK("https://www.kleinanzeigen.de/s-anzeige/north-reach-2024-kites-alle-groessen-und-farben/2761788355-230-427", "Link")</f>
        <v/>
      </c>
      <c r="H1094" s="6">
        <f>HYPERLINK("C:\Projects\Kleinanzeigen-Scraper\offer_images\2761788355", "Link")</f>
        <v/>
      </c>
      <c r="I1094" t="inlineStr">
        <is>
          <t>No user name</t>
        </is>
      </c>
      <c r="J1094" s="6">
        <f>HYPERLINK("https://www.kleinanzeigen.deNo user link", "Link")</f>
        <v/>
      </c>
      <c r="K1094" s="7" t="n">
        <v>45549.58091435185</v>
      </c>
      <c r="L1094" s="3" t="inlineStr">
        <is>
          <t>467.75</t>
        </is>
      </c>
      <c r="M1094" t="inlineStr">
        <is>
          <t>Köln</t>
        </is>
      </c>
    </row>
    <row r="1095">
      <c r="A1095" t="inlineStr">
        <is>
          <t>Naish Apex Kitebaord Bindung 2024 size 9-15 (L/XL) NEU</t>
        </is>
      </c>
      <c r="B1095" s="4" t="n">
        <v>155</v>
      </c>
      <c r="C1095" t="inlineStr"/>
      <c r="D1095" t="inlineStr">
        <is>
          <t>44866 Bochum - Bochum-Wattenscheid</t>
        </is>
      </c>
      <c r="E1095" s="5" t="n">
        <v>45541</v>
      </c>
      <c r="F1095" t="inlineStr">
        <is>
          <t>Sold</t>
        </is>
      </c>
      <c r="G1095" s="6">
        <f>HYPERLINK("https://www.kleinanzeigen.de/s-anzeige/naish-apex-kitebaord-bindung-2024-size-9-15-l-xl-neu/2855563532-230-1934", "Link")</f>
        <v/>
      </c>
      <c r="H1095" s="6">
        <f>HYPERLINK("C:\Projects\Kleinanzeigen-Scraper\offer_images\2855563532", "Link")</f>
        <v/>
      </c>
      <c r="I1095" t="inlineStr">
        <is>
          <t>Allerlei</t>
        </is>
      </c>
      <c r="J1095" s="6">
        <f>HYPERLINK("https://www.kleinanzeigen.de/s-bestandsliste.html?userId=125463426", "Link")</f>
        <v/>
      </c>
      <c r="K1095" s="7" t="n">
        <v>45549.58091435185</v>
      </c>
      <c r="L1095" s="3" t="inlineStr">
        <is>
          <t>61.71</t>
        </is>
      </c>
      <c r="M1095" t="inlineStr">
        <is>
          <t>Köln</t>
        </is>
      </c>
    </row>
    <row r="1096">
      <c r="A1096" t="inlineStr">
        <is>
          <t>JP Australia 20 JP SUP Venus 5" LE 11'6"x30"x5" 8,2kg NP 799€</t>
        </is>
      </c>
      <c r="B1096" s="4" t="n">
        <v>650</v>
      </c>
      <c r="C1096" t="inlineStr"/>
      <c r="D1096" t="inlineStr">
        <is>
          <t>81679 München - Bogenhausen</t>
        </is>
      </c>
      <c r="E1096" s="5" t="n">
        <v>44861</v>
      </c>
      <c r="F1096" t="inlineStr"/>
      <c r="G1096" s="6">
        <f>HYPERLINK("https://www.kleinanzeigen.de/s-anzeige/jp-australia-20-jp-sup-venus-5-le-11-6-x30-x5-8-2kg-np-799-/2254546625-230-6457", "Link")</f>
        <v/>
      </c>
      <c r="H1096" s="6">
        <f>HYPERLINK("C:\Projects\Kleinanzeigen-Scraper\offer_images\2254546625", "Link")</f>
        <v/>
      </c>
      <c r="I1096" t="inlineStr">
        <is>
          <t>Anja Wilbert</t>
        </is>
      </c>
      <c r="J1096" s="6">
        <f>HYPERLINK("https://www.kleinanzeigen.de/s-bestandsliste.html?userId=85508309", "Link")</f>
        <v/>
      </c>
      <c r="K1096" s="7" t="n">
        <v>45549.5808912037</v>
      </c>
      <c r="L1096" s="3" t="inlineStr">
        <is>
          <t>2.71</t>
        </is>
      </c>
      <c r="M1096" t="inlineStr">
        <is>
          <t>München</t>
        </is>
      </c>
    </row>
    <row r="1097">
      <c r="A1097" t="inlineStr">
        <is>
          <t>Kitschirm  Naish Pivot 14m mit Bar 650€ VB</t>
        </is>
      </c>
      <c r="B1097" s="4" t="n">
        <v>650</v>
      </c>
      <c r="C1097" t="inlineStr">
        <is>
          <t>VB</t>
        </is>
      </c>
      <c r="D1097" t="inlineStr">
        <is>
          <t>06712 Sachsen-Anhalt - Zeitz</t>
        </is>
      </c>
      <c r="E1097" s="5" t="n">
        <v>45515</v>
      </c>
      <c r="F1097" t="inlineStr"/>
      <c r="G1097" s="6">
        <f>HYPERLINK("https://www.kleinanzeigen.de/s-anzeige/kitschirm-naish-pivot-14m-mit-bar-650-vb/2834168605-230-2324", "Link")</f>
        <v/>
      </c>
      <c r="H1097" s="6">
        <f>HYPERLINK("C:\Projects\Kleinanzeigen-Scraper\offer_images\2834168605", "Link")</f>
        <v/>
      </c>
      <c r="I1097" t="inlineStr">
        <is>
          <t>frank naumann</t>
        </is>
      </c>
      <c r="J1097" s="6">
        <f>HYPERLINK("https://www.kleinanzeigen.de/s-bestandsliste.html?userId=9907176", "Link")</f>
        <v/>
      </c>
      <c r="K1097" s="7" t="n">
        <v>45549.5808912037</v>
      </c>
      <c r="L1097" s="3" t="inlineStr">
        <is>
          <t>323.19</t>
        </is>
      </c>
      <c r="M1097" t="inlineStr">
        <is>
          <t>München</t>
        </is>
      </c>
    </row>
    <row r="1098">
      <c r="A1098" t="inlineStr">
        <is>
          <t>Starboard Fuselage 75 cm Aluminium</t>
        </is>
      </c>
      <c r="B1098" s="4" t="n">
        <v>30</v>
      </c>
      <c r="C1098" t="inlineStr"/>
      <c r="D1098" t="inlineStr">
        <is>
          <t>69214 Baden-Württemberg - Eppelheim</t>
        </is>
      </c>
      <c r="E1098" s="5" t="n">
        <v>45517</v>
      </c>
      <c r="F1098" t="inlineStr"/>
      <c r="G1098" s="6">
        <f>HYPERLINK("https://www.kleinanzeigen.de/s-anzeige/starboard-fuselage-75-cm-aluminium/2835883183-230-8126", "Link")</f>
        <v/>
      </c>
      <c r="H1098" s="6">
        <f>HYPERLINK("C:\Projects\Kleinanzeigen-Scraper\offer_images\2835883183", "Link")</f>
        <v/>
      </c>
      <c r="I1098" t="inlineStr">
        <is>
          <t>Julien</t>
        </is>
      </c>
      <c r="J1098" s="6">
        <f>HYPERLINK("https://www.kleinanzeigen.de/s-bestandsliste.html?userId=13931052", "Link")</f>
        <v/>
      </c>
      <c r="K1098" s="7" t="n">
        <v>45549.58086805556</v>
      </c>
      <c r="L1098" s="3" t="inlineStr">
        <is>
          <t>46.29</t>
        </is>
      </c>
      <c r="M1098" t="inlineStr">
        <is>
          <t>Karlsruhe</t>
        </is>
      </c>
    </row>
    <row r="1099">
      <c r="A1099" t="inlineStr">
        <is>
          <t>North Orbit Pro Kite White 2024 in 8m² NEU</t>
        </is>
      </c>
      <c r="B1099" s="4" t="n">
        <v>1.279</v>
      </c>
      <c r="C1099" t="inlineStr"/>
      <c r="D1099" t="inlineStr">
        <is>
          <t>46569 Nordrhein-Westfalen - Hünxe</t>
        </is>
      </c>
      <c r="E1099" s="5" t="n">
        <v>45542</v>
      </c>
      <c r="F1099" t="inlineStr">
        <is>
          <t>Sold</t>
        </is>
      </c>
      <c r="G1099" s="6">
        <f>HYPERLINK("https://www.kleinanzeigen.de/s-anzeige/north-orbit-pro-kite-white-2024-in-8m-neu/2600072415-230-1383", "Link")</f>
        <v/>
      </c>
      <c r="H1099" s="6">
        <f>HYPERLINK("C:\Projects\Kleinanzeigen-Scraper\offer_images\2600072415", "Link")</f>
        <v/>
      </c>
      <c r="I1099" t="inlineStr">
        <is>
          <t>No user name</t>
        </is>
      </c>
      <c r="J1099" s="6">
        <f>HYPERLINK("https://www.kleinanzeigen.deNo user link", "Link")</f>
        <v/>
      </c>
      <c r="K1099" s="7" t="n">
        <v>45549.58086805556</v>
      </c>
      <c r="L1099" s="3" t="inlineStr">
        <is>
          <t>78.61</t>
        </is>
      </c>
      <c r="M1099" t="inlineStr">
        <is>
          <t>Köln</t>
        </is>
      </c>
    </row>
    <row r="1100">
      <c r="A1100" t="inlineStr">
        <is>
          <t>North Rebel 10 m² (heute Duotone) kitesurfen</t>
        </is>
      </c>
      <c r="B1100" s="4" t="n">
        <v>260</v>
      </c>
      <c r="C1100" t="inlineStr"/>
      <c r="D1100" t="inlineStr">
        <is>
          <t>50968 Köln - Raderberg</t>
        </is>
      </c>
      <c r="E1100" s="5" t="n">
        <v>45538</v>
      </c>
      <c r="F1100" t="inlineStr">
        <is>
          <t>Sold</t>
        </is>
      </c>
      <c r="G1100" s="6">
        <f>HYPERLINK("https://www.kleinanzeigen.de/s-anzeige/north-rebel-10-m-heute-duotone-kitesurfen/2853119779-230-28287", "Link")</f>
        <v/>
      </c>
      <c r="H1100" s="6">
        <f>HYPERLINK("C:\Projects\Kleinanzeigen-Scraper\offer_images\2853119779", "Link")</f>
        <v/>
      </c>
      <c r="I1100" t="inlineStr">
        <is>
          <t>Dirk</t>
        </is>
      </c>
      <c r="J1100" s="6">
        <f>HYPERLINK("https://www.kleinanzeigen.de/s-bestandsliste.html?userId=4249954", "Link")</f>
        <v/>
      </c>
      <c r="K1100" s="7" t="n">
        <v>45549.58086805556</v>
      </c>
      <c r="L1100" s="3" t="inlineStr">
        <is>
          <t>4.01</t>
        </is>
      </c>
      <c r="M1100" t="inlineStr">
        <is>
          <t>Köln</t>
        </is>
      </c>
    </row>
    <row r="1101">
      <c r="A1101" t="inlineStr">
        <is>
          <t>Duotone Dice SLS 8qm 2022</t>
        </is>
      </c>
      <c r="B1101" s="4" t="n">
        <v>600</v>
      </c>
      <c r="C1101" t="inlineStr">
        <is>
          <t>VB</t>
        </is>
      </c>
      <c r="D1101" t="inlineStr">
        <is>
          <t>40670 Nordrhein-Westfalen - Meerbusch</t>
        </is>
      </c>
      <c r="E1101" s="5" t="n">
        <v>45541</v>
      </c>
      <c r="F1101" t="inlineStr">
        <is>
          <t>Sold</t>
        </is>
      </c>
      <c r="G1101" s="6">
        <f>HYPERLINK("https://www.kleinanzeigen.de/s-anzeige/duotone-dice-sls-8qm-2022/2855657201-230-1898", "Link")</f>
        <v/>
      </c>
      <c r="H1101" s="6">
        <f>HYPERLINK("C:\Projects\Kleinanzeigen-Scraper\offer_images\2855657201", "Link")</f>
        <v/>
      </c>
      <c r="I1101" t="inlineStr">
        <is>
          <t>Tim</t>
        </is>
      </c>
      <c r="J1101" s="6">
        <f>HYPERLINK("https://www.kleinanzeigen.de/s-bestandsliste.html?userId=66621072", "Link")</f>
        <v/>
      </c>
      <c r="K1101" s="7" t="n">
        <v>45549.58086805556</v>
      </c>
      <c r="L1101" s="3" t="inlineStr">
        <is>
          <t>43.54</t>
        </is>
      </c>
      <c r="M1101" t="inlineStr">
        <is>
          <t>Köln</t>
        </is>
      </c>
    </row>
    <row r="1102">
      <c r="A1102" t="inlineStr">
        <is>
          <t>Staffelei GOYA</t>
        </is>
      </c>
      <c r="B1102" s="4" t="n">
        <v>10</v>
      </c>
      <c r="C1102" t="inlineStr"/>
      <c r="D1102" t="inlineStr">
        <is>
          <t>50827 Köln - Ehrenfeld</t>
        </is>
      </c>
      <c r="E1102" s="5" t="n">
        <v>45533</v>
      </c>
      <c r="F1102" t="inlineStr"/>
      <c r="G1102" s="6">
        <f>HYPERLINK("https://www.kleinanzeigen.de/s-anzeige/staffelei-goya/2849111747-282-950", "Link")</f>
        <v/>
      </c>
      <c r="H1102" s="6">
        <f>HYPERLINK("C:\Projects\Kleinanzeigen-Scraper\offer_images\2849111747", "Link")</f>
        <v/>
      </c>
      <c r="I1102" t="inlineStr">
        <is>
          <t>Ebru</t>
        </is>
      </c>
      <c r="J1102" s="6">
        <f>HYPERLINK("https://www.kleinanzeigen.de/s-bestandsliste.html?userId=128285058", "Link")</f>
        <v/>
      </c>
      <c r="K1102" s="7" t="n">
        <v>45549.58084490741</v>
      </c>
      <c r="L1102" s="3" t="inlineStr">
        <is>
          <t>5.60</t>
        </is>
      </c>
      <c r="M1102" t="inlineStr">
        <is>
          <t>Köln</t>
        </is>
      </c>
    </row>
    <row r="1103">
      <c r="A1103" t="inlineStr">
        <is>
          <t>Rucksack North Face</t>
        </is>
      </c>
      <c r="B1103" s="4" t="n">
        <v>70</v>
      </c>
      <c r="C1103" t="inlineStr">
        <is>
          <t>VB</t>
        </is>
      </c>
      <c r="D1103" t="inlineStr">
        <is>
          <t>99338 Thüringen - Plaue</t>
        </is>
      </c>
      <c r="E1103" s="5" t="n">
        <v>45547</v>
      </c>
      <c r="F1103" t="inlineStr">
        <is>
          <t>Sold</t>
        </is>
      </c>
      <c r="G1103" s="6">
        <f>HYPERLINK("https://www.kleinanzeigen.de/s-anzeige/rucksack-north-face/2860970130-187-3553", "Link")</f>
        <v/>
      </c>
      <c r="H1103" s="6">
        <f>HYPERLINK("C:\Projects\Kleinanzeigen-Scraper\offer_images\2860970130", "Link")</f>
        <v/>
      </c>
      <c r="I1103" t="inlineStr">
        <is>
          <t>Ek</t>
        </is>
      </c>
      <c r="J1103" s="6">
        <f>HYPERLINK("https://www.kleinanzeigen.de/s-bestandsliste.html?userId=51209349", "Link")</f>
        <v/>
      </c>
      <c r="K1103" s="7" t="n">
        <v>45549.58084490741</v>
      </c>
      <c r="L1103" s="3" t="inlineStr">
        <is>
          <t>266.51</t>
        </is>
      </c>
      <c r="M1103" t="inlineStr">
        <is>
          <t>Karlsruhe</t>
        </is>
      </c>
    </row>
    <row r="1104">
      <c r="A1104" t="inlineStr">
        <is>
          <t>Naish Jet Foil "Thrust Surf" Gr. L.</t>
        </is>
      </c>
      <c r="B1104" s="4" t="n">
        <v>210</v>
      </c>
      <c r="C1104" t="inlineStr"/>
      <c r="D1104" t="inlineStr">
        <is>
          <t>82435 Bayern - Bad Bayersoien</t>
        </is>
      </c>
      <c r="E1104" s="5" t="n">
        <v>45492</v>
      </c>
      <c r="F1104" t="inlineStr">
        <is>
          <t>Sold</t>
        </is>
      </c>
      <c r="G1104" s="6">
        <f>HYPERLINK("https://www.kleinanzeigen.de/s-anzeige/naish-jet-foil-thrust-surf-gr-l-/2816123560-230-5551", "Link")</f>
        <v/>
      </c>
      <c r="H1104" s="6">
        <f>HYPERLINK("C:\Projects\Kleinanzeigen-Scraper\offer_images\2816123560", "Link")</f>
        <v/>
      </c>
      <c r="I1104" t="inlineStr">
        <is>
          <t>Gaby A.</t>
        </is>
      </c>
      <c r="J1104" s="6">
        <f>HYPERLINK("https://www.kleinanzeigen.de/s-bestandsliste.html?userId=50604389", "Link")</f>
        <v/>
      </c>
      <c r="K1104" s="7" t="n">
        <v>45549.58084490741</v>
      </c>
      <c r="L1104" s="3" t="inlineStr">
        <is>
          <t>65.64</t>
        </is>
      </c>
      <c r="M1104" t="inlineStr">
        <is>
          <t>München</t>
        </is>
      </c>
    </row>
    <row r="1105">
      <c r="A1105" t="inlineStr">
        <is>
          <t>Naish Park 2014 in Gr.  11</t>
        </is>
      </c>
      <c r="B1105" s="4" t="n">
        <v>111</v>
      </c>
      <c r="C1105" t="inlineStr">
        <is>
          <t>VB</t>
        </is>
      </c>
      <c r="D1105" t="inlineStr">
        <is>
          <t>50935 Lindenthal - Köln Sülz</t>
        </is>
      </c>
      <c r="E1105" s="5" t="n">
        <v>45541</v>
      </c>
      <c r="F1105" t="inlineStr"/>
      <c r="G1105" s="6">
        <f>HYPERLINK("https://www.kleinanzeigen.de/s-anzeige/naish-park-2014-in-gr-11/2855909946-230-18674", "Link")</f>
        <v/>
      </c>
      <c r="H1105" s="6">
        <f>HYPERLINK("C:\Projects\Kleinanzeigen-Scraper\offer_images\2855909946", "Link")</f>
        <v/>
      </c>
      <c r="I1105" t="inlineStr">
        <is>
          <t>Sascha Post</t>
        </is>
      </c>
      <c r="J1105" s="6">
        <f>HYPERLINK("https://www.kleinanzeigen.de/s-bestandsliste.html?userId=130925075", "Link")</f>
        <v/>
      </c>
      <c r="K1105" s="7" t="n">
        <v>45549.58084490741</v>
      </c>
      <c r="L1105" s="3" t="inlineStr">
        <is>
          <t>4.45</t>
        </is>
      </c>
      <c r="M1105" t="inlineStr">
        <is>
          <t>Köln</t>
        </is>
      </c>
    </row>
    <row r="1106">
      <c r="A1106" t="inlineStr">
        <is>
          <t>JP Australia SUP ISUP Package standuppaddeling set</t>
        </is>
      </c>
      <c r="B1106" s="4" t="n">
        <v>319</v>
      </c>
      <c r="C1106" t="inlineStr"/>
      <c r="D1106" t="inlineStr">
        <is>
          <t>22457 Eimsbüttel - Hamburg Schnelsen</t>
        </is>
      </c>
      <c r="E1106" s="5" t="n">
        <v>45540</v>
      </c>
      <c r="F1106" t="inlineStr"/>
      <c r="G1106" s="6">
        <f>HYPERLINK("https://www.kleinanzeigen.de/s-anzeige/jp-australia-sup-isup-package-standuppaddeling-set/2830587827-230-9492", "Link")</f>
        <v/>
      </c>
      <c r="H1106" s="6">
        <f>HYPERLINK("C:\Projects\Kleinanzeigen-Scraper\offer_images\2830587827", "Link")</f>
        <v/>
      </c>
      <c r="I1106" t="inlineStr">
        <is>
          <t>No user name</t>
        </is>
      </c>
      <c r="J1106" s="6">
        <f>HYPERLINK("https://www.kleinanzeigen.deNo user link", "Link")</f>
        <v/>
      </c>
      <c r="K1106" s="7" t="n">
        <v>45549.58082175926</v>
      </c>
      <c r="L1106" s="3" t="inlineStr">
        <is>
          <t>362.41</t>
        </is>
      </c>
      <c r="M1106" t="inlineStr">
        <is>
          <t>Köln</t>
        </is>
      </c>
    </row>
    <row r="1107">
      <c r="A1107" t="inlineStr">
        <is>
          <t>Starboard Airush Air 5qm Wing Freewing</t>
        </is>
      </c>
      <c r="B1107" s="4" t="n">
        <v>290</v>
      </c>
      <c r="C1107" t="inlineStr"/>
      <c r="D1107" t="inlineStr">
        <is>
          <t>80339 München - Schwanthalerhöhe</t>
        </is>
      </c>
      <c r="E1107" s="5" t="n">
        <v>45521</v>
      </c>
      <c r="F1107" t="inlineStr">
        <is>
          <t>Sold</t>
        </is>
      </c>
      <c r="G1107" s="6">
        <f>HYPERLINK("https://www.kleinanzeigen.de/s-anzeige/starboard-airush-air-5qm-wing-freewing/2839296644-230-6444", "Link")</f>
        <v/>
      </c>
      <c r="H1107" s="6">
        <f>HYPERLINK("C:\Projects\Kleinanzeigen-Scraper\offer_images\2839296644", "Link")</f>
        <v/>
      </c>
      <c r="I1107" t="inlineStr">
        <is>
          <t>Johannes</t>
        </is>
      </c>
      <c r="J1107" s="6">
        <f>HYPERLINK("https://www.kleinanzeigen.de/s-bestandsliste.html?userId=132241249", "Link")</f>
        <v/>
      </c>
      <c r="K1107" s="7" t="n">
        <v>45549.58082175926</v>
      </c>
      <c r="L1107" s="3" t="inlineStr">
        <is>
          <t>2.57</t>
        </is>
      </c>
      <c r="M1107" t="inlineStr">
        <is>
          <t>München</t>
        </is>
      </c>
    </row>
    <row r="1108">
      <c r="A1108" t="inlineStr">
        <is>
          <t>Fanatic Duotone Foil Backwing 300er neuwertig</t>
        </is>
      </c>
      <c r="B1108" s="4" t="n">
        <v>150</v>
      </c>
      <c r="C1108" t="inlineStr">
        <is>
          <t>VB</t>
        </is>
      </c>
      <c r="D1108" t="inlineStr">
        <is>
          <t>47198 Duisburg - Homberg/Ruhrort/Baerl</t>
        </is>
      </c>
      <c r="E1108" s="5" t="n">
        <v>45507</v>
      </c>
      <c r="F1108" t="inlineStr">
        <is>
          <t>Sold</t>
        </is>
      </c>
      <c r="G1108" s="6">
        <f>HYPERLINK("https://www.kleinanzeigen.de/s-anzeige/fanatic-duotone-foil-backwing-300er-neuwertig/2828231742-230-2140", "Link")</f>
        <v/>
      </c>
      <c r="H1108" s="6">
        <f>HYPERLINK("C:\Projects\Kleinanzeigen-Scraper\offer_images\2828231742", "Link")</f>
        <v/>
      </c>
      <c r="I1108" t="inlineStr">
        <is>
          <t>Reiner Schubert</t>
        </is>
      </c>
      <c r="J1108" s="6">
        <f>HYPERLINK("https://www.kleinanzeigen.de/s-bestandsliste.html?userId=9572329", "Link")</f>
        <v/>
      </c>
      <c r="K1108" s="7" t="n">
        <v>45549.58081018519</v>
      </c>
      <c r="L1108" s="3" t="inlineStr">
        <is>
          <t>59.95</t>
        </is>
      </c>
      <c r="M1108" t="inlineStr">
        <is>
          <t>Köln</t>
        </is>
      </c>
    </row>
    <row r="1109">
      <c r="A1109" t="inlineStr">
        <is>
          <t>Naish Park 10qm kite only - leading edge bladder defekt</t>
        </is>
      </c>
      <c r="B1109" s="4" t="n">
        <v>85</v>
      </c>
      <c r="C1109" t="inlineStr">
        <is>
          <t>VB</t>
        </is>
      </c>
      <c r="D1109" t="inlineStr">
        <is>
          <t>91336 Bayern - Heroldsbach</t>
        </is>
      </c>
      <c r="E1109" s="5" t="n">
        <v>45530</v>
      </c>
      <c r="F1109" t="inlineStr">
        <is>
          <t>Sold</t>
        </is>
      </c>
      <c r="G1109" s="6">
        <f>HYPERLINK("https://www.kleinanzeigen.de/s-anzeige/naish-park-10qm-kite-only-leading-edge-bladder-defekt/2847071074-230-6279", "Link")</f>
        <v/>
      </c>
      <c r="H1109" s="6">
        <f>HYPERLINK("C:\Projects\Kleinanzeigen-Scraper\offer_images\2847071074", "Link")</f>
        <v/>
      </c>
      <c r="I1109" t="inlineStr">
        <is>
          <t>Florian Reinhold</t>
        </is>
      </c>
      <c r="J1109" s="6">
        <f>HYPERLINK("https://www.kleinanzeigen.de/s-bestandsliste.html?userId=12524453", "Link")</f>
        <v/>
      </c>
      <c r="K1109" s="7" t="n">
        <v>45549.58079861111</v>
      </c>
      <c r="L1109" s="3" t="inlineStr">
        <is>
          <t>177.78</t>
        </is>
      </c>
      <c r="M1109" t="inlineStr">
        <is>
          <t>München</t>
        </is>
      </c>
    </row>
    <row r="1110">
      <c r="A1110" t="inlineStr">
        <is>
          <t>Naish Pivot 9qm S27 2023 neuwertig Allround Kite</t>
        </is>
      </c>
      <c r="B1110" s="4" t="n">
        <v>695</v>
      </c>
      <c r="C1110" t="inlineStr"/>
      <c r="D1110" t="inlineStr">
        <is>
          <t>22767 Hamburg - Altona</t>
        </is>
      </c>
      <c r="E1110" s="5" t="n">
        <v>45530</v>
      </c>
      <c r="F1110" t="inlineStr">
        <is>
          <t>Sold</t>
        </is>
      </c>
      <c r="G1110" s="6">
        <f>HYPERLINK("https://www.kleinanzeigen.de/s-anzeige/naish-pivot-9qm-s27-2023-neuwertig-allround-kite/2846734108-230-9506", "Link")</f>
        <v/>
      </c>
      <c r="H1110" s="6">
        <f>HYPERLINK("C:\Projects\Kleinanzeigen-Scraper\offer_images\2846734108", "Link")</f>
        <v/>
      </c>
      <c r="I1110" t="inlineStr">
        <is>
          <t>Max</t>
        </is>
      </c>
      <c r="J1110" s="6">
        <f>HYPERLINK("https://www.kleinanzeigen.de/s-bestandsliste.html?userId=15666689", "Link")</f>
        <v/>
      </c>
      <c r="K1110" s="7" t="n">
        <v>45549.58079861111</v>
      </c>
      <c r="L1110" s="3" t="inlineStr">
        <is>
          <t>354.40</t>
        </is>
      </c>
      <c r="M1110" t="inlineStr">
        <is>
          <t>Köln</t>
        </is>
      </c>
    </row>
    <row r="1111">
      <c r="A1111" t="inlineStr">
        <is>
          <t>North Reach 7 m2 2024</t>
        </is>
      </c>
      <c r="B1111" s="4" t="n">
        <v>790</v>
      </c>
      <c r="C1111" t="inlineStr"/>
      <c r="D1111" t="inlineStr">
        <is>
          <t>83317 Bayern - Teisendorf</t>
        </is>
      </c>
      <c r="E1111" s="5" t="n">
        <v>45537</v>
      </c>
      <c r="F1111" t="inlineStr">
        <is>
          <t>Sold</t>
        </is>
      </c>
      <c r="G1111" s="6">
        <f>HYPERLINK("https://www.kleinanzeigen.de/s-anzeige/north-reach-7-m2-2024/2852378865-230-6269", "Link")</f>
        <v/>
      </c>
      <c r="H1111" s="6">
        <f>HYPERLINK("C:\Projects\Kleinanzeigen-Scraper\offer_images\2852378865", "Link")</f>
        <v/>
      </c>
      <c r="I1111" t="inlineStr">
        <is>
          <t>Peter</t>
        </is>
      </c>
      <c r="J1111" s="6">
        <f>HYPERLINK("https://www.kleinanzeigen.de/s-bestandsliste.html?userId=44720703", "Link")</f>
        <v/>
      </c>
      <c r="K1111" s="7" t="n">
        <v>45549.58079861111</v>
      </c>
      <c r="L1111" s="3" t="inlineStr">
        <is>
          <t>98.85</t>
        </is>
      </c>
      <c r="M1111" t="inlineStr">
        <is>
          <t>München</t>
        </is>
      </c>
    </row>
    <row r="1112">
      <c r="A1112" t="inlineStr">
        <is>
          <t>Neilpryde RS Flight AL Foil foilen Windfoilen Surfen</t>
        </is>
      </c>
      <c r="B1112" s="4" t="n">
        <v>200</v>
      </c>
      <c r="C1112" t="inlineStr">
        <is>
          <t>VB</t>
        </is>
      </c>
      <c r="D1112" t="inlineStr">
        <is>
          <t>51147 Köln - Porz</t>
        </is>
      </c>
      <c r="E1112" s="5" t="n">
        <v>45542</v>
      </c>
      <c r="F1112" t="inlineStr"/>
      <c r="G1112" s="6">
        <f>HYPERLINK("https://www.kleinanzeigen.de/s-anzeige/neilpryde-rs-flight-al-foil-foilen-windfoilen-surfen/2856443751-230-961", "Link")</f>
        <v/>
      </c>
      <c r="H1112" s="6">
        <f>HYPERLINK("C:\Projects\Kleinanzeigen-Scraper\offer_images\2856443751", "Link")</f>
        <v/>
      </c>
      <c r="I1112" t="inlineStr">
        <is>
          <t>David Maes</t>
        </is>
      </c>
      <c r="J1112" s="6">
        <f>HYPERLINK("https://www.kleinanzeigen.de/s-bestandsliste.html?userId=34144277", "Link")</f>
        <v/>
      </c>
      <c r="K1112" s="7" t="n">
        <v>45549.58078703703</v>
      </c>
      <c r="L1112" s="3" t="inlineStr">
        <is>
          <t>14.27</t>
        </is>
      </c>
      <c r="M1112" t="inlineStr">
        <is>
          <t>Köln</t>
        </is>
      </c>
    </row>
    <row r="1113">
      <c r="A1113" t="inlineStr">
        <is>
          <t>Kite Set North (Duotone) Mono 2018 7qm, 9qm, 12qm</t>
        </is>
      </c>
      <c r="B1113" s="4" t="n">
        <v>699</v>
      </c>
      <c r="C1113" t="inlineStr"/>
      <c r="D1113" t="inlineStr">
        <is>
          <t>70192 Stuttgart - Stuttgart-Nord</t>
        </is>
      </c>
      <c r="E1113" s="5" t="n">
        <v>45553</v>
      </c>
      <c r="F1113" t="inlineStr">
        <is>
          <t>Sold</t>
        </is>
      </c>
      <c r="G1113" s="6">
        <f>HYPERLINK("https://www.kleinanzeigen.de/s-anzeige/kite-set-north-duotone-mono-2018-7qm-9qm-12qm/2853139868-230-9294", "Link")</f>
        <v/>
      </c>
      <c r="H1113" s="6">
        <f>HYPERLINK("C:\Projects\Kleinanzeigen-Scraper\offer_images\2853139868", "Link")</f>
        <v/>
      </c>
      <c r="I1113" t="inlineStr">
        <is>
          <t>Sebastian Tabarelli</t>
        </is>
      </c>
      <c r="J1113" s="6">
        <f>HYPERLINK("https://www.kleinanzeigen.de/s-bestandsliste.html?userId=23117786", "Link")</f>
        <v/>
      </c>
      <c r="K1113" s="7" t="n">
        <v>45549.58077546296</v>
      </c>
      <c r="L1113" s="3" t="inlineStr">
        <is>
          <t>19.21</t>
        </is>
      </c>
      <c r="M1113" t="inlineStr">
        <is>
          <t>Böblingen</t>
        </is>
      </c>
    </row>
    <row r="1114">
      <c r="A1114" t="inlineStr">
        <is>
          <t>Neilpryde Neopren Surfschuhe</t>
        </is>
      </c>
      <c r="B1114" s="4" t="n">
        <v>20</v>
      </c>
      <c r="C1114" t="inlineStr"/>
      <c r="D1114" t="inlineStr">
        <is>
          <t>82223 Bayern - Eichenau</t>
        </is>
      </c>
      <c r="E1114" s="5" t="n">
        <v>45471</v>
      </c>
      <c r="F1114" t="inlineStr">
        <is>
          <t>Sold</t>
        </is>
      </c>
      <c r="G1114" s="6">
        <f>HYPERLINK("https://www.kleinanzeigen.de/s-anzeige/neilpryde-neopren-surfschuhe/2799138577-230-16921", "Link")</f>
        <v/>
      </c>
      <c r="H1114" s="6">
        <f>HYPERLINK("C:\Projects\Kleinanzeigen-Scraper\offer_images\2799138577", "Link")</f>
        <v/>
      </c>
      <c r="I1114" t="inlineStr">
        <is>
          <t>Uli</t>
        </is>
      </c>
      <c r="J1114" s="6">
        <f>HYPERLINK("https://www.kleinanzeigen.de/s-bestandsliste.html?userId=22235960", "Link")</f>
        <v/>
      </c>
      <c r="K1114" s="7" t="n">
        <v>45549.58076388889</v>
      </c>
      <c r="L1114" s="3" t="inlineStr">
        <is>
          <t>19.02</t>
        </is>
      </c>
      <c r="M1114" t="inlineStr">
        <is>
          <t>München</t>
        </is>
      </c>
    </row>
    <row r="1115">
      <c r="A1115" t="inlineStr">
        <is>
          <t>Neilpryde-Damen-Shorty,  ungetragen,  Gr. 42, Surfen, SUP</t>
        </is>
      </c>
      <c r="B1115" s="4" t="n">
        <v>55</v>
      </c>
      <c r="C1115" t="inlineStr">
        <is>
          <t>VB</t>
        </is>
      </c>
      <c r="D1115" t="inlineStr">
        <is>
          <t>33615 Bielefeld - Bielefeld (Innenstadt)</t>
        </is>
      </c>
      <c r="E1115" s="5" t="n">
        <v>45494</v>
      </c>
      <c r="F1115" t="inlineStr"/>
      <c r="G1115" s="6">
        <f>HYPERLINK("https://www.kleinanzeigen.de/s-anzeige/neilpryde-damen-shorty-ungetragen-gr-42-surfen-sup/2817401050-230-1058", "Link")</f>
        <v/>
      </c>
      <c r="H1115" s="6">
        <f>HYPERLINK("C:\Projects\Kleinanzeigen-Scraper\offer_images\2817401050", "Link")</f>
        <v/>
      </c>
      <c r="I1115" t="inlineStr">
        <is>
          <t>Carola Giller</t>
        </is>
      </c>
      <c r="J1115" s="6">
        <f>HYPERLINK("https://www.kleinanzeigen.de/s-bestandsliste.html?userId=7988525", "Link")</f>
        <v/>
      </c>
      <c r="K1115" s="7" t="n">
        <v>45549.58076388889</v>
      </c>
      <c r="L1115" s="3" t="inlineStr">
        <is>
          <t>162.21</t>
        </is>
      </c>
      <c r="M1115" t="inlineStr">
        <is>
          <t>Köln</t>
        </is>
      </c>
    </row>
    <row r="1116">
      <c r="A1116" t="inlineStr">
        <is>
          <t>Duotone Evo SLS 11 qm 2022 // top gepflegt! // ohne Reparatur!!</t>
        </is>
      </c>
      <c r="B1116" s="4" t="n">
        <v>970</v>
      </c>
      <c r="C1116" t="inlineStr">
        <is>
          <t>VB</t>
        </is>
      </c>
      <c r="D1116" t="inlineStr">
        <is>
          <t>71229 Baden-Württemberg - Leonberg</t>
        </is>
      </c>
      <c r="E1116" s="5" t="n">
        <v>45542</v>
      </c>
      <c r="F1116" t="inlineStr">
        <is>
          <t>Sold</t>
        </is>
      </c>
      <c r="G1116" s="6">
        <f>HYPERLINK("https://www.kleinanzeigen.de/s-anzeige/duotone-evo-sls-11-qm-2022-top-gepflegt-ohne-reparatur-/2856210032-230-8441", "Link")</f>
        <v/>
      </c>
      <c r="H1116" s="6">
        <f>HYPERLINK("C:\Projects\Kleinanzeigen-Scraper\offer_images\2856210032", "Link")</f>
        <v/>
      </c>
      <c r="I1116" t="inlineStr">
        <is>
          <t>Kiri</t>
        </is>
      </c>
      <c r="J1116" s="6">
        <f>HYPERLINK("https://www.kleinanzeigen.de/s-bestandsliste.html?userId=24636358", "Link")</f>
        <v/>
      </c>
      <c r="K1116" s="7" t="n">
        <v>45549.58076388889</v>
      </c>
      <c r="L1116" s="3" t="inlineStr">
        <is>
          <t>13.97</t>
        </is>
      </c>
      <c r="M1116" t="inlineStr">
        <is>
          <t>Böblingen</t>
        </is>
      </c>
    </row>
    <row r="1117">
      <c r="A1117" t="inlineStr">
        <is>
          <t>JP Australia SUP im Set</t>
        </is>
      </c>
      <c r="B1117" s="4" t="n">
        <v>160</v>
      </c>
      <c r="C1117" t="inlineStr">
        <is>
          <t>VB</t>
        </is>
      </c>
      <c r="D1117" t="inlineStr">
        <is>
          <t>86932 Bayern - Pürgen</t>
        </is>
      </c>
      <c r="E1117" s="5" t="n">
        <v>45530</v>
      </c>
      <c r="F1117" t="inlineStr"/>
      <c r="G1117" s="6">
        <f>HYPERLINK("https://www.kleinanzeigen.de/s-anzeige/jp-australia-sup-im-set/2846895890-230-20348", "Link")</f>
        <v/>
      </c>
      <c r="H1117" s="6">
        <f>HYPERLINK("C:\Projects\Kleinanzeigen-Scraper\offer_images\2846895890", "Link")</f>
        <v/>
      </c>
      <c r="I1117" t="inlineStr">
        <is>
          <t>Thomas</t>
        </is>
      </c>
      <c r="J1117" s="6">
        <f>HYPERLINK("https://www.kleinanzeigen.de/s-bestandsliste.html?userId=124726719", "Link")</f>
        <v/>
      </c>
      <c r="K1117" s="7" t="n">
        <v>45549.58074074074</v>
      </c>
      <c r="L1117" s="3" t="inlineStr">
        <is>
          <t>51.26</t>
        </is>
      </c>
      <c r="M1117" t="inlineStr">
        <is>
          <t>München</t>
        </is>
      </c>
    </row>
    <row r="1118">
      <c r="A1118" t="inlineStr">
        <is>
          <t>Neu: Patagonia Hüft Wathose Fliegenfischen - no Simms Loop</t>
        </is>
      </c>
      <c r="B1118" s="4" t="n">
        <v>219</v>
      </c>
      <c r="C1118" t="inlineStr">
        <is>
          <t>VB</t>
        </is>
      </c>
      <c r="D1118" t="inlineStr">
        <is>
          <t>83435 Bayern - Bad Reichenhall</t>
        </is>
      </c>
      <c r="E1118" s="5" t="n">
        <v>45497</v>
      </c>
      <c r="F1118" t="inlineStr"/>
      <c r="G1118" s="6">
        <f>HYPERLINK("https://www.kleinanzeigen.de/s-anzeige/neu-patagonia-hueft-wathose-fliegenfischen-no-simms-loop/2819706823-230-5881", "Link")</f>
        <v/>
      </c>
      <c r="H1118" s="6">
        <f>HYPERLINK("C:\Projects\Kleinanzeigen-Scraper\offer_images\2819706823", "Link")</f>
        <v/>
      </c>
      <c r="I1118" t="inlineStr">
        <is>
          <t>Patrick R.</t>
        </is>
      </c>
      <c r="J1118" s="6">
        <f>HYPERLINK("https://www.kleinanzeigen.de/s-bestandsliste.html?userId=51531344", "Link")</f>
        <v/>
      </c>
      <c r="K1118" s="7" t="n">
        <v>45549.58074074074</v>
      </c>
      <c r="L1118" s="3" t="inlineStr">
        <is>
          <t>104.89</t>
        </is>
      </c>
      <c r="M1118" t="inlineStr">
        <is>
          <t>München</t>
        </is>
      </c>
    </row>
    <row r="1119">
      <c r="A1119" t="inlineStr">
        <is>
          <t>Klarinettenblättchen, Vandalen, CR102, Stärke 2, Inhalt 9 Stück</t>
        </is>
      </c>
      <c r="B1119" s="4" t="n">
        <v>20</v>
      </c>
      <c r="C1119" t="inlineStr">
        <is>
          <t>VB</t>
        </is>
      </c>
      <c r="D1119" t="inlineStr">
        <is>
          <t>46149 Nordrhein-Westfalen - Oberhausen</t>
        </is>
      </c>
      <c r="E1119" s="5" t="n">
        <v>45367</v>
      </c>
      <c r="F1119" t="inlineStr"/>
      <c r="G1119" s="6">
        <f>HYPERLINK("https://www.kleinanzeigen.de/s-anzeige/klarinettenblaettchen-vandalen-cr102-staerke-2-inhalt-9-stueck/2707964444-191-1290", "Link")</f>
        <v/>
      </c>
      <c r="H1119" s="6">
        <f>HYPERLINK("C:\Projects\Kleinanzeigen-Scraper\offer_images\2707964444", "Link")</f>
        <v/>
      </c>
      <c r="I1119" t="inlineStr">
        <is>
          <t>Nina Theilenberg</t>
        </is>
      </c>
      <c r="J1119" s="6">
        <f>HYPERLINK("https://www.kleinanzeigen.de/s-bestandsliste.html?userId=30234430", "Link")</f>
        <v/>
      </c>
      <c r="K1119" s="7" t="n">
        <v>45549.58074074074</v>
      </c>
      <c r="L1119" s="3" t="inlineStr">
        <is>
          <t>65.42</t>
        </is>
      </c>
      <c r="M1119" t="inlineStr">
        <is>
          <t>Köln</t>
        </is>
      </c>
    </row>
    <row r="1120">
      <c r="A1120" t="inlineStr">
        <is>
          <t>Neilpryde Cup Neopren Shorty, Gr. 54, Neil Pryde</t>
        </is>
      </c>
      <c r="B1120" s="4" t="n">
        <v>25</v>
      </c>
      <c r="C1120" t="inlineStr"/>
      <c r="D1120" t="inlineStr">
        <is>
          <t>01307 Dresden - Blasewitz</t>
        </is>
      </c>
      <c r="E1120" s="5" t="n">
        <v>45444</v>
      </c>
      <c r="F1120" t="inlineStr">
        <is>
          <t>Sold</t>
        </is>
      </c>
      <c r="G1120" s="6">
        <f>HYPERLINK("https://www.kleinanzeigen.de/s-anzeige/neilpryde-cup-neopren-shorty-gr-54-neil-pryde/2777168522-230-9718", "Link")</f>
        <v/>
      </c>
      <c r="H1120" s="6">
        <f>HYPERLINK("C:\Projects\Kleinanzeigen-Scraper\offer_images\2777168522", "Link")</f>
        <v/>
      </c>
      <c r="I1120" t="inlineStr">
        <is>
          <t>Klose, Andreas</t>
        </is>
      </c>
      <c r="J1120" s="6">
        <f>HYPERLINK("https://www.kleinanzeigen.de/s-bestandsliste.html?userId=14642010", "Link")</f>
        <v/>
      </c>
      <c r="K1120" s="7" t="n">
        <v>45549.58071759259</v>
      </c>
      <c r="L1120" s="3" t="inlineStr">
        <is>
          <t>361.21</t>
        </is>
      </c>
      <c r="M1120" t="inlineStr">
        <is>
          <t>München</t>
        </is>
      </c>
    </row>
    <row r="1121">
      <c r="A1121" t="inlineStr">
        <is>
          <t>RRD Kite Religion TESTKITE (4/5 Sterne) stripes 2020 9</t>
        </is>
      </c>
      <c r="B1121" s="4" t="n">
        <v>309</v>
      </c>
      <c r="C1121" t="inlineStr">
        <is>
          <t>VB</t>
        </is>
      </c>
      <c r="D1121" t="inlineStr">
        <is>
          <t>26125 Niedersachsen - Oldenburg</t>
        </is>
      </c>
      <c r="E1121" s="5" t="n">
        <v>45545</v>
      </c>
      <c r="F1121" t="inlineStr">
        <is>
          <t>Sold</t>
        </is>
      </c>
      <c r="G1121" s="6">
        <f>HYPERLINK("https://www.kleinanzeigen.de/s-anzeige/rrd-kite-religion-testkite-4-5-sterne-stripes-2020-9/2859561161-230-3111", "Link")</f>
        <v/>
      </c>
      <c r="H1121" s="6">
        <f>HYPERLINK("C:\Projects\Kleinanzeigen-Scraper\offer_images\2859561161", "Link")</f>
        <v/>
      </c>
      <c r="I1121" t="inlineStr">
        <is>
          <t>No user name</t>
        </is>
      </c>
      <c r="J1121" s="6">
        <f>HYPERLINK("https://www.kleinanzeigen.deNo user link", "Link")</f>
        <v/>
      </c>
      <c r="K1121" s="7" t="n">
        <v>45549.58069444444</v>
      </c>
      <c r="L1121" s="3" t="inlineStr">
        <is>
          <t>264.10</t>
        </is>
      </c>
      <c r="M1121" t="inlineStr">
        <is>
          <t>Köln</t>
        </is>
      </c>
    </row>
    <row r="1122">
      <c r="A1122" t="inlineStr">
        <is>
          <t>Vorzelt Luftvorzelt Cirrus North 400 von Isabella</t>
        </is>
      </c>
      <c r="B1122" s="4" t="n">
        <v>1.5</v>
      </c>
      <c r="C1122" t="inlineStr"/>
      <c r="D1122" t="inlineStr">
        <is>
          <t>24594 Schleswig-Holstein - Grauel</t>
        </is>
      </c>
      <c r="E1122" s="5" t="n">
        <v>45563</v>
      </c>
      <c r="F1122" t="inlineStr"/>
      <c r="G1122" s="6">
        <f>HYPERLINK("https://www.kleinanzeigen.de/s-anzeige/vorzelt-luftvorzelt-cirrus-north-400-von-isabella/2857024719-230-27048", "Link")</f>
        <v/>
      </c>
      <c r="H1122" s="6">
        <f>HYPERLINK("C:\Projects\Kleinanzeigen-Scraper\offer_images\2857024719", "Link")</f>
        <v/>
      </c>
      <c r="I1122" t="inlineStr">
        <is>
          <t>Martin Töpper</t>
        </is>
      </c>
      <c r="J1122" s="6">
        <f>HYPERLINK("https://www.kleinanzeigen.de/s-bestandsliste.html?userId=90486", "Link")</f>
        <v/>
      </c>
      <c r="K1122" s="7" t="n">
        <v>45549.58069444444</v>
      </c>
      <c r="L1122" s="3" t="inlineStr">
        <is>
          <t>398.11</t>
        </is>
      </c>
      <c r="M1122" t="inlineStr">
        <is>
          <t>Köln</t>
        </is>
      </c>
    </row>
    <row r="1123">
      <c r="A1123" t="inlineStr">
        <is>
          <t>Fotobox mieten in Kirn Idar-Oberstein Koblenz Simmern</t>
        </is>
      </c>
      <c r="B1123" s="4" t="n">
        <v>199</v>
      </c>
      <c r="C1123" t="inlineStr"/>
      <c r="D1123" t="inlineStr">
        <is>
          <t>56075 Rheinland-Pfalz - Koblenz</t>
        </is>
      </c>
      <c r="E1123" s="5" t="n">
        <v>45517</v>
      </c>
      <c r="F1123" t="inlineStr"/>
      <c r="G1123" s="6">
        <f>HYPERLINK("https://www.kleinanzeigen.de/s-anzeige/fotobox-mieten-in-kirn-idar-oberstein-koblenz-simmern/2835915372-233-5422", "Link")</f>
        <v/>
      </c>
      <c r="H1123" s="6">
        <f>HYPERLINK("C:\Projects\Kleinanzeigen-Scraper\offer_images\2835915372", "Link")</f>
        <v/>
      </c>
      <c r="I1123" t="inlineStr">
        <is>
          <t>TF Event - Tobias Filbrich</t>
        </is>
      </c>
      <c r="J1123" s="6">
        <f>HYPERLINK("https://www.kleinanzeigen.de/s-bestandsliste.html?userId=58068806", "Link")</f>
        <v/>
      </c>
      <c r="K1123" s="7" t="n">
        <v>45549.58069444444</v>
      </c>
      <c r="L1123" s="3" t="inlineStr">
        <is>
          <t>81.61</t>
        </is>
      </c>
      <c r="M1123" t="inlineStr">
        <is>
          <t>Köln</t>
        </is>
      </c>
    </row>
    <row r="1124">
      <c r="A1124" t="inlineStr">
        <is>
          <t>Fanatic Kinder SUP Paddle Ripper Carbon</t>
        </is>
      </c>
      <c r="B1124" s="4" t="n">
        <v>45</v>
      </c>
      <c r="C1124" t="inlineStr"/>
      <c r="D1124" t="inlineStr">
        <is>
          <t>81669 München - Au-Haidhausen</t>
        </is>
      </c>
      <c r="E1124" s="5" t="n">
        <v>45547</v>
      </c>
      <c r="F1124" t="inlineStr">
        <is>
          <t>Sold</t>
        </is>
      </c>
      <c r="G1124" s="6">
        <f>HYPERLINK("https://www.kleinanzeigen.de/s-anzeige/fanatic-kinder-sup-paddle-ripper-carbon/2861301731-230-16345", "Link")</f>
        <v/>
      </c>
      <c r="H1124" s="6">
        <f>HYPERLINK("C:\Projects\Kleinanzeigen-Scraper\offer_images\2861301731", "Link")</f>
        <v/>
      </c>
      <c r="I1124" t="inlineStr">
        <is>
          <t>Claudia</t>
        </is>
      </c>
      <c r="J1124" s="6">
        <f>HYPERLINK("https://www.kleinanzeigen.de/s-bestandsliste.html?userId=4889514", "Link")</f>
        <v/>
      </c>
      <c r="K1124" s="7" t="n">
        <v>45549.58068287037</v>
      </c>
      <c r="L1124" s="3" t="inlineStr">
        <is>
          <t>3.61</t>
        </is>
      </c>
      <c r="M1124" t="inlineStr">
        <is>
          <t>München</t>
        </is>
      </c>
    </row>
    <row r="1125">
      <c r="A1125" t="inlineStr">
        <is>
          <t>Naish Jet Foil 1150er Front Wing und 215er Stabilizer - Neu</t>
        </is>
      </c>
      <c r="B1125" s="4" t="n">
        <v>290</v>
      </c>
      <c r="C1125" t="inlineStr">
        <is>
          <t>VB</t>
        </is>
      </c>
      <c r="D1125" t="inlineStr">
        <is>
          <t>14129 Berlin - Zehlendorf</t>
        </is>
      </c>
      <c r="E1125" s="5" t="n">
        <v>45545</v>
      </c>
      <c r="F1125" t="inlineStr">
        <is>
          <t>Sold</t>
        </is>
      </c>
      <c r="G1125" s="6">
        <f>HYPERLINK("https://www.kleinanzeigen.de/s-anzeige/naish-jet-foil-1150er-front-wing-und-215er-stabilizer-neu/2859290752-230-3530", "Link")</f>
        <v/>
      </c>
      <c r="H1125" s="6">
        <f>HYPERLINK("C:\Projects\Kleinanzeigen-Scraper\offer_images\2859290752", "Link")</f>
        <v/>
      </c>
      <c r="I1125" t="inlineStr">
        <is>
          <t>Dirk</t>
        </is>
      </c>
      <c r="J1125" s="6">
        <f>HYPERLINK("https://www.kleinanzeigen.de/s-bestandsliste.html?userId=23044675", "Link")</f>
        <v/>
      </c>
      <c r="K1125" s="7" t="n">
        <v>45549.58067129629</v>
      </c>
      <c r="L1125" s="3" t="inlineStr">
        <is>
          <t>461.31</t>
        </is>
      </c>
      <c r="M1125" t="inlineStr">
        <is>
          <t>Köln</t>
        </is>
      </c>
    </row>
    <row r="1126">
      <c r="A1126" t="inlineStr">
        <is>
          <t>Neorprenanzug Kinder Gr. 10 Neilpryde</t>
        </is>
      </c>
      <c r="B1126" s="4" t="n">
        <v>25</v>
      </c>
      <c r="C1126" t="inlineStr"/>
      <c r="D1126" t="inlineStr">
        <is>
          <t>26689 Niedersachsen - Apen</t>
        </is>
      </c>
      <c r="E1126" s="5" t="n">
        <v>45495</v>
      </c>
      <c r="F1126" t="inlineStr">
        <is>
          <t>Sold</t>
        </is>
      </c>
      <c r="G1126" s="6">
        <f>HYPERLINK("https://www.kleinanzeigen.de/s-anzeige/neorprenanzug-kinder-gr-10-neilpryde/2818290405-230-2642", "Link")</f>
        <v/>
      </c>
      <c r="H1126" s="6">
        <f>HYPERLINK("C:\Projects\Kleinanzeigen-Scraper\offer_images\2818290405", "Link")</f>
        <v/>
      </c>
      <c r="I1126" t="inlineStr">
        <is>
          <t>Zech</t>
        </is>
      </c>
      <c r="J1126" s="6">
        <f>HYPERLINK("https://www.kleinanzeigen.de/s-bestandsliste.html?userId=5704135", "Link")</f>
        <v/>
      </c>
      <c r="K1126" s="7" t="n">
        <v>45549.58067129629</v>
      </c>
      <c r="L1126" s="3" t="inlineStr">
        <is>
          <t>258.00</t>
        </is>
      </c>
      <c r="M1126" t="inlineStr">
        <is>
          <t>Köln</t>
        </is>
      </c>
    </row>
    <row r="1127">
      <c r="A1127" t="inlineStr">
        <is>
          <t>Naish Alana ISUP stand up Paddelns</t>
        </is>
      </c>
      <c r="B1127" s="4" t="n">
        <v>499</v>
      </c>
      <c r="C1127" t="inlineStr"/>
      <c r="D1127" t="inlineStr">
        <is>
          <t>22457 Eimsbüttel - Hamburg Schnelsen</t>
        </is>
      </c>
      <c r="E1127" s="5" t="n">
        <v>45565</v>
      </c>
      <c r="F1127" t="inlineStr"/>
      <c r="G1127" s="6">
        <f>HYPERLINK("https://www.kleinanzeigen.de/s-anzeige/naish-alana-isup-stand-up-paddelns/2724839138-230-9492", "Link")</f>
        <v/>
      </c>
      <c r="H1127" s="6">
        <f>HYPERLINK("C:\Projects\Kleinanzeigen-Scraper\offer_images\2724839138", "Link")</f>
        <v/>
      </c>
      <c r="I1127" t="inlineStr">
        <is>
          <t>No user name</t>
        </is>
      </c>
      <c r="J1127" s="6">
        <f>HYPERLINK("https://www.kleinanzeigen.deNo user link", "Link")</f>
        <v/>
      </c>
      <c r="K1127" s="7" t="n">
        <v>45549.58065972223</v>
      </c>
      <c r="L1127" s="3" t="inlineStr">
        <is>
          <t>362.41</t>
        </is>
      </c>
      <c r="M1127" t="inlineStr">
        <is>
          <t>Köln</t>
        </is>
      </c>
    </row>
    <row r="1128">
      <c r="A1128" t="inlineStr">
        <is>
          <t>Kitesurf  NORTH ORBIT 12   NEU NEW</t>
        </is>
      </c>
      <c r="B1128" s="4" t="n">
        <v>990</v>
      </c>
      <c r="C1128" t="inlineStr"/>
      <c r="D1128" t="inlineStr">
        <is>
          <t>87629 Bayern - Füssen</t>
        </is>
      </c>
      <c r="E1128" s="5" t="n">
        <v>45548</v>
      </c>
      <c r="F1128" t="inlineStr">
        <is>
          <t>Sold</t>
        </is>
      </c>
      <c r="G1128" s="6">
        <f>HYPERLINK("https://www.kleinanzeigen.de/s-anzeige/kitesurf-north-orbit-12-neu-new/2861949377-230-6564", "Link")</f>
        <v/>
      </c>
      <c r="H1128" s="6">
        <f>HYPERLINK("C:\Projects\Kleinanzeigen-Scraper\offer_images\2861949377", "Link")</f>
        <v/>
      </c>
      <c r="I1128" t="inlineStr">
        <is>
          <t>Claus</t>
        </is>
      </c>
      <c r="J1128" s="6">
        <f>HYPERLINK("https://www.kleinanzeigen.de/s-bestandsliste.html?userId=82330438", "Link")</f>
        <v/>
      </c>
      <c r="K1128" s="7" t="n">
        <v>45549.58065972223</v>
      </c>
      <c r="L1128" s="3" t="inlineStr">
        <is>
          <t>92.19</t>
        </is>
      </c>
      <c r="M1128" t="inlineStr">
        <is>
          <t>München</t>
        </is>
      </c>
    </row>
    <row r="1129">
      <c r="A1129" t="inlineStr">
        <is>
          <t>Trockenanzug von Starboard, Größe S - wie neu</t>
        </is>
      </c>
      <c r="B1129" s="4" t="n">
        <v>299</v>
      </c>
      <c r="C1129" t="inlineStr"/>
      <c r="D1129" t="inlineStr">
        <is>
          <t>82211 Bayern - Herrsching</t>
        </is>
      </c>
      <c r="E1129" s="5" t="n">
        <v>45539</v>
      </c>
      <c r="F1129" t="inlineStr"/>
      <c r="G1129" s="6">
        <f>HYPERLINK("https://www.kleinanzeigen.de/s-anzeige/trockenanzug-von-starboard-groesse-s-wie-neu/2847389065-230-5520", "Link")</f>
        <v/>
      </c>
      <c r="H1129" s="6">
        <f>HYPERLINK("C:\Projects\Kleinanzeigen-Scraper\offer_images\2847389065", "Link")</f>
        <v/>
      </c>
      <c r="I1129" t="inlineStr">
        <is>
          <t>Marie</t>
        </is>
      </c>
      <c r="J1129" s="6">
        <f>HYPERLINK("https://www.kleinanzeigen.de/s-bestandsliste.html?userId=72461653", "Link")</f>
        <v/>
      </c>
      <c r="K1129" s="7" t="n">
        <v>45549.58065972223</v>
      </c>
      <c r="L1129" s="3" t="inlineStr">
        <is>
          <t>32.73</t>
        </is>
      </c>
      <c r="M1129" t="inlineStr">
        <is>
          <t>München</t>
        </is>
      </c>
    </row>
    <row r="1130">
      <c r="A1130" t="inlineStr">
        <is>
          <t>Duotone Evo D/Lab 2024 in 13m²</t>
        </is>
      </c>
      <c r="B1130" s="4" t="n">
        <v>1.649</v>
      </c>
      <c r="C1130" t="inlineStr">
        <is>
          <t>VB</t>
        </is>
      </c>
      <c r="D1130" t="inlineStr">
        <is>
          <t>22303 Hamburg-Nord - Hamburg Winterhude</t>
        </is>
      </c>
      <c r="E1130" s="5" t="n">
        <v>45548</v>
      </c>
      <c r="F1130" t="inlineStr">
        <is>
          <t>Sold</t>
        </is>
      </c>
      <c r="G1130" s="6">
        <f>HYPERLINK("https://www.kleinanzeigen.de/s-anzeige/duotone-evo-d-lab-2024-in-13m-/2862201680-230-9482", "Link")</f>
        <v/>
      </c>
      <c r="H1130" s="6">
        <f>HYPERLINK("C:\Projects\Kleinanzeigen-Scraper\offer_images\2862201680", "Link")</f>
        <v/>
      </c>
      <c r="I1130" t="inlineStr">
        <is>
          <t>Mathias</t>
        </is>
      </c>
      <c r="J1130" s="6">
        <f>HYPERLINK("https://www.kleinanzeigen.de/s-bestandsliste.html?userId=7146021", "Link")</f>
        <v/>
      </c>
      <c r="K1130" s="7" t="n">
        <v>45549.58065972223</v>
      </c>
      <c r="L1130" s="3" t="inlineStr">
        <is>
          <t>361.45</t>
        </is>
      </c>
      <c r="M1130" t="inlineStr">
        <is>
          <t>Köln</t>
        </is>
      </c>
    </row>
    <row r="1131">
      <c r="A1131" t="inlineStr">
        <is>
          <t>Duotone Dice 9m Kite</t>
        </is>
      </c>
      <c r="B1131" s="4" t="n">
        <v>460</v>
      </c>
      <c r="C1131" t="inlineStr"/>
      <c r="D1131" t="inlineStr">
        <is>
          <t>04103 Leipzig - Leipzig, Zentrum</t>
        </is>
      </c>
      <c r="E1131" s="5" t="n">
        <v>45548</v>
      </c>
      <c r="F1131" t="inlineStr">
        <is>
          <t>Sold</t>
        </is>
      </c>
      <c r="G1131" s="6">
        <f>HYPERLINK("https://www.kleinanzeigen.de/s-anzeige/duotone-dice-9m-kite/2862376054-230-4259", "Link")</f>
        <v/>
      </c>
      <c r="H1131" s="6">
        <f>HYPERLINK("C:\Projects\Kleinanzeigen-Scraper\offer_images\2862376054", "Link")</f>
        <v/>
      </c>
      <c r="I1131" t="inlineStr">
        <is>
          <t>Tim Mewe</t>
        </is>
      </c>
      <c r="J1131" s="6">
        <f>HYPERLINK("https://www.kleinanzeigen.de/s-bestandsliste.html?userId=36454152", "Link")</f>
        <v/>
      </c>
      <c r="K1131" s="7" t="n">
        <v>45549.58065972223</v>
      </c>
      <c r="L1131" s="3" t="inlineStr">
        <is>
          <t>359.97</t>
        </is>
      </c>
      <c r="M1131" t="inlineStr">
        <is>
          <t>München</t>
        </is>
      </c>
    </row>
    <row r="1132">
      <c r="A1132" t="inlineStr">
        <is>
          <t>Naish Pivot LE Kite 2024 Neu 10 qm Kitesurfen</t>
        </is>
      </c>
      <c r="B1132" s="4" t="n">
        <v>1.097</v>
      </c>
      <c r="C1132" t="inlineStr"/>
      <c r="D1132" t="inlineStr">
        <is>
          <t>22457 Eimsbüttel - Hamburg Schnelsen</t>
        </is>
      </c>
      <c r="E1132" s="5" t="n">
        <v>45536</v>
      </c>
      <c r="F1132" t="inlineStr">
        <is>
          <t>Sold</t>
        </is>
      </c>
      <c r="G1132" s="6">
        <f>HYPERLINK("https://www.kleinanzeigen.de/s-anzeige/naish-pivot-le-kite-2024-neu-10-qm-kitesurfen/2725583604-230-9492", "Link")</f>
        <v/>
      </c>
      <c r="H1132" s="6">
        <f>HYPERLINK("C:\Projects\Kleinanzeigen-Scraper\offer_images\2725583604", "Link")</f>
        <v/>
      </c>
      <c r="I1132" t="inlineStr">
        <is>
          <t>No user name</t>
        </is>
      </c>
      <c r="J1132" s="6">
        <f>HYPERLINK("https://www.kleinanzeigen.deNo user link", "Link")</f>
        <v/>
      </c>
      <c r="K1132" s="7" t="n">
        <v>45549.58063657407</v>
      </c>
      <c r="L1132" s="3" t="inlineStr">
        <is>
          <t>362.41</t>
        </is>
      </c>
      <c r="M1132" t="inlineStr">
        <is>
          <t>Köln</t>
        </is>
      </c>
    </row>
    <row r="1133">
      <c r="A1133" t="inlineStr">
        <is>
          <t>North Orbit 10m2 2023er Modell</t>
        </is>
      </c>
      <c r="B1133" s="4" t="n">
        <v>579</v>
      </c>
      <c r="C1133" t="inlineStr"/>
      <c r="D1133" t="inlineStr">
        <is>
          <t>26723 Niedersachsen - Emden</t>
        </is>
      </c>
      <c r="E1133" s="5" t="n">
        <v>45544</v>
      </c>
      <c r="F1133" t="inlineStr">
        <is>
          <t>Sold</t>
        </is>
      </c>
      <c r="G1133" s="6">
        <f>HYPERLINK("https://www.kleinanzeigen.de/s-anzeige/north-orbit-10m2-2023er-modell/2858509517-230-3106", "Link")</f>
        <v/>
      </c>
      <c r="H1133" s="6">
        <f>HYPERLINK("C:\Projects\Kleinanzeigen-Scraper\offer_images\2858509517", "Link")</f>
        <v/>
      </c>
      <c r="I1133" t="inlineStr">
        <is>
          <t>Daniel</t>
        </is>
      </c>
      <c r="J1133" s="6">
        <f>HYPERLINK("https://www.kleinanzeigen.de/s-bestandsliste.html?userId=26003487", "Link")</f>
        <v/>
      </c>
      <c r="K1133" s="7" t="n">
        <v>45549.58063657407</v>
      </c>
      <c r="L1133" s="3" t="inlineStr">
        <is>
          <t>270.18</t>
        </is>
      </c>
      <c r="M1133" t="inlineStr">
        <is>
          <t>Köln</t>
        </is>
      </c>
    </row>
    <row r="1134">
      <c r="A1134" t="inlineStr">
        <is>
          <t>Historische Aktie "North American Rockwell Corporation"</t>
        </is>
      </c>
      <c r="B1134" s="4" t="n">
        <v>6</v>
      </c>
      <c r="C1134" t="inlineStr">
        <is>
          <t>VB</t>
        </is>
      </c>
      <c r="D1134" t="inlineStr">
        <is>
          <t>85229 Kr. Dachau - Markt Indersdorf</t>
        </is>
      </c>
      <c r="E1134" s="5" t="n">
        <v>45541</v>
      </c>
      <c r="F1134" t="inlineStr">
        <is>
          <t>Sold</t>
        </is>
      </c>
      <c r="G1134" s="6">
        <f>HYPERLINK("https://www.kleinanzeigen.de/s-anzeige/historische-aktie-north-american-rockwell-corporation-/2855423793-240-5978", "Link")</f>
        <v/>
      </c>
      <c r="H1134" s="6">
        <f>HYPERLINK("C:\Projects\Kleinanzeigen-Scraper\offer_images\2855423793", "Link")</f>
        <v/>
      </c>
      <c r="I1134" t="inlineStr">
        <is>
          <t>Doll</t>
        </is>
      </c>
      <c r="J1134" s="6">
        <f>HYPERLINK("https://www.kleinanzeigen.de/s-bestandsliste.html?userId=57316432", "Link")</f>
        <v/>
      </c>
      <c r="K1134" s="7" t="n">
        <v>45549.58061342593</v>
      </c>
      <c r="L1134" s="3" t="inlineStr">
        <is>
          <t>29.96</t>
        </is>
      </c>
      <c r="M1134" t="inlineStr">
        <is>
          <t>München</t>
        </is>
      </c>
    </row>
    <row r="1135">
      <c r="A1135" t="inlineStr">
        <is>
          <t>Fanatic Triple Action HP6 SUP-Luftpumpe Red</t>
        </is>
      </c>
      <c r="B1135" s="4" t="n">
        <v>50</v>
      </c>
      <c r="C1135" t="inlineStr">
        <is>
          <t>VB</t>
        </is>
      </c>
      <c r="D1135" t="inlineStr">
        <is>
          <t>38440 Niedersachsen - Wolfsburg</t>
        </is>
      </c>
      <c r="E1135" s="5" t="n">
        <v>45518</v>
      </c>
      <c r="F1135" t="inlineStr">
        <is>
          <t>Sold</t>
        </is>
      </c>
      <c r="G1135" s="6">
        <f>HYPERLINK("https://www.kleinanzeigen.de/s-anzeige/fanatic-triple-action-hp6-sup-luftpumpe-red/2837038141-230-3074", "Link")</f>
        <v/>
      </c>
      <c r="H1135" s="6">
        <f>HYPERLINK("C:\Projects\Kleinanzeigen-Scraper\offer_images\2837038141", "Link")</f>
        <v/>
      </c>
      <c r="I1135" t="inlineStr">
        <is>
          <t>Rafa_el</t>
        </is>
      </c>
      <c r="J1135" s="6">
        <f>HYPERLINK("https://www.kleinanzeigen.de/s-bestandsliste.html?userId=68268011", "Link")</f>
        <v/>
      </c>
      <c r="K1135" s="7" t="n">
        <v>45549.58061342593</v>
      </c>
      <c r="L1135" s="3" t="inlineStr">
        <is>
          <t>310.40</t>
        </is>
      </c>
      <c r="M1135" t="inlineStr">
        <is>
          <t>Köln</t>
        </is>
      </c>
    </row>
    <row r="1136">
      <c r="A1136" t="inlineStr">
        <is>
          <t>Fanatic SUP Hardboard Fly 11,6</t>
        </is>
      </c>
      <c r="B1136" s="4" t="n">
        <v>300</v>
      </c>
      <c r="C1136" t="inlineStr"/>
      <c r="D1136" t="inlineStr">
        <is>
          <t>94130 Bayern - Obernzell</t>
        </is>
      </c>
      <c r="E1136" s="5" t="n">
        <v>45519</v>
      </c>
      <c r="F1136" t="inlineStr">
        <is>
          <t>Sold</t>
        </is>
      </c>
      <c r="G1136" s="6">
        <f>HYPERLINK("https://www.kleinanzeigen.de/s-anzeige/fanatic-sup-hardboard-fly-11-6/2837586975-230-7455", "Link")</f>
        <v/>
      </c>
      <c r="H1136" s="6">
        <f>HYPERLINK("C:\Projects\Kleinanzeigen-Scraper\offer_images\2837586975", "Link")</f>
        <v/>
      </c>
      <c r="I1136" t="inlineStr">
        <is>
          <t>Martin Aigner</t>
        </is>
      </c>
      <c r="J1136" s="6">
        <f>HYPERLINK("https://www.kleinanzeigen.de/s-bestandsliste.html?userId=22603515", "Link")</f>
        <v/>
      </c>
      <c r="K1136" s="7" t="n">
        <v>45549.58061342593</v>
      </c>
      <c r="L1136" s="3" t="inlineStr">
        <is>
          <t>159.88</t>
        </is>
      </c>
      <c r="M1136" t="inlineStr">
        <is>
          <t>München</t>
        </is>
      </c>
    </row>
    <row r="1137">
      <c r="A1137" t="inlineStr">
        <is>
          <t>North / Duotone Clickbar M 22-24m Leinen Freerideloop 2018</t>
        </is>
      </c>
      <c r="B1137" s="4" t="n">
        <v>125</v>
      </c>
      <c r="C1137" t="inlineStr"/>
      <c r="D1137" t="inlineStr">
        <is>
          <t>30880 Niedersachsen - Laatzen</t>
        </is>
      </c>
      <c r="E1137" s="5" t="n">
        <v>45536</v>
      </c>
      <c r="F1137" t="inlineStr">
        <is>
          <t>Sold</t>
        </is>
      </c>
      <c r="G1137" s="6">
        <f>HYPERLINK("https://www.kleinanzeigen.de/s-anzeige/north-duotone-clickbar-m-22-24m-leinen-freerideloop-2018/2851900219-230-2893", "Link")</f>
        <v/>
      </c>
      <c r="H1137" s="6">
        <f>HYPERLINK("C:\Projects\Kleinanzeigen-Scraper\offer_images\2851900219", "Link")</f>
        <v/>
      </c>
      <c r="I1137" t="inlineStr">
        <is>
          <t>Marc</t>
        </is>
      </c>
      <c r="J1137" s="6">
        <f>HYPERLINK("https://www.kleinanzeigen.de/s-bestandsliste.html?userId=25420897", "Link")</f>
        <v/>
      </c>
      <c r="K1137" s="7" t="n">
        <v>45549.58059027778</v>
      </c>
      <c r="L1137" s="3" t="inlineStr">
        <is>
          <t>249.44</t>
        </is>
      </c>
      <c r="M1137" t="inlineStr">
        <is>
          <t>Köln</t>
        </is>
      </c>
    </row>
    <row r="1138">
      <c r="A1138" t="inlineStr">
        <is>
          <t>North Bar 5th Element von 2009</t>
        </is>
      </c>
      <c r="B1138" s="4" t="n">
        <v>50</v>
      </c>
      <c r="C1138" t="inlineStr">
        <is>
          <t>VB</t>
        </is>
      </c>
      <c r="D1138" t="inlineStr">
        <is>
          <t>28865 Niedersachsen - Lilienthal</t>
        </is>
      </c>
      <c r="E1138" s="5" t="n">
        <v>45543</v>
      </c>
      <c r="F1138" t="inlineStr">
        <is>
          <t>Sold</t>
        </is>
      </c>
      <c r="G1138" s="6">
        <f>HYPERLINK("https://www.kleinanzeigen.de/s-anzeige/north-bar-5th-element-von-2009/2857537602-230-2650", "Link")</f>
        <v/>
      </c>
      <c r="H1138" s="6">
        <f>HYPERLINK("C:\Projects\Kleinanzeigen-Scraper\offer_images\2857537602", "Link")</f>
        <v/>
      </c>
      <c r="I1138" t="inlineStr">
        <is>
          <t>Swantje Albrecht</t>
        </is>
      </c>
      <c r="J1138" s="6">
        <f>HYPERLINK("https://www.kleinanzeigen.de/s-bestandsliste.html?userId=15118179", "Link")</f>
        <v/>
      </c>
      <c r="K1138" s="7" t="n">
        <v>45549.58059027778</v>
      </c>
      <c r="L1138" s="3" t="inlineStr">
        <is>
          <t>280.02</t>
        </is>
      </c>
      <c r="M1138" t="inlineStr">
        <is>
          <t>Köln</t>
        </is>
      </c>
    </row>
    <row r="1139">
      <c r="A1139" t="inlineStr">
        <is>
          <t>RRD Religion 5m Y25 Kite Wavekite</t>
        </is>
      </c>
      <c r="B1139" s="4" t="n">
        <v>420</v>
      </c>
      <c r="C1139" t="inlineStr"/>
      <c r="D1139" t="inlineStr">
        <is>
          <t>26935 Niedersachsen - Stadland</t>
        </is>
      </c>
      <c r="E1139" s="5" t="n">
        <v>45447</v>
      </c>
      <c r="F1139" t="inlineStr">
        <is>
          <t>Sold</t>
        </is>
      </c>
      <c r="G1139" s="6">
        <f>HYPERLINK("https://www.kleinanzeigen.de/s-anzeige/rrd-religion-5m-y25-kite-wavekite/2780128391-230-2698", "Link")</f>
        <v/>
      </c>
      <c r="H1139" s="6">
        <f>HYPERLINK("C:\Projects\Kleinanzeigen-Scraper\offer_images\2780128391", "Link")</f>
        <v/>
      </c>
      <c r="I1139" t="inlineStr">
        <is>
          <t>Catha</t>
        </is>
      </c>
      <c r="J1139" s="6">
        <f>HYPERLINK("https://www.kleinanzeigen.de/s-bestandsliste.html?userId=1745725", "Link")</f>
        <v/>
      </c>
      <c r="K1139" s="7" t="n">
        <v>45549.58059027778</v>
      </c>
      <c r="L1139" s="3" t="inlineStr">
        <is>
          <t>292.54</t>
        </is>
      </c>
      <c r="M1139" t="inlineStr">
        <is>
          <t>Köln</t>
        </is>
      </c>
    </row>
    <row r="1140">
      <c r="A1140" t="inlineStr">
        <is>
          <t>Duotone Dice 2020 10m</t>
        </is>
      </c>
      <c r="B1140" s="4" t="n">
        <v>350</v>
      </c>
      <c r="C1140" t="inlineStr"/>
      <c r="D1140" t="inlineStr">
        <is>
          <t>22081 Hamburg-Nord - Hamburg Barmbek</t>
        </is>
      </c>
      <c r="E1140" s="5" t="n">
        <v>45548</v>
      </c>
      <c r="F1140" t="inlineStr">
        <is>
          <t>Sold</t>
        </is>
      </c>
      <c r="G1140" s="6">
        <f>HYPERLINK("https://www.kleinanzeigen.de/s-anzeige/duotone-dice-2020-10m/2862065591-230-9468", "Link")</f>
        <v/>
      </c>
      <c r="H1140" s="6">
        <f>HYPERLINK("C:\Projects\Kleinanzeigen-Scraper\offer_images\2862065591", "Link")</f>
        <v/>
      </c>
      <c r="I1140" t="inlineStr">
        <is>
          <t>Gösta</t>
        </is>
      </c>
      <c r="J1140" s="6">
        <f>HYPERLINK("https://www.kleinanzeigen.de/s-bestandsliste.html?userId=255647", "Link")</f>
        <v/>
      </c>
      <c r="K1140" s="7" t="n">
        <v>45549.58059027778</v>
      </c>
      <c r="L1140" s="3" t="inlineStr">
        <is>
          <t>361.28</t>
        </is>
      </c>
      <c r="M1140" t="inlineStr">
        <is>
          <t>Köln</t>
        </is>
      </c>
    </row>
    <row r="1141">
      <c r="A1141" t="inlineStr">
        <is>
          <t>Duotone / Fanatic Foil Mast+Fuselage</t>
        </is>
      </c>
      <c r="B1141" s="4" t="n">
        <v>250</v>
      </c>
      <c r="C1141" t="inlineStr">
        <is>
          <t>VB</t>
        </is>
      </c>
      <c r="D1141" t="inlineStr">
        <is>
          <t>24248 Schleswig-Holstein - Mönkeberg</t>
        </is>
      </c>
      <c r="E1141" s="5" t="n">
        <v>45545</v>
      </c>
      <c r="F1141" t="inlineStr">
        <is>
          <t>Sold</t>
        </is>
      </c>
      <c r="G1141" s="6">
        <f>HYPERLINK("https://www.kleinanzeigen.de/s-anzeige/duotone-fanatic-foil-mast-fuselage/2859654171-230-666", "Link")</f>
        <v/>
      </c>
      <c r="H1141" s="6">
        <f>HYPERLINK("C:\Projects\Kleinanzeigen-Scraper\offer_images\2859654171", "Link")</f>
        <v/>
      </c>
      <c r="I1141" t="inlineStr">
        <is>
          <t>Malik Humeida</t>
        </is>
      </c>
      <c r="J1141" s="6">
        <f>HYPERLINK("https://www.kleinanzeigen.de/s-bestandsliste.html?userId=78353540", "Link")</f>
        <v/>
      </c>
      <c r="K1141" s="7" t="n">
        <v>45549.58056712963</v>
      </c>
      <c r="L1141" s="3" t="inlineStr">
        <is>
          <t>437.31</t>
        </is>
      </c>
      <c r="M1141" t="inlineStr">
        <is>
          <t>Köln</t>
        </is>
      </c>
    </row>
    <row r="1142">
      <c r="A1142" t="inlineStr">
        <is>
          <t>Duotone Rebel 14qm (2019)</t>
        </is>
      </c>
      <c r="B1142" s="4" t="n">
        <v>850</v>
      </c>
      <c r="C1142" t="inlineStr"/>
      <c r="D1142" t="inlineStr">
        <is>
          <t>22297 Hamburg-Nord - Hamburg Alsterdorf</t>
        </is>
      </c>
      <c r="E1142" s="5" t="n">
        <v>45547</v>
      </c>
      <c r="F1142" t="inlineStr">
        <is>
          <t>Sold</t>
        </is>
      </c>
      <c r="G1142" s="6">
        <f>HYPERLINK("https://www.kleinanzeigen.de/s-anzeige/duotone-rebel-14qm-2019-/2861360801-230-16438", "Link")</f>
        <v/>
      </c>
      <c r="H1142" s="6">
        <f>HYPERLINK("C:\Projects\Kleinanzeigen-Scraper\offer_images\2861360801", "Link")</f>
        <v/>
      </c>
      <c r="I1142" t="inlineStr">
        <is>
          <t>Janina</t>
        </is>
      </c>
      <c r="J1142" s="6">
        <f>HYPERLINK("https://www.kleinanzeigen.de/s-bestandsliste.html?userId=22360925", "Link")</f>
        <v/>
      </c>
      <c r="K1142" s="7" t="n">
        <v>45549.58056712963</v>
      </c>
      <c r="L1142" s="3" t="inlineStr">
        <is>
          <t>362.41</t>
        </is>
      </c>
      <c r="M1142" t="inlineStr">
        <is>
          <t>Köln</t>
        </is>
      </c>
    </row>
    <row r="1143">
      <c r="A1143" t="inlineStr">
        <is>
          <t>Neilpryde Neoprenanzug Serie 3000 5/3, Größe 10, Youth</t>
        </is>
      </c>
      <c r="B1143" s="4" t="n">
        <v>40</v>
      </c>
      <c r="C1143" t="inlineStr">
        <is>
          <t>VB</t>
        </is>
      </c>
      <c r="D1143" t="inlineStr">
        <is>
          <t>45259 Essen - Essen-Ruhrhalbinsel</t>
        </is>
      </c>
      <c r="E1143" s="5" t="n">
        <v>45497</v>
      </c>
      <c r="F1143" t="inlineStr">
        <is>
          <t>Sold</t>
        </is>
      </c>
      <c r="G1143" s="6">
        <f>HYPERLINK("https://www.kleinanzeigen.de/s-anzeige/neilpryde-neoprenanzug-serie-3000-5-3-groesse-10-youth/2819911908-230-2038", "Link")</f>
        <v/>
      </c>
      <c r="H1143" s="6">
        <f>HYPERLINK("C:\Projects\Kleinanzeigen-Scraper\offer_images\2819911908", "Link")</f>
        <v/>
      </c>
      <c r="I1143" t="inlineStr">
        <is>
          <t>F. Fischer</t>
        </is>
      </c>
      <c r="J1143" s="6">
        <f>HYPERLINK("https://www.kleinanzeigen.de/s-bestandsliste.html?userId=17700500", "Link")</f>
        <v/>
      </c>
      <c r="K1143" s="7" t="n">
        <v>45549.58056712963</v>
      </c>
      <c r="L1143" s="3" t="inlineStr">
        <is>
          <t>52.13</t>
        </is>
      </c>
      <c r="M1143" t="inlineStr">
        <is>
          <t>Köln</t>
        </is>
      </c>
    </row>
    <row r="1144">
      <c r="A1144" t="inlineStr">
        <is>
          <t>North Vegas 7m² Kitesurfen (heute Duotone)</t>
        </is>
      </c>
      <c r="B1144" s="4" t="n">
        <v>90</v>
      </c>
      <c r="C1144" t="inlineStr"/>
      <c r="D1144" t="inlineStr">
        <is>
          <t>50968 Köln - Raderberg</t>
        </is>
      </c>
      <c r="E1144" s="5" t="n">
        <v>45538</v>
      </c>
      <c r="F1144" t="inlineStr">
        <is>
          <t>Sold</t>
        </is>
      </c>
      <c r="G1144" s="6">
        <f>HYPERLINK("https://www.kleinanzeigen.de/s-anzeige/north-vegas-7m-kitesurfen-heute-duotone-/2853118057-230-28287", "Link")</f>
        <v/>
      </c>
      <c r="H1144" s="6">
        <f>HYPERLINK("C:\Projects\Kleinanzeigen-Scraper\offer_images\2853118057", "Link")</f>
        <v/>
      </c>
      <c r="I1144" t="inlineStr">
        <is>
          <t>Dirk</t>
        </is>
      </c>
      <c r="J1144" s="6">
        <f>HYPERLINK("https://www.kleinanzeigen.de/s-bestandsliste.html?userId=4249954", "Link")</f>
        <v/>
      </c>
      <c r="K1144" s="7" t="n">
        <v>45549.58056712963</v>
      </c>
      <c r="L1144" s="3" t="inlineStr">
        <is>
          <t>4.01</t>
        </is>
      </c>
      <c r="M1144" t="inlineStr">
        <is>
          <t>Köln</t>
        </is>
      </c>
    </row>
    <row r="1145">
      <c r="A1145" t="inlineStr">
        <is>
          <t>North American Rescue NAR Army Cls</t>
        </is>
      </c>
      <c r="B1145" s="4" t="n">
        <v>200</v>
      </c>
      <c r="C1145" t="inlineStr"/>
      <c r="D1145" t="inlineStr">
        <is>
          <t>90411 Nürnberg (Mittelfr) - Nordstadt</t>
        </is>
      </c>
      <c r="E1145" s="5" t="n">
        <v>45538</v>
      </c>
      <c r="F1145" t="inlineStr">
        <is>
          <t>Sold</t>
        </is>
      </c>
      <c r="G1145" s="6">
        <f>HYPERLINK("https://www.kleinanzeigen.de/s-anzeige/north-american-rescue-nar-army-cls/2853015069-230-6821", "Link")</f>
        <v/>
      </c>
      <c r="H1145" s="6">
        <f>HYPERLINK("C:\Projects\Kleinanzeigen-Scraper\offer_images\2853015069", "Link")</f>
        <v/>
      </c>
      <c r="I1145" t="inlineStr">
        <is>
          <t>Marcus</t>
        </is>
      </c>
      <c r="J1145" s="6">
        <f>HYPERLINK("https://www.kleinanzeigen.de/s-bestandsliste.html?userId=4186333", "Link")</f>
        <v/>
      </c>
      <c r="K1145" s="7" t="n">
        <v>45549.58055555556</v>
      </c>
      <c r="L1145" s="3" t="inlineStr">
        <is>
          <t>154.54</t>
        </is>
      </c>
      <c r="M1145" t="inlineStr">
        <is>
          <t>München</t>
        </is>
      </c>
    </row>
    <row r="1146">
      <c r="A1146" t="inlineStr">
        <is>
          <t>North Orbit 2022 in 10 qm</t>
        </is>
      </c>
      <c r="B1146" s="4" t="n">
        <v>500</v>
      </c>
      <c r="C1146" t="inlineStr">
        <is>
          <t>VB</t>
        </is>
      </c>
      <c r="D1146" t="inlineStr">
        <is>
          <t>24114 Schleswig-Holstein - Kiel</t>
        </is>
      </c>
      <c r="E1146" s="5" t="n">
        <v>45543</v>
      </c>
      <c r="F1146" t="inlineStr">
        <is>
          <t>Sold</t>
        </is>
      </c>
      <c r="G1146" s="6">
        <f>HYPERLINK("https://www.kleinanzeigen.de/s-anzeige/north-orbit-2022-in-10-qm/2857963358-230-697", "Link")</f>
        <v/>
      </c>
      <c r="H1146" s="6">
        <f>HYPERLINK("C:\Projects\Kleinanzeigen-Scraper\offer_images\2857963358", "Link")</f>
        <v/>
      </c>
      <c r="I1146" t="inlineStr">
        <is>
          <t>Moritz</t>
        </is>
      </c>
      <c r="J1146" s="6">
        <f>HYPERLINK("https://www.kleinanzeigen.de/s-bestandsliste.html?userId=67292232", "Link")</f>
        <v/>
      </c>
      <c r="K1146" s="7" t="n">
        <v>45549.58055555556</v>
      </c>
      <c r="L1146" s="3" t="inlineStr">
        <is>
          <t>431.59</t>
        </is>
      </c>
      <c r="M1146" t="inlineStr">
        <is>
          <t>Köln</t>
        </is>
      </c>
    </row>
    <row r="1147">
      <c r="A1147" t="inlineStr">
        <is>
          <t>SIMMS Wathose Waders G4 Pro L 9-11</t>
        </is>
      </c>
      <c r="B1147" s="4" t="n">
        <v>775</v>
      </c>
      <c r="C1147" t="inlineStr"/>
      <c r="D1147" t="inlineStr">
        <is>
          <t>23556 Schleswig-Holstein - Lübeck</t>
        </is>
      </c>
      <c r="E1147" s="5" t="n">
        <v>45511</v>
      </c>
      <c r="F1147" t="inlineStr"/>
      <c r="G1147" s="6">
        <f>HYPERLINK("https://www.kleinanzeigen.de/s-anzeige/simms-wathose-waders-g4-pro-l-9-11/2831253490-230-413", "Link")</f>
        <v/>
      </c>
      <c r="H1147" s="6">
        <f>HYPERLINK("C:\Projects\Kleinanzeigen-Scraper\offer_images\2831253490", "Link")</f>
        <v/>
      </c>
      <c r="I1147" t="inlineStr">
        <is>
          <t>Peer</t>
        </is>
      </c>
      <c r="J1147" s="6">
        <f>HYPERLINK("https://www.kleinanzeigen.de/s-bestandsliste.html?userId=10875984", "Link")</f>
        <v/>
      </c>
      <c r="K1147" s="7" t="n">
        <v>45549.58055555556</v>
      </c>
      <c r="L1147" s="3" t="inlineStr">
        <is>
          <t>409.59</t>
        </is>
      </c>
      <c r="M1147" t="inlineStr">
        <is>
          <t>Köln</t>
        </is>
      </c>
    </row>
    <row r="1148">
      <c r="A1148" t="inlineStr">
        <is>
          <t>EINARSSON 3 PLUS FLY REEL-FLIEGENROLLE-SIMMS-FLIEGENFISCHEN</t>
        </is>
      </c>
      <c r="B1148" s="4" t="n">
        <v>255</v>
      </c>
      <c r="C1148" t="inlineStr"/>
      <c r="D1148" t="inlineStr">
        <is>
          <t>28816 Niedersachsen - Stuhr</t>
        </is>
      </c>
      <c r="E1148" s="5" t="n">
        <v>45513</v>
      </c>
      <c r="F1148" t="inlineStr">
        <is>
          <t>Sold</t>
        </is>
      </c>
      <c r="G1148" s="6">
        <f>HYPERLINK("https://www.kleinanzeigen.de/s-anzeige/einarsson-3-plus-fly-reel-fliegenrolle-simms-fliegenfischen/2832859120-187-2735", "Link")</f>
        <v/>
      </c>
      <c r="H1148" s="6">
        <f>HYPERLINK("C:\Projects\Kleinanzeigen-Scraper\offer_images\2832859120", "Link")</f>
        <v/>
      </c>
      <c r="I1148" t="inlineStr">
        <is>
          <t>Jörg</t>
        </is>
      </c>
      <c r="J1148" s="6">
        <f>HYPERLINK("https://www.kleinanzeigen.de/s-bestandsliste.html?userId=13899147", "Link")</f>
        <v/>
      </c>
      <c r="K1148" s="7" t="n">
        <v>45549.58053240741</v>
      </c>
      <c r="L1148" s="3" t="inlineStr">
        <is>
          <t>259.72</t>
        </is>
      </c>
      <c r="M1148" t="inlineStr">
        <is>
          <t>Köln</t>
        </is>
      </c>
    </row>
    <row r="1149">
      <c r="A1149" t="inlineStr">
        <is>
          <t>RRD Religion 8qm MK7 sehr guter Zustand  Wave Kite</t>
        </is>
      </c>
      <c r="B1149" s="4" t="n">
        <v>200</v>
      </c>
      <c r="C1149" t="inlineStr"/>
      <c r="D1149" t="inlineStr">
        <is>
          <t>73779 Baden-Württemberg - Deizisau</t>
        </is>
      </c>
      <c r="E1149" s="5" t="n">
        <v>45538</v>
      </c>
      <c r="F1149" t="inlineStr">
        <is>
          <t>Sold</t>
        </is>
      </c>
      <c r="G1149" s="6">
        <f>HYPERLINK("https://www.kleinanzeigen.de/s-anzeige/rrd-religion-8qm-mk7-sehr-guter-zustand-wave-kite/2853627987-230-8393", "Link")</f>
        <v/>
      </c>
      <c r="H1149" s="6">
        <f>HYPERLINK("C:\Projects\Kleinanzeigen-Scraper\offer_images\2853627987", "Link")</f>
        <v/>
      </c>
      <c r="I1149" t="inlineStr">
        <is>
          <t>Kiteprofi</t>
        </is>
      </c>
      <c r="J1149" s="6">
        <f>HYPERLINK("https://www.kleinanzeigen.de/s-bestandsliste.html?userId=25261186", "Link")</f>
        <v/>
      </c>
      <c r="K1149" s="7" t="n">
        <v>45549.58053240741</v>
      </c>
      <c r="L1149" s="3" t="inlineStr">
        <is>
          <t>30.33</t>
        </is>
      </c>
      <c r="M1149" t="inlineStr">
        <is>
          <t>Böblingen</t>
        </is>
      </c>
    </row>
    <row r="1150">
      <c r="A1150" t="inlineStr">
        <is>
          <t>RRD Kite Foil + Board Set Dolphin 160</t>
        </is>
      </c>
      <c r="B1150" s="4" t="n">
        <v>675</v>
      </c>
      <c r="C1150" t="inlineStr">
        <is>
          <t>VB</t>
        </is>
      </c>
      <c r="D1150" t="inlineStr">
        <is>
          <t>45147 Essen-West - Holsterhausen</t>
        </is>
      </c>
      <c r="E1150" s="5" t="n">
        <v>45475</v>
      </c>
      <c r="F1150" t="inlineStr">
        <is>
          <t>Sold</t>
        </is>
      </c>
      <c r="G1150" s="6">
        <f>HYPERLINK("https://www.kleinanzeigen.de/s-anzeige/rrd-kite-foil-board-set-dolphin-160/2802639195-230-20849", "Link")</f>
        <v/>
      </c>
      <c r="H1150" s="6">
        <f>HYPERLINK("C:\Projects\Kleinanzeigen-Scraper\offer_images\2802639195", "Link")</f>
        <v/>
      </c>
      <c r="I1150" t="inlineStr">
        <is>
          <t>Marco Sebastian</t>
        </is>
      </c>
      <c r="J1150" s="6">
        <f>HYPERLINK("https://www.kleinanzeigen.de/s-bestandsliste.html?userId=30480583", "Link")</f>
        <v/>
      </c>
      <c r="K1150" s="7" t="n">
        <v>45549.58052083333</v>
      </c>
      <c r="L1150" s="3" t="inlineStr">
        <is>
          <t>55.49</t>
        </is>
      </c>
      <c r="M1150" t="inlineStr">
        <is>
          <t>Köln</t>
        </is>
      </c>
    </row>
    <row r="1151">
      <c r="A1151" t="inlineStr">
        <is>
          <t>Grappling Boxhandschuhe Vandal Kampfsport Ultimate Fighting</t>
        </is>
      </c>
      <c r="B1151" s="4" t="n">
        <v>5</v>
      </c>
      <c r="C1151" t="inlineStr">
        <is>
          <t>VB</t>
        </is>
      </c>
      <c r="D1151" t="inlineStr">
        <is>
          <t>02708 Sachsen - Rosenbach</t>
        </is>
      </c>
      <c r="E1151" s="5" t="n">
        <v>45528</v>
      </c>
      <c r="F1151" t="inlineStr"/>
      <c r="G1151" s="6">
        <f>HYPERLINK("https://www.kleinanzeigen.de/s-anzeige/grappling-boxhandschuhe-vandal-kampfsport-ultimate-fighting/2845034009-230-16964", "Link")</f>
        <v/>
      </c>
      <c r="H1151" s="6">
        <f>HYPERLINK("C:\Projects\Kleinanzeigen-Scraper\offer_images\2845034009", "Link")</f>
        <v/>
      </c>
      <c r="I1151" t="inlineStr">
        <is>
          <t>Pascal</t>
        </is>
      </c>
      <c r="J1151" s="6">
        <f>HYPERLINK("https://www.kleinanzeigen.de/s-bestandsliste.html?userId=3003041", "Link")</f>
        <v/>
      </c>
      <c r="K1151" s="7" t="n">
        <v>45549.58050925926</v>
      </c>
      <c r="L1151" s="3" t="inlineStr">
        <is>
          <t>395.27</t>
        </is>
      </c>
      <c r="M1151" t="inlineStr">
        <is>
          <t>München</t>
        </is>
      </c>
    </row>
    <row r="1152">
      <c r="A1152" t="inlineStr">
        <is>
          <t>Kite Set, F-ONE Bandit 8qm, RRD Poison 138x42, North Bar</t>
        </is>
      </c>
      <c r="B1152" s="4" t="n">
        <v>700</v>
      </c>
      <c r="C1152" t="inlineStr">
        <is>
          <t>VB</t>
        </is>
      </c>
      <c r="D1152" t="inlineStr">
        <is>
          <t>24943 Schleswig-Holstein - Flensburg</t>
        </is>
      </c>
      <c r="E1152" s="5" t="n">
        <v>45535</v>
      </c>
      <c r="F1152" t="inlineStr">
        <is>
          <t>Sold</t>
        </is>
      </c>
      <c r="G1152" s="6">
        <f>HYPERLINK("https://www.kleinanzeigen.de/s-anzeige/kite-set-f-one-bandit-8qm-rrd-poison-138x42-north-bar/2850319314-230-17392", "Link")</f>
        <v/>
      </c>
      <c r="H1152" s="6">
        <f>HYPERLINK("C:\Projects\Kleinanzeigen-Scraper\offer_images\2850319314", "Link")</f>
        <v/>
      </c>
      <c r="I1152" t="inlineStr">
        <is>
          <t>René</t>
        </is>
      </c>
      <c r="J1152" s="6">
        <f>HYPERLINK("https://www.kleinanzeigen.de/s-bestandsliste.html?userId=10341401", "Link")</f>
        <v/>
      </c>
      <c r="K1152" s="7" t="n">
        <v>45549.58050925926</v>
      </c>
      <c r="L1152" s="3" t="inlineStr">
        <is>
          <t>459.78</t>
        </is>
      </c>
      <c r="M1152" t="inlineStr">
        <is>
          <t>Köln</t>
        </is>
      </c>
    </row>
    <row r="1153">
      <c r="A1153" t="inlineStr">
        <is>
          <t>Isomatte selbstaufblasbar von North Camp</t>
        </is>
      </c>
      <c r="B1153" s="4" t="n">
        <v>10</v>
      </c>
      <c r="C1153" t="inlineStr"/>
      <c r="D1153" t="inlineStr">
        <is>
          <t>55774 Rheinland-Pfalz - Baumholder</t>
        </is>
      </c>
      <c r="E1153" s="5" t="n">
        <v>45539</v>
      </c>
      <c r="F1153" t="inlineStr">
        <is>
          <t>Sold</t>
        </is>
      </c>
      <c r="G1153" s="6">
        <f>HYPERLINK("https://www.kleinanzeigen.de/s-anzeige/isomatte-selbstaufblasbar-von-north-camp/2854220874-230-5146", "Link")</f>
        <v/>
      </c>
      <c r="H1153" s="6">
        <f>HYPERLINK("C:\Projects\Kleinanzeigen-Scraper\offer_images\2854220874", "Link")</f>
        <v/>
      </c>
      <c r="I1153" t="inlineStr">
        <is>
          <t>Kristina</t>
        </is>
      </c>
      <c r="J1153" s="6">
        <f>HYPERLINK("https://www.kleinanzeigen.de/s-bestandsliste.html?userId=9745438", "Link")</f>
        <v/>
      </c>
      <c r="K1153" s="7" t="n">
        <v>45549.58048611111</v>
      </c>
      <c r="L1153" s="3" t="inlineStr">
        <is>
          <t>102.70</t>
        </is>
      </c>
      <c r="M1153" t="inlineStr">
        <is>
          <t>Karlsruhe</t>
        </is>
      </c>
    </row>
    <row r="1154">
      <c r="A1154" t="inlineStr">
        <is>
          <t>SIMMS Watjacke Gr. L</t>
        </is>
      </c>
      <c r="B1154" s="4" t="n">
        <v>450</v>
      </c>
      <c r="C1154" t="inlineStr"/>
      <c r="D1154" t="inlineStr">
        <is>
          <t>24558 Schleswig-Holstein - Henstedt-Ulzburg</t>
        </is>
      </c>
      <c r="E1154" s="5" t="n">
        <v>45523</v>
      </c>
      <c r="F1154" t="inlineStr">
        <is>
          <t>Sold</t>
        </is>
      </c>
      <c r="G1154" s="6">
        <f>HYPERLINK("https://www.kleinanzeigen.de/s-anzeige/simms-watjacke-gr-l/2840939189-230-13734", "Link")</f>
        <v/>
      </c>
      <c r="H1154" s="6">
        <f>HYPERLINK("C:\Projects\Kleinanzeigen-Scraper\offer_images\2840939189", "Link")</f>
        <v/>
      </c>
      <c r="I1154" t="inlineStr">
        <is>
          <t>Fly</t>
        </is>
      </c>
      <c r="J1154" s="6">
        <f>HYPERLINK("https://www.kleinanzeigen.de/s-bestandsliste.html?userId=78974964", "Link")</f>
        <v/>
      </c>
      <c r="K1154" s="7" t="n">
        <v>45549.58048611111</v>
      </c>
      <c r="L1154" s="3" t="inlineStr">
        <is>
          <t>379.46</t>
        </is>
      </c>
      <c r="M1154" t="inlineStr">
        <is>
          <t>Köln</t>
        </is>
      </c>
    </row>
    <row r="1155">
      <c r="A1155" t="inlineStr">
        <is>
          <t>The North Face Trail Running Weste</t>
        </is>
      </c>
      <c r="B1155" s="4" t="n">
        <v>150</v>
      </c>
      <c r="C1155" t="inlineStr">
        <is>
          <t>VB</t>
        </is>
      </c>
      <c r="D1155" t="inlineStr">
        <is>
          <t>60318 Frankfurt am Main - Nordend</t>
        </is>
      </c>
      <c r="E1155" s="5" t="n">
        <v>45541</v>
      </c>
      <c r="F1155" t="inlineStr">
        <is>
          <t>Sold</t>
        </is>
      </c>
      <c r="G1155" s="6">
        <f>HYPERLINK("https://www.kleinanzeigen.de/s-anzeige/the-north-face-trail-running-weste/2855932303-230-4303", "Link")</f>
        <v/>
      </c>
      <c r="H1155" s="6">
        <f>HYPERLINK("C:\Projects\Kleinanzeigen-Scraper\offer_images\2855932303", "Link")</f>
        <v/>
      </c>
      <c r="I1155" t="inlineStr">
        <is>
          <t>Christina</t>
        </is>
      </c>
      <c r="J1155" s="6">
        <f>HYPERLINK("https://www.kleinanzeigen.de/s-bestandsliste.html?userId=133512730", "Link")</f>
        <v/>
      </c>
      <c r="K1155" s="7" t="n">
        <v>45549.58048611111</v>
      </c>
      <c r="L1155" s="3" t="inlineStr">
        <is>
          <t>126.16</t>
        </is>
      </c>
      <c r="M1155" t="inlineStr">
        <is>
          <t>Karlsruhe</t>
        </is>
      </c>
    </row>
    <row r="1156">
      <c r="A1156" t="inlineStr">
        <is>
          <t>RRD VISION 12 M² KITE</t>
        </is>
      </c>
      <c r="B1156" s="4" t="n">
        <v>430</v>
      </c>
      <c r="C1156" t="inlineStr">
        <is>
          <t>VB</t>
        </is>
      </c>
      <c r="D1156" t="inlineStr">
        <is>
          <t>92339 Bayern - Beilngries</t>
        </is>
      </c>
      <c r="E1156" s="5" t="n">
        <v>45464</v>
      </c>
      <c r="F1156" t="inlineStr">
        <is>
          <t>Sold</t>
        </is>
      </c>
      <c r="G1156" s="6">
        <f>HYPERLINK("https://www.kleinanzeigen.de/s-anzeige/rrd-vision-12-m-kite/2793660328-230-6591", "Link")</f>
        <v/>
      </c>
      <c r="H1156" s="6">
        <f>HYPERLINK("C:\Projects\Kleinanzeigen-Scraper\offer_images\2793660328", "Link")</f>
        <v/>
      </c>
      <c r="I1156" t="inlineStr">
        <is>
          <t>Andreas</t>
        </is>
      </c>
      <c r="J1156" s="6">
        <f>HYPERLINK("https://www.kleinanzeigen.de/s-bestandsliste.html?userId=39183554", "Link")</f>
        <v/>
      </c>
      <c r="K1156" s="7" t="n">
        <v>45549.58048611111</v>
      </c>
      <c r="L1156" s="3" t="inlineStr">
        <is>
          <t>96.82</t>
        </is>
      </c>
      <c r="M1156" t="inlineStr">
        <is>
          <t>München</t>
        </is>
      </c>
    </row>
    <row r="1157">
      <c r="A1157" t="inlineStr">
        <is>
          <t>Kite Naish Pivot 12 qm</t>
        </is>
      </c>
      <c r="B1157" s="4" t="n">
        <v>900</v>
      </c>
      <c r="C1157" t="inlineStr">
        <is>
          <t>VB</t>
        </is>
      </c>
      <c r="D1157" t="inlineStr">
        <is>
          <t>73479 Baden-Württemberg - Ellwangen (Jagst)</t>
        </is>
      </c>
      <c r="E1157" s="5" t="n">
        <v>45527</v>
      </c>
      <c r="F1157" t="inlineStr">
        <is>
          <t>Sold</t>
        </is>
      </c>
      <c r="G1157" s="6">
        <f>HYPERLINK("https://www.kleinanzeigen.de/s-anzeige/kite-naish-pivot-12-qm/2844133397-230-8830", "Link")</f>
        <v/>
      </c>
      <c r="H1157" s="6">
        <f>HYPERLINK("C:\Projects\Kleinanzeigen-Scraper\offer_images\2844133397", "Link")</f>
        <v/>
      </c>
      <c r="I1157" t="inlineStr">
        <is>
          <t>Florian Schirle</t>
        </is>
      </c>
      <c r="J1157" s="6">
        <f>HYPERLINK("https://www.kleinanzeigen.de/s-bestandsliste.html?userId=39543193", "Link")</f>
        <v/>
      </c>
      <c r="K1157" s="7" t="n">
        <v>45549.58046296296</v>
      </c>
      <c r="L1157" s="3" t="inlineStr">
        <is>
          <t>95.15</t>
        </is>
      </c>
      <c r="M1157" t="inlineStr">
        <is>
          <t>Böblingen</t>
        </is>
      </c>
    </row>
    <row r="1158">
      <c r="A1158" t="inlineStr">
        <is>
          <t>North Face Jacke</t>
        </is>
      </c>
      <c r="B1158" s="4" t="n">
        <v>15</v>
      </c>
      <c r="C1158" t="inlineStr">
        <is>
          <t>VB</t>
        </is>
      </c>
      <c r="D1158" t="inlineStr">
        <is>
          <t>13129 Pankow - Blankenburg</t>
        </is>
      </c>
      <c r="E1158" s="5" t="n">
        <v>45541</v>
      </c>
      <c r="F1158" t="inlineStr">
        <is>
          <t>Sold</t>
        </is>
      </c>
      <c r="G1158" s="6">
        <f>HYPERLINK("https://www.kleinanzeigen.de/s-anzeige/north-face-jacke/2855419749-230-26765", "Link")</f>
        <v/>
      </c>
      <c r="H1158" s="6">
        <f>HYPERLINK("C:\Projects\Kleinanzeigen-Scraper\offer_images\2855419749", "Link")</f>
        <v/>
      </c>
      <c r="I1158" t="inlineStr">
        <is>
          <t>Petra</t>
        </is>
      </c>
      <c r="J1158" s="6">
        <f>HYPERLINK("https://www.kleinanzeigen.de/s-bestandsliste.html?userId=23439501", "Link")</f>
        <v/>
      </c>
      <c r="K1158" s="7" t="n">
        <v>45549.58046296296</v>
      </c>
      <c r="L1158" s="3" t="inlineStr">
        <is>
          <t>483.73</t>
        </is>
      </c>
      <c r="M1158" t="inlineStr">
        <is>
          <t>Köln</t>
        </is>
      </c>
    </row>
    <row r="1159">
      <c r="A1159" t="inlineStr">
        <is>
          <t>North Rebel 2010 - 14 m2</t>
        </is>
      </c>
      <c r="B1159" s="4" t="n">
        <v>90</v>
      </c>
      <c r="C1159" t="inlineStr">
        <is>
          <t>VB</t>
        </is>
      </c>
      <c r="D1159" t="inlineStr">
        <is>
          <t>94501 Bayern - Aidenbach</t>
        </is>
      </c>
      <c r="E1159" s="5" t="n">
        <v>45545</v>
      </c>
      <c r="F1159" t="inlineStr">
        <is>
          <t>Sold</t>
        </is>
      </c>
      <c r="G1159" s="6">
        <f>HYPERLINK("https://www.kleinanzeigen.de/s-anzeige/north-rebel-2010-14-m2/2859402939-230-18529", "Link")</f>
        <v/>
      </c>
      <c r="H1159" s="6">
        <f>HYPERLINK("C:\Projects\Kleinanzeigen-Scraper\offer_images\2859402939", "Link")</f>
        <v/>
      </c>
      <c r="I1159" t="inlineStr">
        <is>
          <t>Michael</t>
        </is>
      </c>
      <c r="J1159" s="6">
        <f>HYPERLINK("https://www.kleinanzeigen.de/s-bestandsliste.html?userId=15666127", "Link")</f>
        <v/>
      </c>
      <c r="K1159" s="7" t="n">
        <v>45549.58046296296</v>
      </c>
      <c r="L1159" s="3" t="inlineStr">
        <is>
          <t>120.63</t>
        </is>
      </c>
      <c r="M1159" t="inlineStr">
        <is>
          <t>München</t>
        </is>
      </c>
    </row>
    <row r="1160">
      <c r="A1160" t="inlineStr">
        <is>
          <t>RRD Passion 13,5 LW</t>
        </is>
      </c>
      <c r="B1160" s="4" t="n">
        <v>590</v>
      </c>
      <c r="C1160" t="inlineStr">
        <is>
          <t>VB</t>
        </is>
      </c>
      <c r="D1160" t="inlineStr">
        <is>
          <t>50935 Köln - Lindenthal</t>
        </is>
      </c>
      <c r="E1160" s="5" t="n">
        <v>45451</v>
      </c>
      <c r="F1160" t="inlineStr"/>
      <c r="G1160" s="6">
        <f>HYPERLINK("https://www.kleinanzeigen.de/s-anzeige/rrd-passion-13-5-lw/2783066143-230-948", "Link")</f>
        <v/>
      </c>
      <c r="H1160" s="6">
        <f>HYPERLINK("C:\Projects\Kleinanzeigen-Scraper\offer_images\2783066143", "Link")</f>
        <v/>
      </c>
      <c r="I1160" t="inlineStr">
        <is>
          <t>Hendrik Deifuss</t>
        </is>
      </c>
      <c r="J1160" s="6">
        <f>HYPERLINK("https://www.kleinanzeigen.de/s-bestandsliste.html?userId=74975801", "Link")</f>
        <v/>
      </c>
      <c r="K1160" s="7" t="n">
        <v>45549.58046296296</v>
      </c>
      <c r="L1160" s="3" t="inlineStr">
        <is>
          <t>4.45</t>
        </is>
      </c>
      <c r="M1160" t="inlineStr">
        <is>
          <t>Köln</t>
        </is>
      </c>
    </row>
    <row r="1161">
      <c r="A1161" t="inlineStr">
        <is>
          <t>North Kite Code 10 qm</t>
        </is>
      </c>
      <c r="B1161" s="4" t="n">
        <v>580</v>
      </c>
      <c r="C1161" t="inlineStr"/>
      <c r="D1161" t="inlineStr">
        <is>
          <t>82024 Kr. München - Taufkirchen</t>
        </is>
      </c>
      <c r="E1161" s="5" t="n">
        <v>45537</v>
      </c>
      <c r="F1161" t="inlineStr">
        <is>
          <t>Sold</t>
        </is>
      </c>
      <c r="G1161" s="6">
        <f>HYPERLINK("https://www.kleinanzeigen.de/s-anzeige/north-kite-code-10-qm/2852211786-230-19863", "Link")</f>
        <v/>
      </c>
      <c r="H1161" s="6">
        <f>HYPERLINK("C:\Projects\Kleinanzeigen-Scraper\offer_images\2852211786", "Link")</f>
        <v/>
      </c>
      <c r="I1161" t="inlineStr">
        <is>
          <t>Rainer Hempel</t>
        </is>
      </c>
      <c r="J1161" s="6">
        <f>HYPERLINK("https://www.kleinanzeigen.de/s-bestandsliste.html?userId=36078573", "Link")</f>
        <v/>
      </c>
      <c r="K1161" s="7" t="n">
        <v>45549.58043981482</v>
      </c>
      <c r="L1161" s="3" t="inlineStr">
        <is>
          <t>11.52</t>
        </is>
      </c>
      <c r="M1161" t="inlineStr">
        <is>
          <t>München</t>
        </is>
      </c>
    </row>
    <row r="1162">
      <c r="A1162" t="inlineStr">
        <is>
          <t>Zeltgestänge The North Face Trailhead 8</t>
        </is>
      </c>
      <c r="B1162" s="4" t="inlineStr">
        <is>
          <t>Zu verschenken</t>
        </is>
      </c>
      <c r="C1162" t="inlineStr"/>
      <c r="D1162" t="inlineStr">
        <is>
          <t>07745 Thüringen - Jena</t>
        </is>
      </c>
      <c r="E1162" s="5" t="n">
        <v>45535</v>
      </c>
      <c r="F1162" t="inlineStr">
        <is>
          <t>Sold</t>
        </is>
      </c>
      <c r="G1162" s="6">
        <f>HYPERLINK("https://www.kleinanzeigen.de/s-anzeige/zeltgestaenge-the-north-face-trailhead-8/2851059750-230-3771", "Link")</f>
        <v/>
      </c>
      <c r="H1162" s="6">
        <f>HYPERLINK("C:\Projects\Kleinanzeigen-Scraper\offer_images\2851059750", "Link")</f>
        <v/>
      </c>
      <c r="I1162" t="inlineStr">
        <is>
          <t>Steffen Holtz</t>
        </is>
      </c>
      <c r="J1162" s="6">
        <f>HYPERLINK("https://www.kleinanzeigen.de/s-bestandsliste.html?userId=16831368", "Link")</f>
        <v/>
      </c>
      <c r="K1162" s="7" t="n">
        <v>45549.58041666666</v>
      </c>
      <c r="L1162" s="3" t="inlineStr">
        <is>
          <t>307.82</t>
        </is>
      </c>
      <c r="M1162" t="inlineStr">
        <is>
          <t>München</t>
        </is>
      </c>
    </row>
    <row r="1163">
      <c r="A1163" t="inlineStr">
        <is>
          <t>Sage Z-Axis Zweihandrute (no Simms,Guideline,Loop)</t>
        </is>
      </c>
      <c r="B1163" s="4" t="n">
        <v>320</v>
      </c>
      <c r="C1163" t="inlineStr">
        <is>
          <t>VB</t>
        </is>
      </c>
      <c r="D1163" t="inlineStr">
        <is>
          <t>24969 Schleswig-Holstein - Großenwiehe</t>
        </is>
      </c>
      <c r="E1163" s="5" t="n">
        <v>45536</v>
      </c>
      <c r="F1163" t="inlineStr"/>
      <c r="G1163" s="6">
        <f>HYPERLINK("https://www.kleinanzeigen.de/s-anzeige/sage-z-axis-zweihandrute-no-simms-guideline-loop-/2851288075-230-20374", "Link")</f>
        <v/>
      </c>
      <c r="H1163" s="6">
        <f>HYPERLINK("C:\Projects\Kleinanzeigen-Scraper\offer_images\2851288075", "Link")</f>
        <v/>
      </c>
      <c r="I1163" t="inlineStr">
        <is>
          <t>Björn Queisner</t>
        </is>
      </c>
      <c r="J1163" s="6">
        <f>HYPERLINK("https://www.kleinanzeigen.de/s-bestandsliste.html?userId=28533142", "Link")</f>
        <v/>
      </c>
      <c r="K1163" s="7" t="n">
        <v>45549.58041666666</v>
      </c>
      <c r="L1163" s="3" t="inlineStr">
        <is>
          <t>443.46</t>
        </is>
      </c>
      <c r="M1163" t="inlineStr">
        <is>
          <t>Köln</t>
        </is>
      </c>
    </row>
    <row r="1164">
      <c r="A1164" t="inlineStr">
        <is>
          <t>RRD Passion Kite 13qm</t>
        </is>
      </c>
      <c r="B1164" s="4" t="n">
        <v>75</v>
      </c>
      <c r="C1164" t="inlineStr">
        <is>
          <t>VB</t>
        </is>
      </c>
      <c r="D1164" t="inlineStr">
        <is>
          <t>87477 Bayern - Sulzberg</t>
        </is>
      </c>
      <c r="E1164" s="5" t="n">
        <v>45089</v>
      </c>
      <c r="F1164" t="inlineStr">
        <is>
          <t>Sold</t>
        </is>
      </c>
      <c r="G1164" s="6">
        <f>HYPERLINK("https://www.kleinanzeigen.de/s-anzeige/rrd-passion-kite-13qm/2466794111-230-7625", "Link")</f>
        <v/>
      </c>
      <c r="H1164" s="6">
        <f>HYPERLINK("C:\Projects\Kleinanzeigen-Scraper\offer_images\2466794111", "Link")</f>
        <v/>
      </c>
      <c r="I1164" t="inlineStr">
        <is>
          <t>Fabian</t>
        </is>
      </c>
      <c r="J1164" s="6">
        <f>HYPERLINK("https://www.kleinanzeigen.de/s-bestandsliste.html?userId=20670642", "Link")</f>
        <v/>
      </c>
      <c r="K1164" s="7" t="n">
        <v>45549.58041666666</v>
      </c>
      <c r="L1164" s="3" t="inlineStr">
        <is>
          <t>104.29</t>
        </is>
      </c>
      <c r="M1164" t="inlineStr">
        <is>
          <t>München</t>
        </is>
      </c>
    </row>
    <row r="1165">
      <c r="A1165" t="inlineStr">
        <is>
          <t>Kreul Staffelei Solo Goya Hochzeit</t>
        </is>
      </c>
      <c r="B1165" s="4" t="n">
        <v>40</v>
      </c>
      <c r="C1165" t="inlineStr">
        <is>
          <t>VB</t>
        </is>
      </c>
      <c r="D1165" t="inlineStr">
        <is>
          <t>86732 Bayern - Oettingen in Bayern</t>
        </is>
      </c>
      <c r="E1165" s="5" t="n">
        <v>45544</v>
      </c>
      <c r="F1165" t="inlineStr"/>
      <c r="G1165" s="6">
        <f>HYPERLINK("https://www.kleinanzeigen.de/s-anzeige/kreul-staffelei-solo-goya-hochzeit/2858995356-282-7360", "Link")</f>
        <v/>
      </c>
      <c r="H1165" s="6">
        <f>HYPERLINK("C:\Projects\Kleinanzeigen-Scraper\offer_images\2858995356", "Link")</f>
        <v/>
      </c>
      <c r="I1165" t="inlineStr">
        <is>
          <t>S.K.</t>
        </is>
      </c>
      <c r="J1165" s="6">
        <f>HYPERLINK("https://www.kleinanzeigen.de/s-bestandsliste.html?userId=29418624", "Link")</f>
        <v/>
      </c>
      <c r="K1165" s="7" t="n">
        <v>45549.58041666666</v>
      </c>
      <c r="L1165" s="3" t="inlineStr">
        <is>
          <t>115.96</t>
        </is>
      </c>
      <c r="M1165" t="inlineStr">
        <is>
          <t>München</t>
        </is>
      </c>
    </row>
    <row r="1166">
      <c r="A1166" t="inlineStr">
        <is>
          <t>JP Australia Glas Carbon Paddel neu SUP ISUP</t>
        </is>
      </c>
      <c r="B1166" s="4" t="n">
        <v>149</v>
      </c>
      <c r="C1166" t="inlineStr"/>
      <c r="D1166" t="inlineStr">
        <is>
          <t>22457 Eimsbüttel - Hamburg Schnelsen</t>
        </is>
      </c>
      <c r="E1166" s="5" t="n">
        <v>45543</v>
      </c>
      <c r="F1166" t="inlineStr"/>
      <c r="G1166" s="6">
        <f>HYPERLINK("https://www.kleinanzeigen.de/s-anzeige/jp-australia-glas-carbon-paddel-neu-sup-isup/2832662345-230-9492", "Link")</f>
        <v/>
      </c>
      <c r="H1166" s="6">
        <f>HYPERLINK("C:\Projects\Kleinanzeigen-Scraper\offer_images\2832662345", "Link")</f>
        <v/>
      </c>
      <c r="I1166" t="inlineStr">
        <is>
          <t>No user name</t>
        </is>
      </c>
      <c r="J1166" s="6">
        <f>HYPERLINK("https://www.kleinanzeigen.deNo user link", "Link")</f>
        <v/>
      </c>
      <c r="K1166" s="7" t="n">
        <v>45549.58040509259</v>
      </c>
      <c r="L1166" s="3" t="inlineStr">
        <is>
          <t>362.41</t>
        </is>
      </c>
      <c r="M1166" t="inlineStr">
        <is>
          <t>Köln</t>
        </is>
      </c>
    </row>
    <row r="1167">
      <c r="A1167" t="inlineStr">
        <is>
          <t>Naish Alana Sup</t>
        </is>
      </c>
      <c r="B1167" s="4" t="n">
        <v>610</v>
      </c>
      <c r="C1167" t="inlineStr"/>
      <c r="D1167" t="inlineStr">
        <is>
          <t>91301 Bayern - Forchheim</t>
        </is>
      </c>
      <c r="E1167" s="5" t="n">
        <v>45537</v>
      </c>
      <c r="F1167" t="inlineStr"/>
      <c r="G1167" s="6">
        <f>HYPERLINK("https://www.kleinanzeigen.de/s-anzeige/naish-alana-sup/2852285516-230-6278", "Link")</f>
        <v/>
      </c>
      <c r="H1167" s="6">
        <f>HYPERLINK("C:\Projects\Kleinanzeigen-Scraper\offer_images\2852285516", "Link")</f>
        <v/>
      </c>
      <c r="I1167" t="inlineStr">
        <is>
          <t>Jürgen</t>
        </is>
      </c>
      <c r="J1167" s="6">
        <f>HYPERLINK("https://www.kleinanzeigen.de/s-bestandsliste.html?userId=53036482", "Link")</f>
        <v/>
      </c>
      <c r="K1167" s="7" t="n">
        <v>45549.58039351852</v>
      </c>
      <c r="L1167" s="3" t="inlineStr">
        <is>
          <t>180.34</t>
        </is>
      </c>
      <c r="M1167" t="inlineStr">
        <is>
          <t>München</t>
        </is>
      </c>
    </row>
    <row r="1168">
      <c r="A1168" t="inlineStr">
        <is>
          <t>Naish Pivot Limited Edition 12qm NEU</t>
        </is>
      </c>
      <c r="B1168" s="4" t="n">
        <v>970</v>
      </c>
      <c r="C1168" t="inlineStr"/>
      <c r="D1168" t="inlineStr">
        <is>
          <t>23769 Kreis Ostholstein - Fehmarn</t>
        </is>
      </c>
      <c r="E1168" s="5" t="n">
        <v>45552</v>
      </c>
      <c r="F1168" t="inlineStr">
        <is>
          <t>Sold</t>
        </is>
      </c>
      <c r="G1168" s="6">
        <f>HYPERLINK("https://www.kleinanzeigen.de/s-anzeige/naish-pivot-limited-edition-12qm-neu/2843667381-230-19951", "Link")</f>
        <v/>
      </c>
      <c r="H1168" s="6">
        <f>HYPERLINK("C:\Projects\Kleinanzeigen-Scraper\offer_images\2843667381", "Link")</f>
        <v/>
      </c>
      <c r="I1168" t="inlineStr">
        <is>
          <t>Maya</t>
        </is>
      </c>
      <c r="J1168" s="6">
        <f>HYPERLINK("https://www.kleinanzeigen.de/s-bestandsliste.html?userId=139942314", "Link")</f>
        <v/>
      </c>
      <c r="K1168" s="7" t="n">
        <v>45549.58039351852</v>
      </c>
      <c r="L1168" s="3" t="inlineStr">
        <is>
          <t>483.01</t>
        </is>
      </c>
      <c r="M1168" t="inlineStr">
        <is>
          <t>Köln</t>
        </is>
      </c>
    </row>
    <row r="1169">
      <c r="A1169" t="inlineStr">
        <is>
          <t>Naish Kite Charger 5</t>
        </is>
      </c>
      <c r="B1169" s="4" t="n">
        <v>80</v>
      </c>
      <c r="C1169" t="inlineStr"/>
      <c r="D1169" t="inlineStr">
        <is>
          <t>83435 Bayern - Bad Reichenhall</t>
        </is>
      </c>
      <c r="E1169" s="5" t="n">
        <v>45510</v>
      </c>
      <c r="F1169" t="inlineStr">
        <is>
          <t>Sold</t>
        </is>
      </c>
      <c r="G1169" s="6">
        <f>HYPERLINK("https://www.kleinanzeigen.de/s-anzeige/naish-kite-charger-5/2830702406-230-5881", "Link")</f>
        <v/>
      </c>
      <c r="H1169" s="6">
        <f>HYPERLINK("C:\Projects\Kleinanzeigen-Scraper\offer_images\2830702406", "Link")</f>
        <v/>
      </c>
      <c r="I1169" t="inlineStr">
        <is>
          <t>Nina</t>
        </is>
      </c>
      <c r="J1169" s="6">
        <f>HYPERLINK("https://www.kleinanzeigen.de/s-bestandsliste.html?userId=73276330", "Link")</f>
        <v/>
      </c>
      <c r="K1169" s="7" t="n">
        <v>45549.58039351852</v>
      </c>
      <c r="L1169" s="3" t="inlineStr">
        <is>
          <t>104.89</t>
        </is>
      </c>
      <c r="M1169" t="inlineStr">
        <is>
          <t>München</t>
        </is>
      </c>
    </row>
    <row r="1170">
      <c r="A1170" t="inlineStr">
        <is>
          <t>Solo-Goya Ben der Bolzplatz-Meister NEU</t>
        </is>
      </c>
      <c r="B1170" s="4" t="n">
        <v>5</v>
      </c>
      <c r="C1170" t="inlineStr">
        <is>
          <t>VB</t>
        </is>
      </c>
      <c r="D1170" t="inlineStr">
        <is>
          <t>93437 Bayern - Furth im Wald</t>
        </is>
      </c>
      <c r="E1170" s="5" t="n">
        <v>45263</v>
      </c>
      <c r="F1170" t="inlineStr"/>
      <c r="G1170" s="6">
        <f>HYPERLINK("https://www.kleinanzeigen.de/s-anzeige/solo-goya-ben-der-bolzplatz-meister-neu/2620414050-282-5950", "Link")</f>
        <v/>
      </c>
      <c r="H1170" s="6">
        <f>HYPERLINK("C:\Projects\Kleinanzeigen-Scraper\offer_images\2620414050", "Link")</f>
        <v/>
      </c>
      <c r="I1170" t="inlineStr">
        <is>
          <t>Fischer</t>
        </is>
      </c>
      <c r="J1170" s="6">
        <f>HYPERLINK("https://www.kleinanzeigen.de/s-bestandsliste.html?userId=15010285", "Link")</f>
        <v/>
      </c>
      <c r="K1170" s="7" t="n">
        <v>45549.58038194444</v>
      </c>
      <c r="L1170" s="3" t="inlineStr">
        <is>
          <t>160.32</t>
        </is>
      </c>
      <c r="M1170" t="inlineStr">
        <is>
          <t>München</t>
        </is>
      </c>
    </row>
    <row r="1171">
      <c r="A1171" t="inlineStr">
        <is>
          <t>North Explorer Trampolin</t>
        </is>
      </c>
      <c r="B1171" s="4" t="n">
        <v>600</v>
      </c>
      <c r="C1171" t="inlineStr">
        <is>
          <t>VB</t>
        </is>
      </c>
      <c r="D1171" t="inlineStr">
        <is>
          <t>49733 Niedersachsen - Haren (Ems)</t>
        </is>
      </c>
      <c r="E1171" s="5" t="n">
        <v>45538</v>
      </c>
      <c r="F1171" t="inlineStr">
        <is>
          <t>Sold</t>
        </is>
      </c>
      <c r="G1171" s="6">
        <f>HYPERLINK("https://www.kleinanzeigen.de/s-anzeige/north-explorer-trampolin/2853022430-230-2756", "Link")</f>
        <v/>
      </c>
      <c r="H1171" s="6">
        <f>HYPERLINK("C:\Projects\Kleinanzeigen-Scraper\offer_images\2853022430", "Link")</f>
        <v/>
      </c>
      <c r="I1171" t="inlineStr">
        <is>
          <t>Erwin</t>
        </is>
      </c>
      <c r="J1171" s="6">
        <f>HYPERLINK("https://www.kleinanzeigen.de/s-bestandsliste.html?userId=74464758", "Link")</f>
        <v/>
      </c>
      <c r="K1171" s="7" t="n">
        <v>45549.58038194444</v>
      </c>
      <c r="L1171" s="3" t="inlineStr">
        <is>
          <t>208.32</t>
        </is>
      </c>
      <c r="M1171" t="inlineStr">
        <is>
          <t>Köln</t>
        </is>
      </c>
    </row>
    <row r="1172">
      <c r="A1172" t="inlineStr">
        <is>
          <t>Kite Naish Park 7</t>
        </is>
      </c>
      <c r="B1172" s="4" t="n">
        <v>210</v>
      </c>
      <c r="C1172" t="inlineStr">
        <is>
          <t>VB</t>
        </is>
      </c>
      <c r="D1172" t="inlineStr">
        <is>
          <t>22159 Wandsbek - Hamburg Farmsen-Berne</t>
        </is>
      </c>
      <c r="E1172" s="5" t="n">
        <v>45493</v>
      </c>
      <c r="F1172" t="inlineStr">
        <is>
          <t>Sold</t>
        </is>
      </c>
      <c r="G1172" s="6">
        <f>HYPERLINK("https://www.kleinanzeigen.de/s-anzeige/kite-naish-park-7/2816996346-230-9454", "Link")</f>
        <v/>
      </c>
      <c r="H1172" s="6">
        <f>HYPERLINK("C:\Projects\Kleinanzeigen-Scraper\offer_images\2816996346", "Link")</f>
        <v/>
      </c>
      <c r="I1172" t="inlineStr">
        <is>
          <t>Silke Marien</t>
        </is>
      </c>
      <c r="J1172" s="6">
        <f>HYPERLINK("https://www.kleinanzeigen.de/s-bestandsliste.html?userId=17263285", "Link")</f>
        <v/>
      </c>
      <c r="K1172" s="7" t="n">
        <v>45549.58038194444</v>
      </c>
      <c r="L1172" s="3" t="inlineStr">
        <is>
          <t>367.33</t>
        </is>
      </c>
      <c r="M1172" t="inlineStr">
        <is>
          <t>Köln</t>
        </is>
      </c>
    </row>
    <row r="1173">
      <c r="A1173" t="inlineStr">
        <is>
          <t>Medaille vergoldet La Familia Carlos IV Goya relativ groß, schwer</t>
        </is>
      </c>
      <c r="B1173" s="4" t="n">
        <v>15</v>
      </c>
      <c r="C1173" t="inlineStr">
        <is>
          <t>VB</t>
        </is>
      </c>
      <c r="D1173" t="inlineStr">
        <is>
          <t>33775 Nordrhein-Westfalen - Versmold</t>
        </is>
      </c>
      <c r="E1173" s="5" t="n">
        <v>45445</v>
      </c>
      <c r="F1173" t="inlineStr"/>
      <c r="G1173" s="6">
        <f>HYPERLINK("https://www.kleinanzeigen.de/s-anzeige/medaille-vergoldet-la-familia-carlos-iv-goya-relativ-gross-schwer/2778354489-234-1638", "Link")</f>
        <v/>
      </c>
      <c r="H1173" s="6">
        <f>HYPERLINK("C:\Projects\Kleinanzeigen-Scraper\offer_images\2778354489", "Link")</f>
        <v/>
      </c>
      <c r="I1173" t="inlineStr">
        <is>
          <t>Andreas 824</t>
        </is>
      </c>
      <c r="J1173" s="6">
        <f>HYPERLINK("https://www.kleinanzeigen.de/s-bestandsliste.html?userId=88715953", "Link")</f>
        <v/>
      </c>
      <c r="K1173" s="7" t="n">
        <v>45549.58037037037</v>
      </c>
      <c r="L1173" s="3" t="inlineStr">
        <is>
          <t>149.53</t>
        </is>
      </c>
      <c r="M1173" t="inlineStr">
        <is>
          <t>Köln</t>
        </is>
      </c>
    </row>
    <row r="1174">
      <c r="A1174" t="inlineStr">
        <is>
          <t>Neopren Neilpryde NPX 5/3mm XXL - 56 Assasin Serie</t>
        </is>
      </c>
      <c r="B1174" s="4" t="n">
        <v>90</v>
      </c>
      <c r="C1174" t="inlineStr"/>
      <c r="D1174" t="inlineStr">
        <is>
          <t>22549 Altona - Hamburg Osdorf</t>
        </is>
      </c>
      <c r="E1174" s="5" t="n">
        <v>45446</v>
      </c>
      <c r="F1174" t="inlineStr">
        <is>
          <t>Sold</t>
        </is>
      </c>
      <c r="G1174" s="6">
        <f>HYPERLINK("https://www.kleinanzeigen.de/s-anzeige/neopren-neilpryde-npx-5-3mm-xxl-56-assasin-serie/2779006731-230-19496", "Link")</f>
        <v/>
      </c>
      <c r="H1174" s="6">
        <f>HYPERLINK("C:\Projects\Kleinanzeigen-Scraper\offer_images\2779006731", "Link")</f>
        <v/>
      </c>
      <c r="I1174" t="inlineStr">
        <is>
          <t>Tim</t>
        </is>
      </c>
      <c r="J1174" s="6">
        <f>HYPERLINK("https://www.kleinanzeigen.de/s-bestandsliste.html?userId=7352146", "Link")</f>
        <v/>
      </c>
      <c r="K1174" s="7" t="n">
        <v>45549.58035879629</v>
      </c>
      <c r="L1174" s="3" t="inlineStr">
        <is>
          <t>354.40</t>
        </is>
      </c>
      <c r="M1174" t="inlineStr">
        <is>
          <t>Köln</t>
        </is>
      </c>
    </row>
    <row r="1175">
      <c r="A1175" t="inlineStr">
        <is>
          <t>GOYA Lion Feucht-Wanger</t>
        </is>
      </c>
      <c r="B1175" s="4" t="n">
        <v>7</v>
      </c>
      <c r="C1175" t="inlineStr"/>
      <c r="D1175" t="inlineStr">
        <is>
          <t>66740 Saarland - Saarlouis</t>
        </is>
      </c>
      <c r="E1175" s="5" t="n">
        <v>45449</v>
      </c>
      <c r="F1175" t="inlineStr"/>
      <c r="G1175" s="6">
        <f>HYPERLINK("https://www.kleinanzeigen.de/s-anzeige/goya-lion-feucht-wanger/2781533060-234-369", "Link")</f>
        <v/>
      </c>
      <c r="H1175" s="6">
        <f>HYPERLINK("C:\Projects\Kleinanzeigen-Scraper\offer_images\2781533060", "Link")</f>
        <v/>
      </c>
      <c r="I1175" t="inlineStr">
        <is>
          <t>Melanie Schmitt</t>
        </is>
      </c>
      <c r="J1175" s="6">
        <f>HYPERLINK("https://www.kleinanzeigen.de/s-bestandsliste.html?userId=29254034", "Link")</f>
        <v/>
      </c>
      <c r="K1175" s="7" t="n">
        <v>45549.58034722223</v>
      </c>
      <c r="L1175" s="3" t="inlineStr">
        <is>
          <t>124.87</t>
        </is>
      </c>
      <c r="M1175" t="inlineStr">
        <is>
          <t>Karlsruhe</t>
        </is>
      </c>
    </row>
    <row r="1176">
      <c r="A1176" t="inlineStr">
        <is>
          <t>Simms Poloshirt Gr. S Fliegenfischen</t>
        </is>
      </c>
      <c r="B1176" s="4" t="n">
        <v>45</v>
      </c>
      <c r="C1176" t="inlineStr">
        <is>
          <t>VB</t>
        </is>
      </c>
      <c r="D1176" t="inlineStr">
        <is>
          <t>24537 Schleswig-Holstein - Neumünster</t>
        </is>
      </c>
      <c r="E1176" s="5" t="n">
        <v>45368</v>
      </c>
      <c r="F1176" t="inlineStr"/>
      <c r="G1176" s="6">
        <f>HYPERLINK("https://www.kleinanzeigen.de/s-anzeige/simms-poloshirt-gr-s-fliegenfischen/2708800516-230-646", "Link")</f>
        <v/>
      </c>
      <c r="H1176" s="6">
        <f>HYPERLINK("C:\Projects\Kleinanzeigen-Scraper\offer_images\2708800516", "Link")</f>
        <v/>
      </c>
      <c r="I1176" t="inlineStr">
        <is>
          <t>Stefan Röhl</t>
        </is>
      </c>
      <c r="J1176" s="6">
        <f>HYPERLINK("https://www.kleinanzeigen.de/s-bestandsliste.html?userId=2967405", "Link")</f>
        <v/>
      </c>
      <c r="K1176" s="7" t="n">
        <v>45549.58034722223</v>
      </c>
      <c r="L1176" s="3" t="inlineStr">
        <is>
          <t>403.96</t>
        </is>
      </c>
      <c r="M1176" t="inlineStr">
        <is>
          <t>Köln</t>
        </is>
      </c>
    </row>
    <row r="1177">
      <c r="A1177" t="inlineStr">
        <is>
          <t>Duotone Tubekite Evo C01:mint/dark-grey 2024 5.0 qm</t>
        </is>
      </c>
      <c r="B1177" s="4" t="n">
        <v>889</v>
      </c>
      <c r="C1177" t="inlineStr">
        <is>
          <t>VB</t>
        </is>
      </c>
      <c r="D1177" t="inlineStr">
        <is>
          <t>26125 Niedersachsen - Oldenburg</t>
        </is>
      </c>
      <c r="E1177" s="5" t="n">
        <v>45545</v>
      </c>
      <c r="F1177" t="inlineStr">
        <is>
          <t>Sold</t>
        </is>
      </c>
      <c r="G1177" s="6">
        <f>HYPERLINK("https://www.kleinanzeigen.de/s-anzeige/duotone-tubekite-evo-c01-mint-dark-grey-2024-5-0-qm/2859567658-230-3111", "Link")</f>
        <v/>
      </c>
      <c r="H1177" s="6">
        <f>HYPERLINK("C:\Projects\Kleinanzeigen-Scraper\offer_images\2859567658", "Link")</f>
        <v/>
      </c>
      <c r="I1177" t="inlineStr">
        <is>
          <t>No user name</t>
        </is>
      </c>
      <c r="J1177" s="6">
        <f>HYPERLINK("https://www.kleinanzeigen.deNo user link", "Link")</f>
        <v/>
      </c>
      <c r="K1177" s="7" t="n">
        <v>45549.58034722223</v>
      </c>
      <c r="L1177" s="3" t="inlineStr">
        <is>
          <t>264.10</t>
        </is>
      </c>
      <c r="M1177" t="inlineStr">
        <is>
          <t>Köln</t>
        </is>
      </c>
    </row>
    <row r="1178">
      <c r="A1178" t="inlineStr">
        <is>
          <t>SUP Fanatic Diamond Air 9'8" Package incl. Leash und JP Paddel</t>
        </is>
      </c>
      <c r="B1178" s="4" t="n">
        <v>449</v>
      </c>
      <c r="C1178" t="inlineStr">
        <is>
          <t>VB</t>
        </is>
      </c>
      <c r="D1178" t="inlineStr">
        <is>
          <t>83646 Bayern - Bad Tölz</t>
        </is>
      </c>
      <c r="E1178" s="5" t="n">
        <v>45521</v>
      </c>
      <c r="F1178" t="inlineStr">
        <is>
          <t>Sold</t>
        </is>
      </c>
      <c r="G1178" s="6">
        <f>HYPERLINK("https://www.kleinanzeigen.de/s-anzeige/sup-fanatic-diamond-air-9-8-package-incl-leash-und-jp-paddel/2838769762-230-5883", "Link")</f>
        <v/>
      </c>
      <c r="H1178" s="6">
        <f>HYPERLINK("C:\Projects\Kleinanzeigen-Scraper\offer_images\2838769762", "Link")</f>
        <v/>
      </c>
      <c r="I1178" t="inlineStr">
        <is>
          <t>Hans-Peter</t>
        </is>
      </c>
      <c r="J1178" s="6">
        <f>HYPERLINK("https://www.kleinanzeigen.de/s-bestandsliste.html?userId=15717801", "Link")</f>
        <v/>
      </c>
      <c r="K1178" s="7" t="n">
        <v>45549.58033564815</v>
      </c>
      <c r="L1178" s="3" t="inlineStr">
        <is>
          <t>43.27</t>
        </is>
      </c>
      <c r="M1178" t="inlineStr">
        <is>
          <t>München</t>
        </is>
      </c>
    </row>
    <row r="1179">
      <c r="A1179" t="inlineStr">
        <is>
          <t>Slingshot Machine Kite 10qm 12qm Bar Naish North Dutone</t>
        </is>
      </c>
      <c r="B1179" s="4" t="n">
        <v>599</v>
      </c>
      <c r="C1179" t="inlineStr">
        <is>
          <t>VB</t>
        </is>
      </c>
      <c r="D1179" t="inlineStr">
        <is>
          <t>42553 Nordrhein-Westfalen - Velbert</t>
        </is>
      </c>
      <c r="E1179" s="5" t="n">
        <v>45543</v>
      </c>
      <c r="F1179" t="inlineStr">
        <is>
          <t>Sold</t>
        </is>
      </c>
      <c r="G1179" s="6">
        <f>HYPERLINK("https://www.kleinanzeigen.de/s-anzeige/slingshot-machine-kite-10qm-12qm-bar-naish-north-dutone/2857604058-230-1747", "Link")</f>
        <v/>
      </c>
      <c r="H1179" s="6">
        <f>HYPERLINK("C:\Projects\Kleinanzeigen-Scraper\offer_images\2857604058", "Link")</f>
        <v/>
      </c>
      <c r="I1179" t="inlineStr">
        <is>
          <t>Josephine Petrat</t>
        </is>
      </c>
      <c r="J1179" s="6">
        <f>HYPERLINK("https://www.kleinanzeigen.de/s-bestandsliste.html?userId=27687333", "Link")</f>
        <v/>
      </c>
      <c r="K1179" s="7" t="n">
        <v>45549.58033564815</v>
      </c>
      <c r="L1179" s="3" t="inlineStr">
        <is>
          <t>43.15</t>
        </is>
      </c>
      <c r="M1179" t="inlineStr">
        <is>
          <t>Köln</t>
        </is>
      </c>
    </row>
    <row r="1180">
      <c r="A1180" t="inlineStr">
        <is>
          <t>Duotone Neo SLS 2024, 7 qm, Kite, top Zustand</t>
        </is>
      </c>
      <c r="B1180" s="4" t="n">
        <v>999</v>
      </c>
      <c r="C1180" t="inlineStr"/>
      <c r="D1180" t="inlineStr">
        <is>
          <t>86899 Bayern - Landsberg (Lech)</t>
        </is>
      </c>
      <c r="E1180" s="5" t="n">
        <v>45547</v>
      </c>
      <c r="F1180" t="inlineStr">
        <is>
          <t>Sold</t>
        </is>
      </c>
      <c r="G1180" s="6">
        <f>HYPERLINK("https://www.kleinanzeigen.de/s-anzeige/duotone-neo-sls-2024-7-qm-kite-top-zustand/2861041530-230-7091", "Link")</f>
        <v/>
      </c>
      <c r="H1180" s="6">
        <f>HYPERLINK("C:\Projects\Kleinanzeigen-Scraper\offer_images\2861041530", "Link")</f>
        <v/>
      </c>
      <c r="I1180" t="inlineStr">
        <is>
          <t>Chris</t>
        </is>
      </c>
      <c r="J1180" s="6">
        <f>HYPERLINK("https://www.kleinanzeigen.de/s-bestandsliste.html?userId=16182812", "Link")</f>
        <v/>
      </c>
      <c r="K1180" s="7" t="n">
        <v>45549.58033564815</v>
      </c>
      <c r="L1180" s="3" t="inlineStr">
        <is>
          <t>55.05</t>
        </is>
      </c>
      <c r="M1180" t="inlineStr">
        <is>
          <t>München</t>
        </is>
      </c>
    </row>
    <row r="1181">
      <c r="A1181" t="inlineStr">
        <is>
          <t>North Reach Kite 8m2 blau, 2022</t>
        </is>
      </c>
      <c r="B1181" s="4" t="n">
        <v>600</v>
      </c>
      <c r="C1181" t="inlineStr">
        <is>
          <t>VB</t>
        </is>
      </c>
      <c r="D1181" t="inlineStr">
        <is>
          <t>78315 Baden-Württemberg - Radolfzell am Bodensee</t>
        </is>
      </c>
      <c r="E1181" s="5" t="n">
        <v>45542</v>
      </c>
      <c r="F1181" t="inlineStr">
        <is>
          <t>Sold</t>
        </is>
      </c>
      <c r="G1181" s="6">
        <f>HYPERLINK("https://www.kleinanzeigen.de/s-anzeige/north-reach-kite-8m2-blau-2022/2856904386-230-8190", "Link")</f>
        <v/>
      </c>
      <c r="H1181" s="6">
        <f>HYPERLINK("C:\Projects\Kleinanzeigen-Scraper\offer_images\2856904386", "Link")</f>
        <v/>
      </c>
      <c r="I1181" t="inlineStr">
        <is>
          <t>Simon Hautmann</t>
        </is>
      </c>
      <c r="J1181" s="6">
        <f>HYPERLINK("https://www.kleinanzeigen.de/s-bestandsliste.html?userId=76760502", "Link")</f>
        <v/>
      </c>
      <c r="K1181" s="7" t="n">
        <v>45549.58033564815</v>
      </c>
      <c r="L1181" s="3" t="inlineStr">
        <is>
          <t>48.46</t>
        </is>
      </c>
      <c r="M1181" t="inlineStr">
        <is>
          <t>Bonndorf</t>
        </is>
      </c>
    </row>
    <row r="1182">
      <c r="A1182" t="inlineStr">
        <is>
          <t>North Mode PRO wing 2023 - 2024</t>
        </is>
      </c>
      <c r="B1182" s="4" t="n">
        <v>1.349</v>
      </c>
      <c r="C1182" t="inlineStr"/>
      <c r="D1182" t="inlineStr">
        <is>
          <t>46569 Nordrhein-Westfalen - Hünxe</t>
        </is>
      </c>
      <c r="E1182" s="5" t="n">
        <v>45544</v>
      </c>
      <c r="F1182" t="inlineStr">
        <is>
          <t>Sold</t>
        </is>
      </c>
      <c r="G1182" s="6">
        <f>HYPERLINK("https://www.kleinanzeigen.de/s-anzeige/north-mode-pro-wing-2023-2024/2545848858-230-1383", "Link")</f>
        <v/>
      </c>
      <c r="H1182" s="6">
        <f>HYPERLINK("C:\Projects\Kleinanzeigen-Scraper\offer_images\2545848858", "Link")</f>
        <v/>
      </c>
      <c r="I1182" t="inlineStr">
        <is>
          <t>No user name</t>
        </is>
      </c>
      <c r="J1182" s="6">
        <f>HYPERLINK("https://www.kleinanzeigen.deNo user link", "Link")</f>
        <v/>
      </c>
      <c r="K1182" s="7" t="n">
        <v>45549.5803125</v>
      </c>
      <c r="L1182" s="3" t="inlineStr">
        <is>
          <t>78.61</t>
        </is>
      </c>
      <c r="M1182" t="inlineStr">
        <is>
          <t>Köln</t>
        </is>
      </c>
    </row>
    <row r="1183">
      <c r="A1183" t="inlineStr">
        <is>
          <t>Foil Mast-Fuselage Set Carbon Fanatic</t>
        </is>
      </c>
      <c r="B1183" s="4" t="n">
        <v>800</v>
      </c>
      <c r="C1183" t="inlineStr">
        <is>
          <t>VB</t>
        </is>
      </c>
      <c r="D1183" t="inlineStr">
        <is>
          <t>58644 Nordrhein-Westfalen - Iserlohn</t>
        </is>
      </c>
      <c r="E1183" s="5" t="n">
        <v>45545</v>
      </c>
      <c r="F1183" t="inlineStr">
        <is>
          <t>Sold</t>
        </is>
      </c>
      <c r="G1183" s="6">
        <f>HYPERLINK("https://www.kleinanzeigen.de/s-anzeige/foil-mast-fuselage-set-carbon-fanatic/2859345739-230-1739", "Link")</f>
        <v/>
      </c>
      <c r="H1183" s="6">
        <f>HYPERLINK("C:\Projects\Kleinanzeigen-Scraper\offer_images\2859345739", "Link")</f>
        <v/>
      </c>
      <c r="I1183" t="inlineStr">
        <is>
          <t>Lena</t>
        </is>
      </c>
      <c r="J1183" s="6">
        <f>HYPERLINK("https://www.kleinanzeigen.de/s-bestandsliste.html?userId=136942176", "Link")</f>
        <v/>
      </c>
      <c r="K1183" s="7" t="n">
        <v>45549.5803125</v>
      </c>
      <c r="L1183" s="3" t="inlineStr">
        <is>
          <t>68.92</t>
        </is>
      </c>
      <c r="M1183" t="inlineStr">
        <is>
          <t>Köln</t>
        </is>
      </c>
    </row>
    <row r="1184">
      <c r="A1184" t="inlineStr">
        <is>
          <t>The North Face M Warme Regenhose / HyVent</t>
        </is>
      </c>
      <c r="B1184" s="4" t="n">
        <v>25</v>
      </c>
      <c r="C1184" t="inlineStr">
        <is>
          <t>VB</t>
        </is>
      </c>
      <c r="D1184" t="inlineStr">
        <is>
          <t>38446 Niedersachsen - Wolfsburg</t>
        </is>
      </c>
      <c r="E1184" s="5" t="n">
        <v>45544</v>
      </c>
      <c r="F1184" t="inlineStr">
        <is>
          <t>Sold</t>
        </is>
      </c>
      <c r="G1184" s="6">
        <f>HYPERLINK("https://www.kleinanzeigen.de/s-anzeige/the-north-face-m-warme-regenhose-hyvent/2858695834-230-3076", "Link")</f>
        <v/>
      </c>
      <c r="H1184" s="6">
        <f>HYPERLINK("C:\Projects\Kleinanzeigen-Scraper\offer_images\2858695834", "Link")</f>
        <v/>
      </c>
      <c r="I1184" t="inlineStr">
        <is>
          <t>Daniel</t>
        </is>
      </c>
      <c r="J1184" s="6">
        <f>HYPERLINK("https://www.kleinanzeigen.de/s-bestandsliste.html?userId=130356997", "Link")</f>
        <v/>
      </c>
      <c r="K1184" s="7" t="n">
        <v>45549.5803125</v>
      </c>
      <c r="L1184" s="3" t="inlineStr">
        <is>
          <t>313.32</t>
        </is>
      </c>
      <c r="M1184" t="inlineStr">
        <is>
          <t>Köln</t>
        </is>
      </c>
    </row>
    <row r="1185">
      <c r="A1185" t="inlineStr">
        <is>
          <t>Kite North Evo 14</t>
        </is>
      </c>
      <c r="B1185" s="4" t="n">
        <v>130</v>
      </c>
      <c r="C1185" t="inlineStr"/>
      <c r="D1185" t="inlineStr">
        <is>
          <t>21035 Bergedorf - Hamburg Allermöhe</t>
        </is>
      </c>
      <c r="E1185" s="5" t="n">
        <v>45543</v>
      </c>
      <c r="F1185" t="inlineStr">
        <is>
          <t>Sold</t>
        </is>
      </c>
      <c r="G1185" s="6">
        <f>HYPERLINK("https://www.kleinanzeigen.de/s-anzeige/kite-north-evo-14/2857627319-230-9517", "Link")</f>
        <v/>
      </c>
      <c r="H1185" s="6">
        <f>HYPERLINK("C:\Projects\Kleinanzeigen-Scraper\offer_images\2857627319", "Link")</f>
        <v/>
      </c>
      <c r="I1185" t="inlineStr">
        <is>
          <t>Verkäufer</t>
        </is>
      </c>
      <c r="J1185" s="6">
        <f>HYPERLINK("https://www.kleinanzeigen.de/s-bestandsliste.html?userId=2964963", "Link")</f>
        <v/>
      </c>
      <c r="K1185" s="7" t="n">
        <v>45549.5803125</v>
      </c>
      <c r="L1185" s="3" t="inlineStr">
        <is>
          <t>357.47</t>
        </is>
      </c>
      <c r="M1185" t="inlineStr">
        <is>
          <t>Köln</t>
        </is>
      </c>
    </row>
    <row r="1186">
      <c r="A1186" t="inlineStr">
        <is>
          <t>NORTHERN BREEZE 10 SCREEN HOUSE</t>
        </is>
      </c>
      <c r="B1186" s="4" t="n">
        <v>120</v>
      </c>
      <c r="C1186" t="inlineStr">
        <is>
          <t>VB</t>
        </is>
      </c>
      <c r="D1186" t="inlineStr">
        <is>
          <t>74080 Baden-Württemberg - Heilbronn</t>
        </is>
      </c>
      <c r="E1186" s="5" t="n">
        <v>45543</v>
      </c>
      <c r="F1186" t="inlineStr">
        <is>
          <t>Sold</t>
        </is>
      </c>
      <c r="G1186" s="6">
        <f>HYPERLINK("https://www.kleinanzeigen.de/s-anzeige/northern-breeze-10-screen-house/2858067257-230-9247", "Link")</f>
        <v/>
      </c>
      <c r="H1186" s="6">
        <f>HYPERLINK("C:\Projects\Kleinanzeigen-Scraper\offer_images\2858067257", "Link")</f>
        <v/>
      </c>
      <c r="I1186" t="inlineStr">
        <is>
          <t>Privat</t>
        </is>
      </c>
      <c r="J1186" s="6">
        <f>HYPERLINK("https://www.kleinanzeigen.de/s-bestandsliste.html?userId=6737163", "Link")</f>
        <v/>
      </c>
      <c r="K1186" s="7" t="n">
        <v>45549.58028935185</v>
      </c>
      <c r="L1186" s="3" t="inlineStr">
        <is>
          <t>53.35</t>
        </is>
      </c>
      <c r="M1186" t="inlineStr">
        <is>
          <t>Böblingen</t>
        </is>
      </c>
    </row>
    <row r="1187">
      <c r="A1187" t="inlineStr">
        <is>
          <t>Naish S26 Wing Surfer Matador LT / Test ab Mai auf Rügen</t>
        </is>
      </c>
      <c r="B1187" s="4" t="n">
        <v>799</v>
      </c>
      <c r="C1187" t="inlineStr"/>
      <c r="D1187" t="inlineStr">
        <is>
          <t>18586 Mecklenburg-Vorpommern - Mönchgut, Ostseebad</t>
        </is>
      </c>
      <c r="E1187" s="5" t="n">
        <v>45534</v>
      </c>
      <c r="F1187" t="inlineStr">
        <is>
          <t>Sold</t>
        </is>
      </c>
      <c r="G1187" s="6">
        <f>HYPERLINK("https://www.kleinanzeigen.de/s-anzeige/naish-s26-wing-surfer-matador-lt-test-ab-mai-auf-ruegen/1214698358-230-120", "Link")</f>
        <v/>
      </c>
      <c r="H1187" s="6">
        <f>HYPERLINK("C:\Projects\Kleinanzeigen-Scraper\offer_images\1214698358", "Link")</f>
        <v/>
      </c>
      <c r="I1187" t="inlineStr">
        <is>
          <t>No user name</t>
        </is>
      </c>
      <c r="J1187" s="6">
        <f>HYPERLINK("https://www.kleinanzeigen.deNo user link", "Link")</f>
        <v/>
      </c>
      <c r="K1187" s="7" t="n">
        <v>45549.5802662037</v>
      </c>
      <c r="L1187" s="3" t="inlineStr">
        <is>
          <t>591.22</t>
        </is>
      </c>
      <c r="M1187" t="inlineStr">
        <is>
          <t>Köln</t>
        </is>
      </c>
    </row>
    <row r="1188">
      <c r="A1188" t="inlineStr">
        <is>
          <t>Stunt Scooter Deck North Willow</t>
        </is>
      </c>
      <c r="B1188" s="4" t="n">
        <v>75</v>
      </c>
      <c r="C1188" t="inlineStr">
        <is>
          <t>VB</t>
        </is>
      </c>
      <c r="D1188" t="inlineStr">
        <is>
          <t>63791 Bayern - Karlstein</t>
        </is>
      </c>
      <c r="E1188" s="5" t="n">
        <v>45539</v>
      </c>
      <c r="F1188" t="inlineStr">
        <is>
          <t>Sold</t>
        </is>
      </c>
      <c r="G1188" s="6">
        <f>HYPERLINK("https://www.kleinanzeigen.de/s-anzeige/stunt-scooter-deck-north-willow/2853924178-187-4821", "Link")</f>
        <v/>
      </c>
      <c r="H1188" s="6">
        <f>HYPERLINK("C:\Projects\Kleinanzeigen-Scraper\offer_images\2853924178", "Link")</f>
        <v/>
      </c>
      <c r="I1188" t="inlineStr">
        <is>
          <t>B.S.</t>
        </is>
      </c>
      <c r="J1188" s="6">
        <f>HYPERLINK("https://www.kleinanzeigen.de/s-bestandsliste.html?userId=81035846", "Link")</f>
        <v/>
      </c>
      <c r="K1188" s="7" t="n">
        <v>45549.5802662037</v>
      </c>
      <c r="L1188" s="3" t="inlineStr">
        <is>
          <t>124.31</t>
        </is>
      </c>
      <c r="M1188" t="inlineStr">
        <is>
          <t>Karlsruhe</t>
        </is>
      </c>
    </row>
    <row r="1189">
      <c r="A1189" t="inlineStr">
        <is>
          <t>Kite North VEGAS 12qm</t>
        </is>
      </c>
      <c r="B1189" s="4" t="n">
        <v>235</v>
      </c>
      <c r="C1189" t="inlineStr">
        <is>
          <t>VB</t>
        </is>
      </c>
      <c r="D1189" t="inlineStr">
        <is>
          <t>26605 Niedersachsen - Aurich</t>
        </is>
      </c>
      <c r="E1189" s="5" t="n">
        <v>45536</v>
      </c>
      <c r="F1189" t="inlineStr">
        <is>
          <t>Sold</t>
        </is>
      </c>
      <c r="G1189" s="6">
        <f>HYPERLINK("https://www.kleinanzeigen.de/s-anzeige/kite-north-vegas-12qm/2851568797-230-3033", "Link")</f>
        <v/>
      </c>
      <c r="H1189" s="6">
        <f>HYPERLINK("C:\Projects\Kleinanzeigen-Scraper\offer_images\2851568797", "Link")</f>
        <v/>
      </c>
      <c r="I1189" t="inlineStr">
        <is>
          <t>Werner</t>
        </is>
      </c>
      <c r="J1189" s="6">
        <f>HYPERLINK("https://www.kleinanzeigen.de/s-bestandsliste.html?userId=82765441", "Link")</f>
        <v/>
      </c>
      <c r="K1189" s="7" t="n">
        <v>45549.5802662037</v>
      </c>
      <c r="L1189" s="3" t="inlineStr">
        <is>
          <t>283.92</t>
        </is>
      </c>
      <c r="M1189" t="inlineStr">
        <is>
          <t>Köln</t>
        </is>
      </c>
    </row>
    <row r="1190">
      <c r="A1190" t="inlineStr">
        <is>
          <t>Fanatic Back Wing 365 Wing Foil Wing Neu Wingsurfen</t>
        </is>
      </c>
      <c r="B1190" s="4" t="n">
        <v>120</v>
      </c>
      <c r="C1190" t="inlineStr"/>
      <c r="D1190" t="inlineStr">
        <is>
          <t>22457 Eimsbüttel - Hamburg Schnelsen</t>
        </is>
      </c>
      <c r="E1190" s="5" t="n">
        <v>45552</v>
      </c>
      <c r="F1190" t="inlineStr">
        <is>
          <t>Sold</t>
        </is>
      </c>
      <c r="G1190" s="6">
        <f>HYPERLINK("https://www.kleinanzeigen.de/s-anzeige/fanatic-back-wing-365-wing-foil-wing-neu-wingsurfen/2528005635-230-9492", "Link")</f>
        <v/>
      </c>
      <c r="H1190" s="6">
        <f>HYPERLINK("C:\Projects\Kleinanzeigen-Scraper\offer_images\2528005635", "Link")</f>
        <v/>
      </c>
      <c r="I1190" t="inlineStr">
        <is>
          <t>No user name</t>
        </is>
      </c>
      <c r="J1190" s="6">
        <f>HYPERLINK("https://www.kleinanzeigen.deNo user link", "Link")</f>
        <v/>
      </c>
      <c r="K1190" s="7" t="n">
        <v>45549.5802662037</v>
      </c>
      <c r="L1190" s="3" t="inlineStr">
        <is>
          <t>362.41</t>
        </is>
      </c>
      <c r="M1190" t="inlineStr">
        <is>
          <t>Köln</t>
        </is>
      </c>
    </row>
    <row r="1191">
      <c r="A1191" t="inlineStr">
        <is>
          <t>Scott g2 8,8ft klasse 6 fliegenrute simms orvis</t>
        </is>
      </c>
      <c r="B1191" s="4" t="n">
        <v>340</v>
      </c>
      <c r="C1191" t="inlineStr">
        <is>
          <t>VB</t>
        </is>
      </c>
      <c r="D1191" t="inlineStr">
        <is>
          <t>74589 Baden-Württemberg - Satteldorf</t>
        </is>
      </c>
      <c r="E1191" s="5" t="n">
        <v>45520</v>
      </c>
      <c r="F1191" t="inlineStr"/>
      <c r="G1191" s="6">
        <f>HYPERLINK("https://www.kleinanzeigen.de/s-anzeige/scott-g2-8-8ft-klasse-6-fliegenrute-simms-orvis/2838490159-230-9132", "Link")</f>
        <v/>
      </c>
      <c r="H1191" s="6">
        <f>HYPERLINK("C:\Projects\Kleinanzeigen-Scraper\offer_images\2838490159", "Link")</f>
        <v/>
      </c>
      <c r="I1191" t="inlineStr">
        <is>
          <t>Bm.</t>
        </is>
      </c>
      <c r="J1191" s="6">
        <f>HYPERLINK("https://www.kleinanzeigen.de/s-bestandsliste.html?userId=8464883", "Link")</f>
        <v/>
      </c>
      <c r="K1191" s="7" t="n">
        <v>45549.58024305556</v>
      </c>
      <c r="L1191" s="3" t="inlineStr">
        <is>
          <t>98.57</t>
        </is>
      </c>
      <c r="M1191" t="inlineStr">
        <is>
          <t>Böblingen</t>
        </is>
      </c>
    </row>
    <row r="1192">
      <c r="A1192" t="inlineStr">
        <is>
          <t>Duotone Dice 12qm aus 2021</t>
        </is>
      </c>
      <c r="B1192" s="4" t="n">
        <v>650</v>
      </c>
      <c r="C1192" t="inlineStr"/>
      <c r="D1192" t="inlineStr">
        <is>
          <t>49143 Niedersachsen - Bissendorf</t>
        </is>
      </c>
      <c r="E1192" s="5" t="n">
        <v>45538</v>
      </c>
      <c r="F1192" t="inlineStr">
        <is>
          <t>Sold</t>
        </is>
      </c>
      <c r="G1192" s="6">
        <f>HYPERLINK("https://www.kleinanzeigen.de/s-anzeige/duotone-dice-12qm-aus-2021/2853319466-230-3118", "Link")</f>
        <v/>
      </c>
      <c r="H1192" s="6">
        <f>HYPERLINK("C:\Projects\Kleinanzeigen-Scraper\offer_images\2853319466", "Link")</f>
        <v/>
      </c>
      <c r="I1192" t="inlineStr">
        <is>
          <t>Torben Sommer</t>
        </is>
      </c>
      <c r="J1192" s="6">
        <f>HYPERLINK("https://www.kleinanzeigen.de/s-bestandsliste.html?userId=71232899", "Link")</f>
        <v/>
      </c>
      <c r="K1192" s="7" t="n">
        <v>45549.58024305556</v>
      </c>
      <c r="L1192" s="3" t="inlineStr">
        <is>
          <t>170.51</t>
        </is>
      </c>
      <c r="M1192" t="inlineStr">
        <is>
          <t>Köln</t>
        </is>
      </c>
    </row>
    <row r="1193">
      <c r="A1193" t="inlineStr">
        <is>
          <t>Goya c.kreul kunstmalerei feine Ölfarben 27 Tuben á 20ml</t>
        </is>
      </c>
      <c r="B1193" s="4" t="n">
        <v>60</v>
      </c>
      <c r="C1193" t="inlineStr">
        <is>
          <t>VB</t>
        </is>
      </c>
      <c r="D1193" t="inlineStr">
        <is>
          <t>90552 Bayern - Röthenbach</t>
        </is>
      </c>
      <c r="E1193" s="5" t="n">
        <v>45442</v>
      </c>
      <c r="F1193" t="inlineStr">
        <is>
          <t>Sold</t>
        </is>
      </c>
      <c r="G1193" s="6">
        <f>HYPERLINK("https://www.kleinanzeigen.de/s-anzeige/goya-c-kreul-kunstmalerei-feine-oelfarben-27-tuben-20ml/2774934216-282-6375", "Link")</f>
        <v/>
      </c>
      <c r="H1193" s="6">
        <f>HYPERLINK("C:\Projects\Kleinanzeigen-Scraper\offer_images\2774934216", "Link")</f>
        <v/>
      </c>
      <c r="I1193" t="inlineStr">
        <is>
          <t>Sven vogel</t>
        </is>
      </c>
      <c r="J1193" s="6">
        <f>HYPERLINK("https://www.kleinanzeigen.de/s-bestandsliste.html?userId=36266937", "Link")</f>
        <v/>
      </c>
      <c r="K1193" s="7" t="n">
        <v>45549.58021990741</v>
      </c>
      <c r="L1193" s="3" t="inlineStr">
        <is>
          <t>151.61</t>
        </is>
      </c>
      <c r="M1193" t="inlineStr">
        <is>
          <t>München</t>
        </is>
      </c>
    </row>
    <row r="1194">
      <c r="A1194" t="inlineStr">
        <is>
          <t>Kite North Mono 9m2 (jetzt Duotone)</t>
        </is>
      </c>
      <c r="B1194" s="4" t="n">
        <v>330</v>
      </c>
      <c r="C1194" t="inlineStr">
        <is>
          <t>VB</t>
        </is>
      </c>
      <c r="D1194" t="inlineStr">
        <is>
          <t>80802 München - Maxvorstadt</t>
        </is>
      </c>
      <c r="E1194" s="5" t="n">
        <v>45539</v>
      </c>
      <c r="F1194" t="inlineStr">
        <is>
          <t>Sold</t>
        </is>
      </c>
      <c r="G1194" s="6">
        <f>HYPERLINK("https://www.kleinanzeigen.de/s-anzeige/kite-north-mono-9m2-jetzt-duotone-/2854110500-230-16356", "Link")</f>
        <v/>
      </c>
      <c r="H1194" s="6">
        <f>HYPERLINK("C:\Projects\Kleinanzeigen-Scraper\offer_images\2854110500", "Link")</f>
        <v/>
      </c>
      <c r="I1194" t="inlineStr">
        <is>
          <t>Anna</t>
        </is>
      </c>
      <c r="J1194" s="6">
        <f>HYPERLINK("https://www.kleinanzeigen.de/s-bestandsliste.html?userId=57566361", "Link")</f>
        <v/>
      </c>
      <c r="K1194" s="7" t="n">
        <v>45549.58021990741</v>
      </c>
      <c r="L1194" s="3" t="inlineStr">
        <is>
          <t>2.95</t>
        </is>
      </c>
      <c r="M1194" t="inlineStr">
        <is>
          <t>München</t>
        </is>
      </c>
    </row>
    <row r="1195">
      <c r="A1195" t="inlineStr">
        <is>
          <t>Fanatic Aero Surf Foil 2500/300 Flügel Set</t>
        </is>
      </c>
      <c r="B1195" s="4" t="n">
        <v>350</v>
      </c>
      <c r="C1195" t="inlineStr">
        <is>
          <t>VB</t>
        </is>
      </c>
      <c r="D1195" t="inlineStr">
        <is>
          <t>85737 Kr. München - Ismaning</t>
        </is>
      </c>
      <c r="E1195" s="5" t="n">
        <v>45534</v>
      </c>
      <c r="F1195" t="inlineStr">
        <is>
          <t>Sold</t>
        </is>
      </c>
      <c r="G1195" s="6">
        <f>HYPERLINK("https://www.kleinanzeigen.de/s-anzeige/fanatic-aero-surf-foil-2500-300-fluegel-set/2850102708-230-17192", "Link")</f>
        <v/>
      </c>
      <c r="H1195" s="6">
        <f>HYPERLINK("C:\Projects\Kleinanzeigen-Scraper\offer_images\2850102708", "Link")</f>
        <v/>
      </c>
      <c r="I1195" t="inlineStr">
        <is>
          <t>Florian</t>
        </is>
      </c>
      <c r="J1195" s="6">
        <f>HYPERLINK("https://www.kleinanzeigen.de/s-bestandsliste.html?userId=2124459", "Link")</f>
        <v/>
      </c>
      <c r="K1195" s="7" t="n">
        <v>45549.58021990741</v>
      </c>
      <c r="L1195" s="3" t="inlineStr">
        <is>
          <t>14.56</t>
        </is>
      </c>
      <c r="M1195" t="inlineStr">
        <is>
          <t>München</t>
        </is>
      </c>
    </row>
    <row r="1196">
      <c r="A1196" t="inlineStr">
        <is>
          <t>North Kiteboarding Pumpe M NEU</t>
        </is>
      </c>
      <c r="B1196" s="4" t="n">
        <v>49</v>
      </c>
      <c r="C1196" t="inlineStr"/>
      <c r="D1196" t="inlineStr">
        <is>
          <t>44866 Bochum - Bochum-Wattenscheid</t>
        </is>
      </c>
      <c r="E1196" s="5" t="n">
        <v>45537</v>
      </c>
      <c r="F1196" t="inlineStr">
        <is>
          <t>Sold</t>
        </is>
      </c>
      <c r="G1196" s="6">
        <f>HYPERLINK("https://www.kleinanzeigen.de/s-anzeige/north-kiteboarding-pumpe-m-neu/2852350444-230-1934", "Link")</f>
        <v/>
      </c>
      <c r="H1196" s="6">
        <f>HYPERLINK("C:\Projects\Kleinanzeigen-Scraper\offer_images\2852350444", "Link")</f>
        <v/>
      </c>
      <c r="I1196" t="inlineStr">
        <is>
          <t>Allerlei</t>
        </is>
      </c>
      <c r="J1196" s="6">
        <f>HYPERLINK("https://www.kleinanzeigen.de/s-bestandsliste.html?userId=125463426", "Link")</f>
        <v/>
      </c>
      <c r="K1196" s="7" t="n">
        <v>45549.58021990741</v>
      </c>
      <c r="L1196" s="3" t="inlineStr">
        <is>
          <t>61.71</t>
        </is>
      </c>
      <c r="M1196" t="inlineStr">
        <is>
          <t>Köln</t>
        </is>
      </c>
    </row>
    <row r="1197">
      <c r="A1197" t="inlineStr">
        <is>
          <t>Duotone Trust Bar 22-24m Quad Control 2024</t>
        </is>
      </c>
      <c r="B1197" s="4" t="n">
        <v>470</v>
      </c>
      <c r="C1197" t="inlineStr"/>
      <c r="D1197" t="inlineStr">
        <is>
          <t>90451 Nürnberg (Mittelfr) - Aussenstadt-Sued</t>
        </is>
      </c>
      <c r="E1197" s="5" t="n">
        <v>45539</v>
      </c>
      <c r="F1197" t="inlineStr">
        <is>
          <t>Sold</t>
        </is>
      </c>
      <c r="G1197" s="6">
        <f>HYPERLINK("https://www.kleinanzeigen.de/s-anzeige/duotone-trust-bar-22-24m-quad-control-2024/2805224685-230-6836", "Link")</f>
        <v/>
      </c>
      <c r="H1197" s="6">
        <f>HYPERLINK("C:\Projects\Kleinanzeigen-Scraper\offer_images\2805224685", "Link")</f>
        <v/>
      </c>
      <c r="I1197" t="inlineStr">
        <is>
          <t>No user name</t>
        </is>
      </c>
      <c r="J1197" s="6">
        <f>HYPERLINK("https://www.kleinanzeigen.deNo user link", "Link")</f>
        <v/>
      </c>
      <c r="K1197" s="7" t="n">
        <v>45549.58021990741</v>
      </c>
      <c r="L1197" s="3" t="inlineStr">
        <is>
          <t>145.92</t>
        </is>
      </c>
      <c r="M1197" t="inlineStr">
        <is>
          <t>München</t>
        </is>
      </c>
    </row>
    <row r="1198">
      <c r="A1198" t="inlineStr">
        <is>
          <t>Kitesurf NORTH of Orbit 9  mod 2024 neu kite</t>
        </is>
      </c>
      <c r="B1198" s="4" t="n">
        <v>1.07</v>
      </c>
      <c r="C1198" t="inlineStr"/>
      <c r="D1198" t="inlineStr">
        <is>
          <t>83646 Bayern - Bad Tölz</t>
        </is>
      </c>
      <c r="E1198" s="5" t="n">
        <v>45537</v>
      </c>
      <c r="F1198" t="inlineStr">
        <is>
          <t>Sold</t>
        </is>
      </c>
      <c r="G1198" s="6">
        <f>HYPERLINK("https://www.kleinanzeigen.de/s-anzeige/kitesurf-north-of-orbit-9-mod-2024-neu-kite/2852520081-230-5883", "Link")</f>
        <v/>
      </c>
      <c r="H1198" s="6">
        <f>HYPERLINK("C:\Projects\Kleinanzeigen-Scraper\offer_images\2852520081", "Link")</f>
        <v/>
      </c>
      <c r="I1198" t="inlineStr">
        <is>
          <t>Cajo</t>
        </is>
      </c>
      <c r="J1198" s="6">
        <f>HYPERLINK("https://www.kleinanzeigen.de/s-bestandsliste.html?userId=141041346", "Link")</f>
        <v/>
      </c>
      <c r="K1198" s="7" t="n">
        <v>45549.58019675926</v>
      </c>
      <c r="L1198" s="3" t="inlineStr">
        <is>
          <t>43.27</t>
        </is>
      </c>
      <c r="M1198" t="inlineStr">
        <is>
          <t>München</t>
        </is>
      </c>
    </row>
    <row r="1199">
      <c r="A1199" t="inlineStr">
        <is>
          <t>Neopren Surfanzug - Long John Gun Sails Gr. 56</t>
        </is>
      </c>
      <c r="B1199" s="4" t="n">
        <v>50</v>
      </c>
      <c r="C1199" t="inlineStr">
        <is>
          <t>VB</t>
        </is>
      </c>
      <c r="D1199" t="inlineStr">
        <is>
          <t>84032 Bayern - Altdorf</t>
        </is>
      </c>
      <c r="E1199" s="5" t="n">
        <v>45520</v>
      </c>
      <c r="F1199" t="inlineStr">
        <is>
          <t>Sold</t>
        </is>
      </c>
      <c r="G1199" s="6">
        <f>HYPERLINK("https://www.kleinanzeigen.de/s-anzeige/neopren-surfanzug-long-john-gun-sails-gr-56/2838275795-230-18908", "Link")</f>
        <v/>
      </c>
      <c r="H1199" s="6">
        <f>HYPERLINK("C:\Projects\Kleinanzeigen-Scraper\offer_images\2838275795", "Link")</f>
        <v/>
      </c>
      <c r="I1199" t="inlineStr">
        <is>
          <t>Martina G.</t>
        </is>
      </c>
      <c r="J1199" s="6">
        <f>HYPERLINK("https://www.kleinanzeigen.de/s-bestandsliste.html?userId=10138933", "Link")</f>
        <v/>
      </c>
      <c r="K1199" s="7" t="n">
        <v>45549.58019675926</v>
      </c>
      <c r="L1199" s="3" t="inlineStr">
        <is>
          <t>60.84</t>
        </is>
      </c>
      <c r="M1199" t="inlineStr">
        <is>
          <t>München</t>
        </is>
      </c>
    </row>
    <row r="1200">
      <c r="A1200" t="inlineStr">
        <is>
          <t>North (Duotone) Evo Kite 9qm, neuwertig! Top Anfänger-Kite!</t>
        </is>
      </c>
      <c r="B1200" s="4" t="n">
        <v>390</v>
      </c>
      <c r="C1200" t="inlineStr">
        <is>
          <t>VB</t>
        </is>
      </c>
      <c r="D1200" t="inlineStr">
        <is>
          <t>26135 Niedersachsen - Oldenburg</t>
        </is>
      </c>
      <c r="E1200" s="5" t="n">
        <v>45546</v>
      </c>
      <c r="F1200" t="inlineStr">
        <is>
          <t>Sold</t>
        </is>
      </c>
      <c r="G1200" s="6">
        <f>HYPERLINK("https://www.kleinanzeigen.de/s-anzeige/north-duotone-evo-kite-9qm-neuwertig-top-anfaenger-kite-/2860412812-230-3110", "Link")</f>
        <v/>
      </c>
      <c r="H1200" s="6">
        <f>HYPERLINK("C:\Projects\Kleinanzeigen-Scraper\offer_images\2860412812", "Link")</f>
        <v/>
      </c>
      <c r="I1200" t="inlineStr">
        <is>
          <t>Sina</t>
        </is>
      </c>
      <c r="J1200" s="6">
        <f>HYPERLINK("https://www.kleinanzeigen.de/s-bestandsliste.html?userId=14901402", "Link")</f>
        <v/>
      </c>
      <c r="K1200" s="7" t="n">
        <v>45549.58018518519</v>
      </c>
      <c r="L1200" s="3" t="inlineStr">
        <is>
          <t>258.42</t>
        </is>
      </c>
      <c r="M1200" t="inlineStr">
        <is>
          <t>Köln</t>
        </is>
      </c>
    </row>
    <row r="1201">
      <c r="A1201" t="inlineStr">
        <is>
          <t>Neuwertiger Daunenschlafsack "The North Face" Komf-Temp. -7°C</t>
        </is>
      </c>
      <c r="B1201" s="4" t="n">
        <v>275</v>
      </c>
      <c r="C1201" t="inlineStr">
        <is>
          <t>VB</t>
        </is>
      </c>
      <c r="D1201" t="inlineStr">
        <is>
          <t>20253 Eimsbüttel - Hamburg Eimsbüttel (Stadtteil)</t>
        </is>
      </c>
      <c r="E1201" s="5" t="n">
        <v>45545</v>
      </c>
      <c r="F1201" t="inlineStr">
        <is>
          <t>Sold</t>
        </is>
      </c>
      <c r="G1201" s="6">
        <f>HYPERLINK("https://www.kleinanzeigen.de/s-anzeige/neuwertiger-daunenschlafsack-the-north-face-komf-temp-7-c/2859569073-230-9430", "Link")</f>
        <v/>
      </c>
      <c r="H1201" s="6">
        <f>HYPERLINK("C:\Projects\Kleinanzeigen-Scraper\offer_images\2859569073", "Link")</f>
        <v/>
      </c>
      <c r="I1201" t="inlineStr">
        <is>
          <t>Rolf-Peter</t>
        </is>
      </c>
      <c r="J1201" s="6">
        <f>HYPERLINK("https://www.kleinanzeigen.de/s-bestandsliste.html?userId=40476116", "Link")</f>
        <v/>
      </c>
      <c r="K1201" s="7" t="n">
        <v>45549.58017361111</v>
      </c>
      <c r="L1201" s="3" t="inlineStr">
        <is>
          <t>357.98</t>
        </is>
      </c>
      <c r="M1201" t="inlineStr">
        <is>
          <t>Köln</t>
        </is>
      </c>
    </row>
    <row r="1202">
      <c r="A1202" t="inlineStr">
        <is>
          <t>Notgeld Trier, Wittlich, Kirn, Simmern, Schoenecken, 1919, 1921</t>
        </is>
      </c>
      <c r="B1202" s="4" t="n">
        <v>6</v>
      </c>
      <c r="C1202" t="inlineStr"/>
      <c r="D1202" t="inlineStr">
        <is>
          <t>63820 Bayern - Elsenfeld</t>
        </is>
      </c>
      <c r="E1202" s="5" t="n">
        <v>45444</v>
      </c>
      <c r="F1202" t="inlineStr"/>
      <c r="G1202" s="6">
        <f>HYPERLINK("https://www.kleinanzeigen.de/s-anzeige/notgeld-trier-wittlich-kirn-simmern-schoenecken-1919-1921/2777286119-234-7408", "Link")</f>
        <v/>
      </c>
      <c r="H1202" s="6">
        <f>HYPERLINK("C:\Projects\Kleinanzeigen-Scraper\offer_images\2777286119", "Link")</f>
        <v/>
      </c>
      <c r="I1202" t="inlineStr">
        <is>
          <t>Matthias Kunz</t>
        </is>
      </c>
      <c r="J1202" s="6">
        <f>HYPERLINK("https://www.kleinanzeigen.de/s-bestandsliste.html?userId=35362964", "Link")</f>
        <v/>
      </c>
      <c r="K1202" s="7" t="n">
        <v>45549.58017361111</v>
      </c>
      <c r="L1202" s="3" t="inlineStr">
        <is>
          <t>108.39</t>
        </is>
      </c>
      <c r="M1202" t="inlineStr">
        <is>
          <t>Karlsruhe</t>
        </is>
      </c>
    </row>
    <row r="1203">
      <c r="A1203" t="inlineStr">
        <is>
          <t>9x Acrylfarben Goya Solo Triton verschiedene Farbe je 750 ml</t>
        </is>
      </c>
      <c r="B1203" s="4" t="n">
        <v>40</v>
      </c>
      <c r="C1203" t="inlineStr"/>
      <c r="D1203" t="inlineStr">
        <is>
          <t>65527 Hessen - Niedernhausen</t>
        </is>
      </c>
      <c r="E1203" s="5" t="n">
        <v>45542</v>
      </c>
      <c r="F1203" t="inlineStr">
        <is>
          <t>Sold</t>
        </is>
      </c>
      <c r="G1203" s="6">
        <f>HYPERLINK("https://www.kleinanzeigen.de/s-anzeige/9x-acrylfarben-goya-solo-triton-verschiedene-farbe-je-750-ml/2856828859-282-4915", "Link")</f>
        <v/>
      </c>
      <c r="H1203" s="6">
        <f>HYPERLINK("C:\Projects\Kleinanzeigen-Scraper\offer_images\2856828859", "Link")</f>
        <v/>
      </c>
      <c r="I1203" t="inlineStr">
        <is>
          <t>Daniel</t>
        </is>
      </c>
      <c r="J1203" s="6">
        <f>HYPERLINK("https://www.kleinanzeigen.de/s-bestandsliste.html?userId=37246909", "Link")</f>
        <v/>
      </c>
      <c r="K1203" s="7" t="n">
        <v>45549.58016203704</v>
      </c>
      <c r="L1203" s="3" t="inlineStr">
        <is>
          <t>128.26</t>
        </is>
      </c>
      <c r="M1203" t="inlineStr">
        <is>
          <t>Köln</t>
        </is>
      </c>
    </row>
    <row r="1204">
      <c r="A1204" t="inlineStr">
        <is>
          <t>North Orbit 2023 14m Big Air Freeride Kite</t>
        </is>
      </c>
      <c r="B1204" s="4" t="n">
        <v>950</v>
      </c>
      <c r="C1204" t="inlineStr">
        <is>
          <t>VB</t>
        </is>
      </c>
      <c r="D1204" t="inlineStr">
        <is>
          <t>23619 Schleswig-Holstein - Hamberge Holstein</t>
        </is>
      </c>
      <c r="E1204" s="5" t="n">
        <v>45538</v>
      </c>
      <c r="F1204" t="inlineStr">
        <is>
          <t>Sold</t>
        </is>
      </c>
      <c r="G1204" s="6">
        <f>HYPERLINK("https://www.kleinanzeigen.de/s-anzeige/north-orbit-2023-14m-big-air-freeride-kite/2853774395-230-21338", "Link")</f>
        <v/>
      </c>
      <c r="H1204" s="6">
        <f>HYPERLINK("C:\Projects\Kleinanzeigen-Scraper\offer_images\2853774395", "Link")</f>
        <v/>
      </c>
      <c r="I1204" t="inlineStr">
        <is>
          <t>Jörn</t>
        </is>
      </c>
      <c r="J1204" s="6">
        <f>HYPERLINK("https://www.kleinanzeigen.de/s-bestandsliste.html?userId=69274313", "Link")</f>
        <v/>
      </c>
      <c r="K1204" s="7" t="n">
        <v>45549.58015046296</v>
      </c>
      <c r="L1204" s="3" t="inlineStr">
        <is>
          <t>406.64</t>
        </is>
      </c>
      <c r="M1204" t="inlineStr">
        <is>
          <t>Köln</t>
        </is>
      </c>
    </row>
    <row r="1205">
      <c r="A1205" t="inlineStr">
        <is>
          <t>Fliegenfischen 2025 Los Roques Reise Spinnfischen Sage Simms</t>
        </is>
      </c>
      <c r="B1205" s="4" t="inlineStr">
        <is>
          <t>Zu verschenken</t>
        </is>
      </c>
      <c r="C1205" t="inlineStr"/>
      <c r="D1205" t="inlineStr">
        <is>
          <t>14770 Brandenburg - Brandenburg an der Havel</t>
        </is>
      </c>
      <c r="E1205" s="5" t="n">
        <v>45493</v>
      </c>
      <c r="F1205" t="inlineStr"/>
      <c r="G1205" s="6">
        <f>HYPERLINK("https://www.kleinanzeigen.de/s-anzeige/fliegenfischen-2025-los-roques-reise-spinnfischen-sage-simms/2816603080-230-7739", "Link")</f>
        <v/>
      </c>
      <c r="H1205" s="6">
        <f>HYPERLINK("C:\Projects\Kleinanzeigen-Scraper\offer_images\2816603080", "Link")</f>
        <v/>
      </c>
      <c r="I1205" t="inlineStr">
        <is>
          <t>Paul</t>
        </is>
      </c>
      <c r="J1205" s="6">
        <f>HYPERLINK("https://www.kleinanzeigen.de/s-bestandsliste.html?userId=23023096", "Link")</f>
        <v/>
      </c>
      <c r="K1205" s="7" t="n">
        <v>45549.58015046296</v>
      </c>
      <c r="L1205" s="3" t="inlineStr">
        <is>
          <t>416.86</t>
        </is>
      </c>
      <c r="M1205" t="inlineStr">
        <is>
          <t>Köln</t>
        </is>
      </c>
    </row>
    <row r="1206">
      <c r="A1206" t="inlineStr">
        <is>
          <t>Duotone WING SET AERO CARVE 2.0 D/LAB - 1100/200</t>
        </is>
      </c>
      <c r="B1206" s="4" t="n">
        <v>890</v>
      </c>
      <c r="C1206" t="inlineStr"/>
      <c r="D1206" t="inlineStr">
        <is>
          <t>82467 Bayern - Garmisch-Partenkirchen</t>
        </is>
      </c>
      <c r="E1206" s="5" t="n">
        <v>45549</v>
      </c>
      <c r="F1206" t="inlineStr">
        <is>
          <t>Sold</t>
        </is>
      </c>
      <c r="G1206" s="6">
        <f>HYPERLINK("https://www.kleinanzeigen.de/s-anzeige/duotone-wing-set-aero-carve-2-0-d-lab-1100-200/2862867155-230-6338", "Link")</f>
        <v/>
      </c>
      <c r="H1206" s="6">
        <f>HYPERLINK("C:\Projects\Kleinanzeigen-Scraper\offer_images\2862867155", "Link")</f>
        <v/>
      </c>
      <c r="I1206" t="inlineStr">
        <is>
          <t>Felix</t>
        </is>
      </c>
      <c r="J1206" s="6">
        <f>HYPERLINK("https://www.kleinanzeigen.de/s-bestandsliste.html?userId=21198981", "Link")</f>
        <v/>
      </c>
      <c r="K1206" s="7" t="n">
        <v>45549.58015046296</v>
      </c>
      <c r="L1206" s="3" t="inlineStr">
        <is>
          <t>80.76</t>
        </is>
      </c>
      <c r="M1206" t="inlineStr">
        <is>
          <t>München</t>
        </is>
      </c>
    </row>
    <row r="1207">
      <c r="A1207" t="inlineStr">
        <is>
          <t>Naish Pivot (Limited Edition) 9m,12m plus Bar</t>
        </is>
      </c>
      <c r="B1207" s="4" t="n">
        <v>749</v>
      </c>
      <c r="C1207" t="inlineStr"/>
      <c r="D1207" t="inlineStr">
        <is>
          <t>70180 Stuttgart - Stuttgart-Süd</t>
        </is>
      </c>
      <c r="E1207" s="5" t="n">
        <v>45519</v>
      </c>
      <c r="F1207" t="inlineStr"/>
      <c r="G1207" s="6">
        <f>HYPERLINK("https://www.kleinanzeigen.de/s-anzeige/naish-pivot-limited-edition-9m-12m-plus-bar/2837478080-230-9281", "Link")</f>
        <v/>
      </c>
      <c r="H1207" s="6">
        <f>HYPERLINK("C:\Projects\Kleinanzeigen-Scraper\offer_images\2837478080", "Link")</f>
        <v/>
      </c>
      <c r="I1207" t="inlineStr">
        <is>
          <t>Thommy</t>
        </is>
      </c>
      <c r="J1207" s="6">
        <f>HYPERLINK("https://www.kleinanzeigen.de/s-bestandsliste.html?userId=17580294", "Link")</f>
        <v/>
      </c>
      <c r="K1207" s="7" t="n">
        <v>45549.58012731482</v>
      </c>
      <c r="L1207" s="3" t="inlineStr">
        <is>
          <t>17.51</t>
        </is>
      </c>
      <c r="M1207" t="inlineStr">
        <is>
          <t>Böblingen</t>
        </is>
      </c>
    </row>
    <row r="1208">
      <c r="A1208" t="inlineStr">
        <is>
          <t>NEO Damen Neilpryde Gr.42</t>
        </is>
      </c>
      <c r="B1208" s="4" t="n">
        <v>18</v>
      </c>
      <c r="C1208" t="inlineStr"/>
      <c r="D1208" t="inlineStr">
        <is>
          <t>20359 Hamburg-Mitte - Hamburg St. Pauli</t>
        </is>
      </c>
      <c r="E1208" s="5" t="n">
        <v>45537</v>
      </c>
      <c r="F1208" t="inlineStr">
        <is>
          <t>Sold</t>
        </is>
      </c>
      <c r="G1208" s="6">
        <f>HYPERLINK("https://www.kleinanzeigen.de/s-anzeige/neo-damen-neilpryde-gr-42/2852415926-230-9495", "Link")</f>
        <v/>
      </c>
      <c r="H1208" s="6">
        <f>HYPERLINK("C:\Projects\Kleinanzeigen-Scraper\offer_images\2852415926", "Link")</f>
        <v/>
      </c>
      <c r="I1208" t="inlineStr">
        <is>
          <t>Christian</t>
        </is>
      </c>
      <c r="J1208" s="6">
        <f>HYPERLINK("https://www.kleinanzeigen.de/s-bestandsliste.html?userId=9947745", "Link")</f>
        <v/>
      </c>
      <c r="K1208" s="7" t="n">
        <v>45549.58012731482</v>
      </c>
      <c r="L1208" s="3" t="inlineStr">
        <is>
          <t>355.45</t>
        </is>
      </c>
      <c r="M1208" t="inlineStr">
        <is>
          <t>Köln</t>
        </is>
      </c>
    </row>
    <row r="1209">
      <c r="A1209" t="inlineStr">
        <is>
          <t>Scierra Angelhose, Simms, Geoff Anderson</t>
        </is>
      </c>
      <c r="B1209" s="4" t="inlineStr"/>
      <c r="C1209" t="inlineStr">
        <is>
          <t>VB</t>
        </is>
      </c>
      <c r="D1209" t="inlineStr">
        <is>
          <t>21614 Niedersachsen - Buxtehude</t>
        </is>
      </c>
      <c r="E1209" s="5" t="n">
        <v>45543</v>
      </c>
      <c r="F1209" t="inlineStr">
        <is>
          <t>Sold</t>
        </is>
      </c>
      <c r="G1209" s="6">
        <f>HYPERLINK("https://www.kleinanzeigen.de/s-anzeige/scierra-angelhose-simms-geoff-anderson/2857764841-230-3328", "Link")</f>
        <v/>
      </c>
      <c r="H1209" s="6">
        <f>HYPERLINK("C:\Projects\Kleinanzeigen-Scraper\offer_images\2857764841", "Link")</f>
        <v/>
      </c>
      <c r="I1209" t="inlineStr">
        <is>
          <t>LL</t>
        </is>
      </c>
      <c r="J1209" s="6">
        <f>HYPERLINK("https://www.kleinanzeigen.de/s-bestandsliste.html?userId=129722226", "Link")</f>
        <v/>
      </c>
      <c r="K1209" s="7" t="n">
        <v>45549.58012731482</v>
      </c>
      <c r="L1209" s="3" t="inlineStr">
        <is>
          <t>336.75</t>
        </is>
      </c>
      <c r="M1209" t="inlineStr">
        <is>
          <t>Köln</t>
        </is>
      </c>
    </row>
    <row r="1210">
      <c r="A1210" t="inlineStr">
        <is>
          <t>Werbeartikel Bär Bäckerei Jung 90er Jahre Simmern Seltenheit</t>
        </is>
      </c>
      <c r="B1210" s="4" t="n">
        <v>15</v>
      </c>
      <c r="C1210" t="inlineStr"/>
      <c r="D1210" t="inlineStr">
        <is>
          <t>91781 Bayern - Weißenburg in Bayern</t>
        </is>
      </c>
      <c r="E1210" s="5" t="n">
        <v>45526</v>
      </c>
      <c r="F1210" t="inlineStr"/>
      <c r="G1210" s="6">
        <f>HYPERLINK("https://www.kleinanzeigen.de/s-anzeige/werbeartikel-baer-baeckerei-jung-90er-jahre-simmern-seltenheit/2843725098-234-5862", "Link")</f>
        <v/>
      </c>
      <c r="H1210" s="6">
        <f>HYPERLINK("C:\Projects\Kleinanzeigen-Scraper\offer_images\2843725098", "Link")</f>
        <v/>
      </c>
      <c r="I1210" t="inlineStr">
        <is>
          <t>Moni</t>
        </is>
      </c>
      <c r="J1210" s="6">
        <f>HYPERLINK("https://www.kleinanzeigen.de/s-bestandsliste.html?userId=91182249", "Link")</f>
        <v/>
      </c>
      <c r="K1210" s="7" t="n">
        <v>45549.58011574074</v>
      </c>
      <c r="L1210" s="3" t="inlineStr">
        <is>
          <t>108.52</t>
        </is>
      </c>
      <c r="M1210" t="inlineStr">
        <is>
          <t>München</t>
        </is>
      </c>
    </row>
    <row r="1211">
      <c r="A1211" t="inlineStr">
        <is>
          <t>Fanatic Wingfoil 'Aero Carve' - 2023 900</t>
        </is>
      </c>
      <c r="B1211" s="4" t="n">
        <v>259</v>
      </c>
      <c r="C1211" t="inlineStr">
        <is>
          <t>VB</t>
        </is>
      </c>
      <c r="D1211" t="inlineStr">
        <is>
          <t>23714 Kreis Ostholstein - Malente</t>
        </is>
      </c>
      <c r="E1211" s="5" t="n">
        <v>45518</v>
      </c>
      <c r="F1211" t="inlineStr">
        <is>
          <t>Sold</t>
        </is>
      </c>
      <c r="G1211" s="6">
        <f>HYPERLINK("https://www.kleinanzeigen.de/s-anzeige/fanatic-wingfoil-aero-carve-2023-900/2836857576-230-455", "Link")</f>
        <v/>
      </c>
      <c r="H1211" s="6">
        <f>HYPERLINK("C:\Projects\Kleinanzeigen-Scraper\offer_images\2836857576", "Link")</f>
        <v/>
      </c>
      <c r="I1211" t="inlineStr">
        <is>
          <t>A.Langer</t>
        </is>
      </c>
      <c r="J1211" s="6">
        <f>HYPERLINK("https://www.kleinanzeigen.de/s-bestandsliste.html?userId=16220077", "Link")</f>
        <v/>
      </c>
      <c r="K1211" s="7" t="n">
        <v>45549.58011574074</v>
      </c>
      <c r="L1211" s="3" t="inlineStr">
        <is>
          <t>438.09</t>
        </is>
      </c>
      <c r="M1211" t="inlineStr">
        <is>
          <t>Köln</t>
        </is>
      </c>
    </row>
    <row r="1212">
      <c r="A1212" t="inlineStr">
        <is>
          <t>Simms Freestone Stockingfoot Wathose &amp; Schuhe</t>
        </is>
      </c>
      <c r="B1212" s="4" t="n">
        <v>350</v>
      </c>
      <c r="C1212" t="inlineStr">
        <is>
          <t>VB</t>
        </is>
      </c>
      <c r="D1212" t="inlineStr">
        <is>
          <t>45739 Nordrhein-Westfalen - Oer-Erkenschwick</t>
        </is>
      </c>
      <c r="E1212" s="5" t="n">
        <v>45511</v>
      </c>
      <c r="F1212" t="inlineStr"/>
      <c r="G1212" s="6">
        <f>HYPERLINK("https://www.kleinanzeigen.de/s-anzeige/simms-freestone-stockingfoot-wathose-schuhe/2831654226-230-1340", "Link")</f>
        <v/>
      </c>
      <c r="H1212" s="6">
        <f>HYPERLINK("C:\Projects\Kleinanzeigen-Scraper\offer_images\2831654226", "Link")</f>
        <v/>
      </c>
      <c r="I1212" t="inlineStr">
        <is>
          <t>Dominic</t>
        </is>
      </c>
      <c r="J1212" s="6">
        <f>HYPERLINK("https://www.kleinanzeigen.de/s-bestandsliste.html?userId=13687386", "Link")</f>
        <v/>
      </c>
      <c r="K1212" s="7" t="n">
        <v>45549.58010416666</v>
      </c>
      <c r="L1212" s="3" t="inlineStr">
        <is>
          <t>80.56</t>
        </is>
      </c>
      <c r="M1212" t="inlineStr">
        <is>
          <t>Köln</t>
        </is>
      </c>
    </row>
    <row r="1213">
      <c r="A1213" t="inlineStr">
        <is>
          <t>Luftpumpe Fanatic Sup</t>
        </is>
      </c>
      <c r="B1213" s="4" t="n">
        <v>15</v>
      </c>
      <c r="C1213" t="inlineStr">
        <is>
          <t>VB</t>
        </is>
      </c>
      <c r="D1213" t="inlineStr">
        <is>
          <t>74343 Baden-Württemberg - Sachsenheim</t>
        </is>
      </c>
      <c r="E1213" s="5" t="n">
        <v>45540</v>
      </c>
      <c r="F1213" t="inlineStr">
        <is>
          <t>Sold</t>
        </is>
      </c>
      <c r="G1213" s="6">
        <f>HYPERLINK("https://www.kleinanzeigen.de/s-anzeige/luftpumpe-fanatic-sup/2855159571-230-8411", "Link")</f>
        <v/>
      </c>
      <c r="H1213" s="6">
        <f>HYPERLINK("C:\Projects\Kleinanzeigen-Scraper\offer_images\2855159571", "Link")</f>
        <v/>
      </c>
      <c r="I1213" t="inlineStr">
        <is>
          <t>M. Settele</t>
        </is>
      </c>
      <c r="J1213" s="6">
        <f>HYPERLINK("https://www.kleinanzeigen.de/s-bestandsliste.html?userId=27503863", "Link")</f>
        <v/>
      </c>
      <c r="K1213" s="7" t="n">
        <v>45549.58010416666</v>
      </c>
      <c r="L1213" s="3" t="inlineStr">
        <is>
          <t>36.43</t>
        </is>
      </c>
      <c r="M1213" t="inlineStr">
        <is>
          <t>Böblingen</t>
        </is>
      </c>
    </row>
    <row r="1214">
      <c r="A1214" t="inlineStr">
        <is>
          <t>Wing Foil Case Bag Naish Reise Tasche 125 130cm</t>
        </is>
      </c>
      <c r="B1214" s="4" t="n">
        <v>75</v>
      </c>
      <c r="C1214" t="inlineStr"/>
      <c r="D1214" t="inlineStr">
        <is>
          <t>81477 München - Thalk.Obersendl.-Forsten-Fürstenr.-Solln</t>
        </is>
      </c>
      <c r="E1214" s="5" t="n">
        <v>45509</v>
      </c>
      <c r="F1214" t="inlineStr">
        <is>
          <t>Sold</t>
        </is>
      </c>
      <c r="G1214" s="6">
        <f>HYPERLINK("https://www.kleinanzeigen.de/s-anzeige/wing-foil-case-bag-naish-reise-tasche-125-130cm/2829431571-230-6435", "Link")</f>
        <v/>
      </c>
      <c r="H1214" s="6">
        <f>HYPERLINK("C:\Projects\Kleinanzeigen-Scraper\offer_images\2829431571", "Link")</f>
        <v/>
      </c>
      <c r="I1214" t="inlineStr">
        <is>
          <t>Privat</t>
        </is>
      </c>
      <c r="J1214" s="6">
        <f>HYPERLINK("https://www.kleinanzeigen.de/s-bestandsliste.html?userId=123758231", "Link")</f>
        <v/>
      </c>
      <c r="K1214" s="7" t="n">
        <v>45549.58009259259</v>
      </c>
      <c r="L1214" s="3" t="inlineStr">
        <is>
          <t>7.49</t>
        </is>
      </c>
      <c r="M1214" t="inlineStr">
        <is>
          <t>München</t>
        </is>
      </c>
    </row>
    <row r="1215">
      <c r="A1215" t="inlineStr">
        <is>
          <t>Naish S26 SUP 14’0” Touring München oder Berlin</t>
        </is>
      </c>
      <c r="B1215" s="4" t="n">
        <v>380</v>
      </c>
      <c r="C1215" t="inlineStr"/>
      <c r="D1215" t="inlineStr">
        <is>
          <t>81245 München - Pasing-Obermenzing</t>
        </is>
      </c>
      <c r="E1215" s="5" t="n">
        <v>45521</v>
      </c>
      <c r="F1215" t="inlineStr">
        <is>
          <t>Sold</t>
        </is>
      </c>
      <c r="G1215" s="6">
        <f>HYPERLINK("https://www.kleinanzeigen.de/s-anzeige/naish-s26-sup-14-0-touring-muenchen-oder-berlin/2839108707-230-16366", "Link")</f>
        <v/>
      </c>
      <c r="H1215" s="6">
        <f>HYPERLINK("C:\Projects\Kleinanzeigen-Scraper\offer_images\2839108707", "Link")</f>
        <v/>
      </c>
      <c r="I1215" t="inlineStr">
        <is>
          <t>Barbara</t>
        </is>
      </c>
      <c r="J1215" s="6">
        <f>HYPERLINK("https://www.kleinanzeigen.de/s-bestandsliste.html?userId=49071997", "Link")</f>
        <v/>
      </c>
      <c r="K1215" s="7" t="n">
        <v>45549.58009259259</v>
      </c>
      <c r="L1215" s="3" t="inlineStr">
        <is>
          <t>10.72</t>
        </is>
      </c>
      <c r="M1215" t="inlineStr">
        <is>
          <t>München</t>
        </is>
      </c>
    </row>
    <row r="1216">
      <c r="A1216" t="inlineStr">
        <is>
          <t>2020 RRD Global Bar 25 Years Edition (Y25)</t>
        </is>
      </c>
      <c r="B1216" s="4" t="n">
        <v>220</v>
      </c>
      <c r="C1216" t="inlineStr">
        <is>
          <t>VB</t>
        </is>
      </c>
      <c r="D1216" t="inlineStr">
        <is>
          <t>74081 Baden-Württemberg - Heilbronn</t>
        </is>
      </c>
      <c r="E1216" s="5" t="n">
        <v>45527</v>
      </c>
      <c r="F1216" t="inlineStr">
        <is>
          <t>Sold</t>
        </is>
      </c>
      <c r="G1216" s="6">
        <f>HYPERLINK("https://www.kleinanzeigen.de/s-anzeige/2020-rrd-global-bar-25-years-edition-y25-/2844586218-230-9246", "Link")</f>
        <v/>
      </c>
      <c r="H1216" s="6">
        <f>HYPERLINK("C:\Projects\Kleinanzeigen-Scraper\offer_images\2844586218", "Link")</f>
        <v/>
      </c>
      <c r="I1216" t="inlineStr">
        <is>
          <t>Nathan Hardenberg</t>
        </is>
      </c>
      <c r="J1216" s="6">
        <f>HYPERLINK("https://www.kleinanzeigen.de/s-bestandsliste.html?userId=49612740", "Link")</f>
        <v/>
      </c>
      <c r="K1216" s="7" t="n">
        <v>45549.58009259259</v>
      </c>
      <c r="L1216" s="3" t="inlineStr">
        <is>
          <t>49.97</t>
        </is>
      </c>
      <c r="M1216" t="inlineStr">
        <is>
          <t>Böblingen</t>
        </is>
      </c>
    </row>
    <row r="1217">
      <c r="A1217" t="inlineStr">
        <is>
          <t>SUP Rucksack mit Rollen NAISH</t>
        </is>
      </c>
      <c r="B1217" s="4" t="n">
        <v>50</v>
      </c>
      <c r="C1217" t="inlineStr"/>
      <c r="D1217" t="inlineStr">
        <is>
          <t>10119 Berlin - Mitte</t>
        </is>
      </c>
      <c r="E1217" s="5" t="n">
        <v>45536</v>
      </c>
      <c r="F1217" t="inlineStr"/>
      <c r="G1217" s="6">
        <f>HYPERLINK("https://www.kleinanzeigen.de/s-anzeige/sup-rucksack-mit-rollen-naish/2851528293-230-3519", "Link")</f>
        <v/>
      </c>
      <c r="H1217" s="6">
        <f>HYPERLINK("C:\Projects\Kleinanzeigen-Scraper\offer_images\2851528293", "Link")</f>
        <v/>
      </c>
      <c r="I1217" t="inlineStr">
        <is>
          <t>Holger</t>
        </is>
      </c>
      <c r="J1217" s="6">
        <f>HYPERLINK("https://www.kleinanzeigen.de/s-bestandsliste.html?userId=84091655", "Link")</f>
        <v/>
      </c>
      <c r="K1217" s="7" t="n">
        <v>45549.58006944445</v>
      </c>
      <c r="L1217" s="3" t="inlineStr">
        <is>
          <t>478.06</t>
        </is>
      </c>
      <c r="M1217" t="inlineStr">
        <is>
          <t>Köln</t>
        </is>
      </c>
    </row>
    <row r="1218">
      <c r="A1218" t="inlineStr">
        <is>
          <t>Sailloft UFO Wing 4,5 m² (NEU!) North Sails Segel SUP Kite</t>
        </is>
      </c>
      <c r="B1218" s="4" t="n">
        <v>475</v>
      </c>
      <c r="C1218" t="inlineStr"/>
      <c r="D1218" t="inlineStr">
        <is>
          <t>22769 Altona - Hamburg Bahrenfeld</t>
        </is>
      </c>
      <c r="E1218" s="5" t="n">
        <v>45531</v>
      </c>
      <c r="F1218" t="inlineStr">
        <is>
          <t>Sold</t>
        </is>
      </c>
      <c r="G1218" s="6">
        <f>HYPERLINK("https://www.kleinanzeigen.de/s-anzeige/sailloft-ufo-wing-4-5-m-neu-north-sails-segel-sup-kite/2847471005-230-26485", "Link")</f>
        <v/>
      </c>
      <c r="H1218" s="6">
        <f>HYPERLINK("C:\Projects\Kleinanzeigen-Scraper\offer_images\2847471005", "Link")</f>
        <v/>
      </c>
      <c r="I1218" t="inlineStr">
        <is>
          <t>nordlicht</t>
        </is>
      </c>
      <c r="J1218" s="6">
        <f>HYPERLINK("https://www.kleinanzeigen.de/s-bestandsliste.html?userId=86235875", "Link")</f>
        <v/>
      </c>
      <c r="K1218" s="7" t="n">
        <v>45549.58006944445</v>
      </c>
      <c r="L1218" s="3" t="inlineStr">
        <is>
          <t>356.14</t>
        </is>
      </c>
      <c r="M1218" t="inlineStr">
        <is>
          <t>Köln</t>
        </is>
      </c>
    </row>
    <row r="1219">
      <c r="A1219" t="inlineStr">
        <is>
          <t>SUP Fanatic Fly Air Premium 10‘4“ + 2x Paddel Set</t>
        </is>
      </c>
      <c r="B1219" s="4" t="n">
        <v>450</v>
      </c>
      <c r="C1219" t="inlineStr">
        <is>
          <t>VB</t>
        </is>
      </c>
      <c r="D1219" t="inlineStr">
        <is>
          <t>04277 Leipzig - Connewitz</t>
        </is>
      </c>
      <c r="E1219" s="5" t="n">
        <v>45544</v>
      </c>
      <c r="F1219" t="inlineStr">
        <is>
          <t>Sold</t>
        </is>
      </c>
      <c r="G1219" s="6">
        <f>HYPERLINK("https://www.kleinanzeigen.de/s-anzeige/sup-fanatic-fly-air-premium-10-4-2x-paddel-set/2858976783-230-4267", "Link")</f>
        <v/>
      </c>
      <c r="H1219" s="6">
        <f>HYPERLINK("C:\Projects\Kleinanzeigen-Scraper\offer_images\2858976783", "Link")</f>
        <v/>
      </c>
      <c r="I1219" t="inlineStr">
        <is>
          <t>Mario</t>
        </is>
      </c>
      <c r="J1219" s="6">
        <f>HYPERLINK("https://www.kleinanzeigen.de/s-bestandsliste.html?userId=42252207", "Link")</f>
        <v/>
      </c>
      <c r="K1219" s="7" t="n">
        <v>45549.58004629629</v>
      </c>
      <c r="L1219" s="3" t="inlineStr">
        <is>
          <t>357.35</t>
        </is>
      </c>
      <c r="M1219" t="inlineStr">
        <is>
          <t>München</t>
        </is>
      </c>
    </row>
    <row r="1220">
      <c r="A1220" t="inlineStr">
        <is>
          <t>Preston North End Spielertrikot #15 HOLROYD Gr. M Puma Magners</t>
        </is>
      </c>
      <c r="B1220" s="4" t="n">
        <v>129</v>
      </c>
      <c r="C1220" t="inlineStr">
        <is>
          <t>VB</t>
        </is>
      </c>
      <c r="D1220" t="inlineStr">
        <is>
          <t>56112 Rheinland-Pfalz - Lahnstein</t>
        </is>
      </c>
      <c r="E1220" s="5" t="n">
        <v>45541</v>
      </c>
      <c r="F1220" t="inlineStr">
        <is>
          <t>Sold</t>
        </is>
      </c>
      <c r="G1220" s="6">
        <f>HYPERLINK("https://www.kleinanzeigen.de/s-anzeige/preston-north-end-spielertrikot-15-holroyd-gr-m-puma-magners/2855919988-230-4973", "Link")</f>
        <v/>
      </c>
      <c r="H1220" s="6">
        <f>HYPERLINK("C:\Projects\Kleinanzeigen-Scraper\offer_images\2855919988", "Link")</f>
        <v/>
      </c>
      <c r="I1220" t="inlineStr">
        <is>
          <t>Andreas B.</t>
        </is>
      </c>
      <c r="J1220" s="6">
        <f>HYPERLINK("https://www.kleinanzeigen.de/s-bestandsliste.html?userId=66170981", "Link")</f>
        <v/>
      </c>
      <c r="K1220" s="7" t="n">
        <v>45549.58002314815</v>
      </c>
      <c r="L1220" s="3" t="inlineStr">
        <is>
          <t>83.90</t>
        </is>
      </c>
      <c r="M1220" t="inlineStr">
        <is>
          <t>Köln</t>
        </is>
      </c>
    </row>
    <row r="1221">
      <c r="A1221" t="inlineStr">
        <is>
          <t>Neu: NBA Jersey Trikot Michael Jordan Chicago North Carolina blau</t>
        </is>
      </c>
      <c r="B1221" s="4" t="n">
        <v>59</v>
      </c>
      <c r="C1221" t="inlineStr"/>
      <c r="D1221" t="inlineStr">
        <is>
          <t>52078 Aachen - Aachen-Brand</t>
        </is>
      </c>
      <c r="E1221" s="5" t="n">
        <v>45549</v>
      </c>
      <c r="F1221" t="inlineStr">
        <is>
          <t>Sold</t>
        </is>
      </c>
      <c r="G1221" s="6">
        <f>HYPERLINK("https://www.kleinanzeigen.de/s-anzeige/neu-nba-jersey-trikot-michael-jordan-chicago-north-carolina-blau/2862691453-230-1926", "Link")</f>
        <v/>
      </c>
      <c r="H1221" s="6">
        <f>HYPERLINK("C:\Projects\Kleinanzeigen-Scraper\offer_images\2862691453", "Link")</f>
        <v/>
      </c>
      <c r="I1221" t="inlineStr">
        <is>
          <t>RF</t>
        </is>
      </c>
      <c r="J1221" s="6">
        <f>HYPERLINK("https://www.kleinanzeigen.de/s-bestandsliste.html?userId=33653620", "Link")</f>
        <v/>
      </c>
      <c r="K1221" s="7" t="n">
        <v>45549.58002314815</v>
      </c>
      <c r="L1221" s="3" t="inlineStr">
        <is>
          <t>59.31</t>
        </is>
      </c>
      <c r="M1221" t="inlineStr">
        <is>
          <t>Köln</t>
        </is>
      </c>
    </row>
    <row r="1222">
      <c r="A1222" t="inlineStr">
        <is>
          <t>Naish S26 Wing Surfer Neu u. Test bis -15% / Testen ab Mai auf Rügen</t>
        </is>
      </c>
      <c r="B1222" s="4" t="n">
        <v>696</v>
      </c>
      <c r="C1222" t="inlineStr">
        <is>
          <t>VB</t>
        </is>
      </c>
      <c r="D1222" t="inlineStr">
        <is>
          <t>18586 Mecklenburg-Vorpommern - Mönchgut, Ostseebad</t>
        </is>
      </c>
      <c r="E1222" s="5" t="n">
        <v>45544</v>
      </c>
      <c r="F1222" t="inlineStr">
        <is>
          <t>Sold</t>
        </is>
      </c>
      <c r="G1222" s="6">
        <f>HYPERLINK("https://www.kleinanzeigen.de/s-anzeige/naish-s26-wing-surfer-neu-u-test-bis-15-testen-ab-mai-auf-ruegen/1248399283-230-120", "Link")</f>
        <v/>
      </c>
      <c r="H1222" s="6">
        <f>HYPERLINK("C:\Projects\Kleinanzeigen-Scraper\offer_images\1248399283", "Link")</f>
        <v/>
      </c>
      <c r="I1222" t="inlineStr">
        <is>
          <t>No user name</t>
        </is>
      </c>
      <c r="J1222" s="6">
        <f>HYPERLINK("https://www.kleinanzeigen.deNo user link", "Link")</f>
        <v/>
      </c>
      <c r="K1222" s="7" t="n">
        <v>45549.58002314815</v>
      </c>
      <c r="L1222" s="3" t="inlineStr">
        <is>
          <t>591.22</t>
        </is>
      </c>
      <c r="M1222" t="inlineStr">
        <is>
          <t>Köln</t>
        </is>
      </c>
    </row>
    <row r="1223">
      <c r="A1223" t="inlineStr">
        <is>
          <t>Starboard fuselage MKII MK2 109</t>
        </is>
      </c>
      <c r="B1223" s="4" t="n">
        <v>240</v>
      </c>
      <c r="C1223" t="inlineStr"/>
      <c r="D1223" t="inlineStr">
        <is>
          <t>87629 Bayern - Füssen</t>
        </is>
      </c>
      <c r="E1223" s="5" t="n">
        <v>45528</v>
      </c>
      <c r="F1223" t="inlineStr"/>
      <c r="G1223" s="6">
        <f>HYPERLINK("https://www.kleinanzeigen.de/s-anzeige/starboard-fuselage-mkii-mk2-109/2845243994-230-6564", "Link")</f>
        <v/>
      </c>
      <c r="H1223" s="6">
        <f>HYPERLINK("C:\Projects\Kleinanzeigen-Scraper\offer_images\2845243994", "Link")</f>
        <v/>
      </c>
      <c r="I1223" t="inlineStr">
        <is>
          <t>Michael Sattler</t>
        </is>
      </c>
      <c r="J1223" s="6">
        <f>HYPERLINK("https://www.kleinanzeigen.de/s-bestandsliste.html?userId=5834114", "Link")</f>
        <v/>
      </c>
      <c r="K1223" s="7" t="n">
        <v>45549.58001157407</v>
      </c>
      <c r="L1223" s="3" t="inlineStr">
        <is>
          <t>92.19</t>
        </is>
      </c>
      <c r="M1223" t="inlineStr">
        <is>
          <t>München</t>
        </is>
      </c>
    </row>
    <row r="1224">
      <c r="A1224" t="inlineStr">
        <is>
          <t>DUOTONE Mono 2021 3,5m²  CC15:blue *Testkite*</t>
        </is>
      </c>
      <c r="B1224" s="4" t="n">
        <v>513</v>
      </c>
      <c r="C1224" t="inlineStr"/>
      <c r="D1224" t="inlineStr">
        <is>
          <t>17509 Mecklenburg-Vorpommern - Loissin</t>
        </is>
      </c>
      <c r="E1224" s="5" t="n">
        <v>45547</v>
      </c>
      <c r="F1224" t="inlineStr">
        <is>
          <t>Sold</t>
        </is>
      </c>
      <c r="G1224" s="6">
        <f>HYPERLINK("https://www.kleinanzeigen.de/s-anzeige/duotone-mono-2021-3-5m-cc15-blue-testkite-/2735356027-230-21340", "Link")</f>
        <v/>
      </c>
      <c r="H1224" s="6">
        <f>HYPERLINK("C:\Projects\Kleinanzeigen-Scraper\offer_images\2735356027", "Link")</f>
        <v/>
      </c>
      <c r="I1224" t="inlineStr">
        <is>
          <t>No user name</t>
        </is>
      </c>
      <c r="J1224" s="6">
        <f>HYPERLINK("https://www.kleinanzeigen.deNo user link", "Link")</f>
        <v/>
      </c>
      <c r="K1224" s="7" t="n">
        <v>45549.58001157407</v>
      </c>
      <c r="L1224" s="3" t="inlineStr">
        <is>
          <t>568.47</t>
        </is>
      </c>
      <c r="M1224" t="inlineStr">
        <is>
          <t>Köln</t>
        </is>
      </c>
    </row>
    <row r="1225">
      <c r="A1225" t="inlineStr">
        <is>
          <t>North Fuse Kites 12 und 9m2</t>
        </is>
      </c>
      <c r="B1225" s="4" t="n">
        <v>390</v>
      </c>
      <c r="C1225" t="inlineStr"/>
      <c r="D1225" t="inlineStr">
        <is>
          <t>22607 Altona - Hamburg Groß Flottbek</t>
        </is>
      </c>
      <c r="E1225" s="5" t="n">
        <v>45543</v>
      </c>
      <c r="F1225" t="inlineStr">
        <is>
          <t>Sold</t>
        </is>
      </c>
      <c r="G1225" s="6">
        <f>HYPERLINK("https://www.kleinanzeigen.de/s-anzeige/north-fuse-kites-12-und-9m2/2857109519-230-9500", "Link")</f>
        <v/>
      </c>
      <c r="H1225" s="6">
        <f>HYPERLINK("C:\Projects\Kleinanzeigen-Scraper\offer_images\2857109519", "Link")</f>
        <v/>
      </c>
      <c r="I1225" t="inlineStr">
        <is>
          <t>Bernard Marmann</t>
        </is>
      </c>
      <c r="J1225" s="6">
        <f>HYPERLINK("https://www.kleinanzeigen.de/s-bestandsliste.html?userId=26745751", "Link")</f>
        <v/>
      </c>
      <c r="K1225" s="7" t="n">
        <v>45549.58001157407</v>
      </c>
      <c r="L1225" s="3" t="inlineStr">
        <is>
          <t>354.01</t>
        </is>
      </c>
      <c r="M1225" t="inlineStr">
        <is>
          <t>Köln</t>
        </is>
      </c>
    </row>
    <row r="1226">
      <c r="A1226" t="inlineStr">
        <is>
          <t>Simmer Style Travel Boardbag mit Rollen</t>
        </is>
      </c>
      <c r="B1226" s="4" t="n">
        <v>95</v>
      </c>
      <c r="C1226" t="inlineStr">
        <is>
          <t>VB</t>
        </is>
      </c>
      <c r="D1226" t="inlineStr">
        <is>
          <t>24114 Schleswig-Holstein - Kiel</t>
        </is>
      </c>
      <c r="E1226" s="5" t="n">
        <v>45544</v>
      </c>
      <c r="F1226" t="inlineStr"/>
      <c r="G1226" s="6">
        <f>HYPERLINK("https://www.kleinanzeigen.de/s-anzeige/simmer-style-travel-boardbag-mit-rollen/2858969240-230-697", "Link")</f>
        <v/>
      </c>
      <c r="H1226" s="6">
        <f>HYPERLINK("C:\Projects\Kleinanzeigen-Scraper\offer_images\2858969240", "Link")</f>
        <v/>
      </c>
      <c r="I1226" t="inlineStr">
        <is>
          <t>AL</t>
        </is>
      </c>
      <c r="J1226" s="6">
        <f>HYPERLINK("https://www.kleinanzeigen.de/s-bestandsliste.html?userId=55552937", "Link")</f>
        <v/>
      </c>
      <c r="K1226" s="7" t="n">
        <v>45549.58</v>
      </c>
      <c r="L1226" s="3" t="inlineStr">
        <is>
          <t>431.59</t>
        </is>
      </c>
      <c r="M1226" t="inlineStr">
        <is>
          <t>Köln</t>
        </is>
      </c>
    </row>
    <row r="1227">
      <c r="A1227" t="inlineStr">
        <is>
          <t>Pin aus Kanada „Northern Rockies Fort Nelson“ (British Columbia)</t>
        </is>
      </c>
      <c r="B1227" s="4" t="n">
        <v>9</v>
      </c>
      <c r="C1227" t="inlineStr"/>
      <c r="D1227" t="inlineStr">
        <is>
          <t>71254 Baden-Württemberg - Ditzingen</t>
        </is>
      </c>
      <c r="E1227" s="5" t="n">
        <v>45545</v>
      </c>
      <c r="F1227" t="inlineStr">
        <is>
          <t>Sold</t>
        </is>
      </c>
      <c r="G1227" s="6">
        <f>HYPERLINK("https://www.kleinanzeigen.de/s-anzeige/pin-aus-kanada-northern-rockies-fort-nelson-british-columbia-/2859635401-234-8865", "Link")</f>
        <v/>
      </c>
      <c r="H1227" s="6">
        <f>HYPERLINK("C:\Projects\Kleinanzeigen-Scraper\offer_images\2859635401", "Link")</f>
        <v/>
      </c>
      <c r="I1227" t="inlineStr">
        <is>
          <t>B. Reimann</t>
        </is>
      </c>
      <c r="J1227" s="6">
        <f>HYPERLINK("https://www.kleinanzeigen.de/s-bestandsliste.html?userId=51254072", "Link")</f>
        <v/>
      </c>
      <c r="K1227" s="7" t="n">
        <v>45549.57998842592</v>
      </c>
      <c r="L1227" s="3" t="inlineStr">
        <is>
          <t>18.57</t>
        </is>
      </c>
      <c r="M1227" t="inlineStr">
        <is>
          <t>Böblingen</t>
        </is>
      </c>
    </row>
    <row r="1228">
      <c r="A1228" t="inlineStr">
        <is>
          <t>Duotone Rebel SLS 13m 2024</t>
        </is>
      </c>
      <c r="B1228" s="4" t="n">
        <v>1.279</v>
      </c>
      <c r="C1228" t="inlineStr">
        <is>
          <t>VB</t>
        </is>
      </c>
      <c r="D1228" t="inlineStr">
        <is>
          <t>17207 Müritz - Landkreis - Röbel</t>
        </is>
      </c>
      <c r="E1228" s="5" t="n">
        <v>45549</v>
      </c>
      <c r="F1228" t="inlineStr">
        <is>
          <t>Sold</t>
        </is>
      </c>
      <c r="G1228" s="6">
        <f>HYPERLINK("https://www.kleinanzeigen.de/s-anzeige/duotone-rebel-sls-13m-2024/2842677162-230-78", "Link")</f>
        <v/>
      </c>
      <c r="H1228" s="6">
        <f>HYPERLINK("C:\Projects\Kleinanzeigen-Scraper\offer_images\2842677162", "Link")</f>
        <v/>
      </c>
      <c r="I1228" t="inlineStr">
        <is>
          <t>André H.</t>
        </is>
      </c>
      <c r="J1228" s="6">
        <f>HYPERLINK("https://www.kleinanzeigen.de/s-bestandsliste.html?userId=10306529", "Link")</f>
        <v/>
      </c>
      <c r="K1228" s="7" t="n">
        <v>45549.57998842592</v>
      </c>
      <c r="L1228" s="3" t="inlineStr">
        <is>
          <t>470.71</t>
        </is>
      </c>
      <c r="M1228" t="inlineStr">
        <is>
          <t>Köln</t>
        </is>
      </c>
    </row>
    <row r="1229">
      <c r="A1229" t="inlineStr">
        <is>
          <t>Top North Kite Duotone NEO 7 qm mit Bag. Optional Bar</t>
        </is>
      </c>
      <c r="B1229" s="4" t="n">
        <v>290</v>
      </c>
      <c r="C1229" t="inlineStr">
        <is>
          <t>VB</t>
        </is>
      </c>
      <c r="D1229" t="inlineStr">
        <is>
          <t>01445 Sachsen - Radebeul</t>
        </is>
      </c>
      <c r="E1229" s="5" t="n">
        <v>45540</v>
      </c>
      <c r="F1229" t="inlineStr">
        <is>
          <t>Sold</t>
        </is>
      </c>
      <c r="G1229" s="6">
        <f>HYPERLINK("https://www.kleinanzeigen.de/s-anzeige/top-north-kite-duotone-neo-7-qm-mit-bag-optional-bar/2855172313-230-4057", "Link")</f>
        <v/>
      </c>
      <c r="H1229" s="6">
        <f>HYPERLINK("C:\Projects\Kleinanzeigen-Scraper\offer_images\2855172313", "Link")</f>
        <v/>
      </c>
      <c r="I1229" t="inlineStr">
        <is>
          <t>D. GRUND</t>
        </is>
      </c>
      <c r="J1229" s="6">
        <f>HYPERLINK("https://www.kleinanzeigen.de/s-bestandsliste.html?userId=135298129", "Link")</f>
        <v/>
      </c>
      <c r="K1229" s="7" t="n">
        <v>45549.57997685186</v>
      </c>
      <c r="L1229" s="3" t="inlineStr">
        <is>
          <t>362.87</t>
        </is>
      </c>
      <c r="M1229" t="inlineStr">
        <is>
          <t>München</t>
        </is>
      </c>
    </row>
    <row r="1230">
      <c r="A1230" t="inlineStr">
        <is>
          <t>Wing Wingfoil Fuselage NeilPryde</t>
        </is>
      </c>
      <c r="B1230" s="4" t="n">
        <v>135</v>
      </c>
      <c r="C1230" t="inlineStr"/>
      <c r="D1230" t="inlineStr">
        <is>
          <t>81925 München - Bogenhausen</t>
        </is>
      </c>
      <c r="E1230" s="5" t="n">
        <v>45508</v>
      </c>
      <c r="F1230" t="inlineStr">
        <is>
          <t>Sold</t>
        </is>
      </c>
      <c r="G1230" s="6">
        <f>HYPERLINK("https://www.kleinanzeigen.de/s-anzeige/wing-wingfoil-fuselage-neilpryde/2829065641-230-6528", "Link")</f>
        <v/>
      </c>
      <c r="H1230" s="6">
        <f>HYPERLINK("C:\Projects\Kleinanzeigen-Scraper\offer_images\2829065641", "Link")</f>
        <v/>
      </c>
      <c r="I1230" t="inlineStr">
        <is>
          <t>Monika</t>
        </is>
      </c>
      <c r="J1230" s="6">
        <f>HYPERLINK("https://www.kleinanzeigen.de/s-bestandsliste.html?userId=25843151", "Link")</f>
        <v/>
      </c>
      <c r="K1230" s="7" t="n">
        <v>45549.57996527778</v>
      </c>
      <c r="L1230" s="3" t="inlineStr">
        <is>
          <t>4.67</t>
        </is>
      </c>
      <c r="M1230" t="inlineStr">
        <is>
          <t>München</t>
        </is>
      </c>
    </row>
    <row r="1231">
      <c r="A1231" t="inlineStr">
        <is>
          <t>Isabella Air Cirrus North 400 mit Zeltboden &amp; Teppich</t>
        </is>
      </c>
      <c r="B1231" s="4" t="n">
        <v>1.8</v>
      </c>
      <c r="C1231" t="inlineStr">
        <is>
          <t>VB</t>
        </is>
      </c>
      <c r="D1231" t="inlineStr">
        <is>
          <t>24376 Schleswig-Holstein - Kappeln</t>
        </is>
      </c>
      <c r="E1231" s="5" t="n">
        <v>45545</v>
      </c>
      <c r="F1231" t="inlineStr">
        <is>
          <t>Sold</t>
        </is>
      </c>
      <c r="G1231" s="6">
        <f>HYPERLINK("https://www.kleinanzeigen.de/s-anzeige/isabella-air-cirrus-north-400-mit-zeltboden-teppich/2859086809-230-18638", "Link")</f>
        <v/>
      </c>
      <c r="H1231" s="6">
        <f>HYPERLINK("C:\Projects\Kleinanzeigen-Scraper\offer_images\2859086809", "Link")</f>
        <v/>
      </c>
      <c r="I1231" t="inlineStr">
        <is>
          <t>schleihecht</t>
        </is>
      </c>
      <c r="J1231" s="6">
        <f>HYPERLINK("https://www.kleinanzeigen.de/s-bestandsliste.html?userId=27140169", "Link")</f>
        <v/>
      </c>
      <c r="K1231" s="7" t="n">
        <v>45549.57996527778</v>
      </c>
      <c r="L1231" s="3" t="inlineStr">
        <is>
          <t>461.27</t>
        </is>
      </c>
      <c r="M1231" t="inlineStr">
        <is>
          <t>Köln</t>
        </is>
      </c>
    </row>
    <row r="1232">
      <c r="A1232" t="inlineStr">
        <is>
          <t>Starboard 14.0 X 28 THE WALL Deluxe SC  SUP</t>
        </is>
      </c>
      <c r="B1232" s="4" t="n">
        <v>1.169</v>
      </c>
      <c r="C1232" t="inlineStr"/>
      <c r="D1232" t="inlineStr">
        <is>
          <t>82319 Bayern - Starnberg</t>
        </is>
      </c>
      <c r="E1232" s="5" t="n">
        <v>45551</v>
      </c>
      <c r="F1232" t="inlineStr"/>
      <c r="G1232" s="6">
        <f>HYPERLINK("https://www.kleinanzeigen.de/s-anzeige/starboard-14-0-x-28-the-wall-deluxe-sc-sup/2451539453-230-5525", "Link")</f>
        <v/>
      </c>
      <c r="H1232" s="6">
        <f>HYPERLINK("C:\Projects\Kleinanzeigen-Scraper\offer_images\2451539453", "Link")</f>
        <v/>
      </c>
      <c r="I1232" t="inlineStr">
        <is>
          <t>No user name</t>
        </is>
      </c>
      <c r="J1232" s="6">
        <f>HYPERLINK("https://www.kleinanzeigen.deNo user link", "Link")</f>
        <v/>
      </c>
      <c r="K1232" s="7" t="n">
        <v>45549.57994212963</v>
      </c>
      <c r="L1232" s="3" t="inlineStr">
        <is>
          <t>23.17</t>
        </is>
      </c>
      <c r="M1232" t="inlineStr">
        <is>
          <t>München</t>
        </is>
      </c>
    </row>
    <row r="1233">
      <c r="A1233" t="inlineStr">
        <is>
          <t>Duotone EVO D/LAB DLAB 10m² Kite Big-Air Kiteloop Aluula</t>
        </is>
      </c>
      <c r="B1233" s="4" t="n">
        <v>1.7</v>
      </c>
      <c r="C1233" t="inlineStr"/>
      <c r="D1233" t="inlineStr">
        <is>
          <t>49835 Niedersachsen - Wietmarschen</t>
        </is>
      </c>
      <c r="E1233" s="5" t="n">
        <v>45539</v>
      </c>
      <c r="F1233" t="inlineStr">
        <is>
          <t>Sold</t>
        </is>
      </c>
      <c r="G1233" s="6">
        <f>HYPERLINK("https://www.kleinanzeigen.de/s-anzeige/duotone-evo-d-lab-dlab-10m-kite-big-air-kiteloop-aluula/2854599850-230-2561", "Link")</f>
        <v/>
      </c>
      <c r="H1233" s="6">
        <f>HYPERLINK("C:\Projects\Kleinanzeigen-Scraper\offer_images\2854599850", "Link")</f>
        <v/>
      </c>
      <c r="I1233" t="inlineStr">
        <is>
          <t>Jeno</t>
        </is>
      </c>
      <c r="J1233" s="6">
        <f>HYPERLINK("https://www.kleinanzeigen.de/s-bestandsliste.html?userId=22906807", "Link")</f>
        <v/>
      </c>
      <c r="K1233" s="7" t="n">
        <v>45549.57994212963</v>
      </c>
      <c r="L1233" s="3" t="inlineStr">
        <is>
          <t>175.03</t>
        </is>
      </c>
      <c r="M1233" t="inlineStr">
        <is>
          <t>Köln</t>
        </is>
      </c>
    </row>
    <row r="1234">
      <c r="A1234" t="inlineStr">
        <is>
          <t>Kite Naish 3,5 ARX</t>
        </is>
      </c>
      <c r="B1234" s="4" t="n">
        <v>98</v>
      </c>
      <c r="C1234" t="inlineStr"/>
      <c r="D1234" t="inlineStr">
        <is>
          <t>50858 Köln - Junkersdorf</t>
        </is>
      </c>
      <c r="E1234" s="5" t="n">
        <v>45497</v>
      </c>
      <c r="F1234" t="inlineStr">
        <is>
          <t>Sold</t>
        </is>
      </c>
      <c r="G1234" s="6">
        <f>HYPERLINK("https://www.kleinanzeigen.de/s-anzeige/kite-naish-3-5-arx/2819888672-230-17139", "Link")</f>
        <v/>
      </c>
      <c r="H1234" s="6">
        <f>HYPERLINK("C:\Projects\Kleinanzeigen-Scraper\offer_images\2819888672", "Link")</f>
        <v/>
      </c>
      <c r="I1234" t="inlineStr">
        <is>
          <t>Lutz</t>
        </is>
      </c>
      <c r="J1234" s="6">
        <f>HYPERLINK("https://www.kleinanzeigen.de/s-bestandsliste.html?userId=7070479", "Link")</f>
        <v/>
      </c>
      <c r="K1234" s="7" t="n">
        <v>45549.57991898148</v>
      </c>
      <c r="L1234" s="3" t="inlineStr">
        <is>
          <t>7.26</t>
        </is>
      </c>
      <c r="M1234" t="inlineStr">
        <is>
          <t>Köln</t>
        </is>
      </c>
    </row>
    <row r="1235">
      <c r="A1235" t="inlineStr">
        <is>
          <t>Duotone Tubekite Rebel SLS C17:coral/vanilla 2024 10.0 qm</t>
        </is>
      </c>
      <c r="B1235" s="4" t="n">
        <v>1.499</v>
      </c>
      <c r="C1235" t="inlineStr">
        <is>
          <t>VB</t>
        </is>
      </c>
      <c r="D1235" t="inlineStr">
        <is>
          <t>26125 Niedersachsen - Oldenburg</t>
        </is>
      </c>
      <c r="E1235" s="5" t="n">
        <v>45545</v>
      </c>
      <c r="F1235" t="inlineStr">
        <is>
          <t>Sold</t>
        </is>
      </c>
      <c r="G1235" s="6">
        <f>HYPERLINK("https://www.kleinanzeigen.de/s-anzeige/duotone-tubekite-rebel-sls-c17-coral-vanilla-2024-10-0-qm/2859571040-230-3111", "Link")</f>
        <v/>
      </c>
      <c r="H1235" s="6">
        <f>HYPERLINK("C:\Projects\Kleinanzeigen-Scraper\offer_images\2859571040", "Link")</f>
        <v/>
      </c>
      <c r="I1235" t="inlineStr">
        <is>
          <t>No user name</t>
        </is>
      </c>
      <c r="J1235" s="6">
        <f>HYPERLINK("https://www.kleinanzeigen.deNo user link", "Link")</f>
        <v/>
      </c>
      <c r="K1235" s="7" t="n">
        <v>45549.57990740741</v>
      </c>
      <c r="L1235" s="3" t="inlineStr">
        <is>
          <t>264.10</t>
        </is>
      </c>
      <c r="M1235" t="inlineStr">
        <is>
          <t>Köln</t>
        </is>
      </c>
    </row>
    <row r="1236">
      <c r="A1236" t="inlineStr">
        <is>
          <t>North Kitebag vom 10m Orbit Kite</t>
        </is>
      </c>
      <c r="B1236" s="4" t="n">
        <v>50</v>
      </c>
      <c r="C1236" t="inlineStr">
        <is>
          <t>VB</t>
        </is>
      </c>
      <c r="D1236" t="inlineStr">
        <is>
          <t>42281 Wuppertal - Oberbarmen</t>
        </is>
      </c>
      <c r="E1236" s="5" t="n">
        <v>45539</v>
      </c>
      <c r="F1236" t="inlineStr">
        <is>
          <t>Sold</t>
        </is>
      </c>
      <c r="G1236" s="6">
        <f>HYPERLINK("https://www.kleinanzeigen.de/s-anzeige/north-kitebag-vom-10m-orbit-kite/2854404526-230-1570", "Link")</f>
        <v/>
      </c>
      <c r="H1236" s="6">
        <f>HYPERLINK("C:\Projects\Kleinanzeigen-Scraper\offer_images\2854404526", "Link")</f>
        <v/>
      </c>
      <c r="I1236" t="inlineStr">
        <is>
          <t>Johannes</t>
        </is>
      </c>
      <c r="J1236" s="6">
        <f>HYPERLINK("https://www.kleinanzeigen.de/s-bestandsliste.html?userId=62675232", "Link")</f>
        <v/>
      </c>
      <c r="K1236" s="7" t="n">
        <v>45549.57990740741</v>
      </c>
      <c r="L1236" s="3" t="inlineStr">
        <is>
          <t>42.02</t>
        </is>
      </c>
      <c r="M1236" t="inlineStr">
        <is>
          <t>Köln</t>
        </is>
      </c>
    </row>
    <row r="1237">
      <c r="A1237" t="inlineStr">
        <is>
          <t>Duotone 12er Kite Neo SLS,  ***Neuwertig***  Saison 2023</t>
        </is>
      </c>
      <c r="B1237" s="4" t="n">
        <v>1.13</v>
      </c>
      <c r="C1237" t="inlineStr"/>
      <c r="D1237" t="inlineStr">
        <is>
          <t>81249 Aubing-Lochhausen-Langwied - Aubing</t>
        </is>
      </c>
      <c r="E1237" s="5" t="n">
        <v>45545</v>
      </c>
      <c r="F1237" t="inlineStr">
        <is>
          <t>Sold</t>
        </is>
      </c>
      <c r="G1237" s="6">
        <f>HYPERLINK("https://www.kleinanzeigen.de/s-anzeige/duotone-12er-kite-neo-sls-neuwertig-saison-2023/2859505418-230-6477", "Link")</f>
        <v/>
      </c>
      <c r="H1237" s="6">
        <f>HYPERLINK("C:\Projects\Kleinanzeigen-Scraper\offer_images\2859505418", "Link")</f>
        <v/>
      </c>
      <c r="I1237" t="inlineStr">
        <is>
          <t>Brigitte</t>
        </is>
      </c>
      <c r="J1237" s="6">
        <f>HYPERLINK("https://www.kleinanzeigen.de/s-bestandsliste.html?userId=40337970", "Link")</f>
        <v/>
      </c>
      <c r="K1237" s="7" t="n">
        <v>45549.57989583333</v>
      </c>
      <c r="L1237" s="3" t="inlineStr">
        <is>
          <t>13.54</t>
        </is>
      </c>
      <c r="M1237" t="inlineStr">
        <is>
          <t>München</t>
        </is>
      </c>
    </row>
    <row r="1238">
      <c r="A1238" t="inlineStr">
        <is>
          <t>Duotone 2023/24 Neo D/Lab 9 qm</t>
        </is>
      </c>
      <c r="B1238" s="4" t="n">
        <v>1.55</v>
      </c>
      <c r="C1238" t="inlineStr"/>
      <c r="D1238" t="inlineStr">
        <is>
          <t>90451 Nürnberg (Mittelfr) - Aussenstadt-Sued</t>
        </is>
      </c>
      <c r="E1238" s="5" t="n">
        <v>45540</v>
      </c>
      <c r="F1238" t="inlineStr">
        <is>
          <t>Sold</t>
        </is>
      </c>
      <c r="G1238" s="6">
        <f>HYPERLINK("https://www.kleinanzeigen.de/s-anzeige/duotone-2023-24-neo-d-lab-9-qm/2854719597-230-6836", "Link")</f>
        <v/>
      </c>
      <c r="H1238" s="6">
        <f>HYPERLINK("C:\Projects\Kleinanzeigen-Scraper\offer_images\2854719597", "Link")</f>
        <v/>
      </c>
      <c r="I1238" t="inlineStr">
        <is>
          <t>No user name</t>
        </is>
      </c>
      <c r="J1238" s="6">
        <f>HYPERLINK("https://www.kleinanzeigen.deNo user link", "Link")</f>
        <v/>
      </c>
      <c r="K1238" s="7" t="n">
        <v>45549.57989583333</v>
      </c>
      <c r="L1238" s="3" t="inlineStr">
        <is>
          <t>145.92</t>
        </is>
      </c>
      <c r="M1238" t="inlineStr">
        <is>
          <t>München</t>
        </is>
      </c>
    </row>
    <row r="1239">
      <c r="A1239" t="inlineStr">
        <is>
          <t>Ü-Ei Figuren Tiere Natoons North America</t>
        </is>
      </c>
      <c r="B1239" s="4" t="n">
        <v>1</v>
      </c>
      <c r="C1239" t="inlineStr"/>
      <c r="D1239" t="inlineStr">
        <is>
          <t>09350 Sachsen - Lichtenstein</t>
        </is>
      </c>
      <c r="E1239" s="5" t="n">
        <v>45542</v>
      </c>
      <c r="F1239" t="inlineStr">
        <is>
          <t>Sold</t>
        </is>
      </c>
      <c r="G1239" s="6">
        <f>HYPERLINK("https://www.kleinanzeigen.de/s-anzeige/ue-ei-figuren-tiere-natoons-north-america/2856417191-234-3954", "Link")</f>
        <v/>
      </c>
      <c r="H1239" s="6">
        <f>HYPERLINK("C:\Projects\Kleinanzeigen-Scraper\offer_images\2856417191", "Link")</f>
        <v/>
      </c>
      <c r="I1239" t="inlineStr">
        <is>
          <t>Max</t>
        </is>
      </c>
      <c r="J1239" s="6">
        <f>HYPERLINK("https://www.kleinanzeigen.de/s-bestandsliste.html?userId=54270575", "Link")</f>
        <v/>
      </c>
      <c r="K1239" s="7" t="n">
        <v>45549.57989583333</v>
      </c>
      <c r="L1239" s="3" t="inlineStr">
        <is>
          <t>300.97</t>
        </is>
      </c>
      <c r="M1239" t="inlineStr">
        <is>
          <t>München</t>
        </is>
      </c>
    </row>
    <row r="1240">
      <c r="A1240" t="inlineStr">
        <is>
          <t>The North Face Wanderhose Gr. 4 34 wie 36</t>
        </is>
      </c>
      <c r="B1240" s="4" t="n">
        <v>26</v>
      </c>
      <c r="C1240" t="inlineStr"/>
      <c r="D1240" t="inlineStr">
        <is>
          <t>82194 Bayern - Gröbenzell</t>
        </is>
      </c>
      <c r="E1240" s="5" t="n">
        <v>45548</v>
      </c>
      <c r="F1240" t="inlineStr">
        <is>
          <t>Sold</t>
        </is>
      </c>
      <c r="G1240" s="6">
        <f>HYPERLINK("https://www.kleinanzeigen.de/s-anzeige/the-north-face-wanderhose-gr-4-34-wie-36/2861962023-230-6350", "Link")</f>
        <v/>
      </c>
      <c r="H1240" s="6">
        <f>HYPERLINK("C:\Projects\Kleinanzeigen-Scraper\offer_images\2861962023", "Link")</f>
        <v/>
      </c>
      <c r="I1240" t="inlineStr">
        <is>
          <t>k.m.</t>
        </is>
      </c>
      <c r="J1240" s="6">
        <f>HYPERLINK("https://www.kleinanzeigen.de/s-bestandsliste.html?userId=61720255", "Link")</f>
        <v/>
      </c>
      <c r="K1240" s="7" t="n">
        <v>45549.57988425926</v>
      </c>
      <c r="L1240" s="3" t="inlineStr">
        <is>
          <t>15.82</t>
        </is>
      </c>
      <c r="M1240" t="inlineStr">
        <is>
          <t>München</t>
        </is>
      </c>
    </row>
    <row r="1241">
      <c r="A1241" t="inlineStr">
        <is>
          <t>Naish S26 JET Foil HA / Test ab Mai auf Rügen</t>
        </is>
      </c>
      <c r="B1241" s="4" t="n">
        <v>899</v>
      </c>
      <c r="C1241" t="inlineStr"/>
      <c r="D1241" t="inlineStr">
        <is>
          <t>18586 Mecklenburg-Vorpommern - Mönchgut, Ostseebad</t>
        </is>
      </c>
      <c r="E1241" s="5" t="n">
        <v>45540</v>
      </c>
      <c r="F1241" t="inlineStr"/>
      <c r="G1241" s="6">
        <f>HYPERLINK("https://www.kleinanzeigen.de/s-anzeige/naish-s26-jet-foil-ha-test-ab-mai-auf-ruegen/1552800701-230-120", "Link")</f>
        <v/>
      </c>
      <c r="H1241" s="6">
        <f>HYPERLINK("C:\Projects\Kleinanzeigen-Scraper\offer_images\1552800701", "Link")</f>
        <v/>
      </c>
      <c r="I1241" t="inlineStr">
        <is>
          <t>No user name</t>
        </is>
      </c>
      <c r="J1241" s="6">
        <f>HYPERLINK("https://www.kleinanzeigen.deNo user link", "Link")</f>
        <v/>
      </c>
      <c r="K1241" s="7" t="n">
        <v>45549.57987268519</v>
      </c>
      <c r="L1241" s="3" t="inlineStr">
        <is>
          <t>591.22</t>
        </is>
      </c>
      <c r="M1241" t="inlineStr">
        <is>
          <t>Köln</t>
        </is>
      </c>
    </row>
    <row r="1242">
      <c r="A1242" t="inlineStr">
        <is>
          <t>Keilrahmen Malvorlage Giraffen | Solo Goya</t>
        </is>
      </c>
      <c r="B1242" s="4" t="n">
        <v>5</v>
      </c>
      <c r="C1242" t="inlineStr"/>
      <c r="D1242" t="inlineStr">
        <is>
          <t>20249 Hamburg-Nord - Hamburg Eppendorf</t>
        </is>
      </c>
      <c r="E1242" s="5" t="n">
        <v>45502</v>
      </c>
      <c r="F1242" t="inlineStr">
        <is>
          <t>Sold</t>
        </is>
      </c>
      <c r="G1242" s="6">
        <f>HYPERLINK("https://www.kleinanzeigen.de/s-anzeige/keilrahmen-malvorlage-giraffen-solo-goya/2823869697-282-9476", "Link")</f>
        <v/>
      </c>
      <c r="H1242" s="6">
        <f>HYPERLINK("C:\Projects\Kleinanzeigen-Scraper\offer_images\2823869697", "Link")</f>
        <v/>
      </c>
      <c r="I1242" t="inlineStr">
        <is>
          <t>Vivien</t>
        </is>
      </c>
      <c r="J1242" s="6">
        <f>HYPERLINK("https://www.kleinanzeigen.de/s-bestandsliste.html?userId=78307612", "Link")</f>
        <v/>
      </c>
      <c r="K1242" s="7" t="n">
        <v>45549.57987268519</v>
      </c>
      <c r="L1242" s="3" t="inlineStr">
        <is>
          <t>359.93</t>
        </is>
      </c>
      <c r="M1242" t="inlineStr">
        <is>
          <t>Köln</t>
        </is>
      </c>
    </row>
    <row r="1243">
      <c r="A1243" t="inlineStr">
        <is>
          <t>RRD Passion MK IV, Kite, 13qm, 2012, red/white</t>
        </is>
      </c>
      <c r="B1243" s="4" t="n">
        <v>350</v>
      </c>
      <c r="C1243" t="inlineStr"/>
      <c r="D1243" t="inlineStr">
        <is>
          <t>52222 Nordrhein-Westfalen - Stolberg (Rhld)</t>
        </is>
      </c>
      <c r="E1243" s="5" t="n">
        <v>45495</v>
      </c>
      <c r="F1243" t="inlineStr">
        <is>
          <t>Sold</t>
        </is>
      </c>
      <c r="G1243" s="6">
        <f>HYPERLINK("https://www.kleinanzeigen.de/s-anzeige/rrd-passion-mk-iv-kite-13qm-2012-red-white/2818083128-230-1734", "Link")</f>
        <v/>
      </c>
      <c r="H1243" s="6">
        <f>HYPERLINK("C:\Projects\Kleinanzeigen-Scraper\offer_images\2818083128", "Link")</f>
        <v/>
      </c>
      <c r="I1243" t="inlineStr">
        <is>
          <t>MK</t>
        </is>
      </c>
      <c r="J1243" s="6">
        <f>HYPERLINK("https://www.kleinanzeigen.de/s-bestandsliste.html?userId=7697155", "Link")</f>
        <v/>
      </c>
      <c r="K1243" s="7" t="n">
        <v>45549.57987268519</v>
      </c>
      <c r="L1243" s="3" t="inlineStr">
        <is>
          <t>54.19</t>
        </is>
      </c>
      <c r="M1243" t="inlineStr">
        <is>
          <t>Köln</t>
        </is>
      </c>
    </row>
    <row r="1244">
      <c r="A1244" t="inlineStr">
        <is>
          <t>LAGERVERKAUF - 55%: JP, NAISH, MAKAIO, STARBOARD SUP Boards</t>
        </is>
      </c>
      <c r="B1244" s="4" t="inlineStr"/>
      <c r="C1244" t="inlineStr">
        <is>
          <t>VB</t>
        </is>
      </c>
      <c r="D1244" t="inlineStr">
        <is>
          <t>57489 Nordrhein-Westfalen - Drolshagen</t>
        </is>
      </c>
      <c r="E1244" s="5" t="n">
        <v>45547</v>
      </c>
      <c r="F1244" t="inlineStr"/>
      <c r="G1244" s="6">
        <f>HYPERLINK("https://www.kleinanzeigen.de/s-anzeige/lagerverkauf-55-jp-naish-makaio-starboard-sup-boards/2860823770-230-1530", "Link")</f>
        <v/>
      </c>
      <c r="H1244" s="6">
        <f>HYPERLINK("C:\Projects\Kleinanzeigen-Scraper\offer_images\2860823770", "Link")</f>
        <v/>
      </c>
      <c r="I1244" t="inlineStr">
        <is>
          <t>key2fun</t>
        </is>
      </c>
      <c r="J1244" s="6">
        <f>HYPERLINK("https://www.kleinanzeigen.de/s-bestandsliste.html?userId=68821592", "Link")</f>
        <v/>
      </c>
      <c r="K1244" s="7" t="n">
        <v>45549.57986111111</v>
      </c>
      <c r="L1244" s="3" t="inlineStr">
        <is>
          <t>58.85</t>
        </is>
      </c>
      <c r="M1244" t="inlineStr">
        <is>
          <t>Köln</t>
        </is>
      </c>
    </row>
    <row r="1245">
      <c r="A1245" t="inlineStr">
        <is>
          <t>Wingen Surfen Foil Neilpryde Frontflügel Heckflügel</t>
        </is>
      </c>
      <c r="B1245" s="4" t="n">
        <v>70</v>
      </c>
      <c r="C1245" t="inlineStr">
        <is>
          <t>VB</t>
        </is>
      </c>
      <c r="D1245" t="inlineStr">
        <is>
          <t>46514 Nordrhein-Westfalen - Schermbeck</t>
        </is>
      </c>
      <c r="E1245" s="5" t="n">
        <v>45547</v>
      </c>
      <c r="F1245" t="inlineStr">
        <is>
          <t>Sold</t>
        </is>
      </c>
      <c r="G1245" s="6">
        <f>HYPERLINK("https://www.kleinanzeigen.de/s-anzeige/wingen-surfen-foil-neilpryde-frontfluegel-heckfluegel/2861095304-230-1756", "Link")</f>
        <v/>
      </c>
      <c r="H1245" s="6">
        <f>HYPERLINK("C:\Projects\Kleinanzeigen-Scraper\offer_images\2861095304", "Link")</f>
        <v/>
      </c>
      <c r="I1245" t="inlineStr">
        <is>
          <t>Melanie Albracht</t>
        </is>
      </c>
      <c r="J1245" s="6">
        <f>HYPERLINK("https://www.kleinanzeigen.de/s-bestandsliste.html?userId=8655102", "Link")</f>
        <v/>
      </c>
      <c r="K1245" s="7" t="n">
        <v>45549.57986111111</v>
      </c>
      <c r="L1245" s="3" t="inlineStr">
        <is>
          <t>85.88</t>
        </is>
      </c>
      <c r="M1245" t="inlineStr">
        <is>
          <t>Köln</t>
        </is>
      </c>
    </row>
    <row r="1246">
      <c r="A1246" t="inlineStr">
        <is>
          <t>Windsurfen Boardbag Concept 236x64</t>
        </is>
      </c>
      <c r="B1246" s="4" t="n">
        <v>50</v>
      </c>
      <c r="C1246" t="inlineStr"/>
      <c r="D1246" t="inlineStr">
        <is>
          <t>48249 Nordrhein-Westfalen - Dülmen</t>
        </is>
      </c>
      <c r="E1246" s="5" t="n">
        <v>45548</v>
      </c>
      <c r="F1246" t="inlineStr">
        <is>
          <t>Sold</t>
        </is>
      </c>
      <c r="G1246" s="6">
        <f>HYPERLINK("https://www.kleinanzeigen.de/s-anzeige/windsurfen-boardbag-concept-236x64/2862237029-230-1331", "Link")</f>
        <v/>
      </c>
      <c r="H1246" s="6">
        <f>HYPERLINK("C:\Projects\Kleinanzeigen-Scraper\offer_images\2862237029", "Link")</f>
        <v/>
      </c>
      <c r="I1246" t="inlineStr">
        <is>
          <t>Karl-Surf</t>
        </is>
      </c>
      <c r="J1246" s="6">
        <f>HYPERLINK("https://www.kleinanzeigen.de/s-bestandsliste.html?userId=143409109", "Link")</f>
        <v/>
      </c>
      <c r="K1246" s="7" t="n">
        <v>45549.57984953704</v>
      </c>
      <c r="L1246" s="3" t="inlineStr">
        <is>
          <t>105.23</t>
        </is>
      </c>
      <c r="M1246" t="inlineStr">
        <is>
          <t>Köln</t>
        </is>
      </c>
    </row>
    <row r="1247">
      <c r="A1247" t="inlineStr">
        <is>
          <t>Kite 8m RRD-Vision</t>
        </is>
      </c>
      <c r="B1247" s="4" t="n">
        <v>490</v>
      </c>
      <c r="C1247" t="inlineStr">
        <is>
          <t>VB</t>
        </is>
      </c>
      <c r="D1247" t="inlineStr">
        <is>
          <t>73117 Baden-Württemberg - Wangen</t>
        </is>
      </c>
      <c r="E1247" s="5" t="n">
        <v>45536</v>
      </c>
      <c r="F1247" t="inlineStr">
        <is>
          <t>Sold</t>
        </is>
      </c>
      <c r="G1247" s="6">
        <f>HYPERLINK("https://www.kleinanzeigen.de/s-anzeige/kite-8m-rrd-vision/2852121324-230-7318", "Link")</f>
        <v/>
      </c>
      <c r="H1247" s="6">
        <f>HYPERLINK("C:\Projects\Kleinanzeigen-Scraper\offer_images\2852121324", "Link")</f>
        <v/>
      </c>
      <c r="I1247" t="inlineStr">
        <is>
          <t>Wolfgang</t>
        </is>
      </c>
      <c r="J1247" s="6">
        <f>HYPERLINK("https://www.kleinanzeigen.de/s-bestandsliste.html?userId=64920602", "Link")</f>
        <v/>
      </c>
      <c r="K1247" s="7" t="n">
        <v>45549.57983796296</v>
      </c>
      <c r="L1247" s="3" t="inlineStr">
        <is>
          <t>46.73</t>
        </is>
      </c>
      <c r="M1247" t="inlineStr">
        <is>
          <t>Böblingen</t>
        </is>
      </c>
    </row>
    <row r="1248">
      <c r="A1248" t="inlineStr">
        <is>
          <t>Naish Pivot 8qm 2024</t>
        </is>
      </c>
      <c r="B1248" s="4" t="n">
        <v>719</v>
      </c>
      <c r="C1248" t="inlineStr"/>
      <c r="D1248" t="inlineStr">
        <is>
          <t>20535 Hamburg-Mitte - Hamburg Hamm</t>
        </is>
      </c>
      <c r="E1248" s="5" t="n">
        <v>45519</v>
      </c>
      <c r="F1248" t="inlineStr"/>
      <c r="G1248" s="6">
        <f>HYPERLINK("https://www.kleinanzeigen.de/s-anzeige/naish-pivot-8qm-2024/2837386996-230-9425", "Link")</f>
        <v/>
      </c>
      <c r="H1248" s="6">
        <f>HYPERLINK("C:\Projects\Kleinanzeigen-Scraper\offer_images\2837386996", "Link")</f>
        <v/>
      </c>
      <c r="I1248" t="inlineStr">
        <is>
          <t>Sebastian Dannenberg</t>
        </is>
      </c>
      <c r="J1248" s="6">
        <f>HYPERLINK("https://www.kleinanzeigen.de/s-bestandsliste.html?userId=24007699", "Link")</f>
        <v/>
      </c>
      <c r="K1248" s="7" t="n">
        <v>45549.57983796296</v>
      </c>
      <c r="L1248" s="3" t="inlineStr">
        <is>
          <t>359.68</t>
        </is>
      </c>
      <c r="M1248" t="inlineStr">
        <is>
          <t>Köln</t>
        </is>
      </c>
    </row>
    <row r="1249">
      <c r="A1249" t="inlineStr">
        <is>
          <t>Naish Hero - Kiteboard</t>
        </is>
      </c>
      <c r="B1249" s="4" t="n">
        <v>220</v>
      </c>
      <c r="C1249" t="inlineStr">
        <is>
          <t>VB</t>
        </is>
      </c>
      <c r="D1249" t="inlineStr">
        <is>
          <t>88131 Bayern - Lindau</t>
        </is>
      </c>
      <c r="E1249" s="5" t="n">
        <v>45529</v>
      </c>
      <c r="F1249" t="inlineStr">
        <is>
          <t>Sold</t>
        </is>
      </c>
      <c r="G1249" s="6">
        <f>HYPERLINK("https://www.kleinanzeigen.de/s-anzeige/naish-hero-kiteboard/2846343397-230-7707", "Link")</f>
        <v/>
      </c>
      <c r="H1249" s="6">
        <f>HYPERLINK("C:\Projects\Kleinanzeigen-Scraper\offer_images\2846343397", "Link")</f>
        <v/>
      </c>
      <c r="I1249" t="inlineStr">
        <is>
          <t>Bärenweiler</t>
        </is>
      </c>
      <c r="J1249" s="6">
        <f>HYPERLINK("https://www.kleinanzeigen.de/s-bestandsliste.html?userId=34740655", "Link")</f>
        <v/>
      </c>
      <c r="K1249" s="7" t="n">
        <v>45549.57983796296</v>
      </c>
      <c r="L1249" s="3" t="inlineStr">
        <is>
          <t>104.13</t>
        </is>
      </c>
      <c r="M1249" t="inlineStr">
        <is>
          <t>Bonndorf</t>
        </is>
      </c>
    </row>
    <row r="1250">
      <c r="A1250" t="inlineStr">
        <is>
          <t>Naish Ultra Jet Foil 1650 Semi Compl. Wingsurfen 2024</t>
        </is>
      </c>
      <c r="B1250" s="4" t="n">
        <v>1.049</v>
      </c>
      <c r="C1250" t="inlineStr">
        <is>
          <t>VB</t>
        </is>
      </c>
      <c r="D1250" t="inlineStr">
        <is>
          <t>22457 Eimsbüttel - Hamburg Schnelsen</t>
        </is>
      </c>
      <c r="E1250" s="5" t="n">
        <v>45536</v>
      </c>
      <c r="F1250" t="inlineStr">
        <is>
          <t>Sold</t>
        </is>
      </c>
      <c r="G1250" s="6">
        <f>HYPERLINK("https://www.kleinanzeigen.de/s-anzeige/naish-ultra-jet-foil-1650-semi-compl-wingsurfen-2024/2725580527-230-9492", "Link")</f>
        <v/>
      </c>
      <c r="H1250" s="6">
        <f>HYPERLINK("C:\Projects\Kleinanzeigen-Scraper\offer_images\2725580527", "Link")</f>
        <v/>
      </c>
      <c r="I1250" t="inlineStr">
        <is>
          <t>No user name</t>
        </is>
      </c>
      <c r="J1250" s="6">
        <f>HYPERLINK("https://www.kleinanzeigen.deNo user link", "Link")</f>
        <v/>
      </c>
      <c r="K1250" s="7" t="n">
        <v>45549.57981481482</v>
      </c>
      <c r="L1250" s="3" t="inlineStr">
        <is>
          <t>362.41</t>
        </is>
      </c>
      <c r="M1250" t="inlineStr">
        <is>
          <t>Köln</t>
        </is>
      </c>
    </row>
    <row r="1251">
      <c r="A1251" t="inlineStr">
        <is>
          <t>North Kitebag Kitetasche Kitesurfen 135 cm inkl. Wetback</t>
        </is>
      </c>
      <c r="B1251" s="4" t="n">
        <v>50</v>
      </c>
      <c r="C1251" t="inlineStr"/>
      <c r="D1251" t="inlineStr">
        <is>
          <t>35428 Hessen - Langgöns</t>
        </is>
      </c>
      <c r="E1251" s="5" t="n">
        <v>45547</v>
      </c>
      <c r="F1251" t="inlineStr">
        <is>
          <t>Sold</t>
        </is>
      </c>
      <c r="G1251" s="6">
        <f>HYPERLINK("https://www.kleinanzeigen.de/s-anzeige/north-kitebag-kitetasche-kitesurfen-135-cm-inkl-wetback/2861356400-230-4664", "Link")</f>
        <v/>
      </c>
      <c r="H1251" s="6">
        <f>HYPERLINK("C:\Projects\Kleinanzeigen-Scraper\offer_images\2861356400", "Link")</f>
        <v/>
      </c>
      <c r="I1251" t="inlineStr">
        <is>
          <t>Timm Straßheim</t>
        </is>
      </c>
      <c r="J1251" s="6">
        <f>HYPERLINK("https://www.kleinanzeigen.de/s-bestandsliste.html?userId=16095459", "Link")</f>
        <v/>
      </c>
      <c r="K1251" s="7" t="n">
        <v>45549.57981481482</v>
      </c>
      <c r="L1251" s="3" t="inlineStr">
        <is>
          <t>125.53</t>
        </is>
      </c>
      <c r="M1251" t="inlineStr">
        <is>
          <t>Köln</t>
        </is>
      </c>
    </row>
    <row r="1252">
      <c r="A1252" t="inlineStr">
        <is>
          <t>Wakefoil Foilbord Carafino Wakeboard naish Carbon</t>
        </is>
      </c>
      <c r="B1252" s="4" t="n">
        <v>650</v>
      </c>
      <c r="C1252" t="inlineStr">
        <is>
          <t>VB</t>
        </is>
      </c>
      <c r="D1252" t="inlineStr">
        <is>
          <t>37081 Niedersachsen - Göttingen</t>
        </is>
      </c>
      <c r="E1252" s="5" t="n">
        <v>45477</v>
      </c>
      <c r="F1252" t="inlineStr">
        <is>
          <t>Sold</t>
        </is>
      </c>
      <c r="G1252" s="6">
        <f>HYPERLINK("https://www.kleinanzeigen.de/s-anzeige/wakefoil-foilbord-carafino-wakeboard-naish-carbon/2804047575-230-3140", "Link")</f>
        <v/>
      </c>
      <c r="H1252" s="6">
        <f>HYPERLINK("C:\Projects\Kleinanzeigen-Scraper\offer_images\2804047575", "Link")</f>
        <v/>
      </c>
      <c r="I1252" t="inlineStr">
        <is>
          <t>privat</t>
        </is>
      </c>
      <c r="J1252" s="6">
        <f>HYPERLINK("https://www.kleinanzeigen.de/s-bestandsliste.html?userId=70854156", "Link")</f>
        <v/>
      </c>
      <c r="K1252" s="7" t="n">
        <v>45549.57979166666</v>
      </c>
      <c r="L1252" s="3" t="inlineStr">
        <is>
          <t>215.76</t>
        </is>
      </c>
      <c r="M1252" t="inlineStr">
        <is>
          <t>Köln</t>
        </is>
      </c>
    </row>
    <row r="1253">
      <c r="A1253" t="inlineStr">
        <is>
          <t>North Reach 2024 15.0 qm Kite (NK093)</t>
        </is>
      </c>
      <c r="B1253" s="4" t="n">
        <v>1.47</v>
      </c>
      <c r="C1253" t="inlineStr">
        <is>
          <t>VB</t>
        </is>
      </c>
      <c r="D1253" t="inlineStr">
        <is>
          <t>23774 Kreis Ostholstein - Heiligenhafen</t>
        </is>
      </c>
      <c r="E1253" s="5" t="n">
        <v>45544</v>
      </c>
      <c r="F1253" t="inlineStr">
        <is>
          <t>Sold</t>
        </is>
      </c>
      <c r="G1253" s="6">
        <f>HYPERLINK("https://www.kleinanzeigen.de/s-anzeige/north-reach-2024-15-0-qm-kite-nk093-/2809937092-230-427", "Link")</f>
        <v/>
      </c>
      <c r="H1253" s="6">
        <f>HYPERLINK("C:\Projects\Kleinanzeigen-Scraper\offer_images\2809937092", "Link")</f>
        <v/>
      </c>
      <c r="I1253" t="inlineStr">
        <is>
          <t>No user name</t>
        </is>
      </c>
      <c r="J1253" s="6">
        <f>HYPERLINK("https://www.kleinanzeigen.deNo user link", "Link")</f>
        <v/>
      </c>
      <c r="K1253" s="7" t="n">
        <v>45549.57979166666</v>
      </c>
      <c r="L1253" s="3" t="inlineStr">
        <is>
          <t>467.75</t>
        </is>
      </c>
      <c r="M1253" t="inlineStr">
        <is>
          <t>Köln</t>
        </is>
      </c>
    </row>
    <row r="1254">
      <c r="A1254" t="inlineStr">
        <is>
          <t>STARBOARD Women All Star SUP Suit black pink</t>
        </is>
      </c>
      <c r="B1254" s="4" t="n">
        <v>479</v>
      </c>
      <c r="C1254" t="inlineStr"/>
      <c r="D1254" t="inlineStr">
        <is>
          <t>82319 Bayern - Starnberg</t>
        </is>
      </c>
      <c r="E1254" s="5" t="n">
        <v>45568</v>
      </c>
      <c r="F1254" t="inlineStr"/>
      <c r="G1254" s="6">
        <f>HYPERLINK("https://www.kleinanzeigen.de/s-anzeige/starboard-women-all-star-sup-suit-black-pink/1520069112-230-5525", "Link")</f>
        <v/>
      </c>
      <c r="H1254" s="6">
        <f>HYPERLINK("C:\Projects\Kleinanzeigen-Scraper\offer_images\1520069112", "Link")</f>
        <v/>
      </c>
      <c r="I1254" t="inlineStr">
        <is>
          <t>No user name</t>
        </is>
      </c>
      <c r="J1254" s="6">
        <f>HYPERLINK("https://www.kleinanzeigen.deNo user link", "Link")</f>
        <v/>
      </c>
      <c r="K1254" s="7" t="n">
        <v>45549.57976851852</v>
      </c>
      <c r="L1254" s="3" t="inlineStr">
        <is>
          <t>23.17</t>
        </is>
      </c>
      <c r="M1254" t="inlineStr">
        <is>
          <t>München</t>
        </is>
      </c>
    </row>
    <row r="1255">
      <c r="A1255" t="inlineStr">
        <is>
          <t>Kite RRD Religion MK9 7m</t>
        </is>
      </c>
      <c r="B1255" s="4" t="n">
        <v>350</v>
      </c>
      <c r="C1255" t="inlineStr">
        <is>
          <t>VB</t>
        </is>
      </c>
      <c r="D1255" t="inlineStr">
        <is>
          <t>68789 Baden-Württemberg - St. Leon-Rot</t>
        </is>
      </c>
      <c r="E1255" s="5" t="n">
        <v>45230</v>
      </c>
      <c r="F1255" t="inlineStr">
        <is>
          <t>Sold</t>
        </is>
      </c>
      <c r="G1255" s="6">
        <f>HYPERLINK("https://www.kleinanzeigen.de/s-anzeige/kite-rrd-religion-mk9-7m/2589097122-230-8251", "Link")</f>
        <v/>
      </c>
      <c r="H1255" s="6">
        <f>HYPERLINK("C:\Projects\Kleinanzeigen-Scraper\offer_images\2589097122", "Link")</f>
        <v/>
      </c>
      <c r="I1255" t="inlineStr">
        <is>
          <t>Tobias</t>
        </is>
      </c>
      <c r="J1255" s="6">
        <f>HYPERLINK("https://www.kleinanzeigen.de/s-bestandsliste.html?userId=6706363", "Link")</f>
        <v/>
      </c>
      <c r="K1255" s="7" t="n">
        <v>45549.57976851852</v>
      </c>
      <c r="L1255" s="3" t="inlineStr">
        <is>
          <t>32.56</t>
        </is>
      </c>
      <c r="M1255" t="inlineStr">
        <is>
          <t>Karlsruhe</t>
        </is>
      </c>
    </row>
    <row r="1256">
      <c r="A1256" t="inlineStr">
        <is>
          <t>SUP Starboard Tilhine Wave Design</t>
        </is>
      </c>
      <c r="B1256" s="4" t="n">
        <v>650</v>
      </c>
      <c r="C1256" t="inlineStr"/>
      <c r="D1256" t="inlineStr">
        <is>
          <t>83233 Bayern - Bernau am Chiemsee</t>
        </is>
      </c>
      <c r="E1256" s="5" t="n">
        <v>45540</v>
      </c>
      <c r="F1256" t="inlineStr"/>
      <c r="G1256" s="6">
        <f>HYPERLINK("https://www.kleinanzeigen.de/s-anzeige/sup-starboard-tilhine-wave-design/2854631258-187-7563", "Link")</f>
        <v/>
      </c>
      <c r="H1256" s="6">
        <f>HYPERLINK("C:\Projects\Kleinanzeigen-Scraper\offer_images\2854631258", "Link")</f>
        <v/>
      </c>
      <c r="I1256" t="inlineStr">
        <is>
          <t>I.E.</t>
        </is>
      </c>
      <c r="J1256" s="6">
        <f>HYPERLINK("https://www.kleinanzeigen.de/s-bestandsliste.html?userId=24248248", "Link")</f>
        <v/>
      </c>
      <c r="K1256" s="7" t="n">
        <v>45549.57975694445</v>
      </c>
      <c r="L1256" s="3" t="inlineStr">
        <is>
          <t>69.52</t>
        </is>
      </c>
      <c r="M1256" t="inlineStr">
        <is>
          <t>München</t>
        </is>
      </c>
    </row>
    <row r="1257">
      <c r="A1257" t="inlineStr">
        <is>
          <t>Duotone Evo SLS 12 qm</t>
        </is>
      </c>
      <c r="B1257" s="4" t="n">
        <v>1.1</v>
      </c>
      <c r="C1257" t="inlineStr">
        <is>
          <t>VB</t>
        </is>
      </c>
      <c r="D1257" t="inlineStr">
        <is>
          <t>26125 Niedersachsen - Oldenburg</t>
        </is>
      </c>
      <c r="E1257" s="5" t="n">
        <v>45549</v>
      </c>
      <c r="F1257" t="inlineStr">
        <is>
          <t>Sold</t>
        </is>
      </c>
      <c r="G1257" s="6">
        <f>HYPERLINK("https://www.kleinanzeigen.de/s-anzeige/duotone-evo-sls-12-qm/2863016722-230-3111", "Link")</f>
        <v/>
      </c>
      <c r="H1257" s="6">
        <f>HYPERLINK("C:\Projects\Kleinanzeigen-Scraper\offer_images\2863016722", "Link")</f>
        <v/>
      </c>
      <c r="I1257" t="inlineStr">
        <is>
          <t>Christian</t>
        </is>
      </c>
      <c r="J1257" s="6">
        <f>HYPERLINK("https://www.kleinanzeigen.de/s-bestandsliste.html?userId=16571028", "Link")</f>
        <v/>
      </c>
      <c r="K1257" s="7" t="n">
        <v>45549.57975694445</v>
      </c>
      <c r="L1257" s="3" t="inlineStr">
        <is>
          <t>264.10</t>
        </is>
      </c>
      <c r="M1257" t="inlineStr">
        <is>
          <t>Köln</t>
        </is>
      </c>
    </row>
    <row r="1258">
      <c r="A1258" t="inlineStr">
        <is>
          <t>Neilpryde Neoprenhoodie Surfen Kiten Wakeboard Gr L</t>
        </is>
      </c>
      <c r="B1258" s="4" t="n">
        <v>55</v>
      </c>
      <c r="C1258" t="inlineStr">
        <is>
          <t>VB</t>
        </is>
      </c>
      <c r="D1258" t="inlineStr">
        <is>
          <t>48165 Münster (Westfalen) - Hiltrup</t>
        </is>
      </c>
      <c r="E1258" s="5" t="n">
        <v>45445</v>
      </c>
      <c r="F1258" t="inlineStr">
        <is>
          <t>Sold</t>
        </is>
      </c>
      <c r="G1258" s="6">
        <f>HYPERLINK("https://www.kleinanzeigen.de/s-anzeige/neilpryde-neoprenhoodie-surfen-kiten-wakeboard-gr-l/2777912401-230-941", "Link")</f>
        <v/>
      </c>
      <c r="H1258" s="6">
        <f>HYPERLINK("C:\Projects\Kleinanzeigen-Scraper\offer_images\2777912401", "Link")</f>
        <v/>
      </c>
      <c r="I1258" t="inlineStr">
        <is>
          <t>M. G</t>
        </is>
      </c>
      <c r="J1258" s="6">
        <f>HYPERLINK("https://www.kleinanzeigen.de/s-bestandsliste.html?userId=5261310", "Link")</f>
        <v/>
      </c>
      <c r="K1258" s="7" t="n">
        <v>45549.57973379629</v>
      </c>
      <c r="L1258" s="3" t="inlineStr">
        <is>
          <t>116.99</t>
        </is>
      </c>
      <c r="M1258" t="inlineStr">
        <is>
          <t>Köln</t>
        </is>
      </c>
    </row>
    <row r="1259">
      <c r="A1259" t="inlineStr">
        <is>
          <t>Naish S26 Jet Foil Complete 1650 qm - STD - NEU</t>
        </is>
      </c>
      <c r="B1259" s="4" t="n">
        <v>1.469</v>
      </c>
      <c r="C1259" t="inlineStr">
        <is>
          <t>VB</t>
        </is>
      </c>
      <c r="D1259" t="inlineStr">
        <is>
          <t>82319 Bayern - Starnberg</t>
        </is>
      </c>
      <c r="E1259" s="5" t="n">
        <v>45566</v>
      </c>
      <c r="F1259" t="inlineStr"/>
      <c r="G1259" s="6">
        <f>HYPERLINK("https://www.kleinanzeigen.de/s-anzeige/naish-s26-jet-foil-complete-1650-qm-std-neu/1740294840-230-5525", "Link")</f>
        <v/>
      </c>
      <c r="H1259" s="6">
        <f>HYPERLINK("C:\Projects\Kleinanzeigen-Scraper\offer_images\1740294840", "Link")</f>
        <v/>
      </c>
      <c r="I1259" t="inlineStr">
        <is>
          <t>No user name</t>
        </is>
      </c>
      <c r="J1259" s="6">
        <f>HYPERLINK("https://www.kleinanzeigen.deNo user link", "Link")</f>
        <v/>
      </c>
      <c r="K1259" s="7" t="n">
        <v>45549.57971064815</v>
      </c>
      <c r="L1259" s="3" t="inlineStr">
        <is>
          <t>23.17</t>
        </is>
      </c>
      <c r="M1259" t="inlineStr">
        <is>
          <t>München</t>
        </is>
      </c>
    </row>
    <row r="1260">
      <c r="A1260" t="inlineStr">
        <is>
          <t>Künstler Monographien Goya</t>
        </is>
      </c>
      <c r="B1260" s="4" t="n">
        <v>3</v>
      </c>
      <c r="C1260" t="inlineStr"/>
      <c r="D1260" t="inlineStr">
        <is>
          <t>21266 Niedersachsen - Jesteburg</t>
        </is>
      </c>
      <c r="E1260" s="5" t="n">
        <v>45502</v>
      </c>
      <c r="F1260" t="inlineStr">
        <is>
          <t>Sold</t>
        </is>
      </c>
      <c r="G1260" s="6">
        <f>HYPERLINK("https://www.kleinanzeigen.de/s-anzeige/kuenstler-monographien-goya/2824546879-191-3317", "Link")</f>
        <v/>
      </c>
      <c r="H1260" s="6">
        <f>HYPERLINK("C:\Projects\Kleinanzeigen-Scraper\offer_images\2824546879", "Link")</f>
        <v/>
      </c>
      <c r="I1260" t="inlineStr">
        <is>
          <t>Bine</t>
        </is>
      </c>
      <c r="J1260" s="6">
        <f>HYPERLINK("https://www.kleinanzeigen.de/s-bestandsliste.html?userId=92156473", "Link")</f>
        <v/>
      </c>
      <c r="K1260" s="7" t="n">
        <v>45549.57969907407</v>
      </c>
      <c r="L1260" s="3" t="inlineStr">
        <is>
          <t>333.54</t>
        </is>
      </c>
      <c r="M1260" t="inlineStr">
        <is>
          <t>Köln</t>
        </is>
      </c>
    </row>
    <row r="1261">
      <c r="A1261" t="inlineStr">
        <is>
          <t>Whisky Flasche und Dose Signatory North British 1991 für Barlampe</t>
        </is>
      </c>
      <c r="B1261" s="4" t="n">
        <v>9</v>
      </c>
      <c r="C1261" t="inlineStr"/>
      <c r="D1261" t="inlineStr">
        <is>
          <t>89134 Baden-Württemberg - Blaustein</t>
        </is>
      </c>
      <c r="E1261" s="5" t="n">
        <v>45543</v>
      </c>
      <c r="F1261" t="inlineStr">
        <is>
          <t>Sold</t>
        </is>
      </c>
      <c r="G1261" s="6">
        <f>HYPERLINK("https://www.kleinanzeigen.de/s-anzeige/whisky-flasche-und-dose-signatory-north-british-1991-fuer-barlampe/2857400073-234-8683", "Link")</f>
        <v/>
      </c>
      <c r="H1261" s="6">
        <f>HYPERLINK("C:\Projects\Kleinanzeigen-Scraper\offer_images\2857400073", "Link")</f>
        <v/>
      </c>
      <c r="I1261" t="inlineStr">
        <is>
          <t>Sandra</t>
        </is>
      </c>
      <c r="J1261" s="6">
        <f>HYPERLINK("https://www.kleinanzeigen.de/s-bestandsliste.html?userId=47730136", "Link")</f>
        <v/>
      </c>
      <c r="K1261" s="7" t="n">
        <v>45549.5796875</v>
      </c>
      <c r="L1261" s="3" t="inlineStr">
        <is>
          <t>74.25</t>
        </is>
      </c>
      <c r="M1261" t="inlineStr">
        <is>
          <t>Böblingen</t>
        </is>
      </c>
    </row>
    <row r="1262">
      <c r="A1262" t="inlineStr">
        <is>
          <t>Naish Wing 6qm</t>
        </is>
      </c>
      <c r="B1262" s="4" t="n">
        <v>350</v>
      </c>
      <c r="C1262" t="inlineStr"/>
      <c r="D1262" t="inlineStr">
        <is>
          <t>76135 Baden-Württemberg - Karlsruhe</t>
        </is>
      </c>
      <c r="E1262" s="5" t="n">
        <v>45490</v>
      </c>
      <c r="F1262" t="inlineStr">
        <is>
          <t>Sold</t>
        </is>
      </c>
      <c r="G1262" s="6">
        <f>HYPERLINK("https://www.kleinanzeigen.de/s-anzeige/naish-wing-6qm/2814368964-230-9193", "Link")</f>
        <v/>
      </c>
      <c r="H1262" s="6">
        <f>HYPERLINK("C:\Projects\Kleinanzeigen-Scraper\offer_images\2814368964", "Link")</f>
        <v/>
      </c>
      <c r="I1262" t="inlineStr">
        <is>
          <t>Jule G.</t>
        </is>
      </c>
      <c r="J1262" s="6">
        <f>HYPERLINK("https://www.kleinanzeigen.de/s-bestandsliste.html?userId=59994447", "Link")</f>
        <v/>
      </c>
      <c r="K1262" s="7" t="n">
        <v>45549.5796875</v>
      </c>
      <c r="L1262" s="3" t="inlineStr">
        <is>
          <t>1.79</t>
        </is>
      </c>
      <c r="M1262" t="inlineStr">
        <is>
          <t>Karlsruhe</t>
        </is>
      </c>
    </row>
    <row r="1263">
      <c r="A1263" t="inlineStr">
        <is>
          <t>Pierre Gassier | Francisco Goya - Die Skizzenbücher</t>
        </is>
      </c>
      <c r="B1263" s="4" t="n">
        <v>15</v>
      </c>
      <c r="C1263" t="inlineStr"/>
      <c r="D1263" t="inlineStr">
        <is>
          <t>71404 Baden-Württemberg - Korb</t>
        </is>
      </c>
      <c r="E1263" s="5" t="n">
        <v>44936</v>
      </c>
      <c r="F1263" t="inlineStr"/>
      <c r="G1263" s="6">
        <f>HYPERLINK("https://www.kleinanzeigen.de/s-anzeige/pierre-gassier-francisco-goya-die-skizzenbuecher/2325402204-240-8387", "Link")</f>
        <v/>
      </c>
      <c r="H1263" s="6">
        <f>HYPERLINK("C:\Projects\Kleinanzeigen-Scraper\offer_images\2325402204", "Link")</f>
        <v/>
      </c>
      <c r="I1263" t="inlineStr">
        <is>
          <t>Steffen</t>
        </is>
      </c>
      <c r="J1263" s="6">
        <f>HYPERLINK("https://www.kleinanzeigen.de/s-bestandsliste.html?userId=45177457", "Link")</f>
        <v/>
      </c>
      <c r="K1263" s="7" t="n">
        <v>45549.5796875</v>
      </c>
      <c r="L1263" s="3" t="inlineStr">
        <is>
          <t>34.26</t>
        </is>
      </c>
      <c r="M1263" t="inlineStr">
        <is>
          <t>Böblingen</t>
        </is>
      </c>
    </row>
    <row r="1264">
      <c r="A1264" t="inlineStr">
        <is>
          <t>Duotone REBEL 7qm - Sehr guter Zustand</t>
        </is>
      </c>
      <c r="B1264" s="4" t="n">
        <v>600</v>
      </c>
      <c r="C1264" t="inlineStr">
        <is>
          <t>VB</t>
        </is>
      </c>
      <c r="D1264" t="inlineStr">
        <is>
          <t>23863 Schleswig-Holstein - Bargfeld-Stegen</t>
        </is>
      </c>
      <c r="E1264" s="5" t="n">
        <v>45544</v>
      </c>
      <c r="F1264" t="inlineStr">
        <is>
          <t>Sold</t>
        </is>
      </c>
      <c r="G1264" s="6">
        <f>HYPERLINK("https://www.kleinanzeigen.de/s-anzeige/duotone-rebel-7qm-sehr-guter-zustand/2858586942-230-19519", "Link")</f>
        <v/>
      </c>
      <c r="H1264" s="6">
        <f>HYPERLINK("C:\Projects\Kleinanzeigen-Scraper\offer_images\2858586942", "Link")</f>
        <v/>
      </c>
      <c r="I1264" t="inlineStr">
        <is>
          <t>JH</t>
        </is>
      </c>
      <c r="J1264" s="6">
        <f>HYPERLINK("https://www.kleinanzeigen.de/s-bestandsliste.html?userId=17517496", "Link")</f>
        <v/>
      </c>
      <c r="K1264" s="7" t="n">
        <v>45549.5796875</v>
      </c>
      <c r="L1264" s="3" t="inlineStr">
        <is>
          <t>383.95</t>
        </is>
      </c>
      <c r="M1264" t="inlineStr">
        <is>
          <t>Köln</t>
        </is>
      </c>
    </row>
    <row r="1265">
      <c r="A1265" t="inlineStr">
        <is>
          <t>The North Face Summit Training Pack 12l Größe S</t>
        </is>
      </c>
      <c r="B1265" s="4" t="n">
        <v>90</v>
      </c>
      <c r="C1265" t="inlineStr">
        <is>
          <t>VB</t>
        </is>
      </c>
      <c r="D1265" t="inlineStr">
        <is>
          <t>83451 Bayern - Piding</t>
        </is>
      </c>
      <c r="E1265" s="5" t="n">
        <v>45537</v>
      </c>
      <c r="F1265" t="inlineStr">
        <is>
          <t>Sold</t>
        </is>
      </c>
      <c r="G1265" s="6">
        <f>HYPERLINK("https://www.kleinanzeigen.de/s-anzeige/the-north-face-summit-training-pack-12l-groesse-s/2852385152-230-5880", "Link")</f>
        <v/>
      </c>
      <c r="H1265" s="6">
        <f>HYPERLINK("C:\Projects\Kleinanzeigen-Scraper\offer_images\2852385152", "Link")</f>
        <v/>
      </c>
      <c r="I1265" t="inlineStr">
        <is>
          <t>Marcel</t>
        </is>
      </c>
      <c r="J1265" s="6">
        <f>HYPERLINK("https://www.kleinanzeigen.de/s-bestandsliste.html?userId=80200559", "Link")</f>
        <v/>
      </c>
      <c r="K1265" s="7" t="n">
        <v>45549.5796875</v>
      </c>
      <c r="L1265" s="3" t="inlineStr">
        <is>
          <t>107.84</t>
        </is>
      </c>
      <c r="M1265" t="inlineStr">
        <is>
          <t>München</t>
        </is>
      </c>
    </row>
    <row r="1266">
      <c r="A1266" t="inlineStr">
        <is>
          <t>Sage 4560 Ersatzspule Carbon NEU Orvis Simms Rio</t>
        </is>
      </c>
      <c r="B1266" s="4" t="n">
        <v>80</v>
      </c>
      <c r="C1266" t="inlineStr">
        <is>
          <t>VB</t>
        </is>
      </c>
      <c r="D1266" t="inlineStr">
        <is>
          <t>14772 Brandenburg - Brandenburg an der Havel</t>
        </is>
      </c>
      <c r="E1266" s="5" t="n">
        <v>45172</v>
      </c>
      <c r="F1266" t="inlineStr"/>
      <c r="G1266" s="6">
        <f>HYPERLINK("https://www.kleinanzeigen.de/s-anzeige/sage-4560-ersatzspule-carbon-neu-orvis-simms-rio/2537194275-187-7738", "Link")</f>
        <v/>
      </c>
      <c r="H1266" s="6">
        <f>HYPERLINK("C:\Projects\Kleinanzeigen-Scraper\offer_images\2537194275", "Link")</f>
        <v/>
      </c>
      <c r="I1266" t="inlineStr">
        <is>
          <t>Paul</t>
        </is>
      </c>
      <c r="J1266" s="6">
        <f>HYPERLINK("https://www.kleinanzeigen.de/s-bestandsliste.html?userId=23023096", "Link")</f>
        <v/>
      </c>
      <c r="K1266" s="7" t="n">
        <v>45549.57966435186</v>
      </c>
      <c r="L1266" s="3" t="inlineStr">
        <is>
          <t>418.60</t>
        </is>
      </c>
      <c r="M1266" t="inlineStr">
        <is>
          <t>Köln</t>
        </is>
      </c>
    </row>
    <row r="1267">
      <c r="A1267" t="inlineStr">
        <is>
          <t>Franco Vivarelli Fliegenrolle semi automatisch/ no sage, simms</t>
        </is>
      </c>
      <c r="B1267" s="4" t="n">
        <v>165</v>
      </c>
      <c r="C1267" t="inlineStr">
        <is>
          <t>VB</t>
        </is>
      </c>
      <c r="D1267" t="inlineStr">
        <is>
          <t>81827 München - Trudering-Riem</t>
        </is>
      </c>
      <c r="E1267" s="5" t="n">
        <v>45028</v>
      </c>
      <c r="F1267" t="inlineStr">
        <is>
          <t>Sold</t>
        </is>
      </c>
      <c r="G1267" s="6">
        <f>HYPERLINK("https://www.kleinanzeigen.de/s-anzeige/franco-vivarelli-fliegenrolle-semi-automatisch-no-sage-simms/2412711409-230-6481", "Link")</f>
        <v/>
      </c>
      <c r="H1267" s="6">
        <f>HYPERLINK("C:\Projects\Kleinanzeigen-Scraper\offer_images\2412711409", "Link")</f>
        <v/>
      </c>
      <c r="I1267" t="inlineStr">
        <is>
          <t>Michael</t>
        </is>
      </c>
      <c r="J1267" s="6">
        <f>HYPERLINK("https://www.kleinanzeigen.de/s-bestandsliste.html?userId=32109882", "Link")</f>
        <v/>
      </c>
      <c r="K1267" s="7" t="n">
        <v>45549.57966435186</v>
      </c>
      <c r="L1267" s="3" t="inlineStr">
        <is>
          <t>9.11</t>
        </is>
      </c>
      <c r="M1267" t="inlineStr">
        <is>
          <t>München</t>
        </is>
      </c>
    </row>
    <row r="1268">
      <c r="A1268" t="inlineStr">
        <is>
          <t>Fanatic Snowboard mit Bindung, 156 cm</t>
        </is>
      </c>
      <c r="B1268" s="4" t="n">
        <v>25</v>
      </c>
      <c r="C1268" t="inlineStr"/>
      <c r="D1268" t="inlineStr">
        <is>
          <t>33829 Nordrhein-Westfalen - Borgholzhausen</t>
        </is>
      </c>
      <c r="E1268" s="5" t="n">
        <v>45544</v>
      </c>
      <c r="F1268" t="inlineStr">
        <is>
          <t>Sold</t>
        </is>
      </c>
      <c r="G1268" s="6">
        <f>HYPERLINK("https://www.kleinanzeigen.de/s-anzeige/fanatic-snowboard-mit-bindung-156-cm/2858233894-230-1594", "Link")</f>
        <v/>
      </c>
      <c r="H1268" s="6">
        <f>HYPERLINK("C:\Projects\Kleinanzeigen-Scraper\offer_images\2858233894", "Link")</f>
        <v/>
      </c>
      <c r="I1268" t="inlineStr">
        <is>
          <t>Heike</t>
        </is>
      </c>
      <c r="J1268" s="6">
        <f>HYPERLINK("https://www.kleinanzeigen.de/s-bestandsliste.html?userId=61508111", "Link")</f>
        <v/>
      </c>
      <c r="K1268" s="7" t="n">
        <v>45549.57966435186</v>
      </c>
      <c r="L1268" s="3" t="inlineStr">
        <is>
          <t>158.69</t>
        </is>
      </c>
      <c r="M1268" t="inlineStr">
        <is>
          <t>Köln</t>
        </is>
      </c>
    </row>
    <row r="1269">
      <c r="A1269" t="inlineStr">
        <is>
          <t>DUOTONE JUICE 14qm 2023</t>
        </is>
      </c>
      <c r="B1269" s="4" t="n">
        <v>949</v>
      </c>
      <c r="C1269" t="inlineStr">
        <is>
          <t>VB</t>
        </is>
      </c>
      <c r="D1269" t="inlineStr">
        <is>
          <t>45144 Essen-West - Frohnhausen</t>
        </is>
      </c>
      <c r="E1269" s="5" t="n">
        <v>45543</v>
      </c>
      <c r="F1269" t="inlineStr">
        <is>
          <t>Sold</t>
        </is>
      </c>
      <c r="G1269" s="6">
        <f>HYPERLINK("https://www.kleinanzeigen.de/s-anzeige/duotone-juice-14qm-2023/2857020088-230-2055", "Link")</f>
        <v/>
      </c>
      <c r="H1269" s="6">
        <f>HYPERLINK("C:\Projects\Kleinanzeigen-Scraper\offer_images\2857020088", "Link")</f>
        <v/>
      </c>
      <c r="I1269" t="inlineStr">
        <is>
          <t>GAndreas</t>
        </is>
      </c>
      <c r="J1269" s="6">
        <f>HYPERLINK("https://www.kleinanzeigen.de/s-bestandsliste.html?userId=10654951", "Link")</f>
        <v/>
      </c>
      <c r="K1269" s="7" t="n">
        <v>45549.5796412037</v>
      </c>
      <c r="L1269" s="3" t="inlineStr">
        <is>
          <t>57.04</t>
        </is>
      </c>
      <c r="M1269" t="inlineStr">
        <is>
          <t>Köln</t>
        </is>
      </c>
    </row>
    <row r="1270">
      <c r="A1270" t="inlineStr">
        <is>
          <t>Duotone Slick 2024 in 4.5m2</t>
        </is>
      </c>
      <c r="B1270" s="4" t="n">
        <v>629</v>
      </c>
      <c r="C1270" t="inlineStr">
        <is>
          <t>VB</t>
        </is>
      </c>
      <c r="D1270" t="inlineStr">
        <is>
          <t>46284 Nordrhein-Westfalen - Dorsten</t>
        </is>
      </c>
      <c r="E1270" s="5" t="n">
        <v>45546</v>
      </c>
      <c r="F1270" t="inlineStr">
        <is>
          <t>Sold</t>
        </is>
      </c>
      <c r="G1270" s="6">
        <f>HYPERLINK("https://www.kleinanzeigen.de/s-anzeige/duotone-slick-2024-in-4-5m2/2860007193-230-1759", "Link")</f>
        <v/>
      </c>
      <c r="H1270" s="6">
        <f>HYPERLINK("C:\Projects\Kleinanzeigen-Scraper\offer_images\2860007193", "Link")</f>
        <v/>
      </c>
      <c r="I1270" t="inlineStr">
        <is>
          <t>Thomas Libor</t>
        </is>
      </c>
      <c r="J1270" s="6">
        <f>HYPERLINK("https://www.kleinanzeigen.de/s-bestandsliste.html?userId=16939819", "Link")</f>
        <v/>
      </c>
      <c r="K1270" s="7" t="n">
        <v>45549.5796412037</v>
      </c>
      <c r="L1270" s="3" t="inlineStr">
        <is>
          <t>82.44</t>
        </is>
      </c>
      <c r="M1270" t="inlineStr">
        <is>
          <t>Köln</t>
        </is>
      </c>
    </row>
    <row r="1271">
      <c r="A1271" t="inlineStr">
        <is>
          <t>FANATIC Fly Air Stand Up Paddle Board Set 10'4"</t>
        </is>
      </c>
      <c r="B1271" s="4" t="n">
        <v>250</v>
      </c>
      <c r="C1271" t="inlineStr"/>
      <c r="D1271" t="inlineStr">
        <is>
          <t>31787 Niedersachsen - Hameln</t>
        </is>
      </c>
      <c r="E1271" s="5" t="n">
        <v>45543</v>
      </c>
      <c r="F1271" t="inlineStr">
        <is>
          <t>Sold</t>
        </is>
      </c>
      <c r="G1271" s="6">
        <f>HYPERLINK("https://www.kleinanzeigen.de/s-anzeige/fanatic-fly-air-stand-up-paddle-board-set-10-4-/2857593795-230-3064", "Link")</f>
        <v/>
      </c>
      <c r="H1271" s="6">
        <f>HYPERLINK("C:\Projects\Kleinanzeigen-Scraper\offer_images\2857593795", "Link")</f>
        <v/>
      </c>
      <c r="I1271" t="inlineStr">
        <is>
          <t>Alex</t>
        </is>
      </c>
      <c r="J1271" s="6">
        <f>HYPERLINK("https://www.kleinanzeigen.de/s-bestandsliste.html?userId=60980708", "Link")</f>
        <v/>
      </c>
      <c r="K1271" s="7" t="n">
        <v>45549.5796412037</v>
      </c>
      <c r="L1271" s="3" t="inlineStr">
        <is>
          <t>210.25</t>
        </is>
      </c>
      <c r="M1271" t="inlineStr">
        <is>
          <t>Köln</t>
        </is>
      </c>
    </row>
    <row r="1272">
      <c r="A1272" t="inlineStr">
        <is>
          <t>Neilpryde-Long John Women, Jenna, Langarm, Gr. 44, ungetragen</t>
        </is>
      </c>
      <c r="B1272" s="4" t="n">
        <v>65</v>
      </c>
      <c r="C1272" t="inlineStr">
        <is>
          <t>VB</t>
        </is>
      </c>
      <c r="D1272" t="inlineStr">
        <is>
          <t>33615 Bielefeld - Bielefeld (Innenstadt)</t>
        </is>
      </c>
      <c r="E1272" s="5" t="n">
        <v>45548</v>
      </c>
      <c r="F1272" t="inlineStr"/>
      <c r="G1272" s="6">
        <f>HYPERLINK("https://www.kleinanzeigen.de/s-anzeige/neilpryde-long-john-women-jenna-langarm-gr-44-ungetragen/2862307225-230-1058", "Link")</f>
        <v/>
      </c>
      <c r="H1272" s="6">
        <f>HYPERLINK("C:\Projects\Kleinanzeigen-Scraper\offer_images\2862307225", "Link")</f>
        <v/>
      </c>
      <c r="I1272" t="inlineStr">
        <is>
          <t>Carola Giller</t>
        </is>
      </c>
      <c r="J1272" s="6">
        <f>HYPERLINK("https://www.kleinanzeigen.de/s-bestandsliste.html?userId=7988525", "Link")</f>
        <v/>
      </c>
      <c r="K1272" s="7" t="n">
        <v>45549.5796412037</v>
      </c>
      <c r="L1272" s="3" t="inlineStr">
        <is>
          <t>162.21</t>
        </is>
      </c>
      <c r="M1272" t="inlineStr">
        <is>
          <t>Köln</t>
        </is>
      </c>
    </row>
    <row r="1273">
      <c r="A1273" t="inlineStr">
        <is>
          <t>Kitefoil Frontflügel Naish 810</t>
        </is>
      </c>
      <c r="B1273" s="4" t="n">
        <v>199</v>
      </c>
      <c r="C1273" t="inlineStr"/>
      <c r="D1273" t="inlineStr">
        <is>
          <t>20251 Hamburg-Nord - Hamburg Eppendorf</t>
        </is>
      </c>
      <c r="E1273" s="5" t="n">
        <v>45554</v>
      </c>
      <c r="F1273" t="inlineStr">
        <is>
          <t>Sold</t>
        </is>
      </c>
      <c r="G1273" s="6">
        <f>HYPERLINK("https://www.kleinanzeigen.de/s-anzeige/kitefoil-frontfluegel-naish-810/2847921017-230-9475", "Link")</f>
        <v/>
      </c>
      <c r="H1273" s="6">
        <f>HYPERLINK("C:\Projects\Kleinanzeigen-Scraper\offer_images\2847921017", "Link")</f>
        <v/>
      </c>
      <c r="I1273" t="inlineStr">
        <is>
          <t>Joe</t>
        </is>
      </c>
      <c r="J1273" s="6">
        <f>HYPERLINK("https://www.kleinanzeigen.de/s-bestandsliste.html?userId=2904230", "Link")</f>
        <v/>
      </c>
      <c r="K1273" s="7" t="n">
        <v>45549.5796412037</v>
      </c>
      <c r="L1273" s="3" t="inlineStr">
        <is>
          <t>360.06</t>
        </is>
      </c>
      <c r="M1273" t="inlineStr">
        <is>
          <t>Köln</t>
        </is>
      </c>
    </row>
    <row r="1274">
      <c r="A1274" t="inlineStr">
        <is>
          <t>Naish Pivot 2023 S26 7m 7qm. Garantie bis Juli 2025</t>
        </is>
      </c>
      <c r="B1274" s="4" t="n">
        <v>520</v>
      </c>
      <c r="C1274" t="inlineStr">
        <is>
          <t>VB</t>
        </is>
      </c>
      <c r="D1274" t="inlineStr">
        <is>
          <t>22049 Hamburg-Nord - Hamburg Dulsberg</t>
        </is>
      </c>
      <c r="E1274" s="5" t="n">
        <v>45534</v>
      </c>
      <c r="F1274" t="inlineStr">
        <is>
          <t>Sold</t>
        </is>
      </c>
      <c r="G1274" s="6">
        <f>HYPERLINK("https://www.kleinanzeigen.de/s-anzeige/naish-pivot-2023-s26-7m-7qm-garantie-bis-juli-2025/2850113978-230-16442", "Link")</f>
        <v/>
      </c>
      <c r="H1274" s="6">
        <f>HYPERLINK("C:\Projects\Kleinanzeigen-Scraper\offer_images\2850113978", "Link")</f>
        <v/>
      </c>
      <c r="I1274" t="inlineStr">
        <is>
          <t>Maikel B.</t>
        </is>
      </c>
      <c r="J1274" s="6">
        <f>HYPERLINK("https://www.kleinanzeigen.de/s-bestandsliste.html?userId=31955709", "Link")</f>
        <v/>
      </c>
      <c r="K1274" s="7" t="n">
        <v>45549.57962962963</v>
      </c>
      <c r="L1274" s="3" t="inlineStr">
        <is>
          <t>362.49</t>
        </is>
      </c>
      <c r="M1274" t="inlineStr">
        <is>
          <t>Köln</t>
        </is>
      </c>
    </row>
    <row r="1275">
      <c r="A1275" t="inlineStr">
        <is>
          <t>Kite Duotone Evo 8qm</t>
        </is>
      </c>
      <c r="B1275" s="4" t="n">
        <v>490</v>
      </c>
      <c r="C1275" t="inlineStr">
        <is>
          <t>VB</t>
        </is>
      </c>
      <c r="D1275" t="inlineStr">
        <is>
          <t>85375 Bayern - Neufahrn</t>
        </is>
      </c>
      <c r="E1275" s="5" t="n">
        <v>45546</v>
      </c>
      <c r="F1275" t="inlineStr">
        <is>
          <t>Sold</t>
        </is>
      </c>
      <c r="G1275" s="6">
        <f>HYPERLINK("https://www.kleinanzeigen.de/s-anzeige/kite-duotone-evo-8qm/2860007421-230-6620", "Link")</f>
        <v/>
      </c>
      <c r="H1275" s="6">
        <f>HYPERLINK("C:\Projects\Kleinanzeigen-Scraper\offer_images\2860007421", "Link")</f>
        <v/>
      </c>
      <c r="I1275" t="inlineStr">
        <is>
          <t>Hans</t>
        </is>
      </c>
      <c r="J1275" s="6">
        <f>HYPERLINK("https://www.kleinanzeigen.de/s-bestandsliste.html?userId=12205735", "Link")</f>
        <v/>
      </c>
      <c r="K1275" s="7" t="n">
        <v>45549.57961805556</v>
      </c>
      <c r="L1275" s="3" t="inlineStr">
        <is>
          <t>21.85</t>
        </is>
      </c>
      <c r="M1275" t="inlineStr">
        <is>
          <t>München</t>
        </is>
      </c>
    </row>
    <row r="1276">
      <c r="A1276" t="inlineStr">
        <is>
          <t>SUP Starboard iGO Tikhine Wave 11'2'' x 32'' Paddel + Pumpe</t>
        </is>
      </c>
      <c r="B1276" s="4" t="n">
        <v>399</v>
      </c>
      <c r="C1276" t="inlineStr">
        <is>
          <t>VB</t>
        </is>
      </c>
      <c r="D1276" t="inlineStr">
        <is>
          <t>94169 Bayern - Thurmansbang</t>
        </is>
      </c>
      <c r="E1276" s="5" t="n">
        <v>45525</v>
      </c>
      <c r="F1276" t="inlineStr">
        <is>
          <t>Sold</t>
        </is>
      </c>
      <c r="G1276" s="6">
        <f>HYPERLINK("https://www.kleinanzeigen.de/s-anzeige/sup-starboard-igo-tikhine-wave-11-2-x-32-paddel-pumpe/2842374361-230-5797", "Link")</f>
        <v/>
      </c>
      <c r="H1276" s="6">
        <f>HYPERLINK("C:\Projects\Kleinanzeigen-Scraper\offer_images\2842374361", "Link")</f>
        <v/>
      </c>
      <c r="I1276" t="inlineStr">
        <is>
          <t>Nico</t>
        </is>
      </c>
      <c r="J1276" s="6">
        <f>HYPERLINK("https://www.kleinanzeigen.de/s-bestandsliste.html?userId=34641889", "Link")</f>
        <v/>
      </c>
      <c r="K1276" s="7" t="n">
        <v>45549.57961805556</v>
      </c>
      <c r="L1276" s="3" t="inlineStr">
        <is>
          <t>146.37</t>
        </is>
      </c>
      <c r="M1276" t="inlineStr">
        <is>
          <t>München</t>
        </is>
      </c>
    </row>
    <row r="1277">
      <c r="A1277" t="inlineStr">
        <is>
          <t>Starboard us adapter</t>
        </is>
      </c>
      <c r="B1277" s="4" t="inlineStr"/>
      <c r="C1277" t="inlineStr">
        <is>
          <t>VB</t>
        </is>
      </c>
      <c r="D1277" t="inlineStr">
        <is>
          <t>47533 Nordrhein-Westfalen - Kleve</t>
        </is>
      </c>
      <c r="E1277" s="5" t="n">
        <v>45548</v>
      </c>
      <c r="F1277" t="inlineStr">
        <is>
          <t>Sold</t>
        </is>
      </c>
      <c r="G1277" s="6">
        <f>HYPERLINK("https://www.kleinanzeigen.de/s-anzeige/starboard-us-adapter/2861688594-230-1125", "Link")</f>
        <v/>
      </c>
      <c r="H1277" s="6">
        <f>HYPERLINK("C:\Projects\Kleinanzeigen-Scraper\offer_images\2861688594", "Link")</f>
        <v/>
      </c>
      <c r="I1277" t="inlineStr">
        <is>
          <t>Herbert Regulski</t>
        </is>
      </c>
      <c r="J1277" s="6">
        <f>HYPERLINK("https://www.kleinanzeigen.de/s-bestandsliste.html?userId=18686908", "Link")</f>
        <v/>
      </c>
      <c r="K1277" s="7" t="n">
        <v>45549.57961805556</v>
      </c>
      <c r="L1277" s="3" t="inlineStr">
        <is>
          <t>112.50</t>
        </is>
      </c>
      <c r="M1277" t="inlineStr">
        <is>
          <t>Köln</t>
        </is>
      </c>
    </row>
    <row r="1278">
      <c r="A1278" t="inlineStr">
        <is>
          <t>Kite North Reach (2021) in 7m</t>
        </is>
      </c>
      <c r="B1278" s="4" t="n">
        <v>499</v>
      </c>
      <c r="C1278" t="inlineStr"/>
      <c r="D1278" t="inlineStr">
        <is>
          <t>69115 Baden-Württemberg - Heidelberg</t>
        </is>
      </c>
      <c r="E1278" s="5" t="n">
        <v>45545</v>
      </c>
      <c r="F1278" t="inlineStr">
        <is>
          <t>Sold</t>
        </is>
      </c>
      <c r="G1278" s="6">
        <f>HYPERLINK("https://www.kleinanzeigen.de/s-anzeige/kite-north-reach-2021-in-7m/2859114107-230-9182", "Link")</f>
        <v/>
      </c>
      <c r="H1278" s="6">
        <f>HYPERLINK("C:\Projects\Kleinanzeigen-Scraper\offer_images\2859114107", "Link")</f>
        <v/>
      </c>
      <c r="I1278" t="inlineStr">
        <is>
          <t>Dominic</t>
        </is>
      </c>
      <c r="J1278" s="6">
        <f>HYPERLINK("https://www.kleinanzeigen.de/s-bestandsliste.html?userId=4284777", "Link")</f>
        <v/>
      </c>
      <c r="K1278" s="7" t="n">
        <v>45549.57960648148</v>
      </c>
      <c r="L1278" s="3" t="inlineStr">
        <is>
          <t>48.81</t>
        </is>
      </c>
      <c r="M1278" t="inlineStr">
        <is>
          <t>Karlsruhe</t>
        </is>
      </c>
    </row>
    <row r="1279">
      <c r="A1279" t="inlineStr">
        <is>
          <t>North Reach 2024 12.0 qm Kite (NK096)</t>
        </is>
      </c>
      <c r="B1279" s="4" t="n">
        <v>1.316</v>
      </c>
      <c r="C1279" t="inlineStr">
        <is>
          <t>VB</t>
        </is>
      </c>
      <c r="D1279" t="inlineStr">
        <is>
          <t>23774 Kreis Ostholstein - Heiligenhafen</t>
        </is>
      </c>
      <c r="E1279" s="5" t="n">
        <v>45545</v>
      </c>
      <c r="F1279" t="inlineStr">
        <is>
          <t>Sold</t>
        </is>
      </c>
      <c r="G1279" s="6">
        <f>HYPERLINK("https://www.kleinanzeigen.de/s-anzeige/north-reach-2024-12-0-qm-kite-nk096-/2810545109-230-427", "Link")</f>
        <v/>
      </c>
      <c r="H1279" s="6">
        <f>HYPERLINK("C:\Projects\Kleinanzeigen-Scraper\offer_images\2810545109", "Link")</f>
        <v/>
      </c>
      <c r="I1279" t="inlineStr">
        <is>
          <t>No user name</t>
        </is>
      </c>
      <c r="J1279" s="6">
        <f>HYPERLINK("https://www.kleinanzeigen.deNo user link", "Link")</f>
        <v/>
      </c>
      <c r="K1279" s="7" t="n">
        <v>45549.57960648148</v>
      </c>
      <c r="L1279" s="3" t="inlineStr">
        <is>
          <t>467.75</t>
        </is>
      </c>
      <c r="M1279" t="inlineStr">
        <is>
          <t>Köln</t>
        </is>
      </c>
    </row>
    <row r="1280">
      <c r="A1280" t="inlineStr">
        <is>
          <t>Neilpryde Neoprenanzug</t>
        </is>
      </c>
      <c r="B1280" s="4" t="n">
        <v>40</v>
      </c>
      <c r="C1280" t="inlineStr"/>
      <c r="D1280" t="inlineStr">
        <is>
          <t>25924 Nordfriesland - Emmelsbüll-Horsbüll</t>
        </is>
      </c>
      <c r="E1280" s="5" t="n">
        <v>45512</v>
      </c>
      <c r="F1280" t="inlineStr">
        <is>
          <t>Sold</t>
        </is>
      </c>
      <c r="G1280" s="6">
        <f>HYPERLINK("https://www.kleinanzeigen.de/s-anzeige/neilpryde-neoprenanzug/2831845489-230-25938", "Link")</f>
        <v/>
      </c>
      <c r="H1280" s="6">
        <f>HYPERLINK("C:\Projects\Kleinanzeigen-Scraper\offer_images\2831845489", "Link")</f>
        <v/>
      </c>
      <c r="I1280" t="inlineStr">
        <is>
          <t>IG</t>
        </is>
      </c>
      <c r="J1280" s="6">
        <f>HYPERLINK("https://www.kleinanzeigen.de/s-bestandsliste.html?userId=31419339", "Link")</f>
        <v/>
      </c>
      <c r="K1280" s="7" t="n">
        <v>45549.57958333333</v>
      </c>
      <c r="L1280" s="3" t="inlineStr">
        <is>
          <t>451.10</t>
        </is>
      </c>
      <c r="M1280" t="inlineStr">
        <is>
          <t>Köln</t>
        </is>
      </c>
    </row>
    <row r="1281">
      <c r="A1281" t="inlineStr">
        <is>
          <t>Neilpryde-Neoprenanzug, Gr. 106, Men, ungetragen, Wassersport</t>
        </is>
      </c>
      <c r="B1281" s="4" t="n">
        <v>60</v>
      </c>
      <c r="C1281" t="inlineStr">
        <is>
          <t>VB</t>
        </is>
      </c>
      <c r="D1281" t="inlineStr">
        <is>
          <t>33615 Bielefeld - Bielefeld (Innenstadt)</t>
        </is>
      </c>
      <c r="E1281" s="5" t="n">
        <v>45470</v>
      </c>
      <c r="F1281" t="inlineStr">
        <is>
          <t>Sold</t>
        </is>
      </c>
      <c r="G1281" s="6">
        <f>HYPERLINK("https://www.kleinanzeigen.de/s-anzeige/neilpryde-neoprenanzug-gr-106-men-ungetragen-wassersport/2798260336-230-1058", "Link")</f>
        <v/>
      </c>
      <c r="H1281" s="6">
        <f>HYPERLINK("C:\Projects\Kleinanzeigen-Scraper\offer_images\2798260336", "Link")</f>
        <v/>
      </c>
      <c r="I1281" t="inlineStr">
        <is>
          <t>Carola Giller</t>
        </is>
      </c>
      <c r="J1281" s="6">
        <f>HYPERLINK("https://www.kleinanzeigen.de/s-bestandsliste.html?userId=7988525", "Link")</f>
        <v/>
      </c>
      <c r="K1281" s="7" t="n">
        <v>45549.57958333333</v>
      </c>
      <c r="L1281" s="3" t="inlineStr">
        <is>
          <t>162.21</t>
        </is>
      </c>
      <c r="M1281" t="inlineStr">
        <is>
          <t>Köln</t>
        </is>
      </c>
    </row>
    <row r="1282">
      <c r="A1282" t="inlineStr">
        <is>
          <t>Goya Dürer Rembrandt Renoir Cézanne</t>
        </is>
      </c>
      <c r="B1282" s="4" t="n">
        <v>5</v>
      </c>
      <c r="C1282" t="inlineStr">
        <is>
          <t>VB</t>
        </is>
      </c>
      <c r="D1282" t="inlineStr">
        <is>
          <t>12207 Berlin - Lichterfelde</t>
        </is>
      </c>
      <c r="E1282" s="5" t="n">
        <v>45359</v>
      </c>
      <c r="F1282" t="inlineStr"/>
      <c r="G1282" s="6">
        <f>HYPERLINK("https://www.kleinanzeigen.de/s-anzeige/goya-duerer-rembrandt-renoir-c-zanne/2700280137-240-25900", "Link")</f>
        <v/>
      </c>
      <c r="H1282" s="6">
        <f>HYPERLINK("C:\Projects\Kleinanzeigen-Scraper\offer_images\2700280137", "Link")</f>
        <v/>
      </c>
      <c r="I1282" t="inlineStr">
        <is>
          <t>Minou</t>
        </is>
      </c>
      <c r="J1282" s="6">
        <f>HYPERLINK("https://www.kleinanzeigen.de/s-bestandsliste.html?userId=123146310", "Link")</f>
        <v/>
      </c>
      <c r="K1282" s="7" t="n">
        <v>45549.57958333333</v>
      </c>
      <c r="L1282" s="3" t="inlineStr">
        <is>
          <t>467.87</t>
        </is>
      </c>
      <c r="M1282" t="inlineStr">
        <is>
          <t>Köln</t>
        </is>
      </c>
    </row>
    <row r="1283">
      <c r="A1283" t="inlineStr">
        <is>
          <t>Duotone Dice 8qm 2020 weiß</t>
        </is>
      </c>
      <c r="B1283" s="4" t="n">
        <v>590</v>
      </c>
      <c r="C1283" t="inlineStr">
        <is>
          <t>VB</t>
        </is>
      </c>
      <c r="D1283" t="inlineStr">
        <is>
          <t>20354 Eimsbüttel - Hamburg Rotherbaum</t>
        </is>
      </c>
      <c r="E1283" s="5" t="n">
        <v>45541</v>
      </c>
      <c r="F1283" t="inlineStr">
        <is>
          <t>Sold</t>
        </is>
      </c>
      <c r="G1283" s="6">
        <f>HYPERLINK("https://www.kleinanzeigen.de/s-anzeige/duotone-dice-8qm-2020-weiss/2855795503-230-16456", "Link")</f>
        <v/>
      </c>
      <c r="H1283" s="6">
        <f>HYPERLINK("C:\Projects\Kleinanzeigen-Scraper\offer_images\2855795503", "Link")</f>
        <v/>
      </c>
      <c r="I1283" t="inlineStr">
        <is>
          <t>Maik</t>
        </is>
      </c>
      <c r="J1283" s="6">
        <f>HYPERLINK("https://www.kleinanzeigen.de/s-bestandsliste.html?userId=14283910", "Link")</f>
        <v/>
      </c>
      <c r="K1283" s="7" t="n">
        <v>45549.57958333333</v>
      </c>
      <c r="L1283" s="3" t="inlineStr">
        <is>
          <t>357.37</t>
        </is>
      </c>
      <c r="M1283" t="inlineStr">
        <is>
          <t>Köln</t>
        </is>
      </c>
    </row>
    <row r="1284">
      <c r="A1284" t="inlineStr">
        <is>
          <t>Duotone 2024 Rebel 13.0 qm</t>
        </is>
      </c>
      <c r="B1284" s="4" t="n">
        <v>1.7</v>
      </c>
      <c r="C1284" t="inlineStr"/>
      <c r="D1284" t="inlineStr">
        <is>
          <t>90451 Nürnberg (Mittelfr) - Aussenstadt-Sued</t>
        </is>
      </c>
      <c r="E1284" s="5" t="n">
        <v>45539</v>
      </c>
      <c r="F1284" t="inlineStr">
        <is>
          <t>Sold</t>
        </is>
      </c>
      <c r="G1284" s="6">
        <f>HYPERLINK("https://www.kleinanzeigen.de/s-anzeige/duotone-2024-rebel-13-0-qm/2853957237-230-6836", "Link")</f>
        <v/>
      </c>
      <c r="H1284" s="6">
        <f>HYPERLINK("C:\Projects\Kleinanzeigen-Scraper\offer_images\2853957237", "Link")</f>
        <v/>
      </c>
      <c r="I1284" t="inlineStr">
        <is>
          <t>No user name</t>
        </is>
      </c>
      <c r="J1284" s="6">
        <f>HYPERLINK("https://www.kleinanzeigen.deNo user link", "Link")</f>
        <v/>
      </c>
      <c r="K1284" s="7" t="n">
        <v>45549.57958333333</v>
      </c>
      <c r="L1284" s="3" t="inlineStr">
        <is>
          <t>145.92</t>
        </is>
      </c>
      <c r="M1284" t="inlineStr">
        <is>
          <t>München</t>
        </is>
      </c>
    </row>
    <row r="1285">
      <c r="A1285" t="inlineStr">
        <is>
          <t>Duotone Dlab Juice 13qm aus 2022 neuwertig mit Restgarantie</t>
        </is>
      </c>
      <c r="B1285" s="4" t="n">
        <v>1.79</v>
      </c>
      <c r="C1285" t="inlineStr">
        <is>
          <t>VB</t>
        </is>
      </c>
      <c r="D1285" t="inlineStr">
        <is>
          <t>80803 München - Schwabing-West</t>
        </is>
      </c>
      <c r="E1285" s="5" t="n">
        <v>45540</v>
      </c>
      <c r="F1285" t="inlineStr">
        <is>
          <t>Sold</t>
        </is>
      </c>
      <c r="G1285" s="6">
        <f>HYPERLINK("https://www.kleinanzeigen.de/s-anzeige/duotone-dlab-juice-13qm-aus-2022-neuwertig-mit-restgarantie/2855324346-230-6470", "Link")</f>
        <v/>
      </c>
      <c r="H1285" s="6">
        <f>HYPERLINK("C:\Projects\Kleinanzeigen-Scraper\offer_images\2855324346", "Link")</f>
        <v/>
      </c>
      <c r="I1285" t="inlineStr">
        <is>
          <t>Ann</t>
        </is>
      </c>
      <c r="J1285" s="6">
        <f>HYPERLINK("https://www.kleinanzeigen.de/s-bestandsliste.html?userId=22557634", "Link")</f>
        <v/>
      </c>
      <c r="K1285" s="7" t="n">
        <v>45549.57957175926</v>
      </c>
      <c r="L1285" s="3" t="inlineStr">
        <is>
          <t>3.05</t>
        </is>
      </c>
      <c r="M1285" t="inlineStr">
        <is>
          <t>München</t>
        </is>
      </c>
    </row>
    <row r="1286">
      <c r="A1286" t="inlineStr">
        <is>
          <t>Duotone 2023/24 Neo D/Lab 12 qm</t>
        </is>
      </c>
      <c r="B1286" s="4" t="n">
        <v>1.71</v>
      </c>
      <c r="C1286" t="inlineStr"/>
      <c r="D1286" t="inlineStr">
        <is>
          <t>90451 Nürnberg (Mittelfr) - Aussenstadt-Sued</t>
        </is>
      </c>
      <c r="E1286" s="5" t="n">
        <v>45540</v>
      </c>
      <c r="F1286" t="inlineStr">
        <is>
          <t>Sold</t>
        </is>
      </c>
      <c r="G1286" s="6">
        <f>HYPERLINK("https://www.kleinanzeigen.de/s-anzeige/duotone-2023-24-neo-d-lab-12-qm/2854723959-230-6836", "Link")</f>
        <v/>
      </c>
      <c r="H1286" s="6">
        <f>HYPERLINK("C:\Projects\Kleinanzeigen-Scraper\offer_images\2854723959", "Link")</f>
        <v/>
      </c>
      <c r="I1286" t="inlineStr">
        <is>
          <t>No user name</t>
        </is>
      </c>
      <c r="J1286" s="6">
        <f>HYPERLINK("https://www.kleinanzeigen.deNo user link", "Link")</f>
        <v/>
      </c>
      <c r="K1286" s="7" t="n">
        <v>45549.57957175926</v>
      </c>
      <c r="L1286" s="3" t="inlineStr">
        <is>
          <t>145.92</t>
        </is>
      </c>
      <c r="M1286" t="inlineStr">
        <is>
          <t>München</t>
        </is>
      </c>
    </row>
    <row r="1287">
      <c r="A1287" t="inlineStr">
        <is>
          <t>SUP Bamboo Carbon Paddel Fanatic</t>
        </is>
      </c>
      <c r="B1287" s="4" t="n">
        <v>140</v>
      </c>
      <c r="C1287" t="inlineStr"/>
      <c r="D1287" t="inlineStr">
        <is>
          <t>17033 Mecklenburg-Vorpommern - Neubrandenburg</t>
        </is>
      </c>
      <c r="E1287" s="5" t="n">
        <v>45535</v>
      </c>
      <c r="F1287" t="inlineStr">
        <is>
          <t>Sold</t>
        </is>
      </c>
      <c r="G1287" s="6">
        <f>HYPERLINK("https://www.kleinanzeigen.de/s-anzeige/sup-bamboo-carbon-paddel-fanatic/2850651385-230-253", "Link")</f>
        <v/>
      </c>
      <c r="H1287" s="6">
        <f>HYPERLINK("C:\Projects\Kleinanzeigen-Scraper\offer_images\2850651385", "Link")</f>
        <v/>
      </c>
      <c r="I1287" t="inlineStr">
        <is>
          <t>Florian</t>
        </is>
      </c>
      <c r="J1287" s="6">
        <f>HYPERLINK("https://www.kleinanzeigen.de/s-bestandsliste.html?userId=33935128", "Link")</f>
        <v/>
      </c>
      <c r="K1287" s="7" t="n">
        <v>45549.57957175926</v>
      </c>
      <c r="L1287" s="3" t="inlineStr">
        <is>
          <t>517.16</t>
        </is>
      </c>
      <c r="M1287" t="inlineStr">
        <is>
          <t>Köln</t>
        </is>
      </c>
    </row>
    <row r="1288">
      <c r="A1288" t="inlineStr">
        <is>
          <t>Neoprenanzug Shorty Overknee 3/2 mm Gr. S/48 Neilpryde</t>
        </is>
      </c>
      <c r="B1288" s="4" t="n">
        <v>38</v>
      </c>
      <c r="C1288" t="inlineStr">
        <is>
          <t>VB</t>
        </is>
      </c>
      <c r="D1288" t="inlineStr">
        <is>
          <t>22297 Hamburg-Nord - Hamburg Alsterdorf</t>
        </is>
      </c>
      <c r="E1288" s="5" t="n">
        <v>45519</v>
      </c>
      <c r="F1288" t="inlineStr">
        <is>
          <t>Sold</t>
        </is>
      </c>
      <c r="G1288" s="6">
        <f>HYPERLINK("https://www.kleinanzeigen.de/s-anzeige/neoprenanzug-shorty-overknee-3-2-mm-gr-s-48-neilpryde/2837235725-230-16438", "Link")</f>
        <v/>
      </c>
      <c r="H1288" s="6">
        <f>HYPERLINK("C:\Projects\Kleinanzeigen-Scraper\offer_images\2837235725", "Link")</f>
        <v/>
      </c>
      <c r="I1288" t="inlineStr">
        <is>
          <t>Meyn</t>
        </is>
      </c>
      <c r="J1288" s="6">
        <f>HYPERLINK("https://www.kleinanzeigen.de/s-bestandsliste.html?userId=6172126", "Link")</f>
        <v/>
      </c>
      <c r="K1288" s="7" t="n">
        <v>45549.57956018519</v>
      </c>
      <c r="L1288" s="3" t="inlineStr">
        <is>
          <t>362.41</t>
        </is>
      </c>
      <c r="M1288" t="inlineStr">
        <is>
          <t>Köln</t>
        </is>
      </c>
    </row>
    <row r="1289">
      <c r="A1289" t="inlineStr">
        <is>
          <t>Wingsurfen, NeilPryde Wing 3,5qm, Fly II neu 2024</t>
        </is>
      </c>
      <c r="B1289" s="4" t="n">
        <v>685</v>
      </c>
      <c r="C1289" t="inlineStr"/>
      <c r="D1289" t="inlineStr">
        <is>
          <t>81925 München - Bogenhausen</t>
        </is>
      </c>
      <c r="E1289" s="5" t="n">
        <v>45491</v>
      </c>
      <c r="F1289" t="inlineStr">
        <is>
          <t>Sold</t>
        </is>
      </c>
      <c r="G1289" s="6">
        <f>HYPERLINK("https://www.kleinanzeigen.de/s-anzeige/wingsurfen-neilpryde-wing-3-5qm-fly-ii-neu-2024/2815507806-230-6528", "Link")</f>
        <v/>
      </c>
      <c r="H1289" s="6">
        <f>HYPERLINK("C:\Projects\Kleinanzeigen-Scraper\offer_images\2815507806", "Link")</f>
        <v/>
      </c>
      <c r="I1289" t="inlineStr">
        <is>
          <t>Hanno</t>
        </is>
      </c>
      <c r="J1289" s="6">
        <f>HYPERLINK("https://www.kleinanzeigen.de/s-bestandsliste.html?userId=27475336", "Link")</f>
        <v/>
      </c>
      <c r="K1289" s="7" t="n">
        <v>45549.57954861111</v>
      </c>
      <c r="L1289" s="3" t="inlineStr">
        <is>
          <t>4.67</t>
        </is>
      </c>
      <c r="M1289" t="inlineStr">
        <is>
          <t>München</t>
        </is>
      </c>
    </row>
    <row r="1290">
      <c r="A1290" t="inlineStr">
        <is>
          <t>The North Face Shorts</t>
        </is>
      </c>
      <c r="B1290" s="4" t="n">
        <v>10</v>
      </c>
      <c r="C1290" t="inlineStr"/>
      <c r="D1290" t="inlineStr">
        <is>
          <t>86956 Bayern - Schongau</t>
        </is>
      </c>
      <c r="E1290" s="5" t="n">
        <v>45542</v>
      </c>
      <c r="F1290" t="inlineStr">
        <is>
          <t>Sold</t>
        </is>
      </c>
      <c r="G1290" s="6">
        <f>HYPERLINK("https://www.kleinanzeigen.de/s-anzeige/the-north-face-shorts/2856896895-230-5556", "Link")</f>
        <v/>
      </c>
      <c r="H1290" s="6">
        <f>HYPERLINK("C:\Projects\Kleinanzeigen-Scraper\offer_images\2856896895", "Link")</f>
        <v/>
      </c>
      <c r="I1290" t="inlineStr">
        <is>
          <t>Farnaz</t>
        </is>
      </c>
      <c r="J1290" s="6">
        <f>HYPERLINK("https://www.kleinanzeigen.de/s-bestandsliste.html?userId=41953050", "Link")</f>
        <v/>
      </c>
      <c r="K1290" s="7" t="n">
        <v>45549.57953703704</v>
      </c>
      <c r="L1290" s="3" t="inlineStr">
        <is>
          <t>61.89</t>
        </is>
      </c>
      <c r="M1290" t="inlineStr">
        <is>
          <t>München</t>
        </is>
      </c>
    </row>
    <row r="1291">
      <c r="A1291" t="inlineStr">
        <is>
          <t>North Reach 10qm</t>
        </is>
      </c>
      <c r="B1291" s="4" t="n">
        <v>460</v>
      </c>
      <c r="C1291" t="inlineStr"/>
      <c r="D1291" t="inlineStr">
        <is>
          <t>25899 Nordfriesland - Niebüll</t>
        </is>
      </c>
      <c r="E1291" s="5" t="n">
        <v>45547</v>
      </c>
      <c r="F1291" t="inlineStr">
        <is>
          <t>Sold</t>
        </is>
      </c>
      <c r="G1291" s="6">
        <f>HYPERLINK("https://www.kleinanzeigen.de/s-anzeige/north-reach-10qm/2847596703-230-12892", "Link")</f>
        <v/>
      </c>
      <c r="H1291" s="6">
        <f>HYPERLINK("C:\Projects\Kleinanzeigen-Scraper\offer_images\2847596703", "Link")</f>
        <v/>
      </c>
      <c r="I1291" t="inlineStr">
        <is>
          <t>Lea</t>
        </is>
      </c>
      <c r="J1291" s="6">
        <f>HYPERLINK("https://www.kleinanzeigen.de/s-bestandsliste.html?userId=27907981", "Link")</f>
        <v/>
      </c>
      <c r="K1291" s="7" t="n">
        <v>45549.57953703704</v>
      </c>
      <c r="L1291" s="3" t="inlineStr">
        <is>
          <t>441.17</t>
        </is>
      </c>
      <c r="M1291" t="inlineStr">
        <is>
          <t>Köln</t>
        </is>
      </c>
    </row>
    <row r="1292">
      <c r="A1292" t="inlineStr">
        <is>
          <t>Naish Wakeboard</t>
        </is>
      </c>
      <c r="B1292" s="4" t="n">
        <v>50</v>
      </c>
      <c r="C1292" t="inlineStr"/>
      <c r="D1292" t="inlineStr">
        <is>
          <t>25451 Kreis Pinneberg - Quickborn</t>
        </is>
      </c>
      <c r="E1292" s="5" t="n">
        <v>45532</v>
      </c>
      <c r="F1292" t="inlineStr"/>
      <c r="G1292" s="6">
        <f>HYPERLINK("https://www.kleinanzeigen.de/s-anzeige/naish-wakeboard/2848178851-230-784", "Link")</f>
        <v/>
      </c>
      <c r="H1292" s="6">
        <f>HYPERLINK("C:\Projects\Kleinanzeigen-Scraper\offer_images\2848178851", "Link")</f>
        <v/>
      </c>
      <c r="I1292" t="inlineStr">
        <is>
          <t>Jan Wend</t>
        </is>
      </c>
      <c r="J1292" s="6">
        <f>HYPERLINK("https://www.kleinanzeigen.de/s-bestandsliste.html?userId=124955159", "Link")</f>
        <v/>
      </c>
      <c r="K1292" s="7" t="n">
        <v>45549.57953703704</v>
      </c>
      <c r="L1292" s="3" t="inlineStr">
        <is>
          <t>369.27</t>
        </is>
      </c>
      <c r="M1292" t="inlineStr">
        <is>
          <t>Köln</t>
        </is>
      </c>
    </row>
    <row r="1293">
      <c r="A1293" t="inlineStr">
        <is>
          <t>Fanatic Carbon 35 Slim  Paddel Stand Up Paddle</t>
        </is>
      </c>
      <c r="B1293" s="4" t="n">
        <v>124</v>
      </c>
      <c r="C1293" t="inlineStr">
        <is>
          <t>VB</t>
        </is>
      </c>
      <c r="D1293" t="inlineStr">
        <is>
          <t>87439 Bayern - Kempten</t>
        </is>
      </c>
      <c r="E1293" s="5" t="n">
        <v>45508</v>
      </c>
      <c r="F1293" t="inlineStr">
        <is>
          <t>Sold</t>
        </is>
      </c>
      <c r="G1293" s="6">
        <f>HYPERLINK("https://www.kleinanzeigen.de/s-anzeige/fanatic-carbon-35-slim-paddel-stand-up-paddle/2829128292-230-7618", "Link")</f>
        <v/>
      </c>
      <c r="H1293" s="6">
        <f>HYPERLINK("C:\Projects\Kleinanzeigen-Scraper\offer_images\2829128292", "Link")</f>
        <v/>
      </c>
      <c r="I1293" t="inlineStr">
        <is>
          <t>Tom</t>
        </is>
      </c>
      <c r="J1293" s="6">
        <f>HYPERLINK("https://www.kleinanzeigen.de/s-bestandsliste.html?userId=7902054", "Link")</f>
        <v/>
      </c>
      <c r="K1293" s="7" t="n">
        <v>45549.57951388889</v>
      </c>
      <c r="L1293" s="3" t="inlineStr">
        <is>
          <t>105.97</t>
        </is>
      </c>
      <c r="M1293" t="inlineStr">
        <is>
          <t>München</t>
        </is>
      </c>
    </row>
    <row r="1294">
      <c r="A1294" t="inlineStr">
        <is>
          <t>Starboard Lima, Paddel, SUP</t>
        </is>
      </c>
      <c r="B1294" s="4" t="n">
        <v>310</v>
      </c>
      <c r="C1294" t="inlineStr">
        <is>
          <t>VB</t>
        </is>
      </c>
      <c r="D1294" t="inlineStr">
        <is>
          <t>42657 Nordrhein-Westfalen - Solingen</t>
        </is>
      </c>
      <c r="E1294" s="5" t="n">
        <v>45546</v>
      </c>
      <c r="F1294" t="inlineStr"/>
      <c r="G1294" s="6">
        <f>HYPERLINK("https://www.kleinanzeigen.de/s-anzeige/starboard-lima-paddel-sup/2860547726-230-2119", "Link")</f>
        <v/>
      </c>
      <c r="H1294" s="6">
        <f>HYPERLINK("C:\Projects\Kleinanzeigen-Scraper\offer_images\2860547726", "Link")</f>
        <v/>
      </c>
      <c r="I1294" t="inlineStr">
        <is>
          <t>SUPzarap</t>
        </is>
      </c>
      <c r="J1294" s="6">
        <f>HYPERLINK("https://www.kleinanzeigen.de/s-bestandsliste.html?userId=93406495", "Link")</f>
        <v/>
      </c>
      <c r="K1294" s="7" t="n">
        <v>45549.57951388889</v>
      </c>
      <c r="L1294" s="3" t="inlineStr">
        <is>
          <t>25.08</t>
        </is>
      </c>
      <c r="M1294" t="inlineStr">
        <is>
          <t>Köln</t>
        </is>
      </c>
    </row>
    <row r="1295">
      <c r="A1295" t="inlineStr">
        <is>
          <t>Fanatic/ Duotone Aero Glide 1085/200</t>
        </is>
      </c>
      <c r="B1295" s="4" t="n">
        <v>399</v>
      </c>
      <c r="C1295" t="inlineStr">
        <is>
          <t>VB</t>
        </is>
      </c>
      <c r="D1295" t="inlineStr">
        <is>
          <t>83395 Bayern - Freilassing</t>
        </is>
      </c>
      <c r="E1295" s="5" t="n">
        <v>45511</v>
      </c>
      <c r="F1295" t="inlineStr">
        <is>
          <t>Sold</t>
        </is>
      </c>
      <c r="G1295" s="6">
        <f>HYPERLINK("https://www.kleinanzeigen.de/s-anzeige/fanatic-duotone-aero-glide-1085-200/2830982760-230-6273", "Link")</f>
        <v/>
      </c>
      <c r="H1295" s="6">
        <f>HYPERLINK("C:\Projects\Kleinanzeigen-Scraper\offer_images\2830982760", "Link")</f>
        <v/>
      </c>
      <c r="I1295" t="inlineStr">
        <is>
          <t>Schmidt</t>
        </is>
      </c>
      <c r="J1295" s="6">
        <f>HYPERLINK("https://www.kleinanzeigen.de/s-bestandsliste.html?userId=21706648", "Link")</f>
        <v/>
      </c>
      <c r="K1295" s="7" t="n">
        <v>45549.57951388889</v>
      </c>
      <c r="L1295" s="3" t="inlineStr">
        <is>
          <t>108.85</t>
        </is>
      </c>
      <c r="M1295" t="inlineStr">
        <is>
          <t>München</t>
        </is>
      </c>
    </row>
    <row r="1296">
      <c r="A1296" t="inlineStr">
        <is>
          <t>2x Kite Naish Boxer 14 Raven 16</t>
        </is>
      </c>
      <c r="B1296" s="4" t="n">
        <v>500</v>
      </c>
      <c r="C1296" t="inlineStr"/>
      <c r="D1296" t="inlineStr">
        <is>
          <t>09123 Chemnitz - Einsiedel</t>
        </is>
      </c>
      <c r="E1296" s="5" t="n">
        <v>45511</v>
      </c>
      <c r="F1296" t="inlineStr">
        <is>
          <t>Sold</t>
        </is>
      </c>
      <c r="G1296" s="6">
        <f>HYPERLINK("https://www.kleinanzeigen.de/s-anzeige/2x-kite-naish-boxer-14-raven-16/2831416570-230-26087", "Link")</f>
        <v/>
      </c>
      <c r="H1296" s="6">
        <f>HYPERLINK("C:\Projects\Kleinanzeigen-Scraper\offer_images\2831416570", "Link")</f>
        <v/>
      </c>
      <c r="I1296" t="inlineStr">
        <is>
          <t>Janine</t>
        </is>
      </c>
      <c r="J1296" s="6">
        <f>HYPERLINK("https://www.kleinanzeigen.de/s-bestandsliste.html?userId=1155551", "Link")</f>
        <v/>
      </c>
      <c r="K1296" s="7" t="n">
        <v>45549.57951388889</v>
      </c>
      <c r="L1296" s="3" t="inlineStr">
        <is>
          <t>309.82</t>
        </is>
      </c>
      <c r="M1296" t="inlineStr">
        <is>
          <t>München</t>
        </is>
      </c>
    </row>
    <row r="1297">
      <c r="A1297" t="inlineStr">
        <is>
          <t>Profi Trampolin North Explorer 350 Oval</t>
        </is>
      </c>
      <c r="B1297" s="4" t="n">
        <v>300</v>
      </c>
      <c r="C1297" t="inlineStr"/>
      <c r="D1297" t="inlineStr">
        <is>
          <t>79256 Baden-Württemberg - Buchenbach</t>
        </is>
      </c>
      <c r="E1297" s="5" t="n">
        <v>45542</v>
      </c>
      <c r="F1297" t="inlineStr">
        <is>
          <t>Sold</t>
        </is>
      </c>
      <c r="G1297" s="6">
        <f>HYPERLINK("https://www.kleinanzeigen.de/s-anzeige/profi-trampolin-north-explorer-350-oval/2856281008-230-9379", "Link")</f>
        <v/>
      </c>
      <c r="H1297" s="6">
        <f>HYPERLINK("C:\Projects\Kleinanzeigen-Scraper\offer_images\2856281008", "Link")</f>
        <v/>
      </c>
      <c r="I1297" t="inlineStr">
        <is>
          <t>Stefan Schonhardt</t>
        </is>
      </c>
      <c r="J1297" s="6">
        <f>HYPERLINK("https://www.kleinanzeigen.de/s-bestandsliste.html?userId=27120675", "Link")</f>
        <v/>
      </c>
      <c r="K1297" s="7" t="n">
        <v>45549.57951388889</v>
      </c>
      <c r="L1297" s="3" t="inlineStr">
        <is>
          <t>29.11</t>
        </is>
      </c>
      <c r="M1297" t="inlineStr">
        <is>
          <t>Bonndorf</t>
        </is>
      </c>
    </row>
    <row r="1298">
      <c r="A1298" t="inlineStr">
        <is>
          <t>Naish Bolt Kite 7m inkl. Bar &amp; Tasche</t>
        </is>
      </c>
      <c r="B1298" s="4" t="n">
        <v>120</v>
      </c>
      <c r="C1298" t="inlineStr">
        <is>
          <t>VB</t>
        </is>
      </c>
      <c r="D1298" t="inlineStr">
        <is>
          <t>28844 Niedersachsen - Weyhe</t>
        </is>
      </c>
      <c r="E1298" s="5" t="n">
        <v>45536</v>
      </c>
      <c r="F1298" t="inlineStr">
        <is>
          <t>Sold</t>
        </is>
      </c>
      <c r="G1298" s="6">
        <f>HYPERLINK("https://www.kleinanzeigen.de/s-anzeige/naish-bolt-kite-7m-inkl-bar-tasche/2851702760-230-2721", "Link")</f>
        <v/>
      </c>
      <c r="H1298" s="6">
        <f>HYPERLINK("C:\Projects\Kleinanzeigen-Scraper\offer_images\2851702760", "Link")</f>
        <v/>
      </c>
      <c r="I1298" t="inlineStr">
        <is>
          <t>Sebastian</t>
        </is>
      </c>
      <c r="J1298" s="6">
        <f>HYPERLINK("https://www.kleinanzeigen.de/s-bestandsliste.html?userId=33414508", "Link")</f>
        <v/>
      </c>
      <c r="K1298" s="7" t="n">
        <v>45549.57951388889</v>
      </c>
      <c r="L1298" s="3" t="inlineStr">
        <is>
          <t>261.86</t>
        </is>
      </c>
      <c r="M1298" t="inlineStr">
        <is>
          <t>Köln</t>
        </is>
      </c>
    </row>
    <row r="1299">
      <c r="A1299" t="inlineStr">
        <is>
          <t>Kiteausrüstung Naish Roberto Ricci komplett</t>
        </is>
      </c>
      <c r="B1299" s="4" t="n">
        <v>450</v>
      </c>
      <c r="C1299" t="inlineStr">
        <is>
          <t>VB</t>
        </is>
      </c>
      <c r="D1299" t="inlineStr">
        <is>
          <t>82467 Bayern - Garmisch-Partenkirchen</t>
        </is>
      </c>
      <c r="E1299" s="5" t="n">
        <v>45519</v>
      </c>
      <c r="F1299" t="inlineStr">
        <is>
          <t>Sold</t>
        </is>
      </c>
      <c r="G1299" s="6">
        <f>HYPERLINK("https://www.kleinanzeigen.de/s-anzeige/kiteausruestung-naish-roberto-ricci-komplett/2837381185-230-6338", "Link")</f>
        <v/>
      </c>
      <c r="H1299" s="6">
        <f>HYPERLINK("C:\Projects\Kleinanzeigen-Scraper\offer_images\2837381185", "Link")</f>
        <v/>
      </c>
      <c r="I1299" t="inlineStr">
        <is>
          <t>SC</t>
        </is>
      </c>
      <c r="J1299" s="6">
        <f>HYPERLINK("https://www.kleinanzeigen.de/s-bestandsliste.html?userId=44457791", "Link")</f>
        <v/>
      </c>
      <c r="K1299" s="7" t="n">
        <v>45549.57951388889</v>
      </c>
      <c r="L1299" s="3" t="inlineStr">
        <is>
          <t>80.76</t>
        </is>
      </c>
      <c r="M1299" t="inlineStr">
        <is>
          <t>München</t>
        </is>
      </c>
    </row>
    <row r="1300">
      <c r="A1300" t="inlineStr">
        <is>
          <t>Kite: Naish Pivot S26 // 11qm *Sehr guter Zustand*</t>
        </is>
      </c>
      <c r="B1300" s="4" t="n">
        <v>735</v>
      </c>
      <c r="C1300" t="inlineStr">
        <is>
          <t>VB</t>
        </is>
      </c>
      <c r="D1300" t="inlineStr">
        <is>
          <t>45473 Nordrhein-Westfalen - Mülheim (Ruhr)</t>
        </is>
      </c>
      <c r="E1300" s="5" t="n">
        <v>45551</v>
      </c>
      <c r="F1300" t="inlineStr">
        <is>
          <t>Sold</t>
        </is>
      </c>
      <c r="G1300" s="6">
        <f>HYPERLINK("https://www.kleinanzeigen.de/s-anzeige/kite-naish-pivot-s26-11qm-sehr-guter-zustand-/2794363725-230-2062", "Link")</f>
        <v/>
      </c>
      <c r="H1300" s="6">
        <f>HYPERLINK("C:\Projects\Kleinanzeigen-Scraper\offer_images\2794363725", "Link")</f>
        <v/>
      </c>
      <c r="I1300" t="inlineStr">
        <is>
          <t>Simon J.</t>
        </is>
      </c>
      <c r="J1300" s="6">
        <f>HYPERLINK("https://www.kleinanzeigen.de/s-bestandsliste.html?userId=24665216", "Link")</f>
        <v/>
      </c>
      <c r="K1300" s="7" t="n">
        <v>45549.57949074074</v>
      </c>
      <c r="L1300" s="3" t="inlineStr">
        <is>
          <t>56.15</t>
        </is>
      </c>
      <c r="M1300" t="inlineStr">
        <is>
          <t>Köln</t>
        </is>
      </c>
    </row>
    <row r="1301">
      <c r="A1301" t="inlineStr">
        <is>
          <t>North Reach 9m</t>
        </is>
      </c>
      <c r="B1301" s="4" t="n">
        <v>430</v>
      </c>
      <c r="C1301" t="inlineStr"/>
      <c r="D1301" t="inlineStr">
        <is>
          <t>10117 Berlin - Mitte</t>
        </is>
      </c>
      <c r="E1301" s="5" t="n">
        <v>45542</v>
      </c>
      <c r="F1301" t="inlineStr">
        <is>
          <t>Sold</t>
        </is>
      </c>
      <c r="G1301" s="6">
        <f>HYPERLINK("https://www.kleinanzeigen.de/s-anzeige/north-reach-9m/2856421029-230-3520", "Link")</f>
        <v/>
      </c>
      <c r="H1301" s="6">
        <f>HYPERLINK("C:\Projects\Kleinanzeigen-Scraper\offer_images\2856421029", "Link")</f>
        <v/>
      </c>
      <c r="I1301" t="inlineStr">
        <is>
          <t>Matthias</t>
        </is>
      </c>
      <c r="J1301" s="6">
        <f>HYPERLINK("https://www.kleinanzeigen.de/s-bestandsliste.html?userId=27370782", "Link")</f>
        <v/>
      </c>
      <c r="K1301" s="7" t="n">
        <v>45549.57949074074</v>
      </c>
      <c r="L1301" s="3" t="inlineStr">
        <is>
          <t>476.16</t>
        </is>
      </c>
      <c r="M1301" t="inlineStr">
        <is>
          <t>Köln</t>
        </is>
      </c>
    </row>
    <row r="1302">
      <c r="A1302" t="inlineStr">
        <is>
          <t>North (Duotone) Vegas inkl. Bag, Hadlow edition Kite 6 qm (m²)</t>
        </is>
      </c>
      <c r="B1302" s="4" t="n">
        <v>400</v>
      </c>
      <c r="C1302" t="inlineStr"/>
      <c r="D1302" t="inlineStr">
        <is>
          <t>13507 Berlin - Reinickendorf</t>
        </is>
      </c>
      <c r="E1302" s="5" t="n">
        <v>45540</v>
      </c>
      <c r="F1302" t="inlineStr">
        <is>
          <t>Sold</t>
        </is>
      </c>
      <c r="G1302" s="6">
        <f>HYPERLINK("https://www.kleinanzeigen.de/s-anzeige/north-duotone-vegas-inkl-bag-hadlow-edition-kite-6-qm-m-/2855313591-230-3453", "Link")</f>
        <v/>
      </c>
      <c r="H1302" s="6">
        <f>HYPERLINK("C:\Projects\Kleinanzeigen-Scraper\offer_images\2855313591", "Link")</f>
        <v/>
      </c>
      <c r="I1302" t="inlineStr">
        <is>
          <t>Marc</t>
        </is>
      </c>
      <c r="J1302" s="6">
        <f>HYPERLINK("https://www.kleinanzeigen.de/s-bestandsliste.html?userId=52554448", "Link")</f>
        <v/>
      </c>
      <c r="K1302" s="7" t="n">
        <v>45549.57949074074</v>
      </c>
      <c r="L1302" s="3" t="inlineStr">
        <is>
          <t>471.11</t>
        </is>
      </c>
      <c r="M1302" t="inlineStr">
        <is>
          <t>Köln</t>
        </is>
      </c>
    </row>
    <row r="1303">
      <c r="A1303" t="inlineStr">
        <is>
          <t>Duotone 2023/24 Neo D/Lab 8 qm</t>
        </is>
      </c>
      <c r="B1303" s="4" t="n">
        <v>1.49</v>
      </c>
      <c r="C1303" t="inlineStr"/>
      <c r="D1303" t="inlineStr">
        <is>
          <t>90451 Nürnberg (Mittelfr) - Aussenstadt-Sued</t>
        </is>
      </c>
      <c r="E1303" s="5" t="n">
        <v>45540</v>
      </c>
      <c r="F1303" t="inlineStr">
        <is>
          <t>Sold</t>
        </is>
      </c>
      <c r="G1303" s="6">
        <f>HYPERLINK("https://www.kleinanzeigen.de/s-anzeige/duotone-2023-24-neo-d-lab-8-qm/2854720739-230-6836", "Link")</f>
        <v/>
      </c>
      <c r="H1303" s="6">
        <f>HYPERLINK("C:\Projects\Kleinanzeigen-Scraper\offer_images\2854720739", "Link")</f>
        <v/>
      </c>
      <c r="I1303" t="inlineStr">
        <is>
          <t>No user name</t>
        </is>
      </c>
      <c r="J1303" s="6">
        <f>HYPERLINK("https://www.kleinanzeigen.deNo user link", "Link")</f>
        <v/>
      </c>
      <c r="K1303" s="7" t="n">
        <v>45549.57949074074</v>
      </c>
      <c r="L1303" s="3" t="inlineStr">
        <is>
          <t>145.92</t>
        </is>
      </c>
      <c r="M1303" t="inlineStr">
        <is>
          <t>München</t>
        </is>
      </c>
    </row>
    <row r="1304">
      <c r="A1304" t="inlineStr">
        <is>
          <t>Neilpryde Foiltasche Foilbag</t>
        </is>
      </c>
      <c r="B1304" s="4" t="n">
        <v>29</v>
      </c>
      <c r="C1304" t="inlineStr"/>
      <c r="D1304" t="inlineStr">
        <is>
          <t>82211 Bayern - Herrsching</t>
        </is>
      </c>
      <c r="E1304" s="5" t="n">
        <v>45489</v>
      </c>
      <c r="F1304" t="inlineStr"/>
      <c r="G1304" s="6">
        <f>HYPERLINK("https://www.kleinanzeigen.de/s-anzeige/neilpryde-foiltasche-foilbag/2814161777-230-5520", "Link")</f>
        <v/>
      </c>
      <c r="H1304" s="6">
        <f>HYPERLINK("C:\Projects\Kleinanzeigen-Scraper\offer_images\2814161777", "Link")</f>
        <v/>
      </c>
      <c r="I1304" t="inlineStr">
        <is>
          <t>Florian</t>
        </is>
      </c>
      <c r="J1304" s="6">
        <f>HYPERLINK("https://www.kleinanzeigen.de/s-bestandsliste.html?userId=30482872", "Link")</f>
        <v/>
      </c>
      <c r="K1304" s="7" t="n">
        <v>45549.57946759259</v>
      </c>
      <c r="L1304" s="3" t="inlineStr">
        <is>
          <t>32.73</t>
        </is>
      </c>
      <c r="M1304" t="inlineStr">
        <is>
          <t>München</t>
        </is>
      </c>
    </row>
    <row r="1305">
      <c r="A1305" t="inlineStr">
        <is>
          <t>Surfboard Stuhl Tabou Twister oder als Deko</t>
        </is>
      </c>
      <c r="B1305" s="4" t="n">
        <v>250</v>
      </c>
      <c r="C1305" t="inlineStr"/>
      <c r="D1305" t="inlineStr">
        <is>
          <t>25336 Schleswig-Holstein - Elmshorn</t>
        </is>
      </c>
      <c r="E1305" s="5" t="n">
        <v>45537</v>
      </c>
      <c r="F1305" t="inlineStr">
        <is>
          <t>Sold</t>
        </is>
      </c>
      <c r="G1305" s="6">
        <f>HYPERLINK("https://www.kleinanzeigen.de/s-anzeige/surfboard-stuhl-tabou-twister-oder-als-deko/2852520358-230-19115", "Link")</f>
        <v/>
      </c>
      <c r="H1305" s="6">
        <f>HYPERLINK("C:\Projects\Kleinanzeigen-Scraper\offer_images\2852520358", "Link")</f>
        <v/>
      </c>
      <c r="I1305" t="inlineStr">
        <is>
          <t>Huesi</t>
        </is>
      </c>
      <c r="J1305" s="6">
        <f>HYPERLINK("https://www.kleinanzeigen.de/s-bestandsliste.html?userId=8084035", "Link")</f>
        <v/>
      </c>
      <c r="K1305" s="7" t="n">
        <v>45549.57946759259</v>
      </c>
      <c r="L1305" s="3" t="inlineStr">
        <is>
          <t>361.17</t>
        </is>
      </c>
      <c r="M1305" t="inlineStr">
        <is>
          <t>Köln</t>
        </is>
      </c>
    </row>
    <row r="1306">
      <c r="A1306" t="inlineStr">
        <is>
          <t>Wing Duotone Unit 2024 5.5qm Top Zustand!</t>
        </is>
      </c>
      <c r="B1306" s="4" t="n">
        <v>699</v>
      </c>
      <c r="C1306" t="inlineStr">
        <is>
          <t>VB</t>
        </is>
      </c>
      <c r="D1306" t="inlineStr">
        <is>
          <t>83707 Bayern - Ringsee</t>
        </is>
      </c>
      <c r="E1306" s="5" t="n">
        <v>45548</v>
      </c>
      <c r="F1306" t="inlineStr">
        <is>
          <t>Sold</t>
        </is>
      </c>
      <c r="G1306" s="6">
        <f>HYPERLINK("https://www.kleinanzeigen.de/s-anzeige/wing-duotone-unit-2024-5-5qm-top-zustand-/2862345843-230-5887", "Link")</f>
        <v/>
      </c>
      <c r="H1306" s="6">
        <f>HYPERLINK("C:\Projects\Kleinanzeigen-Scraper\offer_images\2862345843", "Link")</f>
        <v/>
      </c>
      <c r="I1306" t="inlineStr">
        <is>
          <t>Steve</t>
        </is>
      </c>
      <c r="J1306" s="6">
        <f>HYPERLINK("https://www.kleinanzeigen.de/s-bestandsliste.html?userId=15977222", "Link")</f>
        <v/>
      </c>
      <c r="K1306" s="7" t="n">
        <v>45549.57946759259</v>
      </c>
      <c r="L1306" s="3" t="inlineStr">
        <is>
          <t>47.92</t>
        </is>
      </c>
      <c r="M1306" t="inlineStr">
        <is>
          <t>München</t>
        </is>
      </c>
    </row>
    <row r="1307">
      <c r="A1307" t="inlineStr">
        <is>
          <t>Francisco Goya Lebenswerk &amp; 12 Bilder Collage Seemann Verlag DDR</t>
        </is>
      </c>
      <c r="B1307" s="4" t="n">
        <v>6</v>
      </c>
      <c r="C1307" t="inlineStr"/>
      <c r="D1307" t="inlineStr">
        <is>
          <t>99734 Thüringen - Nordhausen</t>
        </is>
      </c>
      <c r="E1307" s="5" t="n">
        <v>44643</v>
      </c>
      <c r="F1307" t="inlineStr"/>
      <c r="G1307" s="6">
        <f>HYPERLINK("https://www.kleinanzeigen.de/s-anzeige/francisco-goya-lebenswerk-12-bilder-collage-seemann-verlag-ddr/2058100987-240-3582", "Link")</f>
        <v/>
      </c>
      <c r="H1307" s="6">
        <f>HYPERLINK("C:\Projects\Kleinanzeigen-Scraper\offer_images\2058100987", "Link")</f>
        <v/>
      </c>
      <c r="I1307" t="inlineStr">
        <is>
          <t>Nordhausen</t>
        </is>
      </c>
      <c r="J1307" s="6">
        <f>HYPERLINK("https://www.kleinanzeigen.de/s-bestandsliste.html?userId=23235974", "Link")</f>
        <v/>
      </c>
      <c r="K1307" s="7" t="n">
        <v>45549.57945601852</v>
      </c>
      <c r="L1307" s="3" t="inlineStr">
        <is>
          <t>277.51</t>
        </is>
      </c>
      <c r="M1307" t="inlineStr">
        <is>
          <t>Köln</t>
        </is>
      </c>
    </row>
    <row r="1308">
      <c r="A1308" t="inlineStr">
        <is>
          <t>North Reach 9er 2024</t>
        </is>
      </c>
      <c r="B1308" s="4" t="n">
        <v>849</v>
      </c>
      <c r="C1308" t="inlineStr"/>
      <c r="D1308" t="inlineStr">
        <is>
          <t>83317 Bayern - Teisendorf</t>
        </is>
      </c>
      <c r="E1308" s="5" t="n">
        <v>45537</v>
      </c>
      <c r="F1308" t="inlineStr">
        <is>
          <t>Sold</t>
        </is>
      </c>
      <c r="G1308" s="6">
        <f>HYPERLINK("https://www.kleinanzeigen.de/s-anzeige/north-reach-9er-2024/2852382895-230-6269", "Link")</f>
        <v/>
      </c>
      <c r="H1308" s="6">
        <f>HYPERLINK("C:\Projects\Kleinanzeigen-Scraper\offer_images\2852382895", "Link")</f>
        <v/>
      </c>
      <c r="I1308" t="inlineStr">
        <is>
          <t>Peter</t>
        </is>
      </c>
      <c r="J1308" s="6">
        <f>HYPERLINK("https://www.kleinanzeigen.de/s-bestandsliste.html?userId=44720703", "Link")</f>
        <v/>
      </c>
      <c r="K1308" s="7" t="n">
        <v>45549.57944444445</v>
      </c>
      <c r="L1308" s="3" t="inlineStr">
        <is>
          <t>98.85</t>
        </is>
      </c>
      <c r="M1308" t="inlineStr">
        <is>
          <t>München</t>
        </is>
      </c>
    </row>
    <row r="1309">
      <c r="A1309" t="inlineStr">
        <is>
          <t>Kite Naish Ride 10m² 2013, Bar &amp; Bag - stark gebraucht</t>
        </is>
      </c>
      <c r="B1309" s="4" t="n">
        <v>100</v>
      </c>
      <c r="C1309" t="inlineStr">
        <is>
          <t>VB</t>
        </is>
      </c>
      <c r="D1309" t="inlineStr">
        <is>
          <t>76199 Baden-Württemberg - Karlsruhe</t>
        </is>
      </c>
      <c r="E1309" s="5" t="n">
        <v>45529</v>
      </c>
      <c r="F1309" t="inlineStr">
        <is>
          <t>Sold</t>
        </is>
      </c>
      <c r="G1309" s="6">
        <f>HYPERLINK("https://www.kleinanzeigen.de/s-anzeige/kite-naish-ride-10m-2013-bar-bag-stark-gebraucht/2845595586-230-9195", "Link")</f>
        <v/>
      </c>
      <c r="H1309" s="6">
        <f>HYPERLINK("C:\Projects\Kleinanzeigen-Scraper\offer_images\2845595586", "Link")</f>
        <v/>
      </c>
      <c r="I1309" t="inlineStr">
        <is>
          <t>Sebastian Richter</t>
        </is>
      </c>
      <c r="J1309" s="6">
        <f>HYPERLINK("https://www.kleinanzeigen.de/s-bestandsliste.html?userId=36542319", "Link")</f>
        <v/>
      </c>
      <c r="K1309" s="7" t="n">
        <v>45549.57943287037</v>
      </c>
      <c r="L1309" s="3" t="inlineStr">
        <is>
          <t>3.87</t>
        </is>
      </c>
      <c r="M1309" t="inlineStr">
        <is>
          <t>Karlsruhe</t>
        </is>
      </c>
    </row>
    <row r="1310">
      <c r="A1310" t="inlineStr">
        <is>
          <t>Kitesurf, Kiteschirm North Dice 10 m</t>
        </is>
      </c>
      <c r="B1310" s="4" t="n">
        <v>300</v>
      </c>
      <c r="C1310" t="inlineStr"/>
      <c r="D1310" t="inlineStr">
        <is>
          <t>71549 Baden-Württemberg - Auenwald</t>
        </is>
      </c>
      <c r="E1310" s="5" t="n">
        <v>45548</v>
      </c>
      <c r="F1310" t="inlineStr">
        <is>
          <t>Sold</t>
        </is>
      </c>
      <c r="G1310" s="6">
        <f>HYPERLINK("https://www.kleinanzeigen.de/s-anzeige/kitesurf-kiteschirm-north-dice-10-m/2861971848-230-20234", "Link")</f>
        <v/>
      </c>
      <c r="H1310" s="6">
        <f>HYPERLINK("C:\Projects\Kleinanzeigen-Scraper\offer_images\2861971848", "Link")</f>
        <v/>
      </c>
      <c r="I1310" t="inlineStr">
        <is>
          <t>Sam</t>
        </is>
      </c>
      <c r="J1310" s="6">
        <f>HYPERLINK("https://www.kleinanzeigen.de/s-bestandsliste.html?userId=91227219", "Link")</f>
        <v/>
      </c>
      <c r="K1310" s="7" t="n">
        <v>45549.57940972222</v>
      </c>
      <c r="L1310" s="3" t="inlineStr">
        <is>
          <t>49.16</t>
        </is>
      </c>
      <c r="M1310" t="inlineStr">
        <is>
          <t>Böblingen</t>
        </is>
      </c>
    </row>
    <row r="1311">
      <c r="A1311" t="inlineStr">
        <is>
          <t>Duotone Wingfoil Set Aero Glide 1305/200 von 2024</t>
        </is>
      </c>
      <c r="B1311" s="4" t="n">
        <v>550</v>
      </c>
      <c r="C1311" t="inlineStr">
        <is>
          <t>VB</t>
        </is>
      </c>
      <c r="D1311" t="inlineStr">
        <is>
          <t>83670 Bayern - Bad Heilbrunn</t>
        </is>
      </c>
      <c r="E1311" s="5" t="n">
        <v>45542</v>
      </c>
      <c r="F1311" t="inlineStr">
        <is>
          <t>Sold</t>
        </is>
      </c>
      <c r="G1311" s="6">
        <f>HYPERLINK("https://www.kleinanzeigen.de/s-anzeige/duotone-wingfoil-set-aero-glide-1305-200-von-2024/2856315111-230-5604", "Link")</f>
        <v/>
      </c>
      <c r="H1311" s="6">
        <f>HYPERLINK("C:\Projects\Kleinanzeigen-Scraper\offer_images\2856315111", "Link")</f>
        <v/>
      </c>
      <c r="I1311" t="inlineStr">
        <is>
          <t>Klaus</t>
        </is>
      </c>
      <c r="J1311" s="6">
        <f>HYPERLINK("https://www.kleinanzeigen.de/s-bestandsliste.html?userId=14213171", "Link")</f>
        <v/>
      </c>
      <c r="K1311" s="7" t="n">
        <v>45549.57940972222</v>
      </c>
      <c r="L1311" s="3" t="inlineStr">
        <is>
          <t>43.18</t>
        </is>
      </c>
      <c r="M1311" t="inlineStr">
        <is>
          <t>München</t>
        </is>
      </c>
    </row>
    <row r="1312">
      <c r="A1312" t="inlineStr">
        <is>
          <t>JP Australia Windsurf Flagge Team Banner Fahne Surf Deko Bulli</t>
        </is>
      </c>
      <c r="B1312" s="4" t="n">
        <v>150</v>
      </c>
      <c r="C1312" t="inlineStr"/>
      <c r="D1312" t="inlineStr">
        <is>
          <t>24105 Schleswig-Holstein - Kiel</t>
        </is>
      </c>
      <c r="E1312" s="5" t="n">
        <v>45505</v>
      </c>
      <c r="F1312" t="inlineStr">
        <is>
          <t>Sold</t>
        </is>
      </c>
      <c r="G1312" s="6">
        <f>HYPERLINK("https://www.kleinanzeigen.de/s-anzeige/jp-australia-windsurf-flagge-team-banner-fahne-surf-deko-bulli/2826767137-230-708", "Link")</f>
        <v/>
      </c>
      <c r="H1312" s="6">
        <f>HYPERLINK("C:\Projects\Kleinanzeigen-Scraper\offer_images\2826767137", "Link")</f>
        <v/>
      </c>
      <c r="I1312" t="inlineStr">
        <is>
          <t>Jan</t>
        </is>
      </c>
      <c r="J1312" s="6">
        <f>HYPERLINK("https://www.kleinanzeigen.de/s-bestandsliste.html?userId=9631650", "Link")</f>
        <v/>
      </c>
      <c r="K1312" s="7" t="n">
        <v>45549.57938657407</v>
      </c>
      <c r="L1312" s="3" t="inlineStr">
        <is>
          <t>435.05</t>
        </is>
      </c>
      <c r="M1312" t="inlineStr">
        <is>
          <t>Köln</t>
        </is>
      </c>
    </row>
    <row r="1313">
      <c r="A1313" t="inlineStr">
        <is>
          <t>Kite Naish Park 9m2</t>
        </is>
      </c>
      <c r="B1313" s="4" t="n">
        <v>180</v>
      </c>
      <c r="C1313" t="inlineStr"/>
      <c r="D1313" t="inlineStr">
        <is>
          <t>01744 Sachsen - Dippoldiswalde</t>
        </is>
      </c>
      <c r="E1313" s="5" t="n">
        <v>45501</v>
      </c>
      <c r="F1313" t="inlineStr">
        <is>
          <t>Sold</t>
        </is>
      </c>
      <c r="G1313" s="6">
        <f>HYPERLINK("https://www.kleinanzeigen.de/s-anzeige/kite-naish-park-9m2/2823762753-230-4005", "Link")</f>
        <v/>
      </c>
      <c r="H1313" s="6">
        <f>HYPERLINK("C:\Projects\Kleinanzeigen-Scraper\offer_images\2823762753", "Link")</f>
        <v/>
      </c>
      <c r="I1313" t="inlineStr">
        <is>
          <t>Steffen Oertel</t>
        </is>
      </c>
      <c r="J1313" s="6">
        <f>HYPERLINK("https://www.kleinanzeigen.de/s-bestandsliste.html?userId=20884111", "Link")</f>
        <v/>
      </c>
      <c r="K1313" s="7" t="n">
        <v>45549.57938657407</v>
      </c>
      <c r="L1313" s="3" t="inlineStr">
        <is>
          <t>338.84</t>
        </is>
      </c>
      <c r="M1313" t="inlineStr">
        <is>
          <t>München</t>
        </is>
      </c>
    </row>
    <row r="1314">
      <c r="A1314" t="inlineStr">
        <is>
          <t>Simms Fischhandschuh li, fingerlos m. Fäustlkappe</t>
        </is>
      </c>
      <c r="B1314" s="4" t="n">
        <v>15</v>
      </c>
      <c r="C1314" t="inlineStr"/>
      <c r="D1314" t="inlineStr">
        <is>
          <t>64732 Hessen - Bad König</t>
        </is>
      </c>
      <c r="E1314" s="5" t="n">
        <v>45359</v>
      </c>
      <c r="F1314" t="inlineStr"/>
      <c r="G1314" s="6">
        <f>HYPERLINK("https://www.kleinanzeigen.de/s-anzeige/simms-fischhandschuh-li-fingerlos-m-faeustlkappe/2700213167-230-4488", "Link")</f>
        <v/>
      </c>
      <c r="H1314" s="6">
        <f>HYPERLINK("C:\Projects\Kleinanzeigen-Scraper\offer_images\2700213167", "Link")</f>
        <v/>
      </c>
      <c r="I1314" t="inlineStr">
        <is>
          <t>Bernd</t>
        </is>
      </c>
      <c r="J1314" s="6">
        <f>HYPERLINK("https://www.kleinanzeigen.de/s-bestandsliste.html?userId=73176157", "Link")</f>
        <v/>
      </c>
      <c r="K1314" s="7" t="n">
        <v>45549.57938657407</v>
      </c>
      <c r="L1314" s="3" t="inlineStr">
        <is>
          <t>93.04</t>
        </is>
      </c>
      <c r="M1314" t="inlineStr">
        <is>
          <t>Karlsruhe</t>
        </is>
      </c>
    </row>
    <row r="1315">
      <c r="A1315" t="inlineStr">
        <is>
          <t>RRD Kite Type 7 18 qm</t>
        </is>
      </c>
      <c r="B1315" s="4" t="n">
        <v>180</v>
      </c>
      <c r="C1315" t="inlineStr">
        <is>
          <t>VB</t>
        </is>
      </c>
      <c r="D1315" t="inlineStr">
        <is>
          <t>81825 München - Trudering-Riem</t>
        </is>
      </c>
      <c r="E1315" s="5" t="n">
        <v>45493</v>
      </c>
      <c r="F1315" t="inlineStr">
        <is>
          <t>Sold</t>
        </is>
      </c>
      <c r="G1315" s="6">
        <f>HYPERLINK("https://www.kleinanzeigen.de/s-anzeige/rrd-kite-type-7-18-qm/2800149251-230-16390", "Link")</f>
        <v/>
      </c>
      <c r="H1315" s="6">
        <f>HYPERLINK("C:\Projects\Kleinanzeigen-Scraper\offer_images\2800149251", "Link")</f>
        <v/>
      </c>
      <c r="I1315" t="inlineStr">
        <is>
          <t>Simon</t>
        </is>
      </c>
      <c r="J1315" s="6">
        <f>HYPERLINK("https://www.kleinanzeigen.de/s-bestandsliste.html?userId=3624304", "Link")</f>
        <v/>
      </c>
      <c r="K1315" s="7" t="n">
        <v>45549.57938657407</v>
      </c>
      <c r="L1315" s="3" t="inlineStr">
        <is>
          <t>6.25</t>
        </is>
      </c>
      <c r="M1315" t="inlineStr">
        <is>
          <t>München</t>
        </is>
      </c>
    </row>
    <row r="1316">
      <c r="A1316" t="inlineStr">
        <is>
          <t>Waschuhe Simms Gr. 45</t>
        </is>
      </c>
      <c r="B1316" s="4" t="n">
        <v>60</v>
      </c>
      <c r="C1316" t="inlineStr"/>
      <c r="D1316" t="inlineStr">
        <is>
          <t>22175 Wandsbek - Hamburg Bramfeld</t>
        </is>
      </c>
      <c r="E1316" s="5" t="n">
        <v>45545</v>
      </c>
      <c r="F1316" t="inlineStr"/>
      <c r="G1316" s="6">
        <f>HYPERLINK("https://www.kleinanzeigen.de/s-anzeige/waschuhe-simms-gr-45/2859129022-230-9453", "Link")</f>
        <v/>
      </c>
      <c r="H1316" s="6">
        <f>HYPERLINK("C:\Projects\Kleinanzeigen-Scraper\offer_images\2859129022", "Link")</f>
        <v/>
      </c>
      <c r="I1316" t="inlineStr">
        <is>
          <t>Anne</t>
        </is>
      </c>
      <c r="J1316" s="6">
        <f>HYPERLINK("https://www.kleinanzeigen.de/s-bestandsliste.html?userId=33505273", "Link")</f>
        <v/>
      </c>
      <c r="K1316" s="7" t="n">
        <v>45549.57936342592</v>
      </c>
      <c r="L1316" s="3" t="inlineStr">
        <is>
          <t>367.43</t>
        </is>
      </c>
      <c r="M1316" t="inlineStr">
        <is>
          <t>Köln</t>
        </is>
      </c>
    </row>
    <row r="1317">
      <c r="A1317" t="inlineStr">
        <is>
          <t>Wing Duotone Unit dlab 2022 in 6.5 qm</t>
        </is>
      </c>
      <c r="B1317" s="4" t="n">
        <v>550</v>
      </c>
      <c r="C1317" t="inlineStr"/>
      <c r="D1317" t="inlineStr">
        <is>
          <t>60386 Frankfurt am Main - Fechenheim</t>
        </is>
      </c>
      <c r="E1317" s="5" t="n">
        <v>45547</v>
      </c>
      <c r="F1317" t="inlineStr">
        <is>
          <t>Sold</t>
        </is>
      </c>
      <c r="G1317" s="6">
        <f>HYPERLINK("https://www.kleinanzeigen.de/s-anzeige/wing-duotone-unit-dlab-2022-in-6-5-qm/2860874220-230-4295", "Link")</f>
        <v/>
      </c>
      <c r="H1317" s="6">
        <f>HYPERLINK("C:\Projects\Kleinanzeigen-Scraper\offer_images\2860874220", "Link")</f>
        <v/>
      </c>
      <c r="I1317" t="inlineStr">
        <is>
          <t>Stephan</t>
        </is>
      </c>
      <c r="J1317" s="6">
        <f>HYPERLINK("https://www.kleinanzeigen.de/s-bestandsliste.html?userId=21563510", "Link")</f>
        <v/>
      </c>
      <c r="K1317" s="7" t="n">
        <v>45549.57936342592</v>
      </c>
      <c r="L1317" s="3" t="inlineStr">
        <is>
          <t>126.93</t>
        </is>
      </c>
      <c r="M1317" t="inlineStr">
        <is>
          <t>Karlsruhe</t>
        </is>
      </c>
    </row>
    <row r="1318">
      <c r="A1318" t="inlineStr">
        <is>
          <t>Fanatic SUP Fly Air Premium 10'4" + C35 Paddel im Set -10%</t>
        </is>
      </c>
      <c r="B1318" s="4" t="n">
        <v>971</v>
      </c>
      <c r="C1318" t="inlineStr"/>
      <c r="D1318" t="inlineStr">
        <is>
          <t>18586 Mecklenburg-Vorpommern - Mönchgut, Ostseebad</t>
        </is>
      </c>
      <c r="E1318" s="5" t="n">
        <v>45544</v>
      </c>
      <c r="F1318" t="inlineStr">
        <is>
          <t>Sold</t>
        </is>
      </c>
      <c r="G1318" s="6">
        <f>HYPERLINK("https://www.kleinanzeigen.de/s-anzeige/fanatic-sup-fly-air-premium-10-4-c35-paddel-im-set-10-/1526406403-230-120", "Link")</f>
        <v/>
      </c>
      <c r="H1318" s="6">
        <f>HYPERLINK("C:\Projects\Kleinanzeigen-Scraper\offer_images\1526406403", "Link")</f>
        <v/>
      </c>
      <c r="I1318" t="inlineStr">
        <is>
          <t>No user name</t>
        </is>
      </c>
      <c r="J1318" s="6">
        <f>HYPERLINK("https://www.kleinanzeigen.deNo user link", "Link")</f>
        <v/>
      </c>
      <c r="K1318" s="7" t="n">
        <v>45549.57936342592</v>
      </c>
      <c r="L1318" s="3" t="inlineStr">
        <is>
          <t>591.22</t>
        </is>
      </c>
      <c r="M1318" t="inlineStr">
        <is>
          <t>Köln</t>
        </is>
      </c>
    </row>
    <row r="1319">
      <c r="A1319" t="inlineStr">
        <is>
          <t>Fanatic Flow 1250 Foil</t>
        </is>
      </c>
      <c r="B1319" s="4" t="n">
        <v>100</v>
      </c>
      <c r="C1319" t="inlineStr"/>
      <c r="D1319" t="inlineStr">
        <is>
          <t>76137 Baden-Württemberg - Karlsruhe</t>
        </is>
      </c>
      <c r="E1319" s="5" t="n">
        <v>45509</v>
      </c>
      <c r="F1319" t="inlineStr">
        <is>
          <t>Sold</t>
        </is>
      </c>
      <c r="G1319" s="6">
        <f>HYPERLINK("https://www.kleinanzeigen.de/s-anzeige/fanatic-flow-1250-foil/2830175136-230-9192", "Link")</f>
        <v/>
      </c>
      <c r="H1319" s="6">
        <f>HYPERLINK("C:\Projects\Kleinanzeigen-Scraper\offer_images\2830175136", "Link")</f>
        <v/>
      </c>
      <c r="I1319" t="inlineStr">
        <is>
          <t>Sebastian</t>
        </is>
      </c>
      <c r="J1319" s="6">
        <f>HYPERLINK("https://www.kleinanzeigen.de/s-bestandsliste.html?userId=20276111", "Link")</f>
        <v/>
      </c>
      <c r="K1319" s="7" t="n">
        <v>45549.57934027778</v>
      </c>
      <c r="L1319" s="3" t="inlineStr">
        <is>
          <t>1.87</t>
        </is>
      </c>
      <c r="M1319" t="inlineStr">
        <is>
          <t>Karlsruhe</t>
        </is>
      </c>
    </row>
    <row r="1320">
      <c r="A1320" t="inlineStr">
        <is>
          <t>Wing Sailloft UFO 3,5 m2</t>
        </is>
      </c>
      <c r="B1320" s="4" t="n">
        <v>330</v>
      </c>
      <c r="C1320" t="inlineStr">
        <is>
          <t>VB</t>
        </is>
      </c>
      <c r="D1320" t="inlineStr">
        <is>
          <t>25578 Schleswig-Holstein - Dägeling</t>
        </is>
      </c>
      <c r="E1320" s="5" t="n">
        <v>45538</v>
      </c>
      <c r="F1320" t="inlineStr">
        <is>
          <t>Sold</t>
        </is>
      </c>
      <c r="G1320" s="6">
        <f>HYPERLINK("https://www.kleinanzeigen.de/s-anzeige/wing-sailloft-ufo-3-5-m2/2853046239-230-20070", "Link")</f>
        <v/>
      </c>
      <c r="H1320" s="6">
        <f>HYPERLINK("C:\Projects\Kleinanzeigen-Scraper\offer_images\2853046239", "Link")</f>
        <v/>
      </c>
      <c r="I1320" t="inlineStr">
        <is>
          <t>Sven Olde</t>
        </is>
      </c>
      <c r="J1320" s="6">
        <f>HYPERLINK("https://www.kleinanzeigen.de/s-bestandsliste.html?userId=22610828", "Link")</f>
        <v/>
      </c>
      <c r="K1320" s="7" t="n">
        <v>45549.57934027778</v>
      </c>
      <c r="L1320" s="3" t="inlineStr">
        <is>
          <t>370.63</t>
        </is>
      </c>
      <c r="M1320" t="inlineStr">
        <is>
          <t>Köln</t>
        </is>
      </c>
    </row>
    <row r="1321">
      <c r="A1321" t="inlineStr">
        <is>
          <t>Duotone DICE SLS 9m</t>
        </is>
      </c>
      <c r="B1321" s="4" t="n">
        <v>999</v>
      </c>
      <c r="C1321" t="inlineStr"/>
      <c r="D1321" t="inlineStr">
        <is>
          <t>25980 Sylt - Westerland</t>
        </is>
      </c>
      <c r="E1321" s="5" t="n">
        <v>45545</v>
      </c>
      <c r="F1321" t="inlineStr">
        <is>
          <t>Sold</t>
        </is>
      </c>
      <c r="G1321" s="6">
        <f>HYPERLINK("https://www.kleinanzeigen.de/s-anzeige/duotone-dice-sls-9m/2859251296-230-634", "Link")</f>
        <v/>
      </c>
      <c r="H1321" s="6">
        <f>HYPERLINK("C:\Projects\Kleinanzeigen-Scraper\offer_images\2859251296", "Link")</f>
        <v/>
      </c>
      <c r="I1321" t="inlineStr">
        <is>
          <t>Lenny kite</t>
        </is>
      </c>
      <c r="J1321" s="6">
        <f>HYPERLINK("https://www.kleinanzeigen.de/s-bestandsliste.html?userId=14530034", "Link")</f>
        <v/>
      </c>
      <c r="K1321" s="7" t="n">
        <v>45549.57934027778</v>
      </c>
      <c r="L1321" s="3" t="inlineStr">
        <is>
          <t>448.30</t>
        </is>
      </c>
      <c r="M1321" t="inlineStr">
        <is>
          <t>Köln</t>
        </is>
      </c>
    </row>
    <row r="1322">
      <c r="A1322" t="inlineStr">
        <is>
          <t>NAISH Sup Board: Alana / Maliko Carbon / Nalu / One / Touring</t>
        </is>
      </c>
      <c r="B1322" s="4" t="inlineStr"/>
      <c r="C1322" t="inlineStr">
        <is>
          <t>VB</t>
        </is>
      </c>
      <c r="D1322" t="inlineStr">
        <is>
          <t>57489 Nordrhein-Westfalen - Drolshagen</t>
        </is>
      </c>
      <c r="E1322" s="5" t="n">
        <v>45526</v>
      </c>
      <c r="F1322" t="inlineStr"/>
      <c r="G1322" s="6">
        <f>HYPERLINK("https://www.kleinanzeigen.de/s-anzeige/naish-sup-board-alana-maliko-carbon-nalu-one-touring/2843717046-230-1530", "Link")</f>
        <v/>
      </c>
      <c r="H1322" s="6">
        <f>HYPERLINK("C:\Projects\Kleinanzeigen-Scraper\offer_images\2843717046", "Link")</f>
        <v/>
      </c>
      <c r="I1322" t="inlineStr">
        <is>
          <t>key2fun</t>
        </is>
      </c>
      <c r="J1322" s="6">
        <f>HYPERLINK("https://www.kleinanzeigen.de/s-bestandsliste.html?userId=68821592", "Link")</f>
        <v/>
      </c>
      <c r="K1322" s="7" t="n">
        <v>45549.57934027778</v>
      </c>
      <c r="L1322" s="3" t="inlineStr">
        <is>
          <t>58.85</t>
        </is>
      </c>
      <c r="M1322" t="inlineStr">
        <is>
          <t>Köln</t>
        </is>
      </c>
    </row>
    <row r="1323">
      <c r="A1323" t="inlineStr">
        <is>
          <t>Duotone Neo D/Lab 12 Top Zustand Rechnung Garantie</t>
        </is>
      </c>
      <c r="B1323" s="4" t="n">
        <v>1.299</v>
      </c>
      <c r="C1323" t="inlineStr"/>
      <c r="D1323" t="inlineStr">
        <is>
          <t>83043 Bayern - Bad Aibling</t>
        </is>
      </c>
      <c r="E1323" s="5" t="n">
        <v>45541</v>
      </c>
      <c r="F1323" t="inlineStr">
        <is>
          <t>Sold</t>
        </is>
      </c>
      <c r="G1323" s="6">
        <f>HYPERLINK("https://www.kleinanzeigen.de/s-anzeige/duotone-neo-d-lab-12-top-zustand-rechnung-garantie/2855460607-230-6134", "Link")</f>
        <v/>
      </c>
      <c r="H1323" s="6">
        <f>HYPERLINK("C:\Projects\Kleinanzeigen-Scraper\offer_images\2855460607", "Link")</f>
        <v/>
      </c>
      <c r="I1323" t="inlineStr">
        <is>
          <t>Mischa von Kitejunkie.com</t>
        </is>
      </c>
      <c r="J1323" s="6">
        <f>HYPERLINK("https://www.kleinanzeigen.de/s-bestandsliste.html?userId=6884391", "Link")</f>
        <v/>
      </c>
      <c r="K1323" s="7" t="n">
        <v>45549.5793287037</v>
      </c>
      <c r="L1323" s="3" t="inlineStr">
        <is>
          <t>43.15</t>
        </is>
      </c>
      <c r="M1323" t="inlineStr">
        <is>
          <t>München</t>
        </is>
      </c>
    </row>
    <row r="1324">
      <c r="A1324" t="inlineStr">
        <is>
          <t>Duotone clickbar 2024 Größe M 22-24m</t>
        </is>
      </c>
      <c r="B1324" s="4" t="n">
        <v>400</v>
      </c>
      <c r="C1324" t="inlineStr">
        <is>
          <t>VB</t>
        </is>
      </c>
      <c r="D1324" t="inlineStr">
        <is>
          <t>82438 Bayern - Eschenlohe</t>
        </is>
      </c>
      <c r="E1324" s="5" t="n">
        <v>45548</v>
      </c>
      <c r="F1324" t="inlineStr">
        <is>
          <t>Sold</t>
        </is>
      </c>
      <c r="G1324" s="6">
        <f>HYPERLINK("https://www.kleinanzeigen.de/s-anzeige/duotone-clickbar-2024-groesse-m-22-24m/2862148230-230-5608", "Link")</f>
        <v/>
      </c>
      <c r="H1324" s="6">
        <f>HYPERLINK("C:\Projects\Kleinanzeigen-Scraper\offer_images\2862148230", "Link")</f>
        <v/>
      </c>
      <c r="I1324" t="inlineStr">
        <is>
          <t>Patrik</t>
        </is>
      </c>
      <c r="J1324" s="6">
        <f>HYPERLINK("https://www.kleinanzeigen.de/s-bestandsliste.html?userId=13872384", "Link")</f>
        <v/>
      </c>
      <c r="K1324" s="7" t="n">
        <v>45549.57931712963</v>
      </c>
      <c r="L1324" s="3" t="inlineStr">
        <is>
          <t>66.48</t>
        </is>
      </c>
      <c r="M1324" t="inlineStr">
        <is>
          <t>München</t>
        </is>
      </c>
    </row>
    <row r="1325">
      <c r="A1325" t="inlineStr">
        <is>
          <t>North Camp Komfort Regiestuhl Campingstuhl – blau</t>
        </is>
      </c>
      <c r="B1325" s="4" t="n">
        <v>13</v>
      </c>
      <c r="C1325" t="inlineStr">
        <is>
          <t>VB</t>
        </is>
      </c>
      <c r="D1325" t="inlineStr">
        <is>
          <t>81737 München - Ramersdorf-Perlach</t>
        </is>
      </c>
      <c r="E1325" s="5" t="n">
        <v>45545</v>
      </c>
      <c r="F1325" t="inlineStr">
        <is>
          <t>Sold</t>
        </is>
      </c>
      <c r="G1325" s="6">
        <f>HYPERLINK("https://www.kleinanzeigen.de/s-anzeige/north-camp-komfort-regiestuhl-campingstuhl-blau/2859144528-230-6474", "Link")</f>
        <v/>
      </c>
      <c r="H1325" s="6">
        <f>HYPERLINK("C:\Projects\Kleinanzeigen-Scraper\offer_images\2859144528", "Link")</f>
        <v/>
      </c>
      <c r="I1325" t="inlineStr">
        <is>
          <t>R.O.</t>
        </is>
      </c>
      <c r="J1325" s="6">
        <f>HYPERLINK("https://www.kleinanzeigen.de/s-bestandsliste.html?userId=4260103", "Link")</f>
        <v/>
      </c>
      <c r="K1325" s="7" t="n">
        <v>45549.57930555556</v>
      </c>
      <c r="L1325" s="3" t="inlineStr">
        <is>
          <t>5.97</t>
        </is>
      </c>
      <c r="M1325" t="inlineStr">
        <is>
          <t>München</t>
        </is>
      </c>
    </row>
    <row r="1326">
      <c r="A1326" t="inlineStr">
        <is>
          <t>Naish ADX Wings 23/24 Testwings</t>
        </is>
      </c>
      <c r="B1326" s="4" t="n">
        <v>499</v>
      </c>
      <c r="C1326" t="inlineStr"/>
      <c r="D1326" t="inlineStr">
        <is>
          <t>23775 Kreis Ostholstein - Großenbrode</t>
        </is>
      </c>
      <c r="E1326" s="5" t="n">
        <v>45539</v>
      </c>
      <c r="F1326" t="inlineStr">
        <is>
          <t>Sold</t>
        </is>
      </c>
      <c r="G1326" s="6">
        <f>HYPERLINK("https://www.kleinanzeigen.de/s-anzeige/naish-adx-wings-23-24-testwings/2854323499-230-429", "Link")</f>
        <v/>
      </c>
      <c r="H1326" s="6">
        <f>HYPERLINK("C:\Projects\Kleinanzeigen-Scraper\offer_images\2854323499", "Link")</f>
        <v/>
      </c>
      <c r="I1326" t="inlineStr">
        <is>
          <t>Tobias Michelsen</t>
        </is>
      </c>
      <c r="J1326" s="6">
        <f>HYPERLINK("https://www.kleinanzeigen.de/s-bestandsliste.html?userId=47501726", "Link")</f>
        <v/>
      </c>
      <c r="K1326" s="7" t="n">
        <v>45549.57930555556</v>
      </c>
      <c r="L1326" s="3" t="inlineStr">
        <is>
          <t>471.97</t>
        </is>
      </c>
      <c r="M1326" t="inlineStr">
        <is>
          <t>Köln</t>
        </is>
      </c>
    </row>
    <row r="1327">
      <c r="A1327" t="inlineStr">
        <is>
          <t>Starboard SUP Paddle</t>
        </is>
      </c>
      <c r="B1327" s="4" t="n">
        <v>60</v>
      </c>
      <c r="C1327" t="inlineStr"/>
      <c r="D1327" t="inlineStr">
        <is>
          <t>86492 Bayern - Egling a.d. Paar</t>
        </is>
      </c>
      <c r="E1327" s="5" t="n">
        <v>45539</v>
      </c>
      <c r="F1327" t="inlineStr"/>
      <c r="G1327" s="6">
        <f>HYPERLINK("https://www.kleinanzeigen.de/s-anzeige/starboard-sup-paddle/2854147990-230-7037", "Link")</f>
        <v/>
      </c>
      <c r="H1327" s="6">
        <f>HYPERLINK("C:\Projects\Kleinanzeigen-Scraper\offer_images\2854147990", "Link")</f>
        <v/>
      </c>
      <c r="I1327" t="inlineStr">
        <is>
          <t>Janina</t>
        </is>
      </c>
      <c r="J1327" s="6">
        <f>HYPERLINK("https://www.kleinanzeigen.de/s-bestandsliste.html?userId=8243226", "Link")</f>
        <v/>
      </c>
      <c r="K1327" s="7" t="n">
        <v>45549.57929398148</v>
      </c>
      <c r="L1327" s="3" t="inlineStr">
        <is>
          <t>44.50</t>
        </is>
      </c>
      <c r="M1327" t="inlineStr">
        <is>
          <t>München</t>
        </is>
      </c>
    </row>
    <row r="1328">
      <c r="A1328" t="inlineStr">
        <is>
          <t>North Willow Stunt Roller Deck</t>
        </is>
      </c>
      <c r="B1328" s="4" t="n">
        <v>40</v>
      </c>
      <c r="C1328" t="inlineStr">
        <is>
          <t>VB</t>
        </is>
      </c>
      <c r="D1328" t="inlineStr">
        <is>
          <t>48231 Nordrhein-Westfalen - Warendorf</t>
        </is>
      </c>
      <c r="E1328" s="5" t="n">
        <v>45537</v>
      </c>
      <c r="F1328" t="inlineStr">
        <is>
          <t>Sold</t>
        </is>
      </c>
      <c r="G1328" s="6">
        <f>HYPERLINK("https://www.kleinanzeigen.de/s-anzeige/north-willow-stunt-roller-deck/2852368591-230-1302", "Link")</f>
        <v/>
      </c>
      <c r="H1328" s="6">
        <f>HYPERLINK("C:\Projects\Kleinanzeigen-Scraper\offer_images\2852368591", "Link")</f>
        <v/>
      </c>
      <c r="I1328" t="inlineStr">
        <is>
          <t>Jaspar Freye</t>
        </is>
      </c>
      <c r="J1328" s="6">
        <f>HYPERLINK("https://www.kleinanzeigen.de/s-bestandsliste.html?userId=91077666", "Link")</f>
        <v/>
      </c>
      <c r="K1328" s="7" t="n">
        <v>45549.57928240741</v>
      </c>
      <c r="L1328" s="3" t="inlineStr">
        <is>
          <t>132.69</t>
        </is>
      </c>
      <c r="M1328" t="inlineStr">
        <is>
          <t>Köln</t>
        </is>
      </c>
    </row>
    <row r="1329">
      <c r="A1329" t="inlineStr">
        <is>
          <t>Kite Duotone Dice SLS 11m 2023 vanilla/blau</t>
        </is>
      </c>
      <c r="B1329" s="4" t="n">
        <v>850</v>
      </c>
      <c r="C1329" t="inlineStr">
        <is>
          <t>VB</t>
        </is>
      </c>
      <c r="D1329" t="inlineStr">
        <is>
          <t>81667 München - Au-Haidhausen</t>
        </is>
      </c>
      <c r="E1329" s="5" t="n">
        <v>45541</v>
      </c>
      <c r="F1329" t="inlineStr">
        <is>
          <t>Sold</t>
        </is>
      </c>
      <c r="G1329" s="6">
        <f>HYPERLINK("https://www.kleinanzeigen.de/s-anzeige/kite-duotone-dice-sls-11m-2023-vanilla-blau/2855875700-230-6454", "Link")</f>
        <v/>
      </c>
      <c r="H1329" s="6">
        <f>HYPERLINK("C:\Projects\Kleinanzeigen-Scraper\offer_images\2855875700", "Link")</f>
        <v/>
      </c>
      <c r="I1329" t="inlineStr">
        <is>
          <t>Miriam</t>
        </is>
      </c>
      <c r="J1329" s="6">
        <f>HYPERLINK("https://www.kleinanzeigen.de/s-bestandsliste.html?userId=23652323", "Link")</f>
        <v/>
      </c>
      <c r="K1329" s="7" t="n">
        <v>45549.57928240741</v>
      </c>
      <c r="L1329" s="3" t="inlineStr">
        <is>
          <t>2.06</t>
        </is>
      </c>
      <c r="M1329" t="inlineStr">
        <is>
          <t>München</t>
        </is>
      </c>
    </row>
    <row r="1330">
      <c r="A1330" t="inlineStr">
        <is>
          <t>JP Australia CruisAir SL 12,6 Stand UP Paddle</t>
        </is>
      </c>
      <c r="B1330" s="4" t="n">
        <v>499</v>
      </c>
      <c r="C1330" t="inlineStr"/>
      <c r="D1330" t="inlineStr">
        <is>
          <t>65549 Hessen - Limburg</t>
        </is>
      </c>
      <c r="E1330" s="5" t="n">
        <v>45541</v>
      </c>
      <c r="F1330" t="inlineStr"/>
      <c r="G1330" s="6">
        <f>HYPERLINK("https://www.kleinanzeigen.de/s-anzeige/jp-australia-cruisair-sl-12-6-stand-up-paddle/2136471980-230-4376", "Link")</f>
        <v/>
      </c>
      <c r="H1330" s="6">
        <f>HYPERLINK("C:\Projects\Kleinanzeigen-Scraper\offer_images\2136471980", "Link")</f>
        <v/>
      </c>
      <c r="I1330" t="inlineStr">
        <is>
          <t>No user name</t>
        </is>
      </c>
      <c r="J1330" s="6">
        <f>HYPERLINK("https://www.kleinanzeigen.deNo user link", "Link")</f>
        <v/>
      </c>
      <c r="K1330" s="7" t="n">
        <v>45549.57925925926</v>
      </c>
      <c r="L1330" s="3" t="inlineStr">
        <is>
          <t>99.84</t>
        </is>
      </c>
      <c r="M1330" t="inlineStr">
        <is>
          <t>Köln</t>
        </is>
      </c>
    </row>
    <row r="1331">
      <c r="A1331" t="inlineStr">
        <is>
          <t>SUP-Pumpe JP-Australia</t>
        </is>
      </c>
      <c r="B1331" s="4" t="n">
        <v>40</v>
      </c>
      <c r="C1331" t="inlineStr"/>
      <c r="D1331" t="inlineStr">
        <is>
          <t>75203 Baden-Württemberg - Königsbach-Stein</t>
        </is>
      </c>
      <c r="E1331" s="5" t="n">
        <v>45464</v>
      </c>
      <c r="F1331" t="inlineStr">
        <is>
          <t>Sold</t>
        </is>
      </c>
      <c r="G1331" s="6">
        <f>HYPERLINK("https://www.kleinanzeigen.de/s-anzeige/sup-pumpe-jp-australia/2793612300-230-8246", "Link")</f>
        <v/>
      </c>
      <c r="H1331" s="6">
        <f>HYPERLINK("C:\Projects\Kleinanzeigen-Scraper\offer_images\2793612300", "Link")</f>
        <v/>
      </c>
      <c r="I1331" t="inlineStr">
        <is>
          <t>Steffen</t>
        </is>
      </c>
      <c r="J1331" s="6">
        <f>HYPERLINK("https://www.kleinanzeigen.de/s-bestandsliste.html?userId=8150097", "Link")</f>
        <v/>
      </c>
      <c r="K1331" s="7" t="n">
        <v>45549.57925925926</v>
      </c>
      <c r="L1331" s="3" t="inlineStr">
        <is>
          <t>18.51</t>
        </is>
      </c>
      <c r="M1331" t="inlineStr">
        <is>
          <t>Karlsruhe</t>
        </is>
      </c>
    </row>
    <row r="1332">
      <c r="A1332" t="inlineStr">
        <is>
          <t>Ballett Spitzenschuhe Pointe Shoes Marke Gaynor Minden 7.5N HDH</t>
        </is>
      </c>
      <c r="B1332" s="4" t="n">
        <v>70</v>
      </c>
      <c r="C1332" t="inlineStr">
        <is>
          <t>VB</t>
        </is>
      </c>
      <c r="D1332" t="inlineStr">
        <is>
          <t>39108 Sachsen-Anhalt - Magdeburg</t>
        </is>
      </c>
      <c r="E1332" s="5" t="n">
        <v>45311</v>
      </c>
      <c r="F1332" t="inlineStr"/>
      <c r="G1332" s="6">
        <f>HYPERLINK("https://www.kleinanzeigen.de/s-anzeige/ballett-spitzenschuhe-pointe-shoes-marke-gaynor-minden-7-5n-hdh/2657809272-230-2229", "Link")</f>
        <v/>
      </c>
      <c r="H1332" s="6">
        <f>HYPERLINK("C:\Projects\Kleinanzeigen-Scraper\offer_images\2657809272", "Link")</f>
        <v/>
      </c>
      <c r="I1332" t="inlineStr">
        <is>
          <t>Lissi</t>
        </is>
      </c>
      <c r="J1332" s="6">
        <f>HYPERLINK("https://www.kleinanzeigen.de/s-bestandsliste.html?userId=75020208", "Link")</f>
        <v/>
      </c>
      <c r="K1332" s="7" t="n">
        <v>45549.57925925926</v>
      </c>
      <c r="L1332" s="3" t="inlineStr">
        <is>
          <t>348.70</t>
        </is>
      </c>
      <c r="M1332" t="inlineStr">
        <is>
          <t>Köln</t>
        </is>
      </c>
    </row>
    <row r="1333">
      <c r="A1333" t="inlineStr">
        <is>
          <t>Duotone (North) Entity NTT Bindung L/XL</t>
        </is>
      </c>
      <c r="B1333" s="4" t="n">
        <v>100</v>
      </c>
      <c r="C1333" t="inlineStr"/>
      <c r="D1333" t="inlineStr">
        <is>
          <t>10247 Friedrichshain-Kreuzberg - Friedrichshain</t>
        </is>
      </c>
      <c r="E1333" s="5" t="n">
        <v>45543</v>
      </c>
      <c r="F1333" t="inlineStr">
        <is>
          <t>Sold</t>
        </is>
      </c>
      <c r="G1333" s="6">
        <f>HYPERLINK("https://www.kleinanzeigen.de/s-anzeige/duotone-north-entity-ntt-bindung-l-xl/2858082284-230-3353", "Link")</f>
        <v/>
      </c>
      <c r="H1333" s="6">
        <f>HYPERLINK("C:\Projects\Kleinanzeigen-Scraper\offer_images\2858082284", "Link")</f>
        <v/>
      </c>
      <c r="I1333" t="inlineStr">
        <is>
          <t>Jan Sprenger</t>
        </is>
      </c>
      <c r="J1333" s="6">
        <f>HYPERLINK("https://www.kleinanzeigen.de/s-bestandsliste.html?userId=13597387", "Link")</f>
        <v/>
      </c>
      <c r="K1333" s="7" t="n">
        <v>45549.57924768519</v>
      </c>
      <c r="L1333" s="3" t="inlineStr">
        <is>
          <t>481.24</t>
        </is>
      </c>
      <c r="M1333" t="inlineStr">
        <is>
          <t>Köln</t>
        </is>
      </c>
    </row>
    <row r="1334">
      <c r="A1334" t="inlineStr">
        <is>
          <t>Mystic Vandal wakeboardhelm size XS/S</t>
        </is>
      </c>
      <c r="B1334" s="4" t="n">
        <v>60</v>
      </c>
      <c r="C1334" t="inlineStr"/>
      <c r="D1334" t="inlineStr">
        <is>
          <t>50825 Köln - Ehrenfeld</t>
        </is>
      </c>
      <c r="E1334" s="5" t="n">
        <v>45525</v>
      </c>
      <c r="F1334" t="inlineStr">
        <is>
          <t>Sold</t>
        </is>
      </c>
      <c r="G1334" s="6">
        <f>HYPERLINK("https://www.kleinanzeigen.de/s-anzeige/mystic-vandal-wakeboardhelm-size-xs-s/2842554072-230-951", "Link")</f>
        <v/>
      </c>
      <c r="H1334" s="6">
        <f>HYPERLINK("C:\Projects\Kleinanzeigen-Scraper\offer_images\2842554072", "Link")</f>
        <v/>
      </c>
      <c r="I1334" t="inlineStr">
        <is>
          <t>Mahdyar Mafakherian</t>
        </is>
      </c>
      <c r="J1334" s="6">
        <f>HYPERLINK("https://www.kleinanzeigen.de/s-bestandsliste.html?userId=121561872", "Link")</f>
        <v/>
      </c>
      <c r="K1334" s="7" t="n">
        <v>45549.57923611111</v>
      </c>
      <c r="L1334" s="3" t="inlineStr">
        <is>
          <t>3.33</t>
        </is>
      </c>
      <c r="M1334" t="inlineStr">
        <is>
          <t>Köln</t>
        </is>
      </c>
    </row>
    <row r="1335">
      <c r="A1335" t="inlineStr">
        <is>
          <t>Duotone Dice SLS 9qm 2023</t>
        </is>
      </c>
      <c r="B1335" s="4" t="n">
        <v>730</v>
      </c>
      <c r="C1335" t="inlineStr">
        <is>
          <t>VB</t>
        </is>
      </c>
      <c r="D1335" t="inlineStr">
        <is>
          <t>24943 Schleswig-Holstein - Flensburg</t>
        </is>
      </c>
      <c r="E1335" s="5" t="n">
        <v>45547</v>
      </c>
      <c r="F1335" t="inlineStr">
        <is>
          <t>Sold</t>
        </is>
      </c>
      <c r="G1335" s="6">
        <f>HYPERLINK("https://www.kleinanzeigen.de/s-anzeige/duotone-dice-sls-9qm-2023/2861615698-230-17392", "Link")</f>
        <v/>
      </c>
      <c r="H1335" s="6">
        <f>HYPERLINK("C:\Projects\Kleinanzeigen-Scraper\offer_images\2861615698", "Link")</f>
        <v/>
      </c>
      <c r="I1335" t="inlineStr">
        <is>
          <t>Jonathan Freis</t>
        </is>
      </c>
      <c r="J1335" s="6">
        <f>HYPERLINK("https://www.kleinanzeigen.de/s-bestandsliste.html?userId=132349694", "Link")</f>
        <v/>
      </c>
      <c r="K1335" s="7" t="n">
        <v>45549.57923611111</v>
      </c>
      <c r="L1335" s="3" t="inlineStr">
        <is>
          <t>459.78</t>
        </is>
      </c>
      <c r="M1335" t="inlineStr">
        <is>
          <t>Köln</t>
        </is>
      </c>
    </row>
    <row r="1336">
      <c r="A1336" t="inlineStr">
        <is>
          <t>North Duotone Schwimmer Floater with Bungee Click Bar</t>
        </is>
      </c>
      <c r="B1336" s="4" t="n">
        <v>30</v>
      </c>
      <c r="C1336" t="inlineStr">
        <is>
          <t>VB</t>
        </is>
      </c>
      <c r="D1336" t="inlineStr">
        <is>
          <t>21075 Harburg - Hamburg Heimfeld</t>
        </is>
      </c>
      <c r="E1336" s="5" t="n">
        <v>45546</v>
      </c>
      <c r="F1336" t="inlineStr">
        <is>
          <t>Sold</t>
        </is>
      </c>
      <c r="G1336" s="6">
        <f>HYPERLINK("https://www.kleinanzeigen.de/s-anzeige/north-duotone-schwimmer-floater-with-bungee-click-bar/2860196884-230-16405", "Link")</f>
        <v/>
      </c>
      <c r="H1336" s="6">
        <f>HYPERLINK("C:\Projects\Kleinanzeigen-Scraper\offer_images\2860196884", "Link")</f>
        <v/>
      </c>
      <c r="I1336" t="inlineStr">
        <is>
          <t>Hartmann</t>
        </is>
      </c>
      <c r="J1336" s="6">
        <f>HYPERLINK("https://www.kleinanzeigen.de/s-bestandsliste.html?userId=17377406", "Link")</f>
        <v/>
      </c>
      <c r="K1336" s="7" t="n">
        <v>45549.57921296296</v>
      </c>
      <c r="L1336" s="3" t="inlineStr">
        <is>
          <t>345.92</t>
        </is>
      </c>
      <c r="M1336" t="inlineStr">
        <is>
          <t>Köln</t>
        </is>
      </c>
    </row>
    <row r="1337">
      <c r="A1337" t="inlineStr">
        <is>
          <t>Naish ADX 2024 Wingfoil Wing neuwertig 5,0m2, 4,0m2, 3,5m2, 3m2</t>
        </is>
      </c>
      <c r="B1337" s="4" t="n">
        <v>499</v>
      </c>
      <c r="C1337" t="inlineStr">
        <is>
          <t>VB</t>
        </is>
      </c>
      <c r="D1337" t="inlineStr">
        <is>
          <t>22301 Hamburg-Nord - Hamburg Winterhude</t>
        </is>
      </c>
      <c r="E1337" s="5" t="n">
        <v>45528</v>
      </c>
      <c r="F1337" t="inlineStr">
        <is>
          <t>Sold</t>
        </is>
      </c>
      <c r="G1337" s="6">
        <f>HYPERLINK("https://www.kleinanzeigen.de/s-anzeige/naish-adx-2024-wingfoil-wing-neuwertig-5-0m2-4-0m2-3-5m2-3m2/2844900063-230-9483", "Link")</f>
        <v/>
      </c>
      <c r="H1337" s="6">
        <f>HYPERLINK("C:\Projects\Kleinanzeigen-Scraper\offer_images\2844900063", "Link")</f>
        <v/>
      </c>
      <c r="I1337" t="inlineStr">
        <is>
          <t>Juian de Grahl</t>
        </is>
      </c>
      <c r="J1337" s="6">
        <f>HYPERLINK("https://www.kleinanzeigen.de/s-bestandsliste.html?userId=36803976", "Link")</f>
        <v/>
      </c>
      <c r="K1337" s="7" t="n">
        <v>45549.57921296296</v>
      </c>
      <c r="L1337" s="3" t="inlineStr">
        <is>
          <t>245.76</t>
        </is>
      </c>
      <c r="M1337" t="inlineStr">
        <is>
          <t>Köln</t>
        </is>
      </c>
    </row>
    <row r="1338">
      <c r="A1338" t="inlineStr">
        <is>
          <t>North Western Rodcraft Heavy Swimfeeder 12 ft.</t>
        </is>
      </c>
      <c r="B1338" s="4" t="n">
        <v>1</v>
      </c>
      <c r="C1338" t="inlineStr">
        <is>
          <t>VB</t>
        </is>
      </c>
      <c r="D1338" t="inlineStr">
        <is>
          <t>48653 Nordrhein-Westfalen - Coesfeld</t>
        </is>
      </c>
      <c r="E1338" s="5" t="n">
        <v>45545</v>
      </c>
      <c r="F1338" t="inlineStr">
        <is>
          <t>Sold</t>
        </is>
      </c>
      <c r="G1338" s="6">
        <f>HYPERLINK("https://www.kleinanzeigen.de/s-anzeige/north-western-rodcraft-heavy-swimfeeder-12-ft-/2859861274-230-1173", "Link")</f>
        <v/>
      </c>
      <c r="H1338" s="6">
        <f>HYPERLINK("C:\Projects\Kleinanzeigen-Scraper\offer_images\2859861274", "Link")</f>
        <v/>
      </c>
      <c r="I1338" t="inlineStr">
        <is>
          <t>Vormann Christan</t>
        </is>
      </c>
      <c r="J1338" s="6">
        <f>HYPERLINK("https://www.kleinanzeigen.de/s-bestandsliste.html?userId=1613353", "Link")</f>
        <v/>
      </c>
      <c r="K1338" s="7" t="n">
        <v>45549.57921296296</v>
      </c>
      <c r="L1338" s="3" t="inlineStr">
        <is>
          <t>108.96</t>
        </is>
      </c>
      <c r="M1338" t="inlineStr">
        <is>
          <t>Köln</t>
        </is>
      </c>
    </row>
    <row r="1339">
      <c r="A1339" t="inlineStr">
        <is>
          <t>North Vegas 2011 - 10m2</t>
        </is>
      </c>
      <c r="B1339" s="4" t="n">
        <v>80</v>
      </c>
      <c r="C1339" t="inlineStr">
        <is>
          <t>VB</t>
        </is>
      </c>
      <c r="D1339" t="inlineStr">
        <is>
          <t>94501 Bayern - Aidenbach</t>
        </is>
      </c>
      <c r="E1339" s="5" t="n">
        <v>45545</v>
      </c>
      <c r="F1339" t="inlineStr">
        <is>
          <t>Sold</t>
        </is>
      </c>
      <c r="G1339" s="6">
        <f>HYPERLINK("https://www.kleinanzeigen.de/s-anzeige/north-vegas-2011-10m2/2859404236-230-18529", "Link")</f>
        <v/>
      </c>
      <c r="H1339" s="6">
        <f>HYPERLINK("C:\Projects\Kleinanzeigen-Scraper\offer_images\2859404236", "Link")</f>
        <v/>
      </c>
      <c r="I1339" t="inlineStr">
        <is>
          <t>Michael</t>
        </is>
      </c>
      <c r="J1339" s="6">
        <f>HYPERLINK("https://www.kleinanzeigen.de/s-bestandsliste.html?userId=15666127", "Link")</f>
        <v/>
      </c>
      <c r="K1339" s="7" t="n">
        <v>45549.57921296296</v>
      </c>
      <c r="L1339" s="3" t="inlineStr">
        <is>
          <t>120.63</t>
        </is>
      </c>
      <c r="M1339" t="inlineStr">
        <is>
          <t>München</t>
        </is>
      </c>
    </row>
    <row r="1340">
      <c r="A1340" t="inlineStr">
        <is>
          <t>Angebot: Duotone Evo 9m + 12m / 2020 / Blau u. Rot / TOP</t>
        </is>
      </c>
      <c r="B1340" s="4" t="n">
        <v>1.415</v>
      </c>
      <c r="C1340" t="inlineStr"/>
      <c r="D1340" t="inlineStr">
        <is>
          <t>63179 Hessen - Obertshausen</t>
        </is>
      </c>
      <c r="E1340" s="5" t="n">
        <v>45548</v>
      </c>
      <c r="F1340" t="inlineStr">
        <is>
          <t>Sold</t>
        </is>
      </c>
      <c r="G1340" s="6">
        <f>HYPERLINK("https://www.kleinanzeigen.de/s-anzeige/angebot-duotone-evo-9m-12m-2020-blau-u-rot-top/2862508906-230-4570", "Link")</f>
        <v/>
      </c>
      <c r="H1340" s="6">
        <f>HYPERLINK("C:\Projects\Kleinanzeigen-Scraper\offer_images\2862508906", "Link")</f>
        <v/>
      </c>
      <c r="I1340" t="inlineStr">
        <is>
          <t>JC</t>
        </is>
      </c>
      <c r="J1340" s="6">
        <f>HYPERLINK("https://www.kleinanzeigen.de/s-bestandsliste.html?userId=94421", "Link")</f>
        <v/>
      </c>
      <c r="K1340" s="7" t="n">
        <v>45549.57921296296</v>
      </c>
      <c r="L1340" s="3" t="inlineStr">
        <is>
          <t>123.72</t>
        </is>
      </c>
      <c r="M1340" t="inlineStr">
        <is>
          <t>Karlsruhe</t>
        </is>
      </c>
    </row>
    <row r="1341">
      <c r="A1341" t="inlineStr">
        <is>
          <t>North Vegas Hadlow Kite 12qm</t>
        </is>
      </c>
      <c r="B1341" s="4" t="n">
        <v>375</v>
      </c>
      <c r="C1341" t="inlineStr">
        <is>
          <t>VB</t>
        </is>
      </c>
      <c r="D1341" t="inlineStr">
        <is>
          <t>21037 Bergedorf - Curslack</t>
        </is>
      </c>
      <c r="E1341" s="5" t="n">
        <v>45546</v>
      </c>
      <c r="F1341" t="inlineStr">
        <is>
          <t>Sold</t>
        </is>
      </c>
      <c r="G1341" s="6">
        <f>HYPERLINK("https://www.kleinanzeigen.de/s-anzeige/north-vegas-hadlow-kite-12qm/2860738611-230-27261", "Link")</f>
        <v/>
      </c>
      <c r="H1341" s="6">
        <f>HYPERLINK("C:\Projects\Kleinanzeigen-Scraper\offer_images\2860738611", "Link")</f>
        <v/>
      </c>
      <c r="I1341" t="inlineStr">
        <is>
          <t>Turwitt</t>
        </is>
      </c>
      <c r="J1341" s="6">
        <f>HYPERLINK("https://www.kleinanzeigen.de/s-bestandsliste.html?userId=19558860", "Link")</f>
        <v/>
      </c>
      <c r="K1341" s="7" t="n">
        <v>45549.57918981482</v>
      </c>
      <c r="L1341" s="3" t="inlineStr">
        <is>
          <t>354.05</t>
        </is>
      </c>
      <c r="M1341" t="inlineStr">
        <is>
          <t>Köln</t>
        </is>
      </c>
    </row>
    <row r="1342">
      <c r="A1342" t="inlineStr">
        <is>
          <t>North Neo 12 Qm jetzt Duotone</t>
        </is>
      </c>
      <c r="B1342" s="4" t="n">
        <v>450</v>
      </c>
      <c r="C1342" t="inlineStr"/>
      <c r="D1342" t="inlineStr">
        <is>
          <t>82131 Bayern - Gauting</t>
        </is>
      </c>
      <c r="E1342" s="5" t="n">
        <v>45543</v>
      </c>
      <c r="F1342" t="inlineStr">
        <is>
          <t>Sold</t>
        </is>
      </c>
      <c r="G1342" s="6">
        <f>HYPERLINK("https://www.kleinanzeigen.de/s-anzeige/north-neo-12-qm-jetzt-duotone/2857867403-230-6334", "Link")</f>
        <v/>
      </c>
      <c r="H1342" s="6">
        <f>HYPERLINK("C:\Projects\Kleinanzeigen-Scraper\offer_images\2857867403", "Link")</f>
        <v/>
      </c>
      <c r="I1342" t="inlineStr">
        <is>
          <t>Christian Göggelmann</t>
        </is>
      </c>
      <c r="J1342" s="6">
        <f>HYPERLINK("https://www.kleinanzeigen.de/s-bestandsliste.html?userId=15621484", "Link")</f>
        <v/>
      </c>
      <c r="K1342" s="7" t="n">
        <v>45549.57918981482</v>
      </c>
      <c r="L1342" s="3" t="inlineStr">
        <is>
          <t>16.76</t>
        </is>
      </c>
      <c r="M1342" t="inlineStr">
        <is>
          <t>München</t>
        </is>
      </c>
    </row>
    <row r="1343">
      <c r="A1343" t="inlineStr">
        <is>
          <t>Neilpryde Neoprenanzug Misson 3/2 Größe 54 XL FRONTZIP!!!</t>
        </is>
      </c>
      <c r="B1343" s="4" t="n">
        <v>80</v>
      </c>
      <c r="C1343" t="inlineStr"/>
      <c r="D1343" t="inlineStr">
        <is>
          <t>14532 Brandenburg - Stahnsdorf</t>
        </is>
      </c>
      <c r="E1343" s="5" t="n">
        <v>45544</v>
      </c>
      <c r="F1343" t="inlineStr">
        <is>
          <t>Sold</t>
        </is>
      </c>
      <c r="G1343" s="6">
        <f>HYPERLINK("https://www.kleinanzeigen.de/s-anzeige/neilpryde-neoprenanzug-misson-3-2-groesse-54-xl-frontzip-/2794888533-230-9830", "Link")</f>
        <v/>
      </c>
      <c r="H1343" s="6">
        <f>HYPERLINK("C:\Projects\Kleinanzeigen-Scraper\offer_images\2794888533", "Link")</f>
        <v/>
      </c>
      <c r="I1343" t="inlineStr">
        <is>
          <t>Georg Abel</t>
        </is>
      </c>
      <c r="J1343" s="6">
        <f>HYPERLINK("https://www.kleinanzeigen.de/s-bestandsliste.html?userId=5793504", "Link")</f>
        <v/>
      </c>
      <c r="K1343" s="7" t="n">
        <v>45549.57916666667</v>
      </c>
      <c r="L1343" s="3" t="inlineStr">
        <is>
          <t>458.23</t>
        </is>
      </c>
      <c r="M1343" t="inlineStr">
        <is>
          <t>Köln</t>
        </is>
      </c>
    </row>
    <row r="1344">
      <c r="A1344" t="inlineStr">
        <is>
          <t>The North Face Damen Jacke XL</t>
        </is>
      </c>
      <c r="B1344" s="4" t="n">
        <v>65</v>
      </c>
      <c r="C1344" t="inlineStr">
        <is>
          <t>VB</t>
        </is>
      </c>
      <c r="D1344" t="inlineStr">
        <is>
          <t>57319 Nordrhein-Westfalen - Bad Berleburg</t>
        </is>
      </c>
      <c r="E1344" s="5" t="n">
        <v>45543</v>
      </c>
      <c r="F1344" t="inlineStr">
        <is>
          <t>Sold</t>
        </is>
      </c>
      <c r="G1344" s="6">
        <f>HYPERLINK("https://www.kleinanzeigen.de/s-anzeige/the-north-face-damen-jacke-xl/2857284906-248-1479", "Link")</f>
        <v/>
      </c>
      <c r="H1344" s="6">
        <f>HYPERLINK("C:\Projects\Kleinanzeigen-Scraper\offer_images\2857284906", "Link")</f>
        <v/>
      </c>
      <c r="I1344" t="inlineStr">
        <is>
          <t>Privater Anbieter</t>
        </is>
      </c>
      <c r="J1344" s="6">
        <f>HYPERLINK("https://www.kleinanzeigen.de/s-bestandsliste.html?userId=27009668", "Link")</f>
        <v/>
      </c>
      <c r="K1344" s="7" t="n">
        <v>45549.57916666667</v>
      </c>
      <c r="L1344" s="3" t="inlineStr">
        <is>
          <t>101.95</t>
        </is>
      </c>
      <c r="M1344" t="inlineStr">
        <is>
          <t>Köln</t>
        </is>
      </c>
    </row>
    <row r="1345">
      <c r="A1345" t="inlineStr">
        <is>
          <t>Neilpryde-Long John, Damen, Gr. 38, ungetragen, Surfen, SUP</t>
        </is>
      </c>
      <c r="B1345" s="4" t="n">
        <v>60</v>
      </c>
      <c r="C1345" t="inlineStr">
        <is>
          <t>VB</t>
        </is>
      </c>
      <c r="D1345" t="inlineStr">
        <is>
          <t>33615 Bielefeld - Bielefeld (Innenstadt)</t>
        </is>
      </c>
      <c r="E1345" s="5" t="n">
        <v>45496</v>
      </c>
      <c r="F1345" t="inlineStr"/>
      <c r="G1345" s="6">
        <f>HYPERLINK("https://www.kleinanzeigen.de/s-anzeige/neilpryde-long-john-damen-gr-38-ungetragen-surfen-sup/2818923594-230-1058", "Link")</f>
        <v/>
      </c>
      <c r="H1345" s="6">
        <f>HYPERLINK("C:\Projects\Kleinanzeigen-Scraper\offer_images\2818923594", "Link")</f>
        <v/>
      </c>
      <c r="I1345" t="inlineStr">
        <is>
          <t>Carola Giller</t>
        </is>
      </c>
      <c r="J1345" s="6">
        <f>HYPERLINK("https://www.kleinanzeigen.de/s-bestandsliste.html?userId=7988525", "Link")</f>
        <v/>
      </c>
      <c r="K1345" s="7" t="n">
        <v>45549.57916666667</v>
      </c>
      <c r="L1345" s="3" t="inlineStr">
        <is>
          <t>162.21</t>
        </is>
      </c>
      <c r="M1345" t="inlineStr">
        <is>
          <t>Köln</t>
        </is>
      </c>
    </row>
    <row r="1346">
      <c r="A1346" t="inlineStr">
        <is>
          <t>Kite RRD Passion - Roberto Ricci Design 7m²</t>
        </is>
      </c>
      <c r="B1346" s="4" t="n">
        <v>300</v>
      </c>
      <c r="C1346" t="inlineStr"/>
      <c r="D1346" t="inlineStr">
        <is>
          <t>17153 Hansestadt Demmin - Stavenhagen</t>
        </is>
      </c>
      <c r="E1346" s="5" t="n">
        <v>44732</v>
      </c>
      <c r="F1346" t="inlineStr">
        <is>
          <t>Sold</t>
        </is>
      </c>
      <c r="G1346" s="6">
        <f>HYPERLINK("https://www.kleinanzeigen.de/s-anzeige/kite-rrd-passion-roberto-ricci-design-7m-/2137413870-230-13195", "Link")</f>
        <v/>
      </c>
      <c r="H1346" s="6">
        <f>HYPERLINK("C:\Projects\Kleinanzeigen-Scraper\offer_images\2137413870", "Link")</f>
        <v/>
      </c>
      <c r="I1346" t="inlineStr">
        <is>
          <t>P. K.</t>
        </is>
      </c>
      <c r="J1346" s="6">
        <f>HYPERLINK("https://www.kleinanzeigen.de/s-bestandsliste.html?userId=626407", "Link")</f>
        <v/>
      </c>
      <c r="K1346" s="7" t="n">
        <v>45549.57915509259</v>
      </c>
      <c r="L1346" s="3" t="inlineStr">
        <is>
          <t>506.99</t>
        </is>
      </c>
      <c r="M1346" t="inlineStr">
        <is>
          <t>Köln</t>
        </is>
      </c>
    </row>
    <row r="1347">
      <c r="A1347" t="inlineStr">
        <is>
          <t>Francisco Goya  Junge Spanierin Meisterwerke der Malerei 1905</t>
        </is>
      </c>
      <c r="B1347" s="4" t="n">
        <v>28</v>
      </c>
      <c r="C1347" t="inlineStr"/>
      <c r="D1347" t="inlineStr">
        <is>
          <t>71229 Baden-Württemberg - Leonberg</t>
        </is>
      </c>
      <c r="E1347" s="5" t="n">
        <v>45541</v>
      </c>
      <c r="F1347" t="inlineStr"/>
      <c r="G1347" s="6">
        <f>HYPERLINK("https://www.kleinanzeigen.de/s-anzeige/francisco-goya-junge-spanierin-meisterwerke-der-malerei-1905/2855482492-240-8441", "Link")</f>
        <v/>
      </c>
      <c r="H1347" s="6">
        <f>HYPERLINK("C:\Projects\Kleinanzeigen-Scraper\offer_images\2855482492", "Link")</f>
        <v/>
      </c>
      <c r="I1347" t="inlineStr">
        <is>
          <t>Yvonne</t>
        </is>
      </c>
      <c r="J1347" s="6">
        <f>HYPERLINK("https://www.kleinanzeigen.de/s-bestandsliste.html?userId=118001946", "Link")</f>
        <v/>
      </c>
      <c r="K1347" s="7" t="n">
        <v>45549.57914351852</v>
      </c>
      <c r="L1347" s="3" t="inlineStr">
        <is>
          <t>13.97</t>
        </is>
      </c>
      <c r="M1347" t="inlineStr">
        <is>
          <t>Böblingen</t>
        </is>
      </c>
    </row>
    <row r="1348">
      <c r="A1348" t="inlineStr">
        <is>
          <t>Acryl Farben/ Goya und Sostrene Grene Acrylic</t>
        </is>
      </c>
      <c r="B1348" s="4" t="n">
        <v>30</v>
      </c>
      <c r="C1348" t="inlineStr">
        <is>
          <t>VB</t>
        </is>
      </c>
      <c r="D1348" t="inlineStr">
        <is>
          <t>44227 Dortmund - Eichlinghofen</t>
        </is>
      </c>
      <c r="E1348" s="5" t="n">
        <v>45518</v>
      </c>
      <c r="F1348" t="inlineStr">
        <is>
          <t>Sold</t>
        </is>
      </c>
      <c r="G1348" s="6">
        <f>HYPERLINK("https://www.kleinanzeigen.de/s-anzeige/acryl-farben-goya-und-sostrene-grene-acrylic/2836510344-282-28091", "Link")</f>
        <v/>
      </c>
      <c r="H1348" s="6">
        <f>HYPERLINK("C:\Projects\Kleinanzeigen-Scraper\offer_images\2836510344", "Link")</f>
        <v/>
      </c>
      <c r="I1348" t="inlineStr">
        <is>
          <t>Dean</t>
        </is>
      </c>
      <c r="J1348" s="6">
        <f>HYPERLINK("https://www.kleinanzeigen.de/s-bestandsliste.html?userId=57414901", "Link")</f>
        <v/>
      </c>
      <c r="K1348" s="7" t="n">
        <v>45549.57914351852</v>
      </c>
      <c r="L1348" s="3" t="inlineStr">
        <is>
          <t>66.90</t>
        </is>
      </c>
      <c r="M1348" t="inlineStr">
        <is>
          <t>Köln</t>
        </is>
      </c>
    </row>
    <row r="1349">
      <c r="A1349" t="inlineStr">
        <is>
          <t>Neoprenanzug Neilpryde  MEN 52</t>
        </is>
      </c>
      <c r="B1349" s="4" t="n">
        <v>120</v>
      </c>
      <c r="C1349" t="inlineStr"/>
      <c r="D1349" t="inlineStr">
        <is>
          <t>38667 Niedersachsen - Bad Harzburg</t>
        </is>
      </c>
      <c r="E1349" s="5" t="n">
        <v>45530</v>
      </c>
      <c r="F1349" t="inlineStr">
        <is>
          <t>Sold</t>
        </is>
      </c>
      <c r="G1349" s="6">
        <f>HYPERLINK("https://www.kleinanzeigen.de/s-anzeige/neoprenanzug-neilpryde-men-52/2847045407-230-14380", "Link")</f>
        <v/>
      </c>
      <c r="H1349" s="6">
        <f>HYPERLINK("C:\Projects\Kleinanzeigen-Scraper\offer_images\2847045407", "Link")</f>
        <v/>
      </c>
      <c r="I1349" t="inlineStr">
        <is>
          <t>Nico</t>
        </is>
      </c>
      <c r="J1349" s="6">
        <f>HYPERLINK("https://www.kleinanzeigen.de/s-bestandsliste.html?userId=3019980", "Link")</f>
        <v/>
      </c>
      <c r="K1349" s="7" t="n">
        <v>45549.57914351852</v>
      </c>
      <c r="L1349" s="3" t="inlineStr">
        <is>
          <t>271.28</t>
        </is>
      </c>
      <c r="M1349" t="inlineStr">
        <is>
          <t>Köln</t>
        </is>
      </c>
    </row>
    <row r="1350">
      <c r="A1350" t="inlineStr">
        <is>
          <t>Windsurfen, Tabou Rocket, Fanatic, North Sails E-Type</t>
        </is>
      </c>
      <c r="B1350" s="4" t="n">
        <v>150</v>
      </c>
      <c r="C1350" t="inlineStr">
        <is>
          <t>VB</t>
        </is>
      </c>
      <c r="D1350" t="inlineStr">
        <is>
          <t>26160 Bad Zwischenahn - Bloh</t>
        </is>
      </c>
      <c r="E1350" s="5" t="n">
        <v>45508</v>
      </c>
      <c r="F1350" t="inlineStr">
        <is>
          <t>Sold</t>
        </is>
      </c>
      <c r="G1350" s="6">
        <f>HYPERLINK("https://www.kleinanzeigen.de/s-anzeige/windsurfen-tabou-rocket-fanatic-north-sails-e-type/2828528604-230-25886", "Link")</f>
        <v/>
      </c>
      <c r="H1350" s="6">
        <f>HYPERLINK("C:\Projects\Kleinanzeigen-Scraper\offer_images\2828528604", "Link")</f>
        <v/>
      </c>
      <c r="I1350" t="inlineStr">
        <is>
          <t>Gröger</t>
        </is>
      </c>
      <c r="J1350" s="6">
        <f>HYPERLINK("https://www.kleinanzeigen.de/s-bestandsliste.html?userId=3441251", "Link")</f>
        <v/>
      </c>
      <c r="K1350" s="7" t="n">
        <v>45549.57913194445</v>
      </c>
      <c r="L1350" s="3" t="inlineStr">
        <is>
          <t>260.27</t>
        </is>
      </c>
      <c r="M1350" t="inlineStr">
        <is>
          <t>Köln</t>
        </is>
      </c>
    </row>
    <row r="1351">
      <c r="A1351" t="inlineStr">
        <is>
          <t>Fanatic Ray Air Enduro 11‘0 / SUP / Stand up Paddle</t>
        </is>
      </c>
      <c r="B1351" s="4" t="n">
        <v>510</v>
      </c>
      <c r="C1351" t="inlineStr">
        <is>
          <t>VB</t>
        </is>
      </c>
      <c r="D1351" t="inlineStr">
        <is>
          <t>22303 Hamburg-Nord - Hamburg Winterhude</t>
        </is>
      </c>
      <c r="E1351" s="5" t="n">
        <v>45508</v>
      </c>
      <c r="F1351" t="inlineStr">
        <is>
          <t>Sold</t>
        </is>
      </c>
      <c r="G1351" s="6">
        <f>HYPERLINK("https://www.kleinanzeigen.de/s-anzeige/fanatic-ray-air-enduro-11-0-sup-stand-up-paddle/2828374642-230-9482", "Link")</f>
        <v/>
      </c>
      <c r="H1351" s="6">
        <f>HYPERLINK("C:\Projects\Kleinanzeigen-Scraper\offer_images\2828374642", "Link")</f>
        <v/>
      </c>
      <c r="I1351" t="inlineStr">
        <is>
          <t>Antonia</t>
        </is>
      </c>
      <c r="J1351" s="6">
        <f>HYPERLINK("https://www.kleinanzeigen.de/s-bestandsliste.html?userId=30932025", "Link")</f>
        <v/>
      </c>
      <c r="K1351" s="7" t="n">
        <v>45549.57913194445</v>
      </c>
      <c r="L1351" s="3" t="inlineStr">
        <is>
          <t>361.45</t>
        </is>
      </c>
      <c r="M1351" t="inlineStr">
        <is>
          <t>Köln</t>
        </is>
      </c>
    </row>
    <row r="1352">
      <c r="A1352" t="inlineStr">
        <is>
          <t>North Orbit 2023 11 qm</t>
        </is>
      </c>
      <c r="B1352" s="4" t="n">
        <v>850</v>
      </c>
      <c r="C1352" t="inlineStr">
        <is>
          <t>VB</t>
        </is>
      </c>
      <c r="D1352" t="inlineStr">
        <is>
          <t>22607 Altona - Hamburg Groß Flottbek</t>
        </is>
      </c>
      <c r="E1352" s="5" t="n">
        <v>45542</v>
      </c>
      <c r="F1352" t="inlineStr">
        <is>
          <t>Sold</t>
        </is>
      </c>
      <c r="G1352" s="6">
        <f>HYPERLINK("https://www.kleinanzeigen.de/s-anzeige/north-orbit-2023-11-qm/2856811384-230-9500", "Link")</f>
        <v/>
      </c>
      <c r="H1352" s="6">
        <f>HYPERLINK("C:\Projects\Kleinanzeigen-Scraper\offer_images\2856811384", "Link")</f>
        <v/>
      </c>
      <c r="I1352" t="inlineStr">
        <is>
          <t>Arne</t>
        </is>
      </c>
      <c r="J1352" s="6">
        <f>HYPERLINK("https://www.kleinanzeigen.de/s-bestandsliste.html?userId=6960897", "Link")</f>
        <v/>
      </c>
      <c r="K1352" s="7" t="n">
        <v>45549.57912037037</v>
      </c>
      <c r="L1352" s="3" t="inlineStr">
        <is>
          <t>354.01</t>
        </is>
      </c>
      <c r="M1352" t="inlineStr">
        <is>
          <t>Köln</t>
        </is>
      </c>
    </row>
    <row r="1353">
      <c r="A1353" t="inlineStr">
        <is>
          <t>Naish Wing Surfer 5.3 Wingfoilen</t>
        </is>
      </c>
      <c r="B1353" s="4" t="n">
        <v>190</v>
      </c>
      <c r="C1353" t="inlineStr"/>
      <c r="D1353" t="inlineStr">
        <is>
          <t>26197 Niedersachsen - Großenkneten</t>
        </is>
      </c>
      <c r="E1353" s="5" t="n">
        <v>45548</v>
      </c>
      <c r="F1353" t="inlineStr">
        <is>
          <t>Sold</t>
        </is>
      </c>
      <c r="G1353" s="6">
        <f>HYPERLINK("https://www.kleinanzeigen.de/s-anzeige/naish-wing-surfer-5-3-wingfoilen/2861693606-230-2635", "Link")</f>
        <v/>
      </c>
      <c r="H1353" s="6">
        <f>HYPERLINK("C:\Projects\Kleinanzeigen-Scraper\offer_images\2861693606", "Link")</f>
        <v/>
      </c>
      <c r="I1353" t="inlineStr">
        <is>
          <t>Falk</t>
        </is>
      </c>
      <c r="J1353" s="6">
        <f>HYPERLINK("https://www.kleinanzeigen.de/s-bestandsliste.html?userId=121207122", "Link")</f>
        <v/>
      </c>
      <c r="K1353" s="7" t="n">
        <v>45549.57912037037</v>
      </c>
      <c r="L1353" s="3" t="inlineStr">
        <is>
          <t>240.81</t>
        </is>
      </c>
      <c r="M1353" t="inlineStr">
        <is>
          <t>Köln</t>
        </is>
      </c>
    </row>
    <row r="1354">
      <c r="A1354" t="inlineStr">
        <is>
          <t>Neilpryde-Long John mit Jacke,  Gr. 94, ungetragen, Surfen, SUP</t>
        </is>
      </c>
      <c r="B1354" s="4" t="n">
        <v>70</v>
      </c>
      <c r="C1354" t="inlineStr">
        <is>
          <t>VB</t>
        </is>
      </c>
      <c r="D1354" t="inlineStr">
        <is>
          <t>33615 Bielefeld - Bielefeld (Innenstadt)</t>
        </is>
      </c>
      <c r="E1354" s="5" t="n">
        <v>45548</v>
      </c>
      <c r="F1354" t="inlineStr"/>
      <c r="G1354" s="6">
        <f>HYPERLINK("https://www.kleinanzeigen.de/s-anzeige/neilpryde-long-john-mit-jacke-gr-94-ungetragen-surfen-sup/2862334137-230-1058", "Link")</f>
        <v/>
      </c>
      <c r="H1354" s="6">
        <f>HYPERLINK("C:\Projects\Kleinanzeigen-Scraper\offer_images\2862334137", "Link")</f>
        <v/>
      </c>
      <c r="I1354" t="inlineStr">
        <is>
          <t>Carola Giller</t>
        </is>
      </c>
      <c r="J1354" s="6">
        <f>HYPERLINK("https://www.kleinanzeigen.de/s-bestandsliste.html?userId=7988525", "Link")</f>
        <v/>
      </c>
      <c r="K1354" s="7" t="n">
        <v>45549.57912037037</v>
      </c>
      <c r="L1354" s="3" t="inlineStr">
        <is>
          <t>162.21</t>
        </is>
      </c>
      <c r="M1354" t="inlineStr">
        <is>
          <t>Köln</t>
        </is>
      </c>
    </row>
    <row r="1355">
      <c r="A1355" t="inlineStr">
        <is>
          <t>REVELL ÖLPLATTFORM - Bausatz North Cormorant 1:200</t>
        </is>
      </c>
      <c r="B1355" s="4" t="n">
        <v>179</v>
      </c>
      <c r="C1355" t="inlineStr"/>
      <c r="D1355" t="inlineStr">
        <is>
          <t>45131 Essen - Rüttenscheid</t>
        </is>
      </c>
      <c r="E1355" s="5" t="n">
        <v>45536</v>
      </c>
      <c r="F1355" t="inlineStr">
        <is>
          <t>Sold</t>
        </is>
      </c>
      <c r="G1355" s="6">
        <f>HYPERLINK("https://www.kleinanzeigen.de/s-anzeige/revell-oelplattform-bausatz-north-cormorant-1-200/2851867006-249-2046", "Link")</f>
        <v/>
      </c>
      <c r="H1355" s="6">
        <f>HYPERLINK("C:\Projects\Kleinanzeigen-Scraper\offer_images\2851867006", "Link")</f>
        <v/>
      </c>
      <c r="I1355" t="inlineStr">
        <is>
          <t>Jürgen Karpowitz</t>
        </is>
      </c>
      <c r="J1355" s="6">
        <f>HYPERLINK("https://www.kleinanzeigen.de/s-bestandsliste.html?userId=9780791", "Link")</f>
        <v/>
      </c>
      <c r="K1355" s="7" t="n">
        <v>45549.57910879629</v>
      </c>
      <c r="L1355" s="3" t="inlineStr">
        <is>
          <t>54.71</t>
        </is>
      </c>
      <c r="M1355" t="inlineStr">
        <is>
          <t>Köln</t>
        </is>
      </c>
    </row>
    <row r="1356">
      <c r="A1356" t="inlineStr">
        <is>
          <t>Simms Fliegenfischen Hose wathose Gr. M</t>
        </is>
      </c>
      <c r="B1356" s="4" t="n">
        <v>350</v>
      </c>
      <c r="C1356" t="inlineStr"/>
      <c r="D1356" t="inlineStr">
        <is>
          <t>38122 Niedersachsen - Braunschweig</t>
        </is>
      </c>
      <c r="E1356" s="5" t="n">
        <v>45148</v>
      </c>
      <c r="F1356" t="inlineStr"/>
      <c r="G1356" s="6">
        <f>HYPERLINK("https://www.kleinanzeigen.de/s-anzeige/simms-fliegenfischen-hose-wathose-gr-m/2517523377-230-2454", "Link")</f>
        <v/>
      </c>
      <c r="H1356" s="6">
        <f>HYPERLINK("C:\Projects\Kleinanzeigen-Scraper\offer_images\2517523377", "Link")</f>
        <v/>
      </c>
      <c r="I1356" t="inlineStr">
        <is>
          <t>Kathe Richter</t>
        </is>
      </c>
      <c r="J1356" s="6">
        <f>HYPERLINK("https://www.kleinanzeigen.de/s-bestandsliste.html?userId=23092531", "Link")</f>
        <v/>
      </c>
      <c r="K1356" s="7" t="n">
        <v>45549.57909722222</v>
      </c>
      <c r="L1356" s="3" t="inlineStr">
        <is>
          <t>281.87</t>
        </is>
      </c>
      <c r="M1356" t="inlineStr">
        <is>
          <t>Köln</t>
        </is>
      </c>
    </row>
    <row r="1357">
      <c r="A1357" t="inlineStr">
        <is>
          <t>4x Outwell Goya Stühle</t>
        </is>
      </c>
      <c r="B1357" s="4" t="n">
        <v>80</v>
      </c>
      <c r="C1357" t="inlineStr">
        <is>
          <t>VB</t>
        </is>
      </c>
      <c r="D1357" t="inlineStr">
        <is>
          <t>53757 Nordrhein-Westfalen - Sankt Augustin</t>
        </is>
      </c>
      <c r="E1357" s="5" t="n">
        <v>45450</v>
      </c>
      <c r="F1357" t="inlineStr"/>
      <c r="G1357" s="6">
        <f>HYPERLINK("https://www.kleinanzeigen.de/s-anzeige/4x-outwell-goya-stuehle/2782192950-230-1861", "Link")</f>
        <v/>
      </c>
      <c r="H1357" s="6">
        <f>HYPERLINK("C:\Projects\Kleinanzeigen-Scraper\offer_images\2782192950", "Link")</f>
        <v/>
      </c>
      <c r="I1357" t="inlineStr">
        <is>
          <t>Marc Bubley</t>
        </is>
      </c>
      <c r="J1357" s="6">
        <f>HYPERLINK("https://www.kleinanzeigen.de/s-bestandsliste.html?userId=8461474", "Link")</f>
        <v/>
      </c>
      <c r="K1357" s="7" t="n">
        <v>45549.57909722222</v>
      </c>
      <c r="L1357" s="3" t="inlineStr">
        <is>
          <t>26.47</t>
        </is>
      </c>
      <c r="M1357" t="inlineStr">
        <is>
          <t>Köln</t>
        </is>
      </c>
    </row>
    <row r="1358">
      <c r="A1358" t="inlineStr">
        <is>
          <t>Duotone trustbar 2024</t>
        </is>
      </c>
      <c r="B1358" s="4" t="n">
        <v>300</v>
      </c>
      <c r="C1358" t="inlineStr">
        <is>
          <t>VB</t>
        </is>
      </c>
      <c r="D1358" t="inlineStr">
        <is>
          <t>22765 Altona - Hamburg Ottensen</t>
        </is>
      </c>
      <c r="E1358" s="5" t="n">
        <v>45546</v>
      </c>
      <c r="F1358" t="inlineStr">
        <is>
          <t>Sold</t>
        </is>
      </c>
      <c r="G1358" s="6">
        <f>HYPERLINK("https://www.kleinanzeigen.de/s-anzeige/duotone-trustbar-2024/2860759805-230-9504", "Link")</f>
        <v/>
      </c>
      <c r="H1358" s="6">
        <f>HYPERLINK("C:\Projects\Kleinanzeigen-Scraper\offer_images\2860759805", "Link")</f>
        <v/>
      </c>
      <c r="I1358" t="inlineStr">
        <is>
          <t>Di lorenzo</t>
        </is>
      </c>
      <c r="J1358" s="6">
        <f>HYPERLINK("https://www.kleinanzeigen.de/s-bestandsliste.html?userId=12607707", "Link")</f>
        <v/>
      </c>
      <c r="K1358" s="7" t="n">
        <v>45549.57908564815</v>
      </c>
      <c r="L1358" s="3" t="inlineStr">
        <is>
          <t>354.49</t>
        </is>
      </c>
      <c r="M1358" t="inlineStr">
        <is>
          <t>Köln</t>
        </is>
      </c>
    </row>
    <row r="1359">
      <c r="A1359" t="inlineStr">
        <is>
          <t>H0 EMD SD9 - Burlington Northern - Athearn - US USA</t>
        </is>
      </c>
      <c r="B1359" s="4" t="n">
        <v>25</v>
      </c>
      <c r="C1359" t="inlineStr"/>
      <c r="D1359" t="inlineStr">
        <is>
          <t>63796 Bayern - Kahl am Main</t>
        </is>
      </c>
      <c r="E1359" s="5" t="n">
        <v>45548</v>
      </c>
      <c r="F1359" t="inlineStr">
        <is>
          <t>Sold</t>
        </is>
      </c>
      <c r="G1359" s="6">
        <f>HYPERLINK("https://www.kleinanzeigen.de/s-anzeige/h0-emd-sd9-burlington-northern-athearn-us-usa/2861953740-249-4822", "Link")</f>
        <v/>
      </c>
      <c r="H1359" s="6">
        <f>HYPERLINK("C:\Projects\Kleinanzeigen-Scraper\offer_images\2861953740", "Link")</f>
        <v/>
      </c>
      <c r="I1359" t="inlineStr">
        <is>
          <t>Uwe Schachtely</t>
        </is>
      </c>
      <c r="J1359" s="6">
        <f>HYPERLINK("https://www.kleinanzeigen.de/s-bestandsliste.html?userId=26749150", "Link")</f>
        <v/>
      </c>
      <c r="K1359" s="7" t="n">
        <v>45549.57908564815</v>
      </c>
      <c r="L1359" s="3" t="inlineStr">
        <is>
          <t>128.04</t>
        </is>
      </c>
      <c r="M1359" t="inlineStr">
        <is>
          <t>Karlsruhe</t>
        </is>
      </c>
    </row>
    <row r="1360">
      <c r="A1360" t="inlineStr">
        <is>
          <t>Neilpryde Flight F4 Racing Evo Carbon Windfoil</t>
        </is>
      </c>
      <c r="B1360" s="4" t="n">
        <v>750</v>
      </c>
      <c r="C1360" t="inlineStr"/>
      <c r="D1360" t="inlineStr">
        <is>
          <t>47661 Nordrhein-Westfalen - Issum</t>
        </is>
      </c>
      <c r="E1360" s="5" t="n">
        <v>45551</v>
      </c>
      <c r="F1360" t="inlineStr"/>
      <c r="G1360" s="6">
        <f>HYPERLINK("https://www.kleinanzeigen.de/s-anzeige/neilpryde-flight-f4-racing-evo-carbon-windfoil/2856869334-230-1152", "Link")</f>
        <v/>
      </c>
      <c r="H1360" s="6">
        <f>HYPERLINK("C:\Projects\Kleinanzeigen-Scraper\offer_images\2856869334", "Link")</f>
        <v/>
      </c>
      <c r="I1360" t="inlineStr">
        <is>
          <t>chris</t>
        </is>
      </c>
      <c r="J1360" s="6">
        <f>HYPERLINK("https://www.kleinanzeigen.de/s-bestandsliste.html?userId=56527378", "Link")</f>
        <v/>
      </c>
      <c r="K1360" s="7" t="n">
        <v>45549.57907407408</v>
      </c>
      <c r="L1360" s="3" t="inlineStr">
        <is>
          <t>76.72</t>
        </is>
      </c>
      <c r="M1360" t="inlineStr">
        <is>
          <t>Köln</t>
        </is>
      </c>
    </row>
    <row r="1361">
      <c r="A1361" t="inlineStr">
        <is>
          <t>Compoundbogen Bowtech Fanatic 3.0 SD RH, 50-60lbs, 24-29" Auszug</t>
        </is>
      </c>
      <c r="B1361" s="4" t="n">
        <v>459</v>
      </c>
      <c r="C1361" t="inlineStr"/>
      <c r="D1361" t="inlineStr">
        <is>
          <t>37627 Niedersachsen - Stadtoldendorf</t>
        </is>
      </c>
      <c r="E1361" s="5" t="n">
        <v>45522</v>
      </c>
      <c r="F1361" t="inlineStr">
        <is>
          <t>Sold</t>
        </is>
      </c>
      <c r="G1361" s="6">
        <f>HYPERLINK("https://www.kleinanzeigen.de/s-anzeige/compoundbogen-bowtech-fanatic-3-0-sd-rh-50-60lbs-24-29-auszug/2840207873-230-19333", "Link")</f>
        <v/>
      </c>
      <c r="H1361" s="6">
        <f>HYPERLINK("C:\Projects\Kleinanzeigen-Scraper\offer_images\2840207873", "Link")</f>
        <v/>
      </c>
      <c r="I1361" t="inlineStr">
        <is>
          <t>Stefan</t>
        </is>
      </c>
      <c r="J1361" s="6">
        <f>HYPERLINK("https://www.kleinanzeigen.de/s-bestandsliste.html?userId=7070850", "Link")</f>
        <v/>
      </c>
      <c r="K1361" s="7" t="n">
        <v>45549.5790625</v>
      </c>
      <c r="L1361" s="3" t="inlineStr">
        <is>
          <t>210.40</t>
        </is>
      </c>
      <c r="M1361" t="inlineStr">
        <is>
          <t>Köln</t>
        </is>
      </c>
    </row>
    <row r="1362">
      <c r="A1362" t="inlineStr">
        <is>
          <t>USA Kennzeichen Nummernschild New York North Carolina original</t>
        </is>
      </c>
      <c r="B1362" s="4" t="n">
        <v>20</v>
      </c>
      <c r="C1362" t="inlineStr">
        <is>
          <t>VB</t>
        </is>
      </c>
      <c r="D1362" t="inlineStr">
        <is>
          <t>90530 Bayern - Wendelstein</t>
        </is>
      </c>
      <c r="E1362" s="5" t="n">
        <v>45549</v>
      </c>
      <c r="F1362" t="inlineStr">
        <is>
          <t>Sold</t>
        </is>
      </c>
      <c r="G1362" s="6">
        <f>HYPERLINK("https://www.kleinanzeigen.de/s-anzeige/usa-kennzeichen-nummernschild-new-york-north-carolina-original/2862686005-234-5655", "Link")</f>
        <v/>
      </c>
      <c r="H1362" s="6">
        <f>HYPERLINK("C:\Projects\Kleinanzeigen-Scraper\offer_images\2862686005", "Link")</f>
        <v/>
      </c>
      <c r="I1362" t="inlineStr">
        <is>
          <t>Wohlwerth</t>
        </is>
      </c>
      <c r="J1362" s="6">
        <f>HYPERLINK("https://www.kleinanzeigen.de/s-bestandsliste.html?userId=22511441", "Link")</f>
        <v/>
      </c>
      <c r="K1362" s="7" t="n">
        <v>45549.5790625</v>
      </c>
      <c r="L1362" s="3" t="inlineStr">
        <is>
          <t>137.59</t>
        </is>
      </c>
      <c r="M1362" t="inlineStr">
        <is>
          <t>München</t>
        </is>
      </c>
    </row>
    <row r="1363">
      <c r="A1363" t="inlineStr">
        <is>
          <t>Gun Sails Langarm-Schwimmshirt Größe S</t>
        </is>
      </c>
      <c r="B1363" s="4" t="inlineStr"/>
      <c r="C1363" t="inlineStr">
        <is>
          <t>VB</t>
        </is>
      </c>
      <c r="D1363" t="inlineStr">
        <is>
          <t>26121 Niedersachsen - Oldenburg</t>
        </is>
      </c>
      <c r="E1363" s="5" t="n">
        <v>45485</v>
      </c>
      <c r="F1363" t="inlineStr"/>
      <c r="G1363" s="6">
        <f>HYPERLINK("https://www.kleinanzeigen.de/s-anzeige/gun-sails-langarm-schwimmshirt-groesse-s/2810719253-230-3114", "Link")</f>
        <v/>
      </c>
      <c r="H1363" s="6">
        <f>HYPERLINK("C:\Projects\Kleinanzeigen-Scraper\offer_images\2810719253", "Link")</f>
        <v/>
      </c>
      <c r="I1363" t="inlineStr">
        <is>
          <t>Strack</t>
        </is>
      </c>
      <c r="J1363" s="6">
        <f>HYPERLINK("https://www.kleinanzeigen.de/s-bestandsliste.html?userId=10375456", "Link")</f>
        <v/>
      </c>
      <c r="K1363" s="7" t="n">
        <v>45549.57905092592</v>
      </c>
      <c r="L1363" s="3" t="inlineStr">
        <is>
          <t>260.83</t>
        </is>
      </c>
      <c r="M1363" t="inlineStr">
        <is>
          <t>Köln</t>
        </is>
      </c>
    </row>
    <row r="1364">
      <c r="A1364" t="inlineStr">
        <is>
          <t>Duotone / North Click Bar</t>
        </is>
      </c>
      <c r="B1364" s="4" t="n">
        <v>200</v>
      </c>
      <c r="C1364" t="inlineStr">
        <is>
          <t>VB</t>
        </is>
      </c>
      <c r="D1364" t="inlineStr">
        <is>
          <t>85375 Bayern - Neufahrn</t>
        </is>
      </c>
      <c r="E1364" s="5" t="n">
        <v>45546</v>
      </c>
      <c r="F1364" t="inlineStr">
        <is>
          <t>Sold</t>
        </is>
      </c>
      <c r="G1364" s="6">
        <f>HYPERLINK("https://www.kleinanzeigen.de/s-anzeige/duotone-north-click-bar/2860022320-230-6620", "Link")</f>
        <v/>
      </c>
      <c r="H1364" s="6">
        <f>HYPERLINK("C:\Projects\Kleinanzeigen-Scraper\offer_images\2860022320", "Link")</f>
        <v/>
      </c>
      <c r="I1364" t="inlineStr">
        <is>
          <t>Hans</t>
        </is>
      </c>
      <c r="J1364" s="6">
        <f>HYPERLINK("https://www.kleinanzeigen.de/s-bestandsliste.html?userId=12205735", "Link")</f>
        <v/>
      </c>
      <c r="K1364" s="7" t="n">
        <v>45549.57903935185</v>
      </c>
      <c r="L1364" s="3" t="inlineStr">
        <is>
          <t>21.85</t>
        </is>
      </c>
      <c r="M1364" t="inlineStr">
        <is>
          <t>München</t>
        </is>
      </c>
    </row>
    <row r="1365">
      <c r="A1365" t="inlineStr">
        <is>
          <t>Duotone Rebel SLS 2023 15qm NEU OVP</t>
        </is>
      </c>
      <c r="B1365" s="4" t="n">
        <v>1.6</v>
      </c>
      <c r="C1365" t="inlineStr"/>
      <c r="D1365" t="inlineStr">
        <is>
          <t>79576 Baden-Württemberg - Weil am Rhein</t>
        </is>
      </c>
      <c r="E1365" s="5" t="n">
        <v>45545</v>
      </c>
      <c r="F1365" t="inlineStr">
        <is>
          <t>Sold</t>
        </is>
      </c>
      <c r="G1365" s="6">
        <f>HYPERLINK("https://www.kleinanzeigen.de/s-anzeige/duotone-rebel-sls-2023-15qm-neu-ovp/2859837349-230-8325", "Link")</f>
        <v/>
      </c>
      <c r="H1365" s="6">
        <f>HYPERLINK("C:\Projects\Kleinanzeigen-Scraper\offer_images\2859837349", "Link")</f>
        <v/>
      </c>
      <c r="I1365" t="inlineStr">
        <is>
          <t>Daniel</t>
        </is>
      </c>
      <c r="J1365" s="6">
        <f>HYPERLINK("https://www.kleinanzeigen.de/s-bestandsliste.html?userId=124603032", "Link")</f>
        <v/>
      </c>
      <c r="K1365" s="7" t="n">
        <v>45549.57903935185</v>
      </c>
      <c r="L1365" s="3" t="inlineStr">
        <is>
          <t>59.25</t>
        </is>
      </c>
      <c r="M1365" t="inlineStr">
        <is>
          <t>Bonndorf</t>
        </is>
      </c>
    </row>
    <row r="1366">
      <c r="A1366" t="inlineStr">
        <is>
          <t>Schienbeinschützer von Vandal</t>
        </is>
      </c>
      <c r="B1366" s="4" t="n">
        <v>20</v>
      </c>
      <c r="C1366" t="inlineStr">
        <is>
          <t>VB</t>
        </is>
      </c>
      <c r="D1366" t="inlineStr">
        <is>
          <t>04103 Leipzig - Leipzig, Zentrum</t>
        </is>
      </c>
      <c r="E1366" s="5" t="n">
        <v>45466</v>
      </c>
      <c r="F1366" t="inlineStr"/>
      <c r="G1366" s="6">
        <f>HYPERLINK("https://www.kleinanzeigen.de/s-anzeige/schienbeinschuetzer-von-vandal/2795779982-230-4259", "Link")</f>
        <v/>
      </c>
      <c r="H1366" s="6">
        <f>HYPERLINK("C:\Projects\Kleinanzeigen-Scraper\offer_images\2795779982", "Link")</f>
        <v/>
      </c>
      <c r="I1366" t="inlineStr">
        <is>
          <t>Justine Treuter</t>
        </is>
      </c>
      <c r="J1366" s="6">
        <f>HYPERLINK("https://www.kleinanzeigen.de/s-bestandsliste.html?userId=56024249", "Link")</f>
        <v/>
      </c>
      <c r="K1366" s="7" t="n">
        <v>45549.5790162037</v>
      </c>
      <c r="L1366" s="3" t="inlineStr">
        <is>
          <t>359.97</t>
        </is>
      </c>
      <c r="M1366" t="inlineStr">
        <is>
          <t>München</t>
        </is>
      </c>
    </row>
    <row r="1367">
      <c r="A1367" t="inlineStr">
        <is>
          <t>Naish Torque BTB 55cm 24m Kitebar</t>
        </is>
      </c>
      <c r="B1367" s="4" t="n">
        <v>350</v>
      </c>
      <c r="C1367" t="inlineStr">
        <is>
          <t>VB</t>
        </is>
      </c>
      <c r="D1367" t="inlineStr">
        <is>
          <t>23769 Kreis Ostholstein - Fehmarn</t>
        </is>
      </c>
      <c r="E1367" s="5" t="n">
        <v>45543</v>
      </c>
      <c r="F1367" t="inlineStr">
        <is>
          <t>Sold</t>
        </is>
      </c>
      <c r="G1367" s="6">
        <f>HYPERLINK("https://www.kleinanzeigen.de/s-anzeige/naish-torque-btb-55cm-24m-kitebar/2857803118-230-19951", "Link")</f>
        <v/>
      </c>
      <c r="H1367" s="6">
        <f>HYPERLINK("C:\Projects\Kleinanzeigen-Scraper\offer_images\2857803118", "Link")</f>
        <v/>
      </c>
      <c r="I1367" t="inlineStr">
        <is>
          <t>Bastian Aldehoff</t>
        </is>
      </c>
      <c r="J1367" s="6">
        <f>HYPERLINK("https://www.kleinanzeigen.de/s-bestandsliste.html?userId=5624838", "Link")</f>
        <v/>
      </c>
      <c r="K1367" s="7" t="n">
        <v>45549.5790162037</v>
      </c>
      <c r="L1367" s="3" t="inlineStr">
        <is>
          <t>483.01</t>
        </is>
      </c>
      <c r="M1367" t="inlineStr">
        <is>
          <t>Köln</t>
        </is>
      </c>
    </row>
    <row r="1368">
      <c r="A1368" t="inlineStr">
        <is>
          <t>Duotone Unit Wing 4.0 2024</t>
        </is>
      </c>
      <c r="B1368" s="4" t="n">
        <v>550</v>
      </c>
      <c r="C1368" t="inlineStr"/>
      <c r="D1368" t="inlineStr">
        <is>
          <t>87494 Bayern - Rückholz</t>
        </is>
      </c>
      <c r="E1368" s="5" t="n">
        <v>45538</v>
      </c>
      <c r="F1368" t="inlineStr">
        <is>
          <t>Sold</t>
        </is>
      </c>
      <c r="G1368" s="6">
        <f>HYPERLINK("https://www.kleinanzeigen.de/s-anzeige/duotone-unit-wing-4-0-2024/2853161652-230-6558", "Link")</f>
        <v/>
      </c>
      <c r="H1368" s="6">
        <f>HYPERLINK("C:\Projects\Kleinanzeigen-Scraper\offer_images\2853161652", "Link")</f>
        <v/>
      </c>
      <c r="I1368" t="inlineStr">
        <is>
          <t>V. Hiermeier</t>
        </is>
      </c>
      <c r="J1368" s="6">
        <f>HYPERLINK("https://www.kleinanzeigen.de/s-bestandsliste.html?userId=7453073", "Link")</f>
        <v/>
      </c>
      <c r="K1368" s="7" t="n">
        <v>45549.5790162037</v>
      </c>
      <c r="L1368" s="3" t="inlineStr">
        <is>
          <t>92.86</t>
        </is>
      </c>
      <c r="M1368" t="inlineStr">
        <is>
          <t>München</t>
        </is>
      </c>
    </row>
    <row r="1369">
      <c r="A1369" t="inlineStr">
        <is>
          <t>Sailloft Wing UFO 3,5 m2</t>
        </is>
      </c>
      <c r="B1369" s="4" t="n">
        <v>310</v>
      </c>
      <c r="C1369" t="inlineStr">
        <is>
          <t>VB</t>
        </is>
      </c>
      <c r="D1369" t="inlineStr">
        <is>
          <t>25578 Schleswig-Holstein - Dägeling</t>
        </is>
      </c>
      <c r="E1369" s="5" t="n">
        <v>45546</v>
      </c>
      <c r="F1369" t="inlineStr">
        <is>
          <t>Sold</t>
        </is>
      </c>
      <c r="G1369" s="6">
        <f>HYPERLINK("https://www.kleinanzeigen.de/s-anzeige/sailloft-wing-ufo-3-5-m2/2860655816-230-20070", "Link")</f>
        <v/>
      </c>
      <c r="H1369" s="6">
        <f>HYPERLINK("C:\Projects\Kleinanzeigen-Scraper\offer_images\2860655816", "Link")</f>
        <v/>
      </c>
      <c r="I1369" t="inlineStr">
        <is>
          <t>Sven Olde</t>
        </is>
      </c>
      <c r="J1369" s="6">
        <f>HYPERLINK("https://www.kleinanzeigen.de/s-bestandsliste.html?userId=22610828", "Link")</f>
        <v/>
      </c>
      <c r="K1369" s="7" t="n">
        <v>45549.5790162037</v>
      </c>
      <c r="L1369" s="3" t="inlineStr">
        <is>
          <t>370.63</t>
        </is>
      </c>
      <c r="M1369" t="inlineStr">
        <is>
          <t>Köln</t>
        </is>
      </c>
    </row>
    <row r="1370">
      <c r="A1370" t="inlineStr">
        <is>
          <t>Duotone UNIT 2024 - 5.0 WING</t>
        </is>
      </c>
      <c r="B1370" s="4" t="n">
        <v>640</v>
      </c>
      <c r="C1370" t="inlineStr"/>
      <c r="D1370" t="inlineStr">
        <is>
          <t>67245 Rheinland-Pfalz - Lambsheim</t>
        </is>
      </c>
      <c r="E1370" s="5" t="n">
        <v>45546</v>
      </c>
      <c r="F1370" t="inlineStr">
        <is>
          <t>Sold</t>
        </is>
      </c>
      <c r="G1370" s="6">
        <f>HYPERLINK("https://www.kleinanzeigen.de/s-anzeige/duotone-unit-2024-5-0-wing/2860201721-230-5186", "Link")</f>
        <v/>
      </c>
      <c r="H1370" s="6">
        <f>HYPERLINK("C:\Projects\Kleinanzeigen-Scraper\offer_images\2860201721", "Link")</f>
        <v/>
      </c>
      <c r="I1370" t="inlineStr">
        <is>
          <t>Frank</t>
        </is>
      </c>
      <c r="J1370" s="6">
        <f>HYPERLINK("https://www.kleinanzeigen.de/s-bestandsliste.html?userId=8491603", "Link")</f>
        <v/>
      </c>
      <c r="K1370" s="7" t="n">
        <v>45549.57899305555</v>
      </c>
      <c r="L1370" s="3" t="inlineStr">
        <is>
          <t>56.18</t>
        </is>
      </c>
      <c r="M1370" t="inlineStr">
        <is>
          <t>Karlsruhe</t>
        </is>
      </c>
    </row>
    <row r="1371">
      <c r="A1371" t="inlineStr">
        <is>
          <t>North Orbit Kite 2024 9m</t>
        </is>
      </c>
      <c r="B1371" s="4" t="n">
        <v>850</v>
      </c>
      <c r="C1371" t="inlineStr"/>
      <c r="D1371" t="inlineStr">
        <is>
          <t>80638 Neuhausen-Nymphenburg - Nymphenburg</t>
        </is>
      </c>
      <c r="E1371" s="5" t="n">
        <v>45543</v>
      </c>
      <c r="F1371" t="inlineStr">
        <is>
          <t>Sold</t>
        </is>
      </c>
      <c r="G1371" s="6">
        <f>HYPERLINK("https://www.kleinanzeigen.de/s-anzeige/north-orbit-kite-2024-9m/2857127330-230-6421", "Link")</f>
        <v/>
      </c>
      <c r="H1371" s="6">
        <f>HYPERLINK("C:\Projects\Kleinanzeigen-Scraper\offer_images\2857127330", "Link")</f>
        <v/>
      </c>
      <c r="I1371" t="inlineStr">
        <is>
          <t>Loui</t>
        </is>
      </c>
      <c r="J1371" s="6">
        <f>HYPERLINK("https://www.kleinanzeigen.de/s-bestandsliste.html?userId=67174608", "Link")</f>
        <v/>
      </c>
      <c r="K1371" s="7" t="n">
        <v>45549.57899305555</v>
      </c>
      <c r="L1371" s="3" t="inlineStr">
        <is>
          <t>5.88</t>
        </is>
      </c>
      <c r="M1371" t="inlineStr">
        <is>
          <t>München</t>
        </is>
      </c>
    </row>
    <row r="1372">
      <c r="A1372" t="inlineStr">
        <is>
          <t>North Reach 10 m 2023, neu, Schnäppchen, Kite, kiteboarding</t>
        </is>
      </c>
      <c r="B1372" s="4" t="n">
        <v>893</v>
      </c>
      <c r="C1372" t="inlineStr"/>
      <c r="D1372" t="inlineStr">
        <is>
          <t>10585 Berlin - Charlottenburg</t>
        </is>
      </c>
      <c r="E1372" s="5" t="n">
        <v>45541</v>
      </c>
      <c r="F1372" t="inlineStr">
        <is>
          <t>Sold</t>
        </is>
      </c>
      <c r="G1372" s="6">
        <f>HYPERLINK("https://www.kleinanzeigen.de/s-anzeige/north-reach-10-m-2023-neu-schnaeppchen-kite-kiteboarding/2855428336-230-3347", "Link")</f>
        <v/>
      </c>
      <c r="H1372" s="6">
        <f>HYPERLINK("C:\Projects\Kleinanzeigen-Scraper\offer_images\2855428336", "Link")</f>
        <v/>
      </c>
      <c r="I1372" t="inlineStr">
        <is>
          <t>Jonas</t>
        </is>
      </c>
      <c r="J1372" s="6">
        <f>HYPERLINK("https://www.kleinanzeigen.de/s-bestandsliste.html?userId=18553959", "Link")</f>
        <v/>
      </c>
      <c r="K1372" s="7" t="n">
        <v>45549.57898148148</v>
      </c>
      <c r="L1372" s="3" t="inlineStr">
        <is>
          <t>471.07</t>
        </is>
      </c>
      <c r="M1372" t="inlineStr">
        <is>
          <t>Köln</t>
        </is>
      </c>
    </row>
    <row r="1373">
      <c r="A1373" t="inlineStr">
        <is>
          <t>Spitzenschuhe GRISHKO Gr. 7,5 Mittel MF xxxx. Neu! Dream Point</t>
        </is>
      </c>
      <c r="B1373" s="4" t="n">
        <v>50</v>
      </c>
      <c r="C1373" t="inlineStr"/>
      <c r="D1373" t="inlineStr">
        <is>
          <t>29690 Niedersachsen - Schwarmstedt</t>
        </is>
      </c>
      <c r="E1373" s="5" t="n">
        <v>45360</v>
      </c>
      <c r="F1373" t="inlineStr"/>
      <c r="G1373" s="6">
        <f>HYPERLINK("https://www.kleinanzeigen.de/s-anzeige/spitzenschuhe-grishko-gr-7-5-mittel-mf-xxxx-neu-dream-point/2701171859-230-2917", "Link")</f>
        <v/>
      </c>
      <c r="H1373" s="6">
        <f>HYPERLINK("C:\Projects\Kleinanzeigen-Scraper\offer_images\2701171859", "Link")</f>
        <v/>
      </c>
      <c r="I1373" t="inlineStr">
        <is>
          <t>Mareike Philipp</t>
        </is>
      </c>
      <c r="J1373" s="6">
        <f>HYPERLINK("https://www.kleinanzeigen.de/s-bestandsliste.html?userId=15148671", "Link")</f>
        <v/>
      </c>
      <c r="K1373" s="7" t="n">
        <v>45549.57896990741</v>
      </c>
      <c r="L1373" s="3" t="inlineStr">
        <is>
          <t>266.20</t>
        </is>
      </c>
      <c r="M1373" t="inlineStr">
        <is>
          <t>Köln</t>
        </is>
      </c>
    </row>
    <row r="1374">
      <c r="A1374" t="inlineStr">
        <is>
          <t>Neilpryde-Long John, Women,Langarm,Gr. 42, ungetragen, Surfen,SUP</t>
        </is>
      </c>
      <c r="B1374" s="4" t="n">
        <v>65</v>
      </c>
      <c r="C1374" t="inlineStr">
        <is>
          <t>VB</t>
        </is>
      </c>
      <c r="D1374" t="inlineStr">
        <is>
          <t>33615 Bielefeld - Bielefeld (Innenstadt)</t>
        </is>
      </c>
      <c r="E1374" s="5" t="n">
        <v>45548</v>
      </c>
      <c r="F1374" t="inlineStr"/>
      <c r="G1374" s="6">
        <f>HYPERLINK("https://www.kleinanzeigen.de/s-anzeige/neilpryde-long-john-women-langarm-gr-42-ungetragen-surfen-sup/2862313277-230-1058", "Link")</f>
        <v/>
      </c>
      <c r="H1374" s="6">
        <f>HYPERLINK("C:\Projects\Kleinanzeigen-Scraper\offer_images\2862313277", "Link")</f>
        <v/>
      </c>
      <c r="I1374" t="inlineStr">
        <is>
          <t>Carola Giller</t>
        </is>
      </c>
      <c r="J1374" s="6">
        <f>HYPERLINK("https://www.kleinanzeigen.de/s-bestandsliste.html?userId=7988525", "Link")</f>
        <v/>
      </c>
      <c r="K1374" s="7" t="n">
        <v>45549.57896990741</v>
      </c>
      <c r="L1374" s="3" t="inlineStr">
        <is>
          <t>162.21</t>
        </is>
      </c>
      <c r="M1374" t="inlineStr">
        <is>
          <t>Köln</t>
        </is>
      </c>
    </row>
    <row r="1375">
      <c r="A1375" t="inlineStr">
        <is>
          <t>DUOTONE Slick Wing 4.0 - 2023</t>
        </is>
      </c>
      <c r="B1375" s="4" t="n">
        <v>460</v>
      </c>
      <c r="C1375" t="inlineStr"/>
      <c r="D1375" t="inlineStr">
        <is>
          <t>24226 Schleswig-Holstein - Heikendorf</t>
        </is>
      </c>
      <c r="E1375" s="5" t="n">
        <v>45542</v>
      </c>
      <c r="F1375" t="inlineStr">
        <is>
          <t>Sold</t>
        </is>
      </c>
      <c r="G1375" s="6">
        <f>HYPERLINK("https://www.kleinanzeigen.de/s-anzeige/duotone-slick-wing-4-0-2023/2856337288-230-672", "Link")</f>
        <v/>
      </c>
      <c r="H1375" s="6">
        <f>HYPERLINK("C:\Projects\Kleinanzeigen-Scraper\offer_images\2856337288", "Link")</f>
        <v/>
      </c>
      <c r="I1375" t="inlineStr">
        <is>
          <t>Privatanbieter</t>
        </is>
      </c>
      <c r="J1375" s="6">
        <f>HYPERLINK("https://www.kleinanzeigen.de/s-bestandsliste.html?userId=11097585", "Link")</f>
        <v/>
      </c>
      <c r="K1375" s="7" t="n">
        <v>45549.57895833333</v>
      </c>
      <c r="L1375" s="3" t="inlineStr">
        <is>
          <t>441.08</t>
        </is>
      </c>
      <c r="M1375" t="inlineStr">
        <is>
          <t>Köln</t>
        </is>
      </c>
    </row>
    <row r="1376">
      <c r="A1376" t="inlineStr">
        <is>
          <t>Kite Naish Dash 12m 2018 inkl. Naish Bar</t>
        </is>
      </c>
      <c r="B1376" s="4" t="n">
        <v>390</v>
      </c>
      <c r="C1376" t="inlineStr"/>
      <c r="D1376" t="inlineStr">
        <is>
          <t>60386 Frankfurt am Main - Fechenheim</t>
        </is>
      </c>
      <c r="E1376" s="5" t="n">
        <v>45461</v>
      </c>
      <c r="F1376" t="inlineStr">
        <is>
          <t>Sold</t>
        </is>
      </c>
      <c r="G1376" s="6">
        <f>HYPERLINK("https://www.kleinanzeigen.de/s-anzeige/kite-naish-dash-12m-2018-inkl-naish-bar/2791117914-230-4295", "Link")</f>
        <v/>
      </c>
      <c r="H1376" s="6">
        <f>HYPERLINK("C:\Projects\Kleinanzeigen-Scraper\offer_images\2791117914", "Link")</f>
        <v/>
      </c>
      <c r="I1376" t="inlineStr">
        <is>
          <t>Stephan</t>
        </is>
      </c>
      <c r="J1376" s="6">
        <f>HYPERLINK("https://www.kleinanzeigen.de/s-bestandsliste.html?userId=21563510", "Link")</f>
        <v/>
      </c>
      <c r="K1376" s="7" t="n">
        <v>45549.57895833333</v>
      </c>
      <c r="L1376" s="3" t="inlineStr">
        <is>
          <t>126.93</t>
        </is>
      </c>
      <c r="M1376" t="inlineStr">
        <is>
          <t>Karlsruhe</t>
        </is>
      </c>
    </row>
    <row r="1377">
      <c r="A1377" t="inlineStr">
        <is>
          <t>Nose Protector JP Australia Super Sport Surfboard, Board Schutz</t>
        </is>
      </c>
      <c r="B1377" s="4" t="n">
        <v>20</v>
      </c>
      <c r="C1377" t="inlineStr"/>
      <c r="D1377" t="inlineStr">
        <is>
          <t>45721 Nordrhein-Westfalen - Haltern am See</t>
        </is>
      </c>
      <c r="E1377" s="5" t="n">
        <v>45511</v>
      </c>
      <c r="F1377" t="inlineStr"/>
      <c r="G1377" s="6">
        <f>HYPERLINK("https://www.kleinanzeigen.de/s-anzeige/nose-protector-jp-australia-super-sport-surfboard-board-schutz/2831571382-230-1336", "Link")</f>
        <v/>
      </c>
      <c r="H1377" s="6">
        <f>HYPERLINK("C:\Projects\Kleinanzeigen-Scraper\offer_images\2831571382", "Link")</f>
        <v/>
      </c>
      <c r="I1377" t="inlineStr">
        <is>
          <t>Andreas</t>
        </is>
      </c>
      <c r="J1377" s="6">
        <f>HYPERLINK("https://www.kleinanzeigen.de/s-bestandsliste.html?userId=14411595", "Link")</f>
        <v/>
      </c>
      <c r="K1377" s="7" t="n">
        <v>45549.57894675926</v>
      </c>
      <c r="L1377" s="3" t="inlineStr">
        <is>
          <t>95.03</t>
        </is>
      </c>
      <c r="M1377" t="inlineStr">
        <is>
          <t>Köln</t>
        </is>
      </c>
    </row>
    <row r="1378">
      <c r="A1378" t="inlineStr">
        <is>
          <t>Naish Pivot 2024 Kite Neu Kitesurfen SALE</t>
        </is>
      </c>
      <c r="B1378" s="4" t="n">
        <v>868</v>
      </c>
      <c r="C1378" t="inlineStr"/>
      <c r="D1378" t="inlineStr">
        <is>
          <t>22457 Eimsbüttel - Hamburg Schnelsen</t>
        </is>
      </c>
      <c r="E1378" s="5" t="n">
        <v>45535</v>
      </c>
      <c r="F1378" t="inlineStr">
        <is>
          <t>Sold</t>
        </is>
      </c>
      <c r="G1378" s="6">
        <f>HYPERLINK("https://www.kleinanzeigen.de/s-anzeige/naish-pivot-2024-kite-neu-kitesurfen-sale/2724756611-230-9492", "Link")</f>
        <v/>
      </c>
      <c r="H1378" s="6">
        <f>HYPERLINK("C:\Projects\Kleinanzeigen-Scraper\offer_images\2724756611", "Link")</f>
        <v/>
      </c>
      <c r="I1378" t="inlineStr">
        <is>
          <t>No user name</t>
        </is>
      </c>
      <c r="J1378" s="6">
        <f>HYPERLINK("https://www.kleinanzeigen.deNo user link", "Link")</f>
        <v/>
      </c>
      <c r="K1378" s="7" t="n">
        <v>45549.57893518519</v>
      </c>
      <c r="L1378" s="3" t="inlineStr">
        <is>
          <t>362.41</t>
        </is>
      </c>
      <c r="M1378" t="inlineStr">
        <is>
          <t>Köln</t>
        </is>
      </c>
    </row>
    <row r="1379">
      <c r="A1379" t="inlineStr">
        <is>
          <t>Wing Naish 5,3 qm</t>
        </is>
      </c>
      <c r="B1379" s="4" t="n">
        <v>290</v>
      </c>
      <c r="C1379" t="inlineStr">
        <is>
          <t>VB</t>
        </is>
      </c>
      <c r="D1379" t="inlineStr">
        <is>
          <t>87490 Bayern - Haldenwang i. Allgäu</t>
        </is>
      </c>
      <c r="E1379" s="5" t="n">
        <v>45536</v>
      </c>
      <c r="F1379" t="inlineStr">
        <is>
          <t>Sold</t>
        </is>
      </c>
      <c r="G1379" s="6">
        <f>HYPERLINK("https://www.kleinanzeigen.de/s-anzeige/wing-naish-5-3-qm/2851457372-230-7635", "Link")</f>
        <v/>
      </c>
      <c r="H1379" s="6">
        <f>HYPERLINK("C:\Projects\Kleinanzeigen-Scraper\offer_images\2851457372", "Link")</f>
        <v/>
      </c>
      <c r="I1379" t="inlineStr">
        <is>
          <t>Bernd Seyberth</t>
        </is>
      </c>
      <c r="J1379" s="6">
        <f>HYPERLINK("https://www.kleinanzeigen.de/s-bestandsliste.html?userId=13310149", "Link")</f>
        <v/>
      </c>
      <c r="K1379" s="7" t="n">
        <v>45549.57893518519</v>
      </c>
      <c r="L1379" s="3" t="inlineStr">
        <is>
          <t>98.56</t>
        </is>
      </c>
      <c r="M1379" t="inlineStr">
        <is>
          <t>München</t>
        </is>
      </c>
    </row>
    <row r="1380">
      <c r="A1380" t="inlineStr">
        <is>
          <t>North-Korea 50 won 1992 SPECIMEN PMG66</t>
        </is>
      </c>
      <c r="B1380" s="4" t="inlineStr"/>
      <c r="C1380" t="inlineStr">
        <is>
          <t>VB</t>
        </is>
      </c>
      <c r="D1380" t="inlineStr">
        <is>
          <t>13353 Mitte - Wedding</t>
        </is>
      </c>
      <c r="E1380" s="5" t="n">
        <v>45537</v>
      </c>
      <c r="F1380" t="inlineStr">
        <is>
          <t>Sold</t>
        </is>
      </c>
      <c r="G1380" s="6">
        <f>HYPERLINK("https://www.kleinanzeigen.de/s-anzeige/north-korea-50-won-1992-specimen-pmg66/2852597532-234-3507", "Link")</f>
        <v/>
      </c>
      <c r="H1380" s="6">
        <f>HYPERLINK("C:\Projects\Kleinanzeigen-Scraper\offer_images\2852597532", "Link")</f>
        <v/>
      </c>
      <c r="I1380" t="inlineStr">
        <is>
          <t>Victorius</t>
        </is>
      </c>
      <c r="J1380" s="6">
        <f>HYPERLINK("https://www.kleinanzeigen.de/s-bestandsliste.html?userId=132519113", "Link")</f>
        <v/>
      </c>
      <c r="K1380" s="7" t="n">
        <v>45549.57893518519</v>
      </c>
      <c r="L1380" s="3" t="inlineStr">
        <is>
          <t>474.94</t>
        </is>
      </c>
      <c r="M1380" t="inlineStr">
        <is>
          <t>Köln</t>
        </is>
      </c>
    </row>
    <row r="1381">
      <c r="A1381" t="inlineStr">
        <is>
          <t>Naish Pivot 2024 9 qm</t>
        </is>
      </c>
      <c r="B1381" s="4" t="n">
        <v>800</v>
      </c>
      <c r="C1381" t="inlineStr">
        <is>
          <t>VB</t>
        </is>
      </c>
      <c r="D1381" t="inlineStr">
        <is>
          <t>25494 Kreis Pinneberg - Borstel-Hohenraden</t>
        </is>
      </c>
      <c r="E1381" s="5" t="n">
        <v>45528</v>
      </c>
      <c r="F1381" t="inlineStr">
        <is>
          <t>Sold</t>
        </is>
      </c>
      <c r="G1381" s="6">
        <f>HYPERLINK("https://www.kleinanzeigen.de/s-anzeige/naish-pivot-2024-9-qm/2845397607-230-790", "Link")</f>
        <v/>
      </c>
      <c r="H1381" s="6">
        <f>HYPERLINK("C:\Projects\Kleinanzeigen-Scraper\offer_images\2845397607", "Link")</f>
        <v/>
      </c>
      <c r="I1381" t="inlineStr">
        <is>
          <t>Privat</t>
        </is>
      </c>
      <c r="J1381" s="6">
        <f>HYPERLINK("https://www.kleinanzeigen.de/s-bestandsliste.html?userId=62002881", "Link")</f>
        <v/>
      </c>
      <c r="K1381" s="7" t="n">
        <v>45549.57893518519</v>
      </c>
      <c r="L1381" s="3" t="inlineStr">
        <is>
          <t>362.20</t>
        </is>
      </c>
      <c r="M1381" t="inlineStr">
        <is>
          <t>Köln</t>
        </is>
      </c>
    </row>
    <row r="1382">
      <c r="A1382" t="inlineStr">
        <is>
          <t>North Vegas 2015 12m Hadlow</t>
        </is>
      </c>
      <c r="B1382" s="4" t="n">
        <v>50</v>
      </c>
      <c r="C1382" t="inlineStr">
        <is>
          <t>VB</t>
        </is>
      </c>
      <c r="D1382" t="inlineStr">
        <is>
          <t>50827 Köln - Ehrenfeld</t>
        </is>
      </c>
      <c r="E1382" s="5" t="n">
        <v>45543</v>
      </c>
      <c r="F1382" t="inlineStr">
        <is>
          <t>Sold</t>
        </is>
      </c>
      <c r="G1382" s="6">
        <f>HYPERLINK("https://www.kleinanzeigen.de/s-anzeige/north-vegas-2015-12m-hadlow/2857229788-230-950", "Link")</f>
        <v/>
      </c>
      <c r="H1382" s="6">
        <f>HYPERLINK("C:\Projects\Kleinanzeigen-Scraper\offer_images\2857229788", "Link")</f>
        <v/>
      </c>
      <c r="I1382" t="inlineStr">
        <is>
          <t>Johannes Hahn</t>
        </is>
      </c>
      <c r="J1382" s="6">
        <f>HYPERLINK("https://www.kleinanzeigen.de/s-bestandsliste.html?userId=80720704", "Link")</f>
        <v/>
      </c>
      <c r="K1382" s="7" t="n">
        <v>45549.57893518519</v>
      </c>
      <c r="L1382" s="3" t="inlineStr">
        <is>
          <t>5.60</t>
        </is>
      </c>
      <c r="M1382" t="inlineStr">
        <is>
          <t>Köln</t>
        </is>
      </c>
    </row>
    <row r="1383">
      <c r="A1383" t="inlineStr">
        <is>
          <t>2021 Duotone Rebel 9 m2</t>
        </is>
      </c>
      <c r="B1383" s="4" t="n">
        <v>700</v>
      </c>
      <c r="C1383" t="inlineStr"/>
      <c r="D1383" t="inlineStr">
        <is>
          <t>30171 Hannover - Südstadt-Bult</t>
        </is>
      </c>
      <c r="E1383" s="5" t="n">
        <v>45539</v>
      </c>
      <c r="F1383" t="inlineStr">
        <is>
          <t>Sold</t>
        </is>
      </c>
      <c r="G1383" s="6">
        <f>HYPERLINK("https://www.kleinanzeigen.de/s-anzeige/2021-duotone-rebel-9-m2/2854159141-230-3162", "Link")</f>
        <v/>
      </c>
      <c r="H1383" s="6">
        <f>HYPERLINK("C:\Projects\Kleinanzeigen-Scraper\offer_images\2854159141", "Link")</f>
        <v/>
      </c>
      <c r="I1383" t="inlineStr">
        <is>
          <t>Koray Pars</t>
        </is>
      </c>
      <c r="J1383" s="6">
        <f>HYPERLINK("https://www.kleinanzeigen.de/s-bestandsliste.html?userId=63678394", "Link")</f>
        <v/>
      </c>
      <c r="K1383" s="7" t="n">
        <v>45549.57892361111</v>
      </c>
      <c r="L1383" s="3" t="inlineStr">
        <is>
          <t>249.94</t>
        </is>
      </c>
      <c r="M1383" t="inlineStr">
        <is>
          <t>Köln</t>
        </is>
      </c>
    </row>
    <row r="1384">
      <c r="A1384" t="inlineStr">
        <is>
          <t>SUP von FANATIC aufblasbar</t>
        </is>
      </c>
      <c r="B1384" s="4" t="n">
        <v>750</v>
      </c>
      <c r="C1384" t="inlineStr">
        <is>
          <t>VB</t>
        </is>
      </c>
      <c r="D1384" t="inlineStr">
        <is>
          <t>52064 Aachen - Aachen-Mitte</t>
        </is>
      </c>
      <c r="E1384" s="5" t="n">
        <v>45505</v>
      </c>
      <c r="F1384" t="inlineStr">
        <is>
          <t>Sold</t>
        </is>
      </c>
      <c r="G1384" s="6">
        <f>HYPERLINK("https://www.kleinanzeigen.de/s-anzeige/sup-von-fanatic-aufblasbar/2826148964-230-1922", "Link")</f>
        <v/>
      </c>
      <c r="H1384" s="6">
        <f>HYPERLINK("C:\Projects\Kleinanzeigen-Scraper\offer_images\2826148964", "Link")</f>
        <v/>
      </c>
      <c r="I1384" t="inlineStr">
        <is>
          <t>Katrin W</t>
        </is>
      </c>
      <c r="J1384" s="6">
        <f>HYPERLINK("https://www.kleinanzeigen.de/s-bestandsliste.html?userId=15759770", "Link")</f>
        <v/>
      </c>
      <c r="K1384" s="7" t="n">
        <v>45549.57891203704</v>
      </c>
      <c r="L1384" s="3" t="inlineStr">
        <is>
          <t>64.20</t>
        </is>
      </c>
      <c r="M1384" t="inlineStr">
        <is>
          <t>Köln</t>
        </is>
      </c>
    </row>
    <row r="1385">
      <c r="A1385" t="inlineStr">
        <is>
          <t>DUOTONE UNIT DLAB 5,5 ALUULA aus 2022</t>
        </is>
      </c>
      <c r="B1385" s="4" t="n">
        <v>590</v>
      </c>
      <c r="C1385" t="inlineStr"/>
      <c r="D1385" t="inlineStr">
        <is>
          <t>22359 Wandsbek - Hamburg Volksdorf</t>
        </is>
      </c>
      <c r="E1385" s="5" t="n">
        <v>45544</v>
      </c>
      <c r="F1385" t="inlineStr">
        <is>
          <t>Sold</t>
        </is>
      </c>
      <c r="G1385" s="6">
        <f>HYPERLINK("https://www.kleinanzeigen.de/s-anzeige/duotone-unit-dlab-5-5-aluula-aus-2022/2858580572-230-16495", "Link")</f>
        <v/>
      </c>
      <c r="H1385" s="6">
        <f>HYPERLINK("C:\Projects\Kleinanzeigen-Scraper\offer_images\2858580572", "Link")</f>
        <v/>
      </c>
      <c r="I1385" t="inlineStr">
        <is>
          <t>Jan</t>
        </is>
      </c>
      <c r="J1385" s="6">
        <f>HYPERLINK("https://www.kleinanzeigen.de/s-bestandsliste.html?userId=3513794", "Link")</f>
        <v/>
      </c>
      <c r="K1385" s="7" t="n">
        <v>45549.57891203704</v>
      </c>
      <c r="L1385" s="3" t="inlineStr">
        <is>
          <t>371.96</t>
        </is>
      </c>
      <c r="M1385" t="inlineStr">
        <is>
          <t>Köln</t>
        </is>
      </c>
    </row>
    <row r="1386">
      <c r="A1386" t="inlineStr">
        <is>
          <t>Rebel SLS 2024, Duotone - 8-9-11-12 + Bars</t>
        </is>
      </c>
      <c r="B1386" s="4" t="n">
        <v>325</v>
      </c>
      <c r="C1386" t="inlineStr"/>
      <c r="D1386" t="inlineStr">
        <is>
          <t>26427 Niedersachsen - Neuharlingersiel</t>
        </is>
      </c>
      <c r="E1386" s="5" t="n">
        <v>45538</v>
      </c>
      <c r="F1386" t="inlineStr">
        <is>
          <t>Sold</t>
        </is>
      </c>
      <c r="G1386" s="6">
        <f>HYPERLINK("https://www.kleinanzeigen.de/s-anzeige/rebel-sls-2024-duotone-8-9-11-12-bars/2853473736-230-17528", "Link")</f>
        <v/>
      </c>
      <c r="H1386" s="6">
        <f>HYPERLINK("C:\Projects\Kleinanzeigen-Scraper\offer_images\2853473736", "Link")</f>
        <v/>
      </c>
      <c r="I1386" t="inlineStr">
        <is>
          <t>Surfschule Windloop</t>
        </is>
      </c>
      <c r="J1386" s="6">
        <f>HYPERLINK("https://www.kleinanzeigen.de/s-bestandsliste.html?userId=66736229", "Link")</f>
        <v/>
      </c>
      <c r="K1386" s="7" t="n">
        <v>45549.57891203704</v>
      </c>
      <c r="L1386" s="3" t="inlineStr">
        <is>
          <t>304.19</t>
        </is>
      </c>
      <c r="M1386" t="inlineStr">
        <is>
          <t>Köln</t>
        </is>
      </c>
    </row>
    <row r="1387">
      <c r="A1387" t="inlineStr">
        <is>
          <t>TOP Duotone EVO DLAB  12 m²</t>
        </is>
      </c>
      <c r="B1387" s="4" t="n">
        <v>2.222</v>
      </c>
      <c r="C1387" t="inlineStr">
        <is>
          <t>VB</t>
        </is>
      </c>
      <c r="D1387" t="inlineStr">
        <is>
          <t>83026 Bayern - Rosenheim</t>
        </is>
      </c>
      <c r="E1387" s="5" t="n">
        <v>45544</v>
      </c>
      <c r="F1387" t="inlineStr">
        <is>
          <t>Sold</t>
        </is>
      </c>
      <c r="G1387" s="6">
        <f>HYPERLINK("https://www.kleinanzeigen.de/s-anzeige/top-duotone-evo-dlab-12-m-/2851664416-230-7580", "Link")</f>
        <v/>
      </c>
      <c r="H1387" s="6">
        <f>HYPERLINK("C:\Projects\Kleinanzeigen-Scraper\offer_images\2851664416", "Link")</f>
        <v/>
      </c>
      <c r="I1387" t="inlineStr">
        <is>
          <t>Marion</t>
        </is>
      </c>
      <c r="J1387" s="6">
        <f>HYPERLINK("https://www.kleinanzeigen.de/s-bestandsliste.html?userId=7352122", "Link")</f>
        <v/>
      </c>
      <c r="K1387" s="7" t="n">
        <v>45549.57891203704</v>
      </c>
      <c r="L1387" s="3" t="inlineStr">
        <is>
          <t>51.48</t>
        </is>
      </c>
      <c r="M1387" t="inlineStr">
        <is>
          <t>München</t>
        </is>
      </c>
    </row>
    <row r="1388">
      <c r="A1388" t="inlineStr">
        <is>
          <t>North (Duotone) - NTT - Entity Bindung Gr. L/XL</t>
        </is>
      </c>
      <c r="B1388" s="4" t="n">
        <v>50</v>
      </c>
      <c r="C1388" t="inlineStr">
        <is>
          <t>VB</t>
        </is>
      </c>
      <c r="D1388" t="inlineStr">
        <is>
          <t>89079 Baden-Württemberg - Ulm</t>
        </is>
      </c>
      <c r="E1388" s="5" t="n">
        <v>45536</v>
      </c>
      <c r="F1388" t="inlineStr">
        <is>
          <t>Sold</t>
        </is>
      </c>
      <c r="G1388" s="6">
        <f>HYPERLINK("https://www.kleinanzeigen.de/s-anzeige/north-duotone-ntt-entity-bindung-gr-l-xl/2851461616-230-9341", "Link")</f>
        <v/>
      </c>
      <c r="H1388" s="6">
        <f>HYPERLINK("C:\Projects\Kleinanzeigen-Scraper\offer_images\2851461616", "Link")</f>
        <v/>
      </c>
      <c r="I1388" t="inlineStr">
        <is>
          <t>Jutta</t>
        </is>
      </c>
      <c r="J1388" s="6">
        <f>HYPERLINK("https://www.kleinanzeigen.de/s-bestandsliste.html?userId=5718416", "Link")</f>
        <v/>
      </c>
      <c r="K1388" s="7" t="n">
        <v>45549.57888888889</v>
      </c>
      <c r="L1388" s="3" t="inlineStr">
        <is>
          <t>80.65</t>
        </is>
      </c>
      <c r="M1388" t="inlineStr">
        <is>
          <t>Böblingen</t>
        </is>
      </c>
    </row>
    <row r="1389">
      <c r="A1389" t="inlineStr">
        <is>
          <t>Simms Watschuhe Größe 6 / 37</t>
        </is>
      </c>
      <c r="B1389" s="4" t="n">
        <v>35</v>
      </c>
      <c r="C1389" t="inlineStr"/>
      <c r="D1389" t="inlineStr">
        <is>
          <t>22609 Altona - Hamburg Othmarschen</t>
        </is>
      </c>
      <c r="E1389" s="5" t="n">
        <v>45541</v>
      </c>
      <c r="F1389" t="inlineStr">
        <is>
          <t>Sold</t>
        </is>
      </c>
      <c r="G1389" s="6">
        <f>HYPERLINK("https://www.kleinanzeigen.de/s-anzeige/simms-watschuhe-groesse-6-37/2855969123-230-9501", "Link")</f>
        <v/>
      </c>
      <c r="H1389" s="6">
        <f>HYPERLINK("C:\Projects\Kleinanzeigen-Scraper\offer_images\2855969123", "Link")</f>
        <v/>
      </c>
      <c r="I1389" t="inlineStr">
        <is>
          <t>Tobias</t>
        </is>
      </c>
      <c r="J1389" s="6">
        <f>HYPERLINK("https://www.kleinanzeigen.de/s-bestandsliste.html?userId=29844925", "Link")</f>
        <v/>
      </c>
      <c r="K1389" s="7" t="n">
        <v>45549.57888888889</v>
      </c>
      <c r="L1389" s="3" t="inlineStr">
        <is>
          <t>351.06</t>
        </is>
      </c>
      <c r="M1389" t="inlineStr">
        <is>
          <t>Köln</t>
        </is>
      </c>
    </row>
    <row r="1390">
      <c r="A1390" t="inlineStr">
        <is>
          <t>Fanatic Bamboo / Carbon 50 Paddle Paddel SUP 3-teilig</t>
        </is>
      </c>
      <c r="B1390" s="4" t="n">
        <v>149</v>
      </c>
      <c r="C1390" t="inlineStr">
        <is>
          <t>VB</t>
        </is>
      </c>
      <c r="D1390" t="inlineStr">
        <is>
          <t>25920 Nordfriesland - Risum-Lindholm</t>
        </is>
      </c>
      <c r="E1390" s="5" t="n">
        <v>45505</v>
      </c>
      <c r="F1390" t="inlineStr">
        <is>
          <t>Sold</t>
        </is>
      </c>
      <c r="G1390" s="6">
        <f>HYPERLINK("https://www.kleinanzeigen.de/s-anzeige/fanatic-bamboo-carbon-50-paddle-paddel-sup-3-teilig/2826582986-230-20530", "Link")</f>
        <v/>
      </c>
      <c r="H1390" s="6">
        <f>HYPERLINK("C:\Projects\Kleinanzeigen-Scraper\offer_images\2826582986", "Link")</f>
        <v/>
      </c>
      <c r="I1390" t="inlineStr">
        <is>
          <t>Ich</t>
        </is>
      </c>
      <c r="J1390" s="6">
        <f>HYPERLINK("https://www.kleinanzeigen.de/s-bestandsliste.html?userId=7990602", "Link")</f>
        <v/>
      </c>
      <c r="K1390" s="7" t="n">
        <v>45549.57888888889</v>
      </c>
      <c r="L1390" s="3" t="inlineStr">
        <is>
          <t>444.21</t>
        </is>
      </c>
      <c r="M1390" t="inlineStr">
        <is>
          <t>Köln</t>
        </is>
      </c>
    </row>
    <row r="1391">
      <c r="A1391" t="inlineStr">
        <is>
          <t>Naish Apex gr.9-15 Kiteboard Pads Schlaufen</t>
        </is>
      </c>
      <c r="B1391" s="4" t="n">
        <v>130</v>
      </c>
      <c r="C1391" t="inlineStr">
        <is>
          <t>VB</t>
        </is>
      </c>
      <c r="D1391" t="inlineStr">
        <is>
          <t>04155 Leipzig - Gohlis-Mitte</t>
        </is>
      </c>
      <c r="E1391" s="5" t="n">
        <v>45542</v>
      </c>
      <c r="F1391" t="inlineStr">
        <is>
          <t>Sold</t>
        </is>
      </c>
      <c r="G1391" s="6">
        <f>HYPERLINK("https://www.kleinanzeigen.de/s-anzeige/naish-apex-gr-9-15-kiteboard-pads-schlaufen/2856653299-230-4255", "Link")</f>
        <v/>
      </c>
      <c r="H1391" s="6">
        <f>HYPERLINK("C:\Projects\Kleinanzeigen-Scraper\offer_images\2856653299", "Link")</f>
        <v/>
      </c>
      <c r="I1391" t="inlineStr">
        <is>
          <t>Tom Rehin</t>
        </is>
      </c>
      <c r="J1391" s="6">
        <f>HYPERLINK("https://www.kleinanzeigen.de/s-bestandsliste.html?userId=22459624", "Link")</f>
        <v/>
      </c>
      <c r="K1391" s="7" t="n">
        <v>45549.57888888889</v>
      </c>
      <c r="L1391" s="3" t="inlineStr">
        <is>
          <t>362.90</t>
        </is>
      </c>
      <c r="M1391" t="inlineStr">
        <is>
          <t>München</t>
        </is>
      </c>
    </row>
    <row r="1392">
      <c r="A1392" t="inlineStr">
        <is>
          <t>Wing Naish ADX 5.5m (3 Monate alt)</t>
        </is>
      </c>
      <c r="B1392" s="4" t="n">
        <v>599</v>
      </c>
      <c r="C1392" t="inlineStr"/>
      <c r="D1392" t="inlineStr">
        <is>
          <t>26129 Niedersachsen - Oldenburg</t>
        </is>
      </c>
      <c r="E1392" s="5" t="n">
        <v>45546</v>
      </c>
      <c r="F1392" t="inlineStr">
        <is>
          <t>Sold</t>
        </is>
      </c>
      <c r="G1392" s="6">
        <f>HYPERLINK("https://www.kleinanzeigen.de/s-anzeige/wing-naish-adx-5-5m-3-monate-alt-/2860079298-230-3113", "Link")</f>
        <v/>
      </c>
      <c r="H1392" s="6">
        <f>HYPERLINK("C:\Projects\Kleinanzeigen-Scraper\offer_images\2860079298", "Link")</f>
        <v/>
      </c>
      <c r="I1392" t="inlineStr">
        <is>
          <t>Siljan Schröder</t>
        </is>
      </c>
      <c r="J1392" s="6">
        <f>HYPERLINK("https://www.kleinanzeigen.de/s-bestandsliste.html?userId=49277330", "Link")</f>
        <v/>
      </c>
      <c r="K1392" s="7" t="n">
        <v>45549.57888888889</v>
      </c>
      <c r="L1392" s="3" t="inlineStr">
        <is>
          <t>259.47</t>
        </is>
      </c>
      <c r="M1392" t="inlineStr">
        <is>
          <t>Köln</t>
        </is>
      </c>
    </row>
    <row r="1393">
      <c r="A1393" t="inlineStr">
        <is>
          <t>Stand Up Paddle RRD AIR EVO 12" Tourer Touring SUP mit Zubehör</t>
        </is>
      </c>
      <c r="B1393" s="4" t="n">
        <v>450</v>
      </c>
      <c r="C1393" t="inlineStr">
        <is>
          <t>VB</t>
        </is>
      </c>
      <c r="D1393" t="inlineStr">
        <is>
          <t>99084 Thüringen - Erfurt</t>
        </is>
      </c>
      <c r="E1393" s="5" t="n">
        <v>45520</v>
      </c>
      <c r="F1393" t="inlineStr"/>
      <c r="G1393" s="6">
        <f>HYPERLINK("https://www.kleinanzeigen.de/s-anzeige/stand-up-paddle-rrd-air-evo-12-tourer-touring-sup-mit-zubehoer/2838389283-230-3748", "Link")</f>
        <v/>
      </c>
      <c r="H1393" s="6">
        <f>HYPERLINK("C:\Projects\Kleinanzeigen-Scraper\offer_images\2838389283", "Link")</f>
        <v/>
      </c>
      <c r="I1393" t="inlineStr">
        <is>
          <t>Daniel</t>
        </is>
      </c>
      <c r="J1393" s="6">
        <f>HYPERLINK("https://www.kleinanzeigen.de/s-bestandsliste.html?userId=13434939", "Link")</f>
        <v/>
      </c>
      <c r="K1393" s="7" t="n">
        <v>45549.57887731482</v>
      </c>
      <c r="L1393" s="3" t="inlineStr">
        <is>
          <t>285.23</t>
        </is>
      </c>
      <c r="M1393" t="inlineStr">
        <is>
          <t>Köln</t>
        </is>
      </c>
    </row>
    <row r="1394">
      <c r="A1394" t="inlineStr">
        <is>
          <t>Duotone REBEL 9qm - Sehr guter Zustand</t>
        </is>
      </c>
      <c r="B1394" s="4" t="n">
        <v>650</v>
      </c>
      <c r="C1394" t="inlineStr">
        <is>
          <t>VB</t>
        </is>
      </c>
      <c r="D1394" t="inlineStr">
        <is>
          <t>23863 Schleswig-Holstein - Bargfeld-Stegen</t>
        </is>
      </c>
      <c r="E1394" s="5" t="n">
        <v>45544</v>
      </c>
      <c r="F1394" t="inlineStr">
        <is>
          <t>Sold</t>
        </is>
      </c>
      <c r="G1394" s="6">
        <f>HYPERLINK("https://www.kleinanzeigen.de/s-anzeige/duotone-rebel-9qm-sehr-guter-zustand/2858581759-230-19519", "Link")</f>
        <v/>
      </c>
      <c r="H1394" s="6">
        <f>HYPERLINK("C:\Projects\Kleinanzeigen-Scraper\offer_images\2858581759", "Link")</f>
        <v/>
      </c>
      <c r="I1394" t="inlineStr">
        <is>
          <t>JH</t>
        </is>
      </c>
      <c r="J1394" s="6">
        <f>HYPERLINK("https://www.kleinanzeigen.de/s-bestandsliste.html?userId=17517496", "Link")</f>
        <v/>
      </c>
      <c r="K1394" s="7" t="n">
        <v>45549.57886574074</v>
      </c>
      <c r="L1394" s="3" t="inlineStr">
        <is>
          <t>383.95</t>
        </is>
      </c>
      <c r="M1394" t="inlineStr">
        <is>
          <t>Köln</t>
        </is>
      </c>
    </row>
    <row r="1395">
      <c r="A1395" t="inlineStr">
        <is>
          <t>North (Duotone) Neo, 6qm, 5x genutzt, neuwertig bis auf Reparatur</t>
        </is>
      </c>
      <c r="B1395" s="4" t="n">
        <v>280</v>
      </c>
      <c r="C1395" t="inlineStr">
        <is>
          <t>VB</t>
        </is>
      </c>
      <c r="D1395" t="inlineStr">
        <is>
          <t>81373 München - Sendling-Westpark</t>
        </is>
      </c>
      <c r="E1395" s="5" t="n">
        <v>45540</v>
      </c>
      <c r="F1395" t="inlineStr">
        <is>
          <t>Sold</t>
        </is>
      </c>
      <c r="G1395" s="6">
        <f>HYPERLINK("https://www.kleinanzeigen.de/s-anzeige/north-duotone-neo-6qm-5x-genutzt-neuwertig-bis-auf-reparatur/2854891454-230-16394", "Link")</f>
        <v/>
      </c>
      <c r="H1395" s="6">
        <f>HYPERLINK("C:\Projects\Kleinanzeigen-Scraper\offer_images\2854891454", "Link")</f>
        <v/>
      </c>
      <c r="I1395" t="inlineStr">
        <is>
          <t>Andreas Ludwig</t>
        </is>
      </c>
      <c r="J1395" s="6">
        <f>HYPERLINK("https://www.kleinanzeigen.de/s-bestandsliste.html?userId=21592616", "Link")</f>
        <v/>
      </c>
      <c r="K1395" s="7" t="n">
        <v>45549.57886574074</v>
      </c>
      <c r="L1395" s="3" t="inlineStr">
        <is>
          <t>3.43</t>
        </is>
      </c>
      <c r="M1395" t="inlineStr">
        <is>
          <t>München</t>
        </is>
      </c>
    </row>
    <row r="1396">
      <c r="A1396" t="inlineStr">
        <is>
          <t>North Kite Reach 8qm 2024 Turqouise</t>
        </is>
      </c>
      <c r="B1396" s="4" t="n">
        <v>869</v>
      </c>
      <c r="C1396" t="inlineStr">
        <is>
          <t>VB</t>
        </is>
      </c>
      <c r="D1396" t="inlineStr">
        <is>
          <t>26465 Niedersachsen - Langeoog</t>
        </is>
      </c>
      <c r="E1396" s="5" t="n">
        <v>45538</v>
      </c>
      <c r="F1396" t="inlineStr">
        <is>
          <t>Sold</t>
        </is>
      </c>
      <c r="G1396" s="6">
        <f>HYPERLINK("https://www.kleinanzeigen.de/s-anzeige/north-kite-reach-8qm-2024-turqouise/2853301197-230-2480", "Link")</f>
        <v/>
      </c>
      <c r="H1396" s="6">
        <f>HYPERLINK("C:\Projects\Kleinanzeigen-Scraper\offer_images\2853301197", "Link")</f>
        <v/>
      </c>
      <c r="I1396" t="inlineStr">
        <is>
          <t>Tidens Surfhuus</t>
        </is>
      </c>
      <c r="J1396" s="6">
        <f>HYPERLINK("https://www.kleinanzeigen.de/s-bestandsliste.html?userId=122521264", "Link")</f>
        <v/>
      </c>
      <c r="K1396" s="7" t="n">
        <v>45549.57886574074</v>
      </c>
      <c r="L1396" s="3" t="inlineStr">
        <is>
          <t>314.45</t>
        </is>
      </c>
      <c r="M1396" t="inlineStr">
        <is>
          <t>Köln</t>
        </is>
      </c>
    </row>
    <row r="1397">
      <c r="A1397" t="inlineStr">
        <is>
          <t>Starboard 10'0"x34" Whopper Lite Tech SUP + Paddel + Bag + Leach</t>
        </is>
      </c>
      <c r="B1397" s="4" t="n">
        <v>900</v>
      </c>
      <c r="C1397" t="inlineStr"/>
      <c r="D1397" t="inlineStr">
        <is>
          <t>65375 Hessen - Oestrich-Winkel</t>
        </is>
      </c>
      <c r="E1397" s="5" t="n">
        <v>45521</v>
      </c>
      <c r="F1397" t="inlineStr"/>
      <c r="G1397" s="6">
        <f>HYPERLINK("https://www.kleinanzeigen.de/s-anzeige/starboard-10-0-x34-whopper-lite-tech-sup-paddel-bag-leach/2839381578-230-5122", "Link")</f>
        <v/>
      </c>
      <c r="H1397" s="6">
        <f>HYPERLINK("C:\Projects\Kleinanzeigen-Scraper\offer_images\2839381578", "Link")</f>
        <v/>
      </c>
      <c r="I1397" t="inlineStr">
        <is>
          <t>andy</t>
        </is>
      </c>
      <c r="J1397" s="6">
        <f>HYPERLINK("https://www.kleinanzeigen.de/s-bestandsliste.html?userId=8363574", "Link")</f>
        <v/>
      </c>
      <c r="K1397" s="7" t="n">
        <v>45549.57885416667</v>
      </c>
      <c r="L1397" s="3" t="inlineStr">
        <is>
          <t>118.47</t>
        </is>
      </c>
      <c r="M1397" t="inlineStr">
        <is>
          <t>Karlsruhe</t>
        </is>
      </c>
    </row>
    <row r="1398">
      <c r="A1398" t="inlineStr">
        <is>
          <t>Schlafsack The North Face 140 cm</t>
        </is>
      </c>
      <c r="B1398" s="4" t="n">
        <v>80</v>
      </c>
      <c r="C1398" t="inlineStr">
        <is>
          <t>VB</t>
        </is>
      </c>
      <c r="D1398" t="inlineStr">
        <is>
          <t>89264 Bayern - Weißenhorn</t>
        </is>
      </c>
      <c r="E1398" s="5" t="n">
        <v>45542</v>
      </c>
      <c r="F1398" t="inlineStr">
        <is>
          <t>Sold</t>
        </is>
      </c>
      <c r="G1398" s="6">
        <f>HYPERLINK("https://www.kleinanzeigen.de/s-anzeige/schlafsack-the-north-face-140-cm/2856479841-230-6686", "Link")</f>
        <v/>
      </c>
      <c r="H1398" s="6">
        <f>HYPERLINK("C:\Projects\Kleinanzeigen-Scraper\offer_images\2856479841", "Link")</f>
        <v/>
      </c>
      <c r="I1398" t="inlineStr">
        <is>
          <t>Schmitz</t>
        </is>
      </c>
      <c r="J1398" s="6">
        <f>HYPERLINK("https://www.kleinanzeigen.de/s-bestandsliste.html?userId=1490021", "Link")</f>
        <v/>
      </c>
      <c r="K1398" s="7" t="n">
        <v>45549.57885416667</v>
      </c>
      <c r="L1398" s="3" t="inlineStr">
        <is>
          <t>98.31</t>
        </is>
      </c>
      <c r="M1398" t="inlineStr">
        <is>
          <t>Böblingen</t>
        </is>
      </c>
    </row>
    <row r="1399">
      <c r="A1399" t="inlineStr">
        <is>
          <t>3 Wing Naish 5.3 / Slingshot 4.0 / PWR 3.0 + Foile Naish</t>
        </is>
      </c>
      <c r="B1399" s="4" t="n">
        <v>1.35</v>
      </c>
      <c r="C1399" t="inlineStr">
        <is>
          <t>VB</t>
        </is>
      </c>
      <c r="D1399" t="inlineStr">
        <is>
          <t>25917 Schleswig-Holstein - Leck</t>
        </is>
      </c>
      <c r="E1399" s="5" t="n">
        <v>45550</v>
      </c>
      <c r="F1399" t="inlineStr">
        <is>
          <t>Sold</t>
        </is>
      </c>
      <c r="G1399" s="6">
        <f>HYPERLINK("https://www.kleinanzeigen.de/s-anzeige/3-wing-naish-5-3-slingshot-4-0-pwr-3-0-foile-naish/2851634834-230-18122", "Link")</f>
        <v/>
      </c>
      <c r="H1399" s="6">
        <f>HYPERLINK("C:\Projects\Kleinanzeigen-Scraper\offer_images\2851634834", "Link")</f>
        <v/>
      </c>
      <c r="I1399" t="inlineStr">
        <is>
          <t>Marvin Breckling</t>
        </is>
      </c>
      <c r="J1399" s="6">
        <f>HYPERLINK("https://www.kleinanzeigen.de/s-bestandsliste.html?userId=23150900", "Link")</f>
        <v/>
      </c>
      <c r="K1399" s="7" t="n">
        <v>45549.57885416667</v>
      </c>
      <c r="L1399" s="3" t="inlineStr">
        <is>
          <t>447.80</t>
        </is>
      </c>
      <c r="M1399" t="inlineStr">
        <is>
          <t>Köln</t>
        </is>
      </c>
    </row>
    <row r="1400">
      <c r="A1400" t="inlineStr">
        <is>
          <t>North (Duotone) Vegas inkl. Bag, Hadlow edition Kite 12 qm (m²)</t>
        </is>
      </c>
      <c r="B1400" s="4" t="n">
        <v>250</v>
      </c>
      <c r="C1400" t="inlineStr"/>
      <c r="D1400" t="inlineStr">
        <is>
          <t>13507 Berlin - Reinickendorf</t>
        </is>
      </c>
      <c r="E1400" s="5" t="n">
        <v>45540</v>
      </c>
      <c r="F1400" t="inlineStr">
        <is>
          <t>Sold</t>
        </is>
      </c>
      <c r="G1400" s="6">
        <f>HYPERLINK("https://www.kleinanzeigen.de/s-anzeige/north-duotone-vegas-inkl-bag-hadlow-edition-kite-12-qm-m-/2855161455-230-3453", "Link")</f>
        <v/>
      </c>
      <c r="H1400" s="6">
        <f>HYPERLINK("C:\Projects\Kleinanzeigen-Scraper\offer_images\2855161455", "Link")</f>
        <v/>
      </c>
      <c r="I1400" t="inlineStr">
        <is>
          <t>Marc</t>
        </is>
      </c>
      <c r="J1400" s="6">
        <f>HYPERLINK("https://www.kleinanzeigen.de/s-bestandsliste.html?userId=52554448", "Link")</f>
        <v/>
      </c>
      <c r="K1400" s="7" t="n">
        <v>45549.57884259259</v>
      </c>
      <c r="L1400" s="3" t="inlineStr">
        <is>
          <t>471.11</t>
        </is>
      </c>
      <c r="M1400" t="inlineStr">
        <is>
          <t>Köln</t>
        </is>
      </c>
    </row>
    <row r="1401">
      <c r="A1401" t="inlineStr">
        <is>
          <t>Holzstaffelei von GOYA , gebraucht, verstellbar</t>
        </is>
      </c>
      <c r="B1401" s="4" t="n">
        <v>5</v>
      </c>
      <c r="C1401" t="inlineStr"/>
      <c r="D1401" t="inlineStr">
        <is>
          <t>31061 Niedersachsen - Alfeld (Leine)</t>
        </is>
      </c>
      <c r="E1401" s="5" t="n">
        <v>45548</v>
      </c>
      <c r="F1401" t="inlineStr">
        <is>
          <t>Sold</t>
        </is>
      </c>
      <c r="G1401" s="6">
        <f>HYPERLINK("https://www.kleinanzeigen.de/s-anzeige/holzstaffelei-von-goya-gebraucht-verstellbar/2862126992-282-2887", "Link")</f>
        <v/>
      </c>
      <c r="H1401" s="6">
        <f>HYPERLINK("C:\Projects\Kleinanzeigen-Scraper\offer_images\2862126992", "Link")</f>
        <v/>
      </c>
      <c r="I1401" t="inlineStr">
        <is>
          <t>Christine Kretzer</t>
        </is>
      </c>
      <c r="J1401" s="6">
        <f>HYPERLINK("https://www.kleinanzeigen.de/s-bestandsliste.html?userId=23800898", "Link")</f>
        <v/>
      </c>
      <c r="K1401" s="7" t="n">
        <v>45549.57884259259</v>
      </c>
      <c r="L1401" s="3" t="inlineStr">
        <is>
          <t>230.48</t>
        </is>
      </c>
      <c r="M1401" t="inlineStr">
        <is>
          <t>Köln</t>
        </is>
      </c>
    </row>
    <row r="1402">
      <c r="A1402" t="inlineStr">
        <is>
          <t>4 DDR-Filmzeitschriften, Magazine, Goya, Dr. Sommer,</t>
        </is>
      </c>
      <c r="B1402" s="4" t="n">
        <v>12</v>
      </c>
      <c r="C1402" t="inlineStr"/>
      <c r="D1402" t="inlineStr">
        <is>
          <t>17392 Mecklenburg-Vorpommern - Spantekow</t>
        </is>
      </c>
      <c r="E1402" s="5" t="n">
        <v>45361</v>
      </c>
      <c r="F1402" t="inlineStr"/>
      <c r="G1402" s="6">
        <f>HYPERLINK("https://www.kleinanzeigen.de/s-anzeige/4-ddr-filmzeitschriften-magazine-goya-dr-sommer-/2702804409-234-202", "Link")</f>
        <v/>
      </c>
      <c r="H1402" s="6">
        <f>HYPERLINK("C:\Projects\Kleinanzeigen-Scraper\offer_images\2702804409", "Link")</f>
        <v/>
      </c>
      <c r="I1402" t="inlineStr">
        <is>
          <t>Maurice</t>
        </is>
      </c>
      <c r="J1402" s="6">
        <f>HYPERLINK("https://www.kleinanzeigen.de/s-bestandsliste.html?userId=686975", "Link")</f>
        <v/>
      </c>
      <c r="K1402" s="7" t="n">
        <v>45549.57883101852</v>
      </c>
      <c r="L1402" s="3" t="inlineStr">
        <is>
          <t>547.83</t>
        </is>
      </c>
      <c r="M1402" t="inlineStr">
        <is>
          <t>Köln</t>
        </is>
      </c>
    </row>
    <row r="1403">
      <c r="A1403" t="inlineStr">
        <is>
          <t>Noch da! Kite Foilboard RRD Squid + Foil mit 2 Masten + Tasche</t>
        </is>
      </c>
      <c r="B1403" s="4" t="n">
        <v>450</v>
      </c>
      <c r="C1403" t="inlineStr"/>
      <c r="D1403" t="inlineStr">
        <is>
          <t>81667 München - Au-Haidhausen</t>
        </is>
      </c>
      <c r="E1403" s="5" t="n">
        <v>45416</v>
      </c>
      <c r="F1403" t="inlineStr">
        <is>
          <t>Sold</t>
        </is>
      </c>
      <c r="G1403" s="6">
        <f>HYPERLINK("https://www.kleinanzeigen.de/s-anzeige/noch-da-kite-foilboard-rrd-squid-foil-mit-2-masten-tasche/2752938122-230-6454", "Link")</f>
        <v/>
      </c>
      <c r="H1403" s="6">
        <f>HYPERLINK("C:\Projects\Kleinanzeigen-Scraper\offer_images\2752938122", "Link")</f>
        <v/>
      </c>
      <c r="I1403" t="inlineStr">
        <is>
          <t>Moritz B</t>
        </is>
      </c>
      <c r="J1403" s="6">
        <f>HYPERLINK("https://www.kleinanzeigen.de/s-bestandsliste.html?userId=41140951", "Link")</f>
        <v/>
      </c>
      <c r="K1403" s="7" t="n">
        <v>45549.57883101852</v>
      </c>
      <c r="L1403" s="3" t="inlineStr">
        <is>
          <t>2.06</t>
        </is>
      </c>
      <c r="M1403" t="inlineStr">
        <is>
          <t>München</t>
        </is>
      </c>
    </row>
    <row r="1404">
      <c r="A1404" t="inlineStr">
        <is>
          <t>Kiteboard Naish Dub 138x42 mit Cabrinha Sync (kein Duotone/North)</t>
        </is>
      </c>
      <c r="B1404" s="4" t="n">
        <v>230</v>
      </c>
      <c r="C1404" t="inlineStr">
        <is>
          <t>VB</t>
        </is>
      </c>
      <c r="D1404" t="inlineStr">
        <is>
          <t>85250 Bayern - Altomünster</t>
        </is>
      </c>
      <c r="E1404" s="5" t="n">
        <v>45489</v>
      </c>
      <c r="F1404" t="inlineStr">
        <is>
          <t>Sold</t>
        </is>
      </c>
      <c r="G1404" s="6">
        <f>HYPERLINK("https://www.kleinanzeigen.de/s-anzeige/kiteboard-naish-dub-138x42-mit-cabrinha-sync-kein-duotone-north-/2813946076-230-7191", "Link")</f>
        <v/>
      </c>
      <c r="H1404" s="6">
        <f>HYPERLINK("C:\Projects\Kleinanzeigen-Scraper\offer_images\2813946076", "Link")</f>
        <v/>
      </c>
      <c r="I1404" t="inlineStr">
        <is>
          <t>Sven Löffler</t>
        </is>
      </c>
      <c r="J1404" s="6">
        <f>HYPERLINK("https://www.kleinanzeigen.de/s-bestandsliste.html?userId=20819746", "Link")</f>
        <v/>
      </c>
      <c r="K1404" s="7" t="n">
        <v>45549.57881944445</v>
      </c>
      <c r="L1404" s="3" t="inlineStr">
        <is>
          <t>36.63</t>
        </is>
      </c>
      <c r="M1404" t="inlineStr">
        <is>
          <t>München</t>
        </is>
      </c>
    </row>
    <row r="1405">
      <c r="A1405" t="inlineStr">
        <is>
          <t>Windsurfen Masttasche</t>
        </is>
      </c>
      <c r="B1405" s="4" t="n">
        <v>40</v>
      </c>
      <c r="C1405" t="inlineStr"/>
      <c r="D1405" t="inlineStr">
        <is>
          <t>78351 Baden-Württemberg - Bodman-Ludwigshafen</t>
        </is>
      </c>
      <c r="E1405" s="5" t="n">
        <v>45548</v>
      </c>
      <c r="F1405" t="inlineStr">
        <is>
          <t>Sold</t>
        </is>
      </c>
      <c r="G1405" s="6">
        <f>HYPERLINK("https://www.kleinanzeigen.de/s-anzeige/windsurfen-masttasche/2862193369-230-8479", "Link")</f>
        <v/>
      </c>
      <c r="H1405" s="6">
        <f>HYPERLINK("C:\Projects\Kleinanzeigen-Scraper\offer_images\2862193369", "Link")</f>
        <v/>
      </c>
      <c r="I1405" t="inlineStr">
        <is>
          <t>Stoller</t>
        </is>
      </c>
      <c r="J1405" s="6">
        <f>HYPERLINK("https://www.kleinanzeigen.de/s-bestandsliste.html?userId=23902390", "Link")</f>
        <v/>
      </c>
      <c r="K1405" s="7" t="n">
        <v>45549.57880787037</v>
      </c>
      <c r="L1405" s="3" t="inlineStr">
        <is>
          <t>53.79</t>
        </is>
      </c>
      <c r="M1405" t="inlineStr">
        <is>
          <t>Bonndorf</t>
        </is>
      </c>
    </row>
    <row r="1406">
      <c r="A1406" t="inlineStr">
        <is>
          <t>Naish Foil Jet 2000</t>
        </is>
      </c>
      <c r="B1406" s="4" t="n">
        <v>600</v>
      </c>
      <c r="C1406" t="inlineStr"/>
      <c r="D1406" t="inlineStr">
        <is>
          <t>46483 Nordrhein-Westfalen - Wesel</t>
        </is>
      </c>
      <c r="E1406" s="5" t="n">
        <v>45502</v>
      </c>
      <c r="F1406" t="inlineStr">
        <is>
          <t>Sold</t>
        </is>
      </c>
      <c r="G1406" s="6">
        <f>HYPERLINK("https://www.kleinanzeigen.de/s-anzeige/naish-foil-jet-2000/2824038918-230-1867", "Link")</f>
        <v/>
      </c>
      <c r="H1406" s="6">
        <f>HYPERLINK("C:\Projects\Kleinanzeigen-Scraper\offer_images\2824038918", "Link")</f>
        <v/>
      </c>
      <c r="I1406" t="inlineStr">
        <is>
          <t>Frank Kubiß</t>
        </is>
      </c>
      <c r="J1406" s="6">
        <f>HYPERLINK("https://www.kleinanzeigen.de/s-bestandsliste.html?userId=10830295", "Link")</f>
        <v/>
      </c>
      <c r="K1406" s="7" t="n">
        <v>45549.57879629629</v>
      </c>
      <c r="L1406" s="3" t="inlineStr">
        <is>
          <t>83.87</t>
        </is>
      </c>
      <c r="M1406" t="inlineStr">
        <is>
          <t>Köln</t>
        </is>
      </c>
    </row>
    <row r="1407">
      <c r="A1407" t="inlineStr">
        <is>
          <t>Watschuhe Simms G4 Pro mit Alumibite Spikes EU 47 / US 14</t>
        </is>
      </c>
      <c r="B1407" s="4" t="n">
        <v>207</v>
      </c>
      <c r="C1407" t="inlineStr"/>
      <c r="D1407" t="inlineStr">
        <is>
          <t>24223 Schleswig-Holstein - Raisdorf</t>
        </is>
      </c>
      <c r="E1407" s="5" t="n">
        <v>45530</v>
      </c>
      <c r="F1407" t="inlineStr">
        <is>
          <t>Sold</t>
        </is>
      </c>
      <c r="G1407" s="6">
        <f>HYPERLINK("https://www.kleinanzeigen.de/s-anzeige/watschuhe-simms-g4-pro-mit-alumibite-spikes-eu-47-us-14/2787337998-230-474", "Link")</f>
        <v/>
      </c>
      <c r="H1407" s="6">
        <f>HYPERLINK("C:\Projects\Kleinanzeigen-Scraper\offer_images\2787337998", "Link")</f>
        <v/>
      </c>
      <c r="I1407" t="inlineStr">
        <is>
          <t>Florian</t>
        </is>
      </c>
      <c r="J1407" s="6">
        <f>HYPERLINK("https://www.kleinanzeigen.de/s-bestandsliste.html?userId=3967041", "Link")</f>
        <v/>
      </c>
      <c r="K1407" s="7" t="n">
        <v>45549.57878472222</v>
      </c>
      <c r="L1407" s="3" t="inlineStr">
        <is>
          <t>432.98</t>
        </is>
      </c>
      <c r="M1407" t="inlineStr">
        <is>
          <t>Köln</t>
        </is>
      </c>
    </row>
    <row r="1408">
      <c r="A1408" t="inlineStr">
        <is>
          <t>North Evo 12m2 kite Kitesurfen kite</t>
        </is>
      </c>
      <c r="B1408" s="4" t="inlineStr"/>
      <c r="C1408" t="inlineStr">
        <is>
          <t>VB</t>
        </is>
      </c>
      <c r="D1408" t="inlineStr">
        <is>
          <t>12683 Berlin - Biesdorf</t>
        </is>
      </c>
      <c r="E1408" s="5" t="n">
        <v>45545</v>
      </c>
      <c r="F1408" t="inlineStr">
        <is>
          <t>Sold</t>
        </is>
      </c>
      <c r="G1408" s="6">
        <f>HYPERLINK("https://www.kleinanzeigen.de/s-anzeige/north-evo-12m2-kite-kitesurfen-kite/2859447080-230-19394", "Link")</f>
        <v/>
      </c>
      <c r="H1408" s="6">
        <f>HYPERLINK("C:\Projects\Kleinanzeigen-Scraper\offer_images\2859447080", "Link")</f>
        <v/>
      </c>
      <c r="I1408" t="inlineStr">
        <is>
          <t>WirRäumenAuf</t>
        </is>
      </c>
      <c r="J1408" s="6">
        <f>HYPERLINK("https://www.kleinanzeigen.de/s-bestandsliste.html?userId=8358509", "Link")</f>
        <v/>
      </c>
      <c r="K1408" s="7" t="n">
        <v>45549.57877314815</v>
      </c>
      <c r="L1408" s="3" t="inlineStr">
        <is>
          <t>486.67</t>
        </is>
      </c>
      <c r="M1408" t="inlineStr">
        <is>
          <t>Köln</t>
        </is>
      </c>
    </row>
    <row r="1409">
      <c r="A1409" t="inlineStr">
        <is>
          <t>Vorzelt Isabella Capri Coast North G19 1025 - 10% Aktionsrabatt</t>
        </is>
      </c>
      <c r="B1409" s="4" t="n">
        <v>2.827</v>
      </c>
      <c r="C1409" t="inlineStr">
        <is>
          <t>VB</t>
        </is>
      </c>
      <c r="D1409" t="inlineStr">
        <is>
          <t>48432 Nordrhein-Westfalen - Rheine</t>
        </is>
      </c>
      <c r="E1409" s="5" t="n">
        <v>45555</v>
      </c>
      <c r="F1409" t="inlineStr"/>
      <c r="G1409" s="6">
        <f>HYPERLINK("https://www.kleinanzeigen.de/s-anzeige/vorzelt-isabella-capri-coast-north-g19-1025-10-aktionsrabatt/2246186968-230-1783", "Link")</f>
        <v/>
      </c>
      <c r="H1409" s="6">
        <f>HYPERLINK("C:\Projects\Kleinanzeigen-Scraper\offer_images\2246186968", "Link")</f>
        <v/>
      </c>
      <c r="I1409" t="inlineStr">
        <is>
          <t>No user name</t>
        </is>
      </c>
      <c r="J1409" s="6">
        <f>HYPERLINK("https://www.kleinanzeigen.deNo user link", "Link")</f>
        <v/>
      </c>
      <c r="K1409" s="7" t="n">
        <v>45549.57876157408</v>
      </c>
      <c r="L1409" s="3" t="inlineStr">
        <is>
          <t>148.12</t>
        </is>
      </c>
      <c r="M1409" t="inlineStr">
        <is>
          <t>Köln</t>
        </is>
      </c>
    </row>
    <row r="1410">
      <c r="A1410" t="inlineStr">
        <is>
          <t>Naish One 12‘6 SUP Carbon Paddel Karbon Paddleboard Paddelboard</t>
        </is>
      </c>
      <c r="B1410" s="4" t="n">
        <v>320</v>
      </c>
      <c r="C1410" t="inlineStr">
        <is>
          <t>VB</t>
        </is>
      </c>
      <c r="D1410" t="inlineStr">
        <is>
          <t>28717 Burglesum - Lesum</t>
        </is>
      </c>
      <c r="E1410" s="5" t="n">
        <v>45530</v>
      </c>
      <c r="F1410" t="inlineStr"/>
      <c r="G1410" s="6">
        <f>HYPERLINK("https://www.kleinanzeigen.de/s-anzeige/naish-one-12-6-sup-carbon-paddel-karbon-paddleboard-paddelboard/2847100413-230-8", "Link")</f>
        <v/>
      </c>
      <c r="H1410" s="6">
        <f>HYPERLINK("C:\Projects\Kleinanzeigen-Scraper\offer_images\2847100413", "Link")</f>
        <v/>
      </c>
      <c r="I1410" t="inlineStr">
        <is>
          <t>Wiese</t>
        </is>
      </c>
      <c r="J1410" s="6">
        <f>HYPERLINK("https://www.kleinanzeigen.de/s-bestandsliste.html?userId=7819361", "Link")</f>
        <v/>
      </c>
      <c r="K1410" s="7" t="n">
        <v>45549.57873842592</v>
      </c>
      <c r="L1410" s="3" t="inlineStr">
        <is>
          <t>275.02</t>
        </is>
      </c>
      <c r="M1410" t="inlineStr">
        <is>
          <t>Köln</t>
        </is>
      </c>
    </row>
    <row r="1411">
      <c r="A1411" t="inlineStr">
        <is>
          <t>SUP Pumpe Bravo RRD</t>
        </is>
      </c>
      <c r="B1411" s="4" t="n">
        <v>20</v>
      </c>
      <c r="C1411" t="inlineStr"/>
      <c r="D1411" t="inlineStr">
        <is>
          <t>81241 München - Pasing-Obermenzing</t>
        </is>
      </c>
      <c r="E1411" s="5" t="n">
        <v>45495</v>
      </c>
      <c r="F1411" t="inlineStr">
        <is>
          <t>Sold</t>
        </is>
      </c>
      <c r="G1411" s="6">
        <f>HYPERLINK("https://www.kleinanzeigen.de/s-anzeige/sup-pumpe-bravo-rrd/2818628368-230-6479", "Link")</f>
        <v/>
      </c>
      <c r="H1411" s="6">
        <f>HYPERLINK("C:\Projects\Kleinanzeigen-Scraper\offer_images\2818628368", "Link")</f>
        <v/>
      </c>
      <c r="I1411" t="inlineStr">
        <is>
          <t>Oliver</t>
        </is>
      </c>
      <c r="J1411" s="6">
        <f>HYPERLINK("https://www.kleinanzeigen.de/s-bestandsliste.html?userId=18996837", "Link")</f>
        <v/>
      </c>
      <c r="K1411" s="7" t="n">
        <v>45549.57873842592</v>
      </c>
      <c r="L1411" s="3" t="inlineStr">
        <is>
          <t>8.06</t>
        </is>
      </c>
      <c r="M1411" t="inlineStr">
        <is>
          <t>München</t>
        </is>
      </c>
    </row>
    <row r="1412">
      <c r="A1412" t="inlineStr">
        <is>
          <t>Naish Pivot 9 qm 2024 (März 24) Kite auch für Anfänger</t>
        </is>
      </c>
      <c r="B1412" s="4" t="n">
        <v>755</v>
      </c>
      <c r="C1412" t="inlineStr"/>
      <c r="D1412" t="inlineStr">
        <is>
          <t>23564 Schleswig-Holstein - Lübeck</t>
        </is>
      </c>
      <c r="E1412" s="5" t="n">
        <v>45525</v>
      </c>
      <c r="F1412" t="inlineStr">
        <is>
          <t>Sold</t>
        </is>
      </c>
      <c r="G1412" s="6">
        <f>HYPERLINK("https://www.kleinanzeigen.de/s-anzeige/naish-pivot-9-qm-2024-maerz-24-kite-auch-fuer-anfaenger/2842990976-230-420", "Link")</f>
        <v/>
      </c>
      <c r="H1412" s="6">
        <f>HYPERLINK("C:\Projects\Kleinanzeigen-Scraper\offer_images\2842990976", "Link")</f>
        <v/>
      </c>
      <c r="I1412" t="inlineStr">
        <is>
          <t>Vincent</t>
        </is>
      </c>
      <c r="J1412" s="6">
        <f>HYPERLINK("https://www.kleinanzeigen.de/s-bestandsliste.html?userId=19963223", "Link")</f>
        <v/>
      </c>
      <c r="K1412" s="7" t="n">
        <v>45549.57872685185</v>
      </c>
      <c r="L1412" s="3" t="inlineStr">
        <is>
          <t>413.01</t>
        </is>
      </c>
      <c r="M1412" t="inlineStr">
        <is>
          <t>Köln</t>
        </is>
      </c>
    </row>
    <row r="1413">
      <c r="A1413" t="inlineStr">
        <is>
          <t>Solo Goya Acrylic Farbe Beige 100 ml</t>
        </is>
      </c>
      <c r="B1413" s="4" t="n">
        <v>1</v>
      </c>
      <c r="C1413" t="inlineStr"/>
      <c r="D1413" t="inlineStr">
        <is>
          <t>70437 Stuttgart - Zuffenhausen</t>
        </is>
      </c>
      <c r="E1413" s="5" t="n">
        <v>45504</v>
      </c>
      <c r="F1413" t="inlineStr">
        <is>
          <t>Sold</t>
        </is>
      </c>
      <c r="G1413" s="6">
        <f>HYPERLINK("https://www.kleinanzeigen.de/s-anzeige/solo-goya-acrylic-farbe-beige-100-ml/2825310635-282-9593", "Link")</f>
        <v/>
      </c>
      <c r="H1413" s="6">
        <f>HYPERLINK("C:\Projects\Kleinanzeigen-Scraper\offer_images\2825310635", "Link")</f>
        <v/>
      </c>
      <c r="I1413" t="inlineStr">
        <is>
          <t>Demyan</t>
        </is>
      </c>
      <c r="J1413" s="6">
        <f>HYPERLINK("https://www.kleinanzeigen.de/s-bestandsliste.html?userId=38066590", "Link")</f>
        <v/>
      </c>
      <c r="K1413" s="7" t="n">
        <v>45549.5787037037</v>
      </c>
      <c r="L1413" s="3" t="inlineStr">
        <is>
          <t>24.41</t>
        </is>
      </c>
      <c r="M1413" t="inlineStr">
        <is>
          <t>Böblingen</t>
        </is>
      </c>
    </row>
    <row r="1414">
      <c r="A1414" t="inlineStr">
        <is>
          <t>Duotone Unit 2024 5.0 m2 Wing Foil Surf</t>
        </is>
      </c>
      <c r="B1414" s="4" t="n">
        <v>650</v>
      </c>
      <c r="C1414" t="inlineStr"/>
      <c r="D1414" t="inlineStr">
        <is>
          <t>18057 Rostock - Kröpeliner-Tor-Vorstadt</t>
        </is>
      </c>
      <c r="E1414" s="5" t="n">
        <v>45548</v>
      </c>
      <c r="F1414" t="inlineStr">
        <is>
          <t>Sold</t>
        </is>
      </c>
      <c r="G1414" s="6">
        <f>HYPERLINK("https://www.kleinanzeigen.de/s-anzeige/duotone-unit-2024-5-0-m2-wing-foil-surf/2862562080-230-156", "Link")</f>
        <v/>
      </c>
      <c r="H1414" s="6">
        <f>HYPERLINK("C:\Projects\Kleinanzeigen-Scraper\offer_images\2862562080", "Link")</f>
        <v/>
      </c>
      <c r="I1414" t="inlineStr">
        <is>
          <t>Olli</t>
        </is>
      </c>
      <c r="J1414" s="6">
        <f>HYPERLINK("https://www.kleinanzeigen.de/s-bestandsliste.html?userId=16463725", "Link")</f>
        <v/>
      </c>
      <c r="K1414" s="7" t="n">
        <v>45549.57869212963</v>
      </c>
      <c r="L1414" s="3" t="inlineStr">
        <is>
          <t>494.07</t>
        </is>
      </c>
      <c r="M1414" t="inlineStr">
        <is>
          <t>Köln</t>
        </is>
      </c>
    </row>
    <row r="1415">
      <c r="A1415" t="inlineStr">
        <is>
          <t>Kite DUOTONE NEO 8qm. MJ „2022</t>
        </is>
      </c>
      <c r="B1415" s="4" t="n">
        <v>650</v>
      </c>
      <c r="C1415" t="inlineStr">
        <is>
          <t>VB</t>
        </is>
      </c>
      <c r="D1415" t="inlineStr">
        <is>
          <t>82049 Bayern - Pullach</t>
        </is>
      </c>
      <c r="E1415" s="5" t="n">
        <v>45547</v>
      </c>
      <c r="F1415" t="inlineStr">
        <is>
          <t>Sold</t>
        </is>
      </c>
      <c r="G1415" s="6">
        <f>HYPERLINK("https://www.kleinanzeigen.de/s-anzeige/kite-duotone-neo-8qm-mj-2022/2861207321-230-6190", "Link")</f>
        <v/>
      </c>
      <c r="H1415" s="6">
        <f>HYPERLINK("C:\Projects\Kleinanzeigen-Scraper\offer_images\2861207321", "Link")</f>
        <v/>
      </c>
      <c r="I1415" t="inlineStr">
        <is>
          <t>Stefan Vogt</t>
        </is>
      </c>
      <c r="J1415" s="6">
        <f>HYPERLINK("https://www.kleinanzeigen.de/s-bestandsliste.html?userId=9521172", "Link")</f>
        <v/>
      </c>
      <c r="K1415" s="7" t="n">
        <v>45549.57869212963</v>
      </c>
      <c r="L1415" s="3" t="inlineStr">
        <is>
          <t>9.62</t>
        </is>
      </c>
      <c r="M1415" t="inlineStr">
        <is>
          <t>München</t>
        </is>
      </c>
    </row>
    <row r="1416">
      <c r="A1416" t="inlineStr">
        <is>
          <t>NEU FANATIC SUP 10’8“ x 34“ x 5.5“ Tasche mit Pumpe</t>
        </is>
      </c>
      <c r="B1416" s="4" t="n">
        <v>35</v>
      </c>
      <c r="C1416" t="inlineStr"/>
      <c r="D1416" t="inlineStr">
        <is>
          <t>23701 Kreis Ostholstein - Eutin</t>
        </is>
      </c>
      <c r="E1416" s="5" t="n">
        <v>45522</v>
      </c>
      <c r="F1416" t="inlineStr">
        <is>
          <t>Sold</t>
        </is>
      </c>
      <c r="G1416" s="6">
        <f>HYPERLINK("https://www.kleinanzeigen.de/s-anzeige/neu-fanatic-sup-10-8-x-34-x-5-5-tasche-mit-pumpe/2839870196-230-10552", "Link")</f>
        <v/>
      </c>
      <c r="H1416" s="6">
        <f>HYPERLINK("C:\Projects\Kleinanzeigen-Scraper\offer_images\2839870196", "Link")</f>
        <v/>
      </c>
      <c r="I1416" t="inlineStr">
        <is>
          <t>MB</t>
        </is>
      </c>
      <c r="J1416" s="6">
        <f>HYPERLINK("https://www.kleinanzeigen.de/s-bestandsliste.html?userId=29744055", "Link")</f>
        <v/>
      </c>
      <c r="K1416" s="7" t="n">
        <v>45549.57869212963</v>
      </c>
      <c r="L1416" s="3" t="inlineStr">
        <is>
          <t>431.90</t>
        </is>
      </c>
      <c r="M1416" t="inlineStr">
        <is>
          <t>Köln</t>
        </is>
      </c>
    </row>
    <row r="1417">
      <c r="A1417" t="inlineStr">
        <is>
          <t>North Reach Kite 2023 9m</t>
        </is>
      </c>
      <c r="B1417" s="4" t="n">
        <v>500</v>
      </c>
      <c r="C1417" t="inlineStr"/>
      <c r="D1417" t="inlineStr">
        <is>
          <t>80638 Neuhausen-Nymphenburg - Nymphenburg</t>
        </is>
      </c>
      <c r="E1417" s="5" t="n">
        <v>45543</v>
      </c>
      <c r="F1417" t="inlineStr">
        <is>
          <t>Sold</t>
        </is>
      </c>
      <c r="G1417" s="6">
        <f>HYPERLINK("https://www.kleinanzeigen.de/s-anzeige/north-reach-kite-2023-9m/2857129481-230-6421", "Link")</f>
        <v/>
      </c>
      <c r="H1417" s="6">
        <f>HYPERLINK("C:\Projects\Kleinanzeigen-Scraper\offer_images\2857129481", "Link")</f>
        <v/>
      </c>
      <c r="I1417" t="inlineStr">
        <is>
          <t>Loui</t>
        </is>
      </c>
      <c r="J1417" s="6">
        <f>HYPERLINK("https://www.kleinanzeigen.de/s-bestandsliste.html?userId=67174608", "Link")</f>
        <v/>
      </c>
      <c r="K1417" s="7" t="n">
        <v>45549.57868055555</v>
      </c>
      <c r="L1417" s="3" t="inlineStr">
        <is>
          <t>5.88</t>
        </is>
      </c>
      <c r="M1417" t="inlineStr">
        <is>
          <t>München</t>
        </is>
      </c>
    </row>
    <row r="1418">
      <c r="A1418" t="inlineStr">
        <is>
          <t>Duotone Rebel 14qm (2019)</t>
        </is>
      </c>
      <c r="B1418" s="4" t="n">
        <v>850</v>
      </c>
      <c r="C1418" t="inlineStr">
        <is>
          <t>VB</t>
        </is>
      </c>
      <c r="D1418" t="inlineStr">
        <is>
          <t>24576 Schleswig-Holstein - Hitzhusen</t>
        </is>
      </c>
      <c r="E1418" s="5" t="n">
        <v>45547</v>
      </c>
      <c r="F1418" t="inlineStr">
        <is>
          <t>Sold</t>
        </is>
      </c>
      <c r="G1418" s="6">
        <f>HYPERLINK("https://www.kleinanzeigen.de/s-anzeige/duotone-rebel-14qm-2019-/2861336840-230-27447", "Link")</f>
        <v/>
      </c>
      <c r="H1418" s="6">
        <f>HYPERLINK("C:\Projects\Kleinanzeigen-Scraper\offer_images\2861336840", "Link")</f>
        <v/>
      </c>
      <c r="I1418" t="inlineStr">
        <is>
          <t>Janina</t>
        </is>
      </c>
      <c r="J1418" s="6">
        <f>HYPERLINK("https://www.kleinanzeigen.de/s-bestandsliste.html?userId=22360925", "Link")</f>
        <v/>
      </c>
      <c r="K1418" s="7" t="n">
        <v>45549.57866898148</v>
      </c>
      <c r="L1418" s="3" t="inlineStr">
        <is>
          <t>384.10</t>
        </is>
      </c>
      <c r="M1418" t="inlineStr">
        <is>
          <t>Köln</t>
        </is>
      </c>
    </row>
    <row r="1419">
      <c r="A1419" t="inlineStr">
        <is>
          <t>Starboard Super Cruiser Foil (ohne Mast)</t>
        </is>
      </c>
      <c r="B1419" s="4" t="n">
        <v>420</v>
      </c>
      <c r="C1419" t="inlineStr"/>
      <c r="D1419" t="inlineStr">
        <is>
          <t>69214 Baden-Württemberg - Eppelheim</t>
        </is>
      </c>
      <c r="E1419" s="5" t="n">
        <v>45538</v>
      </c>
      <c r="F1419" t="inlineStr">
        <is>
          <t>Sold</t>
        </is>
      </c>
      <c r="G1419" s="6">
        <f>HYPERLINK("https://www.kleinanzeigen.de/s-anzeige/starboard-super-cruiser-foil-ohne-mast-/2853355848-230-8126", "Link")</f>
        <v/>
      </c>
      <c r="H1419" s="6">
        <f>HYPERLINK("C:\Projects\Kleinanzeigen-Scraper\offer_images\2853355848", "Link")</f>
        <v/>
      </c>
      <c r="I1419" t="inlineStr">
        <is>
          <t>Julien</t>
        </is>
      </c>
      <c r="J1419" s="6">
        <f>HYPERLINK("https://www.kleinanzeigen.de/s-bestandsliste.html?userId=13931052", "Link")</f>
        <v/>
      </c>
      <c r="K1419" s="7" t="n">
        <v>45549.57865740741</v>
      </c>
      <c r="L1419" s="3" t="inlineStr">
        <is>
          <t>46.29</t>
        </is>
      </c>
      <c r="M1419" t="inlineStr">
        <is>
          <t>Karlsruhe</t>
        </is>
      </c>
    </row>
    <row r="1420">
      <c r="A1420" t="inlineStr">
        <is>
          <t>Duotone Unit 2024 – 4,5 m Wing, Foil, Unit 3</t>
        </is>
      </c>
      <c r="B1420" s="4" t="n">
        <v>630</v>
      </c>
      <c r="C1420" t="inlineStr"/>
      <c r="D1420" t="inlineStr">
        <is>
          <t>86899 Bayern - Landsberg (Lech)</t>
        </is>
      </c>
      <c r="E1420" s="5" t="n">
        <v>45548</v>
      </c>
      <c r="F1420" t="inlineStr">
        <is>
          <t>Sold</t>
        </is>
      </c>
      <c r="G1420" s="6">
        <f>HYPERLINK("https://www.kleinanzeigen.de/s-anzeige/duotone-unit-2024-4-5-m-wing-foil-unit-3/2862416822-230-7091", "Link")</f>
        <v/>
      </c>
      <c r="H1420" s="6">
        <f>HYPERLINK("C:\Projects\Kleinanzeigen-Scraper\offer_images\2862416822", "Link")</f>
        <v/>
      </c>
      <c r="I1420" t="inlineStr">
        <is>
          <t>Chris</t>
        </is>
      </c>
      <c r="J1420" s="6">
        <f>HYPERLINK("https://www.kleinanzeigen.de/s-bestandsliste.html?userId=16182812", "Link")</f>
        <v/>
      </c>
      <c r="K1420" s="7" t="n">
        <v>45549.57865740741</v>
      </c>
      <c r="L1420" s="3" t="inlineStr">
        <is>
          <t>55.05</t>
        </is>
      </c>
      <c r="M1420" t="inlineStr">
        <is>
          <t>München</t>
        </is>
      </c>
    </row>
    <row r="1421">
      <c r="A1421" t="inlineStr">
        <is>
          <t>DUOTONE Kite Dice 9 und 12</t>
        </is>
      </c>
      <c r="B1421" s="4" t="n">
        <v>820</v>
      </c>
      <c r="C1421" t="inlineStr">
        <is>
          <t>VB</t>
        </is>
      </c>
      <c r="D1421" t="inlineStr">
        <is>
          <t>26135 Niedersachsen - Oldenburg</t>
        </is>
      </c>
      <c r="E1421" s="5" t="n">
        <v>45540</v>
      </c>
      <c r="F1421" t="inlineStr">
        <is>
          <t>Sold</t>
        </is>
      </c>
      <c r="G1421" s="6">
        <f>HYPERLINK("https://www.kleinanzeigen.de/s-anzeige/duotone-kite-dice-9-und-12/2855081996-230-3110", "Link")</f>
        <v/>
      </c>
      <c r="H1421" s="6">
        <f>HYPERLINK("C:\Projects\Kleinanzeigen-Scraper\offer_images\2855081996", "Link")</f>
        <v/>
      </c>
      <c r="I1421" t="inlineStr">
        <is>
          <t>Luzi</t>
        </is>
      </c>
      <c r="J1421" s="6">
        <f>HYPERLINK("https://www.kleinanzeigen.de/s-bestandsliste.html?userId=29630610", "Link")</f>
        <v/>
      </c>
      <c r="K1421" s="7" t="n">
        <v>45549.57863425926</v>
      </c>
      <c r="L1421" s="3" t="inlineStr">
        <is>
          <t>258.42</t>
        </is>
      </c>
      <c r="M1421" t="inlineStr">
        <is>
          <t>Köln</t>
        </is>
      </c>
    </row>
    <row r="1422">
      <c r="A1422" t="inlineStr">
        <is>
          <t>Duotone Juice DLab 13qm</t>
        </is>
      </c>
      <c r="B1422" s="4" t="n">
        <v>1.35</v>
      </c>
      <c r="C1422" t="inlineStr">
        <is>
          <t>VB</t>
        </is>
      </c>
      <c r="D1422" t="inlineStr">
        <is>
          <t>85630 Kr. München - Grasbrunn</t>
        </is>
      </c>
      <c r="E1422" s="5" t="n">
        <v>45540</v>
      </c>
      <c r="F1422" t="inlineStr">
        <is>
          <t>Sold</t>
        </is>
      </c>
      <c r="G1422" s="6">
        <f>HYPERLINK("https://www.kleinanzeigen.de/s-anzeige/duotone-juice-dlab-13qm/2854914953-230-6184", "Link")</f>
        <v/>
      </c>
      <c r="H1422" s="6">
        <f>HYPERLINK("C:\Projects\Kleinanzeigen-Scraper\offer_images\2854914953", "Link")</f>
        <v/>
      </c>
      <c r="I1422" t="inlineStr">
        <is>
          <t>Christian Ott</t>
        </is>
      </c>
      <c r="J1422" s="6">
        <f>HYPERLINK("https://www.kleinanzeigen.de/s-bestandsliste.html?userId=18519264", "Link")</f>
        <v/>
      </c>
      <c r="K1422" s="7" t="n">
        <v>45549.57863425926</v>
      </c>
      <c r="L1422" s="3" t="inlineStr">
        <is>
          <t>14.39</t>
        </is>
      </c>
      <c r="M1422" t="inlineStr">
        <is>
          <t>München</t>
        </is>
      </c>
    </row>
    <row r="1423">
      <c r="A1423" t="inlineStr">
        <is>
          <t>Simms Freestone L</t>
        </is>
      </c>
      <c r="B1423" s="4" t="n">
        <v>190</v>
      </c>
      <c r="C1423" t="inlineStr">
        <is>
          <t>VB</t>
        </is>
      </c>
      <c r="D1423" t="inlineStr">
        <is>
          <t>21033 Bergedorf - Hamburg Billwerder</t>
        </is>
      </c>
      <c r="E1423" s="5" t="n">
        <v>45520</v>
      </c>
      <c r="F1423" t="inlineStr">
        <is>
          <t>Sold</t>
        </is>
      </c>
      <c r="G1423" s="6">
        <f>HYPERLINK("https://www.kleinanzeigen.de/s-anzeige/simms-freestone-l/2838575282-230-26497", "Link")</f>
        <v/>
      </c>
      <c r="H1423" s="6">
        <f>HYPERLINK("C:\Projects\Kleinanzeigen-Scraper\offer_images\2838575282", "Link")</f>
        <v/>
      </c>
      <c r="I1423" t="inlineStr">
        <is>
          <t>Max Messer</t>
        </is>
      </c>
      <c r="J1423" s="6">
        <f>HYPERLINK("https://www.kleinanzeigen.de/s-bestandsliste.html?userId=23179588", "Link")</f>
        <v/>
      </c>
      <c r="K1423" s="7" t="n">
        <v>45549.57861111111</v>
      </c>
      <c r="L1423" s="3" t="inlineStr">
        <is>
          <t>359.24</t>
        </is>
      </c>
      <c r="M1423" t="inlineStr">
        <is>
          <t>Köln</t>
        </is>
      </c>
    </row>
    <row r="1424">
      <c r="A1424" t="inlineStr">
        <is>
          <t>Neilpryde Halbtrockenanzug Neopren Größe 98 einmal getragen</t>
        </is>
      </c>
      <c r="B1424" s="4" t="n">
        <v>150</v>
      </c>
      <c r="C1424" t="inlineStr">
        <is>
          <t>VB</t>
        </is>
      </c>
      <c r="D1424" t="inlineStr">
        <is>
          <t>85604 Bayern - Zorneding</t>
        </is>
      </c>
      <c r="E1424" s="5" t="n">
        <v>45446</v>
      </c>
      <c r="F1424" t="inlineStr">
        <is>
          <t>Sold</t>
        </is>
      </c>
      <c r="G1424" s="6">
        <f>HYPERLINK("https://www.kleinanzeigen.de/s-anzeige/neilpryde-halbtrockenanzug-neopren-groesse-98-einmal-getragen/2779081593-230-5576", "Link")</f>
        <v/>
      </c>
      <c r="H1424" s="6">
        <f>HYPERLINK("C:\Projects\Kleinanzeigen-Scraper\offer_images\2779081593", "Link")</f>
        <v/>
      </c>
      <c r="I1424" t="inlineStr">
        <is>
          <t>Claudia</t>
        </is>
      </c>
      <c r="J1424" s="6">
        <f>HYPERLINK("https://www.kleinanzeigen.de/s-bestandsliste.html?userId=56896441", "Link")</f>
        <v/>
      </c>
      <c r="K1424" s="7" t="n">
        <v>45549.57861111111</v>
      </c>
      <c r="L1424" s="3" t="inlineStr">
        <is>
          <t>19.48</t>
        </is>
      </c>
      <c r="M1424" t="inlineStr">
        <is>
          <t>München</t>
        </is>
      </c>
    </row>
    <row r="1425">
      <c r="A1425" t="inlineStr">
        <is>
          <t>Azur Lane USS North Carolina LuckyGoddess WaifuTradingCardFullArt</t>
        </is>
      </c>
      <c r="B1425" s="4" t="n">
        <v>3</v>
      </c>
      <c r="C1425" t="inlineStr"/>
      <c r="D1425" t="inlineStr">
        <is>
          <t>24811 Schleswig-Holstein - Owschlag</t>
        </is>
      </c>
      <c r="E1425" s="5" t="n">
        <v>45545</v>
      </c>
      <c r="F1425" t="inlineStr">
        <is>
          <t>Sold</t>
        </is>
      </c>
      <c r="G1425" s="6">
        <f>HYPERLINK("https://www.kleinanzeigen.de/s-anzeige/azur-lane-uss-north-carolina-luckygoddess-waifutradingcardfullart/2859640593-234-15771", "Link")</f>
        <v/>
      </c>
      <c r="H1425" s="6">
        <f>HYPERLINK("C:\Projects\Kleinanzeigen-Scraper\offer_images\2859640593", "Link")</f>
        <v/>
      </c>
      <c r="I1425" t="inlineStr">
        <is>
          <t>Sven Thurow</t>
        </is>
      </c>
      <c r="J1425" s="6">
        <f>HYPERLINK("https://www.kleinanzeigen.de/s-bestandsliste.html?userId=5524742", "Link")</f>
        <v/>
      </c>
      <c r="K1425" s="7" t="n">
        <v>45549.57861111111</v>
      </c>
      <c r="L1425" s="3" t="inlineStr">
        <is>
          <t>423.81</t>
        </is>
      </c>
      <c r="M1425" t="inlineStr">
        <is>
          <t>Köln</t>
        </is>
      </c>
    </row>
    <row r="1426">
      <c r="A1426" t="inlineStr">
        <is>
          <t>Wander oder Trekkingrucksack the north Face</t>
        </is>
      </c>
      <c r="B1426" s="4" t="n">
        <v>75</v>
      </c>
      <c r="C1426" t="inlineStr">
        <is>
          <t>VB</t>
        </is>
      </c>
      <c r="D1426" t="inlineStr">
        <is>
          <t>64720 Hessen - Michelstadt</t>
        </is>
      </c>
      <c r="E1426" s="5" t="n">
        <v>45536</v>
      </c>
      <c r="F1426" t="inlineStr">
        <is>
          <t>Sold</t>
        </is>
      </c>
      <c r="G1426" s="6">
        <f>HYPERLINK("https://www.kleinanzeigen.de/s-anzeige/wander-oder-trekkingrucksack-the-north-face/2851909267-230-4491", "Link")</f>
        <v/>
      </c>
      <c r="H1426" s="6">
        <f>HYPERLINK("C:\Projects\Kleinanzeigen-Scraper\offer_images\2851909267", "Link")</f>
        <v/>
      </c>
      <c r="I1426" t="inlineStr">
        <is>
          <t>Stefan</t>
        </is>
      </c>
      <c r="J1426" s="6">
        <f>HYPERLINK("https://www.kleinanzeigen.de/s-bestandsliste.html?userId=25354710", "Link")</f>
        <v/>
      </c>
      <c r="K1426" s="7" t="n">
        <v>45549.57861111111</v>
      </c>
      <c r="L1426" s="3" t="inlineStr">
        <is>
          <t>90.22</t>
        </is>
      </c>
      <c r="M1426" t="inlineStr">
        <is>
          <t>Karlsruhe</t>
        </is>
      </c>
    </row>
    <row r="1427">
      <c r="A1427" t="inlineStr">
        <is>
          <t>Starboard / Airush Freewing Go 5.5 mit fenstern</t>
        </is>
      </c>
      <c r="B1427" s="4" t="n">
        <v>400</v>
      </c>
      <c r="C1427" t="inlineStr"/>
      <c r="D1427" t="inlineStr">
        <is>
          <t>52074 Aachen - Laurensberg</t>
        </is>
      </c>
      <c r="E1427" s="5" t="n">
        <v>45512</v>
      </c>
      <c r="F1427" t="inlineStr">
        <is>
          <t>Sold</t>
        </is>
      </c>
      <c r="G1427" s="6">
        <f>HYPERLINK("https://www.kleinanzeigen.de/s-anzeige/starboard-airush-freewing-go-5-5-mit-fenstern/2831899555-230-1928", "Link")</f>
        <v/>
      </c>
      <c r="H1427" s="6">
        <f>HYPERLINK("C:\Projects\Kleinanzeigen-Scraper\offer_images\2831899555", "Link")</f>
        <v/>
      </c>
      <c r="I1427" t="inlineStr">
        <is>
          <t>Irwin</t>
        </is>
      </c>
      <c r="J1427" s="6">
        <f>HYPERLINK("https://www.kleinanzeigen.de/s-bestandsliste.html?userId=34751380", "Link")</f>
        <v/>
      </c>
      <c r="K1427" s="7" t="n">
        <v>45549.57858796296</v>
      </c>
      <c r="L1427" s="3" t="inlineStr">
        <is>
          <t>66.56</t>
        </is>
      </c>
      <c r="M1427" t="inlineStr">
        <is>
          <t>Köln</t>
        </is>
      </c>
    </row>
    <row r="1428">
      <c r="A1428" t="inlineStr">
        <is>
          <t>SUP Pumpe Fanatic NEU</t>
        </is>
      </c>
      <c r="B1428" s="4" t="n">
        <v>30</v>
      </c>
      <c r="C1428" t="inlineStr"/>
      <c r="D1428" t="inlineStr">
        <is>
          <t>29313 Niedersachsen - Hambühren</t>
        </is>
      </c>
      <c r="E1428" s="5" t="n">
        <v>45533</v>
      </c>
      <c r="F1428" t="inlineStr">
        <is>
          <t>Sold</t>
        </is>
      </c>
      <c r="G1428" s="6">
        <f>HYPERLINK("https://www.kleinanzeigen.de/s-anzeige/sup-pumpe-fanatic-neu/2849224074-230-3203", "Link")</f>
        <v/>
      </c>
      <c r="H1428" s="6">
        <f>HYPERLINK("C:\Projects\Kleinanzeigen-Scraper\offer_images\2849224074", "Link")</f>
        <v/>
      </c>
      <c r="I1428" t="inlineStr">
        <is>
          <t>Chris</t>
        </is>
      </c>
      <c r="J1428" s="6">
        <f>HYPERLINK("https://www.kleinanzeigen.de/s-bestandsliste.html?userId=69502735", "Link")</f>
        <v/>
      </c>
      <c r="K1428" s="7" t="n">
        <v>45549.57858796296</v>
      </c>
      <c r="L1428" s="3" t="inlineStr">
        <is>
          <t>277.61</t>
        </is>
      </c>
      <c r="M1428" t="inlineStr">
        <is>
          <t>Köln</t>
        </is>
      </c>
    </row>
    <row r="1429">
      <c r="A1429" t="inlineStr">
        <is>
          <t>SIMMS WATHOSE HÜFT-WATHOSE</t>
        </is>
      </c>
      <c r="B1429" s="4" t="n">
        <v>299</v>
      </c>
      <c r="C1429" t="inlineStr">
        <is>
          <t>VB</t>
        </is>
      </c>
      <c r="D1429" t="inlineStr">
        <is>
          <t>50667 Innenstadt - Köln Altstadt</t>
        </is>
      </c>
      <c r="E1429" s="5" t="n">
        <v>45547</v>
      </c>
      <c r="F1429" t="inlineStr"/>
      <c r="G1429" s="6">
        <f>HYPERLINK("https://www.kleinanzeigen.de/s-anzeige/simms-wathose-hueft-wathose/2861224978-230-983", "Link")</f>
        <v/>
      </c>
      <c r="H1429" s="6">
        <f>HYPERLINK("C:\Projects\Kleinanzeigen-Scraper\offer_images\2861224978", "Link")</f>
        <v/>
      </c>
      <c r="I1429" t="inlineStr">
        <is>
          <t>D_K</t>
        </is>
      </c>
      <c r="J1429" s="6">
        <f>HYPERLINK("https://www.kleinanzeigen.de/s-bestandsliste.html?userId=984683", "Link")</f>
        <v/>
      </c>
      <c r="K1429" s="7" t="n">
        <v>45549.57858796296</v>
      </c>
      <c r="L1429" s="3" t="inlineStr">
        <is>
          <t>0.00</t>
        </is>
      </c>
      <c r="M1429" t="inlineStr">
        <is>
          <t>Köln</t>
        </is>
      </c>
    </row>
    <row r="1430">
      <c r="A1430" t="inlineStr">
        <is>
          <t>Simms ProDry GORE-TEX Bibs, grau XXL Outdoor Hose</t>
        </is>
      </c>
      <c r="B1430" s="4" t="n">
        <v>600</v>
      </c>
      <c r="C1430" t="inlineStr"/>
      <c r="D1430" t="inlineStr">
        <is>
          <t>45892 Nordrhein-Westfalen - Gelsenkirchen</t>
        </is>
      </c>
      <c r="E1430" s="5" t="n">
        <v>45475</v>
      </c>
      <c r="F1430" t="inlineStr"/>
      <c r="G1430" s="6">
        <f>HYPERLINK("https://www.kleinanzeigen.de/s-anzeige/simms-prodry-gore-tex-bibs-grau-xxl-outdoor-hose/2802448680-230-1011", "Link")</f>
        <v/>
      </c>
      <c r="H1430" s="6">
        <f>HYPERLINK("C:\Projects\Kleinanzeigen-Scraper\offer_images\2802448680", "Link")</f>
        <v/>
      </c>
      <c r="I1430" t="inlineStr">
        <is>
          <t>M.N.</t>
        </is>
      </c>
      <c r="J1430" s="6">
        <f>HYPERLINK("https://www.kleinanzeigen.de/s-bestandsliste.html?userId=40899356", "Link")</f>
        <v/>
      </c>
      <c r="K1430" s="7" t="n">
        <v>45549.57858796296</v>
      </c>
      <c r="L1430" s="3" t="inlineStr">
        <is>
          <t>70.87</t>
        </is>
      </c>
      <c r="M1430" t="inlineStr">
        <is>
          <t>Köln</t>
        </is>
      </c>
    </row>
    <row r="1431">
      <c r="A1431" t="inlineStr">
        <is>
          <t>Kite Duotone Dice 5 qm 2020 Türkis</t>
        </is>
      </c>
      <c r="B1431" s="4" t="n">
        <v>450</v>
      </c>
      <c r="C1431" t="inlineStr">
        <is>
          <t>VB</t>
        </is>
      </c>
      <c r="D1431" t="inlineStr">
        <is>
          <t>80796 München - Schwabing-West</t>
        </is>
      </c>
      <c r="E1431" s="5" t="n">
        <v>45541</v>
      </c>
      <c r="F1431" t="inlineStr">
        <is>
          <t>Sold</t>
        </is>
      </c>
      <c r="G1431" s="6">
        <f>HYPERLINK("https://www.kleinanzeigen.de/s-anzeige/kite-duotone-dice-5-qm-2020-tuerkis/2855661934-230-6462", "Link")</f>
        <v/>
      </c>
      <c r="H1431" s="6">
        <f>HYPERLINK("C:\Projects\Kleinanzeigen-Scraper\offer_images\2855661934", "Link")</f>
        <v/>
      </c>
      <c r="I1431" t="inlineStr">
        <is>
          <t>Johanna Okh</t>
        </is>
      </c>
      <c r="J1431" s="6">
        <f>HYPERLINK("https://www.kleinanzeigen.de/s-bestandsliste.html?userId=17886374", "Link")</f>
        <v/>
      </c>
      <c r="K1431" s="7" t="n">
        <v>45549.57858796296</v>
      </c>
      <c r="L1431" s="3" t="inlineStr">
        <is>
          <t>2.99</t>
        </is>
      </c>
      <c r="M1431" t="inlineStr">
        <is>
          <t>München</t>
        </is>
      </c>
    </row>
    <row r="1432">
      <c r="A1432" t="inlineStr">
        <is>
          <t>RRD Religion 9  MK9 2020 kein Neo</t>
        </is>
      </c>
      <c r="B1432" s="4" t="n">
        <v>300</v>
      </c>
      <c r="C1432" t="inlineStr">
        <is>
          <t>VB</t>
        </is>
      </c>
      <c r="D1432" t="inlineStr">
        <is>
          <t>38350 Niedersachsen - Helmstedt</t>
        </is>
      </c>
      <c r="E1432" s="5" t="n">
        <v>45533</v>
      </c>
      <c r="F1432" t="inlineStr">
        <is>
          <t>Sold</t>
        </is>
      </c>
      <c r="G1432" s="6">
        <f>HYPERLINK("https://www.kleinanzeigen.de/s-anzeige/rrd-religion-9-mk9-2020-kein-neo/2848979434-230-14238", "Link")</f>
        <v/>
      </c>
      <c r="H1432" s="6">
        <f>HYPERLINK("C:\Projects\Kleinanzeigen-Scraper\offer_images\2848979434", "Link")</f>
        <v/>
      </c>
      <c r="I1432" t="inlineStr">
        <is>
          <t>Liebing</t>
        </is>
      </c>
      <c r="J1432" s="6">
        <f>HYPERLINK("https://www.kleinanzeigen.de/s-bestandsliste.html?userId=11767375", "Link")</f>
        <v/>
      </c>
      <c r="K1432" s="7" t="n">
        <v>45549.57856481482</v>
      </c>
      <c r="L1432" s="3" t="inlineStr">
        <is>
          <t>314.95</t>
        </is>
      </c>
      <c r="M1432" t="inlineStr">
        <is>
          <t>Köln</t>
        </is>
      </c>
    </row>
    <row r="1433">
      <c r="A1433" t="inlineStr">
        <is>
          <t>Kiteboard Naish 132cmx40cm, inkl. Pads, Handle und Finnen</t>
        </is>
      </c>
      <c r="B1433" s="4" t="n">
        <v>75</v>
      </c>
      <c r="C1433" t="inlineStr"/>
      <c r="D1433" t="inlineStr">
        <is>
          <t>22397 Wandsbek - Hamburg Duvenstedt</t>
        </is>
      </c>
      <c r="E1433" s="5" t="n">
        <v>45550</v>
      </c>
      <c r="F1433" t="inlineStr">
        <is>
          <t>Sold</t>
        </is>
      </c>
      <c r="G1433" s="6">
        <f>HYPERLINK("https://www.kleinanzeigen.de/s-anzeige/kiteboard-naish-132cmx40cm-inkl-pads-handle-und-finnen/2847258767-230-9473", "Link")</f>
        <v/>
      </c>
      <c r="H1433" s="6">
        <f>HYPERLINK("C:\Projects\Kleinanzeigen-Scraper\offer_images\2847258767", "Link")</f>
        <v/>
      </c>
      <c r="I1433" t="inlineStr">
        <is>
          <t>Bock, Ulrike</t>
        </is>
      </c>
      <c r="J1433" s="6">
        <f>HYPERLINK("https://www.kleinanzeigen.de/s-bestandsliste.html?userId=16631534", "Link")</f>
        <v/>
      </c>
      <c r="K1433" s="7" t="n">
        <v>45549.57856481482</v>
      </c>
      <c r="L1433" s="3" t="inlineStr">
        <is>
          <t>373.25</t>
        </is>
      </c>
      <c r="M1433" t="inlineStr">
        <is>
          <t>Köln</t>
        </is>
      </c>
    </row>
    <row r="1434">
      <c r="A1434" t="inlineStr">
        <is>
          <t>Duotone Clickbar S Click Bar 20-22m von '23</t>
        </is>
      </c>
      <c r="B1434" s="4" t="n">
        <v>340</v>
      </c>
      <c r="C1434" t="inlineStr"/>
      <c r="D1434" t="inlineStr">
        <is>
          <t>23689 Schleswig-Holstein - Pansdorf</t>
        </is>
      </c>
      <c r="E1434" s="5" t="n">
        <v>45546</v>
      </c>
      <c r="F1434" t="inlineStr">
        <is>
          <t>Sold</t>
        </is>
      </c>
      <c r="G1434" s="6">
        <f>HYPERLINK("https://www.kleinanzeigen.de/s-anzeige/duotone-clickbar-s-click-bar-20-22m-von-23/2860259760-230-20090", "Link")</f>
        <v/>
      </c>
      <c r="H1434" s="6">
        <f>HYPERLINK("C:\Projects\Kleinanzeigen-Scraper\offer_images\2860259760", "Link")</f>
        <v/>
      </c>
      <c r="I1434" t="inlineStr">
        <is>
          <t>Florian</t>
        </is>
      </c>
      <c r="J1434" s="6">
        <f>HYPERLINK("https://www.kleinanzeigen.de/s-bestandsliste.html?userId=8249770", "Link")</f>
        <v/>
      </c>
      <c r="K1434" s="7" t="n">
        <v>45549.57856481482</v>
      </c>
      <c r="L1434" s="3" t="inlineStr">
        <is>
          <t>423.41</t>
        </is>
      </c>
      <c r="M1434" t="inlineStr">
        <is>
          <t>Köln</t>
        </is>
      </c>
    </row>
    <row r="1435">
      <c r="A1435" t="inlineStr">
        <is>
          <t>Kite RRD Obsession MK5 9</t>
        </is>
      </c>
      <c r="B1435" s="4" t="n">
        <v>150</v>
      </c>
      <c r="C1435" t="inlineStr"/>
      <c r="D1435" t="inlineStr">
        <is>
          <t>68789 Baden-Württemberg - St. Leon-Rot</t>
        </is>
      </c>
      <c r="E1435" s="5" t="n">
        <v>45192</v>
      </c>
      <c r="F1435" t="inlineStr">
        <is>
          <t>Sold</t>
        </is>
      </c>
      <c r="G1435" s="6">
        <f>HYPERLINK("https://www.kleinanzeigen.de/s-anzeige/kite-rrd-obsession-mk5-9/2553161589-230-8251", "Link")</f>
        <v/>
      </c>
      <c r="H1435" s="6">
        <f>HYPERLINK("C:\Projects\Kleinanzeigen-Scraper\offer_images\2553161589", "Link")</f>
        <v/>
      </c>
      <c r="I1435" t="inlineStr">
        <is>
          <t>Tobias</t>
        </is>
      </c>
      <c r="J1435" s="6">
        <f>HYPERLINK("https://www.kleinanzeigen.de/s-bestandsliste.html?userId=6706363", "Link")</f>
        <v/>
      </c>
      <c r="K1435" s="7" t="n">
        <v>45549.57856481482</v>
      </c>
      <c r="L1435" s="3" t="inlineStr">
        <is>
          <t>32.56</t>
        </is>
      </c>
      <c r="M1435" t="inlineStr">
        <is>
          <t>Karlsruhe</t>
        </is>
      </c>
    </row>
    <row r="1436">
      <c r="A1436" t="inlineStr">
        <is>
          <t>SUP Set: Fanatic Ray Air Premium 11’6 (Tourer)</t>
        </is>
      </c>
      <c r="B1436" s="4" t="n">
        <v>505</v>
      </c>
      <c r="C1436" t="inlineStr">
        <is>
          <t>VB</t>
        </is>
      </c>
      <c r="D1436" t="inlineStr">
        <is>
          <t>01809 Sachsen - Dohna</t>
        </is>
      </c>
      <c r="E1436" s="5" t="n">
        <v>45504</v>
      </c>
      <c r="F1436" t="inlineStr">
        <is>
          <t>Sold</t>
        </is>
      </c>
      <c r="G1436" s="6">
        <f>HYPERLINK("https://www.kleinanzeigen.de/s-anzeige/sup-set-fanatic-ray-air-premium-11-6-tourer-/2825883265-230-19384", "Link")</f>
        <v/>
      </c>
      <c r="H1436" s="6">
        <f>HYPERLINK("C:\Projects\Kleinanzeigen-Scraper\offer_images\2825883265", "Link")</f>
        <v/>
      </c>
      <c r="I1436" t="inlineStr">
        <is>
          <t>Nadja</t>
        </is>
      </c>
      <c r="J1436" s="6">
        <f>HYPERLINK("https://www.kleinanzeigen.de/s-bestandsliste.html?userId=30392490", "Link")</f>
        <v/>
      </c>
      <c r="K1436" s="7" t="n">
        <v>45549.57855324074</v>
      </c>
      <c r="L1436" s="3" t="inlineStr">
        <is>
          <t>353.84</t>
        </is>
      </c>
      <c r="M1436" t="inlineStr">
        <is>
          <t>München</t>
        </is>
      </c>
    </row>
    <row r="1437">
      <c r="A1437" t="inlineStr">
        <is>
          <t>Kiterange Naish 2022 6m, 8m, 10m, 12m inkl. 2 Bars</t>
        </is>
      </c>
      <c r="B1437" s="4" t="n">
        <v>2.599</v>
      </c>
      <c r="C1437" t="inlineStr">
        <is>
          <t>VB</t>
        </is>
      </c>
      <c r="D1437" t="inlineStr">
        <is>
          <t>20357 Altona - Hamburg Sternschanze</t>
        </is>
      </c>
      <c r="E1437" s="5" t="n">
        <v>45520</v>
      </c>
      <c r="F1437" t="inlineStr">
        <is>
          <t>Sold</t>
        </is>
      </c>
      <c r="G1437" s="6">
        <f>HYPERLINK("https://www.kleinanzeigen.de/s-anzeige/kiterange-naish-2022-6m-8m-10m-12m-inkl-2-bars/2838449995-230-9431", "Link")</f>
        <v/>
      </c>
      <c r="H1437" s="6">
        <f>HYPERLINK("C:\Projects\Kleinanzeigen-Scraper\offer_images\2838449995", "Link")</f>
        <v/>
      </c>
      <c r="I1437" t="inlineStr">
        <is>
          <t>Hasse</t>
        </is>
      </c>
      <c r="J1437" s="6">
        <f>HYPERLINK("https://www.kleinanzeigen.de/s-bestandsliste.html?userId=133824050", "Link")</f>
        <v/>
      </c>
      <c r="K1437" s="7" t="n">
        <v>45549.57855324074</v>
      </c>
      <c r="L1437" s="3" t="inlineStr">
        <is>
          <t>356.83</t>
        </is>
      </c>
      <c r="M1437" t="inlineStr">
        <is>
          <t>Köln</t>
        </is>
      </c>
    </row>
    <row r="1438">
      <c r="A1438" t="inlineStr">
        <is>
          <t>Simms fly fishing Fliegenfischerweste: Simms guide Vest Steel XXL</t>
        </is>
      </c>
      <c r="B1438" s="4" t="n">
        <v>200</v>
      </c>
      <c r="C1438" t="inlineStr"/>
      <c r="D1438" t="inlineStr">
        <is>
          <t>78166 Baden-Württemberg - Donaueschingen</t>
        </is>
      </c>
      <c r="E1438" s="5" t="n">
        <v>45543</v>
      </c>
      <c r="F1438" t="inlineStr">
        <is>
          <t>Sold</t>
        </is>
      </c>
      <c r="G1438" s="6">
        <f>HYPERLINK("https://www.kleinanzeigen.de/s-anzeige/simms-fly-fishing-fliegenfischerweste-simms-guide-vest-steel-xxl/2857616202-242-8862", "Link")</f>
        <v/>
      </c>
      <c r="H1438" s="6">
        <f>HYPERLINK("C:\Projects\Kleinanzeigen-Scraper\offer_images\2857616202", "Link")</f>
        <v/>
      </c>
      <c r="I1438" t="inlineStr">
        <is>
          <t>Dietmar Podschull</t>
        </is>
      </c>
      <c r="J1438" s="6">
        <f>HYPERLINK("https://www.kleinanzeigen.de/s-bestandsliste.html?userId=23082920", "Link")</f>
        <v/>
      </c>
      <c r="K1438" s="7" t="n">
        <v>45549.57855324074</v>
      </c>
      <c r="L1438" s="3" t="inlineStr">
        <is>
          <t>19.93</t>
        </is>
      </c>
      <c r="M1438" t="inlineStr">
        <is>
          <t>Bonndorf</t>
        </is>
      </c>
    </row>
    <row r="1439">
      <c r="A1439" t="inlineStr">
        <is>
          <t>Fanatic Mast &amp; Fuselage Set Carbon 2023</t>
        </is>
      </c>
      <c r="B1439" s="4" t="n">
        <v>670</v>
      </c>
      <c r="C1439" t="inlineStr"/>
      <c r="D1439" t="inlineStr">
        <is>
          <t>90451 Nürnberg (Mittelfr) - Aussenstadt-Sued</t>
        </is>
      </c>
      <c r="E1439" s="5" t="n">
        <v>45546</v>
      </c>
      <c r="F1439" t="inlineStr">
        <is>
          <t>Sold</t>
        </is>
      </c>
      <c r="G1439" s="6">
        <f>HYPERLINK("https://www.kleinanzeigen.de/s-anzeige/fanatic-mast-fuselage-set-carbon-2023/2810864590-230-6836", "Link")</f>
        <v/>
      </c>
      <c r="H1439" s="6">
        <f>HYPERLINK("C:\Projects\Kleinanzeigen-Scraper\offer_images\2810864590", "Link")</f>
        <v/>
      </c>
      <c r="I1439" t="inlineStr">
        <is>
          <t>No user name</t>
        </is>
      </c>
      <c r="J1439" s="6">
        <f>HYPERLINK("https://www.kleinanzeigen.deNo user link", "Link")</f>
        <v/>
      </c>
      <c r="K1439" s="7" t="n">
        <v>45549.57854166667</v>
      </c>
      <c r="L1439" s="3" t="inlineStr">
        <is>
          <t>145.92</t>
        </is>
      </c>
      <c r="M1439" t="inlineStr">
        <is>
          <t>München</t>
        </is>
      </c>
    </row>
    <row r="1440">
      <c r="A1440" t="inlineStr">
        <is>
          <t>Naish 2023 Jet Foil Semi Complete 2000 inkl. Naish Mast Alu-75</t>
        </is>
      </c>
      <c r="B1440" s="4" t="n">
        <v>899</v>
      </c>
      <c r="C1440" t="inlineStr">
        <is>
          <t>VB</t>
        </is>
      </c>
      <c r="D1440" t="inlineStr">
        <is>
          <t>52499 Nordrhein-Westfalen - Baesweiler</t>
        </is>
      </c>
      <c r="E1440" s="5" t="n">
        <v>45543</v>
      </c>
      <c r="F1440" t="inlineStr">
        <is>
          <t>Sold</t>
        </is>
      </c>
      <c r="G1440" s="6">
        <f>HYPERLINK("https://www.kleinanzeigen.de/s-anzeige/naish-2023-jet-foil-semi-complete-2000-inkl-naish-mast-alu-75/2857326296-230-1710", "Link")</f>
        <v/>
      </c>
      <c r="H1440" s="6">
        <f>HYPERLINK("C:\Projects\Kleinanzeigen-Scraper\offer_images\2857326296", "Link")</f>
        <v/>
      </c>
      <c r="I1440" t="inlineStr">
        <is>
          <t>GT</t>
        </is>
      </c>
      <c r="J1440" s="6">
        <f>HYPERLINK("https://www.kleinanzeigen.de/s-bestandsliste.html?userId=4984231", "Link")</f>
        <v/>
      </c>
      <c r="K1440" s="7" t="n">
        <v>45549.57854166667</v>
      </c>
      <c r="L1440" s="3" t="inlineStr">
        <is>
          <t>53.24</t>
        </is>
      </c>
      <c r="M1440" t="inlineStr">
        <is>
          <t>Köln</t>
        </is>
      </c>
    </row>
    <row r="1441">
      <c r="A1441" t="inlineStr">
        <is>
          <t>NeilPryde Fly II Wing 3.5 2024</t>
        </is>
      </c>
      <c r="B1441" s="4" t="n">
        <v>999</v>
      </c>
      <c r="C1441" t="inlineStr">
        <is>
          <t>VB</t>
        </is>
      </c>
      <c r="D1441" t="inlineStr">
        <is>
          <t>82319 Bayern - Starnberg</t>
        </is>
      </c>
      <c r="E1441" s="5" t="n">
        <v>45547</v>
      </c>
      <c r="F1441" t="inlineStr">
        <is>
          <t>Sold</t>
        </is>
      </c>
      <c r="G1441" s="6">
        <f>HYPERLINK("https://www.kleinanzeigen.de/s-anzeige/neilpryde-fly-ii-wing-3-5-2024/2835995462-230-5525", "Link")</f>
        <v/>
      </c>
      <c r="H1441" s="6">
        <f>HYPERLINK("C:\Projects\Kleinanzeigen-Scraper\offer_images\2835995462", "Link")</f>
        <v/>
      </c>
      <c r="I1441" t="inlineStr">
        <is>
          <t>No user name</t>
        </is>
      </c>
      <c r="J1441" s="6">
        <f>HYPERLINK("https://www.kleinanzeigen.deNo user link", "Link")</f>
        <v/>
      </c>
      <c r="K1441" s="7" t="n">
        <v>45549.57853009259</v>
      </c>
      <c r="L1441" s="3" t="inlineStr">
        <is>
          <t>23.17</t>
        </is>
      </c>
      <c r="M1441" t="inlineStr">
        <is>
          <t>München</t>
        </is>
      </c>
    </row>
    <row r="1442">
      <c r="A1442" t="inlineStr">
        <is>
          <t>Duotone clickbar 2024 S (20-22m Leinen)</t>
        </is>
      </c>
      <c r="B1442" s="4" t="n">
        <v>475</v>
      </c>
      <c r="C1442" t="inlineStr"/>
      <c r="D1442" t="inlineStr">
        <is>
          <t>25980 Sylt - Westerland</t>
        </is>
      </c>
      <c r="E1442" s="5" t="n">
        <v>45545</v>
      </c>
      <c r="F1442" t="inlineStr">
        <is>
          <t>Sold</t>
        </is>
      </c>
      <c r="G1442" s="6">
        <f>HYPERLINK("https://www.kleinanzeigen.de/s-anzeige/duotone-clickbar-2024-s-20-22m-leinen-/2859335444-230-634", "Link")</f>
        <v/>
      </c>
      <c r="H1442" s="6">
        <f>HYPERLINK("C:\Projects\Kleinanzeigen-Scraper\offer_images\2859335444", "Link")</f>
        <v/>
      </c>
      <c r="I1442" t="inlineStr">
        <is>
          <t>Lenny kite</t>
        </is>
      </c>
      <c r="J1442" s="6">
        <f>HYPERLINK("https://www.kleinanzeigen.de/s-bestandsliste.html?userId=14530034", "Link")</f>
        <v/>
      </c>
      <c r="K1442" s="7" t="n">
        <v>45549.57853009259</v>
      </c>
      <c r="L1442" s="3" t="inlineStr">
        <is>
          <t>448.30</t>
        </is>
      </c>
      <c r="M1442" t="inlineStr">
        <is>
          <t>Köln</t>
        </is>
      </c>
    </row>
    <row r="1443">
      <c r="A1443" t="inlineStr">
        <is>
          <t>wing foil duotone unit 2 3.5</t>
        </is>
      </c>
      <c r="B1443" s="4" t="n">
        <v>380</v>
      </c>
      <c r="C1443" t="inlineStr">
        <is>
          <t>VB</t>
        </is>
      </c>
      <c r="D1443" t="inlineStr">
        <is>
          <t>50354 Nordrhein-Westfalen - Hürth</t>
        </is>
      </c>
      <c r="E1443" s="5" t="n">
        <v>45548</v>
      </c>
      <c r="F1443" t="inlineStr">
        <is>
          <t>Sold</t>
        </is>
      </c>
      <c r="G1443" s="6">
        <f>HYPERLINK("https://www.kleinanzeigen.de/s-anzeige/wing-foil-duotone-unit-2-3-5/2861873786-230-1891", "Link")</f>
        <v/>
      </c>
      <c r="H1443" s="6">
        <f>HYPERLINK("C:\Projects\Kleinanzeigen-Scraper\offer_images\2861873786", "Link")</f>
        <v/>
      </c>
      <c r="I1443" t="inlineStr">
        <is>
          <t>Thomas</t>
        </is>
      </c>
      <c r="J1443" s="6">
        <f>HYPERLINK("https://www.kleinanzeigen.de/s-bestandsliste.html?userId=39395965", "Link")</f>
        <v/>
      </c>
      <c r="K1443" s="7" t="n">
        <v>45549.57853009259</v>
      </c>
      <c r="L1443" s="3" t="inlineStr">
        <is>
          <t>10.69</t>
        </is>
      </c>
      <c r="M1443" t="inlineStr">
        <is>
          <t>Köln</t>
        </is>
      </c>
    </row>
    <row r="1444">
      <c r="A1444" t="inlineStr">
        <is>
          <t>Neoprenanzug Neilpryde Mission 5.4 Größe 52, neuwertig</t>
        </is>
      </c>
      <c r="B1444" s="4" t="n">
        <v>150</v>
      </c>
      <c r="C1444" t="inlineStr"/>
      <c r="D1444" t="inlineStr">
        <is>
          <t>27432 Niedersachsen - Bremervörde</t>
        </is>
      </c>
      <c r="E1444" s="5" t="n">
        <v>45520</v>
      </c>
      <c r="F1444" t="inlineStr">
        <is>
          <t>Sold</t>
        </is>
      </c>
      <c r="G1444" s="6">
        <f>HYPERLINK("https://www.kleinanzeigen.de/s-anzeige/neoprenanzug-neilpryde-mission-5-4-groesse-52-neuwertig/2838146686-230-2706", "Link")</f>
        <v/>
      </c>
      <c r="H1444" s="6">
        <f>HYPERLINK("C:\Projects\Kleinanzeigen-Scraper\offer_images\2838146686", "Link")</f>
        <v/>
      </c>
      <c r="I1444" t="inlineStr">
        <is>
          <t>Uwe</t>
        </is>
      </c>
      <c r="J1444" s="6">
        <f>HYPERLINK("https://www.kleinanzeigen.de/s-bestandsliste.html?userId=22569674", "Link")</f>
        <v/>
      </c>
      <c r="K1444" s="7" t="n">
        <v>45549.57853009259</v>
      </c>
      <c r="L1444" s="3" t="inlineStr">
        <is>
          <t>320.34</t>
        </is>
      </c>
      <c r="M1444" t="inlineStr">
        <is>
          <t>Köln</t>
        </is>
      </c>
    </row>
    <row r="1445">
      <c r="A1445" t="inlineStr">
        <is>
          <t>Duotone 2023/24 Neo D/Lab 10 qm</t>
        </is>
      </c>
      <c r="B1445" s="4" t="n">
        <v>1.6</v>
      </c>
      <c r="C1445" t="inlineStr"/>
      <c r="D1445" t="inlineStr">
        <is>
          <t>90451 Nürnberg (Mittelfr) - Aussenstadt-Sued</t>
        </is>
      </c>
      <c r="E1445" s="5" t="n">
        <v>45540</v>
      </c>
      <c r="F1445" t="inlineStr">
        <is>
          <t>Sold</t>
        </is>
      </c>
      <c r="G1445" s="6">
        <f>HYPERLINK("https://www.kleinanzeigen.de/s-anzeige/duotone-2023-24-neo-d-lab-10-qm/2854680840-230-6836", "Link")</f>
        <v/>
      </c>
      <c r="H1445" s="6">
        <f>HYPERLINK("C:\Projects\Kleinanzeigen-Scraper\offer_images\2854680840", "Link")</f>
        <v/>
      </c>
      <c r="I1445" t="inlineStr">
        <is>
          <t>No user name</t>
        </is>
      </c>
      <c r="J1445" s="6">
        <f>HYPERLINK("https://www.kleinanzeigen.deNo user link", "Link")</f>
        <v/>
      </c>
      <c r="K1445" s="7" t="n">
        <v>45549.57851851852</v>
      </c>
      <c r="L1445" s="3" t="inlineStr">
        <is>
          <t>145.92</t>
        </is>
      </c>
      <c r="M1445" t="inlineStr">
        <is>
          <t>München</t>
        </is>
      </c>
    </row>
    <row r="1446">
      <c r="A1446" t="inlineStr">
        <is>
          <t>LA TAUROMAQUIA GOYA 33×Tafeln/Bilder</t>
        </is>
      </c>
      <c r="B1446" s="4" t="n">
        <v>1</v>
      </c>
      <c r="C1446" t="inlineStr">
        <is>
          <t>VB</t>
        </is>
      </c>
      <c r="D1446" t="inlineStr">
        <is>
          <t>54634 Rheinland-Pfalz - Bitburg</t>
        </is>
      </c>
      <c r="E1446" s="5" t="n">
        <v>44934</v>
      </c>
      <c r="F1446" t="inlineStr"/>
      <c r="G1446" s="6">
        <f>HYPERLINK("https://www.kleinanzeigen.de/s-anzeige/la-tauromaquia-goya-33-tafeln-bilder/2323180218-240-18665", "Link")</f>
        <v/>
      </c>
      <c r="H1446" s="6">
        <f>HYPERLINK("C:\Projects\Kleinanzeigen-Scraper\offer_images\2323180218", "Link")</f>
        <v/>
      </c>
      <c r="I1446" t="inlineStr">
        <is>
          <t>Au</t>
        </is>
      </c>
      <c r="J1446" s="6">
        <f>HYPERLINK("https://www.kleinanzeigen.de/s-bestandsliste.html?userId=17182829", "Link")</f>
        <v/>
      </c>
      <c r="K1446" s="7" t="n">
        <v>45549.57850694445</v>
      </c>
      <c r="L1446" s="3" t="inlineStr">
        <is>
          <t>111.78</t>
        </is>
      </c>
      <c r="M1446" t="inlineStr">
        <is>
          <t>Köln</t>
        </is>
      </c>
    </row>
    <row r="1447">
      <c r="A1447" t="inlineStr">
        <is>
          <t>Neilpryde transport Boardbag</t>
        </is>
      </c>
      <c r="B1447" s="4" t="n">
        <v>80</v>
      </c>
      <c r="C1447" t="inlineStr">
        <is>
          <t>VB</t>
        </is>
      </c>
      <c r="D1447" t="inlineStr">
        <is>
          <t>52399 Nordrhein-Westfalen - Merzenich</t>
        </is>
      </c>
      <c r="E1447" s="5" t="n">
        <v>45538</v>
      </c>
      <c r="F1447" t="inlineStr"/>
      <c r="G1447" s="6">
        <f>HYPERLINK("https://www.kleinanzeigen.de/s-anzeige/neilpryde-transport-boardbag/2853216839-230-1766", "Link")</f>
        <v/>
      </c>
      <c r="H1447" s="6">
        <f>HYPERLINK("C:\Projects\Kleinanzeigen-Scraper\offer_images\2853216839", "Link")</f>
        <v/>
      </c>
      <c r="I1447" t="inlineStr">
        <is>
          <t>Mike</t>
        </is>
      </c>
      <c r="J1447" s="6">
        <f>HYPERLINK("https://www.kleinanzeigen.de/s-bestandsliste.html?userId=13676787", "Link")</f>
        <v/>
      </c>
      <c r="K1447" s="7" t="n">
        <v>45549.57850694445</v>
      </c>
      <c r="L1447" s="3" t="inlineStr">
        <is>
          <t>32.32</t>
        </is>
      </c>
      <c r="M1447" t="inlineStr">
        <is>
          <t>Köln</t>
        </is>
      </c>
    </row>
    <row r="1448">
      <c r="A1448" t="inlineStr">
        <is>
          <t>Kite North rebel 2016 9 qm</t>
        </is>
      </c>
      <c r="B1448" s="4" t="n">
        <v>250</v>
      </c>
      <c r="C1448" t="inlineStr">
        <is>
          <t>VB</t>
        </is>
      </c>
      <c r="D1448" t="inlineStr">
        <is>
          <t>88094 Baden-Württemberg - Oberteuringen</t>
        </is>
      </c>
      <c r="E1448" s="5" t="n">
        <v>45547</v>
      </c>
      <c r="F1448" t="inlineStr">
        <is>
          <t>Sold</t>
        </is>
      </c>
      <c r="G1448" s="6">
        <f>HYPERLINK("https://www.kleinanzeigen.de/s-anzeige/kite-north-rebel-2016-9-qm/2861185727-230-9217", "Link")</f>
        <v/>
      </c>
      <c r="H1448" s="6">
        <f>HYPERLINK("C:\Projects\Kleinanzeigen-Scraper\offer_images\2861185727", "Link")</f>
        <v/>
      </c>
      <c r="I1448" t="inlineStr">
        <is>
          <t>R.H.</t>
        </is>
      </c>
      <c r="J1448" s="6">
        <f>HYPERLINK("https://www.kleinanzeigen.de/s-bestandsliste.html?userId=130014206", "Link")</f>
        <v/>
      </c>
      <c r="K1448" s="7" t="n">
        <v>45549.57848379629</v>
      </c>
      <c r="L1448" s="3" t="inlineStr">
        <is>
          <t>85.37</t>
        </is>
      </c>
      <c r="M1448" t="inlineStr">
        <is>
          <t>Bonndorf</t>
        </is>
      </c>
    </row>
    <row r="1449">
      <c r="A1449" t="inlineStr">
        <is>
          <t>Frontwing, Vorderflügel, Wingfoilen, Neilpryde</t>
        </is>
      </c>
      <c r="B1449" s="4" t="n">
        <v>250</v>
      </c>
      <c r="C1449" t="inlineStr">
        <is>
          <t>VB</t>
        </is>
      </c>
      <c r="D1449" t="inlineStr">
        <is>
          <t>04416 Sachsen - Markkleeberg</t>
        </is>
      </c>
      <c r="E1449" s="5" t="n">
        <v>45530</v>
      </c>
      <c r="F1449" t="inlineStr">
        <is>
          <t>Sold</t>
        </is>
      </c>
      <c r="G1449" s="6">
        <f>HYPERLINK("https://www.kleinanzeigen.de/s-anzeige/frontwing-vorderfluegel-wingfoilen-neilpryde/2846977676-230-3911", "Link")</f>
        <v/>
      </c>
      <c r="H1449" s="6">
        <f>HYPERLINK("C:\Projects\Kleinanzeigen-Scraper\offer_images\2846977676", "Link")</f>
        <v/>
      </c>
      <c r="I1449" t="inlineStr">
        <is>
          <t>Frank</t>
        </is>
      </c>
      <c r="J1449" s="6">
        <f>HYPERLINK("https://www.kleinanzeigen.de/s-bestandsliste.html?userId=20423399", "Link")</f>
        <v/>
      </c>
      <c r="K1449" s="7" t="n">
        <v>45549.57848379629</v>
      </c>
      <c r="L1449" s="3" t="inlineStr">
        <is>
          <t>353.27</t>
        </is>
      </c>
      <c r="M1449" t="inlineStr">
        <is>
          <t>München</t>
        </is>
      </c>
    </row>
    <row r="1450">
      <c r="A1450" t="inlineStr">
        <is>
          <t>Neoprenanzug 158 164 Kinder 3 4 mm incl Versand Neilpryde</t>
        </is>
      </c>
      <c r="B1450" s="4" t="n">
        <v>25</v>
      </c>
      <c r="C1450" t="inlineStr">
        <is>
          <t>VB</t>
        </is>
      </c>
      <c r="D1450" t="inlineStr">
        <is>
          <t>76275 Baden-Württemberg - Ettlingen</t>
        </is>
      </c>
      <c r="E1450" s="5" t="n">
        <v>45498</v>
      </c>
      <c r="F1450" t="inlineStr">
        <is>
          <t>Sold</t>
        </is>
      </c>
      <c r="G1450" s="6">
        <f>HYPERLINK("https://www.kleinanzeigen.de/s-anzeige/neoprenanzug-158-164-kinder-3-4-mm-incl-versand-neilpryde/2821066912-230-8929", "Link")</f>
        <v/>
      </c>
      <c r="H1450" s="6">
        <f>HYPERLINK("C:\Projects\Kleinanzeigen-Scraper\offer_images\2821066912", "Link")</f>
        <v/>
      </c>
      <c r="I1450" t="inlineStr">
        <is>
          <t>privat</t>
        </is>
      </c>
      <c r="J1450" s="6">
        <f>HYPERLINK("https://www.kleinanzeigen.de/s-bestandsliste.html?userId=14610224", "Link")</f>
        <v/>
      </c>
      <c r="K1450" s="7" t="n">
        <v>45549.57848379629</v>
      </c>
      <c r="L1450" s="3" t="inlineStr">
        <is>
          <t>8.80</t>
        </is>
      </c>
      <c r="M1450" t="inlineStr">
        <is>
          <t>Karlsruhe</t>
        </is>
      </c>
    </row>
    <row r="1451">
      <c r="A1451" t="inlineStr">
        <is>
          <t>SUP Fanatic Pumpe + Schlauch + Manometer</t>
        </is>
      </c>
      <c r="B1451" s="4" t="n">
        <v>30</v>
      </c>
      <c r="C1451" t="inlineStr">
        <is>
          <t>VB</t>
        </is>
      </c>
      <c r="D1451" t="inlineStr">
        <is>
          <t>01640 Sachsen - Coswig</t>
        </is>
      </c>
      <c r="E1451" s="5" t="n">
        <v>45540</v>
      </c>
      <c r="F1451" t="inlineStr">
        <is>
          <t>Sold</t>
        </is>
      </c>
      <c r="G1451" s="6">
        <f>HYPERLINK("https://www.kleinanzeigen.de/s-anzeige/sup-fanatic-pumpe-schlauch-manometer/2854886600-230-3989", "Link")</f>
        <v/>
      </c>
      <c r="H1451" s="6">
        <f>HYPERLINK("C:\Projects\Kleinanzeigen-Scraper\offer_images\2854886600", "Link")</f>
        <v/>
      </c>
      <c r="I1451" t="inlineStr">
        <is>
          <t>Thomas Boehm</t>
        </is>
      </c>
      <c r="J1451" s="6">
        <f>HYPERLINK("https://www.kleinanzeigen.de/s-bestandsliste.html?userId=35237588", "Link")</f>
        <v/>
      </c>
      <c r="K1451" s="7" t="n">
        <v>45549.57848379629</v>
      </c>
      <c r="L1451" s="3" t="inlineStr">
        <is>
          <t>362.59</t>
        </is>
      </c>
      <c r="M1451" t="inlineStr">
        <is>
          <t>München</t>
        </is>
      </c>
    </row>
    <row r="1452">
      <c r="A1452" t="inlineStr">
        <is>
          <t>Kitesurfen Kiteboard 136-40 Naish Haze</t>
        </is>
      </c>
      <c r="B1452" s="4" t="n">
        <v>80</v>
      </c>
      <c r="C1452" t="inlineStr"/>
      <c r="D1452" t="inlineStr">
        <is>
          <t>35428 Hessen - Langgöns</t>
        </is>
      </c>
      <c r="E1452" s="5" t="n">
        <v>45547</v>
      </c>
      <c r="F1452" t="inlineStr">
        <is>
          <t>Sold</t>
        </is>
      </c>
      <c r="G1452" s="6">
        <f>HYPERLINK("https://www.kleinanzeigen.de/s-anzeige/kitesurfen-kiteboard-136-40-naish-haze/2861338194-230-4664", "Link")</f>
        <v/>
      </c>
      <c r="H1452" s="6">
        <f>HYPERLINK("C:\Projects\Kleinanzeigen-Scraper\offer_images\2861338194", "Link")</f>
        <v/>
      </c>
      <c r="I1452" t="inlineStr">
        <is>
          <t>Timm Straßheim</t>
        </is>
      </c>
      <c r="J1452" s="6">
        <f>HYPERLINK("https://www.kleinanzeigen.de/s-bestandsliste.html?userId=16095459", "Link")</f>
        <v/>
      </c>
      <c r="K1452" s="7" t="n">
        <v>45549.57846064815</v>
      </c>
      <c r="L1452" s="3" t="inlineStr">
        <is>
          <t>125.53</t>
        </is>
      </c>
      <c r="M1452" t="inlineStr">
        <is>
          <t>Köln</t>
        </is>
      </c>
    </row>
    <row r="1453">
      <c r="A1453" t="inlineStr">
        <is>
          <t>Neilpryde Wing Fly2 5,7 NEU!</t>
        </is>
      </c>
      <c r="B1453" s="4" t="n">
        <v>950</v>
      </c>
      <c r="C1453" t="inlineStr"/>
      <c r="D1453" t="inlineStr">
        <is>
          <t>81545 München - Untergiesing-Harlaching</t>
        </is>
      </c>
      <c r="E1453" s="5" t="n">
        <v>45502</v>
      </c>
      <c r="F1453" t="inlineStr">
        <is>
          <t>Sold</t>
        </is>
      </c>
      <c r="G1453" s="6">
        <f>HYPERLINK("https://www.kleinanzeigen.de/s-anzeige/neilpryde-wing-fly2-5-7-neu-/2824056882-230-6429", "Link")</f>
        <v/>
      </c>
      <c r="H1453" s="6">
        <f>HYPERLINK("C:\Projects\Kleinanzeigen-Scraper\offer_images\2824056882", "Link")</f>
        <v/>
      </c>
      <c r="I1453" t="inlineStr">
        <is>
          <t>Rita</t>
        </is>
      </c>
      <c r="J1453" s="6">
        <f>HYPERLINK("https://www.kleinanzeigen.de/s-bestandsliste.html?userId=61859690", "Link")</f>
        <v/>
      </c>
      <c r="K1453" s="7" t="n">
        <v>45549.57846064815</v>
      </c>
      <c r="L1453" s="3" t="inlineStr">
        <is>
          <t>5.65</t>
        </is>
      </c>
      <c r="M1453" t="inlineStr">
        <is>
          <t>München</t>
        </is>
      </c>
    </row>
    <row r="1454">
      <c r="A1454" t="inlineStr">
        <is>
          <t>Wingsurfen - NeilPryde Fuselage für einen Carbonmast 71cm</t>
        </is>
      </c>
      <c r="B1454" s="4" t="n">
        <v>135</v>
      </c>
      <c r="C1454" t="inlineStr"/>
      <c r="D1454" t="inlineStr">
        <is>
          <t>81925 München - Bogenhausen</t>
        </is>
      </c>
      <c r="E1454" s="5" t="n">
        <v>45502</v>
      </c>
      <c r="F1454" t="inlineStr">
        <is>
          <t>Sold</t>
        </is>
      </c>
      <c r="G1454" s="6">
        <f>HYPERLINK("https://www.kleinanzeigen.de/s-anzeige/wingsurfen-neilpryde-fuselage-fuer-einen-carbonmast-71cm/2824071017-230-6528", "Link")</f>
        <v/>
      </c>
      <c r="H1454" s="6">
        <f>HYPERLINK("C:\Projects\Kleinanzeigen-Scraper\offer_images\2824071017", "Link")</f>
        <v/>
      </c>
      <c r="I1454" t="inlineStr">
        <is>
          <t>Hanno</t>
        </is>
      </c>
      <c r="J1454" s="6">
        <f>HYPERLINK("https://www.kleinanzeigen.de/s-bestandsliste.html?userId=27475336", "Link")</f>
        <v/>
      </c>
      <c r="K1454" s="7" t="n">
        <v>45549.57846064815</v>
      </c>
      <c r="L1454" s="3" t="inlineStr">
        <is>
          <t>4.67</t>
        </is>
      </c>
      <c r="M1454" t="inlineStr">
        <is>
          <t>München</t>
        </is>
      </c>
    </row>
    <row r="1455">
      <c r="A1455" t="inlineStr">
        <is>
          <t>SUP Starboard iGo Tikhine Shout (11.2 x 32 x 4.75)</t>
        </is>
      </c>
      <c r="B1455" s="4" t="n">
        <v>299</v>
      </c>
      <c r="C1455" t="inlineStr">
        <is>
          <t>VB</t>
        </is>
      </c>
      <c r="D1455" t="inlineStr">
        <is>
          <t>42499 Nordrhein-Westfalen - Hückeswagen</t>
        </is>
      </c>
      <c r="E1455" s="5" t="n">
        <v>45519</v>
      </c>
      <c r="F1455" t="inlineStr"/>
      <c r="G1455" s="6">
        <f>HYPERLINK("https://www.kleinanzeigen.de/s-anzeige/sup-starboard-igo-tikhine-shout-11-2-x-32-x-4-75-/2837294102-230-1550", "Link")</f>
        <v/>
      </c>
      <c r="H1455" s="6">
        <f>HYPERLINK("C:\Projects\Kleinanzeigen-Scraper\offer_images\2837294102", "Link")</f>
        <v/>
      </c>
      <c r="I1455" t="inlineStr">
        <is>
          <t>Frank Noack</t>
        </is>
      </c>
      <c r="J1455" s="6">
        <f>HYPERLINK("https://www.kleinanzeigen.de/s-bestandsliste.html?userId=89866219", "Link")</f>
        <v/>
      </c>
      <c r="K1455" s="7" t="n">
        <v>45549.57846064815</v>
      </c>
      <c r="L1455" s="3" t="inlineStr">
        <is>
          <t>35.16</t>
        </is>
      </c>
      <c r="M1455" t="inlineStr">
        <is>
          <t>Köln</t>
        </is>
      </c>
    </row>
    <row r="1456">
      <c r="A1456" t="inlineStr">
        <is>
          <t>Duotone Unit 2024 – 4 m Wing, Foil, Unit 3</t>
        </is>
      </c>
      <c r="B1456" s="4" t="n">
        <v>575</v>
      </c>
      <c r="C1456" t="inlineStr"/>
      <c r="D1456" t="inlineStr">
        <is>
          <t>86899 Bayern - Landsberg (Lech)</t>
        </is>
      </c>
      <c r="E1456" s="5" t="n">
        <v>45548</v>
      </c>
      <c r="F1456" t="inlineStr">
        <is>
          <t>Sold</t>
        </is>
      </c>
      <c r="G1456" s="6">
        <f>HYPERLINK("https://www.kleinanzeigen.de/s-anzeige/duotone-unit-2024-4-m-wing-foil-unit-3/2862421621-230-7091", "Link")</f>
        <v/>
      </c>
      <c r="H1456" s="6">
        <f>HYPERLINK("C:\Projects\Kleinanzeigen-Scraper\offer_images\2862421621", "Link")</f>
        <v/>
      </c>
      <c r="I1456" t="inlineStr">
        <is>
          <t>Chris</t>
        </is>
      </c>
      <c r="J1456" s="6">
        <f>HYPERLINK("https://www.kleinanzeigen.de/s-bestandsliste.html?userId=16182812", "Link")</f>
        <v/>
      </c>
      <c r="K1456" s="7" t="n">
        <v>45549.5784375</v>
      </c>
      <c r="L1456" s="3" t="inlineStr">
        <is>
          <t>55.05</t>
        </is>
      </c>
      <c r="M1456" t="inlineStr">
        <is>
          <t>München</t>
        </is>
      </c>
    </row>
    <row r="1457">
      <c r="A1457" t="inlineStr">
        <is>
          <t>Naish S26 Wing Surfer/Matador/Matador LT NEU -40%</t>
        </is>
      </c>
      <c r="B1457" s="4" t="n">
        <v>696</v>
      </c>
      <c r="C1457" t="inlineStr">
        <is>
          <t>VB</t>
        </is>
      </c>
      <c r="D1457" t="inlineStr">
        <is>
          <t>18586 Mecklenburg-Vorpommern - Mönchgut, Ostseebad</t>
        </is>
      </c>
      <c r="E1457" s="5" t="n">
        <v>45554</v>
      </c>
      <c r="F1457" t="inlineStr">
        <is>
          <t>Sold</t>
        </is>
      </c>
      <c r="G1457" s="6">
        <f>HYPERLINK("https://www.kleinanzeigen.de/s-anzeige/naish-s26-wing-surfer-matador-matador-lt-neu-40-/1567298264-230-120", "Link")</f>
        <v/>
      </c>
      <c r="H1457" s="6">
        <f>HYPERLINK("C:\Projects\Kleinanzeigen-Scraper\offer_images\1567298264", "Link")</f>
        <v/>
      </c>
      <c r="I1457" t="inlineStr">
        <is>
          <t>No user name</t>
        </is>
      </c>
      <c r="J1457" s="6">
        <f>HYPERLINK("https://www.kleinanzeigen.deNo user link", "Link")</f>
        <v/>
      </c>
      <c r="K1457" s="7" t="n">
        <v>45549.5784375</v>
      </c>
      <c r="L1457" s="3" t="inlineStr">
        <is>
          <t>591.22</t>
        </is>
      </c>
      <c r="M1457" t="inlineStr">
        <is>
          <t>Köln</t>
        </is>
      </c>
    </row>
    <row r="1458">
      <c r="A1458" t="inlineStr">
        <is>
          <t>Solo Goya Aqua Paintmarker Kunstbedarf Farben</t>
        </is>
      </c>
      <c r="B1458" s="4" t="n">
        <v>5</v>
      </c>
      <c r="C1458" t="inlineStr">
        <is>
          <t>VB</t>
        </is>
      </c>
      <c r="D1458" t="inlineStr">
        <is>
          <t>42117 Elberfeld - Elberfeld-West</t>
        </is>
      </c>
      <c r="E1458" s="5" t="n">
        <v>45381</v>
      </c>
      <c r="F1458" t="inlineStr">
        <is>
          <t>Sold</t>
        </is>
      </c>
      <c r="G1458" s="6">
        <f>HYPERLINK("https://www.kleinanzeigen.de/s-anzeige/solo-goya-aqua-paintmarker-kunstbedarf-farben/2721282504-282-1582", "Link")</f>
        <v/>
      </c>
      <c r="H1458" s="6">
        <f>HYPERLINK("C:\Projects\Kleinanzeigen-Scraper\offer_images\2721282504", "Link")</f>
        <v/>
      </c>
      <c r="I1458" t="inlineStr">
        <is>
          <t>Lavi</t>
        </is>
      </c>
      <c r="J1458" s="6">
        <f>HYPERLINK("https://www.kleinanzeigen.de/s-bestandsliste.html?userId=18825660", "Link")</f>
        <v/>
      </c>
      <c r="K1458" s="7" t="n">
        <v>45549.5784375</v>
      </c>
      <c r="L1458" s="3" t="inlineStr">
        <is>
          <t>36.18</t>
        </is>
      </c>
      <c r="M1458" t="inlineStr">
        <is>
          <t>Köln</t>
        </is>
      </c>
    </row>
    <row r="1459">
      <c r="A1459" t="inlineStr">
        <is>
          <t>RRD Religion 7m Kite Wavekite</t>
        </is>
      </c>
      <c r="B1459" s="4" t="n">
        <v>440</v>
      </c>
      <c r="C1459" t="inlineStr"/>
      <c r="D1459" t="inlineStr">
        <is>
          <t>26935 Niedersachsen - Stadland</t>
        </is>
      </c>
      <c r="E1459" s="5" t="n">
        <v>45447</v>
      </c>
      <c r="F1459" t="inlineStr">
        <is>
          <t>Sold</t>
        </is>
      </c>
      <c r="G1459" s="6">
        <f>HYPERLINK("https://www.kleinanzeigen.de/s-anzeige/rrd-religion-7m-kite-wavekite/2780121231-230-2698", "Link")</f>
        <v/>
      </c>
      <c r="H1459" s="6">
        <f>HYPERLINK("C:\Projects\Kleinanzeigen-Scraper\offer_images\2780121231", "Link")</f>
        <v/>
      </c>
      <c r="I1459" t="inlineStr">
        <is>
          <t>Catha</t>
        </is>
      </c>
      <c r="J1459" s="6">
        <f>HYPERLINK("https://www.kleinanzeigen.de/s-bestandsliste.html?userId=1745725", "Link")</f>
        <v/>
      </c>
      <c r="K1459" s="7" t="n">
        <v>45549.57841435185</v>
      </c>
      <c r="L1459" s="3" t="inlineStr">
        <is>
          <t>292.54</t>
        </is>
      </c>
      <c r="M1459" t="inlineStr">
        <is>
          <t>Köln</t>
        </is>
      </c>
    </row>
    <row r="1460">
      <c r="A1460" t="inlineStr">
        <is>
          <t>Neilpryde Kinder Schwimmwesten</t>
        </is>
      </c>
      <c r="B1460" s="4" t="n">
        <v>25</v>
      </c>
      <c r="C1460" t="inlineStr"/>
      <c r="D1460" t="inlineStr">
        <is>
          <t>85737 Kr. München - Ismaning</t>
        </is>
      </c>
      <c r="E1460" s="5" t="n">
        <v>45510</v>
      </c>
      <c r="F1460" t="inlineStr">
        <is>
          <t>Sold</t>
        </is>
      </c>
      <c r="G1460" s="6">
        <f>HYPERLINK("https://www.kleinanzeigen.de/s-anzeige/neilpryde-kinder-schwimmwesten/2830489078-230-17192", "Link")</f>
        <v/>
      </c>
      <c r="H1460" s="6">
        <f>HYPERLINK("C:\Projects\Kleinanzeigen-Scraper\offer_images\2830489078", "Link")</f>
        <v/>
      </c>
      <c r="I1460" t="inlineStr">
        <is>
          <t>Kkr</t>
        </is>
      </c>
      <c r="J1460" s="6">
        <f>HYPERLINK("https://www.kleinanzeigen.de/s-bestandsliste.html?userId=128894755", "Link")</f>
        <v/>
      </c>
      <c r="K1460" s="7" t="n">
        <v>45549.57840277778</v>
      </c>
      <c r="L1460" s="3" t="inlineStr">
        <is>
          <t>14.56</t>
        </is>
      </c>
      <c r="M1460" t="inlineStr">
        <is>
          <t>München</t>
        </is>
      </c>
    </row>
    <row r="1461">
      <c r="A1461" t="inlineStr">
        <is>
          <t>Naish kite 8er</t>
        </is>
      </c>
      <c r="B1461" s="4" t="n">
        <v>350</v>
      </c>
      <c r="C1461" t="inlineStr">
        <is>
          <t>VB</t>
        </is>
      </c>
      <c r="D1461" t="inlineStr">
        <is>
          <t>22043 Wandsbek - Hamburg Jenfeld</t>
        </is>
      </c>
      <c r="E1461" s="5" t="n">
        <v>45462</v>
      </c>
      <c r="F1461" t="inlineStr">
        <is>
          <t>Sold</t>
        </is>
      </c>
      <c r="G1461" s="6">
        <f>HYPERLINK("https://www.kleinanzeigen.de/s-anzeige/naish-kite-8er/2792502457-230-9465", "Link")</f>
        <v/>
      </c>
      <c r="H1461" s="6">
        <f>HYPERLINK("C:\Projects\Kleinanzeigen-Scraper\offer_images\2792502457", "Link")</f>
        <v/>
      </c>
      <c r="I1461" t="inlineStr">
        <is>
          <t>M.m</t>
        </is>
      </c>
      <c r="J1461" s="6">
        <f>HYPERLINK("https://www.kleinanzeigen.de/s-bestandsliste.html?userId=61995326", "Link")</f>
        <v/>
      </c>
      <c r="K1461" s="7" t="n">
        <v>45549.57840277778</v>
      </c>
      <c r="L1461" s="3" t="inlineStr">
        <is>
          <t>362.40</t>
        </is>
      </c>
      <c r="M1461" t="inlineStr">
        <is>
          <t>Köln</t>
        </is>
      </c>
    </row>
    <row r="1462">
      <c r="A1462" t="inlineStr">
        <is>
          <t>North Navigator Pro Control System 2024 Bar</t>
        </is>
      </c>
      <c r="B1462" s="4" t="n">
        <v>649</v>
      </c>
      <c r="C1462" t="inlineStr"/>
      <c r="D1462" t="inlineStr">
        <is>
          <t>46569 Nordrhein-Westfalen - Hünxe</t>
        </is>
      </c>
      <c r="E1462" s="5" t="n">
        <v>45546</v>
      </c>
      <c r="F1462" t="inlineStr">
        <is>
          <t>Sold</t>
        </is>
      </c>
      <c r="G1462" s="6">
        <f>HYPERLINK("https://www.kleinanzeigen.de/s-anzeige/north-navigator-pro-control-system-2024-bar/2835499293-230-1383", "Link")</f>
        <v/>
      </c>
      <c r="H1462" s="6">
        <f>HYPERLINK("C:\Projects\Kleinanzeigen-Scraper\offer_images\2835499293", "Link")</f>
        <v/>
      </c>
      <c r="I1462" t="inlineStr">
        <is>
          <t>No user name</t>
        </is>
      </c>
      <c r="J1462" s="6">
        <f>HYPERLINK("https://www.kleinanzeigen.deNo user link", "Link")</f>
        <v/>
      </c>
      <c r="K1462" s="7" t="n">
        <v>45549.5783912037</v>
      </c>
      <c r="L1462" s="3" t="inlineStr">
        <is>
          <t>78.61</t>
        </is>
      </c>
      <c r="M1462" t="inlineStr">
        <is>
          <t>Köln</t>
        </is>
      </c>
    </row>
    <row r="1463">
      <c r="A1463" t="inlineStr">
        <is>
          <t>Neuer Neopren Anzug Shorty Gr. 38 von Neilpryde</t>
        </is>
      </c>
      <c r="B1463" s="4" t="n">
        <v>60</v>
      </c>
      <c r="C1463" t="inlineStr">
        <is>
          <t>VB</t>
        </is>
      </c>
      <c r="D1463" t="inlineStr">
        <is>
          <t>38442 Niedersachsen - Wolfsburg</t>
        </is>
      </c>
      <c r="E1463" s="5" t="n">
        <v>45494</v>
      </c>
      <c r="F1463" t="inlineStr">
        <is>
          <t>Sold</t>
        </is>
      </c>
      <c r="G1463" s="6">
        <f>HYPERLINK("https://www.kleinanzeigen.de/s-anzeige/neuer-neopren-anzug-shorty-gr-38-von-neilpryde/2817711690-230-3073", "Link")</f>
        <v/>
      </c>
      <c r="H1463" s="6">
        <f>HYPERLINK("C:\Projects\Kleinanzeigen-Scraper\offer_images\2817711690", "Link")</f>
        <v/>
      </c>
      <c r="I1463" t="inlineStr">
        <is>
          <t>Kerstin</t>
        </is>
      </c>
      <c r="J1463" s="6">
        <f>HYPERLINK("https://www.kleinanzeigen.de/s-bestandsliste.html?userId=47136795", "Link")</f>
        <v/>
      </c>
      <c r="K1463" s="7" t="n">
        <v>45549.5783912037</v>
      </c>
      <c r="L1463" s="3" t="inlineStr">
        <is>
          <t>305.83</t>
        </is>
      </c>
      <c r="M1463" t="inlineStr">
        <is>
          <t>Köln</t>
        </is>
      </c>
    </row>
    <row r="1464">
      <c r="A1464" t="inlineStr">
        <is>
          <t>Schwert für Fanatic Hot Bat, Viper, Ultracat</t>
        </is>
      </c>
      <c r="B1464" s="4" t="n">
        <v>15</v>
      </c>
      <c r="C1464" t="inlineStr"/>
      <c r="D1464" t="inlineStr">
        <is>
          <t>07549 Thüringen - Gera</t>
        </is>
      </c>
      <c r="E1464" s="5" t="n">
        <v>45516</v>
      </c>
      <c r="F1464" t="inlineStr">
        <is>
          <t>Sold</t>
        </is>
      </c>
      <c r="G1464" s="6">
        <f>HYPERLINK("https://www.kleinanzeigen.de/s-anzeige/schwert-fuer-fanatic-hot-bat-viper-ultracat/2835515165-230-3793", "Link")</f>
        <v/>
      </c>
      <c r="H1464" s="6">
        <f>HYPERLINK("C:\Projects\Kleinanzeigen-Scraper\offer_images\2835515165", "Link")</f>
        <v/>
      </c>
      <c r="I1464" t="inlineStr">
        <is>
          <t>Axel Burghardt</t>
        </is>
      </c>
      <c r="J1464" s="6">
        <f>HYPERLINK("https://www.kleinanzeigen.de/s-bestandsliste.html?userId=135686766", "Link")</f>
        <v/>
      </c>
      <c r="K1464" s="7" t="n">
        <v>45549.5783912037</v>
      </c>
      <c r="L1464" s="3" t="inlineStr">
        <is>
          <t>303.22</t>
        </is>
      </c>
      <c r="M1464" t="inlineStr">
        <is>
          <t>München</t>
        </is>
      </c>
    </row>
    <row r="1465">
      <c r="A1465" t="inlineStr">
        <is>
          <t>Duotone Unit 2024 – 3,5 m Wing, Foil, Unit 3</t>
        </is>
      </c>
      <c r="B1465" s="4" t="n">
        <v>585</v>
      </c>
      <c r="C1465" t="inlineStr"/>
      <c r="D1465" t="inlineStr">
        <is>
          <t>86899 Bayern - Landsberg (Lech)</t>
        </is>
      </c>
      <c r="E1465" s="5" t="n">
        <v>45548</v>
      </c>
      <c r="F1465" t="inlineStr">
        <is>
          <t>Sold</t>
        </is>
      </c>
      <c r="G1465" s="6">
        <f>HYPERLINK("https://www.kleinanzeigen.de/s-anzeige/duotone-unit-2024-3-5-m-wing-foil-unit-3/2862424908-230-7091", "Link")</f>
        <v/>
      </c>
      <c r="H1465" s="6">
        <f>HYPERLINK("C:\Projects\Kleinanzeigen-Scraper\offer_images\2862424908", "Link")</f>
        <v/>
      </c>
      <c r="I1465" t="inlineStr">
        <is>
          <t>Chris</t>
        </is>
      </c>
      <c r="J1465" s="6">
        <f>HYPERLINK("https://www.kleinanzeigen.de/s-bestandsliste.html?userId=16182812", "Link")</f>
        <v/>
      </c>
      <c r="K1465" s="7" t="n">
        <v>45549.5783912037</v>
      </c>
      <c r="L1465" s="3" t="inlineStr">
        <is>
          <t>55.05</t>
        </is>
      </c>
      <c r="M1465" t="inlineStr">
        <is>
          <t>München</t>
        </is>
      </c>
    </row>
    <row r="1466">
      <c r="A1466" t="inlineStr">
        <is>
          <t>Duotone North Depowerline Frontline Mitteleine für 24m Kite Bar</t>
        </is>
      </c>
      <c r="B1466" s="4" t="n">
        <v>30</v>
      </c>
      <c r="C1466" t="inlineStr">
        <is>
          <t>VB</t>
        </is>
      </c>
      <c r="D1466" t="inlineStr">
        <is>
          <t>21075 Harburg - Hamburg Heimfeld</t>
        </is>
      </c>
      <c r="E1466" s="5" t="n">
        <v>45546</v>
      </c>
      <c r="F1466" t="inlineStr">
        <is>
          <t>Sold</t>
        </is>
      </c>
      <c r="G1466" s="6">
        <f>HYPERLINK("https://www.kleinanzeigen.de/s-anzeige/duotone-north-depowerline-frontline-mitteleine-fuer-24m-kite-bar/2860217147-230-16405", "Link")</f>
        <v/>
      </c>
      <c r="H1466" s="6">
        <f>HYPERLINK("C:\Projects\Kleinanzeigen-Scraper\offer_images\2860217147", "Link")</f>
        <v/>
      </c>
      <c r="I1466" t="inlineStr">
        <is>
          <t>Hartmann</t>
        </is>
      </c>
      <c r="J1466" s="6">
        <f>HYPERLINK("https://www.kleinanzeigen.de/s-bestandsliste.html?userId=17377406", "Link")</f>
        <v/>
      </c>
      <c r="K1466" s="7" t="n">
        <v>45549.57837962963</v>
      </c>
      <c r="L1466" s="3" t="inlineStr">
        <is>
          <t>345.92</t>
        </is>
      </c>
      <c r="M1466" t="inlineStr">
        <is>
          <t>Köln</t>
        </is>
      </c>
    </row>
    <row r="1467">
      <c r="A1467" t="inlineStr">
        <is>
          <t>Duotone Dice SLS 2022 7m2 Kite only</t>
        </is>
      </c>
      <c r="B1467" s="4" t="n">
        <v>780</v>
      </c>
      <c r="C1467" t="inlineStr">
        <is>
          <t>VB</t>
        </is>
      </c>
      <c r="D1467" t="inlineStr">
        <is>
          <t>83395 Bayern - Freilassing</t>
        </is>
      </c>
      <c r="E1467" s="5" t="n">
        <v>45548</v>
      </c>
      <c r="F1467" t="inlineStr">
        <is>
          <t>Sold</t>
        </is>
      </c>
      <c r="G1467" s="6">
        <f>HYPERLINK("https://www.kleinanzeigen.de/s-anzeige/duotone-dice-sls-2022-7m2-kite-only/2862493382-230-6273", "Link")</f>
        <v/>
      </c>
      <c r="H1467" s="6">
        <f>HYPERLINK("C:\Projects\Kleinanzeigen-Scraper\offer_images\2862493382", "Link")</f>
        <v/>
      </c>
      <c r="I1467" t="inlineStr">
        <is>
          <t>L.K.</t>
        </is>
      </c>
      <c r="J1467" s="6">
        <f>HYPERLINK("https://www.kleinanzeigen.de/s-bestandsliste.html?userId=19079316", "Link")</f>
        <v/>
      </c>
      <c r="K1467" s="7" t="n">
        <v>45549.57837962963</v>
      </c>
      <c r="L1467" s="3" t="inlineStr">
        <is>
          <t>108.85</t>
        </is>
      </c>
      <c r="M1467" t="inlineStr">
        <is>
          <t>München</t>
        </is>
      </c>
    </row>
    <row r="1468">
      <c r="A1468" t="inlineStr">
        <is>
          <t>Naish Pivot Kite 12 10 8 S 25 wie neu (kein Duotone, Core, North</t>
        </is>
      </c>
      <c r="B1468" s="4" t="n">
        <v>599</v>
      </c>
      <c r="C1468" t="inlineStr"/>
      <c r="D1468" t="inlineStr">
        <is>
          <t>21244 Niedersachsen - Buchholz in der Nordheide</t>
        </is>
      </c>
      <c r="E1468" s="5" t="n">
        <v>45538</v>
      </c>
      <c r="F1468" t="inlineStr">
        <is>
          <t>Sold</t>
        </is>
      </c>
      <c r="G1468" s="6">
        <f>HYPERLINK("https://www.kleinanzeigen.de/s-anzeige/naish-pivot-kite-12-10-8-s-25-wie-neu-kein-duotone-core-north/2853104454-230-14101", "Link")</f>
        <v/>
      </c>
      <c r="H1468" s="6">
        <f>HYPERLINK("C:\Projects\Kleinanzeigen-Scraper\offer_images\2853104454", "Link")</f>
        <v/>
      </c>
      <c r="I1468" t="inlineStr">
        <is>
          <t>D. Koch</t>
        </is>
      </c>
      <c r="J1468" s="6">
        <f>HYPERLINK("https://www.kleinanzeigen.de/s-bestandsliste.html?userId=27685337", "Link")</f>
        <v/>
      </c>
      <c r="K1468" s="7" t="n">
        <v>45549.57837962963</v>
      </c>
      <c r="L1468" s="3" t="inlineStr">
        <is>
          <t>330.99</t>
        </is>
      </c>
      <c r="M1468" t="inlineStr">
        <is>
          <t>Köln</t>
        </is>
      </c>
    </row>
    <row r="1469">
      <c r="A1469" t="inlineStr">
        <is>
          <t>Zinnteller - Simmern/Hunsrück</t>
        </is>
      </c>
      <c r="B1469" s="4" t="n">
        <v>8</v>
      </c>
      <c r="C1469" t="inlineStr">
        <is>
          <t>VB</t>
        </is>
      </c>
      <c r="D1469" t="inlineStr">
        <is>
          <t>55593 Rheinland-Pfalz - Rüdesheim</t>
        </is>
      </c>
      <c r="E1469" s="5" t="n">
        <v>44934</v>
      </c>
      <c r="F1469" t="inlineStr"/>
      <c r="G1469" s="6">
        <f>HYPERLINK("https://www.kleinanzeigen.de/s-anzeige/zinnteller-simmern-hunsrueck/2323774141-240-5083", "Link")</f>
        <v/>
      </c>
      <c r="H1469" s="6">
        <f>HYPERLINK("C:\Projects\Kleinanzeigen-Scraper\offer_images\2323774141", "Link")</f>
        <v/>
      </c>
      <c r="I1469" t="inlineStr">
        <is>
          <t>H. Weyand</t>
        </is>
      </c>
      <c r="J1469" s="6">
        <f>HYPERLINK("https://www.kleinanzeigen.de/s-bestandsliste.html?userId=13435721", "Link")</f>
        <v/>
      </c>
      <c r="K1469" s="7" t="n">
        <v>45549.57837962963</v>
      </c>
      <c r="L1469" s="3" t="inlineStr">
        <is>
          <t>102.49</t>
        </is>
      </c>
      <c r="M1469" t="inlineStr">
        <is>
          <t>Karlsruhe</t>
        </is>
      </c>
    </row>
    <row r="1470">
      <c r="A1470" t="inlineStr">
        <is>
          <t>Fanatic Rucksack</t>
        </is>
      </c>
      <c r="B1470" s="4" t="n">
        <v>25</v>
      </c>
      <c r="C1470" t="inlineStr">
        <is>
          <t>VB</t>
        </is>
      </c>
      <c r="D1470" t="inlineStr">
        <is>
          <t>38440 Niedersachsen - Wolfsburg</t>
        </is>
      </c>
      <c r="E1470" s="5" t="n">
        <v>45518</v>
      </c>
      <c r="F1470" t="inlineStr">
        <is>
          <t>Sold</t>
        </is>
      </c>
      <c r="G1470" s="6">
        <f>HYPERLINK("https://www.kleinanzeigen.de/s-anzeige/fanatic-rucksack/2836704657-230-3074", "Link")</f>
        <v/>
      </c>
      <c r="H1470" s="6">
        <f>HYPERLINK("C:\Projects\Kleinanzeigen-Scraper\offer_images\2836704657", "Link")</f>
        <v/>
      </c>
      <c r="I1470" t="inlineStr">
        <is>
          <t>Rafa_el</t>
        </is>
      </c>
      <c r="J1470" s="6">
        <f>HYPERLINK("https://www.kleinanzeigen.de/s-bestandsliste.html?userId=68268011", "Link")</f>
        <v/>
      </c>
      <c r="K1470" s="7" t="n">
        <v>45549.57836805555</v>
      </c>
      <c r="L1470" s="3" t="inlineStr">
        <is>
          <t>310.40</t>
        </is>
      </c>
      <c r="M1470" t="inlineStr">
        <is>
          <t>Köln</t>
        </is>
      </c>
    </row>
    <row r="1471">
      <c r="A1471" t="inlineStr">
        <is>
          <t>Kiteboard verloren / gefunden RRD rot</t>
        </is>
      </c>
      <c r="B1471" s="4" t="inlineStr">
        <is>
          <t>No price</t>
        </is>
      </c>
      <c r="C1471" t="inlineStr"/>
      <c r="D1471" t="inlineStr">
        <is>
          <t>28717 Burglesum - Lesum</t>
        </is>
      </c>
      <c r="E1471" s="5" t="n">
        <v>44788</v>
      </c>
      <c r="F1471" t="inlineStr">
        <is>
          <t>Sold</t>
        </is>
      </c>
      <c r="G1471" s="6">
        <f>HYPERLINK("https://www.kleinanzeigen.de/s-anzeige/kiteboard-verloren-gefunden-rrd-rot/2183137599-189-8", "Link")</f>
        <v/>
      </c>
      <c r="H1471" s="6">
        <f>HYPERLINK("C:\Projects\Kleinanzeigen-Scraper\offer_images\2183137599", "Link")</f>
        <v/>
      </c>
      <c r="I1471" t="inlineStr">
        <is>
          <t>Civis</t>
        </is>
      </c>
      <c r="J1471" s="6">
        <f>HYPERLINK("https://www.kleinanzeigen.de/s-bestandsliste.html?userId=2083776", "Link")</f>
        <v/>
      </c>
      <c r="K1471" s="7" t="n">
        <v>45549.57835648148</v>
      </c>
      <c r="L1471" s="3" t="inlineStr">
        <is>
          <t>275.02</t>
        </is>
      </c>
      <c r="M1471" t="inlineStr">
        <is>
          <t>Köln</t>
        </is>
      </c>
    </row>
    <row r="1472">
      <c r="A1472" t="inlineStr">
        <is>
          <t>Vandal Helme in den Größen XS/S M/L XL/XXL NEU</t>
        </is>
      </c>
      <c r="B1472" s="4" t="n">
        <v>75</v>
      </c>
      <c r="C1472" t="inlineStr"/>
      <c r="D1472" t="inlineStr">
        <is>
          <t>44866 Bochum - Bochum-Wattenscheid</t>
        </is>
      </c>
      <c r="E1472" s="5" t="n">
        <v>45537</v>
      </c>
      <c r="F1472" t="inlineStr"/>
      <c r="G1472" s="6">
        <f>HYPERLINK("https://www.kleinanzeigen.de/s-anzeige/vandal-helme-in-den-groessen-xs-s-m-l-xl-xxl-neu/2852486710-230-1934", "Link")</f>
        <v/>
      </c>
      <c r="H1472" s="6">
        <f>HYPERLINK("C:\Projects\Kleinanzeigen-Scraper\offer_images\2852486710", "Link")</f>
        <v/>
      </c>
      <c r="I1472" t="inlineStr">
        <is>
          <t>Allerlei</t>
        </is>
      </c>
      <c r="J1472" s="6">
        <f>HYPERLINK("https://www.kleinanzeigen.de/s-bestandsliste.html?userId=125463426", "Link")</f>
        <v/>
      </c>
      <c r="K1472" s="7" t="n">
        <v>45549.57835648148</v>
      </c>
      <c r="L1472" s="3" t="inlineStr">
        <is>
          <t>61.71</t>
        </is>
      </c>
      <c r="M1472" t="inlineStr">
        <is>
          <t>Köln</t>
        </is>
      </c>
    </row>
    <row r="1473">
      <c r="A1473" t="inlineStr">
        <is>
          <t>iSUP Naish ONE 12‘6 LT - NEU OVP</t>
        </is>
      </c>
      <c r="B1473" s="4" t="n">
        <v>475</v>
      </c>
      <c r="C1473" t="inlineStr"/>
      <c r="D1473" t="inlineStr">
        <is>
          <t>74354 Baden-Württemberg - Besigheim</t>
        </is>
      </c>
      <c r="E1473" s="5" t="n">
        <v>45464</v>
      </c>
      <c r="F1473" t="inlineStr">
        <is>
          <t>Sold</t>
        </is>
      </c>
      <c r="G1473" s="6">
        <f>HYPERLINK("https://www.kleinanzeigen.de/s-anzeige/isup-naish-one-12-6-lt-neu-ovp/2793905094-230-8675", "Link")</f>
        <v/>
      </c>
      <c r="H1473" s="6">
        <f>HYPERLINK("C:\Projects\Kleinanzeigen-Scraper\offer_images\2793905094", "Link")</f>
        <v/>
      </c>
      <c r="I1473" t="inlineStr">
        <is>
          <t>M. A.</t>
        </is>
      </c>
      <c r="J1473" s="6">
        <f>HYPERLINK("https://www.kleinanzeigen.de/s-bestandsliste.html?userId=24792067", "Link")</f>
        <v/>
      </c>
      <c r="K1473" s="7" t="n">
        <v>45549.57835648148</v>
      </c>
      <c r="L1473" s="3" t="inlineStr">
        <is>
          <t>37.99</t>
        </is>
      </c>
      <c r="M1473" t="inlineStr">
        <is>
          <t>Böblingen</t>
        </is>
      </c>
    </row>
    <row r="1474">
      <c r="A1474" t="inlineStr">
        <is>
          <t>Simms G4 Wathose</t>
        </is>
      </c>
      <c r="B1474" s="4" t="n">
        <v>300</v>
      </c>
      <c r="C1474" t="inlineStr">
        <is>
          <t>VB</t>
        </is>
      </c>
      <c r="D1474" t="inlineStr">
        <is>
          <t>25524 Schleswig-Holstein - Itzehoe</t>
        </is>
      </c>
      <c r="E1474" s="5" t="n">
        <v>45539</v>
      </c>
      <c r="F1474" t="inlineStr">
        <is>
          <t>Sold</t>
        </is>
      </c>
      <c r="G1474" s="6">
        <f>HYPERLINK("https://www.kleinanzeigen.de/s-anzeige/simms-g4-wathose/2853892059-242-13329", "Link")</f>
        <v/>
      </c>
      <c r="H1474" s="6">
        <f>HYPERLINK("C:\Projects\Kleinanzeigen-Scraper\offer_images\2853892059", "Link")</f>
        <v/>
      </c>
      <c r="I1474" t="inlineStr">
        <is>
          <t>Privat</t>
        </is>
      </c>
      <c r="J1474" s="6">
        <f>HYPERLINK("https://www.kleinanzeigen.de/s-bestandsliste.html?userId=28363424", "Link")</f>
        <v/>
      </c>
      <c r="K1474" s="7" t="n">
        <v>45549.57835648148</v>
      </c>
      <c r="L1474" s="3" t="inlineStr">
        <is>
          <t>375.94</t>
        </is>
      </c>
      <c r="M1474" t="inlineStr">
        <is>
          <t>Köln</t>
        </is>
      </c>
    </row>
    <row r="1475">
      <c r="A1475" t="inlineStr">
        <is>
          <t>Slingshot Z11 Kite // nicht Core, Cabrinha, Naish</t>
        </is>
      </c>
      <c r="B1475" s="4" t="n">
        <v>150</v>
      </c>
      <c r="C1475" t="inlineStr">
        <is>
          <t>VB</t>
        </is>
      </c>
      <c r="D1475" t="inlineStr">
        <is>
          <t>22457 Eimsbüttel - Hamburg Schnelsen</t>
        </is>
      </c>
      <c r="E1475" s="5" t="n">
        <v>45498</v>
      </c>
      <c r="F1475" t="inlineStr">
        <is>
          <t>Sold</t>
        </is>
      </c>
      <c r="G1475" s="6">
        <f>HYPERLINK("https://www.kleinanzeigen.de/s-anzeige/slingshot-z11-kite-nicht-core-cabrinha-naish/2820854942-230-9492", "Link")</f>
        <v/>
      </c>
      <c r="H1475" s="6">
        <f>HYPERLINK("C:\Projects\Kleinanzeigen-Scraper\offer_images\2820854942", "Link")</f>
        <v/>
      </c>
      <c r="I1475" t="inlineStr">
        <is>
          <t>A. Wegener</t>
        </is>
      </c>
      <c r="J1475" s="6">
        <f>HYPERLINK("https://www.kleinanzeigen.de/s-bestandsliste.html?userId=43387406", "Link")</f>
        <v/>
      </c>
      <c r="K1475" s="7" t="n">
        <v>45549.57835648148</v>
      </c>
      <c r="L1475" s="3" t="inlineStr">
        <is>
          <t>362.41</t>
        </is>
      </c>
      <c r="M1475" t="inlineStr">
        <is>
          <t>Köln</t>
        </is>
      </c>
    </row>
    <row r="1476">
      <c r="A1476" t="inlineStr">
        <is>
          <t>Duotone Foil Mast-Fuselage Set AL 3.0 90/67</t>
        </is>
      </c>
      <c r="B1476" s="4" t="n">
        <v>499</v>
      </c>
      <c r="C1476" t="inlineStr"/>
      <c r="D1476" t="inlineStr">
        <is>
          <t>90451 Nürnberg (Mittelfr) - Aussenstadt-Sued</t>
        </is>
      </c>
      <c r="E1476" s="5" t="n">
        <v>45547</v>
      </c>
      <c r="F1476" t="inlineStr">
        <is>
          <t>Sold</t>
        </is>
      </c>
      <c r="G1476" s="6">
        <f>HYPERLINK("https://www.kleinanzeigen.de/s-anzeige/duotone-foil-mast-fuselage-set-al-3-0-90-67/2761814914-230-6836", "Link")</f>
        <v/>
      </c>
      <c r="H1476" s="6">
        <f>HYPERLINK("C:\Projects\Kleinanzeigen-Scraper\offer_images\2761814914", "Link")</f>
        <v/>
      </c>
      <c r="I1476" t="inlineStr">
        <is>
          <t>No user name</t>
        </is>
      </c>
      <c r="J1476" s="6">
        <f>HYPERLINK("https://www.kleinanzeigen.deNo user link", "Link")</f>
        <v/>
      </c>
      <c r="K1476" s="7" t="n">
        <v>45549.57834490741</v>
      </c>
      <c r="L1476" s="3" t="inlineStr">
        <is>
          <t>145.92</t>
        </is>
      </c>
      <c r="M1476" t="inlineStr">
        <is>
          <t>München</t>
        </is>
      </c>
    </row>
    <row r="1477">
      <c r="A1477" t="inlineStr">
        <is>
          <t>Trampolin North oval 460 cm</t>
        </is>
      </c>
      <c r="B1477" s="4" t="n">
        <v>550</v>
      </c>
      <c r="C1477" t="inlineStr">
        <is>
          <t>VB</t>
        </is>
      </c>
      <c r="D1477" t="inlineStr">
        <is>
          <t>82205 Bayern - Gilching</t>
        </is>
      </c>
      <c r="E1477" s="5" t="n">
        <v>45550</v>
      </c>
      <c r="F1477" t="inlineStr">
        <is>
          <t>Sold</t>
        </is>
      </c>
      <c r="G1477" s="6">
        <f>HYPERLINK("https://www.kleinanzeigen.de/s-anzeige/trampolin-north-oval-460-cm/2857333552-230-15740", "Link")</f>
        <v/>
      </c>
      <c r="H1477" s="6">
        <f>HYPERLINK("C:\Projects\Kleinanzeigen-Scraper\offer_images\2857333552", "Link")</f>
        <v/>
      </c>
      <c r="I1477" t="inlineStr">
        <is>
          <t>Sabine Probst</t>
        </is>
      </c>
      <c r="J1477" s="6">
        <f>HYPERLINK("https://www.kleinanzeigen.de/s-bestandsliste.html?userId=38841303", "Link")</f>
        <v/>
      </c>
      <c r="K1477" s="7" t="n">
        <v>45549.57833333333</v>
      </c>
      <c r="L1477" s="3" t="inlineStr">
        <is>
          <t>23.04</t>
        </is>
      </c>
      <c r="M1477" t="inlineStr">
        <is>
          <t>München</t>
        </is>
      </c>
    </row>
    <row r="1478">
      <c r="A1478" t="inlineStr">
        <is>
          <t>Duotone 2024 Wingset Aero Free SLS 1000/216</t>
        </is>
      </c>
      <c r="B1478" s="4" t="n">
        <v>630</v>
      </c>
      <c r="C1478" t="inlineStr"/>
      <c r="D1478" t="inlineStr">
        <is>
          <t>90451 Nürnberg (Mittelfr) - Aussenstadt-Sued</t>
        </is>
      </c>
      <c r="E1478" s="5" t="n">
        <v>45541</v>
      </c>
      <c r="F1478" t="inlineStr">
        <is>
          <t>Sold</t>
        </is>
      </c>
      <c r="G1478" s="6">
        <f>HYPERLINK("https://www.kleinanzeigen.de/s-anzeige/duotone-2024-wingset-aero-free-sls-1000-216/2757058901-230-6836", "Link")</f>
        <v/>
      </c>
      <c r="H1478" s="6">
        <f>HYPERLINK("C:\Projects\Kleinanzeigen-Scraper\offer_images\2757058901", "Link")</f>
        <v/>
      </c>
      <c r="I1478" t="inlineStr">
        <is>
          <t>No user name</t>
        </is>
      </c>
      <c r="J1478" s="6">
        <f>HYPERLINK("https://www.kleinanzeigen.deNo user link", "Link")</f>
        <v/>
      </c>
      <c r="K1478" s="7" t="n">
        <v>45549.57833333333</v>
      </c>
      <c r="L1478" s="3" t="inlineStr">
        <is>
          <t>145.92</t>
        </is>
      </c>
      <c r="M1478" t="inlineStr">
        <is>
          <t>München</t>
        </is>
      </c>
    </row>
    <row r="1479">
      <c r="A1479" t="inlineStr">
        <is>
          <t>SUP Fanatic Hardboard 10.6 177 Liter</t>
        </is>
      </c>
      <c r="B1479" s="4" t="n">
        <v>199</v>
      </c>
      <c r="C1479" t="inlineStr"/>
      <c r="D1479" t="inlineStr">
        <is>
          <t>24226 Schleswig-Holstein - Heikendorf</t>
        </is>
      </c>
      <c r="E1479" s="5" t="n">
        <v>45535</v>
      </c>
      <c r="F1479" t="inlineStr">
        <is>
          <t>Sold</t>
        </is>
      </c>
      <c r="G1479" s="6">
        <f>HYPERLINK("https://www.kleinanzeigen.de/s-anzeige/sup-fanatic-hardboard-10-6-177-liter/2850321978-230-672", "Link")</f>
        <v/>
      </c>
      <c r="H1479" s="6">
        <f>HYPERLINK("C:\Projects\Kleinanzeigen-Scraper\offer_images\2850321978", "Link")</f>
        <v/>
      </c>
      <c r="I1479" t="inlineStr">
        <is>
          <t>Tobi</t>
        </is>
      </c>
      <c r="J1479" s="6">
        <f>HYPERLINK("https://www.kleinanzeigen.de/s-bestandsliste.html?userId=9224630", "Link")</f>
        <v/>
      </c>
      <c r="K1479" s="7" t="n">
        <v>45549.57833333333</v>
      </c>
      <c r="L1479" s="3" t="inlineStr">
        <is>
          <t>441.08</t>
        </is>
      </c>
      <c r="M1479" t="inlineStr">
        <is>
          <t>Köln</t>
        </is>
      </c>
    </row>
    <row r="1480">
      <c r="A1480" t="inlineStr">
        <is>
          <t>Duotone EVO D/LAB 8QM 2024 neuwertig ALUULA</t>
        </is>
      </c>
      <c r="B1480" s="4" t="n">
        <v>1.55</v>
      </c>
      <c r="C1480" t="inlineStr"/>
      <c r="D1480" t="inlineStr">
        <is>
          <t>14469 Brandenburg - Potsdam</t>
        </is>
      </c>
      <c r="E1480" s="5" t="n">
        <v>45546</v>
      </c>
      <c r="F1480" t="inlineStr">
        <is>
          <t>Sold</t>
        </is>
      </c>
      <c r="G1480" s="6">
        <f>HYPERLINK("https://www.kleinanzeigen.de/s-anzeige/duotone-evo-d-lab-8qm-2024-neuwertig-aluula/2859938331-230-7963", "Link")</f>
        <v/>
      </c>
      <c r="H1480" s="6">
        <f>HYPERLINK("C:\Projects\Kleinanzeigen-Scraper\offer_images\2859938331", "Link")</f>
        <v/>
      </c>
      <c r="I1480" t="inlineStr">
        <is>
          <t>DJW</t>
        </is>
      </c>
      <c r="J1480" s="6">
        <f>HYPERLINK("https://www.kleinanzeigen.de/s-bestandsliste.html?userId=87610914", "Link")</f>
        <v/>
      </c>
      <c r="K1480" s="7" t="n">
        <v>45549.57833333333</v>
      </c>
      <c r="L1480" s="3" t="inlineStr">
        <is>
          <t>450.30</t>
        </is>
      </c>
      <c r="M1480" t="inlineStr">
        <is>
          <t>Köln</t>
        </is>
      </c>
    </row>
    <row r="1481">
      <c r="A1481" t="inlineStr">
        <is>
          <t>Duotone Dice 12qm2</t>
        </is>
      </c>
      <c r="B1481" s="4" t="n">
        <v>500</v>
      </c>
      <c r="C1481" t="inlineStr">
        <is>
          <t>VB</t>
        </is>
      </c>
      <c r="D1481" t="inlineStr">
        <is>
          <t>41751 Nordrhein-Westfalen - Viersen</t>
        </is>
      </c>
      <c r="E1481" s="5" t="n">
        <v>45549</v>
      </c>
      <c r="F1481" t="inlineStr">
        <is>
          <t>Sold</t>
        </is>
      </c>
      <c r="G1481" s="6">
        <f>HYPERLINK("https://www.kleinanzeigen.de/s-anzeige/duotone-dice-12qm2/2862730070-230-1788", "Link")</f>
        <v/>
      </c>
      <c r="H1481" s="6">
        <f>HYPERLINK("C:\Projects\Kleinanzeigen-Scraper\offer_images\2862730070", "Link")</f>
        <v/>
      </c>
      <c r="I1481" t="inlineStr">
        <is>
          <t>Dieter</t>
        </is>
      </c>
      <c r="J1481" s="6">
        <f>HYPERLINK("https://www.kleinanzeigen.de/s-bestandsliste.html?userId=6084320", "Link")</f>
        <v/>
      </c>
      <c r="K1481" s="7" t="n">
        <v>45549.57833333333</v>
      </c>
      <c r="L1481" s="3" t="inlineStr">
        <is>
          <t>56.16</t>
        </is>
      </c>
      <c r="M1481" t="inlineStr">
        <is>
          <t>Köln</t>
        </is>
      </c>
    </row>
    <row r="1482">
      <c r="A1482" t="inlineStr">
        <is>
          <t>Duotone Neo SLS 8m² 2023</t>
        </is>
      </c>
      <c r="B1482" s="4" t="n">
        <v>920</v>
      </c>
      <c r="C1482" t="inlineStr">
        <is>
          <t>VB</t>
        </is>
      </c>
      <c r="D1482" t="inlineStr">
        <is>
          <t>82054 Kr. München - Sauerlach</t>
        </is>
      </c>
      <c r="E1482" s="5" t="n">
        <v>45543</v>
      </c>
      <c r="F1482" t="inlineStr">
        <is>
          <t>Sold</t>
        </is>
      </c>
      <c r="G1482" s="6">
        <f>HYPERLINK("https://www.kleinanzeigen.de/s-anzeige/duotone-neo-sls-8m-2023/2858047416-230-5593", "Link")</f>
        <v/>
      </c>
      <c r="H1482" s="6">
        <f>HYPERLINK("C:\Projects\Kleinanzeigen-Scraper\offer_images\2858047416", "Link")</f>
        <v/>
      </c>
      <c r="I1482" t="inlineStr">
        <is>
          <t>Carolin M.</t>
        </is>
      </c>
      <c r="J1482" s="6">
        <f>HYPERLINK("https://www.kleinanzeigen.de/s-bestandsliste.html?userId=31945199", "Link")</f>
        <v/>
      </c>
      <c r="K1482" s="7" t="n">
        <v>45549.57831018518</v>
      </c>
      <c r="L1482" s="3" t="inlineStr">
        <is>
          <t>20.66</t>
        </is>
      </c>
      <c r="M1482" t="inlineStr">
        <is>
          <t>München</t>
        </is>
      </c>
    </row>
    <row r="1483">
      <c r="A1483" t="inlineStr">
        <is>
          <t>3 Kites NAISH 8qm, 12qm, 16qm guter Zustand!</t>
        </is>
      </c>
      <c r="B1483" s="4" t="n">
        <v>150</v>
      </c>
      <c r="C1483" t="inlineStr">
        <is>
          <t>VB</t>
        </is>
      </c>
      <c r="D1483" t="inlineStr">
        <is>
          <t>21398 Niedersachsen - Neetze</t>
        </is>
      </c>
      <c r="E1483" s="5" t="n">
        <v>45547</v>
      </c>
      <c r="F1483" t="inlineStr">
        <is>
          <t>Sold</t>
        </is>
      </c>
      <c r="G1483" s="6">
        <f>HYPERLINK("https://www.kleinanzeigen.de/s-anzeige/3-kites-naish-8qm-12qm-16qm-guter-zustand-/2861520676-230-3276", "Link")</f>
        <v/>
      </c>
      <c r="H1483" s="6">
        <f>HYPERLINK("C:\Projects\Kleinanzeigen-Scraper\offer_images\2861520676", "Link")</f>
        <v/>
      </c>
      <c r="I1483" t="inlineStr">
        <is>
          <t>Jochen Thomsen</t>
        </is>
      </c>
      <c r="J1483" s="6">
        <f>HYPERLINK("https://www.kleinanzeigen.de/s-bestandsliste.html?userId=21969102", "Link")</f>
        <v/>
      </c>
      <c r="K1483" s="7" t="n">
        <v>45549.57831018518</v>
      </c>
      <c r="L1483" s="3" t="inlineStr">
        <is>
          <t>360.28</t>
        </is>
      </c>
      <c r="M1483" t="inlineStr">
        <is>
          <t>Köln</t>
        </is>
      </c>
    </row>
    <row r="1484">
      <c r="A1484" t="inlineStr">
        <is>
          <t>Naish Dash 7qm Kite.</t>
        </is>
      </c>
      <c r="B1484" s="4" t="n">
        <v>249</v>
      </c>
      <c r="C1484" t="inlineStr"/>
      <c r="D1484" t="inlineStr">
        <is>
          <t>24558 Schleswig-Holstein - Henstedt-Ulzburg</t>
        </is>
      </c>
      <c r="E1484" s="5" t="n">
        <v>45509</v>
      </c>
      <c r="F1484" t="inlineStr">
        <is>
          <t>Sold</t>
        </is>
      </c>
      <c r="G1484" s="6">
        <f>HYPERLINK("https://www.kleinanzeigen.de/s-anzeige/naish-dash-7qm-kite-/2829534328-230-13734", "Link")</f>
        <v/>
      </c>
      <c r="H1484" s="6">
        <f>HYPERLINK("C:\Projects\Kleinanzeigen-Scraper\offer_images\2829534328", "Link")</f>
        <v/>
      </c>
      <c r="I1484" t="inlineStr">
        <is>
          <t>Dieter Kramer</t>
        </is>
      </c>
      <c r="J1484" s="6">
        <f>HYPERLINK("https://www.kleinanzeigen.de/s-bestandsliste.html?userId=19529309", "Link")</f>
        <v/>
      </c>
      <c r="K1484" s="7" t="n">
        <v>45549.57831018518</v>
      </c>
      <c r="L1484" s="3" t="inlineStr">
        <is>
          <t>379.46</t>
        </is>
      </c>
      <c r="M1484" t="inlineStr">
        <is>
          <t>Köln</t>
        </is>
      </c>
    </row>
    <row r="1485">
      <c r="A1485" t="inlineStr">
        <is>
          <t>DUOTONE 2020 Trust Bar 24m Quad Control</t>
        </is>
      </c>
      <c r="B1485" s="4" t="n">
        <v>210</v>
      </c>
      <c r="C1485" t="inlineStr"/>
      <c r="D1485" t="inlineStr">
        <is>
          <t>25746 Dithmarschen - Heide</t>
        </is>
      </c>
      <c r="E1485" s="5" t="n">
        <v>45544</v>
      </c>
      <c r="F1485" t="inlineStr">
        <is>
          <t>Sold</t>
        </is>
      </c>
      <c r="G1485" s="6">
        <f>HYPERLINK("https://www.kleinanzeigen.de/s-anzeige/duotone-2020-trust-bar-24m-quad-control/2858259516-230-855", "Link")</f>
        <v/>
      </c>
      <c r="H1485" s="6">
        <f>HYPERLINK("C:\Projects\Kleinanzeigen-Scraper\offer_images\2858259516", "Link")</f>
        <v/>
      </c>
      <c r="I1485" t="inlineStr">
        <is>
          <t>Jesse E.</t>
        </is>
      </c>
      <c r="J1485" s="6">
        <f>HYPERLINK("https://www.kleinanzeigen.de/s-bestandsliste.html?userId=42799424", "Link")</f>
        <v/>
      </c>
      <c r="K1485" s="7" t="n">
        <v>45549.57828703704</v>
      </c>
      <c r="L1485" s="3" t="inlineStr">
        <is>
          <t>389.26</t>
        </is>
      </c>
      <c r="M1485" t="inlineStr">
        <is>
          <t>Köln</t>
        </is>
      </c>
    </row>
    <row r="1486">
      <c r="A1486" t="inlineStr">
        <is>
          <t>North Face A-Cad Futurelight Bib Skihose, Gr. S Steep Series</t>
        </is>
      </c>
      <c r="B1486" s="4" t="n">
        <v>275</v>
      </c>
      <c r="C1486" t="inlineStr"/>
      <c r="D1486" t="inlineStr">
        <is>
          <t>15345 Brandenburg - Eggersdorf</t>
        </is>
      </c>
      <c r="E1486" s="5" t="n">
        <v>45544</v>
      </c>
      <c r="F1486" t="inlineStr">
        <is>
          <t>Sold</t>
        </is>
      </c>
      <c r="G1486" s="6">
        <f>HYPERLINK("https://www.kleinanzeigen.de/s-anzeige/north-face-a-cad-futurelight-bib-skihose-gr-s-steep-series/2858289046-230-7854", "Link")</f>
        <v/>
      </c>
      <c r="H1486" s="6">
        <f>HYPERLINK("C:\Projects\Kleinanzeigen-Scraper\offer_images\2858289046", "Link")</f>
        <v/>
      </c>
      <c r="I1486" t="inlineStr">
        <is>
          <t>Till</t>
        </is>
      </c>
      <c r="J1486" s="6">
        <f>HYPERLINK("https://www.kleinanzeigen.de/s-bestandsliste.html?userId=84154284", "Link")</f>
        <v/>
      </c>
      <c r="K1486" s="7" t="n">
        <v>45549.57828703704</v>
      </c>
      <c r="L1486" s="3" t="inlineStr">
        <is>
          <t>513.75</t>
        </is>
      </c>
      <c r="M1486" t="inlineStr">
        <is>
          <t>Köln</t>
        </is>
      </c>
    </row>
    <row r="1487">
      <c r="A1487" t="inlineStr">
        <is>
          <t>Simms Flats Sneaker ( Boots ) Größe 11 Eu 45</t>
        </is>
      </c>
      <c r="B1487" s="4" t="n">
        <v>65</v>
      </c>
      <c r="C1487" t="inlineStr"/>
      <c r="D1487" t="inlineStr">
        <is>
          <t>22083 Hamburg Barmbek - Hamburg Barmbek-Süd</t>
        </is>
      </c>
      <c r="E1487" s="5" t="n">
        <v>45541</v>
      </c>
      <c r="F1487" t="inlineStr">
        <is>
          <t>Sold</t>
        </is>
      </c>
      <c r="G1487" s="6">
        <f>HYPERLINK("https://www.kleinanzeigen.de/s-anzeige/simms-flats-sneaker-boots-groesse-11-eu-45/2830061294-230-9485", "Link")</f>
        <v/>
      </c>
      <c r="H1487" s="6">
        <f>HYPERLINK("C:\Projects\Kleinanzeigen-Scraper\offer_images\2830061294", "Link")</f>
        <v/>
      </c>
      <c r="I1487" t="inlineStr">
        <is>
          <t>Sven Schlüter</t>
        </is>
      </c>
      <c r="J1487" s="6">
        <f>HYPERLINK("https://www.kleinanzeigen.de/s-bestandsliste.html?userId=16458476", "Link")</f>
        <v/>
      </c>
      <c r="K1487" s="7" t="n">
        <v>45549.57828703704</v>
      </c>
      <c r="L1487" s="3" t="inlineStr">
        <is>
          <t>360.58</t>
        </is>
      </c>
      <c r="M1487" t="inlineStr">
        <is>
          <t>Köln</t>
        </is>
      </c>
    </row>
    <row r="1488">
      <c r="A1488" t="inlineStr">
        <is>
          <t>Duotone 2024 Rebel 7.0 qm</t>
        </is>
      </c>
      <c r="B1488" s="4" t="n">
        <v>1.28</v>
      </c>
      <c r="C1488" t="inlineStr"/>
      <c r="D1488" t="inlineStr">
        <is>
          <t>90451 Nürnberg (Mittelfr) - Aussenstadt-Sued</t>
        </is>
      </c>
      <c r="E1488" s="5" t="n">
        <v>45539</v>
      </c>
      <c r="F1488" t="inlineStr">
        <is>
          <t>Sold</t>
        </is>
      </c>
      <c r="G1488" s="6">
        <f>HYPERLINK("https://www.kleinanzeigen.de/s-anzeige/duotone-2024-rebel-7-0-qm/2853925984-230-6836", "Link")</f>
        <v/>
      </c>
      <c r="H1488" s="6">
        <f>HYPERLINK("C:\Projects\Kleinanzeigen-Scraper\offer_images\2853925984", "Link")</f>
        <v/>
      </c>
      <c r="I1488" t="inlineStr">
        <is>
          <t>No user name</t>
        </is>
      </c>
      <c r="J1488" s="6">
        <f>HYPERLINK("https://www.kleinanzeigen.deNo user link", "Link")</f>
        <v/>
      </c>
      <c r="K1488" s="7" t="n">
        <v>45549.57828703704</v>
      </c>
      <c r="L1488" s="3" t="inlineStr">
        <is>
          <t>145.92</t>
        </is>
      </c>
      <c r="M1488" t="inlineStr">
        <is>
          <t>München</t>
        </is>
      </c>
    </row>
    <row r="1489">
      <c r="A1489" t="inlineStr">
        <is>
          <t>Naish Ride</t>
        </is>
      </c>
      <c r="B1489" s="4" t="n">
        <v>150</v>
      </c>
      <c r="C1489" t="inlineStr"/>
      <c r="D1489" t="inlineStr">
        <is>
          <t>24955 Schleswig-Holstein - Harrislee</t>
        </is>
      </c>
      <c r="E1489" s="5" t="n">
        <v>45510</v>
      </c>
      <c r="F1489" t="inlineStr"/>
      <c r="G1489" s="6">
        <f>HYPERLINK("https://www.kleinanzeigen.de/s-anzeige/naish-ride/2830475758-230-734", "Link")</f>
        <v/>
      </c>
      <c r="H1489" s="6">
        <f>HYPERLINK("C:\Projects\Kleinanzeigen-Scraper\offer_images\2830475758", "Link")</f>
        <v/>
      </c>
      <c r="I1489" t="inlineStr">
        <is>
          <t>David</t>
        </is>
      </c>
      <c r="J1489" s="6">
        <f>HYPERLINK("https://www.kleinanzeigen.de/s-bestandsliste.html?userId=31170145", "Link")</f>
        <v/>
      </c>
      <c r="K1489" s="7" t="n">
        <v>45549.57828703704</v>
      </c>
      <c r="L1489" s="3" t="inlineStr">
        <is>
          <t>459.37</t>
        </is>
      </c>
      <c r="M1489" t="inlineStr">
        <is>
          <t>Köln</t>
        </is>
      </c>
    </row>
    <row r="1490">
      <c r="A1490" t="inlineStr">
        <is>
          <t>1992 NFL Card Pro Line Profiles Phil Simms New York Giants</t>
        </is>
      </c>
      <c r="B1490" s="4" t="n">
        <v>5</v>
      </c>
      <c r="C1490" t="inlineStr"/>
      <c r="D1490" t="inlineStr">
        <is>
          <t>90602 Bayern - Pyrbaum</t>
        </is>
      </c>
      <c r="E1490" s="5" t="n">
        <v>44318</v>
      </c>
      <c r="F1490" t="inlineStr"/>
      <c r="G1490" s="6">
        <f>HYPERLINK("https://www.kleinanzeigen.de/s-anzeige/1992-nfl-card-pro-line-profiles-phil-simms-new-york-giants/1753232614-234-6091", "Link")</f>
        <v/>
      </c>
      <c r="H1490" s="6">
        <f>HYPERLINK("C:\Projects\Kleinanzeigen-Scraper\offer_images\1753232614", "Link")</f>
        <v/>
      </c>
      <c r="I1490" t="inlineStr">
        <is>
          <t>MiM</t>
        </is>
      </c>
      <c r="J1490" s="6">
        <f>HYPERLINK("https://www.kleinanzeigen.de/s-bestandsliste.html?userId=27627923", "Link")</f>
        <v/>
      </c>
      <c r="K1490" s="7" t="n">
        <v>45549.57826388889</v>
      </c>
      <c r="L1490" s="3" t="inlineStr">
        <is>
          <t>130.29</t>
        </is>
      </c>
      <c r="M1490" t="inlineStr">
        <is>
          <t>München</t>
        </is>
      </c>
    </row>
    <row r="1491">
      <c r="A1491" t="inlineStr">
        <is>
          <t>Fanatic Wing Foil / Windfoil Aero Fuselage AL 3.0 90cm</t>
        </is>
      </c>
      <c r="B1491" s="4" t="n">
        <v>100</v>
      </c>
      <c r="C1491" t="inlineStr">
        <is>
          <t>VB</t>
        </is>
      </c>
      <c r="D1491" t="inlineStr">
        <is>
          <t>82211 Bayern - Herrsching</t>
        </is>
      </c>
      <c r="E1491" s="5" t="n">
        <v>45531</v>
      </c>
      <c r="F1491" t="inlineStr">
        <is>
          <t>Sold</t>
        </is>
      </c>
      <c r="G1491" s="6">
        <f>HYPERLINK("https://www.kleinanzeigen.de/s-anzeige/fanatic-wing-foil-windfoil-aero-fuselage-al-3-0-90cm/2848046929-230-5520", "Link")</f>
        <v/>
      </c>
      <c r="H1491" s="6">
        <f>HYPERLINK("C:\Projects\Kleinanzeigen-Scraper\offer_images\2848046929", "Link")</f>
        <v/>
      </c>
      <c r="I1491" t="inlineStr">
        <is>
          <t>Christoph V.</t>
        </is>
      </c>
      <c r="J1491" s="6">
        <f>HYPERLINK("https://www.kleinanzeigen.de/s-bestandsliste.html?userId=18100649", "Link")</f>
        <v/>
      </c>
      <c r="K1491" s="7" t="n">
        <v>45549.57826388889</v>
      </c>
      <c r="L1491" s="3" t="inlineStr">
        <is>
          <t>32.73</t>
        </is>
      </c>
      <c r="M1491" t="inlineStr">
        <is>
          <t>München</t>
        </is>
      </c>
    </row>
    <row r="1492">
      <c r="A1492" t="inlineStr">
        <is>
          <t>DUOTONE Mono 2021 9m² CC15:blue *Testkite*</t>
        </is>
      </c>
      <c r="B1492" s="4" t="n">
        <v>736</v>
      </c>
      <c r="C1492" t="inlineStr"/>
      <c r="D1492" t="inlineStr">
        <is>
          <t>17509 Mecklenburg-Vorpommern - Loissin</t>
        </is>
      </c>
      <c r="E1492" s="5" t="n">
        <v>45547</v>
      </c>
      <c r="F1492" t="inlineStr">
        <is>
          <t>Sold</t>
        </is>
      </c>
      <c r="G1492" s="6">
        <f>HYPERLINK("https://www.kleinanzeigen.de/s-anzeige/duotone-mono-2021-9m-cc15-blue-testkite-/2735356042-230-21340", "Link")</f>
        <v/>
      </c>
      <c r="H1492" s="6">
        <f>HYPERLINK("C:\Projects\Kleinanzeigen-Scraper\offer_images\2735356042", "Link")</f>
        <v/>
      </c>
      <c r="I1492" t="inlineStr">
        <is>
          <t>No user name</t>
        </is>
      </c>
      <c r="J1492" s="6">
        <f>HYPERLINK("https://www.kleinanzeigen.deNo user link", "Link")</f>
        <v/>
      </c>
      <c r="K1492" s="7" t="n">
        <v>45549.57825231482</v>
      </c>
      <c r="L1492" s="3" t="inlineStr">
        <is>
          <t>568.47</t>
        </is>
      </c>
      <c r="M1492" t="inlineStr">
        <is>
          <t>Köln</t>
        </is>
      </c>
    </row>
    <row r="1493">
      <c r="A1493" t="inlineStr">
        <is>
          <t>Bushcraft North Support Patch</t>
        </is>
      </c>
      <c r="B1493" s="4" t="n">
        <v>15</v>
      </c>
      <c r="C1493" t="inlineStr"/>
      <c r="D1493" t="inlineStr">
        <is>
          <t>16909 Heiligengrabe - Blumenthal</t>
        </is>
      </c>
      <c r="E1493" s="5" t="n">
        <v>45540</v>
      </c>
      <c r="F1493" t="inlineStr">
        <is>
          <t>Sold</t>
        </is>
      </c>
      <c r="G1493" s="6">
        <f>HYPERLINK("https://www.kleinanzeigen.de/s-anzeige/bushcraft-north-support-patch/2674392163-230-24458", "Link")</f>
        <v/>
      </c>
      <c r="H1493" s="6">
        <f>HYPERLINK("C:\Projects\Kleinanzeigen-Scraper\offer_images\2674392163", "Link")</f>
        <v/>
      </c>
      <c r="I1493" t="inlineStr">
        <is>
          <t>No user name</t>
        </is>
      </c>
      <c r="J1493" s="6">
        <f>HYPERLINK("https://www.kleinanzeigen.deNo user link", "Link")</f>
        <v/>
      </c>
      <c r="K1493" s="7" t="n">
        <v>45549.57824074074</v>
      </c>
      <c r="L1493" s="3" t="inlineStr">
        <is>
          <t>451.08</t>
        </is>
      </c>
      <c r="M1493" t="inlineStr">
        <is>
          <t>Köln</t>
        </is>
      </c>
    </row>
    <row r="1494">
      <c r="A1494" t="inlineStr">
        <is>
          <t>5,0 Duotone Slick Wing</t>
        </is>
      </c>
      <c r="B1494" s="4" t="n">
        <v>444</v>
      </c>
      <c r="C1494" t="inlineStr">
        <is>
          <t>VB</t>
        </is>
      </c>
      <c r="D1494" t="inlineStr">
        <is>
          <t>22889 Schleswig-Holstein - Tangstedt</t>
        </is>
      </c>
      <c r="E1494" s="5" t="n">
        <v>45545</v>
      </c>
      <c r="F1494" t="inlineStr">
        <is>
          <t>Sold</t>
        </is>
      </c>
      <c r="G1494" s="6">
        <f>HYPERLINK("https://www.kleinanzeigen.de/s-anzeige/5-0-duotone-slick-wing/2859770725-230-629", "Link")</f>
        <v/>
      </c>
      <c r="H1494" s="6">
        <f>HYPERLINK("C:\Projects\Kleinanzeigen-Scraper\offer_images\2859770725", "Link")</f>
        <v/>
      </c>
      <c r="I1494" t="inlineStr">
        <is>
          <t>Oliver</t>
        </is>
      </c>
      <c r="J1494" s="6">
        <f>HYPERLINK("https://www.kleinanzeigen.de/s-bestandsliste.html?userId=34270591", "Link")</f>
        <v/>
      </c>
      <c r="K1494" s="7" t="n">
        <v>45549.57824074074</v>
      </c>
      <c r="L1494" s="3" t="inlineStr">
        <is>
          <t>376.78</t>
        </is>
      </c>
      <c r="M1494" t="inlineStr">
        <is>
          <t>Köln</t>
        </is>
      </c>
    </row>
    <row r="1495">
      <c r="A1495" t="inlineStr">
        <is>
          <t>RRD Wind Wing W 6.0 Wingfoil Roberto Ricci</t>
        </is>
      </c>
      <c r="B1495" s="4" t="n">
        <v>290</v>
      </c>
      <c r="C1495" t="inlineStr"/>
      <c r="D1495" t="inlineStr">
        <is>
          <t>93059 Bayern - Regensburg</t>
        </is>
      </c>
      <c r="E1495" s="5" t="n">
        <v>45497</v>
      </c>
      <c r="F1495" t="inlineStr">
        <is>
          <t>Sold</t>
        </is>
      </c>
      <c r="G1495" s="6">
        <f>HYPERLINK("https://www.kleinanzeigen.de/s-anzeige/rrd-wind-wing-w-6-0-wingfoil-roberto-ricci/2819803026-230-7657", "Link")</f>
        <v/>
      </c>
      <c r="H1495" s="6">
        <f>HYPERLINK("C:\Projects\Kleinanzeigen-Scraper\offer_images\2819803026", "Link")</f>
        <v/>
      </c>
      <c r="I1495" t="inlineStr">
        <is>
          <t>Jorma</t>
        </is>
      </c>
      <c r="J1495" s="6">
        <f>HYPERLINK("https://www.kleinanzeigen.de/s-bestandsliste.html?userId=8399437", "Link")</f>
        <v/>
      </c>
      <c r="K1495" s="7" t="n">
        <v>45549.57824074074</v>
      </c>
      <c r="L1495" s="3" t="inlineStr">
        <is>
          <t>106.71</t>
        </is>
      </c>
      <c r="M1495" t="inlineStr">
        <is>
          <t>München</t>
        </is>
      </c>
    </row>
    <row r="1496">
      <c r="A1496" t="inlineStr">
        <is>
          <t>RRD Summer Storm Kid Jacke</t>
        </is>
      </c>
      <c r="B1496" s="4" t="n">
        <v>30</v>
      </c>
      <c r="C1496" t="inlineStr"/>
      <c r="D1496" t="inlineStr">
        <is>
          <t>40670 Nordrhein-Westfalen - Meerbusch</t>
        </is>
      </c>
      <c r="E1496" s="5" t="n">
        <v>45283</v>
      </c>
      <c r="F1496" t="inlineStr"/>
      <c r="G1496" s="6">
        <f>HYPERLINK("https://www.kleinanzeigen.de/s-anzeige/rrd-summer-storm-kid-jacke/2635653463-230-1898", "Link")</f>
        <v/>
      </c>
      <c r="H1496" s="6">
        <f>HYPERLINK("C:\Projects\Kleinanzeigen-Scraper\offer_images\2635653463", "Link")</f>
        <v/>
      </c>
      <c r="I1496" t="inlineStr">
        <is>
          <t>Madmax9999</t>
        </is>
      </c>
      <c r="J1496" s="6">
        <f>HYPERLINK("https://www.kleinanzeigen.de/s-bestandsliste.html?userId=136584649", "Link")</f>
        <v/>
      </c>
      <c r="K1496" s="7" t="n">
        <v>45549.57822916667</v>
      </c>
      <c r="L1496" s="3" t="inlineStr">
        <is>
          <t>43.54</t>
        </is>
      </c>
      <c r="M1496" t="inlineStr">
        <is>
          <t>Köln</t>
        </is>
      </c>
    </row>
    <row r="1497">
      <c r="A1497" t="inlineStr">
        <is>
          <t>Duotone Neo SLS 2023 7qm</t>
        </is>
      </c>
      <c r="B1497" s="4" t="n">
        <v>880</v>
      </c>
      <c r="C1497" t="inlineStr">
        <is>
          <t>VB</t>
        </is>
      </c>
      <c r="D1497" t="inlineStr">
        <is>
          <t>21423 Niedersachsen - Winsen (Luhe)</t>
        </is>
      </c>
      <c r="E1497" s="5" t="n">
        <v>45546</v>
      </c>
      <c r="F1497" t="inlineStr">
        <is>
          <t>Sold</t>
        </is>
      </c>
      <c r="G1497" s="6">
        <f>HYPERLINK("https://www.kleinanzeigen.de/s-anzeige/duotone-neo-sls-2023-7qm/2761601087-230-3223", "Link")</f>
        <v/>
      </c>
      <c r="H1497" s="6">
        <f>HYPERLINK("C:\Projects\Kleinanzeigen-Scraper\offer_images\2761601087", "Link")</f>
        <v/>
      </c>
      <c r="I1497" t="inlineStr">
        <is>
          <t>No user name</t>
        </is>
      </c>
      <c r="J1497" s="6">
        <f>HYPERLINK("https://www.kleinanzeigen.deNo user link", "Link")</f>
        <v/>
      </c>
      <c r="K1497" s="7" t="n">
        <v>45549.57821759259</v>
      </c>
      <c r="L1497" s="3" t="inlineStr">
        <is>
          <t>349.14</t>
        </is>
      </c>
      <c r="M1497" t="inlineStr">
        <is>
          <t>Köln</t>
        </is>
      </c>
    </row>
    <row r="1498">
      <c r="A1498" t="inlineStr">
        <is>
          <t>Wingfoil glide,Fanatic/Duotone glide,wing foil,Glide</t>
        </is>
      </c>
      <c r="B1498" s="4" t="n">
        <v>320</v>
      </c>
      <c r="C1498" t="inlineStr">
        <is>
          <t>VB</t>
        </is>
      </c>
      <c r="D1498" t="inlineStr">
        <is>
          <t>31135 Niedersachsen - Hildesheim</t>
        </is>
      </c>
      <c r="E1498" s="5" t="n">
        <v>45527</v>
      </c>
      <c r="F1498" t="inlineStr">
        <is>
          <t>Sold</t>
        </is>
      </c>
      <c r="G1498" s="6">
        <f>HYPERLINK("https://www.kleinanzeigen.de/s-anzeige/wingfoil-glide-fanatic-duotone-glide-wing-foil-glide/2844076935-230-3149", "Link")</f>
        <v/>
      </c>
      <c r="H1498" s="6">
        <f>HYPERLINK("C:\Projects\Kleinanzeigen-Scraper\offer_images\2844076935", "Link")</f>
        <v/>
      </c>
      <c r="I1498" t="inlineStr">
        <is>
          <t>Privat</t>
        </is>
      </c>
      <c r="J1498" s="6">
        <f>HYPERLINK("https://www.kleinanzeigen.de/s-bestandsliste.html?userId=12088901", "Link")</f>
        <v/>
      </c>
      <c r="K1498" s="7" t="n">
        <v>45549.57821759259</v>
      </c>
      <c r="L1498" s="3" t="inlineStr">
        <is>
          <t>249.53</t>
        </is>
      </c>
      <c r="M1498" t="inlineStr">
        <is>
          <t>Köln</t>
        </is>
      </c>
    </row>
    <row r="1499">
      <c r="A1499" t="inlineStr">
        <is>
          <t>RRD Kitesurf Harness L</t>
        </is>
      </c>
      <c r="B1499" s="4" t="n">
        <v>100</v>
      </c>
      <c r="C1499" t="inlineStr"/>
      <c r="D1499" t="inlineStr">
        <is>
          <t>10707 Berlin - Wilmersdorf</t>
        </is>
      </c>
      <c r="E1499" s="5" t="n">
        <v>45545</v>
      </c>
      <c r="F1499" t="inlineStr">
        <is>
          <t>Sold</t>
        </is>
      </c>
      <c r="G1499" s="6">
        <f>HYPERLINK("https://www.kleinanzeigen.de/s-anzeige/rrd-kitesurf-harness-l/2859573787-230-3534", "Link")</f>
        <v/>
      </c>
      <c r="H1499" s="6">
        <f>HYPERLINK("C:\Projects\Kleinanzeigen-Scraper\offer_images\2859573787", "Link")</f>
        <v/>
      </c>
      <c r="I1499" t="inlineStr">
        <is>
          <t>Pablo Pavon</t>
        </is>
      </c>
      <c r="J1499" s="6">
        <f>HYPERLINK("https://www.kleinanzeigen.de/s-bestandsliste.html?userId=71015701", "Link")</f>
        <v/>
      </c>
      <c r="K1499" s="7" t="n">
        <v>45549.57820601852</v>
      </c>
      <c r="L1499" s="3" t="inlineStr">
        <is>
          <t>470.94</t>
        </is>
      </c>
      <c r="M1499" t="inlineStr">
        <is>
          <t>Köln</t>
        </is>
      </c>
    </row>
    <row r="1500">
      <c r="A1500" t="inlineStr">
        <is>
          <t>Duotone 2024 Wingset Aero Free SLS 1250/250</t>
        </is>
      </c>
      <c r="B1500" s="4" t="n">
        <v>650</v>
      </c>
      <c r="C1500" t="inlineStr"/>
      <c r="D1500" t="inlineStr">
        <is>
          <t>90451 Nürnberg (Mittelfr) - Aussenstadt-Sued</t>
        </is>
      </c>
      <c r="E1500" s="5" t="n">
        <v>45539</v>
      </c>
      <c r="F1500" t="inlineStr">
        <is>
          <t>Sold</t>
        </is>
      </c>
      <c r="G1500" s="6">
        <f>HYPERLINK("https://www.kleinanzeigen.de/s-anzeige/duotone-2024-wingset-aero-free-sls-1250-250/2805197365-230-6836", "Link")</f>
        <v/>
      </c>
      <c r="H1500" s="6">
        <f>HYPERLINK("C:\Projects\Kleinanzeigen-Scraper\offer_images\2805197365", "Link")</f>
        <v/>
      </c>
      <c r="I1500" t="inlineStr">
        <is>
          <t>No user name</t>
        </is>
      </c>
      <c r="J1500" s="6">
        <f>HYPERLINK("https://www.kleinanzeigen.deNo user link", "Link")</f>
        <v/>
      </c>
      <c r="K1500" s="7" t="n">
        <v>45549.57820601852</v>
      </c>
      <c r="L1500" s="3" t="inlineStr">
        <is>
          <t>145.92</t>
        </is>
      </c>
      <c r="M1500" t="inlineStr">
        <is>
          <t>München</t>
        </is>
      </c>
    </row>
    <row r="1501">
      <c r="A1501" t="inlineStr">
        <is>
          <t>Naish Dash 8qm Kite 2019</t>
        </is>
      </c>
      <c r="B1501" s="4" t="n">
        <v>249</v>
      </c>
      <c r="C1501" t="inlineStr">
        <is>
          <t>VB</t>
        </is>
      </c>
      <c r="D1501" t="inlineStr">
        <is>
          <t>12249 Berlin - Steglitz</t>
        </is>
      </c>
      <c r="E1501" s="5" t="n">
        <v>45535</v>
      </c>
      <c r="F1501" t="inlineStr">
        <is>
          <t>Sold</t>
        </is>
      </c>
      <c r="G1501" s="6">
        <f>HYPERLINK("https://www.kleinanzeigen.de/s-anzeige/naish-dash-8qm-kite-2019/2850744722-230-3423", "Link")</f>
        <v/>
      </c>
      <c r="H1501" s="6">
        <f>HYPERLINK("C:\Projects\Kleinanzeigen-Scraper\offer_images\2850744722", "Link")</f>
        <v/>
      </c>
      <c r="I1501" t="inlineStr">
        <is>
          <t>leo Foerster</t>
        </is>
      </c>
      <c r="J1501" s="6">
        <f>HYPERLINK("https://www.kleinanzeigen.de/s-bestandsliste.html?userId=38976911", "Link")</f>
        <v/>
      </c>
      <c r="K1501" s="7" t="n">
        <v>45549.57820601852</v>
      </c>
      <c r="L1501" s="3" t="inlineStr">
        <is>
          <t>470.75</t>
        </is>
      </c>
      <c r="M1501" t="inlineStr">
        <is>
          <t>Köln</t>
        </is>
      </c>
    </row>
    <row r="1502">
      <c r="A1502" t="inlineStr">
        <is>
          <t>Neilpryde-Long John mit Halbarm,  Gr.  46, ungetragen, Surfen,SUP</t>
        </is>
      </c>
      <c r="B1502" s="4" t="n">
        <v>60</v>
      </c>
      <c r="C1502" t="inlineStr">
        <is>
          <t>VB</t>
        </is>
      </c>
      <c r="D1502" t="inlineStr">
        <is>
          <t>33615 Bielefeld - Bielefeld (Innenstadt)</t>
        </is>
      </c>
      <c r="E1502" s="5" t="n">
        <v>45548</v>
      </c>
      <c r="F1502" t="inlineStr"/>
      <c r="G1502" s="6">
        <f>HYPERLINK("https://www.kleinanzeigen.de/s-anzeige/neilpryde-long-john-mit-halbarm-gr-46-ungetragen-surfen-sup/2862290064-230-1058", "Link")</f>
        <v/>
      </c>
      <c r="H1502" s="6">
        <f>HYPERLINK("C:\Projects\Kleinanzeigen-Scraper\offer_images\2862290064", "Link")</f>
        <v/>
      </c>
      <c r="I1502" t="inlineStr">
        <is>
          <t>Carola Giller</t>
        </is>
      </c>
      <c r="J1502" s="6">
        <f>HYPERLINK("https://www.kleinanzeigen.de/s-bestandsliste.html?userId=7988525", "Link")</f>
        <v/>
      </c>
      <c r="K1502" s="7" t="n">
        <v>45549.57820601852</v>
      </c>
      <c r="L1502" s="3" t="inlineStr">
        <is>
          <t>162.21</t>
        </is>
      </c>
      <c r="M1502" t="inlineStr">
        <is>
          <t>Köln</t>
        </is>
      </c>
    </row>
    <row r="1503">
      <c r="A1503" t="inlineStr">
        <is>
          <t>Windsurf Modell Goya Naish RRD Fanatic Jp Severne Starboard</t>
        </is>
      </c>
      <c r="B1503" s="4" t="n">
        <v>30</v>
      </c>
      <c r="C1503" t="inlineStr"/>
      <c r="D1503" t="inlineStr">
        <is>
          <t>12489 Berlin - Treptow</t>
        </is>
      </c>
      <c r="E1503" s="5" t="n">
        <v>45503</v>
      </c>
      <c r="F1503" t="inlineStr">
        <is>
          <t>Sold</t>
        </is>
      </c>
      <c r="G1503" s="6">
        <f>HYPERLINK("https://www.kleinanzeigen.de/s-anzeige/windsurf-modell-goya-naish-rrd-fanatic-jp-severne-starboard/2825010836-230-9657", "Link")</f>
        <v/>
      </c>
      <c r="H1503" s="6">
        <f>HYPERLINK("C:\Projects\Kleinanzeigen-Scraper\offer_images\2825010836", "Link")</f>
        <v/>
      </c>
      <c r="I1503" t="inlineStr">
        <is>
          <t>Rudi</t>
        </is>
      </c>
      <c r="J1503" s="6">
        <f>HYPERLINK("https://www.kleinanzeigen.de/s-bestandsliste.html?userId=5431294", "Link")</f>
        <v/>
      </c>
      <c r="K1503" s="7" t="n">
        <v>45549.57818287037</v>
      </c>
      <c r="L1503" s="3" t="inlineStr">
        <is>
          <t>483.86</t>
        </is>
      </c>
      <c r="M1503" t="inlineStr">
        <is>
          <t>Köln</t>
        </is>
      </c>
    </row>
    <row r="1504">
      <c r="A1504" t="inlineStr">
        <is>
          <t>Kite 15qm/m/er RRD</t>
        </is>
      </c>
      <c r="B1504" s="4" t="n">
        <v>50</v>
      </c>
      <c r="C1504" t="inlineStr"/>
      <c r="D1504" t="inlineStr">
        <is>
          <t>40235 Düsseldorf - Grafenberg</t>
        </is>
      </c>
      <c r="E1504" s="5" t="n">
        <v>45377</v>
      </c>
      <c r="F1504" t="inlineStr">
        <is>
          <t>Sold</t>
        </is>
      </c>
      <c r="G1504" s="6">
        <f>HYPERLINK("https://www.kleinanzeigen.de/s-anzeige/kite-15qm-m-er-rrd/2718024598-230-16745", "Link")</f>
        <v/>
      </c>
      <c r="H1504" s="6">
        <f>HYPERLINK("C:\Projects\Kleinanzeigen-Scraper\offer_images\2718024598", "Link")</f>
        <v/>
      </c>
      <c r="I1504" t="inlineStr">
        <is>
          <t>Moritz Wolf</t>
        </is>
      </c>
      <c r="J1504" s="6">
        <f>HYPERLINK("https://www.kleinanzeigen.de/s-bestandsliste.html?userId=44394002", "Link")</f>
        <v/>
      </c>
      <c r="K1504" s="7" t="n">
        <v>45549.57818287037</v>
      </c>
      <c r="L1504" s="3" t="inlineStr">
        <is>
          <t>33.51</t>
        </is>
      </c>
      <c r="M1504" t="inlineStr">
        <is>
          <t>Köln</t>
        </is>
      </c>
    </row>
    <row r="1505">
      <c r="A1505" t="inlineStr">
        <is>
          <t>North Reach Kite 2024 9m</t>
        </is>
      </c>
      <c r="B1505" s="4" t="n">
        <v>750</v>
      </c>
      <c r="C1505" t="inlineStr"/>
      <c r="D1505" t="inlineStr">
        <is>
          <t>80638 Neuhausen-Nymphenburg - Nymphenburg</t>
        </is>
      </c>
      <c r="E1505" s="5" t="n">
        <v>45543</v>
      </c>
      <c r="F1505" t="inlineStr">
        <is>
          <t>Sold</t>
        </is>
      </c>
      <c r="G1505" s="6">
        <f>HYPERLINK("https://www.kleinanzeigen.de/s-anzeige/north-reach-kite-2024-9m/2857119504-230-6421", "Link")</f>
        <v/>
      </c>
      <c r="H1505" s="6">
        <f>HYPERLINK("C:\Projects\Kleinanzeigen-Scraper\offer_images\2857119504", "Link")</f>
        <v/>
      </c>
      <c r="I1505" t="inlineStr">
        <is>
          <t>Loui</t>
        </is>
      </c>
      <c r="J1505" s="6">
        <f>HYPERLINK("https://www.kleinanzeigen.de/s-bestandsliste.html?userId=67174608", "Link")</f>
        <v/>
      </c>
      <c r="K1505" s="7" t="n">
        <v>45549.57818287037</v>
      </c>
      <c r="L1505" s="3" t="inlineStr">
        <is>
          <t>5.88</t>
        </is>
      </c>
      <c r="M1505" t="inlineStr">
        <is>
          <t>München</t>
        </is>
      </c>
    </row>
    <row r="1506">
      <c r="A1506" t="inlineStr">
        <is>
          <t>North Pace ISUP Inflatable Set NEU SALE</t>
        </is>
      </c>
      <c r="B1506" s="4" t="n">
        <v>269</v>
      </c>
      <c r="C1506" t="inlineStr"/>
      <c r="D1506" t="inlineStr">
        <is>
          <t>46569 Nordrhein-Westfalen - Hünxe</t>
        </is>
      </c>
      <c r="E1506" s="5" t="n">
        <v>45568</v>
      </c>
      <c r="F1506" t="inlineStr"/>
      <c r="G1506" s="6">
        <f>HYPERLINK("https://www.kleinanzeigen.de/s-anzeige/north-pace-isup-inflatable-set-neu-sale/2754667742-230-1383", "Link")</f>
        <v/>
      </c>
      <c r="H1506" s="6">
        <f>HYPERLINK("C:\Projects\Kleinanzeigen-Scraper\offer_images\2754667742", "Link")</f>
        <v/>
      </c>
      <c r="I1506" t="inlineStr">
        <is>
          <t>No user name</t>
        </is>
      </c>
      <c r="J1506" s="6">
        <f>HYPERLINK("https://www.kleinanzeigen.deNo user link", "Link")</f>
        <v/>
      </c>
      <c r="K1506" s="7" t="n">
        <v>45549.57815972222</v>
      </c>
      <c r="L1506" s="3" t="inlineStr">
        <is>
          <t>78.61</t>
        </is>
      </c>
      <c r="M1506" t="inlineStr">
        <is>
          <t>Köln</t>
        </is>
      </c>
    </row>
    <row r="1507">
      <c r="A1507" t="inlineStr">
        <is>
          <t>RRD 76er Fuselage Universal Alu Wingfoil Windsurffoil</t>
        </is>
      </c>
      <c r="B1507" s="4" t="n">
        <v>120</v>
      </c>
      <c r="C1507" t="inlineStr">
        <is>
          <t>VB</t>
        </is>
      </c>
      <c r="D1507" t="inlineStr">
        <is>
          <t>25746 Dithmarschen - Heide</t>
        </is>
      </c>
      <c r="E1507" s="5" t="n">
        <v>45542</v>
      </c>
      <c r="F1507" t="inlineStr">
        <is>
          <t>Sold</t>
        </is>
      </c>
      <c r="G1507" s="6">
        <f>HYPERLINK("https://www.kleinanzeigen.de/s-anzeige/rrd-76er-fuselage-universal-alu-wingfoil-windsurffoil/2856543183-230-855", "Link")</f>
        <v/>
      </c>
      <c r="H1507" s="6">
        <f>HYPERLINK("C:\Projects\Kleinanzeigen-Scraper\offer_images\2856543183", "Link")</f>
        <v/>
      </c>
      <c r="I1507" t="inlineStr">
        <is>
          <t>Birte</t>
        </is>
      </c>
      <c r="J1507" s="6">
        <f>HYPERLINK("https://www.kleinanzeigen.de/s-bestandsliste.html?userId=30784336", "Link")</f>
        <v/>
      </c>
      <c r="K1507" s="7" t="n">
        <v>45549.57815972222</v>
      </c>
      <c r="L1507" s="3" t="inlineStr">
        <is>
          <t>389.26</t>
        </is>
      </c>
      <c r="M1507" t="inlineStr">
        <is>
          <t>Köln</t>
        </is>
      </c>
    </row>
    <row r="1508">
      <c r="A1508" t="inlineStr">
        <is>
          <t>Neilpryde Surf Neopren  Body Größe S</t>
        </is>
      </c>
      <c r="B1508" s="4" t="n">
        <v>15</v>
      </c>
      <c r="C1508" t="inlineStr"/>
      <c r="D1508" t="inlineStr">
        <is>
          <t>65205 Wiesbaden - Nordenstadt</t>
        </is>
      </c>
      <c r="E1508" s="5" t="n">
        <v>45496</v>
      </c>
      <c r="F1508" t="inlineStr">
        <is>
          <t>Sold</t>
        </is>
      </c>
      <c r="G1508" s="6">
        <f>HYPERLINK("https://www.kleinanzeigen.de/s-anzeige/neilpryde-surf-neopren-body-groesse-s/2818964005-230-4913", "Link")</f>
        <v/>
      </c>
      <c r="H1508" s="6">
        <f>HYPERLINK("C:\Projects\Kleinanzeigen-Scraper\offer_images\2818964005", "Link")</f>
        <v/>
      </c>
      <c r="I1508" t="inlineStr">
        <is>
          <t>Stefan Eisenacher</t>
        </is>
      </c>
      <c r="J1508" s="6">
        <f>HYPERLINK("https://www.kleinanzeigen.de/s-bestandsliste.html?userId=2668414", "Link")</f>
        <v/>
      </c>
      <c r="K1508" s="7" t="n">
        <v>45549.57815972222</v>
      </c>
      <c r="L1508" s="3" t="inlineStr">
        <is>
          <t>116.77</t>
        </is>
      </c>
      <c r="M1508" t="inlineStr">
        <is>
          <t>Karlsruhe</t>
        </is>
      </c>
    </row>
    <row r="1509">
      <c r="A1509" t="inlineStr">
        <is>
          <t>Kite Naish Pivot 10 qm</t>
        </is>
      </c>
      <c r="B1509" s="4" t="n">
        <v>320</v>
      </c>
      <c r="C1509" t="inlineStr"/>
      <c r="D1509" t="inlineStr">
        <is>
          <t>23566 Schleswig-Holstein - Lübeck</t>
        </is>
      </c>
      <c r="E1509" s="5" t="n">
        <v>45502</v>
      </c>
      <c r="F1509" t="inlineStr">
        <is>
          <t>Sold</t>
        </is>
      </c>
      <c r="G1509" s="6">
        <f>HYPERLINK("https://www.kleinanzeigen.de/s-anzeige/kite-naish-pivot-10-qm/2824397290-230-421", "Link")</f>
        <v/>
      </c>
      <c r="H1509" s="6">
        <f>HYPERLINK("C:\Projects\Kleinanzeigen-Scraper\offer_images\2824397290", "Link")</f>
        <v/>
      </c>
      <c r="I1509" t="inlineStr">
        <is>
          <t>H.R.</t>
        </is>
      </c>
      <c r="J1509" s="6">
        <f>HYPERLINK("https://www.kleinanzeigen.de/s-bestandsliste.html?userId=46516137", "Link")</f>
        <v/>
      </c>
      <c r="K1509" s="7" t="n">
        <v>45549.57813657408</v>
      </c>
      <c r="L1509" s="3" t="inlineStr">
        <is>
          <t>415.00</t>
        </is>
      </c>
      <c r="M1509" t="inlineStr">
        <is>
          <t>Köln</t>
        </is>
      </c>
    </row>
    <row r="1510">
      <c r="A1510" t="inlineStr">
        <is>
          <t>Wing Unit 4,5 qm Duotone Modell 2024 NEU</t>
        </is>
      </c>
      <c r="B1510" s="4" t="n">
        <v>730</v>
      </c>
      <c r="C1510" t="inlineStr"/>
      <c r="D1510" t="inlineStr">
        <is>
          <t>82256 Bayern - Fürstenfeldbruck</t>
        </is>
      </c>
      <c r="E1510" s="5" t="n">
        <v>45546</v>
      </c>
      <c r="F1510" t="inlineStr">
        <is>
          <t>Sold</t>
        </is>
      </c>
      <c r="G1510" s="6">
        <f>HYPERLINK("https://www.kleinanzeigen.de/s-anzeige/wing-unit-4-5-qm-duotone-modell-2024-neu/2860746740-230-6311", "Link")</f>
        <v/>
      </c>
      <c r="H1510" s="6">
        <f>HYPERLINK("C:\Projects\Kleinanzeigen-Scraper\offer_images\2860746740", "Link")</f>
        <v/>
      </c>
      <c r="I1510" t="inlineStr">
        <is>
          <t>Richard</t>
        </is>
      </c>
      <c r="J1510" s="6">
        <f>HYPERLINK("https://www.kleinanzeigen.de/s-bestandsliste.html?userId=1263378", "Link")</f>
        <v/>
      </c>
      <c r="K1510" s="7" t="n">
        <v>45549.57813657408</v>
      </c>
      <c r="L1510" s="3" t="inlineStr">
        <is>
          <t>25.37</t>
        </is>
      </c>
      <c r="M1510" t="inlineStr">
        <is>
          <t>München</t>
        </is>
      </c>
    </row>
    <row r="1511">
      <c r="A1511" t="inlineStr">
        <is>
          <t>North Kite 7qm Rebel</t>
        </is>
      </c>
      <c r="B1511" s="4" t="n">
        <v>550</v>
      </c>
      <c r="C1511" t="inlineStr">
        <is>
          <t>VB</t>
        </is>
      </c>
      <c r="D1511" t="inlineStr">
        <is>
          <t>24576 Schleswig-Holstein - Hitzhusen</t>
        </is>
      </c>
      <c r="E1511" s="5" t="n">
        <v>45547</v>
      </c>
      <c r="F1511" t="inlineStr">
        <is>
          <t>Sold</t>
        </is>
      </c>
      <c r="G1511" s="6">
        <f>HYPERLINK("https://www.kleinanzeigen.de/s-anzeige/north-kite-7qm-rebel/2861344813-230-27447", "Link")</f>
        <v/>
      </c>
      <c r="H1511" s="6">
        <f>HYPERLINK("C:\Projects\Kleinanzeigen-Scraper\offer_images\2861344813", "Link")</f>
        <v/>
      </c>
      <c r="I1511" t="inlineStr">
        <is>
          <t>Janina</t>
        </is>
      </c>
      <c r="J1511" s="6">
        <f>HYPERLINK("https://www.kleinanzeigen.de/s-bestandsliste.html?userId=22360925", "Link")</f>
        <v/>
      </c>
      <c r="K1511" s="7" t="n">
        <v>45549.57813657408</v>
      </c>
      <c r="L1511" s="3" t="inlineStr">
        <is>
          <t>384.10</t>
        </is>
      </c>
      <c r="M1511" t="inlineStr">
        <is>
          <t>Köln</t>
        </is>
      </c>
    </row>
    <row r="1512">
      <c r="A1512" t="inlineStr">
        <is>
          <t>Mystic Vandal Pro Helm für den Wassersport NEU</t>
        </is>
      </c>
      <c r="B1512" s="4" t="n">
        <v>105</v>
      </c>
      <c r="C1512" t="inlineStr"/>
      <c r="D1512" t="inlineStr">
        <is>
          <t>46569 Nordrhein-Westfalen - Hünxe</t>
        </is>
      </c>
      <c r="E1512" s="5" t="n">
        <v>45548</v>
      </c>
      <c r="F1512" t="inlineStr"/>
      <c r="G1512" s="6">
        <f>HYPERLINK("https://www.kleinanzeigen.de/s-anzeige/mystic-vandal-pro-helm-fuer-den-wassersport-neu/2762701689-230-1383", "Link")</f>
        <v/>
      </c>
      <c r="H1512" s="6">
        <f>HYPERLINK("C:\Projects\Kleinanzeigen-Scraper\offer_images\2762701689", "Link")</f>
        <v/>
      </c>
      <c r="I1512" t="inlineStr">
        <is>
          <t>No user name</t>
        </is>
      </c>
      <c r="J1512" s="6">
        <f>HYPERLINK("https://www.kleinanzeigen.deNo user link", "Link")</f>
        <v/>
      </c>
      <c r="K1512" s="7" t="n">
        <v>45549.578125</v>
      </c>
      <c r="L1512" s="3" t="inlineStr">
        <is>
          <t>78.61</t>
        </is>
      </c>
      <c r="M1512" t="inlineStr">
        <is>
          <t>Köln</t>
        </is>
      </c>
    </row>
    <row r="1513">
      <c r="A1513" t="inlineStr">
        <is>
          <t>RRD Obsession 7m² aus 2016 inkl. Global V7 Bar, Kitesurfen</t>
        </is>
      </c>
      <c r="B1513" s="4" t="n">
        <v>248</v>
      </c>
      <c r="C1513" t="inlineStr">
        <is>
          <t>VB</t>
        </is>
      </c>
      <c r="D1513" t="inlineStr">
        <is>
          <t>82335 Bayern - Berg</t>
        </is>
      </c>
      <c r="E1513" s="5" t="n">
        <v>45534</v>
      </c>
      <c r="F1513" t="inlineStr">
        <is>
          <t>Sold</t>
        </is>
      </c>
      <c r="G1513" s="6">
        <f>HYPERLINK("https://www.kleinanzeigen.de/s-anzeige/rrd-obsession-7m-aus-2016-inkl-global-v7-bar-kitesurfen/2849682102-230-5521", "Link")</f>
        <v/>
      </c>
      <c r="H1513" s="6">
        <f>HYPERLINK("C:\Projects\Kleinanzeigen-Scraper\offer_images\2849682102", "Link")</f>
        <v/>
      </c>
      <c r="I1513" t="inlineStr">
        <is>
          <t>Jonas Langer</t>
        </is>
      </c>
      <c r="J1513" s="6">
        <f>HYPERLINK("https://www.kleinanzeigen.de/s-bestandsliste.html?userId=21837328", "Link")</f>
        <v/>
      </c>
      <c r="K1513" s="7" t="n">
        <v>45549.57811342592</v>
      </c>
      <c r="L1513" s="3" t="inlineStr">
        <is>
          <t>24.93</t>
        </is>
      </c>
      <c r="M1513" t="inlineStr">
        <is>
          <t>München</t>
        </is>
      </c>
    </row>
    <row r="1514">
      <c r="A1514" t="inlineStr">
        <is>
          <t>The North Face Polarguard 3D Schlafsack</t>
        </is>
      </c>
      <c r="B1514" s="4" t="n">
        <v>135</v>
      </c>
      <c r="C1514" t="inlineStr">
        <is>
          <t>VB</t>
        </is>
      </c>
      <c r="D1514" t="inlineStr">
        <is>
          <t>80796 München - Schwabing-West</t>
        </is>
      </c>
      <c r="E1514" s="5" t="n">
        <v>45539</v>
      </c>
      <c r="F1514" t="inlineStr">
        <is>
          <t>Sold</t>
        </is>
      </c>
      <c r="G1514" s="6">
        <f>HYPERLINK("https://www.kleinanzeigen.de/s-anzeige/the-north-face-polarguard-3d-schlafsack/2854384617-230-6462", "Link")</f>
        <v/>
      </c>
      <c r="H1514" s="6">
        <f>HYPERLINK("C:\Projects\Kleinanzeigen-Scraper\offer_images\2854384617", "Link")</f>
        <v/>
      </c>
      <c r="I1514" t="inlineStr">
        <is>
          <t>Patrick</t>
        </is>
      </c>
      <c r="J1514" s="6">
        <f>HYPERLINK("https://www.kleinanzeigen.de/s-bestandsliste.html?userId=134766207", "Link")</f>
        <v/>
      </c>
      <c r="K1514" s="7" t="n">
        <v>45549.57811342592</v>
      </c>
      <c r="L1514" s="3" t="inlineStr">
        <is>
          <t>2.99</t>
        </is>
      </c>
      <c r="M1514" t="inlineStr">
        <is>
          <t>München</t>
        </is>
      </c>
    </row>
    <row r="1515">
      <c r="A1515" t="inlineStr">
        <is>
          <t>Naish Thrust Foil + Naish Hover Foilboard Windsurfen surfing</t>
        </is>
      </c>
      <c r="B1515" s="4" t="n">
        <v>550</v>
      </c>
      <c r="C1515" t="inlineStr"/>
      <c r="D1515" t="inlineStr">
        <is>
          <t>16515 Brandenburg - Oranienburg</t>
        </is>
      </c>
      <c r="E1515" s="5" t="n">
        <v>45548</v>
      </c>
      <c r="F1515" t="inlineStr"/>
      <c r="G1515" s="6">
        <f>HYPERLINK("https://www.kleinanzeigen.de/s-anzeige/naish-thrust-foil-naish-hover-foilboard-windsurfen-surfing/2862512168-230-7814", "Link")</f>
        <v/>
      </c>
      <c r="H1515" s="6">
        <f>HYPERLINK("C:\Projects\Kleinanzeigen-Scraper\offer_images\2862512168", "Link")</f>
        <v/>
      </c>
      <c r="I1515" t="inlineStr">
        <is>
          <t>Koehler</t>
        </is>
      </c>
      <c r="J1515" s="6">
        <f>HYPERLINK("https://www.kleinanzeigen.de/s-bestandsliste.html?userId=11625033", "Link")</f>
        <v/>
      </c>
      <c r="K1515" s="7" t="n">
        <v>45549.57811342592</v>
      </c>
      <c r="L1515" s="3" t="inlineStr">
        <is>
          <t>483.59</t>
        </is>
      </c>
      <c r="M1515" t="inlineStr">
        <is>
          <t>Köln</t>
        </is>
      </c>
    </row>
    <row r="1516">
      <c r="A1516" t="inlineStr">
        <is>
          <t>Naish S26  Matador LT Red 5 qm | Wing Foil</t>
        </is>
      </c>
      <c r="B1516" s="4" t="n">
        <v>300</v>
      </c>
      <c r="C1516" t="inlineStr"/>
      <c r="D1516" t="inlineStr">
        <is>
          <t>21035 Hamburg - Bergedorf</t>
        </is>
      </c>
      <c r="E1516" s="5" t="n">
        <v>45543</v>
      </c>
      <c r="F1516" t="inlineStr">
        <is>
          <t>Sold</t>
        </is>
      </c>
      <c r="G1516" s="6">
        <f>HYPERLINK("https://www.kleinanzeigen.de/s-anzeige/naish-s26-matador-lt-red-5-qm-wing-foil/2858045687-230-16432", "Link")</f>
        <v/>
      </c>
      <c r="H1516" s="6">
        <f>HYPERLINK("C:\Projects\Kleinanzeigen-Scraper\offer_images\2858045687", "Link")</f>
        <v/>
      </c>
      <c r="I1516" t="inlineStr">
        <is>
          <t>Fischer</t>
        </is>
      </c>
      <c r="J1516" s="6">
        <f>HYPERLINK("https://www.kleinanzeigen.de/s-bestandsliste.html?userId=26544823", "Link")</f>
        <v/>
      </c>
      <c r="K1516" s="7" t="n">
        <v>45549.57811342592</v>
      </c>
      <c r="L1516" s="3" t="inlineStr">
        <is>
          <t>357.47</t>
        </is>
      </c>
      <c r="M1516" t="inlineStr">
        <is>
          <t>Köln</t>
        </is>
      </c>
    </row>
    <row r="1517">
      <c r="A1517" t="inlineStr">
        <is>
          <t>Neilpryde-Damen-Shorty, Surfen, Kiten, SUP, ungetragen, Gr. 36</t>
        </is>
      </c>
      <c r="B1517" s="4" t="n">
        <v>45</v>
      </c>
      <c r="C1517" t="inlineStr">
        <is>
          <t>VB</t>
        </is>
      </c>
      <c r="D1517" t="inlineStr">
        <is>
          <t>33615 Bielefeld - Bielefeld (Innenstadt)</t>
        </is>
      </c>
      <c r="E1517" s="5" t="n">
        <v>45438</v>
      </c>
      <c r="F1517" t="inlineStr">
        <is>
          <t>Sold</t>
        </is>
      </c>
      <c r="G1517" s="6">
        <f>HYPERLINK("https://www.kleinanzeigen.de/s-anzeige/neilpryde-damen-shorty-surfen-kiten-sup-ungetragen-gr-36/2771916000-230-1058", "Link")</f>
        <v/>
      </c>
      <c r="H1517" s="6">
        <f>HYPERLINK("C:\Projects\Kleinanzeigen-Scraper\offer_images\2771916000", "Link")</f>
        <v/>
      </c>
      <c r="I1517" t="inlineStr">
        <is>
          <t>Carola Giller</t>
        </is>
      </c>
      <c r="J1517" s="6">
        <f>HYPERLINK("https://www.kleinanzeigen.de/s-bestandsliste.html?userId=7988525", "Link")</f>
        <v/>
      </c>
      <c r="K1517" s="7" t="n">
        <v>45549.57811342592</v>
      </c>
      <c r="L1517" s="3" t="inlineStr">
        <is>
          <t>162.21</t>
        </is>
      </c>
      <c r="M1517" t="inlineStr">
        <is>
          <t>Köln</t>
        </is>
      </c>
    </row>
    <row r="1518">
      <c r="A1518" t="inlineStr">
        <is>
          <t>Fanatic Snowboard und passende Schuhe Größe C 43 zu verkaufen für</t>
        </is>
      </c>
      <c r="B1518" s="4" t="n">
        <v>100</v>
      </c>
      <c r="C1518" t="inlineStr"/>
      <c r="D1518" t="inlineStr">
        <is>
          <t>06268 Sachsen-Anhalt - Querfurt</t>
        </is>
      </c>
      <c r="E1518" s="5" t="n">
        <v>45524</v>
      </c>
      <c r="F1518" t="inlineStr">
        <is>
          <t>Sold</t>
        </is>
      </c>
      <c r="G1518" s="6">
        <f>HYPERLINK("https://www.kleinanzeigen.de/s-anzeige/fanatic-snowboard-und-passende-schuhe-groesse-c-43-zu-verkaufen-fuer/2841518819-230-19809", "Link")</f>
        <v/>
      </c>
      <c r="H1518" s="6">
        <f>HYPERLINK("C:\Projects\Kleinanzeigen-Scraper\offer_images\2841518819", "Link")</f>
        <v/>
      </c>
      <c r="I1518" t="inlineStr">
        <is>
          <t>Rico</t>
        </is>
      </c>
      <c r="J1518" s="6">
        <f>HYPERLINK("https://www.kleinanzeigen.de/s-bestandsliste.html?userId=139386880", "Link")</f>
        <v/>
      </c>
      <c r="K1518" s="7" t="n">
        <v>45549.57810185185</v>
      </c>
      <c r="L1518" s="3" t="inlineStr">
        <is>
          <t>325.88</t>
        </is>
      </c>
      <c r="M1518" t="inlineStr">
        <is>
          <t>Köln</t>
        </is>
      </c>
    </row>
    <row r="1519">
      <c r="A1519" t="inlineStr">
        <is>
          <t>Schwimmweste Gun Sails Gr. XS</t>
        </is>
      </c>
      <c r="B1519" s="4" t="n">
        <v>20</v>
      </c>
      <c r="C1519" t="inlineStr"/>
      <c r="D1519" t="inlineStr">
        <is>
          <t>81675 München - Au-Haidhausen</t>
        </is>
      </c>
      <c r="E1519" s="5" t="n">
        <v>45474</v>
      </c>
      <c r="F1519" t="inlineStr">
        <is>
          <t>Sold</t>
        </is>
      </c>
      <c r="G1519" s="6">
        <f>HYPERLINK("https://www.kleinanzeigen.de/s-anzeige/schwimmweste-gun-sails-gr-xs/2801986225-230-16346", "Link")</f>
        <v/>
      </c>
      <c r="H1519" s="6">
        <f>HYPERLINK("C:\Projects\Kleinanzeigen-Scraper\offer_images\2801986225", "Link")</f>
        <v/>
      </c>
      <c r="I1519" t="inlineStr">
        <is>
          <t>J. Baum</t>
        </is>
      </c>
      <c r="J1519" s="6">
        <f>HYPERLINK("https://www.kleinanzeigen.de/s-bestandsliste.html?userId=17656378", "Link")</f>
        <v/>
      </c>
      <c r="K1519" s="7" t="n">
        <v>45549.57810185185</v>
      </c>
      <c r="L1519" s="3" t="inlineStr">
        <is>
          <t>2.27</t>
        </is>
      </c>
      <c r="M1519" t="inlineStr">
        <is>
          <t>München</t>
        </is>
      </c>
    </row>
    <row r="1520">
      <c r="A1520" t="inlineStr">
        <is>
          <t>Naish Pivot 14</t>
        </is>
      </c>
      <c r="B1520" s="4" t="n">
        <v>470</v>
      </c>
      <c r="C1520" t="inlineStr">
        <is>
          <t>VB</t>
        </is>
      </c>
      <c r="D1520" t="inlineStr">
        <is>
          <t>68623 Hessen - Lampertheim</t>
        </is>
      </c>
      <c r="E1520" s="5" t="n">
        <v>45543</v>
      </c>
      <c r="F1520" t="inlineStr"/>
      <c r="G1520" s="6">
        <f>HYPERLINK("https://www.kleinanzeigen.de/s-anzeige/naish-pivot-14/2857080341-230-4761", "Link")</f>
        <v/>
      </c>
      <c r="H1520" s="6">
        <f>HYPERLINK("C:\Projects\Kleinanzeigen-Scraper\offer_images\2857080341", "Link")</f>
        <v/>
      </c>
      <c r="I1520" t="inlineStr">
        <is>
          <t>Frank Migga</t>
        </is>
      </c>
      <c r="J1520" s="6">
        <f>HYPERLINK("https://www.kleinanzeigen.de/s-bestandsliste.html?userId=13514296", "Link")</f>
        <v/>
      </c>
      <c r="K1520" s="7" t="n">
        <v>45549.57810185185</v>
      </c>
      <c r="L1520" s="3" t="inlineStr">
        <is>
          <t>65.74</t>
        </is>
      </c>
      <c r="M1520" t="inlineStr">
        <is>
          <t>Karlsruhe</t>
        </is>
      </c>
    </row>
    <row r="1521">
      <c r="A1521" t="inlineStr">
        <is>
          <t>Duotone 2023/24 Neo D/Lab 11 qm</t>
        </is>
      </c>
      <c r="B1521" s="4" t="n">
        <v>1.65</v>
      </c>
      <c r="C1521" t="inlineStr"/>
      <c r="D1521" t="inlineStr">
        <is>
          <t>90451 Nürnberg (Mittelfr) - Aussenstadt-Sued</t>
        </is>
      </c>
      <c r="E1521" s="5" t="n">
        <v>45540</v>
      </c>
      <c r="F1521" t="inlineStr">
        <is>
          <t>Sold</t>
        </is>
      </c>
      <c r="G1521" s="6">
        <f>HYPERLINK("https://www.kleinanzeigen.de/s-anzeige/duotone-2023-24-neo-d-lab-11-qm/2854722865-230-6836", "Link")</f>
        <v/>
      </c>
      <c r="H1521" s="6">
        <f>HYPERLINK("C:\Projects\Kleinanzeigen-Scraper\offer_images\2854722865", "Link")</f>
        <v/>
      </c>
      <c r="I1521" t="inlineStr">
        <is>
          <t>No user name</t>
        </is>
      </c>
      <c r="J1521" s="6">
        <f>HYPERLINK("https://www.kleinanzeigen.deNo user link", "Link")</f>
        <v/>
      </c>
      <c r="K1521" s="7" t="n">
        <v>45549.57809027778</v>
      </c>
      <c r="L1521" s="3" t="inlineStr">
        <is>
          <t>145.92</t>
        </is>
      </c>
      <c r="M1521" t="inlineStr">
        <is>
          <t>München</t>
        </is>
      </c>
    </row>
    <row r="1522">
      <c r="A1522" t="inlineStr">
        <is>
          <t>Kite Naish Park 7m2</t>
        </is>
      </c>
      <c r="B1522" s="4" t="n">
        <v>175</v>
      </c>
      <c r="C1522" t="inlineStr"/>
      <c r="D1522" t="inlineStr">
        <is>
          <t>82131 Bayern - Gauting</t>
        </is>
      </c>
      <c r="E1522" s="5" t="n">
        <v>45543</v>
      </c>
      <c r="F1522" t="inlineStr">
        <is>
          <t>Sold</t>
        </is>
      </c>
      <c r="G1522" s="6">
        <f>HYPERLINK("https://www.kleinanzeigen.de/s-anzeige/kite-naish-park-7m2/2857692241-230-6334", "Link")</f>
        <v/>
      </c>
      <c r="H1522" s="6">
        <f>HYPERLINK("C:\Projects\Kleinanzeigen-Scraper\offer_images\2857692241", "Link")</f>
        <v/>
      </c>
      <c r="I1522" t="inlineStr">
        <is>
          <t>angelique Betz</t>
        </is>
      </c>
      <c r="J1522" s="6">
        <f>HYPERLINK("https://www.kleinanzeigen.de/s-bestandsliste.html?userId=14037313", "Link")</f>
        <v/>
      </c>
      <c r="K1522" s="7" t="n">
        <v>45549.57809027778</v>
      </c>
      <c r="L1522" s="3" t="inlineStr">
        <is>
          <t>16.76</t>
        </is>
      </c>
      <c r="M1522" t="inlineStr">
        <is>
          <t>München</t>
        </is>
      </c>
    </row>
    <row r="1523">
      <c r="A1523" t="inlineStr">
        <is>
          <t>KEILRAHMEN 50x50cm Solo Goya Premium Line</t>
        </is>
      </c>
      <c r="B1523" s="4" t="n">
        <v>13</v>
      </c>
      <c r="C1523" t="inlineStr"/>
      <c r="D1523" t="inlineStr">
        <is>
          <t>53175 Bonn - Plittersdorf</t>
        </is>
      </c>
      <c r="E1523" s="5" t="n">
        <v>44906</v>
      </c>
      <c r="F1523" t="inlineStr"/>
      <c r="G1523" s="6">
        <f>HYPERLINK("https://www.kleinanzeigen.de/s-anzeige/keilrahmen-50x50cm-solo-goya-premium-line/2300225287-282-23746", "Link")</f>
        <v/>
      </c>
      <c r="H1523" s="6">
        <f>HYPERLINK("C:\Projects\Kleinanzeigen-Scraper\offer_images\2300225287", "Link")</f>
        <v/>
      </c>
      <c r="I1523" t="inlineStr">
        <is>
          <t>Sauer</t>
        </is>
      </c>
      <c r="J1523" s="6">
        <f>HYPERLINK("https://www.kleinanzeigen.de/s-bestandsliste.html?userId=60432036", "Link")</f>
        <v/>
      </c>
      <c r="K1523" s="7" t="n">
        <v>45549.5780787037</v>
      </c>
      <c r="L1523" s="3" t="inlineStr">
        <is>
          <t>30.05</t>
        </is>
      </c>
      <c r="M1523" t="inlineStr">
        <is>
          <t>Köln</t>
        </is>
      </c>
    </row>
    <row r="1524">
      <c r="A1524" t="inlineStr">
        <is>
          <t>Panini Playbook 2022 NFL Phil Simms Booklet /25 New York Giants</t>
        </is>
      </c>
      <c r="B1524" s="4" t="n">
        <v>80</v>
      </c>
      <c r="C1524" t="inlineStr"/>
      <c r="D1524" t="inlineStr">
        <is>
          <t>33415 Nordrhein-Westfalen - Verl</t>
        </is>
      </c>
      <c r="E1524" s="5" t="n">
        <v>45436</v>
      </c>
      <c r="F1524" t="inlineStr"/>
      <c r="G1524" s="6">
        <f>HYPERLINK("https://www.kleinanzeigen.de/s-anzeige/panini-playbook-2022-nfl-phil-simms-booklet-25-new-york-giants/2770249477-234-1640", "Link")</f>
        <v/>
      </c>
      <c r="H1524" s="6">
        <f>HYPERLINK("C:\Projects\Kleinanzeigen-Scraper\offer_images\2770249477", "Link")</f>
        <v/>
      </c>
      <c r="I1524" t="inlineStr">
        <is>
          <t>Sebbo</t>
        </is>
      </c>
      <c r="J1524" s="6">
        <f>HYPERLINK("https://www.kleinanzeigen.de/s-bestandsliste.html?userId=6416271", "Link")</f>
        <v/>
      </c>
      <c r="K1524" s="7" t="n">
        <v>45549.5780787037</v>
      </c>
      <c r="L1524" s="3" t="inlineStr">
        <is>
          <t>149.85</t>
        </is>
      </c>
      <c r="M1524" t="inlineStr">
        <is>
          <t>Köln</t>
        </is>
      </c>
    </row>
    <row r="1525">
      <c r="A1525" t="inlineStr">
        <is>
          <t>JP Australia Cruise Air SUP ISUP Package standuppaddeling</t>
        </is>
      </c>
      <c r="B1525" s="4" t="n">
        <v>339</v>
      </c>
      <c r="C1525" t="inlineStr"/>
      <c r="D1525" t="inlineStr">
        <is>
          <t>22457 Eimsbüttel - Hamburg Schnelsen</t>
        </is>
      </c>
      <c r="E1525" s="5" t="n">
        <v>45540</v>
      </c>
      <c r="F1525" t="inlineStr"/>
      <c r="G1525" s="6">
        <f>HYPERLINK("https://www.kleinanzeigen.de/s-anzeige/jp-australia-cruise-air-sup-isup-package-standuppaddeling/2830589866-230-9492", "Link")</f>
        <v/>
      </c>
      <c r="H1525" s="6">
        <f>HYPERLINK("C:\Projects\Kleinanzeigen-Scraper\offer_images\2830589866", "Link")</f>
        <v/>
      </c>
      <c r="I1525" t="inlineStr">
        <is>
          <t>No user name</t>
        </is>
      </c>
      <c r="J1525" s="6">
        <f>HYPERLINK("https://www.kleinanzeigen.deNo user link", "Link")</f>
        <v/>
      </c>
      <c r="K1525" s="7" t="n">
        <v>45549.57806712963</v>
      </c>
      <c r="L1525" s="3" t="inlineStr">
        <is>
          <t>362.41</t>
        </is>
      </c>
      <c r="M1525" t="inlineStr">
        <is>
          <t>Köln</t>
        </is>
      </c>
    </row>
    <row r="1526">
      <c r="A1526" t="inlineStr">
        <is>
          <t>Duotone Tubekite Rebel SLS C17:coral/vanilla 2024 8.0 qm</t>
        </is>
      </c>
      <c r="B1526" s="4" t="n">
        <v>1.399</v>
      </c>
      <c r="C1526" t="inlineStr">
        <is>
          <t>VB</t>
        </is>
      </c>
      <c r="D1526" t="inlineStr">
        <is>
          <t>26125 Niedersachsen - Oldenburg</t>
        </is>
      </c>
      <c r="E1526" s="5" t="n">
        <v>45545</v>
      </c>
      <c r="F1526" t="inlineStr">
        <is>
          <t>Sold</t>
        </is>
      </c>
      <c r="G1526" s="6">
        <f>HYPERLINK("https://www.kleinanzeigen.de/s-anzeige/duotone-tubekite-rebel-sls-c17-coral-vanilla-2024-8-0-qm/2859570876-230-3111", "Link")</f>
        <v/>
      </c>
      <c r="H1526" s="6">
        <f>HYPERLINK("C:\Projects\Kleinanzeigen-Scraper\offer_images\2859570876", "Link")</f>
        <v/>
      </c>
      <c r="I1526" t="inlineStr">
        <is>
          <t>No user name</t>
        </is>
      </c>
      <c r="J1526" s="6">
        <f>HYPERLINK("https://www.kleinanzeigen.deNo user link", "Link")</f>
        <v/>
      </c>
      <c r="K1526" s="7" t="n">
        <v>45549.57805555555</v>
      </c>
      <c r="L1526" s="3" t="inlineStr">
        <is>
          <t>264.10</t>
        </is>
      </c>
      <c r="M1526" t="inlineStr">
        <is>
          <t>Köln</t>
        </is>
      </c>
    </row>
    <row r="1527">
      <c r="A1527" t="inlineStr">
        <is>
          <t>Fanatic SUP Package Ray Air Premium/C35 13'6"x 35" UNBENUTZT</t>
        </is>
      </c>
      <c r="B1527" s="4" t="n">
        <v>575</v>
      </c>
      <c r="C1527" t="inlineStr"/>
      <c r="D1527" t="inlineStr">
        <is>
          <t>81739 München - Ramersdorf-Perlach</t>
        </is>
      </c>
      <c r="E1527" s="5" t="n">
        <v>45511</v>
      </c>
      <c r="F1527" t="inlineStr">
        <is>
          <t>Sold</t>
        </is>
      </c>
      <c r="G1527" s="6">
        <f>HYPERLINK("https://www.kleinanzeigen.de/s-anzeige/fanatic-sup-package-ray-air-premium-c35-13-6-x-35-unbenutzt/2831407324-230-6473", "Link")</f>
        <v/>
      </c>
      <c r="H1527" s="6">
        <f>HYPERLINK("C:\Projects\Kleinanzeigen-Scraper\offer_images\2831407324", "Link")</f>
        <v/>
      </c>
      <c r="I1527" t="inlineStr">
        <is>
          <t>Christiane</t>
        </is>
      </c>
      <c r="J1527" s="6">
        <f>HYPERLINK("https://www.kleinanzeigen.de/s-bestandsliste.html?userId=143115490", "Link")</f>
        <v/>
      </c>
      <c r="K1527" s="7" t="n">
        <v>45549.57805555555</v>
      </c>
      <c r="L1527" s="3" t="inlineStr">
        <is>
          <t>8.70</t>
        </is>
      </c>
      <c r="M1527" t="inlineStr">
        <is>
          <t>München</t>
        </is>
      </c>
    </row>
    <row r="1528">
      <c r="A1528" t="inlineStr">
        <is>
          <t>Neoprenanzug Neilpryde Damen Gr. 36 guter Zustand Wakeboard</t>
        </is>
      </c>
      <c r="B1528" s="4" t="n">
        <v>49</v>
      </c>
      <c r="C1528" t="inlineStr">
        <is>
          <t>VB</t>
        </is>
      </c>
      <c r="D1528" t="inlineStr">
        <is>
          <t>56812 Rheinland-Pfalz - Dohr</t>
        </is>
      </c>
      <c r="E1528" s="5" t="n">
        <v>45524</v>
      </c>
      <c r="F1528" t="inlineStr">
        <is>
          <t>Sold</t>
        </is>
      </c>
      <c r="G1528" s="6">
        <f>HYPERLINK("https://www.kleinanzeigen.de/s-anzeige/neoprenanzug-neilpryde-damen-gr-36-guter-zustand-wakeboard/2841884043-230-22448", "Link")</f>
        <v/>
      </c>
      <c r="H1528" s="6">
        <f>HYPERLINK("C:\Projects\Kleinanzeigen-Scraper\offer_images\2841884043", "Link")</f>
        <v/>
      </c>
      <c r="I1528" t="inlineStr">
        <is>
          <t>Pam Heyl</t>
        </is>
      </c>
      <c r="J1528" s="6">
        <f>HYPERLINK("https://www.kleinanzeigen.de/s-bestandsliste.html?userId=33754307", "Link")</f>
        <v/>
      </c>
      <c r="K1528" s="7" t="n">
        <v>45549.57805555555</v>
      </c>
      <c r="L1528" s="3" t="inlineStr">
        <is>
          <t>90.43</t>
        </is>
      </c>
      <c r="M1528" t="inlineStr">
        <is>
          <t>Köln</t>
        </is>
      </c>
    </row>
    <row r="1529">
      <c r="A1529" t="inlineStr">
        <is>
          <t>Neilpryde Neoprenanzug für 12 jährige</t>
        </is>
      </c>
      <c r="B1529" s="4" t="n">
        <v>15</v>
      </c>
      <c r="C1529" t="inlineStr">
        <is>
          <t>VB</t>
        </is>
      </c>
      <c r="D1529" t="inlineStr">
        <is>
          <t>23566 Lübeck - St. Gertrud</t>
        </is>
      </c>
      <c r="E1529" s="5" t="n">
        <v>45516</v>
      </c>
      <c r="F1529" t="inlineStr">
        <is>
          <t>Sold</t>
        </is>
      </c>
      <c r="G1529" s="6">
        <f>HYPERLINK("https://www.kleinanzeigen.de/s-anzeige/neilpryde-neoprenanzug-fuer-12-jaehrige/2835422009-230-24239", "Link")</f>
        <v/>
      </c>
      <c r="H1529" s="6">
        <f>HYPERLINK("C:\Projects\Kleinanzeigen-Scraper\offer_images\2835422009", "Link")</f>
        <v/>
      </c>
      <c r="I1529" t="inlineStr">
        <is>
          <t>Franka</t>
        </is>
      </c>
      <c r="J1529" s="6">
        <f>HYPERLINK("https://www.kleinanzeigen.de/s-bestandsliste.html?userId=25158544", "Link")</f>
        <v/>
      </c>
      <c r="K1529" s="7" t="n">
        <v>45549.57805555555</v>
      </c>
      <c r="L1529" s="3" t="inlineStr">
        <is>
          <t>415.00</t>
        </is>
      </c>
      <c r="M1529" t="inlineStr">
        <is>
          <t>Köln</t>
        </is>
      </c>
    </row>
    <row r="1530">
      <c r="A1530" t="inlineStr">
        <is>
          <t>Duotone REBEL 9m 2021 - Leading edge Bladder/Hauptube</t>
        </is>
      </c>
      <c r="B1530" s="4" t="n">
        <v>50</v>
      </c>
      <c r="C1530" t="inlineStr"/>
      <c r="D1530" t="inlineStr">
        <is>
          <t>83539 Bayern - Pfaffing</t>
        </is>
      </c>
      <c r="E1530" s="5" t="n">
        <v>45545</v>
      </c>
      <c r="F1530" t="inlineStr">
        <is>
          <t>Sold</t>
        </is>
      </c>
      <c r="G1530" s="6">
        <f>HYPERLINK("https://www.kleinanzeigen.de/s-anzeige/duotone-rebel-9m-2021-leading-edge-bladder-hauptube/2859331988-230-6062", "Link")</f>
        <v/>
      </c>
      <c r="H1530" s="6">
        <f>HYPERLINK("C:\Projects\Kleinanzeigen-Scraper\offer_images\2859331988", "Link")</f>
        <v/>
      </c>
      <c r="I1530" t="inlineStr">
        <is>
          <t>Zan</t>
        </is>
      </c>
      <c r="J1530" s="6">
        <f>HYPERLINK("https://www.kleinanzeigen.de/s-bestandsliste.html?userId=38810741", "Link")</f>
        <v/>
      </c>
      <c r="K1530" s="7" t="n">
        <v>45549.57803240741</v>
      </c>
      <c r="L1530" s="3" t="inlineStr">
        <is>
          <t>40.85</t>
        </is>
      </c>
      <c r="M1530" t="inlineStr">
        <is>
          <t>München</t>
        </is>
      </c>
    </row>
    <row r="1531">
      <c r="A1531" t="inlineStr">
        <is>
          <t>Foil set Fanatic/Duotone aero free 1000/216</t>
        </is>
      </c>
      <c r="B1531" s="4" t="n">
        <v>350</v>
      </c>
      <c r="C1531" t="inlineStr"/>
      <c r="D1531" t="inlineStr">
        <is>
          <t>95682 Bayern - Brand</t>
        </is>
      </c>
      <c r="E1531" s="5" t="n">
        <v>45530</v>
      </c>
      <c r="F1531" t="inlineStr">
        <is>
          <t>Sold</t>
        </is>
      </c>
      <c r="G1531" s="6">
        <f>HYPERLINK("https://www.kleinanzeigen.de/s-anzeige/foil-set-fanatic-duotone-aero-free-1000-216/2846548296-230-7026", "Link")</f>
        <v/>
      </c>
      <c r="H1531" s="6">
        <f>HYPERLINK("C:\Projects\Kleinanzeigen-Scraper\offer_images\2846548296", "Link")</f>
        <v/>
      </c>
      <c r="I1531" t="inlineStr">
        <is>
          <t>Michal</t>
        </is>
      </c>
      <c r="J1531" s="6">
        <f>HYPERLINK("https://www.kleinanzeigen.de/s-bestandsliste.html?userId=142410279", "Link")</f>
        <v/>
      </c>
      <c r="K1531" s="7" t="n">
        <v>45549.57803240741</v>
      </c>
      <c r="L1531" s="3" t="inlineStr">
        <is>
          <t>204.18</t>
        </is>
      </c>
      <c r="M1531" t="inlineStr">
        <is>
          <t>München</t>
        </is>
      </c>
    </row>
    <row r="1532">
      <c r="A1532" t="inlineStr">
        <is>
          <t>Duotone / Fanatic Aero Fuselage 74cm 3bs</t>
        </is>
      </c>
      <c r="B1532" s="4" t="n">
        <v>190</v>
      </c>
      <c r="C1532" t="inlineStr">
        <is>
          <t>VB</t>
        </is>
      </c>
      <c r="D1532" t="inlineStr">
        <is>
          <t>83730 Bayern - Fischbachau</t>
        </is>
      </c>
      <c r="E1532" s="5" t="n">
        <v>45507</v>
      </c>
      <c r="F1532" t="inlineStr">
        <is>
          <t>Sold</t>
        </is>
      </c>
      <c r="G1532" s="6">
        <f>HYPERLINK("https://www.kleinanzeigen.de/s-anzeige/duotone-fanatic-aero-fuselage-74cm-3bs/2828187188-230-6132", "Link")</f>
        <v/>
      </c>
      <c r="H1532" s="6">
        <f>HYPERLINK("C:\Projects\Kleinanzeigen-Scraper\offer_images\2828187188", "Link")</f>
        <v/>
      </c>
      <c r="I1532" t="inlineStr">
        <is>
          <t>Timo Wölk</t>
        </is>
      </c>
      <c r="J1532" s="6">
        <f>HYPERLINK("https://www.kleinanzeigen.de/s-bestandsliste.html?userId=27197130", "Link")</f>
        <v/>
      </c>
      <c r="K1532" s="7" t="n">
        <v>45549.57800925926</v>
      </c>
      <c r="L1532" s="3" t="inlineStr">
        <is>
          <t>50.43</t>
        </is>
      </c>
      <c r="M1532" t="inlineStr">
        <is>
          <t>München</t>
        </is>
      </c>
    </row>
    <row r="1533">
      <c r="A1533" t="inlineStr">
        <is>
          <t>Duotone Evo Kite 2024 neu Kitesurfen</t>
        </is>
      </c>
      <c r="B1533" s="4" t="n">
        <v>1.569</v>
      </c>
      <c r="C1533" t="inlineStr">
        <is>
          <t>VB</t>
        </is>
      </c>
      <c r="D1533" t="inlineStr">
        <is>
          <t>22457 Eimsbüttel - Hamburg Schnelsen</t>
        </is>
      </c>
      <c r="E1533" s="5" t="n">
        <v>45541</v>
      </c>
      <c r="F1533" t="inlineStr">
        <is>
          <t>Sold</t>
        </is>
      </c>
      <c r="G1533" s="6">
        <f>HYPERLINK("https://www.kleinanzeigen.de/s-anzeige/duotone-evo-kite-2024-neu-kitesurfen/2730311074-230-9492", "Link")</f>
        <v/>
      </c>
      <c r="H1533" s="6">
        <f>HYPERLINK("C:\Projects\Kleinanzeigen-Scraper\offer_images\2730311074", "Link")</f>
        <v/>
      </c>
      <c r="I1533" t="inlineStr">
        <is>
          <t>No user name</t>
        </is>
      </c>
      <c r="J1533" s="6">
        <f>HYPERLINK("https://www.kleinanzeigen.deNo user link", "Link")</f>
        <v/>
      </c>
      <c r="K1533" s="7" t="n">
        <v>45549.57800925926</v>
      </c>
      <c r="L1533" s="3" t="inlineStr">
        <is>
          <t>362.41</t>
        </is>
      </c>
      <c r="M1533" t="inlineStr">
        <is>
          <t>Köln</t>
        </is>
      </c>
    </row>
    <row r="1534">
      <c r="A1534" t="inlineStr">
        <is>
          <t>Fanatic SUP-Pumpe</t>
        </is>
      </c>
      <c r="B1534" s="4" t="n">
        <v>10</v>
      </c>
      <c r="C1534" t="inlineStr"/>
      <c r="D1534" t="inlineStr">
        <is>
          <t>85411 Bayern - Hohenkammer</t>
        </is>
      </c>
      <c r="E1534" s="5" t="n">
        <v>45539</v>
      </c>
      <c r="F1534" t="inlineStr">
        <is>
          <t>Sold</t>
        </is>
      </c>
      <c r="G1534" s="6">
        <f>HYPERLINK("https://www.kleinanzeigen.de/s-anzeige/fanatic-sup-pumpe/2854485112-230-5844", "Link")</f>
        <v/>
      </c>
      <c r="H1534" s="6">
        <f>HYPERLINK("C:\Projects\Kleinanzeigen-Scraper\offer_images\2854485112", "Link")</f>
        <v/>
      </c>
      <c r="I1534" t="inlineStr">
        <is>
          <t>Diana Juratha</t>
        </is>
      </c>
      <c r="J1534" s="6">
        <f>HYPERLINK("https://www.kleinanzeigen.de/s-bestandsliste.html?userId=66032439", "Link")</f>
        <v/>
      </c>
      <c r="K1534" s="7" t="n">
        <v>45549.57800925926</v>
      </c>
      <c r="L1534" s="3" t="inlineStr">
        <is>
          <t>32.21</t>
        </is>
      </c>
      <c r="M1534" t="inlineStr">
        <is>
          <t>München</t>
        </is>
      </c>
    </row>
    <row r="1535">
      <c r="A1535" t="inlineStr">
        <is>
          <t>Verstellbare Staffelei von Goya</t>
        </is>
      </c>
      <c r="B1535" s="4" t="n">
        <v>22</v>
      </c>
      <c r="C1535" t="inlineStr"/>
      <c r="D1535" t="inlineStr">
        <is>
          <t>21481 Herzogtum Lauenburg - Schnakenbek</t>
        </is>
      </c>
      <c r="E1535" s="5" t="n">
        <v>45490</v>
      </c>
      <c r="F1535" t="inlineStr"/>
      <c r="G1535" s="6">
        <f>HYPERLINK("https://www.kleinanzeigen.de/s-anzeige/verstellbare-staffelei-von-goya/2814546639-282-605", "Link")</f>
        <v/>
      </c>
      <c r="H1535" s="6">
        <f>HYPERLINK("C:\Projects\Kleinanzeigen-Scraper\offer_images\2814546639", "Link")</f>
        <v/>
      </c>
      <c r="I1535" t="inlineStr">
        <is>
          <t>A. Ball</t>
        </is>
      </c>
      <c r="J1535" s="6">
        <f>HYPERLINK("https://www.kleinanzeigen.de/s-bestandsliste.html?userId=70658536", "Link")</f>
        <v/>
      </c>
      <c r="K1535" s="7" t="n">
        <v>45549.57798611111</v>
      </c>
      <c r="L1535" s="3" t="inlineStr">
        <is>
          <t>364.99</t>
        </is>
      </c>
      <c r="M1535" t="inlineStr">
        <is>
          <t>Köln</t>
        </is>
      </c>
    </row>
    <row r="1536">
      <c r="A1536" t="inlineStr">
        <is>
          <t>North Orbit 2024 10qm Kite</t>
        </is>
      </c>
      <c r="B1536" s="4" t="n">
        <v>950</v>
      </c>
      <c r="C1536" t="inlineStr">
        <is>
          <t>VB</t>
        </is>
      </c>
      <c r="D1536" t="inlineStr">
        <is>
          <t>21029 Hamburg - Bergedorf</t>
        </is>
      </c>
      <c r="E1536" s="5" t="n">
        <v>45546</v>
      </c>
      <c r="F1536" t="inlineStr">
        <is>
          <t>Sold</t>
        </is>
      </c>
      <c r="G1536" s="6">
        <f>HYPERLINK("https://www.kleinanzeigen.de/s-anzeige/north-orbit-2024-10qm-kite/2860022889-230-9519", "Link")</f>
        <v/>
      </c>
      <c r="H1536" s="6">
        <f>HYPERLINK("C:\Projects\Kleinanzeigen-Scraper\offer_images\2860022889", "Link")</f>
        <v/>
      </c>
      <c r="I1536" t="inlineStr">
        <is>
          <t>Finn</t>
        </is>
      </c>
      <c r="J1536" s="6">
        <f>HYPERLINK("https://www.kleinanzeigen.de/s-bestandsliste.html?userId=51219119", "Link")</f>
        <v/>
      </c>
      <c r="K1536" s="7" t="n">
        <v>45549.57798611111</v>
      </c>
      <c r="L1536" s="3" t="inlineStr">
        <is>
          <t>360.67</t>
        </is>
      </c>
      <c r="M1536" t="inlineStr">
        <is>
          <t>Köln</t>
        </is>
      </c>
    </row>
    <row r="1537">
      <c r="A1537" t="inlineStr">
        <is>
          <t>Neilpryde Wassersport Helm / Wind , Kitesurfen , Wakeboard</t>
        </is>
      </c>
      <c r="B1537" s="4" t="n">
        <v>35</v>
      </c>
      <c r="C1537" t="inlineStr">
        <is>
          <t>VB</t>
        </is>
      </c>
      <c r="D1537" t="inlineStr">
        <is>
          <t>45768 Nordrhein-Westfalen - Marl</t>
        </is>
      </c>
      <c r="E1537" s="5" t="n">
        <v>45548</v>
      </c>
      <c r="F1537" t="inlineStr">
        <is>
          <t>Sold</t>
        </is>
      </c>
      <c r="G1537" s="6">
        <f>HYPERLINK("https://www.kleinanzeigen.de/s-anzeige/neilpryde-wassersport-helm-wind-kitesurfen-wakeboard/2861709157-230-1774", "Link")</f>
        <v/>
      </c>
      <c r="H1537" s="6">
        <f>HYPERLINK("C:\Projects\Kleinanzeigen-Scraper\offer_images\2861709157", "Link")</f>
        <v/>
      </c>
      <c r="I1537" t="inlineStr">
        <is>
          <t>Privat</t>
        </is>
      </c>
      <c r="J1537" s="6">
        <f>HYPERLINK("https://www.kleinanzeigen.de/s-bestandsliste.html?userId=9608519", "Link")</f>
        <v/>
      </c>
      <c r="K1537" s="7" t="n">
        <v>45549.57798611111</v>
      </c>
      <c r="L1537" s="3" t="inlineStr">
        <is>
          <t>80.12</t>
        </is>
      </c>
      <c r="M1537" t="inlineStr">
        <is>
          <t>Köln</t>
        </is>
      </c>
    </row>
    <row r="1538">
      <c r="A1538" t="inlineStr">
        <is>
          <t>Duotone Neo 11m SLS 2021 - Freeride Wave Kite (anfängertauglich)</t>
        </is>
      </c>
      <c r="B1538" s="4" t="n">
        <v>639</v>
      </c>
      <c r="C1538" t="inlineStr"/>
      <c r="D1538" t="inlineStr">
        <is>
          <t>18059 Rostock - Südstadt</t>
        </is>
      </c>
      <c r="E1538" s="5" t="n">
        <v>45544</v>
      </c>
      <c r="F1538" t="inlineStr">
        <is>
          <t>Sold</t>
        </is>
      </c>
      <c r="G1538" s="6">
        <f>HYPERLINK("https://www.kleinanzeigen.de/s-anzeige/duotone-neo-11m-sls-2021-freeride-wave-kite-anfaengertauglich-/2858269806-230-13049", "Link")</f>
        <v/>
      </c>
      <c r="H1538" s="6">
        <f>HYPERLINK("C:\Projects\Kleinanzeigen-Scraper\offer_images\2858269806", "Link")</f>
        <v/>
      </c>
      <c r="I1538" t="inlineStr">
        <is>
          <t>Stefan Laabs</t>
        </is>
      </c>
      <c r="J1538" s="6">
        <f>HYPERLINK("https://www.kleinanzeigen.de/s-bestandsliste.html?userId=2221381", "Link")</f>
        <v/>
      </c>
      <c r="K1538" s="7" t="n">
        <v>45549.57798611111</v>
      </c>
      <c r="L1538" s="3" t="inlineStr">
        <is>
          <t>489.44</t>
        </is>
      </c>
      <c r="M1538" t="inlineStr">
        <is>
          <t>Köln</t>
        </is>
      </c>
    </row>
    <row r="1539">
      <c r="A1539" t="inlineStr">
        <is>
          <t>Duotone clickbar 2024 in der Größe M 22-24m</t>
        </is>
      </c>
      <c r="B1539" s="4" t="n">
        <v>450</v>
      </c>
      <c r="C1539" t="inlineStr">
        <is>
          <t>VB</t>
        </is>
      </c>
      <c r="D1539" t="inlineStr">
        <is>
          <t>82438 Bayern - Eschenlohe</t>
        </is>
      </c>
      <c r="E1539" s="5" t="n">
        <v>45548</v>
      </c>
      <c r="F1539" t="inlineStr">
        <is>
          <t>Sold</t>
        </is>
      </c>
      <c r="G1539" s="6">
        <f>HYPERLINK("https://www.kleinanzeigen.de/s-anzeige/duotone-clickbar-2024-in-der-groesse-m-22-24m/2862151327-230-5608", "Link")</f>
        <v/>
      </c>
      <c r="H1539" s="6">
        <f>HYPERLINK("C:\Projects\Kleinanzeigen-Scraper\offer_images\2862151327", "Link")</f>
        <v/>
      </c>
      <c r="I1539" t="inlineStr">
        <is>
          <t>Patrik</t>
        </is>
      </c>
      <c r="J1539" s="6">
        <f>HYPERLINK("https://www.kleinanzeigen.de/s-bestandsliste.html?userId=13872384", "Link")</f>
        <v/>
      </c>
      <c r="K1539" s="7" t="n">
        <v>45549.57798611111</v>
      </c>
      <c r="L1539" s="3" t="inlineStr">
        <is>
          <t>66.48</t>
        </is>
      </c>
      <c r="M1539" t="inlineStr">
        <is>
          <t>München</t>
        </is>
      </c>
    </row>
    <row r="1540">
      <c r="A1540" t="inlineStr">
        <is>
          <t>North Face Zelt Mountain 25 für 2 Personen</t>
        </is>
      </c>
      <c r="B1540" s="4" t="n">
        <v>280</v>
      </c>
      <c r="C1540" t="inlineStr"/>
      <c r="D1540" t="inlineStr">
        <is>
          <t>12157 Berlin - Steglitz</t>
        </is>
      </c>
      <c r="E1540" s="5" t="n">
        <v>45548</v>
      </c>
      <c r="F1540" t="inlineStr">
        <is>
          <t>Sold</t>
        </is>
      </c>
      <c r="G1540" s="6">
        <f>HYPERLINK("https://www.kleinanzeigen.de/s-anzeige/north-face-zelt-mountain-25-fuer-2-personen/2861915235-230-3422", "Link")</f>
        <v/>
      </c>
      <c r="H1540" s="6">
        <f>HYPERLINK("C:\Projects\Kleinanzeigen-Scraper\offer_images\2861915235", "Link")</f>
        <v/>
      </c>
      <c r="I1540" t="inlineStr">
        <is>
          <t>Helmut Sch.</t>
        </is>
      </c>
      <c r="J1540" s="6">
        <f>HYPERLINK("https://www.kleinanzeigen.de/s-bestandsliste.html?userId=56479075", "Link")</f>
        <v/>
      </c>
      <c r="K1540" s="7" t="n">
        <v>45549.57798611111</v>
      </c>
      <c r="L1540" s="3" t="inlineStr">
        <is>
          <t>471.82</t>
        </is>
      </c>
      <c r="M1540" t="inlineStr">
        <is>
          <t>Köln</t>
        </is>
      </c>
    </row>
    <row r="1541">
      <c r="A1541" t="inlineStr">
        <is>
          <t>Duotone Click bar M</t>
        </is>
      </c>
      <c r="B1541" s="4" t="n">
        <v>500</v>
      </c>
      <c r="C1541" t="inlineStr">
        <is>
          <t>VB</t>
        </is>
      </c>
      <c r="D1541" t="inlineStr">
        <is>
          <t>82234 Bayern - Weßling</t>
        </is>
      </c>
      <c r="E1541" s="5" t="n">
        <v>45546</v>
      </c>
      <c r="F1541" t="inlineStr">
        <is>
          <t>Sold</t>
        </is>
      </c>
      <c r="G1541" s="6">
        <f>HYPERLINK("https://www.kleinanzeigen.de/s-anzeige/duotone-click-bar-m/2860091842-230-6356", "Link")</f>
        <v/>
      </c>
      <c r="H1541" s="6">
        <f>HYPERLINK("C:\Projects\Kleinanzeigen-Scraper\offer_images\2860091842", "Link")</f>
        <v/>
      </c>
      <c r="I1541" t="inlineStr">
        <is>
          <t>Cornelius vetter</t>
        </is>
      </c>
      <c r="J1541" s="6">
        <f>HYPERLINK("https://www.kleinanzeigen.de/s-bestandsliste.html?userId=51337426", "Link")</f>
        <v/>
      </c>
      <c r="K1541" s="7" t="n">
        <v>45549.57797453704</v>
      </c>
      <c r="L1541" s="3" t="inlineStr">
        <is>
          <t>23.25</t>
        </is>
      </c>
      <c r="M1541" t="inlineStr">
        <is>
          <t>München</t>
        </is>
      </c>
    </row>
    <row r="1542">
      <c r="A1542" t="inlineStr">
        <is>
          <t>Gemälde Dogs on a Leash Goya</t>
        </is>
      </c>
      <c r="B1542" s="4" t="n">
        <v>250</v>
      </c>
      <c r="C1542" t="inlineStr">
        <is>
          <t>VB</t>
        </is>
      </c>
      <c r="D1542" t="inlineStr">
        <is>
          <t>87719 Bayern - Mindelheim</t>
        </is>
      </c>
      <c r="E1542" s="5" t="n">
        <v>45382</v>
      </c>
      <c r="F1542" t="inlineStr">
        <is>
          <t>Sold</t>
        </is>
      </c>
      <c r="G1542" s="6">
        <f>HYPERLINK("https://www.kleinanzeigen.de/s-anzeige/gemaelde-dogs-on-a-leash-goya/2722109288-240-7260", "Link")</f>
        <v/>
      </c>
      <c r="H1542" s="6">
        <f>HYPERLINK("C:\Projects\Kleinanzeigen-Scraper\offer_images\2722109288", "Link")</f>
        <v/>
      </c>
      <c r="I1542" t="inlineStr">
        <is>
          <t>N.E.</t>
        </is>
      </c>
      <c r="J1542" s="6">
        <f>HYPERLINK("https://www.kleinanzeigen.de/s-bestandsliste.html?userId=32982091", "Link")</f>
        <v/>
      </c>
      <c r="K1542" s="7" t="n">
        <v>45549.57797453704</v>
      </c>
      <c r="L1542" s="3" t="inlineStr">
        <is>
          <t>81.36</t>
        </is>
      </c>
      <c r="M1542" t="inlineStr">
        <is>
          <t>München</t>
        </is>
      </c>
    </row>
    <row r="1543">
      <c r="A1543" t="inlineStr">
        <is>
          <t>Kidrobot Bent World Vandals 2007 by MAD - Fatcap Graffiti etc.</t>
        </is>
      </c>
      <c r="B1543" s="4" t="n">
        <v>50</v>
      </c>
      <c r="C1543" t="inlineStr"/>
      <c r="D1543" t="inlineStr">
        <is>
          <t>48565 Nordrhein-Westfalen - Steinfurt</t>
        </is>
      </c>
      <c r="E1543" s="5" t="n">
        <v>45520</v>
      </c>
      <c r="F1543" t="inlineStr"/>
      <c r="G1543" s="6">
        <f>HYPERLINK("https://www.kleinanzeigen.de/s-anzeige/kidrobot-bent-world-vandals-2007-by-mad-fatcap-graffiti-etc-/2838167006-234-1294", "Link")</f>
        <v/>
      </c>
      <c r="H1543" s="6">
        <f>HYPERLINK("C:\Projects\Kleinanzeigen-Scraper\offer_images\2838167006", "Link")</f>
        <v/>
      </c>
      <c r="I1543" t="inlineStr">
        <is>
          <t>eo</t>
        </is>
      </c>
      <c r="J1543" s="6">
        <f>HYPERLINK("https://www.kleinanzeigen.de/s-bestandsliste.html?userId=13954021", "Link")</f>
        <v/>
      </c>
      <c r="K1543" s="7" t="n">
        <v>45549.57795138889</v>
      </c>
      <c r="L1543" s="3" t="inlineStr">
        <is>
          <t>138.19</t>
        </is>
      </c>
      <c r="M1543" t="inlineStr">
        <is>
          <t>Köln</t>
        </is>
      </c>
    </row>
    <row r="1544">
      <c r="A1544" t="inlineStr">
        <is>
          <t>Kinder Snowboardboots K2 Vandal Boa Gr. 38 MP 24</t>
        </is>
      </c>
      <c r="B1544" s="4" t="n">
        <v>22</v>
      </c>
      <c r="C1544" t="inlineStr">
        <is>
          <t>VB</t>
        </is>
      </c>
      <c r="D1544" t="inlineStr">
        <is>
          <t>72669 Baden-Württemberg - Unterensingen</t>
        </is>
      </c>
      <c r="E1544" s="5" t="n">
        <v>45405</v>
      </c>
      <c r="F1544" t="inlineStr">
        <is>
          <t>Sold</t>
        </is>
      </c>
      <c r="G1544" s="6">
        <f>HYPERLINK("https://www.kleinanzeigen.de/s-anzeige/kinder-snowboardboots-k2-vandal-boa-gr-38-mp-24/2743734811-230-8215", "Link")</f>
        <v/>
      </c>
      <c r="H1544" s="6">
        <f>HYPERLINK("C:\Projects\Kleinanzeigen-Scraper\offer_images\2743734811", "Link")</f>
        <v/>
      </c>
      <c r="I1544" t="inlineStr">
        <is>
          <t>Kolibri</t>
        </is>
      </c>
      <c r="J1544" s="6">
        <f>HYPERLINK("https://www.kleinanzeigen.de/s-bestandsliste.html?userId=16551791", "Link")</f>
        <v/>
      </c>
      <c r="K1544" s="7" t="n">
        <v>45549.57795138889</v>
      </c>
      <c r="L1544" s="3" t="inlineStr">
        <is>
          <t>27.89</t>
        </is>
      </c>
      <c r="M1544" t="inlineStr">
        <is>
          <t>Böblingen</t>
        </is>
      </c>
    </row>
    <row r="1545">
      <c r="A1545" t="inlineStr">
        <is>
          <t>1989 Coca Cola Basketball North Carolina , 35 Cards, sehr selten</t>
        </is>
      </c>
      <c r="B1545" s="4" t="n">
        <v>25</v>
      </c>
      <c r="C1545" t="inlineStr">
        <is>
          <t>VB</t>
        </is>
      </c>
      <c r="D1545" t="inlineStr">
        <is>
          <t>42549 Nordrhein-Westfalen - Velbert</t>
        </is>
      </c>
      <c r="E1545" s="5" t="n">
        <v>45543</v>
      </c>
      <c r="F1545" t="inlineStr">
        <is>
          <t>Sold</t>
        </is>
      </c>
      <c r="G1545" s="6">
        <f>HYPERLINK("https://www.kleinanzeigen.de/s-anzeige/1989-coca-cola-basketball-north-carolina-35-cards-sehr-selten/2856984906-234-1750", "Link")</f>
        <v/>
      </c>
      <c r="H1545" s="6">
        <f>HYPERLINK("C:\Projects\Kleinanzeigen-Scraper\offer_images\2856984906", "Link")</f>
        <v/>
      </c>
      <c r="I1545" t="inlineStr">
        <is>
          <t>Wolf</t>
        </is>
      </c>
      <c r="J1545" s="6">
        <f>HYPERLINK("https://www.kleinanzeigen.de/s-bestandsliste.html?userId=126031990", "Link")</f>
        <v/>
      </c>
      <c r="K1545" s="7" t="n">
        <v>45549.57795138889</v>
      </c>
      <c r="L1545" s="3" t="inlineStr">
        <is>
          <t>43.89</t>
        </is>
      </c>
      <c r="M1545" t="inlineStr">
        <is>
          <t>Köln</t>
        </is>
      </c>
    </row>
    <row r="1546">
      <c r="A1546" t="inlineStr">
        <is>
          <t>The North Face Damen Wanderbluse, Gr. XS *wie neu*</t>
        </is>
      </c>
      <c r="B1546" s="4" t="n">
        <v>10</v>
      </c>
      <c r="C1546" t="inlineStr"/>
      <c r="D1546" t="inlineStr">
        <is>
          <t>93055 Bayern - Regensburg</t>
        </is>
      </c>
      <c r="E1546" s="5" t="n">
        <v>45540</v>
      </c>
      <c r="F1546" t="inlineStr">
        <is>
          <t>Sold</t>
        </is>
      </c>
      <c r="G1546" s="6">
        <f>HYPERLINK("https://www.kleinanzeigen.de/s-anzeige/the-north-face-damen-wanderbluse-gr-xs-wie-neu-/2854996515-230-7655", "Link")</f>
        <v/>
      </c>
      <c r="H1546" s="6">
        <f>HYPERLINK("C:\Projects\Kleinanzeigen-Scraper\offer_images\2854996515", "Link")</f>
        <v/>
      </c>
      <c r="I1546" t="inlineStr">
        <is>
          <t>Heike &amp; Marcus</t>
        </is>
      </c>
      <c r="J1546" s="6">
        <f>HYPERLINK("https://www.kleinanzeigen.de/s-bestandsliste.html?userId=1585875", "Link")</f>
        <v/>
      </c>
      <c r="K1546" s="7" t="n">
        <v>45549.57793981482</v>
      </c>
      <c r="L1546" s="3" t="inlineStr">
        <is>
          <t>105.19</t>
        </is>
      </c>
      <c r="M1546" t="inlineStr">
        <is>
          <t>München</t>
        </is>
      </c>
    </row>
    <row r="1547">
      <c r="A1547" t="inlineStr">
        <is>
          <t>Duotone 2024 Neo SLS 10.0 qm</t>
        </is>
      </c>
      <c r="B1547" s="4" t="n">
        <v>1.48</v>
      </c>
      <c r="C1547" t="inlineStr"/>
      <c r="D1547" t="inlineStr">
        <is>
          <t>90451 Nürnberg (Mittelfr) - Aussenstadt-Sued</t>
        </is>
      </c>
      <c r="E1547" s="5" t="n">
        <v>45540</v>
      </c>
      <c r="F1547" t="inlineStr">
        <is>
          <t>Sold</t>
        </is>
      </c>
      <c r="G1547" s="6">
        <f>HYPERLINK("https://www.kleinanzeigen.de/s-anzeige/duotone-2024-neo-sls-10-0-qm/2854791794-230-6836", "Link")</f>
        <v/>
      </c>
      <c r="H1547" s="6">
        <f>HYPERLINK("C:\Projects\Kleinanzeigen-Scraper\offer_images\2854791794", "Link")</f>
        <v/>
      </c>
      <c r="I1547" t="inlineStr">
        <is>
          <t>No user name</t>
        </is>
      </c>
      <c r="J1547" s="6">
        <f>HYPERLINK("https://www.kleinanzeigen.deNo user link", "Link")</f>
        <v/>
      </c>
      <c r="K1547" s="7" t="n">
        <v>45549.57792824074</v>
      </c>
      <c r="L1547" s="3" t="inlineStr">
        <is>
          <t>145.92</t>
        </is>
      </c>
      <c r="M1547" t="inlineStr">
        <is>
          <t>München</t>
        </is>
      </c>
    </row>
    <row r="1548">
      <c r="A1548" t="inlineStr">
        <is>
          <t>Fanatic SUP Paddel Wettkampf Competition Voll Carbon  200cm</t>
        </is>
      </c>
      <c r="B1548" s="4" t="n">
        <v>150</v>
      </c>
      <c r="C1548" t="inlineStr">
        <is>
          <t>VB</t>
        </is>
      </c>
      <c r="D1548" t="inlineStr">
        <is>
          <t>94032 Kr. Passau - Passau</t>
        </is>
      </c>
      <c r="E1548" s="5" t="n">
        <v>45519</v>
      </c>
      <c r="F1548" t="inlineStr">
        <is>
          <t>Sold</t>
        </is>
      </c>
      <c r="G1548" s="6">
        <f>HYPERLINK("https://www.kleinanzeigen.de/s-anzeige/fanatic-sup-paddel-wettkampf-competition-voll-carbon-200cm/2837576153-230-7482", "Link")</f>
        <v/>
      </c>
      <c r="H1548" s="6">
        <f>HYPERLINK("C:\Projects\Kleinanzeigen-Scraper\offer_images\2837576153", "Link")</f>
        <v/>
      </c>
      <c r="I1548" t="inlineStr">
        <is>
          <t>Martina</t>
        </is>
      </c>
      <c r="J1548" s="6">
        <f>HYPERLINK("https://www.kleinanzeigen.de/s-bestandsliste.html?userId=34799798", "Link")</f>
        <v/>
      </c>
      <c r="K1548" s="7" t="n">
        <v>45549.57792824074</v>
      </c>
      <c r="L1548" s="3" t="inlineStr">
        <is>
          <t>147.66</t>
        </is>
      </c>
      <c r="M1548" t="inlineStr">
        <is>
          <t>München</t>
        </is>
      </c>
    </row>
    <row r="1549">
      <c r="A1549" t="inlineStr">
        <is>
          <t>Neoprenanzug von Neilpryde / MISSION BZ/4.3</t>
        </is>
      </c>
      <c r="B1549" s="4" t="n">
        <v>19</v>
      </c>
      <c r="C1549" t="inlineStr"/>
      <c r="D1549" t="inlineStr">
        <is>
          <t>65203 Wiesbaden - Biebrich</t>
        </is>
      </c>
      <c r="E1549" s="5" t="n">
        <v>45542</v>
      </c>
      <c r="F1549" t="inlineStr">
        <is>
          <t>Sold</t>
        </is>
      </c>
      <c r="G1549" s="6">
        <f>HYPERLINK("https://www.kleinanzeigen.de/s-anzeige/neoprenanzug-von-neilpryde-mission-bz-4-3/2856519978-230-26292", "Link")</f>
        <v/>
      </c>
      <c r="H1549" s="6">
        <f>HYPERLINK("C:\Projects\Kleinanzeigen-Scraper\offer_images\2856519978", "Link")</f>
        <v/>
      </c>
      <c r="I1549" t="inlineStr">
        <is>
          <t>Köhler</t>
        </is>
      </c>
      <c r="J1549" s="6">
        <f>HYPERLINK("https://www.kleinanzeigen.de/s-bestandsliste.html?userId=17344906", "Link")</f>
        <v/>
      </c>
      <c r="K1549" s="7" t="n">
        <v>45549.57791666667</v>
      </c>
      <c r="L1549" s="3" t="inlineStr">
        <is>
          <t>115.59</t>
        </is>
      </c>
      <c r="M1549" t="inlineStr">
        <is>
          <t>Karlsruhe</t>
        </is>
      </c>
    </row>
    <row r="1550">
      <c r="A1550" t="inlineStr">
        <is>
          <t>US Feuerwehrhelm North Highlands</t>
        </is>
      </c>
      <c r="B1550" s="4" t="n">
        <v>121</v>
      </c>
      <c r="C1550" t="inlineStr">
        <is>
          <t>VB</t>
        </is>
      </c>
      <c r="D1550" t="inlineStr">
        <is>
          <t>66583 Saarland - Spiesen-Elversberg</t>
        </is>
      </c>
      <c r="E1550" s="5" t="n">
        <v>45540</v>
      </c>
      <c r="F1550" t="inlineStr">
        <is>
          <t>Sold</t>
        </is>
      </c>
      <c r="G1550" s="6">
        <f>HYPERLINK("https://www.kleinanzeigen.de/s-anzeige/us-feuerwehrhelm-north-highlands/2854867168-234-403", "Link")</f>
        <v/>
      </c>
      <c r="H1550" s="6">
        <f>HYPERLINK("C:\Projects\Kleinanzeigen-Scraper\offer_images\2854867168", "Link")</f>
        <v/>
      </c>
      <c r="I1550" t="inlineStr">
        <is>
          <t>Hoffmann</t>
        </is>
      </c>
      <c r="J1550" s="6">
        <f>HYPERLINK("https://www.kleinanzeigen.de/s-bestandsliste.html?userId=46158358", "Link")</f>
        <v/>
      </c>
      <c r="K1550" s="7" t="n">
        <v>45549.57791666667</v>
      </c>
      <c r="L1550" s="3" t="inlineStr">
        <is>
          <t>96.87</t>
        </is>
      </c>
      <c r="M1550" t="inlineStr">
        <is>
          <t>Karlsruhe</t>
        </is>
      </c>
    </row>
    <row r="1551">
      <c r="A1551" t="inlineStr">
        <is>
          <t>Schwimmweste Neilpryde Kids</t>
        </is>
      </c>
      <c r="B1551" s="4" t="n">
        <v>34</v>
      </c>
      <c r="C1551" t="inlineStr"/>
      <c r="D1551" t="inlineStr">
        <is>
          <t>81243 München - Pasing-Obermenzing</t>
        </is>
      </c>
      <c r="E1551" s="5" t="n">
        <v>45512</v>
      </c>
      <c r="F1551" t="inlineStr"/>
      <c r="G1551" s="6">
        <f>HYPERLINK("https://www.kleinanzeigen.de/s-anzeige/schwimmweste-neilpryde-kids/2832224974-230-6476", "Link")</f>
        <v/>
      </c>
      <c r="H1551" s="6">
        <f>HYPERLINK("C:\Projects\Kleinanzeigen-Scraper\offer_images\2832224974", "Link")</f>
        <v/>
      </c>
      <c r="I1551" t="inlineStr">
        <is>
          <t>Ferruccio  Labita</t>
        </is>
      </c>
      <c r="J1551" s="6">
        <f>HYPERLINK("https://www.kleinanzeigen.de/s-bestandsliste.html?userId=38031195", "Link")</f>
        <v/>
      </c>
      <c r="K1551" s="7" t="n">
        <v>45549.57790509259</v>
      </c>
      <c r="L1551" s="3" t="inlineStr">
        <is>
          <t>10.14</t>
        </is>
      </c>
      <c r="M1551" t="inlineStr">
        <is>
          <t>München</t>
        </is>
      </c>
    </row>
    <row r="1552">
      <c r="A1552" t="inlineStr">
        <is>
          <t>Fanatic Diamond Air Touring 11‘6 I SUP neu Standup Paddeling</t>
        </is>
      </c>
      <c r="B1552" s="4" t="n">
        <v>532</v>
      </c>
      <c r="C1552" t="inlineStr"/>
      <c r="D1552" t="inlineStr">
        <is>
          <t>22457 Eimsbüttel - Hamburg Schnelsen</t>
        </is>
      </c>
      <c r="E1552" s="5" t="n">
        <v>45566</v>
      </c>
      <c r="F1552" t="inlineStr"/>
      <c r="G1552" s="6">
        <f>HYPERLINK("https://www.kleinanzeigen.de/s-anzeige/fanatic-diamond-air-touring-11-6-i-sup-neu-standup-paddeling/2515350761-230-9492", "Link")</f>
        <v/>
      </c>
      <c r="H1552" s="6">
        <f>HYPERLINK("C:\Projects\Kleinanzeigen-Scraper\offer_images\2515350761", "Link")</f>
        <v/>
      </c>
      <c r="I1552" t="inlineStr">
        <is>
          <t>No user name</t>
        </is>
      </c>
      <c r="J1552" s="6">
        <f>HYPERLINK("https://www.kleinanzeigen.deNo user link", "Link")</f>
        <v/>
      </c>
      <c r="K1552" s="7" t="n">
        <v>45549.57790509259</v>
      </c>
      <c r="L1552" s="3" t="inlineStr">
        <is>
          <t>362.41</t>
        </is>
      </c>
      <c r="M1552" t="inlineStr">
        <is>
          <t>Köln</t>
        </is>
      </c>
    </row>
    <row r="1553">
      <c r="A1553" t="inlineStr">
        <is>
          <t>Kitesurf Allround Freeride Wave Kite Naish Triad 11qm</t>
        </is>
      </c>
      <c r="B1553" s="4" t="n">
        <v>575</v>
      </c>
      <c r="C1553" t="inlineStr">
        <is>
          <t>VB</t>
        </is>
      </c>
      <c r="D1553" t="inlineStr">
        <is>
          <t>22399 Wandsbek - Hamburg Poppenbüttel</t>
        </is>
      </c>
      <c r="E1553" s="5" t="n">
        <v>45466</v>
      </c>
      <c r="F1553" t="inlineStr">
        <is>
          <t>Sold</t>
        </is>
      </c>
      <c r="G1553" s="6">
        <f>HYPERLINK("https://www.kleinanzeigen.de/s-anzeige/kitesurf-allround-freeride-wave-kite-naish-triad-11qm/2795298806-230-18568", "Link")</f>
        <v/>
      </c>
      <c r="H1553" s="6">
        <f>HYPERLINK("C:\Projects\Kleinanzeigen-Scraper\offer_images\2795298806", "Link")</f>
        <v/>
      </c>
      <c r="I1553" t="inlineStr">
        <is>
          <t>Raymond</t>
        </is>
      </c>
      <c r="J1553" s="6">
        <f>HYPERLINK("https://www.kleinanzeigen.de/s-bestandsliste.html?userId=13021969", "Link")</f>
        <v/>
      </c>
      <c r="K1553" s="7" t="n">
        <v>45549.57790509259</v>
      </c>
      <c r="L1553" s="3" t="inlineStr">
        <is>
          <t>369.80</t>
        </is>
      </c>
      <c r="M1553" t="inlineStr">
        <is>
          <t>Köln</t>
        </is>
      </c>
    </row>
    <row r="1554">
      <c r="A1554" t="inlineStr">
        <is>
          <t>Naish Torch 2018 9m/12m inkl. Bar. Nahezu unbenutzt.</t>
        </is>
      </c>
      <c r="B1554" s="4" t="n">
        <v>750</v>
      </c>
      <c r="C1554" t="inlineStr">
        <is>
          <t>VB</t>
        </is>
      </c>
      <c r="D1554" t="inlineStr">
        <is>
          <t>64283 Hessen - Darmstadt</t>
        </is>
      </c>
      <c r="E1554" s="5" t="n">
        <v>45528</v>
      </c>
      <c r="F1554" t="inlineStr"/>
      <c r="G1554" s="6">
        <f>HYPERLINK("https://www.kleinanzeigen.de/s-anzeige/naish-torch-2018-9m-12m-inkl-bar-nahezu-unbenutzt-/2844967191-230-4896", "Link")</f>
        <v/>
      </c>
      <c r="H1554" s="6">
        <f>HYPERLINK("C:\Projects\Kleinanzeigen-Scraper\offer_images\2844967191", "Link")</f>
        <v/>
      </c>
      <c r="I1554" t="inlineStr">
        <is>
          <t>KevinM</t>
        </is>
      </c>
      <c r="J1554" s="6">
        <f>HYPERLINK("https://www.kleinanzeigen.de/s-bestandsliste.html?userId=131025116", "Link")</f>
        <v/>
      </c>
      <c r="K1554" s="7" t="n">
        <v>45549.57790509259</v>
      </c>
      <c r="L1554" s="3" t="inlineStr">
        <is>
          <t>97.72</t>
        </is>
      </c>
      <c r="M1554" t="inlineStr">
        <is>
          <t>Karlsruhe</t>
        </is>
      </c>
    </row>
    <row r="1555">
      <c r="A1555" t="inlineStr">
        <is>
          <t>Simms G4 Pro Jacket GORE-TEX Watjacke, grau XXL</t>
        </is>
      </c>
      <c r="B1555" s="4" t="n">
        <v>600</v>
      </c>
      <c r="C1555" t="inlineStr"/>
      <c r="D1555" t="inlineStr">
        <is>
          <t>45892 Nordrhein-Westfalen - Gelsenkirchen</t>
        </is>
      </c>
      <c r="E1555" s="5" t="n">
        <v>45475</v>
      </c>
      <c r="F1555" t="inlineStr"/>
      <c r="G1555" s="6">
        <f>HYPERLINK("https://www.kleinanzeigen.de/s-anzeige/simms-g4-pro-jacket-gore-tex-watjacke-grau-xxl/2802446240-230-1011", "Link")</f>
        <v/>
      </c>
      <c r="H1555" s="6">
        <f>HYPERLINK("C:\Projects\Kleinanzeigen-Scraper\offer_images\2802446240", "Link")</f>
        <v/>
      </c>
      <c r="I1555" t="inlineStr">
        <is>
          <t>M.N.</t>
        </is>
      </c>
      <c r="J1555" s="6">
        <f>HYPERLINK("https://www.kleinanzeigen.de/s-bestandsliste.html?userId=40899356", "Link")</f>
        <v/>
      </c>
      <c r="K1555" s="7" t="n">
        <v>45549.57788194445</v>
      </c>
      <c r="L1555" s="3" t="inlineStr">
        <is>
          <t>70.87</t>
        </is>
      </c>
      <c r="M1555" t="inlineStr">
        <is>
          <t>Köln</t>
        </is>
      </c>
    </row>
    <row r="1556">
      <c r="A1556" t="inlineStr">
        <is>
          <t>Kite Ausrüstung Set 7/9/12 RRD</t>
        </is>
      </c>
      <c r="B1556" s="4" t="n">
        <v>630</v>
      </c>
      <c r="C1556" t="inlineStr">
        <is>
          <t>VB</t>
        </is>
      </c>
      <c r="D1556" t="inlineStr">
        <is>
          <t>40235 Düsseldorf - Grafenberg</t>
        </is>
      </c>
      <c r="E1556" s="5" t="n">
        <v>45378</v>
      </c>
      <c r="F1556" t="inlineStr">
        <is>
          <t>Sold</t>
        </is>
      </c>
      <c r="G1556" s="6">
        <f>HYPERLINK("https://www.kleinanzeigen.de/s-anzeige/kite-ausruestung-set-7-9-12-rrd/2718190330-230-16745", "Link")</f>
        <v/>
      </c>
      <c r="H1556" s="6">
        <f>HYPERLINK("C:\Projects\Kleinanzeigen-Scraper\offer_images\2718190330", "Link")</f>
        <v/>
      </c>
      <c r="I1556" t="inlineStr">
        <is>
          <t>Moritz Wolf</t>
        </is>
      </c>
      <c r="J1556" s="6">
        <f>HYPERLINK("https://www.kleinanzeigen.de/s-bestandsliste.html?userId=44394002", "Link")</f>
        <v/>
      </c>
      <c r="K1556" s="7" t="n">
        <v>45549.57788194445</v>
      </c>
      <c r="L1556" s="3" t="inlineStr">
        <is>
          <t>33.51</t>
        </is>
      </c>
      <c r="M1556" t="inlineStr">
        <is>
          <t>Köln</t>
        </is>
      </c>
    </row>
    <row r="1557">
      <c r="A1557" t="inlineStr">
        <is>
          <t>Kinder SUP Starboard Astro Junior 10,6 x 25 x4 inflatable</t>
        </is>
      </c>
      <c r="B1557" s="4" t="n">
        <v>170</v>
      </c>
      <c r="C1557" t="inlineStr"/>
      <c r="D1557" t="inlineStr">
        <is>
          <t>55268 Rheinland-Pfalz - Nieder-Olm</t>
        </is>
      </c>
      <c r="E1557" s="5" t="n">
        <v>45519</v>
      </c>
      <c r="F1557" t="inlineStr">
        <is>
          <t>Sold</t>
        </is>
      </c>
      <c r="G1557" s="6">
        <f>HYPERLINK("https://www.kleinanzeigen.de/s-anzeige/kinder-sup-starboard-astro-junior-10-6-x-25-x4-inflatable/2837815319-230-5333", "Link")</f>
        <v/>
      </c>
      <c r="H1557" s="6">
        <f>HYPERLINK("C:\Projects\Kleinanzeigen-Scraper\offer_images\2837815319", "Link")</f>
        <v/>
      </c>
      <c r="I1557" t="inlineStr">
        <is>
          <t>Tom</t>
        </is>
      </c>
      <c r="J1557" s="6">
        <f>HYPERLINK("https://www.kleinanzeigen.de/s-bestandsliste.html?userId=22188407", "Link")</f>
        <v/>
      </c>
      <c r="K1557" s="7" t="n">
        <v>45549.5778587963</v>
      </c>
      <c r="L1557" s="3" t="inlineStr">
        <is>
          <t>101.19</t>
        </is>
      </c>
      <c r="M1557" t="inlineStr">
        <is>
          <t>Karlsruhe</t>
        </is>
      </c>
    </row>
    <row r="1558">
      <c r="A1558" t="inlineStr">
        <is>
          <t>Wing foil Naish HA 840 aus 2024 Carbonmast</t>
        </is>
      </c>
      <c r="B1558" s="4" t="n">
        <v>1.3</v>
      </c>
      <c r="C1558" t="inlineStr"/>
      <c r="D1558" t="inlineStr">
        <is>
          <t>49492 Nordrhein-Westfalen - Westerkappeln</t>
        </is>
      </c>
      <c r="E1558" s="5" t="n">
        <v>45553</v>
      </c>
      <c r="F1558" t="inlineStr">
        <is>
          <t>Sold</t>
        </is>
      </c>
      <c r="G1558" s="6">
        <f>HYPERLINK("https://www.kleinanzeigen.de/s-anzeige/wing-foil-naish-ha-840-aus-2024-carbonmast/2853961030-230-2557", "Link")</f>
        <v/>
      </c>
      <c r="H1558" s="6">
        <f>HYPERLINK("C:\Projects\Kleinanzeigen-Scraper\offer_images\2853961030", "Link")</f>
        <v/>
      </c>
      <c r="I1558" t="inlineStr">
        <is>
          <t>Wesselmann</t>
        </is>
      </c>
      <c r="J1558" s="6">
        <f>HYPERLINK("https://www.kleinanzeigen.de/s-bestandsliste.html?userId=3271182", "Link")</f>
        <v/>
      </c>
      <c r="K1558" s="7" t="n">
        <v>45549.5778587963</v>
      </c>
      <c r="L1558" s="3" t="inlineStr">
        <is>
          <t>165.54</t>
        </is>
      </c>
      <c r="M1558" t="inlineStr">
        <is>
          <t>Köln</t>
        </is>
      </c>
    </row>
    <row r="1559">
      <c r="A1559" t="inlineStr">
        <is>
          <t>Vision kalu 7/8 fliegenfischen fliegenrolle wie guideline simms</t>
        </is>
      </c>
      <c r="B1559" s="4" t="n">
        <v>68</v>
      </c>
      <c r="C1559" t="inlineStr"/>
      <c r="D1559" t="inlineStr">
        <is>
          <t>25548 Schleswig-Holstein - Kellinghusen</t>
        </is>
      </c>
      <c r="E1559" s="5" t="n">
        <v>45458</v>
      </c>
      <c r="F1559" t="inlineStr"/>
      <c r="G1559" s="6">
        <f>HYPERLINK("https://www.kleinanzeigen.de/s-anzeige/vision-kalu-7-8-fliegenfischen-fliegenrolle-wie-guideline-simms/2788619483-230-17116", "Link")</f>
        <v/>
      </c>
      <c r="H1559" s="6">
        <f>HYPERLINK("C:\Projects\Kleinanzeigen-Scraper\offer_images\2788619483", "Link")</f>
        <v/>
      </c>
      <c r="I1559" t="inlineStr">
        <is>
          <t>Daniel Stobbe</t>
        </is>
      </c>
      <c r="J1559" s="6">
        <f>HYPERLINK("https://www.kleinanzeigen.de/s-bestandsliste.html?userId=60240015", "Link")</f>
        <v/>
      </c>
      <c r="K1559" s="7" t="n">
        <v>45549.5778587963</v>
      </c>
      <c r="L1559" s="3" t="inlineStr">
        <is>
          <t>384.86</t>
        </is>
      </c>
      <c r="M1559" t="inlineStr">
        <is>
          <t>Köln</t>
        </is>
      </c>
    </row>
    <row r="1560">
      <c r="A1560" t="inlineStr">
        <is>
          <t>Duotone Dice SLS 12qm 2023 *wie neu*</t>
        </is>
      </c>
      <c r="B1560" s="4" t="n">
        <v>930</v>
      </c>
      <c r="C1560" t="inlineStr">
        <is>
          <t>VB</t>
        </is>
      </c>
      <c r="D1560" t="inlineStr">
        <is>
          <t>24943 Schleswig-Holstein - Flensburg</t>
        </is>
      </c>
      <c r="E1560" s="5" t="n">
        <v>45547</v>
      </c>
      <c r="F1560" t="inlineStr">
        <is>
          <t>Sold</t>
        </is>
      </c>
      <c r="G1560" s="6">
        <f>HYPERLINK("https://www.kleinanzeigen.de/s-anzeige/duotone-dice-sls-12qm-2023-wie-neu-/2861622003-230-17392", "Link")</f>
        <v/>
      </c>
      <c r="H1560" s="6">
        <f>HYPERLINK("C:\Projects\Kleinanzeigen-Scraper\offer_images\2861622003", "Link")</f>
        <v/>
      </c>
      <c r="I1560" t="inlineStr">
        <is>
          <t>Jonathan Freis</t>
        </is>
      </c>
      <c r="J1560" s="6">
        <f>HYPERLINK("https://www.kleinanzeigen.de/s-bestandsliste.html?userId=132349694", "Link")</f>
        <v/>
      </c>
      <c r="K1560" s="7" t="n">
        <v>45549.57783564815</v>
      </c>
      <c r="L1560" s="3" t="inlineStr">
        <is>
          <t>459.78</t>
        </is>
      </c>
      <c r="M1560" t="inlineStr">
        <is>
          <t>Köln</t>
        </is>
      </c>
    </row>
    <row r="1561">
      <c r="A1561" t="inlineStr">
        <is>
          <t>Windsurfanzug der Firma NEILPRYDE, Größe 52/L, Stärke 4/3</t>
        </is>
      </c>
      <c r="B1561" s="4" t="n">
        <v>249</v>
      </c>
      <c r="C1561" t="inlineStr">
        <is>
          <t>VB</t>
        </is>
      </c>
      <c r="D1561" t="inlineStr">
        <is>
          <t>47918 Nordrhein-Westfalen - Tönisvorst</t>
        </is>
      </c>
      <c r="E1561" s="5" t="n">
        <v>45518</v>
      </c>
      <c r="F1561" t="inlineStr"/>
      <c r="G1561" s="6">
        <f>HYPERLINK("https://www.kleinanzeigen.de/s-anzeige/windsurfanzug-der-firma-neilpryde-groesse-52-l-staerke-4-3/2836786101-230-1121", "Link")</f>
        <v/>
      </c>
      <c r="H1561" s="6">
        <f>HYPERLINK("C:\Projects\Kleinanzeigen-Scraper\offer_images\2836786101", "Link")</f>
        <v/>
      </c>
      <c r="I1561" t="inlineStr">
        <is>
          <t>Ulrich Lufen</t>
        </is>
      </c>
      <c r="J1561" s="6">
        <f>HYPERLINK("https://www.kleinanzeigen.de/s-bestandsliste.html?userId=28551898", "Link")</f>
        <v/>
      </c>
      <c r="K1561" s="7" t="n">
        <v>45549.57783564815</v>
      </c>
      <c r="L1561" s="3" t="inlineStr">
        <is>
          <t>56.00</t>
        </is>
      </c>
      <c r="M1561" t="inlineStr">
        <is>
          <t>Köln</t>
        </is>
      </c>
    </row>
    <row r="1562">
      <c r="A1562" t="inlineStr">
        <is>
          <t>Duotone evo dlab 9qm Kite</t>
        </is>
      </c>
      <c r="B1562" s="4" t="n">
        <v>1.75</v>
      </c>
      <c r="C1562" t="inlineStr">
        <is>
          <t>VB</t>
        </is>
      </c>
      <c r="D1562" t="inlineStr">
        <is>
          <t>21337 Niedersachsen - Lüneburg</t>
        </is>
      </c>
      <c r="E1562" s="5" t="n">
        <v>45548</v>
      </c>
      <c r="F1562" t="inlineStr">
        <is>
          <t>Sold</t>
        </is>
      </c>
      <c r="G1562" s="6">
        <f>HYPERLINK("https://www.kleinanzeigen.de/s-anzeige/duotone-evo-dlab-9qm-kite/2861778685-230-3262", "Link")</f>
        <v/>
      </c>
      <c r="H1562" s="6">
        <f>HYPERLINK("C:\Projects\Kleinanzeigen-Scraper\offer_images\2861778685", "Link")</f>
        <v/>
      </c>
      <c r="I1562" t="inlineStr">
        <is>
          <t>Johannes</t>
        </is>
      </c>
      <c r="J1562" s="6">
        <f>HYPERLINK("https://www.kleinanzeigen.de/s-bestandsliste.html?userId=54385446", "Link")</f>
        <v/>
      </c>
      <c r="K1562" s="7" t="n">
        <v>45549.57782407408</v>
      </c>
      <c r="L1562" s="3" t="inlineStr">
        <is>
          <t>350.18</t>
        </is>
      </c>
      <c r="M1562" t="inlineStr">
        <is>
          <t>Köln</t>
        </is>
      </c>
    </row>
    <row r="1563">
      <c r="A1563" t="inlineStr">
        <is>
          <t>RRD Religion 7 MK9  2020er kein Drifter</t>
        </is>
      </c>
      <c r="B1563" s="4" t="n">
        <v>260</v>
      </c>
      <c r="C1563" t="inlineStr"/>
      <c r="D1563" t="inlineStr">
        <is>
          <t>38350 Niedersachsen - Helmstedt</t>
        </is>
      </c>
      <c r="E1563" s="5" t="n">
        <v>45533</v>
      </c>
      <c r="F1563" t="inlineStr"/>
      <c r="G1563" s="6">
        <f>HYPERLINK("https://www.kleinanzeigen.de/s-anzeige/rrd-religion-7-mk9-2020er-kein-drifter/2848980922-230-14238", "Link")</f>
        <v/>
      </c>
      <c r="H1563" s="6">
        <f>HYPERLINK("C:\Projects\Kleinanzeigen-Scraper\offer_images\2848980922", "Link")</f>
        <v/>
      </c>
      <c r="I1563" t="inlineStr">
        <is>
          <t>Liebing</t>
        </is>
      </c>
      <c r="J1563" s="6">
        <f>HYPERLINK("https://www.kleinanzeigen.de/s-bestandsliste.html?userId=11767375", "Link")</f>
        <v/>
      </c>
      <c r="K1563" s="7" t="n">
        <v>45549.5778125</v>
      </c>
      <c r="L1563" s="3" t="inlineStr">
        <is>
          <t>314.95</t>
        </is>
      </c>
      <c r="M1563" t="inlineStr">
        <is>
          <t>Köln</t>
        </is>
      </c>
    </row>
    <row r="1564">
      <c r="A1564" t="inlineStr">
        <is>
          <t>JP Australia SUP Pumpe – SUP Pumpe</t>
        </is>
      </c>
      <c r="B1564" s="4" t="n">
        <v>30</v>
      </c>
      <c r="C1564" t="inlineStr"/>
      <c r="D1564" t="inlineStr">
        <is>
          <t>80999 München - Allach-Untermenzing</t>
        </is>
      </c>
      <c r="E1564" s="5" t="n">
        <v>45289</v>
      </c>
      <c r="F1564" t="inlineStr"/>
      <c r="G1564" s="6">
        <f>HYPERLINK("https://www.kleinanzeigen.de/s-anzeige/jp-australia-sup-pumpe-sup-pumpe/2639224753-230-6445", "Link")</f>
        <v/>
      </c>
      <c r="H1564" s="6">
        <f>HYPERLINK("C:\Projects\Kleinanzeigen-Scraper\offer_images\2639224753", "Link")</f>
        <v/>
      </c>
      <c r="I1564" t="inlineStr">
        <is>
          <t>Tobias Gross</t>
        </is>
      </c>
      <c r="J1564" s="6">
        <f>HYPERLINK("https://www.kleinanzeigen.de/s-bestandsliste.html?userId=38042510", "Link")</f>
        <v/>
      </c>
      <c r="K1564" s="7" t="n">
        <v>45549.5778125</v>
      </c>
      <c r="L1564" s="3" t="inlineStr">
        <is>
          <t>11.32</t>
        </is>
      </c>
      <c r="M1564" t="inlineStr">
        <is>
          <t>München</t>
        </is>
      </c>
    </row>
    <row r="1565">
      <c r="A1565" t="inlineStr">
        <is>
          <t>North Hatchet Scooter</t>
        </is>
      </c>
      <c r="B1565" s="4" t="n">
        <v>100</v>
      </c>
      <c r="C1565" t="inlineStr">
        <is>
          <t>VB</t>
        </is>
      </c>
      <c r="D1565" t="inlineStr">
        <is>
          <t>33649 Bielefeld - Brackwede</t>
        </is>
      </c>
      <c r="E1565" s="5" t="n">
        <v>45536</v>
      </c>
      <c r="F1565" t="inlineStr">
        <is>
          <t>Sold</t>
        </is>
      </c>
      <c r="G1565" s="6">
        <f>HYPERLINK("https://www.kleinanzeigen.de/s-anzeige/north-hatchet-scooter/2851846310-187-1064", "Link")</f>
        <v/>
      </c>
      <c r="H1565" s="6">
        <f>HYPERLINK("C:\Projects\Kleinanzeigen-Scraper\offer_images\2851846310", "Link")</f>
        <v/>
      </c>
      <c r="I1565" t="inlineStr">
        <is>
          <t>A.Henke</t>
        </is>
      </c>
      <c r="J1565" s="6">
        <f>HYPERLINK("https://www.kleinanzeigen.de/s-bestandsliste.html?userId=5278638", "Link")</f>
        <v/>
      </c>
      <c r="K1565" s="7" t="n">
        <v>45549.5778125</v>
      </c>
      <c r="L1565" s="3" t="inlineStr">
        <is>
          <t>155.70</t>
        </is>
      </c>
      <c r="M1565" t="inlineStr">
        <is>
          <t>Köln</t>
        </is>
      </c>
    </row>
    <row r="1566">
      <c r="A1566" t="inlineStr">
        <is>
          <t>Fanatic Fly Air Fit Yoga Platform</t>
        </is>
      </c>
      <c r="B1566" s="4" t="n">
        <v>990</v>
      </c>
      <c r="C1566" t="inlineStr">
        <is>
          <t>VB</t>
        </is>
      </c>
      <c r="D1566" t="inlineStr">
        <is>
          <t>78465 Baden-Württemberg - Konstanz</t>
        </is>
      </c>
      <c r="E1566" s="5" t="n">
        <v>45512</v>
      </c>
      <c r="F1566" t="inlineStr">
        <is>
          <t>Sold</t>
        </is>
      </c>
      <c r="G1566" s="6">
        <f>HYPERLINK("https://www.kleinanzeigen.de/s-anzeige/fanatic-fly-air-fit-yoga-platform/2831957100-230-9388", "Link")</f>
        <v/>
      </c>
      <c r="H1566" s="6">
        <f>HYPERLINK("C:\Projects\Kleinanzeigen-Scraper\offer_images\2831957100", "Link")</f>
        <v/>
      </c>
      <c r="I1566" t="inlineStr">
        <is>
          <t>BS</t>
        </is>
      </c>
      <c r="J1566" s="6">
        <f>HYPERLINK("https://www.kleinanzeigen.de/s-bestandsliste.html?userId=25961129", "Link")</f>
        <v/>
      </c>
      <c r="K1566" s="7" t="n">
        <v>45549.57780092592</v>
      </c>
      <c r="L1566" s="3" t="inlineStr">
        <is>
          <t>62.07</t>
        </is>
      </c>
      <c r="M1566" t="inlineStr">
        <is>
          <t>Bonndorf</t>
        </is>
      </c>
    </row>
    <row r="1567">
      <c r="A1567" t="inlineStr">
        <is>
          <t>Duotone Dice SLS 9m 2023 Kite *Top Zustand*</t>
        </is>
      </c>
      <c r="B1567" s="4" t="n">
        <v>899</v>
      </c>
      <c r="C1567" t="inlineStr">
        <is>
          <t>VB</t>
        </is>
      </c>
      <c r="D1567" t="inlineStr">
        <is>
          <t>23923 Nordwestmecklenburg - Landkreis - Schönberg (Mecklenburg)</t>
        </is>
      </c>
      <c r="E1567" s="5" t="n">
        <v>45542</v>
      </c>
      <c r="F1567" t="inlineStr">
        <is>
          <t>Sold</t>
        </is>
      </c>
      <c r="G1567" s="6">
        <f>HYPERLINK("https://www.kleinanzeigen.de/s-anzeige/duotone-dice-sls-9m-2023-kite-top-zustand-/2856425300-230-19683", "Link")</f>
        <v/>
      </c>
      <c r="H1567" s="6">
        <f>HYPERLINK("C:\Projects\Kleinanzeigen-Scraper\offer_images\2856425300", "Link")</f>
        <v/>
      </c>
      <c r="I1567" t="inlineStr">
        <is>
          <t>Simon</t>
        </is>
      </c>
      <c r="J1567" s="6">
        <f>HYPERLINK("https://www.kleinanzeigen.de/s-bestandsliste.html?userId=52124959", "Link")</f>
        <v/>
      </c>
      <c r="K1567" s="7" t="n">
        <v>45549.57780092592</v>
      </c>
      <c r="L1567" s="3" t="inlineStr">
        <is>
          <t>417.23</t>
        </is>
      </c>
      <c r="M1567" t="inlineStr">
        <is>
          <t>Köln</t>
        </is>
      </c>
    </row>
    <row r="1568">
      <c r="A1568" t="inlineStr">
        <is>
          <t>Surfmaterial zu verkaufen Duotone Chinook North Sails Unifiber</t>
        </is>
      </c>
      <c r="B1568" s="4" t="inlineStr"/>
      <c r="C1568" t="inlineStr">
        <is>
          <t>VB</t>
        </is>
      </c>
      <c r="D1568" t="inlineStr">
        <is>
          <t>34298 Hessen - Helsa</t>
        </is>
      </c>
      <c r="E1568" s="5" t="n">
        <v>45547</v>
      </c>
      <c r="F1568" t="inlineStr">
        <is>
          <t>Sold</t>
        </is>
      </c>
      <c r="G1568" s="6">
        <f>HYPERLINK("https://www.kleinanzeigen.de/s-anzeige/surfmaterial-zu-verkaufen-duotone-chinook-north-sails-unifiber/2861210339-230-4592", "Link")</f>
        <v/>
      </c>
      <c r="H1568" s="6">
        <f>HYPERLINK("C:\Projects\Kleinanzeigen-Scraper\offer_images\2861210339", "Link")</f>
        <v/>
      </c>
      <c r="I1568" t="inlineStr">
        <is>
          <t>Schröder</t>
        </is>
      </c>
      <c r="J1568" s="6">
        <f>HYPERLINK("https://www.kleinanzeigen.de/s-bestandsliste.html?userId=2523504", "Link")</f>
        <v/>
      </c>
      <c r="K1568" s="7" t="n">
        <v>45549.57780092592</v>
      </c>
      <c r="L1568" s="3" t="inlineStr">
        <is>
          <t>194.05</t>
        </is>
      </c>
      <c r="M1568" t="inlineStr">
        <is>
          <t>Köln</t>
        </is>
      </c>
    </row>
    <row r="1569">
      <c r="A1569" t="inlineStr">
        <is>
          <t>Duotone Neo Kite 2019 8qm</t>
        </is>
      </c>
      <c r="B1569" s="4" t="n">
        <v>480</v>
      </c>
      <c r="C1569" t="inlineStr">
        <is>
          <t>VB</t>
        </is>
      </c>
      <c r="D1569" t="inlineStr">
        <is>
          <t>15749 Brandenburg - Mittenwalde</t>
        </is>
      </c>
      <c r="E1569" s="5" t="n">
        <v>45540</v>
      </c>
      <c r="F1569" t="inlineStr">
        <is>
          <t>Sold</t>
        </is>
      </c>
      <c r="G1569" s="6">
        <f>HYPERLINK("https://www.kleinanzeigen.de/s-anzeige/duotone-neo-kite-2019-8qm/2854869190-230-7905", "Link")</f>
        <v/>
      </c>
      <c r="H1569" s="6">
        <f>HYPERLINK("C:\Projects\Kleinanzeigen-Scraper\offer_images\2854869190", "Link")</f>
        <v/>
      </c>
      <c r="I1569" t="inlineStr">
        <is>
          <t>Janine Härtel</t>
        </is>
      </c>
      <c r="J1569" s="6">
        <f>HYPERLINK("https://www.kleinanzeigen.de/s-bestandsliste.html?userId=11977175", "Link")</f>
        <v/>
      </c>
      <c r="K1569" s="7" t="n">
        <v>45549.57780092592</v>
      </c>
      <c r="L1569" s="3" t="inlineStr">
        <is>
          <t>477.62</t>
        </is>
      </c>
      <c r="M1569" t="inlineStr">
        <is>
          <t>Köln</t>
        </is>
      </c>
    </row>
    <row r="1570">
      <c r="A1570" t="inlineStr">
        <is>
          <t>Duotone EVO Summer Edition 2021, 10 qm</t>
        </is>
      </c>
      <c r="B1570" s="4" t="n">
        <v>750</v>
      </c>
      <c r="C1570" t="inlineStr">
        <is>
          <t>VB</t>
        </is>
      </c>
      <c r="D1570" t="inlineStr">
        <is>
          <t>53229 Bonn - Beuel</t>
        </is>
      </c>
      <c r="E1570" s="5" t="n">
        <v>45538</v>
      </c>
      <c r="F1570" t="inlineStr">
        <is>
          <t>Sold</t>
        </is>
      </c>
      <c r="G1570" s="6">
        <f>HYPERLINK("https://www.kleinanzeigen.de/s-anzeige/duotone-evo-summer-edition-2021-10-qm/2853520326-230-1054", "Link")</f>
        <v/>
      </c>
      <c r="H1570" s="6">
        <f>HYPERLINK("C:\Projects\Kleinanzeigen-Scraper\offer_images\2853520326", "Link")</f>
        <v/>
      </c>
      <c r="I1570" t="inlineStr">
        <is>
          <t>Freund</t>
        </is>
      </c>
      <c r="J1570" s="6">
        <f>HYPERLINK("https://www.kleinanzeigen.de/s-bestandsliste.html?userId=32709035", "Link")</f>
        <v/>
      </c>
      <c r="K1570" s="7" t="n">
        <v>45549.57778935185</v>
      </c>
      <c r="L1570" s="3" t="inlineStr">
        <is>
          <t>26.09</t>
        </is>
      </c>
      <c r="M1570" t="inlineStr">
        <is>
          <t>Köln</t>
        </is>
      </c>
    </row>
    <row r="1571">
      <c r="A1571" t="inlineStr">
        <is>
          <t>North Kite Dice 7qm &amp; 10qm mit Bar North 5 Liner</t>
        </is>
      </c>
      <c r="B1571" s="4" t="inlineStr"/>
      <c r="C1571" t="inlineStr">
        <is>
          <t>VB</t>
        </is>
      </c>
      <c r="D1571" t="inlineStr">
        <is>
          <t>50171 Nordrhein-Westfalen - Kerpen</t>
        </is>
      </c>
      <c r="E1571" s="5" t="n">
        <v>45542</v>
      </c>
      <c r="F1571" t="inlineStr">
        <is>
          <t>Sold</t>
        </is>
      </c>
      <c r="G1571" s="6">
        <f>HYPERLINK("https://www.kleinanzeigen.de/s-anzeige/north-kite-dice-7qm-10qm-mit-bar-north-5-liner/2856719939-230-1827", "Link")</f>
        <v/>
      </c>
      <c r="H1571" s="6">
        <f>HYPERLINK("C:\Projects\Kleinanzeigen-Scraper\offer_images\2856719939", "Link")</f>
        <v/>
      </c>
      <c r="I1571" t="inlineStr">
        <is>
          <t>Christian</t>
        </is>
      </c>
      <c r="J1571" s="6">
        <f>HYPERLINK("https://www.kleinanzeigen.de/s-bestandsliste.html?userId=42595729", "Link")</f>
        <v/>
      </c>
      <c r="K1571" s="7" t="n">
        <v>45549.57777777778</v>
      </c>
      <c r="L1571" s="3" t="inlineStr">
        <is>
          <t>21.83</t>
        </is>
      </c>
      <c r="M1571" t="inlineStr">
        <is>
          <t>Köln</t>
        </is>
      </c>
    </row>
    <row r="1572">
      <c r="A1572" t="inlineStr">
        <is>
          <t>Duotone Neo D / lab 2024 neu kite Kitesurfen</t>
        </is>
      </c>
      <c r="B1572" s="4" t="n">
        <v>1.456</v>
      </c>
      <c r="C1572" t="inlineStr"/>
      <c r="D1572" t="inlineStr">
        <is>
          <t>22457 Eimsbüttel - Hamburg Schnelsen</t>
        </is>
      </c>
      <c r="E1572" s="5" t="n">
        <v>45542</v>
      </c>
      <c r="F1572" t="inlineStr">
        <is>
          <t>Sold</t>
        </is>
      </c>
      <c r="G1572" s="6">
        <f>HYPERLINK("https://www.kleinanzeigen.de/s-anzeige/duotone-neo-d-lab-2024-neu-kite-kitesurfen/2832139601-230-9492", "Link")</f>
        <v/>
      </c>
      <c r="H1572" s="6">
        <f>HYPERLINK("C:\Projects\Kleinanzeigen-Scraper\offer_images\2832139601", "Link")</f>
        <v/>
      </c>
      <c r="I1572" t="inlineStr">
        <is>
          <t>No user name</t>
        </is>
      </c>
      <c r="J1572" s="6">
        <f>HYPERLINK("https://www.kleinanzeigen.deNo user link", "Link")</f>
        <v/>
      </c>
      <c r="K1572" s="7" t="n">
        <v>45549.57777777778</v>
      </c>
      <c r="L1572" s="3" t="inlineStr">
        <is>
          <t>362.41</t>
        </is>
      </c>
      <c r="M1572" t="inlineStr">
        <is>
          <t>Köln</t>
        </is>
      </c>
    </row>
    <row r="1573">
      <c r="A1573" t="inlineStr">
        <is>
          <t>Duotone / North Kite Rebel 10 m² mit Bar, bester Freeride Kite</t>
        </is>
      </c>
      <c r="B1573" s="4" t="n">
        <v>410</v>
      </c>
      <c r="C1573" t="inlineStr">
        <is>
          <t>VB</t>
        </is>
      </c>
      <c r="D1573" t="inlineStr">
        <is>
          <t>59379 Nordrhein-Westfalen - Selm</t>
        </is>
      </c>
      <c r="E1573" s="5" t="n">
        <v>45547</v>
      </c>
      <c r="F1573" t="inlineStr">
        <is>
          <t>Sold</t>
        </is>
      </c>
      <c r="G1573" s="6">
        <f>HYPERLINK("https://www.kleinanzeigen.de/s-anzeige/duotone-north-kite-rebel-10-m-mit-bar-bester-freeride-kite/2861264197-230-1377", "Link")</f>
        <v/>
      </c>
      <c r="H1573" s="6">
        <f>HYPERLINK("C:\Projects\Kleinanzeigen-Scraper\offer_images\2861264197", "Link")</f>
        <v/>
      </c>
      <c r="I1573" t="inlineStr">
        <is>
          <t>Erich Sander</t>
        </is>
      </c>
      <c r="J1573" s="6">
        <f>HYPERLINK("https://www.kleinanzeigen.de/s-bestandsliste.html?userId=3595520", "Link")</f>
        <v/>
      </c>
      <c r="K1573" s="7" t="n">
        <v>45549.57775462963</v>
      </c>
      <c r="L1573" s="3" t="inlineStr">
        <is>
          <t>90.03</t>
        </is>
      </c>
      <c r="M1573" t="inlineStr">
        <is>
          <t>Köln</t>
        </is>
      </c>
    </row>
    <row r="1574">
      <c r="A1574" t="inlineStr">
        <is>
          <t>The North Face: Summit Chamlang Softshellhose, Herren, schwarz, M</t>
        </is>
      </c>
      <c r="B1574" s="4" t="n">
        <v>95</v>
      </c>
      <c r="C1574" t="inlineStr"/>
      <c r="D1574" t="inlineStr">
        <is>
          <t>83607 Bayern - Holzkirchen</t>
        </is>
      </c>
      <c r="E1574" s="5" t="n">
        <v>45539</v>
      </c>
      <c r="F1574" t="inlineStr">
        <is>
          <t>Sold</t>
        </is>
      </c>
      <c r="G1574" s="6">
        <f>HYPERLINK("https://www.kleinanzeigen.de/s-anzeige/the-north-face-summit-chamlang-softshellhose-herren-schwarz-m/2853893327-230-6192", "Link")</f>
        <v/>
      </c>
      <c r="H1574" s="6">
        <f>HYPERLINK("C:\Projects\Kleinanzeigen-Scraper\offer_images\2853893327", "Link")</f>
        <v/>
      </c>
      <c r="I1574" t="inlineStr">
        <is>
          <t>Verena Hofstetter</t>
        </is>
      </c>
      <c r="J1574" s="6">
        <f>HYPERLINK("https://www.kleinanzeigen.de/s-bestandsliste.html?userId=6464726", "Link")</f>
        <v/>
      </c>
      <c r="K1574" s="7" t="n">
        <v>45549.57775462963</v>
      </c>
      <c r="L1574" s="3" t="inlineStr">
        <is>
          <t>30.60</t>
        </is>
      </c>
      <c r="M1574" t="inlineStr">
        <is>
          <t>München</t>
        </is>
      </c>
    </row>
    <row r="1575">
      <c r="A1575" t="inlineStr">
        <is>
          <t>Neilpryde Wasserweste Schwimmweste für Kinder</t>
        </is>
      </c>
      <c r="B1575" s="4" t="n">
        <v>40</v>
      </c>
      <c r="C1575" t="inlineStr"/>
      <c r="D1575" t="inlineStr">
        <is>
          <t>55627 Rheinland-Pfalz - Weiler bei Monzingen</t>
        </is>
      </c>
      <c r="E1575" s="5" t="n">
        <v>45445</v>
      </c>
      <c r="F1575" t="inlineStr">
        <is>
          <t>Sold</t>
        </is>
      </c>
      <c r="G1575" s="6">
        <f>HYPERLINK("https://www.kleinanzeigen.de/s-anzeige/neilpryde-wasserweste-schwimmweste-fuer-kinder/2778413094-230-5135", "Link")</f>
        <v/>
      </c>
      <c r="H1575" s="6">
        <f>HYPERLINK("C:\Projects\Kleinanzeigen-Scraper\offer_images\2778413094", "Link")</f>
        <v/>
      </c>
      <c r="I1575" t="inlineStr">
        <is>
          <t>Janina Vogt</t>
        </is>
      </c>
      <c r="J1575" s="6">
        <f>HYPERLINK("https://www.kleinanzeigen.de/s-bestandsliste.html?userId=16287646", "Link")</f>
        <v/>
      </c>
      <c r="K1575" s="7" t="n">
        <v>45549.57775462963</v>
      </c>
      <c r="L1575" s="3" t="inlineStr">
        <is>
          <t>106.11</t>
        </is>
      </c>
      <c r="M1575" t="inlineStr">
        <is>
          <t>Karlsruhe</t>
        </is>
      </c>
    </row>
    <row r="1576">
      <c r="A1576" t="inlineStr">
        <is>
          <t>Vintage Simmer Maui Hawaii Cap Hut</t>
        </is>
      </c>
      <c r="B1576" s="4" t="n">
        <v>45</v>
      </c>
      <c r="C1576" t="inlineStr"/>
      <c r="D1576" t="inlineStr">
        <is>
          <t>41844 Nordrhein-Westfalen - Wegberg</t>
        </is>
      </c>
      <c r="E1576" s="5" t="n">
        <v>45012</v>
      </c>
      <c r="F1576" t="inlineStr"/>
      <c r="G1576" s="6">
        <f>HYPERLINK("https://www.kleinanzeigen.de/s-anzeige/vintage-simmer-maui-hawaii-cap-hut/2397937030-234-1190", "Link")</f>
        <v/>
      </c>
      <c r="H1576" s="6">
        <f>HYPERLINK("C:\Projects\Kleinanzeigen-Scraper\offer_images\2397937030", "Link")</f>
        <v/>
      </c>
      <c r="I1576" t="inlineStr">
        <is>
          <t>INVICTUS</t>
        </is>
      </c>
      <c r="J1576" s="6">
        <f>HYPERLINK("https://www.kleinanzeigen.de/s-bestandsliste.html?userId=2988411", "Link")</f>
        <v/>
      </c>
      <c r="K1576" s="7" t="n">
        <v>45549.57775462963</v>
      </c>
      <c r="L1576" s="3" t="inlineStr">
        <is>
          <t>54.78</t>
        </is>
      </c>
      <c r="M1576" t="inlineStr">
        <is>
          <t>Köln</t>
        </is>
      </c>
    </row>
    <row r="1577">
      <c r="A1577" t="inlineStr">
        <is>
          <t>Duotone Neo 7 aus 2019</t>
        </is>
      </c>
      <c r="B1577" s="4" t="n">
        <v>330</v>
      </c>
      <c r="C1577" t="inlineStr">
        <is>
          <t>VB</t>
        </is>
      </c>
      <c r="D1577" t="inlineStr">
        <is>
          <t>76275 Baden-Württemberg - Ettlingen</t>
        </is>
      </c>
      <c r="E1577" s="5" t="n">
        <v>45545</v>
      </c>
      <c r="F1577" t="inlineStr">
        <is>
          <t>Sold</t>
        </is>
      </c>
      <c r="G1577" s="6">
        <f>HYPERLINK("https://www.kleinanzeigen.de/s-anzeige/duotone-neo-7-aus-2019/2859412886-230-8929", "Link")</f>
        <v/>
      </c>
      <c r="H1577" s="6">
        <f>HYPERLINK("C:\Projects\Kleinanzeigen-Scraper\offer_images\2859412886", "Link")</f>
        <v/>
      </c>
      <c r="I1577" t="inlineStr">
        <is>
          <t>Stefan</t>
        </is>
      </c>
      <c r="J1577" s="6">
        <f>HYPERLINK("https://www.kleinanzeigen.de/s-bestandsliste.html?userId=13780524", "Link")</f>
        <v/>
      </c>
      <c r="K1577" s="7" t="n">
        <v>45549.57773148148</v>
      </c>
      <c r="L1577" s="3" t="inlineStr">
        <is>
          <t>8.80</t>
        </is>
      </c>
      <c r="M1577" t="inlineStr">
        <is>
          <t>Karlsruhe</t>
        </is>
      </c>
    </row>
    <row r="1578">
      <c r="A1578" t="inlineStr">
        <is>
          <t>Compound (Linkshand) BOWTECH Fanatic mit viel Zubehör</t>
        </is>
      </c>
      <c r="B1578" s="4" t="n">
        <v>750</v>
      </c>
      <c r="C1578" t="inlineStr">
        <is>
          <t>VB</t>
        </is>
      </c>
      <c r="D1578" t="inlineStr">
        <is>
          <t>77654 Baden-Württemberg - Offenburg</t>
        </is>
      </c>
      <c r="E1578" s="5" t="n">
        <v>45518</v>
      </c>
      <c r="F1578" t="inlineStr">
        <is>
          <t>Sold</t>
        </is>
      </c>
      <c r="G1578" s="6">
        <f>HYPERLINK("https://www.kleinanzeigen.de/s-anzeige/compound-linkshand-bowtech-fanatic-mit-viel-zubehoer/2836923410-230-9038", "Link")</f>
        <v/>
      </c>
      <c r="H1578" s="6">
        <f>HYPERLINK("C:\Projects\Kleinanzeigen-Scraper\offer_images\2836923410", "Link")</f>
        <v/>
      </c>
      <c r="I1578" t="inlineStr">
        <is>
          <t>Martin Zink</t>
        </is>
      </c>
      <c r="J1578" s="6">
        <f>HYPERLINK("https://www.kleinanzeigen.de/s-bestandsliste.html?userId=26504047", "Link")</f>
        <v/>
      </c>
      <c r="K1578" s="7" t="n">
        <v>45549.57773148148</v>
      </c>
      <c r="L1578" s="3" t="inlineStr">
        <is>
          <t>66.05</t>
        </is>
      </c>
      <c r="M1578" t="inlineStr">
        <is>
          <t>Karlsruhe</t>
        </is>
      </c>
    </row>
    <row r="1579">
      <c r="A1579" t="inlineStr">
        <is>
          <t>Neilpryde Serene Damen Neopren Anzug 5/4</t>
        </is>
      </c>
      <c r="B1579" s="4" t="n">
        <v>150</v>
      </c>
      <c r="C1579" t="inlineStr">
        <is>
          <t>VB</t>
        </is>
      </c>
      <c r="D1579" t="inlineStr">
        <is>
          <t>59872 Nordrhein-Westfalen - Meschede</t>
        </is>
      </c>
      <c r="E1579" s="5" t="n">
        <v>45527</v>
      </c>
      <c r="F1579" t="inlineStr">
        <is>
          <t>Sold</t>
        </is>
      </c>
      <c r="G1579" s="6">
        <f>HYPERLINK("https://www.kleinanzeigen.de/s-anzeige/neilpryde-serene-damen-neopren-anzug-5-4/2844064859-230-1436", "Link")</f>
        <v/>
      </c>
      <c r="H1579" s="6">
        <f>HYPERLINK("C:\Projects\Kleinanzeigen-Scraper\offer_images\2844064859", "Link")</f>
        <v/>
      </c>
      <c r="I1579" t="inlineStr">
        <is>
          <t>Uta Heinemann</t>
        </is>
      </c>
      <c r="J1579" s="6">
        <f>HYPERLINK("https://www.kleinanzeigen.de/s-bestandsliste.html?userId=36945965", "Link")</f>
        <v/>
      </c>
      <c r="K1579" s="7" t="n">
        <v>45549.57773148148</v>
      </c>
      <c r="L1579" s="3" t="inlineStr">
        <is>
          <t>100.80</t>
        </is>
      </c>
      <c r="M1579" t="inlineStr">
        <is>
          <t>Köln</t>
        </is>
      </c>
    </row>
    <row r="1580">
      <c r="A1580" t="inlineStr">
        <is>
          <t>Duotone Dice SLS Kite 10 m2 2022 Kitesurfen ggf. mit Bar</t>
        </is>
      </c>
      <c r="B1580" s="4" t="n">
        <v>650</v>
      </c>
      <c r="C1580" t="inlineStr">
        <is>
          <t>VB</t>
        </is>
      </c>
      <c r="D1580" t="inlineStr">
        <is>
          <t>26935 Niedersachsen - Stadland</t>
        </is>
      </c>
      <c r="E1580" s="5" t="n">
        <v>45547</v>
      </c>
      <c r="F1580" t="inlineStr">
        <is>
          <t>Sold</t>
        </is>
      </c>
      <c r="G1580" s="6">
        <f>HYPERLINK("https://www.kleinanzeigen.de/s-anzeige/duotone-dice-sls-kite-10-m2-2022-kitesurfen-ggf-mit-bar/2861053132-230-2698", "Link")</f>
        <v/>
      </c>
      <c r="H1580" s="6">
        <f>HYPERLINK("C:\Projects\Kleinanzeigen-Scraper\offer_images\2861053132", "Link")</f>
        <v/>
      </c>
      <c r="I1580" t="inlineStr">
        <is>
          <t>Marc Weddermann</t>
        </is>
      </c>
      <c r="J1580" s="6">
        <f>HYPERLINK("https://www.kleinanzeigen.de/s-bestandsliste.html?userId=19463901", "Link")</f>
        <v/>
      </c>
      <c r="K1580" s="7" t="n">
        <v>45549.57773148148</v>
      </c>
      <c r="L1580" s="3" t="inlineStr">
        <is>
          <t>292.54</t>
        </is>
      </c>
      <c r="M1580" t="inlineStr">
        <is>
          <t>Köln</t>
        </is>
      </c>
    </row>
    <row r="1581">
      <c r="A1581" t="inlineStr">
        <is>
          <t>The North Face Limitless Short Größe S</t>
        </is>
      </c>
      <c r="B1581" s="4" t="n">
        <v>30</v>
      </c>
      <c r="C1581" t="inlineStr">
        <is>
          <t>VB</t>
        </is>
      </c>
      <c r="D1581" t="inlineStr">
        <is>
          <t>83451 Bayern - Piding</t>
        </is>
      </c>
      <c r="E1581" s="5" t="n">
        <v>45544</v>
      </c>
      <c r="F1581" t="inlineStr">
        <is>
          <t>Sold</t>
        </is>
      </c>
      <c r="G1581" s="6">
        <f>HYPERLINK("https://www.kleinanzeigen.de/s-anzeige/the-north-face-limitless-short-groesse-s/2858873748-230-5880", "Link")</f>
        <v/>
      </c>
      <c r="H1581" s="6">
        <f>HYPERLINK("C:\Projects\Kleinanzeigen-Scraper\offer_images\2858873748", "Link")</f>
        <v/>
      </c>
      <c r="I1581" t="inlineStr">
        <is>
          <t>Marcel</t>
        </is>
      </c>
      <c r="J1581" s="6">
        <f>HYPERLINK("https://www.kleinanzeigen.de/s-bestandsliste.html?userId=80200559", "Link")</f>
        <v/>
      </c>
      <c r="K1581" s="7" t="n">
        <v>45549.57770833333</v>
      </c>
      <c r="L1581" s="3" t="inlineStr">
        <is>
          <t>107.84</t>
        </is>
      </c>
      <c r="M1581" t="inlineStr">
        <is>
          <t>München</t>
        </is>
      </c>
    </row>
    <row r="1582">
      <c r="A1582" t="inlineStr">
        <is>
          <t>DUOTONE 2020 Trust Bar 24m Quad Control</t>
        </is>
      </c>
      <c r="B1582" s="4" t="n">
        <v>210</v>
      </c>
      <c r="C1582" t="inlineStr">
        <is>
          <t>VB</t>
        </is>
      </c>
      <c r="D1582" t="inlineStr">
        <is>
          <t>25746 Dithmarschen - Heide</t>
        </is>
      </c>
      <c r="E1582" s="5" t="n">
        <v>45548</v>
      </c>
      <c r="F1582" t="inlineStr">
        <is>
          <t>Sold</t>
        </is>
      </c>
      <c r="G1582" s="6">
        <f>HYPERLINK("https://www.kleinanzeigen.de/s-anzeige/duotone-2020-trust-bar-24m-quad-control/2862320015-230-855", "Link")</f>
        <v/>
      </c>
      <c r="H1582" s="6">
        <f>HYPERLINK("C:\Projects\Kleinanzeigen-Scraper\offer_images\2862320015", "Link")</f>
        <v/>
      </c>
      <c r="I1582" t="inlineStr">
        <is>
          <t>Jesse E.</t>
        </is>
      </c>
      <c r="J1582" s="6">
        <f>HYPERLINK("https://www.kleinanzeigen.de/s-bestandsliste.html?userId=42799424", "Link")</f>
        <v/>
      </c>
      <c r="K1582" s="7" t="n">
        <v>45549.57768518518</v>
      </c>
      <c r="L1582" s="3" t="inlineStr">
        <is>
          <t>389.26</t>
        </is>
      </c>
      <c r="M1582" t="inlineStr">
        <is>
          <t>Köln</t>
        </is>
      </c>
    </row>
    <row r="1583">
      <c r="A1583" t="inlineStr">
        <is>
          <t>Naish Foil</t>
        </is>
      </c>
      <c r="B1583" s="4" t="n">
        <v>450</v>
      </c>
      <c r="C1583" t="inlineStr">
        <is>
          <t>VB</t>
        </is>
      </c>
      <c r="D1583" t="inlineStr">
        <is>
          <t>99817 Thüringen - Eisenach</t>
        </is>
      </c>
      <c r="E1583" s="5" t="n">
        <v>45532</v>
      </c>
      <c r="F1583" t="inlineStr">
        <is>
          <t>Sold</t>
        </is>
      </c>
      <c r="G1583" s="6">
        <f>HYPERLINK("https://www.kleinanzeigen.de/s-anzeige/naish-foil/2848310212-230-3714", "Link")</f>
        <v/>
      </c>
      <c r="H1583" s="6">
        <f>HYPERLINK("C:\Projects\Kleinanzeigen-Scraper\offer_images\2848310212", "Link")</f>
        <v/>
      </c>
      <c r="I1583" t="inlineStr">
        <is>
          <t>Virginia</t>
        </is>
      </c>
      <c r="J1583" s="6">
        <f>HYPERLINK("https://www.kleinanzeigen.de/s-bestandsliste.html?userId=141754413", "Link")</f>
        <v/>
      </c>
      <c r="K1583" s="7" t="n">
        <v>45549.57768518518</v>
      </c>
      <c r="L1583" s="3" t="inlineStr">
        <is>
          <t>235.39</t>
        </is>
      </c>
      <c r="M1583" t="inlineStr">
        <is>
          <t>Köln</t>
        </is>
      </c>
    </row>
    <row r="1584">
      <c r="A1584" t="inlineStr">
        <is>
          <t>Naish Torque Bar ATB 55 2022</t>
        </is>
      </c>
      <c r="B1584" s="4" t="n">
        <v>270</v>
      </c>
      <c r="C1584" t="inlineStr">
        <is>
          <t>VB</t>
        </is>
      </c>
      <c r="D1584" t="inlineStr">
        <is>
          <t>57339 Nordrhein-Westfalen - Erndtebrück</t>
        </is>
      </c>
      <c r="E1584" s="5" t="n">
        <v>45546</v>
      </c>
      <c r="F1584" t="inlineStr"/>
      <c r="G1584" s="6">
        <f>HYPERLINK("https://www.kleinanzeigen.de/s-anzeige/naish-torque-bar-atb-55-2022/2860634503-230-1469", "Link")</f>
        <v/>
      </c>
      <c r="H1584" s="6">
        <f>HYPERLINK("C:\Projects\Kleinanzeigen-Scraper\offer_images\2860634503", "Link")</f>
        <v/>
      </c>
      <c r="I1584" t="inlineStr">
        <is>
          <t>Kerstin spittel</t>
        </is>
      </c>
      <c r="J1584" s="6">
        <f>HYPERLINK("https://www.kleinanzeigen.de/s-bestandsliste.html?userId=9237713", "Link")</f>
        <v/>
      </c>
      <c r="K1584" s="7" t="n">
        <v>45549.57768518518</v>
      </c>
      <c r="L1584" s="3" t="inlineStr">
        <is>
          <t>91.26</t>
        </is>
      </c>
      <c r="M1584" t="inlineStr">
        <is>
          <t>Köln</t>
        </is>
      </c>
    </row>
    <row r="1585">
      <c r="A1585" t="inlineStr">
        <is>
          <t>Duotone Rebel 8m 2020 Kite - Freeride / Big air</t>
        </is>
      </c>
      <c r="B1585" s="4" t="n">
        <v>299</v>
      </c>
      <c r="C1585" t="inlineStr"/>
      <c r="D1585" t="inlineStr">
        <is>
          <t>59597 Nordrhein-Westfalen - Erwitte</t>
        </is>
      </c>
      <c r="E1585" s="5" t="n">
        <v>45546</v>
      </c>
      <c r="F1585" t="inlineStr">
        <is>
          <t>Sold</t>
        </is>
      </c>
      <c r="G1585" s="6">
        <f>HYPERLINK("https://www.kleinanzeigen.de/s-anzeige/duotone-rebel-8m-2020-kite-freeride-big-air/2860046983-230-1266", "Link")</f>
        <v/>
      </c>
      <c r="H1585" s="6">
        <f>HYPERLINK("C:\Projects\Kleinanzeigen-Scraper\offer_images\2860046983", "Link")</f>
        <v/>
      </c>
      <c r="I1585" t="inlineStr">
        <is>
          <t>Leferink</t>
        </is>
      </c>
      <c r="J1585" s="6">
        <f>HYPERLINK("https://www.kleinanzeigen.de/s-bestandsliste.html?userId=58053516", "Link")</f>
        <v/>
      </c>
      <c r="K1585" s="7" t="n">
        <v>45549.57767361111</v>
      </c>
      <c r="L1585" s="3" t="inlineStr">
        <is>
          <t>119.91</t>
        </is>
      </c>
      <c r="M1585" t="inlineStr">
        <is>
          <t>Köln</t>
        </is>
      </c>
    </row>
    <row r="1586">
      <c r="A1586" t="inlineStr">
        <is>
          <t>Fanatic Diamond Air Pure 10‘4 I SUP Neu Standup Paddeling</t>
        </is>
      </c>
      <c r="B1586" s="4" t="n">
        <v>419</v>
      </c>
      <c r="C1586" t="inlineStr"/>
      <c r="D1586" t="inlineStr">
        <is>
          <t>22457 Eimsbüttel - Hamburg Schnelsen</t>
        </is>
      </c>
      <c r="E1586" s="5" t="n">
        <v>45566</v>
      </c>
      <c r="F1586" t="inlineStr"/>
      <c r="G1586" s="6">
        <f>HYPERLINK("https://www.kleinanzeigen.de/s-anzeige/fanatic-diamond-air-pure-10-4-i-sup-neu-standup-paddeling/2515353766-230-9492", "Link")</f>
        <v/>
      </c>
      <c r="H1586" s="6">
        <f>HYPERLINK("C:\Projects\Kleinanzeigen-Scraper\offer_images\2515353766", "Link")</f>
        <v/>
      </c>
      <c r="I1586" t="inlineStr">
        <is>
          <t>No user name</t>
        </is>
      </c>
      <c r="J1586" s="6">
        <f>HYPERLINK("https://www.kleinanzeigen.deNo user link", "Link")</f>
        <v/>
      </c>
      <c r="K1586" s="7" t="n">
        <v>45549.57766203704</v>
      </c>
      <c r="L1586" s="3" t="inlineStr">
        <is>
          <t>362.41</t>
        </is>
      </c>
      <c r="M1586" t="inlineStr">
        <is>
          <t>Köln</t>
        </is>
      </c>
    </row>
    <row r="1587">
      <c r="A1587" t="inlineStr">
        <is>
          <t>RRD Leichtwind Kite 17 18 19 m</t>
        </is>
      </c>
      <c r="B1587" s="4" t="n">
        <v>1</v>
      </c>
      <c r="C1587" t="inlineStr">
        <is>
          <t>VB</t>
        </is>
      </c>
      <c r="D1587" t="inlineStr">
        <is>
          <t>30419 Hannover - Herrenhausen-Stöcken</t>
        </is>
      </c>
      <c r="E1587" s="5" t="n">
        <v>45543</v>
      </c>
      <c r="F1587" t="inlineStr">
        <is>
          <t>Sold</t>
        </is>
      </c>
      <c r="G1587" s="6">
        <f>HYPERLINK("https://www.kleinanzeigen.de/s-anzeige/rrd-leichtwind-kite-17-18-19-m/2858057425-230-3178", "Link")</f>
        <v/>
      </c>
      <c r="H1587" s="6">
        <f>HYPERLINK("C:\Projects\Kleinanzeigen-Scraper\offer_images\2858057425", "Link")</f>
        <v/>
      </c>
      <c r="I1587" t="inlineStr">
        <is>
          <t>Lars Lohmann</t>
        </is>
      </c>
      <c r="J1587" s="6">
        <f>HYPERLINK("https://www.kleinanzeigen.de/s-bestandsliste.html?userId=13989223", "Link")</f>
        <v/>
      </c>
      <c r="K1587" s="7" t="n">
        <v>45549.57765046296</v>
      </c>
      <c r="L1587" s="3" t="inlineStr">
        <is>
          <t>248.55</t>
        </is>
      </c>
      <c r="M1587" t="inlineStr">
        <is>
          <t>Köln</t>
        </is>
      </c>
    </row>
    <row r="1588">
      <c r="A1588" t="inlineStr">
        <is>
          <t>Aufkleber/Sticker RRD Surfboards 7x2cm 80/90er vintage</t>
        </is>
      </c>
      <c r="B1588" s="4" t="n">
        <v>5</v>
      </c>
      <c r="C1588" t="inlineStr">
        <is>
          <t>VB</t>
        </is>
      </c>
      <c r="D1588" t="inlineStr">
        <is>
          <t>92334 Bayern - Berching</t>
        </is>
      </c>
      <c r="E1588" s="5" t="n">
        <v>44618</v>
      </c>
      <c r="F1588" t="inlineStr"/>
      <c r="G1588" s="6">
        <f>HYPERLINK("https://www.kleinanzeigen.de/s-anzeige/aufkleber-sticker-rrd-surfboards-7x2cm-80-90er-vintage/2033753673-234-6593", "Link")</f>
        <v/>
      </c>
      <c r="H1588" s="6">
        <f>HYPERLINK("C:\Projects\Kleinanzeigen-Scraper\offer_images\2033753673", "Link")</f>
        <v/>
      </c>
      <c r="I1588" t="inlineStr">
        <is>
          <t>christine bauer</t>
        </is>
      </c>
      <c r="J1588" s="6">
        <f>HYPERLINK("https://www.kleinanzeigen.de/s-bestandsliste.html?userId=4781369", "Link")</f>
        <v/>
      </c>
      <c r="K1588" s="7" t="n">
        <v>45549.57765046296</v>
      </c>
      <c r="L1588" s="3" t="inlineStr">
        <is>
          <t>107.95</t>
        </is>
      </c>
      <c r="M1588" t="inlineStr">
        <is>
          <t>München</t>
        </is>
      </c>
    </row>
    <row r="1589">
      <c r="A1589" t="inlineStr">
        <is>
          <t>Neilpryde Cortex 5/4/3 BZ Fullsuit Large Black Back-Zip</t>
        </is>
      </c>
      <c r="B1589" s="4" t="n">
        <v>160</v>
      </c>
      <c r="C1589" t="inlineStr">
        <is>
          <t>VB</t>
        </is>
      </c>
      <c r="D1589" t="inlineStr">
        <is>
          <t>31515 Niedersachsen - Wunstorf</t>
        </is>
      </c>
      <c r="E1589" s="5" t="n">
        <v>45505</v>
      </c>
      <c r="F1589" t="inlineStr"/>
      <c r="G1589" s="6">
        <f>HYPERLINK("https://www.kleinanzeigen.de/s-anzeige/neilpryde-cortex-5-4-3-bz-fullsuit-large-black-back-zip/2826081221-230-2930", "Link")</f>
        <v/>
      </c>
      <c r="H1589" s="6">
        <f>HYPERLINK("C:\Projects\Kleinanzeigen-Scraper\offer_images\2826081221", "Link")</f>
        <v/>
      </c>
      <c r="I1589" t="inlineStr">
        <is>
          <t>J. A.</t>
        </is>
      </c>
      <c r="J1589" s="6">
        <f>HYPERLINK("https://www.kleinanzeigen.de/s-bestandsliste.html?userId=21599915", "Link")</f>
        <v/>
      </c>
      <c r="K1589" s="7" t="n">
        <v>45549.57765046296</v>
      </c>
      <c r="L1589" s="3" t="inlineStr">
        <is>
          <t>236.47</t>
        </is>
      </c>
      <c r="M1589" t="inlineStr">
        <is>
          <t>Köln</t>
        </is>
      </c>
    </row>
    <row r="1590">
      <c r="A1590" t="inlineStr">
        <is>
          <t>BC Garn Northern Lights</t>
        </is>
      </c>
      <c r="B1590" s="4" t="n">
        <v>9</v>
      </c>
      <c r="C1590" t="inlineStr">
        <is>
          <t>VB</t>
        </is>
      </c>
      <c r="D1590" t="inlineStr">
        <is>
          <t>52152 Nordrhein-Westfalen - Simmerath</t>
        </is>
      </c>
      <c r="E1590" s="5" t="n">
        <v>45539</v>
      </c>
      <c r="F1590" t="inlineStr">
        <is>
          <t>Sold</t>
        </is>
      </c>
      <c r="G1590" s="6">
        <f>HYPERLINK("https://www.kleinanzeigen.de/s-anzeige/bc-garn-northern-lights/2854151554-282-1727", "Link")</f>
        <v/>
      </c>
      <c r="H1590" s="6">
        <f>HYPERLINK("C:\Projects\Kleinanzeigen-Scraper\offer_images\2854151554", "Link")</f>
        <v/>
      </c>
      <c r="I1590" t="inlineStr">
        <is>
          <t>Heike</t>
        </is>
      </c>
      <c r="J1590" s="6">
        <f>HYPERLINK("https://www.kleinanzeigen.de/s-bestandsliste.html?userId=23651347", "Link")</f>
        <v/>
      </c>
      <c r="K1590" s="7" t="n">
        <v>45549.57765046296</v>
      </c>
      <c r="L1590" s="3" t="inlineStr">
        <is>
          <t>57.52</t>
        </is>
      </c>
      <c r="M1590" t="inlineStr">
        <is>
          <t>Köln</t>
        </is>
      </c>
    </row>
    <row r="1591">
      <c r="A1591" t="inlineStr">
        <is>
          <t>North Kiteleinen 4* 24 Meter Vierleiner Kite Leinen Backlines</t>
        </is>
      </c>
      <c r="B1591" s="4" t="n">
        <v>37</v>
      </c>
      <c r="C1591" t="inlineStr">
        <is>
          <t>VB</t>
        </is>
      </c>
      <c r="D1591" t="inlineStr">
        <is>
          <t>32758 Nordrhein-Westfalen - Detmold</t>
        </is>
      </c>
      <c r="E1591" s="5" t="n">
        <v>45540</v>
      </c>
      <c r="F1591" t="inlineStr">
        <is>
          <t>Sold</t>
        </is>
      </c>
      <c r="G1591" s="6">
        <f>HYPERLINK("https://www.kleinanzeigen.de/s-anzeige/north-kiteleinen-4-24-meter-vierleiner-kite-leinen-backlines/2854742783-230-1793", "Link")</f>
        <v/>
      </c>
      <c r="H1591" s="6">
        <f>HYPERLINK("C:\Projects\Kleinanzeigen-Scraper\offer_images\2854742783", "Link")</f>
        <v/>
      </c>
      <c r="I1591" t="inlineStr">
        <is>
          <t>Privat</t>
        </is>
      </c>
      <c r="J1591" s="6">
        <f>HYPERLINK("https://www.kleinanzeigen.de/s-bestandsliste.html?userId=39771025", "Link")</f>
        <v/>
      </c>
      <c r="K1591" s="7" t="n">
        <v>45549.57763888889</v>
      </c>
      <c r="L1591" s="3" t="inlineStr">
        <is>
          <t>172.09</t>
        </is>
      </c>
      <c r="M1591" t="inlineStr">
        <is>
          <t>Köln</t>
        </is>
      </c>
    </row>
    <row r="1592">
      <c r="A1592" t="inlineStr">
        <is>
          <t>Starboard Enduro M Hybrid Carbon Paddel</t>
        </is>
      </c>
      <c r="B1592" s="4" t="n">
        <v>65</v>
      </c>
      <c r="C1592" t="inlineStr">
        <is>
          <t>VB</t>
        </is>
      </c>
      <c r="D1592" t="inlineStr">
        <is>
          <t>87629 Bayern - Fuessen</t>
        </is>
      </c>
      <c r="E1592" s="5" t="n">
        <v>45542</v>
      </c>
      <c r="F1592" t="inlineStr"/>
      <c r="G1592" s="6">
        <f>HYPERLINK("https://www.kleinanzeigen.de/s-anzeige/starboard-enduro-m-hybrid-carbon-paddel/2856175116-230-13078", "Link")</f>
        <v/>
      </c>
      <c r="H1592" s="6">
        <f>HYPERLINK("C:\Projects\Kleinanzeigen-Scraper\offer_images\2856175116", "Link")</f>
        <v/>
      </c>
      <c r="I1592" t="inlineStr">
        <is>
          <t>Caro</t>
        </is>
      </c>
      <c r="J1592" s="6">
        <f>HYPERLINK("https://www.kleinanzeigen.de/s-bestandsliste.html?userId=13511585", "Link")</f>
        <v/>
      </c>
      <c r="K1592" s="7" t="n">
        <v>45549.57762731481</v>
      </c>
      <c r="L1592" s="3" t="inlineStr">
        <is>
          <t>92.19</t>
        </is>
      </c>
      <c r="M1592" t="inlineStr">
        <is>
          <t>München</t>
        </is>
      </c>
    </row>
    <row r="1593">
      <c r="A1593" t="inlineStr">
        <is>
          <t>North Orbit Kite 2024 Kitesurfen Neu</t>
        </is>
      </c>
      <c r="B1593" s="4" t="n">
        <v>1.229</v>
      </c>
      <c r="C1593" t="inlineStr">
        <is>
          <t>VB</t>
        </is>
      </c>
      <c r="D1593" t="inlineStr">
        <is>
          <t>22457 Eimsbüttel - Hamburg Schnelsen</t>
        </is>
      </c>
      <c r="E1593" s="5" t="n">
        <v>45547</v>
      </c>
      <c r="F1593" t="inlineStr">
        <is>
          <t>Sold</t>
        </is>
      </c>
      <c r="G1593" s="6">
        <f>HYPERLINK("https://www.kleinanzeigen.de/s-anzeige/north-orbit-kite-2024-kitesurfen-neu/2735656235-230-9492", "Link")</f>
        <v/>
      </c>
      <c r="H1593" s="6">
        <f>HYPERLINK("C:\Projects\Kleinanzeigen-Scraper\offer_images\2735656235", "Link")</f>
        <v/>
      </c>
      <c r="I1593" t="inlineStr">
        <is>
          <t>No user name</t>
        </is>
      </c>
      <c r="J1593" s="6">
        <f>HYPERLINK("https://www.kleinanzeigen.deNo user link", "Link")</f>
        <v/>
      </c>
      <c r="K1593" s="7" t="n">
        <v>45549.57760416667</v>
      </c>
      <c r="L1593" s="3" t="inlineStr">
        <is>
          <t>362.41</t>
        </is>
      </c>
      <c r="M1593" t="inlineStr">
        <is>
          <t>Köln</t>
        </is>
      </c>
    </row>
    <row r="1594">
      <c r="A1594" t="inlineStr">
        <is>
          <t>Severne Redwing 1400 mit Mast und Fuselage</t>
        </is>
      </c>
      <c r="B1594" s="4" t="n">
        <v>490</v>
      </c>
      <c r="C1594" t="inlineStr">
        <is>
          <t>VB</t>
        </is>
      </c>
      <c r="D1594" t="inlineStr">
        <is>
          <t>82481 Bayern - Mittenwald</t>
        </is>
      </c>
      <c r="E1594" s="5" t="n">
        <v>45541</v>
      </c>
      <c r="F1594" t="inlineStr">
        <is>
          <t>Sold</t>
        </is>
      </c>
      <c r="G1594" s="6">
        <f>HYPERLINK("https://www.kleinanzeigen.de/s-anzeige/severne-redwing-1400-mit-mast-und-fuselage/2855841643-230-6340", "Link")</f>
        <v/>
      </c>
      <c r="H1594" s="6">
        <f>HYPERLINK("C:\Projects\Kleinanzeigen-Scraper\offer_images\2855841643", "Link")</f>
        <v/>
      </c>
      <c r="I1594" t="inlineStr">
        <is>
          <t>Florian</t>
        </is>
      </c>
      <c r="J1594" s="6">
        <f>HYPERLINK("https://www.kleinanzeigen.de/s-bestandsliste.html?userId=61919776", "Link")</f>
        <v/>
      </c>
      <c r="K1594" s="7" t="n">
        <v>45549.57760416667</v>
      </c>
      <c r="L1594" s="3" t="inlineStr">
        <is>
          <t>80.64</t>
        </is>
      </c>
      <c r="M1594" t="inlineStr">
        <is>
          <t>München</t>
        </is>
      </c>
    </row>
    <row r="1595">
      <c r="A1595" t="inlineStr">
        <is>
          <t>Taimen Selenga Horizontal grau, Watweste, kein Simms, Orvis</t>
        </is>
      </c>
      <c r="B1595" s="4" t="n">
        <v>70</v>
      </c>
      <c r="C1595" t="inlineStr">
        <is>
          <t>VB</t>
        </is>
      </c>
      <c r="D1595" t="inlineStr">
        <is>
          <t>41812 Nordrhein-Westfalen - Erkelenz</t>
        </is>
      </c>
      <c r="E1595" s="5" t="n">
        <v>45511</v>
      </c>
      <c r="F1595" t="inlineStr"/>
      <c r="G1595" s="6">
        <f>HYPERLINK("https://www.kleinanzeigen.de/s-anzeige/taimen-selenga-horizontal-grau-watweste-kein-simms-orvis/2831675941-187-1202", "Link")</f>
        <v/>
      </c>
      <c r="H1595" s="6">
        <f>HYPERLINK("C:\Projects\Kleinanzeigen-Scraper\offer_images\2831675941", "Link")</f>
        <v/>
      </c>
      <c r="I1595" t="inlineStr">
        <is>
          <t>CG</t>
        </is>
      </c>
      <c r="J1595" s="6">
        <f>HYPERLINK("https://www.kleinanzeigen.de/s-bestandsliste.html?userId=8766944", "Link")</f>
        <v/>
      </c>
      <c r="K1595" s="7" t="n">
        <v>45549.57760416667</v>
      </c>
      <c r="L1595" s="3" t="inlineStr">
        <is>
          <t>46.78</t>
        </is>
      </c>
      <c r="M1595" t="inlineStr">
        <is>
          <t>Köln</t>
        </is>
      </c>
    </row>
    <row r="1596">
      <c r="A1596" t="inlineStr">
        <is>
          <t>Duotone Wing Unit 4.5</t>
        </is>
      </c>
      <c r="B1596" s="4" t="n">
        <v>400</v>
      </c>
      <c r="C1596" t="inlineStr"/>
      <c r="D1596" t="inlineStr">
        <is>
          <t>15754 Brandenburg - Heidesee</t>
        </is>
      </c>
      <c r="E1596" s="5" t="n">
        <v>45545</v>
      </c>
      <c r="F1596" t="inlineStr">
        <is>
          <t>Sold</t>
        </is>
      </c>
      <c r="G1596" s="6">
        <f>HYPERLINK("https://www.kleinanzeigen.de/s-anzeige/duotone-wing-unit-4-5/2859746601-230-7904", "Link")</f>
        <v/>
      </c>
      <c r="H1596" s="6">
        <f>HYPERLINK("C:\Projects\Kleinanzeigen-Scraper\offer_images\2859746601", "Link")</f>
        <v/>
      </c>
      <c r="I1596" t="inlineStr">
        <is>
          <t>Ms</t>
        </is>
      </c>
      <c r="J1596" s="6">
        <f>HYPERLINK("https://www.kleinanzeigen.de/s-bestandsliste.html?userId=12658141", "Link")</f>
        <v/>
      </c>
      <c r="K1596" s="7" t="n">
        <v>45549.57760416667</v>
      </c>
      <c r="L1596" s="3" t="inlineStr">
        <is>
          <t>488.63</t>
        </is>
      </c>
      <c r="M1596" t="inlineStr">
        <is>
          <t>München</t>
        </is>
      </c>
    </row>
    <row r="1597">
      <c r="A1597" t="inlineStr">
        <is>
          <t>Fanatic Fuselage AL 3.0 Wingsurfen Foil Neu Sale</t>
        </is>
      </c>
      <c r="B1597" s="4" t="n">
        <v>164</v>
      </c>
      <c r="C1597" t="inlineStr"/>
      <c r="D1597" t="inlineStr">
        <is>
          <t>22457 Eimsbüttel - Hamburg Schnelsen</t>
        </is>
      </c>
      <c r="E1597" s="5" t="n">
        <v>45529</v>
      </c>
      <c r="F1597" t="inlineStr">
        <is>
          <t>Sold</t>
        </is>
      </c>
      <c r="G1597" s="6">
        <f>HYPERLINK("https://www.kleinanzeigen.de/s-anzeige/fanatic-fuselage-al-3-0-wingsurfen-foil-neu-sale/2509030139-230-9492", "Link")</f>
        <v/>
      </c>
      <c r="H1597" s="6">
        <f>HYPERLINK("C:\Projects\Kleinanzeigen-Scraper\offer_images\2509030139", "Link")</f>
        <v/>
      </c>
      <c r="I1597" t="inlineStr">
        <is>
          <t>No user name</t>
        </is>
      </c>
      <c r="J1597" s="6">
        <f>HYPERLINK("https://www.kleinanzeigen.deNo user link", "Link")</f>
        <v/>
      </c>
      <c r="K1597" s="7" t="n">
        <v>45549.57760416667</v>
      </c>
      <c r="L1597" s="3" t="inlineStr">
        <is>
          <t>362.41</t>
        </is>
      </c>
      <c r="M1597" t="inlineStr">
        <is>
          <t>Köln</t>
        </is>
      </c>
    </row>
    <row r="1598">
      <c r="A1598" t="inlineStr">
        <is>
          <t>Neilpryde-Long John,Women, Gr. 36 Langarm, ungetragen, SUP,Surfen</t>
        </is>
      </c>
      <c r="B1598" s="4" t="n">
        <v>65</v>
      </c>
      <c r="C1598" t="inlineStr">
        <is>
          <t>VB</t>
        </is>
      </c>
      <c r="D1598" t="inlineStr">
        <is>
          <t>33615 Bielefeld - Bielefeld (Innenstadt)</t>
        </is>
      </c>
      <c r="E1598" s="5" t="n">
        <v>45548</v>
      </c>
      <c r="F1598" t="inlineStr"/>
      <c r="G1598" s="6">
        <f>HYPERLINK("https://www.kleinanzeigen.de/s-anzeige/neilpryde-long-john-women-gr-36-langarm-ungetragen-sup-surfen/2862348569-230-1058", "Link")</f>
        <v/>
      </c>
      <c r="H1598" s="6">
        <f>HYPERLINK("C:\Projects\Kleinanzeigen-Scraper\offer_images\2862348569", "Link")</f>
        <v/>
      </c>
      <c r="I1598" t="inlineStr">
        <is>
          <t>Carola Giller</t>
        </is>
      </c>
      <c r="J1598" s="6">
        <f>HYPERLINK("https://www.kleinanzeigen.de/s-bestandsliste.html?userId=7988525", "Link")</f>
        <v/>
      </c>
      <c r="K1598" s="7" t="n">
        <v>45549.57760416667</v>
      </c>
      <c r="L1598" s="3" t="inlineStr">
        <is>
          <t>162.21</t>
        </is>
      </c>
      <c r="M1598" t="inlineStr">
        <is>
          <t>Köln</t>
        </is>
      </c>
    </row>
    <row r="1599">
      <c r="A1599" t="inlineStr">
        <is>
          <t>Kite Set Naish Draft 14qm + 10.5qm + Bar</t>
        </is>
      </c>
      <c r="B1599" s="4" t="n">
        <v>550</v>
      </c>
      <c r="C1599" t="inlineStr">
        <is>
          <t>VB</t>
        </is>
      </c>
      <c r="D1599" t="inlineStr">
        <is>
          <t>59555 Nordrhein-Westfalen - Lippstadt</t>
        </is>
      </c>
      <c r="E1599" s="5" t="n">
        <v>45549</v>
      </c>
      <c r="F1599" t="inlineStr">
        <is>
          <t>Sold</t>
        </is>
      </c>
      <c r="G1599" s="6">
        <f>HYPERLINK("https://www.kleinanzeigen.de/s-anzeige/kite-set-naish-draft-14qm-10-5qm-bar/2862839842-230-1843", "Link")</f>
        <v/>
      </c>
      <c r="H1599" s="6">
        <f>HYPERLINK("C:\Projects\Kleinanzeigen-Scraper\offer_images\2862839842", "Link")</f>
        <v/>
      </c>
      <c r="I1599" t="inlineStr">
        <is>
          <t>A. F.</t>
        </is>
      </c>
      <c r="J1599" s="6">
        <f>HYPERLINK("https://www.kleinanzeigen.de/s-bestandsliste.html?userId=10807561", "Link")</f>
        <v/>
      </c>
      <c r="K1599" s="7" t="n">
        <v>45549.57760416667</v>
      </c>
      <c r="L1599" s="3" t="inlineStr">
        <is>
          <t>127.10</t>
        </is>
      </c>
      <c r="M1599" t="inlineStr">
        <is>
          <t>Köln</t>
        </is>
      </c>
    </row>
    <row r="1600">
      <c r="A1600" t="inlineStr">
        <is>
          <t>DUOTONE x FANATIC FUSELAGE AERO AL 60</t>
        </is>
      </c>
      <c r="B1600" s="4" t="n">
        <v>259</v>
      </c>
      <c r="C1600" t="inlineStr">
        <is>
          <t>VB</t>
        </is>
      </c>
      <c r="D1600" t="inlineStr">
        <is>
          <t>23714 Kreis Ostholstein - Malente</t>
        </is>
      </c>
      <c r="E1600" s="5" t="n">
        <v>45518</v>
      </c>
      <c r="F1600" t="inlineStr">
        <is>
          <t>Sold</t>
        </is>
      </c>
      <c r="G1600" s="6">
        <f>HYPERLINK("https://www.kleinanzeigen.de/s-anzeige/duotone-x-fanatic-fuselage-aero-al-60/2836790043-230-455", "Link")</f>
        <v/>
      </c>
      <c r="H1600" s="6">
        <f>HYPERLINK("C:\Projects\Kleinanzeigen-Scraper\offer_images\2836790043", "Link")</f>
        <v/>
      </c>
      <c r="I1600" t="inlineStr">
        <is>
          <t>A.Langer</t>
        </is>
      </c>
      <c r="J1600" s="6">
        <f>HYPERLINK("https://www.kleinanzeigen.de/s-bestandsliste.html?userId=16220077", "Link")</f>
        <v/>
      </c>
      <c r="K1600" s="7" t="n">
        <v>45549.57759259259</v>
      </c>
      <c r="L1600" s="3" t="inlineStr">
        <is>
          <t>438.09</t>
        </is>
      </c>
      <c r="M1600" t="inlineStr">
        <is>
          <t>Köln</t>
        </is>
      </c>
    </row>
    <row r="1601">
      <c r="A1601" t="inlineStr">
        <is>
          <t>Blumen Vase Porzellan Simmern Wappen</t>
        </is>
      </c>
      <c r="B1601" s="4" t="n">
        <v>15</v>
      </c>
      <c r="C1601" t="inlineStr">
        <is>
          <t>VB</t>
        </is>
      </c>
      <c r="D1601" t="inlineStr">
        <is>
          <t>55471 Rheinland-Pfalz - Reich</t>
        </is>
      </c>
      <c r="E1601" s="5" t="n">
        <v>43680</v>
      </c>
      <c r="F1601" t="inlineStr"/>
      <c r="G1601" s="6">
        <f>HYPERLINK("https://www.kleinanzeigen.de/s-anzeige/blumen-vase-porzellan-simmern-wappen/1175919330-234-17098", "Link")</f>
        <v/>
      </c>
      <c r="H1601" s="6">
        <f>HYPERLINK("C:\Projects\Kleinanzeigen-Scraper\offer_images\1175919330", "Link")</f>
        <v/>
      </c>
      <c r="I1601" t="inlineStr">
        <is>
          <t>RoHa</t>
        </is>
      </c>
      <c r="J1601" s="6">
        <f>HYPERLINK("https://www.kleinanzeigen.de/s-bestandsliste.html?userId=9030701", "Link")</f>
        <v/>
      </c>
      <c r="K1601" s="7" t="n">
        <v>45549.57759259259</v>
      </c>
      <c r="L1601" s="3" t="inlineStr">
        <is>
          <t>110.41</t>
        </is>
      </c>
      <c r="M1601" t="inlineStr">
        <is>
          <t>Köln</t>
        </is>
      </c>
    </row>
    <row r="1602">
      <c r="A1602" t="inlineStr">
        <is>
          <t>Neoprenanzug Neilpryde</t>
        </is>
      </c>
      <c r="B1602" s="4" t="n">
        <v>75</v>
      </c>
      <c r="C1602" t="inlineStr"/>
      <c r="D1602" t="inlineStr">
        <is>
          <t>98693 Thüringen - Ilmenau</t>
        </is>
      </c>
      <c r="E1602" s="5" t="n">
        <v>45470</v>
      </c>
      <c r="F1602" t="inlineStr">
        <is>
          <t>Sold</t>
        </is>
      </c>
      <c r="G1602" s="6">
        <f>HYPERLINK("https://www.kleinanzeigen.de/s-anzeige/neoprenanzug-neilpryde/2798525160-230-3687", "Link")</f>
        <v/>
      </c>
      <c r="H1602" s="6">
        <f>HYPERLINK("C:\Projects\Kleinanzeigen-Scraper\offer_images\2798525160", "Link")</f>
        <v/>
      </c>
      <c r="I1602" t="inlineStr">
        <is>
          <t>A. Müller</t>
        </is>
      </c>
      <c r="J1602" s="6">
        <f>HYPERLINK("https://www.kleinanzeigen.de/s-bestandsliste.html?userId=15465619", "Link")</f>
        <v/>
      </c>
      <c r="K1602" s="7" t="n">
        <v>45549.57758101852</v>
      </c>
      <c r="L1602" s="3" t="inlineStr">
        <is>
          <t>260.54</t>
        </is>
      </c>
      <c r="M1602" t="inlineStr">
        <is>
          <t>Karlsruhe</t>
        </is>
      </c>
    </row>
    <row r="1603">
      <c r="A1603" t="inlineStr">
        <is>
          <t>RRD Kite 13Passion / 8 Religion / RRD Bar</t>
        </is>
      </c>
      <c r="B1603" s="4" t="n">
        <v>350</v>
      </c>
      <c r="C1603" t="inlineStr"/>
      <c r="D1603" t="inlineStr">
        <is>
          <t>18586 Rügen - Goehren</t>
        </is>
      </c>
      <c r="E1603" s="5" t="n">
        <v>45496</v>
      </c>
      <c r="F1603" t="inlineStr">
        <is>
          <t>Sold</t>
        </is>
      </c>
      <c r="G1603" s="6">
        <f>HYPERLINK("https://www.kleinanzeigen.de/s-anzeige/rrd-kite-13passion-8-religion-rrd-bar/2819506991-230-13005", "Link")</f>
        <v/>
      </c>
      <c r="H1603" s="6">
        <f>HYPERLINK("C:\Projects\Kleinanzeigen-Scraper\offer_images\2819506991", "Link")</f>
        <v/>
      </c>
      <c r="I1603" t="inlineStr">
        <is>
          <t>Diana</t>
        </is>
      </c>
      <c r="J1603" s="6">
        <f>HYPERLINK("https://www.kleinanzeigen.de/s-bestandsliste.html?userId=9785450", "Link")</f>
        <v/>
      </c>
      <c r="K1603" s="7" t="n">
        <v>45549.57758101852</v>
      </c>
      <c r="L1603" s="3" t="inlineStr">
        <is>
          <t>591.22</t>
        </is>
      </c>
      <c r="M1603" t="inlineStr">
        <is>
          <t>Köln</t>
        </is>
      </c>
    </row>
    <row r="1604">
      <c r="A1604" t="inlineStr">
        <is>
          <t>Stunt Scooter North tricks Roller</t>
        </is>
      </c>
      <c r="B1604" s="4" t="n">
        <v>55</v>
      </c>
      <c r="C1604" t="inlineStr"/>
      <c r="D1604" t="inlineStr">
        <is>
          <t>76829 Rheinland-Pfalz - Landau in der Pfalz</t>
        </is>
      </c>
      <c r="E1604" s="5" t="n">
        <v>45541</v>
      </c>
      <c r="F1604" t="inlineStr">
        <is>
          <t>Sold</t>
        </is>
      </c>
      <c r="G1604" s="6">
        <f>HYPERLINK("https://www.kleinanzeigen.de/s-anzeige/stunt-scooter-north-tricks-roller/2855783305-187-5219", "Link")</f>
        <v/>
      </c>
      <c r="H1604" s="6">
        <f>HYPERLINK("C:\Projects\Kleinanzeigen-Scraper\offer_images\2855783305", "Link")</f>
        <v/>
      </c>
      <c r="I1604" t="inlineStr">
        <is>
          <t>Tatjana</t>
        </is>
      </c>
      <c r="J1604" s="6">
        <f>HYPERLINK("https://www.kleinanzeigen.de/s-bestandsliste.html?userId=82880768", "Link")</f>
        <v/>
      </c>
      <c r="K1604" s="7" t="n">
        <v>45549.57758101852</v>
      </c>
      <c r="L1604" s="3" t="inlineStr">
        <is>
          <t>30.09</t>
        </is>
      </c>
      <c r="M1604" t="inlineStr">
        <is>
          <t>Karlsruhe</t>
        </is>
      </c>
    </row>
    <row r="1605">
      <c r="A1605" t="inlineStr">
        <is>
          <t>Isabella Vorzelt Capri North A989/G18 (975-999cm)</t>
        </is>
      </c>
      <c r="B1605" s="4" t="n">
        <v>1.5</v>
      </c>
      <c r="C1605" t="inlineStr">
        <is>
          <t>VB</t>
        </is>
      </c>
      <c r="D1605" t="inlineStr">
        <is>
          <t>63741 Bayern - Aschaffenburg</t>
        </is>
      </c>
      <c r="E1605" s="5" t="n">
        <v>45537</v>
      </c>
      <c r="F1605" t="inlineStr">
        <is>
          <t>Sold</t>
        </is>
      </c>
      <c r="G1605" s="6">
        <f>HYPERLINK("https://www.kleinanzeigen.de/s-anzeige/isabella-vorzelt-capri-north-a989-g18-975-999cm-/2852369696-230-7436", "Link")</f>
        <v/>
      </c>
      <c r="H1605" s="6">
        <f>HYPERLINK("C:\Projects\Kleinanzeigen-Scraper\offer_images\2852369696", "Link")</f>
        <v/>
      </c>
      <c r="I1605" t="inlineStr">
        <is>
          <t>Joe</t>
        </is>
      </c>
      <c r="J1605" s="6">
        <f>HYPERLINK("https://www.kleinanzeigen.de/s-bestandsliste.html?userId=127476875", "Link")</f>
        <v/>
      </c>
      <c r="K1605" s="7" t="n">
        <v>45549.57758101852</v>
      </c>
      <c r="L1605" s="3" t="inlineStr">
        <is>
          <t>121.64</t>
        </is>
      </c>
      <c r="M1605" t="inlineStr">
        <is>
          <t>Karlsruhe</t>
        </is>
      </c>
    </row>
    <row r="1606">
      <c r="A1606" t="inlineStr">
        <is>
          <t>North Navigator Pro Bar Kitesurfen neu</t>
        </is>
      </c>
      <c r="B1606" s="4" t="n">
        <v>584</v>
      </c>
      <c r="C1606" t="inlineStr"/>
      <c r="D1606" t="inlineStr">
        <is>
          <t>22457 Eimsbüttel - Hamburg Schnelsen</t>
        </is>
      </c>
      <c r="E1606" s="5" t="n">
        <v>45548</v>
      </c>
      <c r="F1606" t="inlineStr">
        <is>
          <t>Sold</t>
        </is>
      </c>
      <c r="G1606" s="6">
        <f>HYPERLINK("https://www.kleinanzeigen.de/s-anzeige/north-navigator-pro-bar-kitesurfen-neu/2836556659-230-9492", "Link")</f>
        <v/>
      </c>
      <c r="H1606" s="6">
        <f>HYPERLINK("C:\Projects\Kleinanzeigen-Scraper\offer_images\2836556659", "Link")</f>
        <v/>
      </c>
      <c r="I1606" t="inlineStr">
        <is>
          <t>No user name</t>
        </is>
      </c>
      <c r="J1606" s="6">
        <f>HYPERLINK("https://www.kleinanzeigen.deNo user link", "Link")</f>
        <v/>
      </c>
      <c r="K1606" s="7" t="n">
        <v>45549.57755787037</v>
      </c>
      <c r="L1606" s="3" t="inlineStr">
        <is>
          <t>362.41</t>
        </is>
      </c>
      <c r="M1606" t="inlineStr">
        <is>
          <t>Köln</t>
        </is>
      </c>
    </row>
    <row r="1607">
      <c r="A1607" t="inlineStr">
        <is>
          <t>Neoprenschuhe Neopren Schuhe 34 35 Neilpryde</t>
        </is>
      </c>
      <c r="B1607" s="4" t="n">
        <v>15</v>
      </c>
      <c r="C1607" t="inlineStr"/>
      <c r="D1607" t="inlineStr">
        <is>
          <t>21272 Niedersachsen - Egestorf</t>
        </is>
      </c>
      <c r="E1607" s="5" t="n">
        <v>45511</v>
      </c>
      <c r="F1607" t="inlineStr">
        <is>
          <t>Sold</t>
        </is>
      </c>
      <c r="G1607" s="6">
        <f>HYPERLINK("https://www.kleinanzeigen.de/s-anzeige/neoprenschuhe-neopren-schuhe-34-35-neilpryde/2831262304-230-2957", "Link")</f>
        <v/>
      </c>
      <c r="H1607" s="6">
        <f>HYPERLINK("C:\Projects\Kleinanzeigen-Scraper\offer_images\2831262304", "Link")</f>
        <v/>
      </c>
      <c r="I1607" t="inlineStr">
        <is>
          <t>Ich</t>
        </is>
      </c>
      <c r="J1607" s="6">
        <f>HYPERLINK("https://www.kleinanzeigen.de/s-bestandsliste.html?userId=4345720", "Link")</f>
        <v/>
      </c>
      <c r="K1607" s="7" t="n">
        <v>45549.57755787037</v>
      </c>
      <c r="L1607" s="3" t="inlineStr">
        <is>
          <t>328.75</t>
        </is>
      </c>
      <c r="M1607" t="inlineStr">
        <is>
          <t>Köln</t>
        </is>
      </c>
    </row>
    <row r="1608">
      <c r="A1608" t="inlineStr">
        <is>
          <t>C. KREUL GMBH Solo Goya Triton Acrylic Zitron 750 ml</t>
        </is>
      </c>
      <c r="B1608" s="4" t="n">
        <v>5</v>
      </c>
      <c r="C1608" t="inlineStr"/>
      <c r="D1608" t="inlineStr">
        <is>
          <t>76275 Baden-Württemberg - Ettlingen</t>
        </is>
      </c>
      <c r="E1608" s="5" t="n">
        <v>45544</v>
      </c>
      <c r="F1608" t="inlineStr"/>
      <c r="G1608" s="6">
        <f>HYPERLINK("https://www.kleinanzeigen.de/s-anzeige/c-kreul-gmbh-solo-goya-triton-acrylic-zitron-750-ml/2602172262-282-8929", "Link")</f>
        <v/>
      </c>
      <c r="H1608" s="6">
        <f>HYPERLINK("C:\Projects\Kleinanzeigen-Scraper\offer_images\2602172262", "Link")</f>
        <v/>
      </c>
      <c r="I1608" t="inlineStr">
        <is>
          <t>No user name</t>
        </is>
      </c>
      <c r="J1608" s="6">
        <f>HYPERLINK("https://www.kleinanzeigen.deNo user link", "Link")</f>
        <v/>
      </c>
      <c r="K1608" s="7" t="n">
        <v>45549.57755787037</v>
      </c>
      <c r="L1608" s="3" t="inlineStr">
        <is>
          <t>8.80</t>
        </is>
      </c>
      <c r="M1608" t="inlineStr">
        <is>
          <t>Karlsruhe</t>
        </is>
      </c>
    </row>
    <row r="1609">
      <c r="A1609" t="inlineStr">
        <is>
          <t>Skihose The North Face Größe M</t>
        </is>
      </c>
      <c r="B1609" s="4" t="n">
        <v>150</v>
      </c>
      <c r="C1609" t="inlineStr">
        <is>
          <t>VB</t>
        </is>
      </c>
      <c r="D1609" t="inlineStr">
        <is>
          <t>92256 Bayern - Hahnbach</t>
        </is>
      </c>
      <c r="E1609" s="5" t="n">
        <v>45549</v>
      </c>
      <c r="F1609" t="inlineStr">
        <is>
          <t>Sold</t>
        </is>
      </c>
      <c r="G1609" s="6">
        <f>HYPERLINK("https://www.kleinanzeigen.de/s-anzeige/skihose-the-north-face-groesse-m/2862634351-230-5638", "Link")</f>
        <v/>
      </c>
      <c r="H1609" s="6">
        <f>HYPERLINK("C:\Projects\Kleinanzeigen-Scraper\offer_images\2862634351", "Link")</f>
        <v/>
      </c>
      <c r="I1609" t="inlineStr">
        <is>
          <t>Matthias</t>
        </is>
      </c>
      <c r="J1609" s="6">
        <f>HYPERLINK("https://www.kleinanzeigen.de/s-bestandsliste.html?userId=35789264", "Link")</f>
        <v/>
      </c>
      <c r="K1609" s="7" t="n">
        <v>45549.57755787037</v>
      </c>
      <c r="L1609" s="3" t="inlineStr">
        <is>
          <t>155.66</t>
        </is>
      </c>
      <c r="M1609" t="inlineStr">
        <is>
          <t>München</t>
        </is>
      </c>
    </row>
    <row r="1610">
      <c r="A1610" t="inlineStr">
        <is>
          <t>Kite Bar Naish 24m Leine</t>
        </is>
      </c>
      <c r="B1610" s="4" t="n">
        <v>170</v>
      </c>
      <c r="C1610" t="inlineStr"/>
      <c r="D1610" t="inlineStr">
        <is>
          <t>18055 Rostock - Stadtmitte</t>
        </is>
      </c>
      <c r="E1610" s="5" t="n">
        <v>45514</v>
      </c>
      <c r="F1610" t="inlineStr">
        <is>
          <t>Sold</t>
        </is>
      </c>
      <c r="G1610" s="6">
        <f>HYPERLINK("https://www.kleinanzeigen.de/s-anzeige/kite-bar-naish-24m-leine/2833910205-230-157", "Link")</f>
        <v/>
      </c>
      <c r="H1610" s="6">
        <f>HYPERLINK("C:\Projects\Kleinanzeigen-Scraper\offer_images\2833910205", "Link")</f>
        <v/>
      </c>
      <c r="I1610" t="inlineStr">
        <is>
          <t>Katharina Blume</t>
        </is>
      </c>
      <c r="J1610" s="6">
        <f>HYPERLINK("https://www.kleinanzeigen.de/s-bestandsliste.html?userId=10967661", "Link")</f>
        <v/>
      </c>
      <c r="K1610" s="7" t="n">
        <v>45549.57755787037</v>
      </c>
      <c r="L1610" s="3" t="inlineStr">
        <is>
          <t>496.50</t>
        </is>
      </c>
      <c r="M1610" t="inlineStr">
        <is>
          <t>Köln</t>
        </is>
      </c>
    </row>
    <row r="1611">
      <c r="A1611" t="inlineStr">
        <is>
          <t>Neoprenanzug kurz Shorty NEILPRYDE Shorty 3000 Series</t>
        </is>
      </c>
      <c r="B1611" s="4" t="n">
        <v>20</v>
      </c>
      <c r="C1611" t="inlineStr"/>
      <c r="D1611" t="inlineStr">
        <is>
          <t>21039 Hamburg - Bergedorf</t>
        </is>
      </c>
      <c r="E1611" s="5" t="n">
        <v>45542</v>
      </c>
      <c r="F1611" t="inlineStr">
        <is>
          <t>Sold</t>
        </is>
      </c>
      <c r="G1611" s="6">
        <f>HYPERLINK("https://www.kleinanzeigen.de/s-anzeige/neoprenanzug-kurz-shorty-neilpryde-shorty-3000-series/2856144946-230-16433", "Link")</f>
        <v/>
      </c>
      <c r="H1611" s="6">
        <f>HYPERLINK("C:\Projects\Kleinanzeigen-Scraper\offer_images\2856144946", "Link")</f>
        <v/>
      </c>
      <c r="I1611" t="inlineStr">
        <is>
          <t>Privat</t>
        </is>
      </c>
      <c r="J1611" s="6">
        <f>HYPERLINK("https://www.kleinanzeigen.de/s-bestandsliste.html?userId=2691048", "Link")</f>
        <v/>
      </c>
      <c r="K1611" s="7" t="n">
        <v>45549.57753472222</v>
      </c>
      <c r="L1611" s="3" t="inlineStr">
        <is>
          <t>360.30</t>
        </is>
      </c>
      <c r="M1611" t="inlineStr">
        <is>
          <t>Köln</t>
        </is>
      </c>
    </row>
    <row r="1612">
      <c r="A1612" t="inlineStr">
        <is>
          <t>Naish Pivot 14qm</t>
        </is>
      </c>
      <c r="B1612" s="4" t="n">
        <v>280</v>
      </c>
      <c r="C1612" t="inlineStr">
        <is>
          <t>VB</t>
        </is>
      </c>
      <c r="D1612" t="inlineStr">
        <is>
          <t>30519 Hannover - Döhren-Wülfel</t>
        </is>
      </c>
      <c r="E1612" s="5" t="n">
        <v>45496</v>
      </c>
      <c r="F1612" t="inlineStr">
        <is>
          <t>Sold</t>
        </is>
      </c>
      <c r="G1612" s="6">
        <f>HYPERLINK("https://www.kleinanzeigen.de/s-anzeige/naish-pivot-14qm/2819213721-230-3174", "Link")</f>
        <v/>
      </c>
      <c r="H1612" s="6">
        <f>HYPERLINK("C:\Projects\Kleinanzeigen-Scraper\offer_images\2819213721", "Link")</f>
        <v/>
      </c>
      <c r="I1612" t="inlineStr">
        <is>
          <t>Ansgar</t>
        </is>
      </c>
      <c r="J1612" s="6">
        <f>HYPERLINK("https://www.kleinanzeigen.de/s-bestandsliste.html?userId=8077534", "Link")</f>
        <v/>
      </c>
      <c r="K1612" s="7" t="n">
        <v>45549.57753472222</v>
      </c>
      <c r="L1612" s="3" t="inlineStr">
        <is>
          <t>248.98</t>
        </is>
      </c>
      <c r="M1612" t="inlineStr">
        <is>
          <t>Köln</t>
        </is>
      </c>
    </row>
    <row r="1613">
      <c r="A1613" t="inlineStr">
        <is>
          <t>Fanatic Foil Bag</t>
        </is>
      </c>
      <c r="B1613" s="4" t="n">
        <v>35</v>
      </c>
      <c r="C1613" t="inlineStr">
        <is>
          <t>VB</t>
        </is>
      </c>
      <c r="D1613" t="inlineStr">
        <is>
          <t>24340 Schleswig-Holstein - Eckernförde</t>
        </is>
      </c>
      <c r="E1613" s="5" t="n">
        <v>45518</v>
      </c>
      <c r="F1613" t="inlineStr">
        <is>
          <t>Sold</t>
        </is>
      </c>
      <c r="G1613" s="6">
        <f>HYPERLINK("https://www.kleinanzeigen.de/s-anzeige/fanatic-foil-bag/2836782755-230-13234", "Link")</f>
        <v/>
      </c>
      <c r="H1613" s="6">
        <f>HYPERLINK("C:\Projects\Kleinanzeigen-Scraper\offer_images\2836782755", "Link")</f>
        <v/>
      </c>
      <c r="I1613" t="inlineStr">
        <is>
          <t>Joost</t>
        </is>
      </c>
      <c r="J1613" s="6">
        <f>HYPERLINK("https://www.kleinanzeigen.de/s-bestandsliste.html?userId=77170974", "Link")</f>
        <v/>
      </c>
      <c r="K1613" s="7" t="n">
        <v>45549.57753472222</v>
      </c>
      <c r="L1613" s="3" t="inlineStr">
        <is>
          <t>434.69</t>
        </is>
      </c>
      <c r="M1613" t="inlineStr">
        <is>
          <t>Köln</t>
        </is>
      </c>
    </row>
    <row r="1614">
      <c r="A1614" t="inlineStr">
        <is>
          <t>Surfanzug Neopren Junior von Neilpryde Gr. 10 - Top Zustand</t>
        </is>
      </c>
      <c r="B1614" s="4" t="n">
        <v>49</v>
      </c>
      <c r="C1614" t="inlineStr">
        <is>
          <t>VB</t>
        </is>
      </c>
      <c r="D1614" t="inlineStr">
        <is>
          <t>31535 Niedersachsen - Neustadt am Rübenberge</t>
        </is>
      </c>
      <c r="E1614" s="5" t="n">
        <v>45505</v>
      </c>
      <c r="F1614" t="inlineStr">
        <is>
          <t>Sold</t>
        </is>
      </c>
      <c r="G1614" s="6">
        <f>HYPERLINK("https://www.kleinanzeigen.de/s-anzeige/surfanzug-neopren-junior-von-neilpryde-gr-10-top-zustand/2826721647-230-2912", "Link")</f>
        <v/>
      </c>
      <c r="H1614" s="6">
        <f>HYPERLINK("C:\Projects\Kleinanzeigen-Scraper\offer_images\2826721647", "Link")</f>
        <v/>
      </c>
      <c r="I1614" t="inlineStr">
        <is>
          <t>Jacobs</t>
        </is>
      </c>
      <c r="J1614" s="6">
        <f>HYPERLINK("https://www.kleinanzeigen.de/s-bestandsliste.html?userId=14022852", "Link")</f>
        <v/>
      </c>
      <c r="K1614" s="7" t="n">
        <v>45549.57753472222</v>
      </c>
      <c r="L1614" s="3" t="inlineStr">
        <is>
          <t>248.74</t>
        </is>
      </c>
      <c r="M1614" t="inlineStr">
        <is>
          <t>Köln</t>
        </is>
      </c>
    </row>
    <row r="1615">
      <c r="A1615" t="inlineStr">
        <is>
          <t>Neoprenanzug QuickSilver Naish Small Men</t>
        </is>
      </c>
      <c r="B1615" s="4" t="n">
        <v>35</v>
      </c>
      <c r="C1615" t="inlineStr"/>
      <c r="D1615" t="inlineStr">
        <is>
          <t>67158 Rheinland-Pfalz - Ellerstadt</t>
        </is>
      </c>
      <c r="E1615" s="5" t="n">
        <v>45529</v>
      </c>
      <c r="F1615" t="inlineStr">
        <is>
          <t>Sold</t>
        </is>
      </c>
      <c r="G1615" s="6">
        <f>HYPERLINK("https://www.kleinanzeigen.de/s-anzeige/neoprenanzug-quicksilver-naish-small-men/2845866375-230-5338", "Link")</f>
        <v/>
      </c>
      <c r="H1615" s="6">
        <f>HYPERLINK("C:\Projects\Kleinanzeigen-Scraper\offer_images\2845866375", "Link")</f>
        <v/>
      </c>
      <c r="I1615" t="inlineStr">
        <is>
          <t>Matthes</t>
        </is>
      </c>
      <c r="J1615" s="6">
        <f>HYPERLINK("https://www.kleinanzeigen.de/s-bestandsliste.html?userId=40860031", "Link")</f>
        <v/>
      </c>
      <c r="K1615" s="7" t="n">
        <v>45549.57751157408</v>
      </c>
      <c r="L1615" s="3" t="inlineStr">
        <is>
          <t>51.69</t>
        </is>
      </c>
      <c r="M1615" t="inlineStr">
        <is>
          <t>Karlsruhe</t>
        </is>
      </c>
    </row>
    <row r="1616">
      <c r="A1616" t="inlineStr">
        <is>
          <t>Kite RRD Religion MK5 12m</t>
        </is>
      </c>
      <c r="B1616" s="4" t="n">
        <v>190</v>
      </c>
      <c r="C1616" t="inlineStr"/>
      <c r="D1616" t="inlineStr">
        <is>
          <t>68789 Baden-Württemberg - St. Leon-Rot</t>
        </is>
      </c>
      <c r="E1616" s="5" t="n">
        <v>45388</v>
      </c>
      <c r="F1616" t="inlineStr">
        <is>
          <t>Sold</t>
        </is>
      </c>
      <c r="G1616" s="6">
        <f>HYPERLINK("https://www.kleinanzeigen.de/s-anzeige/kite-rrd-religion-mk5-12m/2727785718-230-8251", "Link")</f>
        <v/>
      </c>
      <c r="H1616" s="6">
        <f>HYPERLINK("C:\Projects\Kleinanzeigen-Scraper\offer_images\2727785718", "Link")</f>
        <v/>
      </c>
      <c r="I1616" t="inlineStr">
        <is>
          <t>Tobias</t>
        </is>
      </c>
      <c r="J1616" s="6">
        <f>HYPERLINK("https://www.kleinanzeigen.de/s-bestandsliste.html?userId=6706363", "Link")</f>
        <v/>
      </c>
      <c r="K1616" s="7" t="n">
        <v>45549.57751157408</v>
      </c>
      <c r="L1616" s="3" t="inlineStr">
        <is>
          <t>32.56</t>
        </is>
      </c>
      <c r="M1616" t="inlineStr">
        <is>
          <t>Karlsruhe</t>
        </is>
      </c>
    </row>
    <row r="1617">
      <c r="A1617" t="inlineStr">
        <is>
          <t>Naish Wingsurfer MK4 schwarz / rot in 4,5qm</t>
        </is>
      </c>
      <c r="B1617" s="4" t="n">
        <v>320</v>
      </c>
      <c r="C1617" t="inlineStr">
        <is>
          <t>VB</t>
        </is>
      </c>
      <c r="D1617" t="inlineStr">
        <is>
          <t>24321 Schleswig-Holstein - Lütjenburg</t>
        </is>
      </c>
      <c r="E1617" s="5" t="n">
        <v>45515</v>
      </c>
      <c r="F1617" t="inlineStr">
        <is>
          <t>Sold</t>
        </is>
      </c>
      <c r="G1617" s="6">
        <f>HYPERLINK("https://www.kleinanzeigen.de/s-anzeige/naish-wingsurfer-mk4-schwarz-rot-in-4-5qm/2834762461-230-10594", "Link")</f>
        <v/>
      </c>
      <c r="H1617" s="6">
        <f>HYPERLINK("C:\Projects\Kleinanzeigen-Scraper\offer_images\2834762461", "Link")</f>
        <v/>
      </c>
      <c r="I1617" t="inlineStr">
        <is>
          <t>Hasko Facklam</t>
        </is>
      </c>
      <c r="J1617" s="6">
        <f>HYPERLINK("https://www.kleinanzeigen.de/s-bestandsliste.html?userId=48599792", "Link")</f>
        <v/>
      </c>
      <c r="K1617" s="7" t="n">
        <v>45549.57751157408</v>
      </c>
      <c r="L1617" s="3" t="inlineStr">
        <is>
          <t>446.03</t>
        </is>
      </c>
      <c r="M1617" t="inlineStr">
        <is>
          <t>Köln</t>
        </is>
      </c>
    </row>
    <row r="1618">
      <c r="A1618" t="inlineStr">
        <is>
          <t>Fanatic SUP Paddle Carbon 80 Slim Adjustable wie neu</t>
        </is>
      </c>
      <c r="B1618" s="4" t="n">
        <v>165</v>
      </c>
      <c r="C1618" t="inlineStr"/>
      <c r="D1618" t="inlineStr">
        <is>
          <t>47807 Nordrhein-Westfalen - Krefeld</t>
        </is>
      </c>
      <c r="E1618" s="5" t="n">
        <v>45528</v>
      </c>
      <c r="F1618" t="inlineStr">
        <is>
          <t>Sold</t>
        </is>
      </c>
      <c r="G1618" s="6">
        <f>HYPERLINK("https://www.kleinanzeigen.de/s-anzeige/fanatic-sup-paddle-carbon-80-slim-adjustable-wie-neu/2844673511-230-1980", "Link")</f>
        <v/>
      </c>
      <c r="H1618" s="6">
        <f>HYPERLINK("C:\Projects\Kleinanzeigen-Scraper\offer_images\2844673511", "Link")</f>
        <v/>
      </c>
      <c r="I1618" t="inlineStr">
        <is>
          <t>CW</t>
        </is>
      </c>
      <c r="J1618" s="6">
        <f>HYPERLINK("https://www.kleinanzeigen.de/s-bestandsliste.html?userId=9701186", "Link")</f>
        <v/>
      </c>
      <c r="K1618" s="7" t="n">
        <v>45549.57748842592</v>
      </c>
      <c r="L1618" s="3" t="inlineStr">
        <is>
          <t>48.26</t>
        </is>
      </c>
      <c r="M1618" t="inlineStr">
        <is>
          <t>Köln</t>
        </is>
      </c>
    </row>
    <row r="1619">
      <c r="A1619" t="inlineStr">
        <is>
          <t>Wing Wingfoilen NeilPryde Fly ll 3,5  qm</t>
        </is>
      </c>
      <c r="B1619" s="4" t="n">
        <v>685</v>
      </c>
      <c r="C1619" t="inlineStr"/>
      <c r="D1619" t="inlineStr">
        <is>
          <t>81925 München - Bogenhausen</t>
        </is>
      </c>
      <c r="E1619" s="5" t="n">
        <v>45508</v>
      </c>
      <c r="F1619" t="inlineStr">
        <is>
          <t>Sold</t>
        </is>
      </c>
      <c r="G1619" s="6">
        <f>HYPERLINK("https://www.kleinanzeigen.de/s-anzeige/wing-wingfoilen-neilpryde-fly-ll-3-5-qm/2829088327-230-6528", "Link")</f>
        <v/>
      </c>
      <c r="H1619" s="6">
        <f>HYPERLINK("C:\Projects\Kleinanzeigen-Scraper\offer_images\2829088327", "Link")</f>
        <v/>
      </c>
      <c r="I1619" t="inlineStr">
        <is>
          <t>Monika</t>
        </is>
      </c>
      <c r="J1619" s="6">
        <f>HYPERLINK("https://www.kleinanzeigen.de/s-bestandsliste.html?userId=25843151", "Link")</f>
        <v/>
      </c>
      <c r="K1619" s="7" t="n">
        <v>45549.57748842592</v>
      </c>
      <c r="L1619" s="3" t="inlineStr">
        <is>
          <t>4.67</t>
        </is>
      </c>
      <c r="M1619" t="inlineStr">
        <is>
          <t>München</t>
        </is>
      </c>
    </row>
    <row r="1620">
      <c r="A1620" t="inlineStr">
        <is>
          <t>North Kite Reach 2024 7qm Turquoise</t>
        </is>
      </c>
      <c r="B1620" s="4" t="n">
        <v>825</v>
      </c>
      <c r="C1620" t="inlineStr">
        <is>
          <t>VB</t>
        </is>
      </c>
      <c r="D1620" t="inlineStr">
        <is>
          <t>26465 Niedersachsen - Langeoog</t>
        </is>
      </c>
      <c r="E1620" s="5" t="n">
        <v>45538</v>
      </c>
      <c r="F1620" t="inlineStr">
        <is>
          <t>Sold</t>
        </is>
      </c>
      <c r="G1620" s="6">
        <f>HYPERLINK("https://www.kleinanzeigen.de/s-anzeige/north-kite-reach-2024-7qm-turquoise/2853320896-230-2480", "Link")</f>
        <v/>
      </c>
      <c r="H1620" s="6">
        <f>HYPERLINK("C:\Projects\Kleinanzeigen-Scraper\offer_images\2853320896", "Link")</f>
        <v/>
      </c>
      <c r="I1620" t="inlineStr">
        <is>
          <t>Tidens Surfhuus</t>
        </is>
      </c>
      <c r="J1620" s="6">
        <f>HYPERLINK("https://www.kleinanzeigen.de/s-bestandsliste.html?userId=122521264", "Link")</f>
        <v/>
      </c>
      <c r="K1620" s="7" t="n">
        <v>45549.57748842592</v>
      </c>
      <c r="L1620" s="3" t="inlineStr">
        <is>
          <t>314.45</t>
        </is>
      </c>
      <c r="M1620" t="inlineStr">
        <is>
          <t>Köln</t>
        </is>
      </c>
    </row>
    <row r="1621">
      <c r="A1621" t="inlineStr">
        <is>
          <t>The North Face Fischerhut L/XL neu Sonnenhut Bucket</t>
        </is>
      </c>
      <c r="B1621" s="4" t="n">
        <v>23</v>
      </c>
      <c r="C1621" t="inlineStr"/>
      <c r="D1621" t="inlineStr">
        <is>
          <t>67659 Rheinland-Pfalz - Kaiserslautern</t>
        </is>
      </c>
      <c r="E1621" s="5" t="n">
        <v>45541</v>
      </c>
      <c r="F1621" t="inlineStr">
        <is>
          <t>Sold</t>
        </is>
      </c>
      <c r="G1621" s="6">
        <f>HYPERLINK("https://www.kleinanzeigen.de/s-anzeige/the-north-face-fischerhut-l-xl-neu-sonnenhut-bucket/2855812277-230-5469", "Link")</f>
        <v/>
      </c>
      <c r="H1621" s="6">
        <f>HYPERLINK("C:\Projects\Kleinanzeigen-Scraper\offer_images\2855812277", "Link")</f>
        <v/>
      </c>
      <c r="I1621" t="inlineStr">
        <is>
          <t>SCHMIDT</t>
        </is>
      </c>
      <c r="J1621" s="6">
        <f>HYPERLINK("https://www.kleinanzeigen.de/s-bestandsliste.html?userId=24641463", "Link")</f>
        <v/>
      </c>
      <c r="K1621" s="7" t="n">
        <v>45549.57748842592</v>
      </c>
      <c r="L1621" s="3" t="inlineStr">
        <is>
          <t>69.63</t>
        </is>
      </c>
      <c r="M1621" t="inlineStr">
        <is>
          <t>Karlsruhe</t>
        </is>
      </c>
    </row>
    <row r="1622">
      <c r="A1622" t="inlineStr">
        <is>
          <t>Naish Foil MA 1600 System Carbon (neu)</t>
        </is>
      </c>
      <c r="B1622" s="4" t="n">
        <v>480</v>
      </c>
      <c r="C1622" t="inlineStr"/>
      <c r="D1622" t="inlineStr">
        <is>
          <t>42657 Nordrhein-Westfalen - Solingen</t>
        </is>
      </c>
      <c r="E1622" s="5" t="n">
        <v>45543</v>
      </c>
      <c r="F1622" t="inlineStr"/>
      <c r="G1622" s="6">
        <f>HYPERLINK("https://www.kleinanzeigen.de/s-anzeige/naish-foil-ma-1600-system-carbon-neu-/2857878354-230-2119", "Link")</f>
        <v/>
      </c>
      <c r="H1622" s="6">
        <f>HYPERLINK("C:\Projects\Kleinanzeigen-Scraper\offer_images\2857878354", "Link")</f>
        <v/>
      </c>
      <c r="I1622" t="inlineStr">
        <is>
          <t>Sven Miedek</t>
        </is>
      </c>
      <c r="J1622" s="6">
        <f>HYPERLINK("https://www.kleinanzeigen.de/s-bestandsliste.html?userId=13426453", "Link")</f>
        <v/>
      </c>
      <c r="K1622" s="7" t="n">
        <v>45549.57748842592</v>
      </c>
      <c r="L1622" s="3" t="inlineStr">
        <is>
          <t>25.08</t>
        </is>
      </c>
      <c r="M1622" t="inlineStr">
        <is>
          <t>Köln</t>
        </is>
      </c>
    </row>
    <row r="1623">
      <c r="A1623" t="inlineStr">
        <is>
          <t>Shorty Neilpryde ärmellos Gr. 56 neu</t>
        </is>
      </c>
      <c r="B1623" s="4" t="n">
        <v>29</v>
      </c>
      <c r="C1623" t="inlineStr">
        <is>
          <t>VB</t>
        </is>
      </c>
      <c r="D1623" t="inlineStr">
        <is>
          <t>39291 Sachsen-Anhalt - Möser</t>
        </is>
      </c>
      <c r="E1623" s="5" t="n">
        <v>45493</v>
      </c>
      <c r="F1623" t="inlineStr">
        <is>
          <t>Sold</t>
        </is>
      </c>
      <c r="G1623" s="6">
        <f>HYPERLINK("https://www.kleinanzeigen.de/s-anzeige/shorty-neilpryde-aermellos-gr-56-neu/2816825998-230-18970", "Link")</f>
        <v/>
      </c>
      <c r="H1623" s="6">
        <f>HYPERLINK("C:\Projects\Kleinanzeigen-Scraper\offer_images\2816825998", "Link")</f>
        <v/>
      </c>
      <c r="I1623" t="inlineStr">
        <is>
          <t>Mario Koch</t>
        </is>
      </c>
      <c r="J1623" s="6">
        <f>HYPERLINK("https://www.kleinanzeigen.de/s-bestandsliste.html?userId=22304585", "Link")</f>
        <v/>
      </c>
      <c r="K1623" s="7" t="n">
        <v>45549.57748842592</v>
      </c>
      <c r="L1623" s="3" t="inlineStr">
        <is>
          <t>370.77</t>
        </is>
      </c>
      <c r="M1623" t="inlineStr">
        <is>
          <t>Köln</t>
        </is>
      </c>
    </row>
    <row r="1624">
      <c r="A1624" t="inlineStr">
        <is>
          <t>Ballett Spitzenschuhe Pointe Shoes Marke F.R. Duval 7W Flex DV</t>
        </is>
      </c>
      <c r="B1624" s="4" t="n">
        <v>50</v>
      </c>
      <c r="C1624" t="inlineStr">
        <is>
          <t>VB</t>
        </is>
      </c>
      <c r="D1624" t="inlineStr">
        <is>
          <t>39108 Sachsen-Anhalt - Magdeburg</t>
        </is>
      </c>
      <c r="E1624" s="5" t="n">
        <v>45311</v>
      </c>
      <c r="F1624" t="inlineStr"/>
      <c r="G1624" s="6">
        <f>HYPERLINK("https://www.kleinanzeigen.de/s-anzeige/ballett-spitzenschuhe-pointe-shoes-marke-f-r-duval-7w-flex-dv/2657797361-230-2229", "Link")</f>
        <v/>
      </c>
      <c r="H1624" s="6">
        <f>HYPERLINK("C:\Projects\Kleinanzeigen-Scraper\offer_images\2657797361", "Link")</f>
        <v/>
      </c>
      <c r="I1624" t="inlineStr">
        <is>
          <t>Lissi</t>
        </is>
      </c>
      <c r="J1624" s="6">
        <f>HYPERLINK("https://www.kleinanzeigen.de/s-bestandsliste.html?userId=75020208", "Link")</f>
        <v/>
      </c>
      <c r="K1624" s="7" t="n">
        <v>45549.57746527778</v>
      </c>
      <c r="L1624" s="3" t="inlineStr">
        <is>
          <t>348.70</t>
        </is>
      </c>
      <c r="M1624" t="inlineStr">
        <is>
          <t>Köln</t>
        </is>
      </c>
    </row>
    <row r="1625">
      <c r="A1625" t="inlineStr">
        <is>
          <t>Airfix 02083 1:72 North American P-51B Mustang</t>
        </is>
      </c>
      <c r="B1625" s="4" t="n">
        <v>6</v>
      </c>
      <c r="C1625" t="inlineStr">
        <is>
          <t>VB</t>
        </is>
      </c>
      <c r="D1625" t="inlineStr">
        <is>
          <t>47169 Duisburg - Röttgersbach</t>
        </is>
      </c>
      <c r="E1625" s="5" t="n">
        <v>45547</v>
      </c>
      <c r="F1625" t="inlineStr">
        <is>
          <t>Sold</t>
        </is>
      </c>
      <c r="G1625" s="6">
        <f>HYPERLINK("https://www.kleinanzeigen.de/s-anzeige/airfix-02083-1-72-north-american-p-51b-mustang/2861641505-249-23951", "Link")</f>
        <v/>
      </c>
      <c r="H1625" s="6">
        <f>HYPERLINK("C:\Projects\Kleinanzeigen-Scraper\offer_images\2861641505", "Link")</f>
        <v/>
      </c>
      <c r="I1625" t="inlineStr">
        <is>
          <t>Haeffs/Hlobik</t>
        </is>
      </c>
      <c r="J1625" s="6">
        <f>HYPERLINK("https://www.kleinanzeigen.de/s-bestandsliste.html?userId=43501739", "Link")</f>
        <v/>
      </c>
      <c r="K1625" s="7" t="n">
        <v>45549.57745370371</v>
      </c>
      <c r="L1625" s="3" t="inlineStr">
        <is>
          <t>65.16</t>
        </is>
      </c>
      <c r="M1625" t="inlineStr">
        <is>
          <t>Köln</t>
        </is>
      </c>
    </row>
    <row r="1626">
      <c r="A1626" t="inlineStr">
        <is>
          <t>Naish Jet 1050 Frontflügel - Foil</t>
        </is>
      </c>
      <c r="B1626" s="4" t="n">
        <v>225</v>
      </c>
      <c r="C1626" t="inlineStr"/>
      <c r="D1626" t="inlineStr">
        <is>
          <t>20251 Hamburg-Nord - Hamburg Eppendorf</t>
        </is>
      </c>
      <c r="E1626" s="5" t="n">
        <v>45554</v>
      </c>
      <c r="F1626" t="inlineStr"/>
      <c r="G1626" s="6">
        <f>HYPERLINK("https://www.kleinanzeigen.de/s-anzeige/naish-jet-1050-frontfluegel-foil/2847912102-230-9475", "Link")</f>
        <v/>
      </c>
      <c r="H1626" s="6">
        <f>HYPERLINK("C:\Projects\Kleinanzeigen-Scraper\offer_images\2847912102", "Link")</f>
        <v/>
      </c>
      <c r="I1626" t="inlineStr">
        <is>
          <t>Joe</t>
        </is>
      </c>
      <c r="J1626" s="6">
        <f>HYPERLINK("https://www.kleinanzeigen.de/s-bestandsliste.html?userId=2904230", "Link")</f>
        <v/>
      </c>
      <c r="K1626" s="7" t="n">
        <v>45549.57744212963</v>
      </c>
      <c r="L1626" s="3" t="inlineStr">
        <is>
          <t>360.06</t>
        </is>
      </c>
      <c r="M1626" t="inlineStr">
        <is>
          <t>Köln</t>
        </is>
      </c>
    </row>
    <row r="1627">
      <c r="A1627" t="inlineStr">
        <is>
          <t>Snowboard Stiefel/Boots Nitro Vandal US 9.5</t>
        </is>
      </c>
      <c r="B1627" s="4" t="n">
        <v>49</v>
      </c>
      <c r="C1627" t="inlineStr">
        <is>
          <t>VB</t>
        </is>
      </c>
      <c r="D1627" t="inlineStr">
        <is>
          <t>86633 Bayern - Neuburg a.d. Donau</t>
        </is>
      </c>
      <c r="E1627" s="5" t="n">
        <v>45221</v>
      </c>
      <c r="F1627" t="inlineStr"/>
      <c r="G1627" s="6">
        <f>HYPERLINK("https://www.kleinanzeigen.de/s-anzeige/snowboard-stiefel-boots-nitro-vandal-us-9-5/2580132513-230-6611", "Link")</f>
        <v/>
      </c>
      <c r="H1627" s="6">
        <f>HYPERLINK("C:\Projects\Kleinanzeigen-Scraper\offer_images\2580132513", "Link")</f>
        <v/>
      </c>
      <c r="I1627" t="inlineStr">
        <is>
          <t>N. Koch</t>
        </is>
      </c>
      <c r="J1627" s="6">
        <f>HYPERLINK("https://www.kleinanzeigen.de/s-bestandsliste.html?userId=23181131", "Link")</f>
        <v/>
      </c>
      <c r="K1627" s="7" t="n">
        <v>45549.57744212963</v>
      </c>
      <c r="L1627" s="3" t="inlineStr">
        <is>
          <t>71.67</t>
        </is>
      </c>
      <c r="M1627" t="inlineStr">
        <is>
          <t>München</t>
        </is>
      </c>
    </row>
    <row r="1628">
      <c r="A1628" t="inlineStr">
        <is>
          <t>Bikini Simmer Gr. 38 Swimwear</t>
        </is>
      </c>
      <c r="B1628" s="4" t="n">
        <v>15</v>
      </c>
      <c r="C1628" t="inlineStr"/>
      <c r="D1628" t="inlineStr">
        <is>
          <t>38106 Niedersachsen - Braunschweig</t>
        </is>
      </c>
      <c r="E1628" s="5" t="n">
        <v>44975</v>
      </c>
      <c r="F1628" t="inlineStr"/>
      <c r="G1628" s="6">
        <f>HYPERLINK("https://www.kleinanzeigen.de/s-anzeige/bikini-simmer-gr-38-swimwear/2361218381-230-2461", "Link")</f>
        <v/>
      </c>
      <c r="H1628" s="6">
        <f>HYPERLINK("C:\Projects\Kleinanzeigen-Scraper\offer_images\2361218381", "Link")</f>
        <v/>
      </c>
      <c r="I1628" t="inlineStr">
        <is>
          <t>Privat</t>
        </is>
      </c>
      <c r="J1628" s="6">
        <f>HYPERLINK("https://www.kleinanzeigen.de/s-bestandsliste.html?userId=7175729", "Link")</f>
        <v/>
      </c>
      <c r="K1628" s="7" t="n">
        <v>45549.57744212963</v>
      </c>
      <c r="L1628" s="3" t="inlineStr">
        <is>
          <t>288.99</t>
        </is>
      </c>
      <c r="M1628" t="inlineStr">
        <is>
          <t>Köln</t>
        </is>
      </c>
    </row>
    <row r="1629">
      <c r="A1629" t="inlineStr">
        <is>
          <t>Duotone Evo SLS 8+10+12 Kite im Kundenauftrag Kitesurfen</t>
        </is>
      </c>
      <c r="B1629" s="4" t="n">
        <v>899</v>
      </c>
      <c r="C1629" t="inlineStr"/>
      <c r="D1629" t="inlineStr">
        <is>
          <t>22457 Eimsbüttel - Hamburg Schnelsen</t>
        </is>
      </c>
      <c r="E1629" s="5" t="n">
        <v>45547</v>
      </c>
      <c r="F1629" t="inlineStr">
        <is>
          <t>Sold</t>
        </is>
      </c>
      <c r="G1629" s="6">
        <f>HYPERLINK("https://www.kleinanzeigen.de/s-anzeige/duotone-evo-sls-8-10-12-kite-im-kundenauftrag-kitesurfen/2861110778-230-9492", "Link")</f>
        <v/>
      </c>
      <c r="H1629" s="6">
        <f>HYPERLINK("C:\Projects\Kleinanzeigen-Scraper\offer_images\2861110778", "Link")</f>
        <v/>
      </c>
      <c r="I1629" t="inlineStr">
        <is>
          <t>No user name</t>
        </is>
      </c>
      <c r="J1629" s="6">
        <f>HYPERLINK("https://www.kleinanzeigen.deNo user link", "Link")</f>
        <v/>
      </c>
      <c r="K1629" s="7" t="n">
        <v>45549.57744212963</v>
      </c>
      <c r="L1629" s="3" t="inlineStr">
        <is>
          <t>362.41</t>
        </is>
      </c>
      <c r="M1629" t="inlineStr">
        <is>
          <t>Köln</t>
        </is>
      </c>
    </row>
    <row r="1630">
      <c r="A1630" t="inlineStr">
        <is>
          <t>Kite RRD 12 m² Passion MK 10</t>
        </is>
      </c>
      <c r="B1630" s="4" t="n">
        <v>320</v>
      </c>
      <c r="C1630" t="inlineStr">
        <is>
          <t>VB</t>
        </is>
      </c>
      <c r="D1630" t="inlineStr">
        <is>
          <t>19057 Schwerin - Lankow</t>
        </is>
      </c>
      <c r="E1630" s="5" t="n">
        <v>45540</v>
      </c>
      <c r="F1630" t="inlineStr">
        <is>
          <t>Sold</t>
        </is>
      </c>
      <c r="G1630" s="6">
        <f>HYPERLINK("https://www.kleinanzeigen.de/s-anzeige/kite-rrd-12-m-passion-mk-10/2855026785-230-281", "Link")</f>
        <v/>
      </c>
      <c r="H1630" s="6">
        <f>HYPERLINK("C:\Projects\Kleinanzeigen-Scraper\offer_images\2855026785", "Link")</f>
        <v/>
      </c>
      <c r="I1630" t="inlineStr">
        <is>
          <t>Kim</t>
        </is>
      </c>
      <c r="J1630" s="6">
        <f>HYPERLINK("https://www.kleinanzeigen.de/s-bestandsliste.html?userId=141461145", "Link")</f>
        <v/>
      </c>
      <c r="K1630" s="7" t="n">
        <v>45549.57741898148</v>
      </c>
      <c r="L1630" s="3" t="inlineStr">
        <is>
          <t>424.45</t>
        </is>
      </c>
      <c r="M1630" t="inlineStr">
        <is>
          <t>Köln</t>
        </is>
      </c>
    </row>
    <row r="1631">
      <c r="A1631" t="inlineStr">
        <is>
          <t>Duotone Unit Wing 2024 neu Wingsurfen</t>
        </is>
      </c>
      <c r="B1631" s="4" t="n">
        <v>741</v>
      </c>
      <c r="C1631" t="inlineStr"/>
      <c r="D1631" t="inlineStr">
        <is>
          <t>22457 Eimsbüttel - Hamburg Schnelsen</t>
        </is>
      </c>
      <c r="E1631" s="5" t="n">
        <v>45541</v>
      </c>
      <c r="F1631" t="inlineStr">
        <is>
          <t>Sold</t>
        </is>
      </c>
      <c r="G1631" s="6">
        <f>HYPERLINK("https://www.kleinanzeigen.de/s-anzeige/duotone-unit-wing-2024-neu-wingsurfen/2730313679-230-9492", "Link")</f>
        <v/>
      </c>
      <c r="H1631" s="6">
        <f>HYPERLINK("C:\Projects\Kleinanzeigen-Scraper\offer_images\2730313679", "Link")</f>
        <v/>
      </c>
      <c r="I1631" t="inlineStr">
        <is>
          <t>No user name</t>
        </is>
      </c>
      <c r="J1631" s="6">
        <f>HYPERLINK("https://www.kleinanzeigen.deNo user link", "Link")</f>
        <v/>
      </c>
      <c r="K1631" s="7" t="n">
        <v>45549.57741898148</v>
      </c>
      <c r="L1631" s="3" t="inlineStr">
        <is>
          <t>362.41</t>
        </is>
      </c>
      <c r="M1631" t="inlineStr">
        <is>
          <t>Köln</t>
        </is>
      </c>
    </row>
    <row r="1632">
      <c r="A1632" t="inlineStr">
        <is>
          <t>Peak Performance Gore Tex Jacke, L, kein Mammut, The North Face</t>
        </is>
      </c>
      <c r="B1632" s="4" t="n">
        <v>50</v>
      </c>
      <c r="C1632" t="inlineStr"/>
      <c r="D1632" t="inlineStr">
        <is>
          <t>85399 Bayern - Hallbergmoos</t>
        </is>
      </c>
      <c r="E1632" s="5" t="n">
        <v>45538</v>
      </c>
      <c r="F1632" t="inlineStr">
        <is>
          <t>Sold</t>
        </is>
      </c>
      <c r="G1632" s="6">
        <f>HYPERLINK("https://www.kleinanzeigen.de/s-anzeige/peak-performance-gore-tex-jacke-l-kein-mammut-the-north-face/2853634256-230-6619", "Link")</f>
        <v/>
      </c>
      <c r="H1632" s="6">
        <f>HYPERLINK("C:\Projects\Kleinanzeigen-Scraper\offer_images\2853634256", "Link")</f>
        <v/>
      </c>
      <c r="I1632" t="inlineStr">
        <is>
          <t>Andi</t>
        </is>
      </c>
      <c r="J1632" s="6">
        <f>HYPERLINK("https://www.kleinanzeigen.de/s-bestandsliste.html?userId=25789500", "Link")</f>
        <v/>
      </c>
      <c r="K1632" s="7" t="n">
        <v>45549.57741898148</v>
      </c>
      <c r="L1632" s="3" t="inlineStr">
        <is>
          <t>22.86</t>
        </is>
      </c>
      <c r="M1632" t="inlineStr">
        <is>
          <t>München</t>
        </is>
      </c>
    </row>
    <row r="1633">
      <c r="A1633" t="inlineStr">
        <is>
          <t>Werftmodell Norther Reliance Hamburg Containerschiff Reeder</t>
        </is>
      </c>
      <c r="B1633" s="4" t="n">
        <v>2.9</v>
      </c>
      <c r="C1633" t="inlineStr"/>
      <c r="D1633" t="inlineStr">
        <is>
          <t>20249 Hamburg-Nord - Hamburg Eppendorf</t>
        </is>
      </c>
      <c r="E1633" s="5" t="n">
        <v>45544</v>
      </c>
      <c r="F1633" t="inlineStr">
        <is>
          <t>Sold</t>
        </is>
      </c>
      <c r="G1633" s="6">
        <f>HYPERLINK("https://www.kleinanzeigen.de/s-anzeige/werftmodell-norther-reliance-hamburg-containerschiff-reeder/2858352197-234-9476", "Link")</f>
        <v/>
      </c>
      <c r="H1633" s="6">
        <f>HYPERLINK("C:\Projects\Kleinanzeigen-Scraper\offer_images\2858352197", "Link")</f>
        <v/>
      </c>
      <c r="I1633" t="inlineStr">
        <is>
          <t>No user name</t>
        </is>
      </c>
      <c r="J1633" s="6">
        <f>HYPERLINK("https://www.kleinanzeigen.deNo user link", "Link")</f>
        <v/>
      </c>
      <c r="K1633" s="7" t="n">
        <v>45549.57741898148</v>
      </c>
      <c r="L1633" s="3" t="inlineStr">
        <is>
          <t>359.93</t>
        </is>
      </c>
      <c r="M1633" t="inlineStr">
        <is>
          <t>Köln</t>
        </is>
      </c>
    </row>
    <row r="1634">
      <c r="A1634" t="inlineStr">
        <is>
          <t>Kite Naish Slash 7qm Wave Kite, Top Zustand</t>
        </is>
      </c>
      <c r="B1634" s="4" t="n">
        <v>299</v>
      </c>
      <c r="C1634" t="inlineStr">
        <is>
          <t>VB</t>
        </is>
      </c>
      <c r="D1634" t="inlineStr">
        <is>
          <t>40789 Nordrhein-Westfalen - Monheim am Rhein</t>
        </is>
      </c>
      <c r="E1634" s="5" t="n">
        <v>45543</v>
      </c>
      <c r="F1634" t="inlineStr">
        <is>
          <t>Sold</t>
        </is>
      </c>
      <c r="G1634" s="6">
        <f>HYPERLINK("https://www.kleinanzeigen.de/s-anzeige/kite-naish-slash-7qm-wave-kite-top-zustand/2857658255-230-1116", "Link")</f>
        <v/>
      </c>
      <c r="H1634" s="6">
        <f>HYPERLINK("C:\Projects\Kleinanzeigen-Scraper\offer_images\2857658255", "Link")</f>
        <v/>
      </c>
      <c r="I1634" t="inlineStr">
        <is>
          <t>Anne Langenfeld</t>
        </is>
      </c>
      <c r="J1634" s="6">
        <f>HYPERLINK("https://www.kleinanzeigen.de/s-bestandsliste.html?userId=34911340", "Link")</f>
        <v/>
      </c>
      <c r="K1634" s="7" t="n">
        <v>45549.57739583333</v>
      </c>
      <c r="L1634" s="3" t="inlineStr">
        <is>
          <t>18.00</t>
        </is>
      </c>
      <c r="M1634" t="inlineStr">
        <is>
          <t>Köln</t>
        </is>
      </c>
    </row>
    <row r="1635">
      <c r="A1635" t="inlineStr">
        <is>
          <t>North Orbit 12 2024 + Navigator Bar 2024 *Neuwertig</t>
        </is>
      </c>
      <c r="B1635" s="4" t="n">
        <v>1.3</v>
      </c>
      <c r="C1635" t="inlineStr"/>
      <c r="D1635" t="inlineStr">
        <is>
          <t>80339 München - Schwanthalerhöhe</t>
        </is>
      </c>
      <c r="E1635" s="5" t="n">
        <v>45540</v>
      </c>
      <c r="F1635" t="inlineStr">
        <is>
          <t>Sold</t>
        </is>
      </c>
      <c r="G1635" s="6">
        <f>HYPERLINK("https://www.kleinanzeigen.de/s-anzeige/north-orbit-12-2024-navigator-bar-2024-neuwertig/2854850928-230-6444", "Link")</f>
        <v/>
      </c>
      <c r="H1635" s="6">
        <f>HYPERLINK("C:\Projects\Kleinanzeigen-Scraper\offer_images\2854850928", "Link")</f>
        <v/>
      </c>
      <c r="I1635" t="inlineStr">
        <is>
          <t>Fabio</t>
        </is>
      </c>
      <c r="J1635" s="6">
        <f>HYPERLINK("https://www.kleinanzeigen.de/s-bestandsliste.html?userId=29755210", "Link")</f>
        <v/>
      </c>
      <c r="K1635" s="7" t="n">
        <v>45549.57739583333</v>
      </c>
      <c r="L1635" s="3" t="inlineStr">
        <is>
          <t>2.57</t>
        </is>
      </c>
      <c r="M1635" t="inlineStr">
        <is>
          <t>München</t>
        </is>
      </c>
    </row>
    <row r="1636">
      <c r="A1636" t="inlineStr">
        <is>
          <t>Neilpryde Neo 3/2 MT fast neu</t>
        </is>
      </c>
      <c r="B1636" s="4" t="n">
        <v>30</v>
      </c>
      <c r="C1636" t="inlineStr">
        <is>
          <t>VB</t>
        </is>
      </c>
      <c r="D1636" t="inlineStr">
        <is>
          <t>18055 Rostock - Stadtmitte</t>
        </is>
      </c>
      <c r="E1636" s="5" t="n">
        <v>45525</v>
      </c>
      <c r="F1636" t="inlineStr">
        <is>
          <t>Sold</t>
        </is>
      </c>
      <c r="G1636" s="6">
        <f>HYPERLINK("https://www.kleinanzeigen.de/s-anzeige/neilpryde-neo-3-2-mt-fast-neu/2842476868-230-157", "Link")</f>
        <v/>
      </c>
      <c r="H1636" s="6">
        <f>HYPERLINK("C:\Projects\Kleinanzeigen-Scraper\offer_images\2842476868", "Link")</f>
        <v/>
      </c>
      <c r="I1636" t="inlineStr">
        <is>
          <t>Leon</t>
        </is>
      </c>
      <c r="J1636" s="6">
        <f>HYPERLINK("https://www.kleinanzeigen.de/s-bestandsliste.html?userId=12693476", "Link")</f>
        <v/>
      </c>
      <c r="K1636" s="7" t="n">
        <v>45549.57739583333</v>
      </c>
      <c r="L1636" s="3" t="inlineStr">
        <is>
          <t>496.50</t>
        </is>
      </c>
      <c r="M1636" t="inlineStr">
        <is>
          <t>Köln</t>
        </is>
      </c>
    </row>
    <row r="1637">
      <c r="A1637" t="inlineStr">
        <is>
          <t>Fanatic Fly Air SUP 10,8 Zoll Stand up Paddle Pumpe &amp; Rucksack</t>
        </is>
      </c>
      <c r="B1637" s="4" t="n">
        <v>299</v>
      </c>
      <c r="C1637" t="inlineStr">
        <is>
          <t>VB</t>
        </is>
      </c>
      <c r="D1637" t="inlineStr">
        <is>
          <t>67098 Rheinland-Pfalz - Bad Dürkheim</t>
        </is>
      </c>
      <c r="E1637" s="5" t="n">
        <v>45521</v>
      </c>
      <c r="F1637" t="inlineStr">
        <is>
          <t>Sold</t>
        </is>
      </c>
      <c r="G1637" s="6">
        <f>HYPERLINK("https://www.kleinanzeigen.de/s-anzeige/fanatic-fly-air-sup-10-8-zoll-stand-up-paddle-pumpe-rucksack/2838885113-230-5343", "Link")</f>
        <v/>
      </c>
      <c r="H1637" s="6">
        <f>HYPERLINK("C:\Projects\Kleinanzeigen-Scraper\offer_images\2838885113", "Link")</f>
        <v/>
      </c>
      <c r="I1637" t="inlineStr">
        <is>
          <t>Chris</t>
        </is>
      </c>
      <c r="J1637" s="6">
        <f>HYPERLINK("https://www.kleinanzeigen.de/s-bestandsliste.html?userId=2623264", "Link")</f>
        <v/>
      </c>
      <c r="K1637" s="7" t="n">
        <v>45549.57739583333</v>
      </c>
      <c r="L1637" s="3" t="inlineStr">
        <is>
          <t>54.79</t>
        </is>
      </c>
      <c r="M1637" t="inlineStr">
        <is>
          <t>Karlsruhe</t>
        </is>
      </c>
    </row>
    <row r="1638">
      <c r="A1638" t="inlineStr">
        <is>
          <t>Sailloft UFO Wing 5 m2</t>
        </is>
      </c>
      <c r="B1638" s="4" t="n">
        <v>330</v>
      </c>
      <c r="C1638" t="inlineStr">
        <is>
          <t>VB</t>
        </is>
      </c>
      <c r="D1638" t="inlineStr">
        <is>
          <t>25578 Schleswig-Holstein - Dägeling</t>
        </is>
      </c>
      <c r="E1638" s="5" t="n">
        <v>45546</v>
      </c>
      <c r="F1638" t="inlineStr">
        <is>
          <t>Sold</t>
        </is>
      </c>
      <c r="G1638" s="6">
        <f>HYPERLINK("https://www.kleinanzeigen.de/s-anzeige/sailloft-ufo-wing-5-m2/2860405379-230-20070", "Link")</f>
        <v/>
      </c>
      <c r="H1638" s="6">
        <f>HYPERLINK("C:\Projects\Kleinanzeigen-Scraper\offer_images\2860405379", "Link")</f>
        <v/>
      </c>
      <c r="I1638" t="inlineStr">
        <is>
          <t>Sven Olde</t>
        </is>
      </c>
      <c r="J1638" s="6">
        <f>HYPERLINK("https://www.kleinanzeigen.de/s-bestandsliste.html?userId=22610828", "Link")</f>
        <v/>
      </c>
      <c r="K1638" s="7" t="n">
        <v>45549.57738425926</v>
      </c>
      <c r="L1638" s="3" t="inlineStr">
        <is>
          <t>370.63</t>
        </is>
      </c>
      <c r="M1638" t="inlineStr">
        <is>
          <t>Köln</t>
        </is>
      </c>
    </row>
    <row r="1639">
      <c r="A1639" t="inlineStr">
        <is>
          <t>Duotone Dice 7qm 2021</t>
        </is>
      </c>
      <c r="B1639" s="4" t="n">
        <v>400</v>
      </c>
      <c r="C1639" t="inlineStr">
        <is>
          <t>VB</t>
        </is>
      </c>
      <c r="D1639" t="inlineStr">
        <is>
          <t>25826 Nordfriesland - Sankt Peter-Ording</t>
        </is>
      </c>
      <c r="E1639" s="5" t="n">
        <v>45539</v>
      </c>
      <c r="F1639" t="inlineStr">
        <is>
          <t>Sold</t>
        </is>
      </c>
      <c r="G1639" s="6">
        <f>HYPERLINK("https://www.kleinanzeigen.de/s-anzeige/duotone-dice-7qm-2021/2853998686-230-594", "Link")</f>
        <v/>
      </c>
      <c r="H1639" s="6">
        <f>HYPERLINK("C:\Projects\Kleinanzeigen-Scraper\offer_images\2853998686", "Link")</f>
        <v/>
      </c>
      <c r="I1639" t="inlineStr">
        <is>
          <t>Niklas Scheib</t>
        </is>
      </c>
      <c r="J1639" s="6">
        <f>HYPERLINK("https://www.kleinanzeigen.de/s-bestandsliste.html?userId=40910288", "Link")</f>
        <v/>
      </c>
      <c r="K1639" s="7" t="n">
        <v>45549.57738425926</v>
      </c>
      <c r="L1639" s="3" t="inlineStr">
        <is>
          <t>391.43</t>
        </is>
      </c>
      <c r="M1639" t="inlineStr">
        <is>
          <t>Köln</t>
        </is>
      </c>
    </row>
    <row r="1640">
      <c r="A1640" t="inlineStr">
        <is>
          <t>North Mode Pro Wing 4.8 qm (NW026)</t>
        </is>
      </c>
      <c r="B1640" s="4" t="n">
        <v>942</v>
      </c>
      <c r="C1640" t="inlineStr">
        <is>
          <t>VB</t>
        </is>
      </c>
      <c r="D1640" t="inlineStr">
        <is>
          <t>23774 Kreis Ostholstein - Heiligenhafen</t>
        </is>
      </c>
      <c r="E1640" s="5" t="n">
        <v>45548</v>
      </c>
      <c r="F1640" t="inlineStr">
        <is>
          <t>Sold</t>
        </is>
      </c>
      <c r="G1640" s="6">
        <f>HYPERLINK("https://www.kleinanzeigen.de/s-anzeige/north-mode-pro-wing-4-8-qm-nw026-/2813012253-230-427", "Link")</f>
        <v/>
      </c>
      <c r="H1640" s="6">
        <f>HYPERLINK("C:\Projects\Kleinanzeigen-Scraper\offer_images\2813012253", "Link")</f>
        <v/>
      </c>
      <c r="I1640" t="inlineStr">
        <is>
          <t>No user name</t>
        </is>
      </c>
      <c r="J1640" s="6">
        <f>HYPERLINK("https://www.kleinanzeigen.deNo user link", "Link")</f>
        <v/>
      </c>
      <c r="K1640" s="7" t="n">
        <v>45549.57737268518</v>
      </c>
      <c r="L1640" s="3" t="inlineStr">
        <is>
          <t>467.75</t>
        </is>
      </c>
      <c r="M1640" t="inlineStr">
        <is>
          <t>Köln</t>
        </is>
      </c>
    </row>
    <row r="1641">
      <c r="A1641" t="inlineStr">
        <is>
          <t>Kite Naish Torch in 11m + 9m + 7m</t>
        </is>
      </c>
      <c r="B1641" s="4" t="n">
        <v>555</v>
      </c>
      <c r="C1641" t="inlineStr">
        <is>
          <t>VB</t>
        </is>
      </c>
      <c r="D1641" t="inlineStr">
        <is>
          <t>26129 Niedersachsen - Oldenburg</t>
        </is>
      </c>
      <c r="E1641" s="5" t="n">
        <v>45517</v>
      </c>
      <c r="F1641" t="inlineStr">
        <is>
          <t>Sold</t>
        </is>
      </c>
      <c r="G1641" s="6">
        <f>HYPERLINK("https://www.kleinanzeigen.de/s-anzeige/kite-naish-torch-in-11m-9m-7m/2835882487-230-3113", "Link")</f>
        <v/>
      </c>
      <c r="H1641" s="6">
        <f>HYPERLINK("C:\Projects\Kleinanzeigen-Scraper\offer_images\2835882487", "Link")</f>
        <v/>
      </c>
      <c r="I1641" t="inlineStr">
        <is>
          <t>Siljan Schröder</t>
        </is>
      </c>
      <c r="J1641" s="6">
        <f>HYPERLINK("https://www.kleinanzeigen.de/s-bestandsliste.html?userId=49277330", "Link")</f>
        <v/>
      </c>
      <c r="K1641" s="7" t="n">
        <v>45549.57736111111</v>
      </c>
      <c r="L1641" s="3" t="inlineStr">
        <is>
          <t>259.47</t>
        </is>
      </c>
      <c r="M1641" t="inlineStr">
        <is>
          <t>Köln</t>
        </is>
      </c>
    </row>
    <row r="1642">
      <c r="A1642" t="inlineStr">
        <is>
          <t>Damen Neoprenanzug Marke Neilpryde XL, Größe 42, gut erhalten</t>
        </is>
      </c>
      <c r="B1642" s="4" t="n">
        <v>90</v>
      </c>
      <c r="C1642" t="inlineStr">
        <is>
          <t>VB</t>
        </is>
      </c>
      <c r="D1642" t="inlineStr">
        <is>
          <t>55122 Rheinland-Pfalz - Mainz</t>
        </is>
      </c>
      <c r="E1642" s="5" t="n">
        <v>45522</v>
      </c>
      <c r="F1642" t="inlineStr">
        <is>
          <t>Sold</t>
        </is>
      </c>
      <c r="G1642" s="6">
        <f>HYPERLINK("https://www.kleinanzeigen.de/s-anzeige/damen-neoprenanzug-marke-neilpryde-xl-groesse-42-gut-erhalten/2840410069-230-5322", "Link")</f>
        <v/>
      </c>
      <c r="H1642" s="6">
        <f>HYPERLINK("C:\Projects\Kleinanzeigen-Scraper\offer_images\2840410069", "Link")</f>
        <v/>
      </c>
      <c r="I1642" t="inlineStr">
        <is>
          <t>Christine Eckert</t>
        </is>
      </c>
      <c r="J1642" s="6">
        <f>HYPERLINK("https://www.kleinanzeigen.de/s-bestandsliste.html?userId=23455170", "Link")</f>
        <v/>
      </c>
      <c r="K1642" s="7" t="n">
        <v>45549.57734953704</v>
      </c>
      <c r="L1642" s="3" t="inlineStr">
        <is>
          <t>111.23</t>
        </is>
      </c>
      <c r="M1642" t="inlineStr">
        <is>
          <t>Karlsruhe</t>
        </is>
      </c>
    </row>
    <row r="1643">
      <c r="A1643" t="inlineStr">
        <is>
          <t>Starboard Damen Trockenanzug All Star SUP Suit 3ColorBlue M neuw.</t>
        </is>
      </c>
      <c r="B1643" s="4" t="n">
        <v>300</v>
      </c>
      <c r="C1643" t="inlineStr">
        <is>
          <t>VB</t>
        </is>
      </c>
      <c r="D1643" t="inlineStr">
        <is>
          <t>47447 Nordrhein-Westfalen - Moers</t>
        </is>
      </c>
      <c r="E1643" s="5" t="n">
        <v>45548</v>
      </c>
      <c r="F1643" t="inlineStr">
        <is>
          <t>Sold</t>
        </is>
      </c>
      <c r="G1643" s="6">
        <f>HYPERLINK("https://www.kleinanzeigen.de/s-anzeige/starboard-damen-trockenanzug-all-star-sup-suit-3colorblue-m-neuw-/2862265861-230-2130", "Link")</f>
        <v/>
      </c>
      <c r="H1643" s="6">
        <f>HYPERLINK("C:\Projects\Kleinanzeigen-Scraper\offer_images\2862265861", "Link")</f>
        <v/>
      </c>
      <c r="I1643" t="inlineStr">
        <is>
          <t>T. Annen</t>
        </is>
      </c>
      <c r="J1643" s="6">
        <f>HYPERLINK("https://www.kleinanzeigen.de/s-bestandsliste.html?userId=9843694", "Link")</f>
        <v/>
      </c>
      <c r="K1643" s="7" t="n">
        <v>45549.57733796296</v>
      </c>
      <c r="L1643" s="3" t="inlineStr">
        <is>
          <t>58.22</t>
        </is>
      </c>
      <c r="M1643" t="inlineStr">
        <is>
          <t>Köln</t>
        </is>
      </c>
    </row>
    <row r="1644">
      <c r="A1644" t="inlineStr">
        <is>
          <t>Neilpryde Schwimmweste Kinder Trapeztauglich</t>
        </is>
      </c>
      <c r="B1644" s="4" t="n">
        <v>25</v>
      </c>
      <c r="C1644" t="inlineStr">
        <is>
          <t>VB</t>
        </is>
      </c>
      <c r="D1644" t="inlineStr">
        <is>
          <t>88299 Baden-Württemberg - Leutkirch im Allgäu</t>
        </is>
      </c>
      <c r="E1644" s="5" t="n">
        <v>45536</v>
      </c>
      <c r="F1644" t="inlineStr">
        <is>
          <t>Sold</t>
        </is>
      </c>
      <c r="G1644" s="6">
        <f>HYPERLINK("https://www.kleinanzeigen.de/s-anzeige/neilpryde-schwimmweste-kinder-trapeztauglich/2851968066-230-8083", "Link")</f>
        <v/>
      </c>
      <c r="H1644" s="6">
        <f>HYPERLINK("C:\Projects\Kleinanzeigen-Scraper\offer_images\2851968066", "Link")</f>
        <v/>
      </c>
      <c r="I1644" t="inlineStr">
        <is>
          <t>Nico Wüst</t>
        </is>
      </c>
      <c r="J1644" s="6">
        <f>HYPERLINK("https://www.kleinanzeigen.de/s-bestandsliste.html?userId=8594857", "Link")</f>
        <v/>
      </c>
      <c r="K1644" s="7" t="n">
        <v>45549.57733796296</v>
      </c>
      <c r="L1644" s="3" t="inlineStr">
        <is>
          <t>121.70</t>
        </is>
      </c>
      <c r="M1644" t="inlineStr">
        <is>
          <t>München</t>
        </is>
      </c>
    </row>
    <row r="1645">
      <c r="A1645" t="inlineStr">
        <is>
          <t>Duotone EVO SLS 2023 8/10/12 [top Zustand - neuer Preis]</t>
        </is>
      </c>
      <c r="B1645" s="4" t="n">
        <v>3.55</v>
      </c>
      <c r="C1645" t="inlineStr">
        <is>
          <t>VB</t>
        </is>
      </c>
      <c r="D1645" t="inlineStr">
        <is>
          <t>33604 Bielefeld - Bielefeld (Innenstadt)</t>
        </is>
      </c>
      <c r="E1645" s="5" t="n">
        <v>45541</v>
      </c>
      <c r="F1645" t="inlineStr">
        <is>
          <t>Sold</t>
        </is>
      </c>
      <c r="G1645" s="6">
        <f>HYPERLINK("https://www.kleinanzeigen.de/s-anzeige/duotone-evo-sls-2023-8-10-12-top-zustand-neuer-preis-/2855373421-230-1066", "Link")</f>
        <v/>
      </c>
      <c r="H1645" s="6">
        <f>HYPERLINK("C:\Projects\Kleinanzeigen-Scraper\offer_images\2855373421", "Link")</f>
        <v/>
      </c>
      <c r="I1645" t="inlineStr">
        <is>
          <t>Gordon Schücker</t>
        </is>
      </c>
      <c r="J1645" s="6">
        <f>HYPERLINK("https://www.kleinanzeigen.de/s-bestandsliste.html?userId=28414823", "Link")</f>
        <v/>
      </c>
      <c r="K1645" s="7" t="n">
        <v>45549.57733796296</v>
      </c>
      <c r="L1645" s="3" t="inlineStr">
        <is>
          <t>162.16</t>
        </is>
      </c>
      <c r="M1645" t="inlineStr">
        <is>
          <t>Köln</t>
        </is>
      </c>
    </row>
    <row r="1646">
      <c r="A1646" t="inlineStr">
        <is>
          <t>SOLO Goya Acrylic Medium Struktupaste Universal</t>
        </is>
      </c>
      <c r="B1646" s="4" t="n">
        <v>8</v>
      </c>
      <c r="C1646" t="inlineStr"/>
      <c r="D1646" t="inlineStr">
        <is>
          <t>35396 Hessen - Gießen</t>
        </is>
      </c>
      <c r="E1646" s="5" t="n">
        <v>45500</v>
      </c>
      <c r="F1646" t="inlineStr">
        <is>
          <t>Sold</t>
        </is>
      </c>
      <c r="G1646" s="6">
        <f>HYPERLINK("https://www.kleinanzeigen.de/s-anzeige/solo-goya-acrylic-medium-struktupaste-universal/2822184931-282-4711", "Link")</f>
        <v/>
      </c>
      <c r="H1646" s="6">
        <f>HYPERLINK("C:\Projects\Kleinanzeigen-Scraper\offer_images\2822184931", "Link")</f>
        <v/>
      </c>
      <c r="I1646" t="inlineStr">
        <is>
          <t>Elisa R.</t>
        </is>
      </c>
      <c r="J1646" s="6">
        <f>HYPERLINK("https://www.kleinanzeigen.de/s-bestandsliste.html?userId=87781033", "Link")</f>
        <v/>
      </c>
      <c r="K1646" s="7" t="n">
        <v>45549.57733796296</v>
      </c>
      <c r="L1646" s="3" t="inlineStr">
        <is>
          <t>128.74</t>
        </is>
      </c>
      <c r="M1646" t="inlineStr">
        <is>
          <t>Köln</t>
        </is>
      </c>
    </row>
    <row r="1647">
      <c r="A1647" t="inlineStr">
        <is>
          <t>North Navigator Control Kite Bar 45-50cm *Neue Leinen*</t>
        </is>
      </c>
      <c r="B1647" s="4" t="n">
        <v>255</v>
      </c>
      <c r="C1647" t="inlineStr"/>
      <c r="D1647" t="inlineStr">
        <is>
          <t>24598 Schleswig-Holstein - Boostedt</t>
        </is>
      </c>
      <c r="E1647" s="5" t="n">
        <v>45540</v>
      </c>
      <c r="F1647" t="inlineStr">
        <is>
          <t>Sold</t>
        </is>
      </c>
      <c r="G1647" s="6">
        <f>HYPERLINK("https://www.kleinanzeigen.de/s-anzeige/north-navigator-control-kite-bar-45-50cm-neue-leinen-/2854742642-230-19089", "Link")</f>
        <v/>
      </c>
      <c r="H1647" s="6">
        <f>HYPERLINK("C:\Projects\Kleinanzeigen-Scraper\offer_images\2854742642", "Link")</f>
        <v/>
      </c>
      <c r="I1647" t="inlineStr">
        <is>
          <t>Pame</t>
        </is>
      </c>
      <c r="J1647" s="6">
        <f>HYPERLINK("https://www.kleinanzeigen.de/s-bestandsliste.html?userId=22933548", "Link")</f>
        <v/>
      </c>
      <c r="K1647" s="7" t="n">
        <v>45549.57731481481</v>
      </c>
      <c r="L1647" s="3" t="inlineStr">
        <is>
          <t>400.32</t>
        </is>
      </c>
      <c r="M1647" t="inlineStr">
        <is>
          <t>Köln</t>
        </is>
      </c>
    </row>
    <row r="1648">
      <c r="A1648" t="inlineStr">
        <is>
          <t>Wingfoil Wing Duotone Unit 5,5 aus 2022</t>
        </is>
      </c>
      <c r="B1648" s="4" t="n">
        <v>370</v>
      </c>
      <c r="C1648" t="inlineStr">
        <is>
          <t>VB</t>
        </is>
      </c>
      <c r="D1648" t="inlineStr">
        <is>
          <t>82041 Kr. München - Deisenhofen</t>
        </is>
      </c>
      <c r="E1648" s="5" t="n">
        <v>45545</v>
      </c>
      <c r="F1648" t="inlineStr">
        <is>
          <t>Sold</t>
        </is>
      </c>
      <c r="G1648" s="6">
        <f>HYPERLINK("https://www.kleinanzeigen.de/s-anzeige/wingfoil-wing-duotone-unit-5-5-aus-2022/2859510071-230-17132", "Link")</f>
        <v/>
      </c>
      <c r="H1648" s="6">
        <f>HYPERLINK("C:\Projects\Kleinanzeigen-Scraper\offer_images\2859510071", "Link")</f>
        <v/>
      </c>
      <c r="I1648" t="inlineStr">
        <is>
          <t>Alexander pippert</t>
        </is>
      </c>
      <c r="J1648" s="6">
        <f>HYPERLINK("https://www.kleinanzeigen.de/s-bestandsliste.html?userId=18697019", "Link")</f>
        <v/>
      </c>
      <c r="K1648" s="7" t="n">
        <v>45549.57729166667</v>
      </c>
      <c r="L1648" s="3" t="inlineStr">
        <is>
          <t>12.39</t>
        </is>
      </c>
      <c r="M1648" t="inlineStr">
        <is>
          <t>München</t>
        </is>
      </c>
    </row>
    <row r="1649">
      <c r="A1649" t="inlineStr">
        <is>
          <t>RRD - ROBERTO RICCI BADEShort Badehose Neuwertig</t>
        </is>
      </c>
      <c r="B1649" s="4" t="n">
        <v>20</v>
      </c>
      <c r="C1649" t="inlineStr"/>
      <c r="D1649" t="inlineStr">
        <is>
          <t>89233 Bayern - Neu Ulm</t>
        </is>
      </c>
      <c r="E1649" s="5" t="n">
        <v>45288</v>
      </c>
      <c r="F1649" t="inlineStr">
        <is>
          <t>Sold</t>
        </is>
      </c>
      <c r="G1649" s="6">
        <f>HYPERLINK("https://www.kleinanzeigen.de/s-anzeige/rrd-roberto-ricci-badeshort-badehose-neuwertig/2638467190-230-6682", "Link")</f>
        <v/>
      </c>
      <c r="H1649" s="6">
        <f>HYPERLINK("C:\Projects\Kleinanzeigen-Scraper\offer_images\2638467190", "Link")</f>
        <v/>
      </c>
      <c r="I1649" t="inlineStr">
        <is>
          <t>Kleinanzeigen K</t>
        </is>
      </c>
      <c r="J1649" s="6">
        <f>HYPERLINK("https://www.kleinanzeigen.de/s-bestandsliste.html?userId=7726578", "Link")</f>
        <v/>
      </c>
      <c r="K1649" s="7" t="n">
        <v>45549.57729166667</v>
      </c>
      <c r="L1649" s="3" t="inlineStr">
        <is>
          <t>86.39</t>
        </is>
      </c>
      <c r="M1649" t="inlineStr">
        <is>
          <t>Böblingen</t>
        </is>
      </c>
    </row>
    <row r="1650">
      <c r="A1650" t="inlineStr">
        <is>
          <t>Naish Wing -Surfer MK4 5m2 - Wingfoil</t>
        </is>
      </c>
      <c r="B1650" s="4" t="n">
        <v>290</v>
      </c>
      <c r="C1650" t="inlineStr"/>
      <c r="D1650" t="inlineStr">
        <is>
          <t>22301 Hamburg-Nord - Hamburg Winterhude</t>
        </is>
      </c>
      <c r="E1650" s="5" t="n">
        <v>45543</v>
      </c>
      <c r="F1650" t="inlineStr">
        <is>
          <t>Sold</t>
        </is>
      </c>
      <c r="G1650" s="6">
        <f>HYPERLINK("https://www.kleinanzeigen.de/s-anzeige/naish-wing-surfer-mk4-5m2-wingfoil/2858085349-230-9483", "Link")</f>
        <v/>
      </c>
      <c r="H1650" s="6">
        <f>HYPERLINK("C:\Projects\Kleinanzeigen-Scraper\offer_images\2858085349", "Link")</f>
        <v/>
      </c>
      <c r="I1650" t="inlineStr">
        <is>
          <t>Tobias</t>
        </is>
      </c>
      <c r="J1650" s="6">
        <f>HYPERLINK("https://www.kleinanzeigen.de/s-bestandsliste.html?userId=30761321", "Link")</f>
        <v/>
      </c>
      <c r="K1650" s="7" t="n">
        <v>45549.57726851852</v>
      </c>
      <c r="L1650" s="3" t="inlineStr">
        <is>
          <t>245.76</t>
        </is>
      </c>
      <c r="M1650" t="inlineStr">
        <is>
          <t>Köln</t>
        </is>
      </c>
    </row>
    <row r="1651">
      <c r="A1651" t="inlineStr">
        <is>
          <t>NEILPRYDE Neoprenanzug ,Shorty, Men, Gr. L</t>
        </is>
      </c>
      <c r="B1651" s="4" t="n">
        <v>25</v>
      </c>
      <c r="C1651" t="inlineStr"/>
      <c r="D1651" t="inlineStr">
        <is>
          <t>41352 Nordrhein-Westfalen - Korschenbroich</t>
        </is>
      </c>
      <c r="E1651" s="5" t="n">
        <v>45499</v>
      </c>
      <c r="F1651" t="inlineStr">
        <is>
          <t>Sold</t>
        </is>
      </c>
      <c r="G1651" s="6">
        <f>HYPERLINK("https://www.kleinanzeigen.de/s-anzeige/neilpryde-neoprenanzug-shorty-men-gr-l/2821590468-230-1188", "Link")</f>
        <v/>
      </c>
      <c r="H1651" s="6">
        <f>HYPERLINK("C:\Projects\Kleinanzeigen-Scraper\offer_images\2821590468", "Link")</f>
        <v/>
      </c>
      <c r="I1651" t="inlineStr">
        <is>
          <t>Rudi</t>
        </is>
      </c>
      <c r="J1651" s="6">
        <f>HYPERLINK("https://www.kleinanzeigen.de/s-bestandsliste.html?userId=77804209", "Link")</f>
        <v/>
      </c>
      <c r="K1651" s="7" t="n">
        <v>45549.57726851852</v>
      </c>
      <c r="L1651" s="3" t="inlineStr">
        <is>
          <t>40.41</t>
        </is>
      </c>
      <c r="M1651" t="inlineStr">
        <is>
          <t>Köln</t>
        </is>
      </c>
    </row>
    <row r="1652">
      <c r="A1652" t="inlineStr">
        <is>
          <t>Kiteset von North</t>
        </is>
      </c>
      <c r="B1652" s="4" t="n">
        <v>290</v>
      </c>
      <c r="C1652" t="inlineStr"/>
      <c r="D1652" t="inlineStr">
        <is>
          <t>04229 Leipzig - Plagwitz</t>
        </is>
      </c>
      <c r="E1652" s="5" t="n">
        <v>45546</v>
      </c>
      <c r="F1652" t="inlineStr">
        <is>
          <t>Sold</t>
        </is>
      </c>
      <c r="G1652" s="6">
        <f>HYPERLINK("https://www.kleinanzeigen.de/s-anzeige/kiteset-von-north/2860423977-230-30153", "Link")</f>
        <v/>
      </c>
      <c r="H1652" s="6">
        <f>HYPERLINK("C:\Projects\Kleinanzeigen-Scraper\offer_images\2860423977", "Link")</f>
        <v/>
      </c>
      <c r="I1652" t="inlineStr">
        <is>
          <t>Joschua</t>
        </is>
      </c>
      <c r="J1652" s="6">
        <f>HYPERLINK("https://www.kleinanzeigen.de/s-bestandsliste.html?userId=34013836", "Link")</f>
        <v/>
      </c>
      <c r="K1652" s="7" t="n">
        <v>45549.57726851852</v>
      </c>
      <c r="L1652" s="3" t="inlineStr">
        <is>
          <t>358.53</t>
        </is>
      </c>
      <c r="M1652" t="inlineStr">
        <is>
          <t>München</t>
        </is>
      </c>
    </row>
    <row r="1653">
      <c r="A1653" t="inlineStr">
        <is>
          <t>Sailloft UFO Wing 5 m² (NEU!) Neilpryde Segel SUP Kite</t>
        </is>
      </c>
      <c r="B1653" s="4" t="n">
        <v>485</v>
      </c>
      <c r="C1653" t="inlineStr"/>
      <c r="D1653" t="inlineStr">
        <is>
          <t>22769 Altona - Hamburg Bahrenfeld</t>
        </is>
      </c>
      <c r="E1653" s="5" t="n">
        <v>45531</v>
      </c>
      <c r="F1653" t="inlineStr">
        <is>
          <t>Sold</t>
        </is>
      </c>
      <c r="G1653" s="6">
        <f>HYPERLINK("https://www.kleinanzeigen.de/s-anzeige/sailloft-ufo-wing-5-m-neu-neilpryde-segel-sup-kite/2847474741-230-26485", "Link")</f>
        <v/>
      </c>
      <c r="H1653" s="6">
        <f>HYPERLINK("C:\Projects\Kleinanzeigen-Scraper\offer_images\2847474741", "Link")</f>
        <v/>
      </c>
      <c r="I1653" t="inlineStr">
        <is>
          <t>nordlicht</t>
        </is>
      </c>
      <c r="J1653" s="6">
        <f>HYPERLINK("https://www.kleinanzeigen.de/s-bestandsliste.html?userId=86235875", "Link")</f>
        <v/>
      </c>
      <c r="K1653" s="7" t="n">
        <v>45549.57725694445</v>
      </c>
      <c r="L1653" s="3" t="inlineStr">
        <is>
          <t>356.14</t>
        </is>
      </c>
      <c r="M1653" t="inlineStr">
        <is>
          <t>Köln</t>
        </is>
      </c>
    </row>
    <row r="1654">
      <c r="A1654" t="inlineStr">
        <is>
          <t>Skianzug Snowboardanzug Fanatic Jacke L Hose M fällt aus w. XL/L</t>
        </is>
      </c>
      <c r="B1654" s="4" t="n">
        <v>85</v>
      </c>
      <c r="C1654" t="inlineStr"/>
      <c r="D1654" t="inlineStr">
        <is>
          <t>84130 Bayern - Dingolfing</t>
        </is>
      </c>
      <c r="E1654" s="5" t="n">
        <v>45545</v>
      </c>
      <c r="F1654" t="inlineStr">
        <is>
          <t>Sold</t>
        </is>
      </c>
      <c r="G1654" s="6">
        <f>HYPERLINK("https://www.kleinanzeigen.de/s-anzeige/skianzug-snowboardanzug-fanatic-jacke-l-hose-m-faellt-aus-w-xl-l/2859246114-242-6043", "Link")</f>
        <v/>
      </c>
      <c r="H1654" s="6">
        <f>HYPERLINK("C:\Projects\Kleinanzeigen-Scraper\offer_images\2859246114", "Link")</f>
        <v/>
      </c>
      <c r="I1654" t="inlineStr">
        <is>
          <t>Klein Dietmar</t>
        </is>
      </c>
      <c r="J1654" s="6">
        <f>HYPERLINK("https://www.kleinanzeigen.de/s-bestandsliste.html?userId=42494412", "Link")</f>
        <v/>
      </c>
      <c r="K1654" s="7" t="n">
        <v>45549.57724537037</v>
      </c>
      <c r="L1654" s="3" t="inlineStr">
        <is>
          <t>86.09</t>
        </is>
      </c>
      <c r="M1654" t="inlineStr">
        <is>
          <t>München</t>
        </is>
      </c>
    </row>
    <row r="1655">
      <c r="A1655" t="inlineStr">
        <is>
          <t>Duotone Rebel 2023 neu - neuwer. Garanti6 7 8 9 10 11 12 13 14 15</t>
        </is>
      </c>
      <c r="B1655" s="4" t="n">
        <v>1.03</v>
      </c>
      <c r="C1655" t="inlineStr"/>
      <c r="D1655" t="inlineStr">
        <is>
          <t>79539 Baden-Württemberg - Lörrach</t>
        </is>
      </c>
      <c r="E1655" s="5" t="n">
        <v>45547</v>
      </c>
      <c r="F1655" t="inlineStr">
        <is>
          <t>Sold</t>
        </is>
      </c>
      <c r="G1655" s="6">
        <f>HYPERLINK("https://www.kleinanzeigen.de/s-anzeige/duotone-rebel-2023-neu-neuwer-garanti6-7-8-9-10-11-12-13-14-15/2861034102-230-8080", "Link")</f>
        <v/>
      </c>
      <c r="H1655" s="6">
        <f>HYPERLINK("C:\Projects\Kleinanzeigen-Scraper\offer_images\2861034102", "Link")</f>
        <v/>
      </c>
      <c r="I1655" t="inlineStr">
        <is>
          <t>Stormy7788</t>
        </is>
      </c>
      <c r="J1655" s="6">
        <f>HYPERLINK("https://www.kleinanzeigen.de/s-bestandsliste.html?userId=143385889", "Link")</f>
        <v/>
      </c>
      <c r="K1655" s="7" t="n">
        <v>45549.5772337963</v>
      </c>
      <c r="L1655" s="3" t="inlineStr">
        <is>
          <t>54.91</t>
        </is>
      </c>
      <c r="M1655" t="inlineStr">
        <is>
          <t>Bonndorf</t>
        </is>
      </c>
    </row>
    <row r="1656">
      <c r="A1656" t="inlineStr">
        <is>
          <t>NEILPRYDE Neoprenanzug Größe 40 Women</t>
        </is>
      </c>
      <c r="B1656" s="4" t="n">
        <v>49</v>
      </c>
      <c r="C1656" t="inlineStr">
        <is>
          <t>VB</t>
        </is>
      </c>
      <c r="D1656" t="inlineStr">
        <is>
          <t>71144 Baden-Württemberg - Steinenbronn</t>
        </is>
      </c>
      <c r="E1656" s="5" t="n">
        <v>45465</v>
      </c>
      <c r="F1656" t="inlineStr">
        <is>
          <t>Sold</t>
        </is>
      </c>
      <c r="G1656" s="6">
        <f>HYPERLINK("https://www.kleinanzeigen.de/s-anzeige/neilpryde-neoprenanzug-groesse-40-women/2794525612-230-19209", "Link")</f>
        <v/>
      </c>
      <c r="H1656" s="6">
        <f>HYPERLINK("C:\Projects\Kleinanzeigen-Scraper\offer_images\2794525612", "Link")</f>
        <v/>
      </c>
      <c r="I1656" t="inlineStr">
        <is>
          <t>Annabella und Nino</t>
        </is>
      </c>
      <c r="J1656" s="6">
        <f>HYPERLINK("https://www.kleinanzeigen.de/s-bestandsliste.html?userId=46244040", "Link")</f>
        <v/>
      </c>
      <c r="K1656" s="7" t="n">
        <v>45549.57722222222</v>
      </c>
      <c r="L1656" s="3" t="inlineStr">
        <is>
          <t>10.13</t>
        </is>
      </c>
      <c r="M1656" t="inlineStr">
        <is>
          <t>Böblingen</t>
        </is>
      </c>
    </row>
    <row r="1657">
      <c r="A1657" t="inlineStr">
        <is>
          <t>North South Videospiel</t>
        </is>
      </c>
      <c r="B1657" s="4" t="n">
        <v>18</v>
      </c>
      <c r="C1657" t="inlineStr"/>
      <c r="D1657" t="inlineStr">
        <is>
          <t>97840 Bayern - Hafenlohr</t>
        </is>
      </c>
      <c r="E1657" s="5" t="n">
        <v>45544</v>
      </c>
      <c r="F1657" t="inlineStr">
        <is>
          <t>Sold</t>
        </is>
      </c>
      <c r="G1657" s="6">
        <f>HYPERLINK("https://www.kleinanzeigen.de/s-anzeige/north-south-videospiel/2858827642-187-19708", "Link")</f>
        <v/>
      </c>
      <c r="H1657" s="6">
        <f>HYPERLINK("C:\Projects\Kleinanzeigen-Scraper\offer_images\2858827642", "Link")</f>
        <v/>
      </c>
      <c r="I1657" t="inlineStr">
        <is>
          <t>Denise</t>
        </is>
      </c>
      <c r="J1657" s="6">
        <f>HYPERLINK("https://www.kleinanzeigen.de/s-bestandsliste.html?userId=24729436", "Link")</f>
        <v/>
      </c>
      <c r="K1657" s="7" t="n">
        <v>45549.57722222222</v>
      </c>
      <c r="L1657" s="3" t="inlineStr">
        <is>
          <t>129.71</t>
        </is>
      </c>
      <c r="M1657" t="inlineStr">
        <is>
          <t>Karlsruhe</t>
        </is>
      </c>
    </row>
    <row r="1658">
      <c r="A1658" t="inlineStr">
        <is>
          <t>The North Face Snowboard Latzhose M</t>
        </is>
      </c>
      <c r="B1658" s="4" t="n">
        <v>50</v>
      </c>
      <c r="C1658" t="inlineStr"/>
      <c r="D1658" t="inlineStr">
        <is>
          <t>35789 Hessen - Weilmünster</t>
        </is>
      </c>
      <c r="E1658" s="5" t="n">
        <v>45543</v>
      </c>
      <c r="F1658" t="inlineStr">
        <is>
          <t>Sold</t>
        </is>
      </c>
      <c r="G1658" s="6">
        <f>HYPERLINK("https://www.kleinanzeigen.de/s-anzeige/the-north-face-snowboard-latzhose-m/2857482102-230-4855", "Link")</f>
        <v/>
      </c>
      <c r="H1658" s="6">
        <f>HYPERLINK("C:\Projects\Kleinanzeigen-Scraper\offer_images\2857482102", "Link")</f>
        <v/>
      </c>
      <c r="I1658" t="inlineStr">
        <is>
          <t>Örter</t>
        </is>
      </c>
      <c r="J1658" s="6">
        <f>HYPERLINK("https://www.kleinanzeigen.de/s-bestandsliste.html?userId=26566444", "Link")</f>
        <v/>
      </c>
      <c r="K1658" s="7" t="n">
        <v>45549.57722222222</v>
      </c>
      <c r="L1658" s="3" t="inlineStr">
        <is>
          <t>115.30</t>
        </is>
      </c>
      <c r="M1658" t="inlineStr">
        <is>
          <t>Köln</t>
        </is>
      </c>
    </row>
    <row r="1659">
      <c r="A1659" t="inlineStr">
        <is>
          <t>Schwimmweste für Kinder, NeilPryde, XXS, 50-55 kg</t>
        </is>
      </c>
      <c r="B1659" s="4" t="n">
        <v>35</v>
      </c>
      <c r="C1659" t="inlineStr">
        <is>
          <t>VB</t>
        </is>
      </c>
      <c r="D1659" t="inlineStr">
        <is>
          <t>37619 Niedersachsen - Hehlen</t>
        </is>
      </c>
      <c r="E1659" s="5" t="n">
        <v>45445</v>
      </c>
      <c r="F1659" t="inlineStr">
        <is>
          <t>Sold</t>
        </is>
      </c>
      <c r="G1659" s="6">
        <f>HYPERLINK("https://www.kleinanzeigen.de/s-anzeige/schwimmweste-fuer-kinder-neilpryde-xxs-50-55-kg/2778609942-230-19761", "Link")</f>
        <v/>
      </c>
      <c r="H1659" s="6">
        <f>HYPERLINK("C:\Projects\Kleinanzeigen-Scraper\offer_images\2778609942", "Link")</f>
        <v/>
      </c>
      <c r="I1659" t="inlineStr">
        <is>
          <t>Martina und Sven</t>
        </is>
      </c>
      <c r="J1659" s="6">
        <f>HYPERLINK("https://www.kleinanzeigen.de/s-bestandsliste.html?userId=5456295", "Link")</f>
        <v/>
      </c>
      <c r="K1659" s="7" t="n">
        <v>45549.57721064815</v>
      </c>
      <c r="L1659" s="3" t="inlineStr">
        <is>
          <t>210.60</t>
        </is>
      </c>
      <c r="M1659" t="inlineStr">
        <is>
          <t>Köln</t>
        </is>
      </c>
    </row>
    <row r="1660">
      <c r="A1660" t="inlineStr">
        <is>
          <t>Naish ADX NVision 5m</t>
        </is>
      </c>
      <c r="B1660" s="4" t="n">
        <v>999</v>
      </c>
      <c r="C1660" t="inlineStr">
        <is>
          <t>VB</t>
        </is>
      </c>
      <c r="D1660" t="inlineStr">
        <is>
          <t>83395 Bayern - Freilassing</t>
        </is>
      </c>
      <c r="E1660" s="5" t="n">
        <v>45513</v>
      </c>
      <c r="F1660" t="inlineStr"/>
      <c r="G1660" s="6">
        <f>HYPERLINK("https://www.kleinanzeigen.de/s-anzeige/naish-adx-nvision-5m/2833140731-230-6273", "Link")</f>
        <v/>
      </c>
      <c r="H1660" s="6">
        <f>HYPERLINK("C:\Projects\Kleinanzeigen-Scraper\offer_images\2833140731", "Link")</f>
        <v/>
      </c>
      <c r="I1660" t="inlineStr">
        <is>
          <t>Hannes</t>
        </is>
      </c>
      <c r="J1660" s="6">
        <f>HYPERLINK("https://www.kleinanzeigen.de/s-bestandsliste.html?userId=125303914", "Link")</f>
        <v/>
      </c>
      <c r="K1660" s="7" t="n">
        <v>45549.57719907408</v>
      </c>
      <c r="L1660" s="3" t="inlineStr">
        <is>
          <t>108.85</t>
        </is>
      </c>
      <c r="M1660" t="inlineStr">
        <is>
          <t>München</t>
        </is>
      </c>
    </row>
    <row r="1661">
      <c r="A1661" t="inlineStr">
        <is>
          <t>Fanatic Foil Mast-Fuselage 90/68 Set AL 3.0</t>
        </is>
      </c>
      <c r="B1661" s="4" t="n">
        <v>330</v>
      </c>
      <c r="C1661" t="inlineStr"/>
      <c r="D1661" t="inlineStr">
        <is>
          <t>90451 Nürnberg (Mittelfr) - Aussenstadt-Sued</t>
        </is>
      </c>
      <c r="E1661" s="5" t="n">
        <v>45560</v>
      </c>
      <c r="F1661" t="inlineStr"/>
      <c r="G1661" s="6">
        <f>HYPERLINK("https://www.kleinanzeigen.de/s-anzeige/fanatic-foil-mast-fuselage-90-68-set-al-3-0/2846594056-230-6836", "Link")</f>
        <v/>
      </c>
      <c r="H1661" s="6">
        <f>HYPERLINK("C:\Projects\Kleinanzeigen-Scraper\offer_images\2846594056", "Link")</f>
        <v/>
      </c>
      <c r="I1661" t="inlineStr">
        <is>
          <t>No user name</t>
        </is>
      </c>
      <c r="J1661" s="6">
        <f>HYPERLINK("https://www.kleinanzeigen.deNo user link", "Link")</f>
        <v/>
      </c>
      <c r="K1661" s="7" t="n">
        <v>45549.5771875</v>
      </c>
      <c r="L1661" s="3" t="inlineStr">
        <is>
          <t>145.92</t>
        </is>
      </c>
      <c r="M1661" t="inlineStr">
        <is>
          <t>München</t>
        </is>
      </c>
    </row>
    <row r="1662">
      <c r="A1662" t="inlineStr">
        <is>
          <t>Duotone Neo SLS 2023 12qm</t>
        </is>
      </c>
      <c r="B1662" s="4" t="n">
        <v>1.08</v>
      </c>
      <c r="C1662" t="inlineStr">
        <is>
          <t>VB</t>
        </is>
      </c>
      <c r="D1662" t="inlineStr">
        <is>
          <t>21423 Niedersachsen - Winsen (Luhe)</t>
        </is>
      </c>
      <c r="E1662" s="5" t="n">
        <v>45546</v>
      </c>
      <c r="F1662" t="inlineStr">
        <is>
          <t>Sold</t>
        </is>
      </c>
      <c r="G1662" s="6">
        <f>HYPERLINK("https://www.kleinanzeigen.de/s-anzeige/duotone-neo-sls-2023-12qm/2761598361-230-3223", "Link")</f>
        <v/>
      </c>
      <c r="H1662" s="6">
        <f>HYPERLINK("C:\Projects\Kleinanzeigen-Scraper\offer_images\2761598361", "Link")</f>
        <v/>
      </c>
      <c r="I1662" t="inlineStr">
        <is>
          <t>No user name</t>
        </is>
      </c>
      <c r="J1662" s="6">
        <f>HYPERLINK("https://www.kleinanzeigen.deNo user link", "Link")</f>
        <v/>
      </c>
      <c r="K1662" s="7" t="n">
        <v>45549.5771875</v>
      </c>
      <c r="L1662" s="3" t="inlineStr">
        <is>
          <t>349.14</t>
        </is>
      </c>
      <c r="M1662" t="inlineStr">
        <is>
          <t>Köln</t>
        </is>
      </c>
    </row>
    <row r="1663">
      <c r="A1663" t="inlineStr">
        <is>
          <t>Duotone Unit 4.5 2024</t>
        </is>
      </c>
      <c r="B1663" s="4" t="n">
        <v>600</v>
      </c>
      <c r="C1663" t="inlineStr"/>
      <c r="D1663" t="inlineStr">
        <is>
          <t>82362 Bayern - Weilheim i.OB</t>
        </is>
      </c>
      <c r="E1663" s="5" t="n">
        <v>45540</v>
      </c>
      <c r="F1663" t="inlineStr">
        <is>
          <t>Sold</t>
        </is>
      </c>
      <c r="G1663" s="6">
        <f>HYPERLINK("https://www.kleinanzeigen.de/s-anzeige/duotone-unit-4-5-2024/2854818268-230-10173", "Link")</f>
        <v/>
      </c>
      <c r="H1663" s="6">
        <f>HYPERLINK("C:\Projects\Kleinanzeigen-Scraper\offer_images\2854818268", "Link")</f>
        <v/>
      </c>
      <c r="I1663" t="inlineStr">
        <is>
          <t>Lukas</t>
        </is>
      </c>
      <c r="J1663" s="6">
        <f>HYPERLINK("https://www.kleinanzeigen.de/s-bestandsliste.html?userId=78212597", "Link")</f>
        <v/>
      </c>
      <c r="K1663" s="7" t="n">
        <v>45549.5771875</v>
      </c>
      <c r="L1663" s="3" t="inlineStr">
        <is>
          <t>44.78</t>
        </is>
      </c>
      <c r="M1663" t="inlineStr">
        <is>
          <t>München</t>
        </is>
      </c>
    </row>
    <row r="1664">
      <c r="A1664" t="inlineStr">
        <is>
          <t>NeilPryde Glide Swift 1200 foil</t>
        </is>
      </c>
      <c r="B1664" s="4" t="n">
        <v>1.25</v>
      </c>
      <c r="C1664" t="inlineStr"/>
      <c r="D1664" t="inlineStr">
        <is>
          <t>60594 Frankfurt am Main - Sachsenhausen</t>
        </is>
      </c>
      <c r="E1664" s="5" t="n">
        <v>45531</v>
      </c>
      <c r="F1664" t="inlineStr">
        <is>
          <t>Sold</t>
        </is>
      </c>
      <c r="G1664" s="6">
        <f>HYPERLINK("https://www.kleinanzeigen.de/s-anzeige/neilpryde-glide-swift-1200-foil/2847983318-230-4315", "Link")</f>
        <v/>
      </c>
      <c r="H1664" s="6">
        <f>HYPERLINK("C:\Projects\Kleinanzeigen-Scraper\offer_images\2847983318", "Link")</f>
        <v/>
      </c>
      <c r="I1664" t="inlineStr">
        <is>
          <t>Surfer</t>
        </is>
      </c>
      <c r="J1664" s="6">
        <f>HYPERLINK("https://www.kleinanzeigen.de/s-bestandsliste.html?userId=126158423", "Link")</f>
        <v/>
      </c>
      <c r="K1664" s="7" t="n">
        <v>45549.5771875</v>
      </c>
      <c r="L1664" s="3" t="inlineStr">
        <is>
          <t>123.82</t>
        </is>
      </c>
      <c r="M1664" t="inlineStr">
        <is>
          <t>Karlsruhe</t>
        </is>
      </c>
    </row>
    <row r="1665">
      <c r="A1665" t="inlineStr">
        <is>
          <t>North Rebel 8 m² (heute Duotone) kitesurfen</t>
        </is>
      </c>
      <c r="B1665" s="4" t="n">
        <v>120</v>
      </c>
      <c r="C1665" t="inlineStr">
        <is>
          <t>VB</t>
        </is>
      </c>
      <c r="D1665" t="inlineStr">
        <is>
          <t>50968 Köln - Raderberg</t>
        </is>
      </c>
      <c r="E1665" s="5" t="n">
        <v>45538</v>
      </c>
      <c r="F1665" t="inlineStr">
        <is>
          <t>Sold</t>
        </is>
      </c>
      <c r="G1665" s="6">
        <f>HYPERLINK("https://www.kleinanzeigen.de/s-anzeige/north-rebel-8-m-heute-duotone-kitesurfen/2853121261-230-28287", "Link")</f>
        <v/>
      </c>
      <c r="H1665" s="6">
        <f>HYPERLINK("C:\Projects\Kleinanzeigen-Scraper\offer_images\2853121261", "Link")</f>
        <v/>
      </c>
      <c r="I1665" t="inlineStr">
        <is>
          <t>Dirk</t>
        </is>
      </c>
      <c r="J1665" s="6">
        <f>HYPERLINK("https://www.kleinanzeigen.de/s-bestandsliste.html?userId=4249954", "Link")</f>
        <v/>
      </c>
      <c r="K1665" s="7" t="n">
        <v>45549.57717592592</v>
      </c>
      <c r="L1665" s="3" t="inlineStr">
        <is>
          <t>4.01</t>
        </is>
      </c>
      <c r="M1665" t="inlineStr">
        <is>
          <t>Köln</t>
        </is>
      </c>
    </row>
    <row r="1666">
      <c r="A1666" t="inlineStr">
        <is>
          <t>Duotone Rebel D/Lan 2025 Kite 12 qm neu Kitesurfen</t>
        </is>
      </c>
      <c r="B1666" s="4" t="n">
        <v>3.449</v>
      </c>
      <c r="C1666" t="inlineStr">
        <is>
          <t>VB</t>
        </is>
      </c>
      <c r="D1666" t="inlineStr">
        <is>
          <t>22457 Eimsbüttel - Hamburg Schnelsen</t>
        </is>
      </c>
      <c r="E1666" s="5" t="n">
        <v>45539</v>
      </c>
      <c r="F1666" t="inlineStr">
        <is>
          <t>Sold</t>
        </is>
      </c>
      <c r="G1666" s="6">
        <f>HYPERLINK("https://www.kleinanzeigen.de/s-anzeige/duotone-rebel-d-lan-2025-kite-12-qm-neu-kitesurfen/2854318720-230-9492", "Link")</f>
        <v/>
      </c>
      <c r="H1666" s="6">
        <f>HYPERLINK("C:\Projects\Kleinanzeigen-Scraper\offer_images\2854318720", "Link")</f>
        <v/>
      </c>
      <c r="I1666" t="inlineStr">
        <is>
          <t>No user name</t>
        </is>
      </c>
      <c r="J1666" s="6">
        <f>HYPERLINK("https://www.kleinanzeigen.deNo user link", "Link")</f>
        <v/>
      </c>
      <c r="K1666" s="7" t="n">
        <v>45549.57716435185</v>
      </c>
      <c r="L1666" s="3" t="inlineStr">
        <is>
          <t>362.41</t>
        </is>
      </c>
      <c r="M1666" t="inlineStr">
        <is>
          <t>Köln</t>
        </is>
      </c>
    </row>
    <row r="1667">
      <c r="A1667" t="inlineStr">
        <is>
          <t>Malvorlage und Keilrahmen Blumen | Solo Goya</t>
        </is>
      </c>
      <c r="B1667" s="4" t="n">
        <v>5</v>
      </c>
      <c r="C1667" t="inlineStr"/>
      <c r="D1667" t="inlineStr">
        <is>
          <t>20249 Hamburg-Nord - Hamburg Eppendorf</t>
        </is>
      </c>
      <c r="E1667" s="5" t="n">
        <v>45502</v>
      </c>
      <c r="F1667" t="inlineStr">
        <is>
          <t>Sold</t>
        </is>
      </c>
      <c r="G1667" s="6">
        <f>HYPERLINK("https://www.kleinanzeigen.de/s-anzeige/malvorlage-und-keilrahmen-blumen-solo-goya/2823870066-282-9476", "Link")</f>
        <v/>
      </c>
      <c r="H1667" s="6">
        <f>HYPERLINK("C:\Projects\Kleinanzeigen-Scraper\offer_images\2823870066", "Link")</f>
        <v/>
      </c>
      <c r="I1667" t="inlineStr">
        <is>
          <t>Vivien</t>
        </is>
      </c>
      <c r="J1667" s="6">
        <f>HYPERLINK("https://www.kleinanzeigen.de/s-bestandsliste.html?userId=78307612", "Link")</f>
        <v/>
      </c>
      <c r="K1667" s="7" t="n">
        <v>45549.57716435185</v>
      </c>
      <c r="L1667" s="3" t="inlineStr">
        <is>
          <t>359.93</t>
        </is>
      </c>
      <c r="M1667" t="inlineStr">
        <is>
          <t>Köln</t>
        </is>
      </c>
    </row>
    <row r="1668">
      <c r="A1668" t="inlineStr">
        <is>
          <t>Duotone  Entity Ergo 2024 Bindung Twintip</t>
        </is>
      </c>
      <c r="B1668" s="4" t="n">
        <v>200</v>
      </c>
      <c r="C1668" t="inlineStr"/>
      <c r="D1668" t="inlineStr">
        <is>
          <t>90451 Nürnberg (Mittelfr) - Aussenstadt-Sued</t>
        </is>
      </c>
      <c r="E1668" s="5" t="n">
        <v>45539</v>
      </c>
      <c r="F1668" t="inlineStr">
        <is>
          <t>Sold</t>
        </is>
      </c>
      <c r="G1668" s="6">
        <f>HYPERLINK("https://www.kleinanzeigen.de/s-anzeige/duotone-entity-ergo-2024-bindung-twintip/2624361140-230-6836", "Link")</f>
        <v/>
      </c>
      <c r="H1668" s="6">
        <f>HYPERLINK("C:\Projects\Kleinanzeigen-Scraper\offer_images\2624361140", "Link")</f>
        <v/>
      </c>
      <c r="I1668" t="inlineStr">
        <is>
          <t>No user name</t>
        </is>
      </c>
      <c r="J1668" s="6">
        <f>HYPERLINK("https://www.kleinanzeigen.deNo user link", "Link")</f>
        <v/>
      </c>
      <c r="K1668" s="7" t="n">
        <v>45549.57716435185</v>
      </c>
      <c r="L1668" s="3" t="inlineStr">
        <is>
          <t>145.92</t>
        </is>
      </c>
      <c r="M1668" t="inlineStr">
        <is>
          <t>München</t>
        </is>
      </c>
    </row>
    <row r="1669">
      <c r="A1669" t="inlineStr">
        <is>
          <t>North Team series 2013 Kiteboard</t>
        </is>
      </c>
      <c r="B1669" s="4" t="n">
        <v>250</v>
      </c>
      <c r="C1669" t="inlineStr">
        <is>
          <t>VB</t>
        </is>
      </c>
      <c r="D1669" t="inlineStr">
        <is>
          <t>66424 Saarland - Homburg</t>
        </is>
      </c>
      <c r="E1669" s="5" t="n">
        <v>45540</v>
      </c>
      <c r="F1669" t="inlineStr">
        <is>
          <t>Sold</t>
        </is>
      </c>
      <c r="G1669" s="6">
        <f>HYPERLINK("https://www.kleinanzeigen.de/s-anzeige/north-team-series-2013-kiteboard/2854757549-230-372", "Link")</f>
        <v/>
      </c>
      <c r="H1669" s="6">
        <f>HYPERLINK("C:\Projects\Kleinanzeigen-Scraper\offer_images\2854757549", "Link")</f>
        <v/>
      </c>
      <c r="I1669" t="inlineStr">
        <is>
          <t>kircher</t>
        </is>
      </c>
      <c r="J1669" s="6">
        <f>HYPERLINK("https://www.kleinanzeigen.de/s-bestandsliste.html?userId=18890349", "Link")</f>
        <v/>
      </c>
      <c r="K1669" s="7" t="n">
        <v>45549.57716435185</v>
      </c>
      <c r="L1669" s="3" t="inlineStr">
        <is>
          <t>84.10</t>
        </is>
      </c>
      <c r="M1669" t="inlineStr">
        <is>
          <t>Karlsruhe</t>
        </is>
      </c>
    </row>
    <row r="1670">
      <c r="A1670" t="inlineStr">
        <is>
          <t>Naish Pivot 8qm S26 2022, Wie Neu</t>
        </is>
      </c>
      <c r="B1670" s="4" t="n">
        <v>650</v>
      </c>
      <c r="C1670" t="inlineStr"/>
      <c r="D1670" t="inlineStr">
        <is>
          <t>71634 Baden-Württemberg - Ludwigsburg</t>
        </is>
      </c>
      <c r="E1670" s="5" t="n">
        <v>45538</v>
      </c>
      <c r="F1670" t="inlineStr"/>
      <c r="G1670" s="6">
        <f>HYPERLINK("https://www.kleinanzeigen.de/s-anzeige/naish-pivot-8qm-s26-2022-wie-neu/2853234497-230-9065", "Link")</f>
        <v/>
      </c>
      <c r="H1670" s="6">
        <f>HYPERLINK("C:\Projects\Kleinanzeigen-Scraper\offer_images\2853234497", "Link")</f>
        <v/>
      </c>
      <c r="I1670" t="inlineStr">
        <is>
          <t>Ruben</t>
        </is>
      </c>
      <c r="J1670" s="6">
        <f>HYPERLINK("https://www.kleinanzeigen.de/s-bestandsliste.html?userId=33646368", "Link")</f>
        <v/>
      </c>
      <c r="K1670" s="7" t="n">
        <v>45549.57716435185</v>
      </c>
      <c r="L1670" s="3" t="inlineStr">
        <is>
          <t>29.80</t>
        </is>
      </c>
      <c r="M1670" t="inlineStr">
        <is>
          <t>Böblingen</t>
        </is>
      </c>
    </row>
    <row r="1671">
      <c r="A1671" t="inlineStr">
        <is>
          <t>Naish Phoenix 13,5 qm Kite (S27 2023)</t>
        </is>
      </c>
      <c r="B1671" s="4" t="n">
        <v>490</v>
      </c>
      <c r="C1671" t="inlineStr">
        <is>
          <t>VB</t>
        </is>
      </c>
      <c r="D1671" t="inlineStr">
        <is>
          <t>24558 Schleswig-Holstein - Henstedt-Ulzburg</t>
        </is>
      </c>
      <c r="E1671" s="5" t="n">
        <v>45542</v>
      </c>
      <c r="F1671" t="inlineStr">
        <is>
          <t>Sold</t>
        </is>
      </c>
      <c r="G1671" s="6">
        <f>HYPERLINK("https://www.kleinanzeigen.de/s-anzeige/naish-phoenix-13-5-qm-kite-s27-2023-/2856613347-230-13734", "Link")</f>
        <v/>
      </c>
      <c r="H1671" s="6">
        <f>HYPERLINK("C:\Projects\Kleinanzeigen-Scraper\offer_images\2856613347", "Link")</f>
        <v/>
      </c>
      <c r="I1671" t="inlineStr">
        <is>
          <t>Dieter Kramer</t>
        </is>
      </c>
      <c r="J1671" s="6">
        <f>HYPERLINK("https://www.kleinanzeigen.de/s-bestandsliste.html?userId=19529309", "Link")</f>
        <v/>
      </c>
      <c r="K1671" s="7" t="n">
        <v>45549.57715277778</v>
      </c>
      <c r="L1671" s="3" t="inlineStr">
        <is>
          <t>379.46</t>
        </is>
      </c>
      <c r="M1671" t="inlineStr">
        <is>
          <t>Köln</t>
        </is>
      </c>
    </row>
    <row r="1672">
      <c r="A1672" t="inlineStr">
        <is>
          <t>DUOTONE Mono 2021 7m²  CC13:purple *Testkite*</t>
        </is>
      </c>
      <c r="B1672" s="4" t="n">
        <v>651</v>
      </c>
      <c r="C1672" t="inlineStr"/>
      <c r="D1672" t="inlineStr">
        <is>
          <t>17509 Mecklenburg-Vorpommern - Loissin</t>
        </is>
      </c>
      <c r="E1672" s="5" t="n">
        <v>45547</v>
      </c>
      <c r="F1672" t="inlineStr">
        <is>
          <t>Sold</t>
        </is>
      </c>
      <c r="G1672" s="6">
        <f>HYPERLINK("https://www.kleinanzeigen.de/s-anzeige/duotone-mono-2021-7m-cc13-purple-testkite-/2735356031-230-21340", "Link")</f>
        <v/>
      </c>
      <c r="H1672" s="6">
        <f>HYPERLINK("C:\Projects\Kleinanzeigen-Scraper\offer_images\2735356031", "Link")</f>
        <v/>
      </c>
      <c r="I1672" t="inlineStr">
        <is>
          <t>No user name</t>
        </is>
      </c>
      <c r="J1672" s="6">
        <f>HYPERLINK("https://www.kleinanzeigen.deNo user link", "Link")</f>
        <v/>
      </c>
      <c r="K1672" s="7" t="n">
        <v>45549.57714120371</v>
      </c>
      <c r="L1672" s="3" t="inlineStr">
        <is>
          <t>568.47</t>
        </is>
      </c>
      <c r="M1672" t="inlineStr">
        <is>
          <t>Köln</t>
        </is>
      </c>
    </row>
    <row r="1673">
      <c r="A1673" t="inlineStr">
        <is>
          <t>Naish S25 Wing-Surfer 4,6 nur 5x benutzt, wie neu mit Zubehör</t>
        </is>
      </c>
      <c r="B1673" s="4" t="n">
        <v>300</v>
      </c>
      <c r="C1673" t="inlineStr"/>
      <c r="D1673" t="inlineStr">
        <is>
          <t>38644 Niedersachsen - Goslar</t>
        </is>
      </c>
      <c r="E1673" s="5" t="n">
        <v>45544</v>
      </c>
      <c r="F1673" t="inlineStr">
        <is>
          <t>Sold</t>
        </is>
      </c>
      <c r="G1673" s="6">
        <f>HYPERLINK("https://www.kleinanzeigen.de/s-anzeige/naish-s25-wing-surfer-4-6-nur-5x-benutzt-wie-neu-mit-zubehoer/2813986447-230-2692", "Link")</f>
        <v/>
      </c>
      <c r="H1673" s="6">
        <f>HYPERLINK("C:\Projects\Kleinanzeigen-Scraper\offer_images\2813986447", "Link")</f>
        <v/>
      </c>
      <c r="I1673" t="inlineStr">
        <is>
          <t>Till Klinge</t>
        </is>
      </c>
      <c r="J1673" s="6">
        <f>HYPERLINK("https://www.kleinanzeigen.de/s-bestandsliste.html?userId=18393638", "Link")</f>
        <v/>
      </c>
      <c r="K1673" s="7" t="n">
        <v>45549.57714120371</v>
      </c>
      <c r="L1673" s="3" t="inlineStr">
        <is>
          <t>264.56</t>
        </is>
      </c>
      <c r="M1673" t="inlineStr">
        <is>
          <t>Köln</t>
        </is>
      </c>
    </row>
    <row r="1674">
      <c r="A1674" t="inlineStr">
        <is>
          <t>Zigarettenautomat Jofemar Goya Warenautomat (kein Wurlitzer)</t>
        </is>
      </c>
      <c r="B1674" s="4" t="n">
        <v>50</v>
      </c>
      <c r="C1674" t="inlineStr"/>
      <c r="D1674" t="inlineStr">
        <is>
          <t>94110 Bayern - Wegscheid</t>
        </is>
      </c>
      <c r="E1674" s="5" t="n">
        <v>45502</v>
      </c>
      <c r="F1674" t="inlineStr">
        <is>
          <t>Sold</t>
        </is>
      </c>
      <c r="G1674" s="6">
        <f>HYPERLINK("https://www.kleinanzeigen.de/s-anzeige/zigarettenautomat-jofemar-goya-warenautomat-kein-wurlitzer-/2824340701-234-7467", "Link")</f>
        <v/>
      </c>
      <c r="H1674" s="6">
        <f>HYPERLINK("C:\Projects\Kleinanzeigen-Scraper\offer_images\2824340701", "Link")</f>
        <v/>
      </c>
      <c r="I1674" t="inlineStr">
        <is>
          <t>www.Holly-Games.at</t>
        </is>
      </c>
      <c r="J1674" s="6">
        <f>HYPERLINK("https://www.kleinanzeigen.de/s-bestandsliste.html?userId=84425238", "Link")</f>
        <v/>
      </c>
      <c r="K1674" s="7" t="n">
        <v>45549.57711805555</v>
      </c>
      <c r="L1674" s="3" t="inlineStr">
        <is>
          <t>171.43</t>
        </is>
      </c>
      <c r="M1674" t="inlineStr">
        <is>
          <t>München</t>
        </is>
      </c>
    </row>
    <row r="1675">
      <c r="A1675" t="inlineStr">
        <is>
          <t>2024 DUOTONE Wingset Aero Glide SLS 1085/200</t>
        </is>
      </c>
      <c r="B1675" s="4" t="n">
        <v>490</v>
      </c>
      <c r="C1675" t="inlineStr"/>
      <c r="D1675" t="inlineStr">
        <is>
          <t>82054 Kr. München - Sauerlach</t>
        </is>
      </c>
      <c r="E1675" s="5" t="n">
        <v>45546</v>
      </c>
      <c r="F1675" t="inlineStr">
        <is>
          <t>Sold</t>
        </is>
      </c>
      <c r="G1675" s="6">
        <f>HYPERLINK("https://www.kleinanzeigen.de/s-anzeige/2024-duotone-wingset-aero-glide-sls-1085-200/2860361883-230-5593", "Link")</f>
        <v/>
      </c>
      <c r="H1675" s="6">
        <f>HYPERLINK("C:\Projects\Kleinanzeigen-Scraper\offer_images\2860361883", "Link")</f>
        <v/>
      </c>
      <c r="I1675" t="inlineStr">
        <is>
          <t>Carolin M.</t>
        </is>
      </c>
      <c r="J1675" s="6">
        <f>HYPERLINK("https://www.kleinanzeigen.de/s-bestandsliste.html?userId=31945199", "Link")</f>
        <v/>
      </c>
      <c r="K1675" s="7" t="n">
        <v>45549.57711805555</v>
      </c>
      <c r="L1675" s="3" t="inlineStr">
        <is>
          <t>20.66</t>
        </is>
      </c>
      <c r="M1675" t="inlineStr">
        <is>
          <t>München</t>
        </is>
      </c>
    </row>
    <row r="1676">
      <c r="A1676" t="inlineStr">
        <is>
          <t>Kite Surf Set 2 Boards, 2 Schirme 8er 12er, 1 Bar, Ozone, Duotone</t>
        </is>
      </c>
      <c r="B1676" s="4" t="n">
        <v>1.2</v>
      </c>
      <c r="C1676" t="inlineStr"/>
      <c r="D1676" t="inlineStr">
        <is>
          <t>15366 Brandenburg - Neuenhagen</t>
        </is>
      </c>
      <c r="E1676" s="5" t="n">
        <v>45544</v>
      </c>
      <c r="F1676" t="inlineStr">
        <is>
          <t>Sold</t>
        </is>
      </c>
      <c r="G1676" s="6">
        <f>HYPERLINK("https://www.kleinanzeigen.de/s-anzeige/kite-surf-set-2-boards-2-schirme-8er-12er-1-bar-ozone-duotone/2858520329-230-7915", "Link")</f>
        <v/>
      </c>
      <c r="H1676" s="6">
        <f>HYPERLINK("C:\Projects\Kleinanzeigen-Scraper\offer_images\2858520329", "Link")</f>
        <v/>
      </c>
      <c r="I1676" t="inlineStr">
        <is>
          <t>Dennis</t>
        </is>
      </c>
      <c r="J1676" s="6">
        <f>HYPERLINK("https://www.kleinanzeigen.de/s-bestandsliste.html?userId=7922399", "Link")</f>
        <v/>
      </c>
      <c r="K1676" s="7" t="n">
        <v>45549.57711805555</v>
      </c>
      <c r="L1676" s="3" t="inlineStr">
        <is>
          <t>493.44</t>
        </is>
      </c>
      <c r="M1676" t="inlineStr">
        <is>
          <t>Köln</t>
        </is>
      </c>
    </row>
    <row r="1677">
      <c r="A1677" t="inlineStr">
        <is>
          <t>IQ Foil Severne HyperGlide Rig Bag Quiver Tasche</t>
        </is>
      </c>
      <c r="B1677" s="4" t="inlineStr"/>
      <c r="C1677" t="inlineStr">
        <is>
          <t>VB</t>
        </is>
      </c>
      <c r="D1677" t="inlineStr">
        <is>
          <t>24955 Schleswig-Holstein - Harrislee</t>
        </is>
      </c>
      <c r="E1677" s="5" t="n">
        <v>45499</v>
      </c>
      <c r="F1677" t="inlineStr">
        <is>
          <t>Sold</t>
        </is>
      </c>
      <c r="G1677" s="6">
        <f>HYPERLINK("https://www.kleinanzeigen.de/s-anzeige/iq-foil-severne-hyperglide-rig-bag-quiver-tasche/2821897333-230-734", "Link")</f>
        <v/>
      </c>
      <c r="H1677" s="6">
        <f>HYPERLINK("C:\Projects\Kleinanzeigen-Scraper\offer_images\2821897333", "Link")</f>
        <v/>
      </c>
      <c r="I1677" t="inlineStr">
        <is>
          <t>Joshua</t>
        </is>
      </c>
      <c r="J1677" s="6">
        <f>HYPERLINK("https://www.kleinanzeigen.de/s-bestandsliste.html?userId=41267512", "Link")</f>
        <v/>
      </c>
      <c r="K1677" s="7" t="n">
        <v>45549.57711805555</v>
      </c>
      <c r="L1677" s="3" t="inlineStr">
        <is>
          <t>459.37</t>
        </is>
      </c>
      <c r="M1677" t="inlineStr">
        <is>
          <t>Köln</t>
        </is>
      </c>
    </row>
    <row r="1678">
      <c r="A1678" t="inlineStr">
        <is>
          <t>RRD SUP Paddel Alu</t>
        </is>
      </c>
      <c r="B1678" s="4" t="n">
        <v>75</v>
      </c>
      <c r="C1678" t="inlineStr"/>
      <c r="D1678" t="inlineStr">
        <is>
          <t>26215 Niedersachsen - Wiefelstede</t>
        </is>
      </c>
      <c r="E1678" s="5" t="n">
        <v>45098</v>
      </c>
      <c r="F1678" t="inlineStr"/>
      <c r="G1678" s="6">
        <f>HYPERLINK("https://www.kleinanzeigen.de/s-anzeige/rrd-sup-paddel-alu/2474048575-230-2576", "Link")</f>
        <v/>
      </c>
      <c r="H1678" s="6">
        <f>HYPERLINK("C:\Projects\Kleinanzeigen-Scraper\offer_images\2474048575", "Link")</f>
        <v/>
      </c>
      <c r="I1678" t="inlineStr">
        <is>
          <t>Jens</t>
        </is>
      </c>
      <c r="J1678" s="6">
        <f>HYPERLINK("https://www.kleinanzeigen.de/s-bestandsliste.html?userId=8396622", "Link")</f>
        <v/>
      </c>
      <c r="K1678" s="7" t="n">
        <v>45549.57711805555</v>
      </c>
      <c r="L1678" s="3" t="inlineStr">
        <is>
          <t>269.48</t>
        </is>
      </c>
      <c r="M1678" t="inlineStr">
        <is>
          <t>Köln</t>
        </is>
      </c>
    </row>
    <row r="1679">
      <c r="A1679" t="inlineStr">
        <is>
          <t>Kite 12er qm Neo North jetzt Duotone</t>
        </is>
      </c>
      <c r="B1679" s="4" t="n">
        <v>450</v>
      </c>
      <c r="C1679" t="inlineStr">
        <is>
          <t>VB</t>
        </is>
      </c>
      <c r="D1679" t="inlineStr">
        <is>
          <t>50674 Innenstadt - Köln Altstadt</t>
        </is>
      </c>
      <c r="E1679" s="5" t="n">
        <v>45541</v>
      </c>
      <c r="F1679" t="inlineStr">
        <is>
          <t>Sold</t>
        </is>
      </c>
      <c r="G1679" s="6">
        <f>HYPERLINK("https://www.kleinanzeigen.de/s-anzeige/kite-12er-qm-neo-north-jetzt-duotone/2855648921-230-989", "Link")</f>
        <v/>
      </c>
      <c r="H1679" s="6">
        <f>HYPERLINK("C:\Projects\Kleinanzeigen-Scraper\offer_images\2855648921", "Link")</f>
        <v/>
      </c>
      <c r="I1679" t="inlineStr">
        <is>
          <t>Henny</t>
        </is>
      </c>
      <c r="J1679" s="6">
        <f>HYPERLINK("https://www.kleinanzeigen.de/s-bestandsliste.html?userId=36121500", "Link")</f>
        <v/>
      </c>
      <c r="K1679" s="7" t="n">
        <v>45549.57709490741</v>
      </c>
      <c r="L1679" s="3" t="inlineStr">
        <is>
          <t>1.52</t>
        </is>
      </c>
      <c r="M1679" t="inlineStr">
        <is>
          <t>Köln</t>
        </is>
      </c>
    </row>
    <row r="1680">
      <c r="A1680" t="inlineStr">
        <is>
          <t>Neilpryde Kurzarmanzug Neoprenanzug</t>
        </is>
      </c>
      <c r="B1680" s="4" t="n">
        <v>10</v>
      </c>
      <c r="C1680" t="inlineStr"/>
      <c r="D1680" t="inlineStr">
        <is>
          <t>86551 Bayern - Aichach</t>
        </is>
      </c>
      <c r="E1680" s="5" t="n">
        <v>45528</v>
      </c>
      <c r="F1680" t="inlineStr">
        <is>
          <t>Sold</t>
        </is>
      </c>
      <c r="G1680" s="6">
        <f>HYPERLINK("https://www.kleinanzeigen.de/s-anzeige/neilpryde-kurzarmanzug-neoprenanzug/2845358427-230-7194", "Link")</f>
        <v/>
      </c>
      <c r="H1680" s="6">
        <f>HYPERLINK("C:\Projects\Kleinanzeigen-Scraper\offer_images\2845358427", "Link")</f>
        <v/>
      </c>
      <c r="I1680" t="inlineStr">
        <is>
          <t>Uli</t>
        </is>
      </c>
      <c r="J1680" s="6">
        <f>HYPERLINK("https://www.kleinanzeigen.de/s-bestandsliste.html?userId=32253217", "Link")</f>
        <v/>
      </c>
      <c r="K1680" s="7" t="n">
        <v>45549.57709490741</v>
      </c>
      <c r="L1680" s="3" t="inlineStr">
        <is>
          <t>47.87</t>
        </is>
      </c>
      <c r="M1680" t="inlineStr">
        <is>
          <t>München</t>
        </is>
      </c>
    </row>
    <row r="1681">
      <c r="A1681" t="inlineStr">
        <is>
          <t>Neopren Anzug NeilPryde 52/L</t>
        </is>
      </c>
      <c r="B1681" s="4" t="n">
        <v>10</v>
      </c>
      <c r="C1681" t="inlineStr"/>
      <c r="D1681" t="inlineStr">
        <is>
          <t>26802 Niedersachsen - Moormerland</t>
        </is>
      </c>
      <c r="E1681" s="5" t="n">
        <v>45546</v>
      </c>
      <c r="F1681" t="inlineStr">
        <is>
          <t>Sold</t>
        </is>
      </c>
      <c r="G1681" s="6">
        <f>HYPERLINK("https://www.kleinanzeigen.de/s-anzeige/neopren-anzug-neilpryde-52-l/2860607024-230-2780", "Link")</f>
        <v/>
      </c>
      <c r="H1681" s="6">
        <f>HYPERLINK("C:\Projects\Kleinanzeigen-Scraper\offer_images\2860607024", "Link")</f>
        <v/>
      </c>
      <c r="I1681" t="inlineStr">
        <is>
          <t>Harms</t>
        </is>
      </c>
      <c r="J1681" s="6">
        <f>HYPERLINK("https://www.kleinanzeigen.de/s-bestandsliste.html?userId=6592456", "Link")</f>
        <v/>
      </c>
      <c r="K1681" s="7" t="n">
        <v>45549.57709490741</v>
      </c>
      <c r="L1681" s="3" t="inlineStr">
        <is>
          <t>265.85</t>
        </is>
      </c>
      <c r="M1681" t="inlineStr">
        <is>
          <t>Köln</t>
        </is>
      </c>
    </row>
    <row r="1682">
      <c r="A1682" t="inlineStr">
        <is>
          <t>Boxsack mit Handschuhen von Vandal</t>
        </is>
      </c>
      <c r="B1682" s="4" t="n">
        <v>100</v>
      </c>
      <c r="C1682" t="inlineStr">
        <is>
          <t>VB</t>
        </is>
      </c>
      <c r="D1682" t="inlineStr">
        <is>
          <t>27578 Häfen - Bremerhaven</t>
        </is>
      </c>
      <c r="E1682" s="5" t="n">
        <v>45458</v>
      </c>
      <c r="F1682" t="inlineStr">
        <is>
          <t>Sold</t>
        </is>
      </c>
      <c r="G1682" s="6">
        <f>HYPERLINK("https://www.kleinanzeigen.de/s-anzeige/boxsack-mit-handschuhen-von-vandal/2788539213-230-54", "Link")</f>
        <v/>
      </c>
      <c r="H1682" s="6">
        <f>HYPERLINK("C:\Projects\Kleinanzeigen-Scraper\offer_images\2788539213", "Link")</f>
        <v/>
      </c>
      <c r="I1682" t="inlineStr">
        <is>
          <t>Dennis</t>
        </is>
      </c>
      <c r="J1682" s="6">
        <f>HYPERLINK("https://www.kleinanzeigen.de/s-bestandsliste.html?userId=60296673", "Link")</f>
        <v/>
      </c>
      <c r="K1682" s="7" t="n">
        <v>45549.57709490741</v>
      </c>
      <c r="L1682" s="3" t="inlineStr">
        <is>
          <t>315.40</t>
        </is>
      </c>
      <c r="M1682" t="inlineStr">
        <is>
          <t>Köln</t>
        </is>
      </c>
    </row>
    <row r="1683">
      <c r="A1683" t="inlineStr">
        <is>
          <t>Boardbag Cheeky Windsurf 265 x 80 cm - wie neu!</t>
        </is>
      </c>
      <c r="B1683" s="4" t="n">
        <v>69</v>
      </c>
      <c r="C1683" t="inlineStr">
        <is>
          <t>VB</t>
        </is>
      </c>
      <c r="D1683" t="inlineStr">
        <is>
          <t>76287 Baden-Württemberg - Rheinstetten</t>
        </is>
      </c>
      <c r="E1683" s="5" t="n">
        <v>45548</v>
      </c>
      <c r="F1683" t="inlineStr">
        <is>
          <t>Sold</t>
        </is>
      </c>
      <c r="G1683" s="6">
        <f>HYPERLINK("https://www.kleinanzeigen.de/s-anzeige/boardbag-cheeky-windsurf-265-x-80-cm-wie-neu-/2862414444-230-8166", "Link")</f>
        <v/>
      </c>
      <c r="H1683" s="6">
        <f>HYPERLINK("C:\Projects\Kleinanzeigen-Scraper\offer_images\2862414444", "Link")</f>
        <v/>
      </c>
      <c r="I1683" t="inlineStr">
        <is>
          <t>Dominik</t>
        </is>
      </c>
      <c r="J1683" s="6">
        <f>HYPERLINK("https://www.kleinanzeigen.de/s-bestandsliste.html?userId=16948579", "Link")</f>
        <v/>
      </c>
      <c r="K1683" s="7" t="n">
        <v>45549.57707175926</v>
      </c>
      <c r="L1683" s="3" t="inlineStr">
        <is>
          <t>7.05</t>
        </is>
      </c>
      <c r="M1683" t="inlineStr">
        <is>
          <t>Karlsruhe</t>
        </is>
      </c>
    </row>
    <row r="1684">
      <c r="A1684" t="inlineStr">
        <is>
          <t>Naish Triad S27 11 m2 - 5x gefahren - Kite  only</t>
        </is>
      </c>
      <c r="B1684" s="4" t="n">
        <v>800</v>
      </c>
      <c r="C1684" t="inlineStr"/>
      <c r="D1684" t="inlineStr">
        <is>
          <t>23743 Kreis Ostholstein - Grömitz</t>
        </is>
      </c>
      <c r="E1684" s="5" t="n">
        <v>45501</v>
      </c>
      <c r="F1684" t="inlineStr">
        <is>
          <t>Sold</t>
        </is>
      </c>
      <c r="G1684" s="6">
        <f>HYPERLINK("https://www.kleinanzeigen.de/s-anzeige/naish-triad-s27-11-m2-5x-gefahren-kite-only/2823032173-230-16671", "Link")</f>
        <v/>
      </c>
      <c r="H1684" s="6">
        <f>HYPERLINK("C:\Projects\Kleinanzeigen-Scraper\offer_images\2823032173", "Link")</f>
        <v/>
      </c>
      <c r="I1684" t="inlineStr">
        <is>
          <t>Bals</t>
        </is>
      </c>
      <c r="J1684" s="6">
        <f>HYPERLINK("https://www.kleinanzeigen.de/s-bestandsliste.html?userId=72488798", "Link")</f>
        <v/>
      </c>
      <c r="K1684" s="7" t="n">
        <v>45549.57707175926</v>
      </c>
      <c r="L1684" s="3" t="inlineStr">
        <is>
          <t>451.59</t>
        </is>
      </c>
      <c r="M1684" t="inlineStr">
        <is>
          <t>Köln</t>
        </is>
      </c>
    </row>
    <row r="1685">
      <c r="A1685" t="inlineStr">
        <is>
          <t>Simms Tacklewarehouse Fishing Shirt</t>
        </is>
      </c>
      <c r="B1685" s="4" t="n">
        <v>25</v>
      </c>
      <c r="C1685" t="inlineStr"/>
      <c r="D1685" t="inlineStr">
        <is>
          <t>61440 Hessen - Oberursel (Taunus)</t>
        </is>
      </c>
      <c r="E1685" s="5" t="n">
        <v>45502</v>
      </c>
      <c r="F1685" t="inlineStr">
        <is>
          <t>Sold</t>
        </is>
      </c>
      <c r="G1685" s="6">
        <f>HYPERLINK("https://www.kleinanzeigen.de/s-anzeige/simms-tacklewarehouse-fishing-shirt/2823830296-230-4578", "Link")</f>
        <v/>
      </c>
      <c r="H1685" s="6">
        <f>HYPERLINK("C:\Projects\Kleinanzeigen-Scraper\offer_images\2823830296", "Link")</f>
        <v/>
      </c>
      <c r="I1685" t="inlineStr">
        <is>
          <t>Leon</t>
        </is>
      </c>
      <c r="J1685" s="6">
        <f>HYPERLINK("https://www.kleinanzeigen.de/s-bestandsliste.html?userId=29845155", "Link")</f>
        <v/>
      </c>
      <c r="K1685" s="7" t="n">
        <v>45549.57706018518</v>
      </c>
      <c r="L1685" s="3" t="inlineStr">
        <is>
          <t>134.19</t>
        </is>
      </c>
      <c r="M1685" t="inlineStr">
        <is>
          <t>Karlsruhe</t>
        </is>
      </c>
    </row>
    <row r="1686">
      <c r="A1686" t="inlineStr">
        <is>
          <t>North Reach Kite 2024 13m</t>
        </is>
      </c>
      <c r="B1686" s="4" t="n">
        <v>825</v>
      </c>
      <c r="C1686" t="inlineStr"/>
      <c r="D1686" t="inlineStr">
        <is>
          <t>80638 Neuhausen-Nymphenburg - Nymphenburg</t>
        </is>
      </c>
      <c r="E1686" s="5" t="n">
        <v>45543</v>
      </c>
      <c r="F1686" t="inlineStr">
        <is>
          <t>Sold</t>
        </is>
      </c>
      <c r="G1686" s="6">
        <f>HYPERLINK("https://www.kleinanzeigen.de/s-anzeige/north-reach-kite-2024-13m/2857122974-230-6421", "Link")</f>
        <v/>
      </c>
      <c r="H1686" s="6">
        <f>HYPERLINK("C:\Projects\Kleinanzeigen-Scraper\offer_images\2857122974", "Link")</f>
        <v/>
      </c>
      <c r="I1686" t="inlineStr">
        <is>
          <t>Loui</t>
        </is>
      </c>
      <c r="J1686" s="6">
        <f>HYPERLINK("https://www.kleinanzeigen.de/s-bestandsliste.html?userId=67174608", "Link")</f>
        <v/>
      </c>
      <c r="K1686" s="7" t="n">
        <v>45549.57706018518</v>
      </c>
      <c r="L1686" s="3" t="inlineStr">
        <is>
          <t>5.88</t>
        </is>
      </c>
      <c r="M1686" t="inlineStr">
        <is>
          <t>München</t>
        </is>
      </c>
    </row>
    <row r="1687">
      <c r="A1687" t="inlineStr">
        <is>
          <t>Angelanzug. North Sea II Mullion. Gr. S</t>
        </is>
      </c>
      <c r="B1687" s="4" t="n">
        <v>50</v>
      </c>
      <c r="C1687" t="inlineStr">
        <is>
          <t>VB</t>
        </is>
      </c>
      <c r="D1687" t="inlineStr">
        <is>
          <t>15913 Brandenburg - Märkische Heide</t>
        </is>
      </c>
      <c r="E1687" s="5" t="n">
        <v>45546</v>
      </c>
      <c r="F1687" t="inlineStr">
        <is>
          <t>Sold</t>
        </is>
      </c>
      <c r="G1687" s="6">
        <f>HYPERLINK("https://www.kleinanzeigen.de/s-anzeige/angelanzug-north-sea-ii-mullion-gr-s/2860803089-230-7807", "Link")</f>
        <v/>
      </c>
      <c r="H1687" s="6">
        <f>HYPERLINK("C:\Projects\Kleinanzeigen-Scraper\offer_images\2860803089", "Link")</f>
        <v/>
      </c>
      <c r="I1687" t="inlineStr">
        <is>
          <t>Maggi</t>
        </is>
      </c>
      <c r="J1687" s="6">
        <f>HYPERLINK("https://www.kleinanzeigen.de/s-bestandsliste.html?userId=87214332", "Link")</f>
        <v/>
      </c>
      <c r="K1687" s="7" t="n">
        <v>45549.57704861111</v>
      </c>
      <c r="L1687" s="3" t="inlineStr">
        <is>
          <t>457.71</t>
        </is>
      </c>
      <c r="M1687" t="inlineStr">
        <is>
          <t>München</t>
        </is>
      </c>
    </row>
    <row r="1688">
      <c r="A1688" t="inlineStr">
        <is>
          <t>Compoundbogen Bowtech Fanatic RH</t>
        </is>
      </c>
      <c r="B1688" s="4" t="n">
        <v>500</v>
      </c>
      <c r="C1688" t="inlineStr">
        <is>
          <t>VB</t>
        </is>
      </c>
      <c r="D1688" t="inlineStr">
        <is>
          <t>85659 Bayern - Forstern</t>
        </is>
      </c>
      <c r="E1688" s="5" t="n">
        <v>45540</v>
      </c>
      <c r="F1688" t="inlineStr">
        <is>
          <t>Sold</t>
        </is>
      </c>
      <c r="G1688" s="6">
        <f>HYPERLINK("https://www.kleinanzeigen.de/s-anzeige/compoundbogen-bowtech-fanatic-rh/2854749044-230-6576", "Link")</f>
        <v/>
      </c>
      <c r="H1688" s="6">
        <f>HYPERLINK("C:\Projects\Kleinanzeigen-Scraper\offer_images\2854749044", "Link")</f>
        <v/>
      </c>
      <c r="I1688" t="inlineStr">
        <is>
          <t>Mike</t>
        </is>
      </c>
      <c r="J1688" s="6">
        <f>HYPERLINK("https://www.kleinanzeigen.de/s-bestandsliste.html?userId=59983820", "Link")</f>
        <v/>
      </c>
      <c r="K1688" s="7" t="n">
        <v>45549.57704861111</v>
      </c>
      <c r="L1688" s="3" t="inlineStr">
        <is>
          <t>29.84</t>
        </is>
      </c>
      <c r="M1688" t="inlineStr">
        <is>
          <t>München</t>
        </is>
      </c>
    </row>
    <row r="1689">
      <c r="A1689" t="inlineStr">
        <is>
          <t>Doutone/North Vegas 8qm 2020</t>
        </is>
      </c>
      <c r="B1689" s="4" t="n">
        <v>320</v>
      </c>
      <c r="C1689" t="inlineStr">
        <is>
          <t>VB</t>
        </is>
      </c>
      <c r="D1689" t="inlineStr">
        <is>
          <t>20255 Eimsbüttel - Hamburg Eimsbüttel (Stadtteil)</t>
        </is>
      </c>
      <c r="E1689" s="5" t="n">
        <v>45547</v>
      </c>
      <c r="F1689" t="inlineStr">
        <is>
          <t>Sold</t>
        </is>
      </c>
      <c r="G1689" s="6">
        <f>HYPERLINK("https://www.kleinanzeigen.de/s-anzeige/doutone-north-vegas-8qm-2020/2861118034-230-9428", "Link")</f>
        <v/>
      </c>
      <c r="H1689" s="6">
        <f>HYPERLINK("C:\Projects\Kleinanzeigen-Scraper\offer_images\2861118034", "Link")</f>
        <v/>
      </c>
      <c r="I1689" t="inlineStr">
        <is>
          <t>Leon Lenzner</t>
        </is>
      </c>
      <c r="J1689" s="6">
        <f>HYPERLINK("https://www.kleinanzeigen.de/s-bestandsliste.html?userId=40190180", "Link")</f>
        <v/>
      </c>
      <c r="K1689" s="7" t="n">
        <v>45549.57704861111</v>
      </c>
      <c r="L1689" s="3" t="inlineStr">
        <is>
          <t>357.52</t>
        </is>
      </c>
      <c r="M1689" t="inlineStr">
        <is>
          <t>Köln</t>
        </is>
      </c>
    </row>
    <row r="1690">
      <c r="A1690" t="inlineStr">
        <is>
          <t>Naish Pivot 10qm S26 2022 Kite</t>
        </is>
      </c>
      <c r="B1690" s="4" t="n">
        <v>500</v>
      </c>
      <c r="C1690" t="inlineStr">
        <is>
          <t>VB</t>
        </is>
      </c>
      <c r="D1690" t="inlineStr">
        <is>
          <t>57339 Nordrhein-Westfalen - Erndtebrück</t>
        </is>
      </c>
      <c r="E1690" s="5" t="n">
        <v>45546</v>
      </c>
      <c r="F1690" t="inlineStr">
        <is>
          <t>Sold</t>
        </is>
      </c>
      <c r="G1690" s="6">
        <f>HYPERLINK("https://www.kleinanzeigen.de/s-anzeige/naish-pivot-10qm-s26-2022-kite/2860616490-230-1469", "Link")</f>
        <v/>
      </c>
      <c r="H1690" s="6">
        <f>HYPERLINK("C:\Projects\Kleinanzeigen-Scraper\offer_images\2860616490", "Link")</f>
        <v/>
      </c>
      <c r="I1690" t="inlineStr">
        <is>
          <t>Kerstin spittel</t>
        </is>
      </c>
      <c r="J1690" s="6">
        <f>HYPERLINK("https://www.kleinanzeigen.de/s-bestandsliste.html?userId=9237713", "Link")</f>
        <v/>
      </c>
      <c r="K1690" s="7" t="n">
        <v>45549.57704861111</v>
      </c>
      <c r="L1690" s="3" t="inlineStr">
        <is>
          <t>91.26</t>
        </is>
      </c>
      <c r="M1690" t="inlineStr">
        <is>
          <t>Köln</t>
        </is>
      </c>
    </row>
    <row r="1691">
      <c r="A1691" t="inlineStr">
        <is>
          <t>North Rebel 2016 10qm - perfekter Anfänger Kite</t>
        </is>
      </c>
      <c r="B1691" s="4" t="n">
        <v>250</v>
      </c>
      <c r="C1691" t="inlineStr">
        <is>
          <t>VB</t>
        </is>
      </c>
      <c r="D1691" t="inlineStr">
        <is>
          <t>85055 Bayern - Ingolstadt</t>
        </is>
      </c>
      <c r="E1691" s="5" t="n">
        <v>45536</v>
      </c>
      <c r="F1691" t="inlineStr">
        <is>
          <t>Sold</t>
        </is>
      </c>
      <c r="G1691" s="6">
        <f>HYPERLINK("https://www.kleinanzeigen.de/s-anzeige/north-rebel-2016-10qm-perfekter-anfaenger-kite/2851549569-230-7613", "Link")</f>
        <v/>
      </c>
      <c r="H1691" s="6">
        <f>HYPERLINK("C:\Projects\Kleinanzeigen-Scraper\offer_images\2851549569", "Link")</f>
        <v/>
      </c>
      <c r="I1691" t="inlineStr">
        <is>
          <t>Lisa</t>
        </is>
      </c>
      <c r="J1691" s="6">
        <f>HYPERLINK("https://www.kleinanzeigen.de/s-bestandsliste.html?userId=3719610", "Link")</f>
        <v/>
      </c>
      <c r="K1691" s="7" t="n">
        <v>45549.57703703704</v>
      </c>
      <c r="L1691" s="3" t="inlineStr">
        <is>
          <t>73.53</t>
        </is>
      </c>
      <c r="M1691" t="inlineStr">
        <is>
          <t>München</t>
        </is>
      </c>
    </row>
    <row r="1692">
      <c r="A1692" t="inlineStr">
        <is>
          <t>Click-Bar Duotone Saison 2024 Größe M</t>
        </is>
      </c>
      <c r="B1692" s="4" t="n">
        <v>430</v>
      </c>
      <c r="C1692" t="inlineStr"/>
      <c r="D1692" t="inlineStr">
        <is>
          <t>81249 Aubing-Lochhausen-Langwied - Aubing</t>
        </is>
      </c>
      <c r="E1692" s="5" t="n">
        <v>45547</v>
      </c>
      <c r="F1692" t="inlineStr">
        <is>
          <t>Sold</t>
        </is>
      </c>
      <c r="G1692" s="6">
        <f>HYPERLINK("https://www.kleinanzeigen.de/s-anzeige/click-bar-duotone-saison-2024-groesse-m/2861370865-230-6477", "Link")</f>
        <v/>
      </c>
      <c r="H1692" s="6">
        <f>HYPERLINK("C:\Projects\Kleinanzeigen-Scraper\offer_images\2861370865", "Link")</f>
        <v/>
      </c>
      <c r="I1692" t="inlineStr">
        <is>
          <t>Brigitte</t>
        </is>
      </c>
      <c r="J1692" s="6">
        <f>HYPERLINK("https://www.kleinanzeigen.de/s-bestandsliste.html?userId=40337970", "Link")</f>
        <v/>
      </c>
      <c r="K1692" s="7" t="n">
        <v>45549.57703703704</v>
      </c>
      <c r="L1692" s="3" t="inlineStr">
        <is>
          <t>13.54</t>
        </is>
      </c>
      <c r="M1692" t="inlineStr">
        <is>
          <t>München</t>
        </is>
      </c>
    </row>
    <row r="1693">
      <c r="A1693" t="inlineStr">
        <is>
          <t>Ungetragene Neilpryde-Schuhe, Gr. 39, surfen, SUP</t>
        </is>
      </c>
      <c r="B1693" s="4" t="n">
        <v>15</v>
      </c>
      <c r="C1693" t="inlineStr">
        <is>
          <t>VB</t>
        </is>
      </c>
      <c r="D1693" t="inlineStr">
        <is>
          <t>33615 Bielefeld - Bielefeld (Innenstadt)</t>
        </is>
      </c>
      <c r="E1693" s="5" t="n">
        <v>45442</v>
      </c>
      <c r="F1693" t="inlineStr"/>
      <c r="G1693" s="6">
        <f>HYPERLINK("https://www.kleinanzeigen.de/s-anzeige/ungetragene-neilpryde-schuhe-gr-39-surfen-sup/2774855063-230-1058", "Link")</f>
        <v/>
      </c>
      <c r="H1693" s="6">
        <f>HYPERLINK("C:\Projects\Kleinanzeigen-Scraper\offer_images\2774855063", "Link")</f>
        <v/>
      </c>
      <c r="I1693" t="inlineStr">
        <is>
          <t>Carola Giller</t>
        </is>
      </c>
      <c r="J1693" s="6">
        <f>HYPERLINK("https://www.kleinanzeigen.de/s-bestandsliste.html?userId=7988525", "Link")</f>
        <v/>
      </c>
      <c r="K1693" s="7" t="n">
        <v>45549.57702546296</v>
      </c>
      <c r="L1693" s="3" t="inlineStr">
        <is>
          <t>162.21</t>
        </is>
      </c>
      <c r="M1693" t="inlineStr">
        <is>
          <t>Köln</t>
        </is>
      </c>
    </row>
    <row r="1694">
      <c r="A1694" t="inlineStr">
        <is>
          <t>Naish S26 Jet Foil / Test ab Mai auf Rügen</t>
        </is>
      </c>
      <c r="B1694" s="4" t="n">
        <v>899</v>
      </c>
      <c r="C1694" t="inlineStr"/>
      <c r="D1694" t="inlineStr">
        <is>
          <t>18586 Mecklenburg-Vorpommern - Mönchgut, Ostseebad</t>
        </is>
      </c>
      <c r="E1694" s="5" t="n">
        <v>45564</v>
      </c>
      <c r="F1694" t="inlineStr"/>
      <c r="G1694" s="6">
        <f>HYPERLINK("https://www.kleinanzeigen.de/s-anzeige/naish-s26-jet-foil-test-ab-mai-auf-ruegen/1214703811-230-120", "Link")</f>
        <v/>
      </c>
      <c r="H1694" s="6">
        <f>HYPERLINK("C:\Projects\Kleinanzeigen-Scraper\offer_images\1214703811", "Link")</f>
        <v/>
      </c>
      <c r="I1694" t="inlineStr">
        <is>
          <t>No user name</t>
        </is>
      </c>
      <c r="J1694" s="6">
        <f>HYPERLINK("https://www.kleinanzeigen.deNo user link", "Link")</f>
        <v/>
      </c>
      <c r="K1694" s="7" t="n">
        <v>45549.57700231481</v>
      </c>
      <c r="L1694" s="3" t="inlineStr">
        <is>
          <t>591.22</t>
        </is>
      </c>
      <c r="M1694" t="inlineStr">
        <is>
          <t>Köln</t>
        </is>
      </c>
    </row>
    <row r="1695">
      <c r="A1695" t="inlineStr">
        <is>
          <t>RC Auto 1/10 2wd quanum Vandal 2S</t>
        </is>
      </c>
      <c r="B1695" s="4" t="n">
        <v>99</v>
      </c>
      <c r="C1695" t="inlineStr">
        <is>
          <t>VB</t>
        </is>
      </c>
      <c r="D1695" t="inlineStr">
        <is>
          <t>29313 Niedersachsen - Hambühren</t>
        </is>
      </c>
      <c r="E1695" s="5" t="n">
        <v>45501</v>
      </c>
      <c r="F1695" t="inlineStr">
        <is>
          <t>Sold</t>
        </is>
      </c>
      <c r="G1695" s="6">
        <f>HYPERLINK("https://www.kleinanzeigen.de/s-anzeige/rc-auto-1-10-2wd-quanum-vandal-2s/2823655414-249-3203", "Link")</f>
        <v/>
      </c>
      <c r="H1695" s="6">
        <f>HYPERLINK("C:\Projects\Kleinanzeigen-Scraper\offer_images\2823655414", "Link")</f>
        <v/>
      </c>
      <c r="I1695" t="inlineStr">
        <is>
          <t>Hofmann</t>
        </is>
      </c>
      <c r="J1695" s="6">
        <f>HYPERLINK("https://www.kleinanzeigen.de/s-bestandsliste.html?userId=12151511", "Link")</f>
        <v/>
      </c>
      <c r="K1695" s="7" t="n">
        <v>45549.57699074074</v>
      </c>
      <c r="L1695" s="3" t="inlineStr">
        <is>
          <t>277.61</t>
        </is>
      </c>
      <c r="M1695" t="inlineStr">
        <is>
          <t>Köln</t>
        </is>
      </c>
    </row>
    <row r="1696">
      <c r="A1696" t="inlineStr">
        <is>
          <t>Naish Boxer 2024 6m2, Neuwertig</t>
        </is>
      </c>
      <c r="B1696" s="4" t="n">
        <v>640</v>
      </c>
      <c r="C1696" t="inlineStr">
        <is>
          <t>VB</t>
        </is>
      </c>
      <c r="D1696" t="inlineStr">
        <is>
          <t>94032 Kr. Passau - Passau</t>
        </is>
      </c>
      <c r="E1696" s="5" t="n">
        <v>45480</v>
      </c>
      <c r="F1696" t="inlineStr">
        <is>
          <t>Sold</t>
        </is>
      </c>
      <c r="G1696" s="6">
        <f>HYPERLINK("https://www.kleinanzeigen.de/s-anzeige/naish-boxer-2024-6m2-neuwertig/2807032434-230-7482", "Link")</f>
        <v/>
      </c>
      <c r="H1696" s="6">
        <f>HYPERLINK("C:\Projects\Kleinanzeigen-Scraper\offer_images\2807032434", "Link")</f>
        <v/>
      </c>
      <c r="I1696" t="inlineStr">
        <is>
          <t>Rafael Trübswasser</t>
        </is>
      </c>
      <c r="J1696" s="6">
        <f>HYPERLINK("https://www.kleinanzeigen.de/s-bestandsliste.html?userId=29060525", "Link")</f>
        <v/>
      </c>
      <c r="K1696" s="7" t="n">
        <v>45549.57699074074</v>
      </c>
      <c r="L1696" s="3" t="inlineStr">
        <is>
          <t>147.66</t>
        </is>
      </c>
      <c r="M1696" t="inlineStr">
        <is>
          <t>München</t>
        </is>
      </c>
    </row>
    <row r="1697">
      <c r="A1697" t="inlineStr">
        <is>
          <t>Wing Duotone Slick 5,5 qm, Modell 22/23</t>
        </is>
      </c>
      <c r="B1697" s="4" t="n">
        <v>460</v>
      </c>
      <c r="C1697" t="inlineStr">
        <is>
          <t>VB</t>
        </is>
      </c>
      <c r="D1697" t="inlineStr">
        <is>
          <t>91720 Bayern - Absberg</t>
        </is>
      </c>
      <c r="E1697" s="5" t="n">
        <v>45539</v>
      </c>
      <c r="F1697" t="inlineStr">
        <is>
          <t>Sold</t>
        </is>
      </c>
      <c r="G1697" s="6">
        <f>HYPERLINK("https://www.kleinanzeigen.de/s-anzeige/wing-duotone-slick-5-5-qm-modell-22-23/2854386177-230-6159", "Link")</f>
        <v/>
      </c>
      <c r="H1697" s="6">
        <f>HYPERLINK("C:\Projects\Kleinanzeigen-Scraper\offer_images\2854386177", "Link")</f>
        <v/>
      </c>
      <c r="I1697" t="inlineStr">
        <is>
          <t>Silke K</t>
        </is>
      </c>
      <c r="J1697" s="6">
        <f>HYPERLINK("https://www.kleinanzeigen.de/s-bestandsliste.html?userId=35948278", "Link")</f>
        <v/>
      </c>
      <c r="K1697" s="7" t="n">
        <v>45549.57697916667</v>
      </c>
      <c r="L1697" s="3" t="inlineStr">
        <is>
          <t>123.43</t>
        </is>
      </c>
      <c r="M1697" t="inlineStr">
        <is>
          <t>München</t>
        </is>
      </c>
    </row>
    <row r="1698">
      <c r="A1698" t="inlineStr">
        <is>
          <t>Slavia Praha / SK Slavia Prag Mütze oder Beenie Fotbalovi Fanatic</t>
        </is>
      </c>
      <c r="B1698" s="4" t="n">
        <v>5</v>
      </c>
      <c r="C1698" t="inlineStr"/>
      <c r="D1698" t="inlineStr">
        <is>
          <t>10245 Friedrichshain-Kreuzberg - Friedrichshain</t>
        </is>
      </c>
      <c r="E1698" s="5" t="n">
        <v>45538</v>
      </c>
      <c r="F1698" t="inlineStr">
        <is>
          <t>Sold</t>
        </is>
      </c>
      <c r="G1698" s="6">
        <f>HYPERLINK("https://www.kleinanzeigen.de/s-anzeige/slavia-praha-sk-slavia-prag-muetze-oder-beenie-fotbalovi-fanatic/2853101057-230-3352", "Link")</f>
        <v/>
      </c>
      <c r="H1698" s="6">
        <f>HYPERLINK("C:\Projects\Kleinanzeigen-Scraper\offer_images\2853101057", "Link")</f>
        <v/>
      </c>
      <c r="I1698" t="inlineStr">
        <is>
          <t>Pascal</t>
        </is>
      </c>
      <c r="J1698" s="6">
        <f>HYPERLINK("https://www.kleinanzeigen.de/s-bestandsliste.html?userId=23293083", "Link")</f>
        <v/>
      </c>
      <c r="K1698" s="7" t="n">
        <v>45549.57696759259</v>
      </c>
      <c r="L1698" s="3" t="inlineStr">
        <is>
          <t>480.20</t>
        </is>
      </c>
      <c r="M1698" t="inlineStr">
        <is>
          <t>Köln</t>
        </is>
      </c>
    </row>
    <row r="1699">
      <c r="A1699" t="inlineStr">
        <is>
          <t>Verkaufe meine north camp ISO Matte zum aufpusten</t>
        </is>
      </c>
      <c r="B1699" s="4" t="n">
        <v>20</v>
      </c>
      <c r="C1699" t="inlineStr">
        <is>
          <t>VB</t>
        </is>
      </c>
      <c r="D1699" t="inlineStr">
        <is>
          <t>12681 Berlin - Marzahn</t>
        </is>
      </c>
      <c r="E1699" s="5" t="n">
        <v>45545</v>
      </c>
      <c r="F1699" t="inlineStr">
        <is>
          <t>Sold</t>
        </is>
      </c>
      <c r="G1699" s="6">
        <f>HYPERLINK("https://www.kleinanzeigen.de/s-anzeige/verkaufe-meine-north-camp-iso-matte-zum-aufpusten/2859138425-230-3380", "Link")</f>
        <v/>
      </c>
      <c r="H1699" s="6">
        <f>HYPERLINK("C:\Projects\Kleinanzeigen-Scraper\offer_images\2859138425", "Link")</f>
        <v/>
      </c>
      <c r="I1699" t="inlineStr">
        <is>
          <t>Elena uhlig</t>
        </is>
      </c>
      <c r="J1699" s="6">
        <f>HYPERLINK("https://www.kleinanzeigen.de/s-bestandsliste.html?userId=127207092", "Link")</f>
        <v/>
      </c>
      <c r="K1699" s="7" t="n">
        <v>45549.57694444444</v>
      </c>
      <c r="L1699" s="3" t="inlineStr">
        <is>
          <t>487.49</t>
        </is>
      </c>
      <c r="M1699" t="inlineStr">
        <is>
          <t>Köln</t>
        </is>
      </c>
    </row>
    <row r="1700">
      <c r="A1700" t="inlineStr">
        <is>
          <t>Kitebar RRD Global Bar Y25 gebraucht</t>
        </is>
      </c>
      <c r="B1700" s="4" t="n">
        <v>250</v>
      </c>
      <c r="C1700" t="inlineStr"/>
      <c r="D1700" t="inlineStr">
        <is>
          <t>20259 Eimsbüttel - Hamburg Eimsbüttel (Stadtteil)</t>
        </is>
      </c>
      <c r="E1700" s="5" t="n">
        <v>45041</v>
      </c>
      <c r="F1700" t="inlineStr">
        <is>
          <t>Sold</t>
        </is>
      </c>
      <c r="G1700" s="6">
        <f>HYPERLINK("https://www.kleinanzeigen.de/s-anzeige/kitebar-rrd-global-bar-y25-gebraucht/2424980883-230-9427", "Link")</f>
        <v/>
      </c>
      <c r="H1700" s="6">
        <f>HYPERLINK("C:\Projects\Kleinanzeigen-Scraper\offer_images\2424980883", "Link")</f>
        <v/>
      </c>
      <c r="I1700" t="inlineStr">
        <is>
          <t>Hans - Peter Straub</t>
        </is>
      </c>
      <c r="J1700" s="6">
        <f>HYPERLINK("https://www.kleinanzeigen.de/s-bestandsliste.html?userId=14560239", "Link")</f>
        <v/>
      </c>
      <c r="K1700" s="7" t="n">
        <v>45549.57694444444</v>
      </c>
      <c r="L1700" s="3" t="inlineStr">
        <is>
          <t>356.92</t>
        </is>
      </c>
      <c r="M1700" t="inlineStr">
        <is>
          <t>Köln</t>
        </is>
      </c>
    </row>
    <row r="1701">
      <c r="A1701" t="inlineStr">
        <is>
          <t>Höhenverstellbares Fanatic SUP Paddel</t>
        </is>
      </c>
      <c r="B1701" s="4" t="n">
        <v>25</v>
      </c>
      <c r="C1701" t="inlineStr">
        <is>
          <t>VB</t>
        </is>
      </c>
      <c r="D1701" t="inlineStr">
        <is>
          <t>85622 Kr. München - Feldkirchen</t>
        </is>
      </c>
      <c r="E1701" s="5" t="n">
        <v>45557</v>
      </c>
      <c r="F1701" t="inlineStr">
        <is>
          <t>Sold</t>
        </is>
      </c>
      <c r="G1701" s="6">
        <f>HYPERLINK("https://www.kleinanzeigen.de/s-anzeige/hoehenverstellbares-fanatic-sup-paddel/2858428335-230-17169", "Link")</f>
        <v/>
      </c>
      <c r="H1701" s="6">
        <f>HYPERLINK("C:\Projects\Kleinanzeigen-Scraper\offer_images\2858428335", "Link")</f>
        <v/>
      </c>
      <c r="I1701" t="inlineStr">
        <is>
          <t>Christoph</t>
        </is>
      </c>
      <c r="J1701" s="6">
        <f>HYPERLINK("https://www.kleinanzeigen.de/s-bestandsliste.html?userId=35392864", "Link")</f>
        <v/>
      </c>
      <c r="K1701" s="7" t="n">
        <v>45549.57694444444</v>
      </c>
      <c r="L1701" s="3" t="inlineStr">
        <is>
          <t>11.66</t>
        </is>
      </c>
      <c r="M1701" t="inlineStr">
        <is>
          <t>München</t>
        </is>
      </c>
    </row>
    <row r="1702">
      <c r="A1702" t="inlineStr">
        <is>
          <t>Windsurf Segel NeilPryde Duotone Severne Softsails</t>
        </is>
      </c>
      <c r="B1702" s="4" t="n">
        <v>290</v>
      </c>
      <c r="C1702" t="inlineStr">
        <is>
          <t>VB</t>
        </is>
      </c>
      <c r="D1702" t="inlineStr">
        <is>
          <t>99991 Unstrut-Hainich - Weberstedt</t>
        </is>
      </c>
      <c r="E1702" s="5" t="n">
        <v>45499</v>
      </c>
      <c r="F1702" t="inlineStr">
        <is>
          <t>Sold</t>
        </is>
      </c>
      <c r="G1702" s="6">
        <f>HYPERLINK("https://www.kleinanzeigen.de/s-anzeige/windsurf-segel-neilpryde-duotone-severne-softsails/2821797937-230-27803", "Link")</f>
        <v/>
      </c>
      <c r="H1702" s="6">
        <f>HYPERLINK("C:\Projects\Kleinanzeigen-Scraper\offer_images\2821797937", "Link")</f>
        <v/>
      </c>
      <c r="I1702" t="inlineStr">
        <is>
          <t>Dirk Kolberg</t>
        </is>
      </c>
      <c r="J1702" s="6">
        <f>HYPERLINK("https://www.kleinanzeigen.de/s-bestandsliste.html?userId=57653293", "Link")</f>
        <v/>
      </c>
      <c r="K1702" s="7" t="n">
        <v>45549.57694444444</v>
      </c>
      <c r="L1702" s="3" t="inlineStr">
        <is>
          <t>254.19</t>
        </is>
      </c>
      <c r="M1702" t="inlineStr">
        <is>
          <t>Köln</t>
        </is>
      </c>
    </row>
    <row r="1703">
      <c r="A1703" t="inlineStr">
        <is>
          <t>Ölgemälde nach Francisco de Goya Realismus</t>
        </is>
      </c>
      <c r="B1703" s="4" t="n">
        <v>70</v>
      </c>
      <c r="C1703" t="inlineStr"/>
      <c r="D1703" t="inlineStr">
        <is>
          <t>13156 Berlin - Pankow</t>
        </is>
      </c>
      <c r="E1703" s="5" t="n">
        <v>45366</v>
      </c>
      <c r="F1703" t="inlineStr"/>
      <c r="G1703" s="6">
        <f>HYPERLINK("https://www.kleinanzeigen.de/s-anzeige/oelgemaelde-nach-francisco-de-goya-realismus/2706657941-240-3469", "Link")</f>
        <v/>
      </c>
      <c r="H1703" s="6">
        <f>HYPERLINK("C:\Projects\Kleinanzeigen-Scraper\offer_images\2706657941", "Link")</f>
        <v/>
      </c>
      <c r="I1703" t="inlineStr">
        <is>
          <t>DW</t>
        </is>
      </c>
      <c r="J1703" s="6">
        <f>HYPERLINK("https://www.kleinanzeigen.de/s-bestandsliste.html?userId=23956227", "Link")</f>
        <v/>
      </c>
      <c r="K1703" s="7" t="n">
        <v>45549.57694444444</v>
      </c>
      <c r="L1703" s="3" t="inlineStr">
        <is>
          <t>479.47</t>
        </is>
      </c>
      <c r="M1703" t="inlineStr">
        <is>
          <t>Köln</t>
        </is>
      </c>
    </row>
    <row r="1704">
      <c r="A1704" t="inlineStr">
        <is>
          <t>North American F - 100 in 1:48  Revell , Airfix, Italeri</t>
        </is>
      </c>
      <c r="B1704" s="4" t="n">
        <v>23</v>
      </c>
      <c r="C1704" t="inlineStr"/>
      <c r="D1704" t="inlineStr">
        <is>
          <t>48336 Nordrhein-Westfalen - Sassenberg</t>
        </is>
      </c>
      <c r="E1704" s="5" t="n">
        <v>45544</v>
      </c>
      <c r="F1704" t="inlineStr">
        <is>
          <t>Sold</t>
        </is>
      </c>
      <c r="G1704" s="6">
        <f>HYPERLINK("https://www.kleinanzeigen.de/s-anzeige/north-american-f-100-in-1-48-revell-airfix-italeri/2858737379-249-1303", "Link")</f>
        <v/>
      </c>
      <c r="H1704" s="6">
        <f>HYPERLINK("C:\Projects\Kleinanzeigen-Scraper\offer_images\2858737379", "Link")</f>
        <v/>
      </c>
      <c r="I1704" t="inlineStr">
        <is>
          <t>Offers</t>
        </is>
      </c>
      <c r="J1704" s="6">
        <f>HYPERLINK("https://www.kleinanzeigen.de/s-bestandsliste.html?userId=13212523", "Link")</f>
        <v/>
      </c>
      <c r="K1704" s="7" t="n">
        <v>45549.57694444444</v>
      </c>
      <c r="L1704" s="3" t="inlineStr">
        <is>
          <t>141.72</t>
        </is>
      </c>
      <c r="M1704" t="inlineStr">
        <is>
          <t>Köln</t>
        </is>
      </c>
    </row>
    <row r="1705">
      <c r="A1705" t="inlineStr">
        <is>
          <t>Naish Pivot 10</t>
        </is>
      </c>
      <c r="B1705" s="4" t="n">
        <v>610</v>
      </c>
      <c r="C1705" t="inlineStr">
        <is>
          <t>VB</t>
        </is>
      </c>
      <c r="D1705" t="inlineStr">
        <is>
          <t>21149 Harburg - Hamburg Neugraben</t>
        </is>
      </c>
      <c r="E1705" s="5" t="n">
        <v>45510</v>
      </c>
      <c r="F1705" t="inlineStr"/>
      <c r="G1705" s="6">
        <f>HYPERLINK("https://www.kleinanzeigen.de/s-anzeige/naish-pivot-10/2830233514-230-15765", "Link")</f>
        <v/>
      </c>
      <c r="H1705" s="6">
        <f>HYPERLINK("C:\Projects\Kleinanzeigen-Scraper\offer_images\2830233514", "Link")</f>
        <v/>
      </c>
      <c r="I1705" t="inlineStr">
        <is>
          <t>Sascha Hausmann</t>
        </is>
      </c>
      <c r="J1705" s="6">
        <f>HYPERLINK("https://www.kleinanzeigen.de/s-bestandsliste.html?userId=68217222", "Link")</f>
        <v/>
      </c>
      <c r="K1705" s="7" t="n">
        <v>45549.57694444444</v>
      </c>
      <c r="L1705" s="3" t="inlineStr">
        <is>
          <t>342.48</t>
        </is>
      </c>
      <c r="M1705" t="inlineStr">
        <is>
          <t>Köln</t>
        </is>
      </c>
    </row>
    <row r="1706">
      <c r="A1706" t="inlineStr">
        <is>
          <t>RRD Religion 5 MK9 2020 kein Reo</t>
        </is>
      </c>
      <c r="B1706" s="4" t="n">
        <v>240</v>
      </c>
      <c r="C1706" t="inlineStr"/>
      <c r="D1706" t="inlineStr">
        <is>
          <t>38350 Niedersachsen - Helmstedt</t>
        </is>
      </c>
      <c r="E1706" s="5" t="n">
        <v>45533</v>
      </c>
      <c r="F1706" t="inlineStr"/>
      <c r="G1706" s="6">
        <f>HYPERLINK("https://www.kleinanzeigen.de/s-anzeige/rrd-religion-5-mk9-2020-kein-reo/2848982161-230-14238", "Link")</f>
        <v/>
      </c>
      <c r="H1706" s="6">
        <f>HYPERLINK("C:\Projects\Kleinanzeigen-Scraper\offer_images\2848982161", "Link")</f>
        <v/>
      </c>
      <c r="I1706" t="inlineStr">
        <is>
          <t>Liebing</t>
        </is>
      </c>
      <c r="J1706" s="6">
        <f>HYPERLINK("https://www.kleinanzeigen.de/s-bestandsliste.html?userId=11767375", "Link")</f>
        <v/>
      </c>
      <c r="K1706" s="7" t="n">
        <v>45549.5769212963</v>
      </c>
      <c r="L1706" s="3" t="inlineStr">
        <is>
          <t>314.95</t>
        </is>
      </c>
      <c r="M1706" t="inlineStr">
        <is>
          <t>Köln</t>
        </is>
      </c>
    </row>
    <row r="1707">
      <c r="A1707" t="inlineStr">
        <is>
          <t>RRD-Surffoil</t>
        </is>
      </c>
      <c r="B1707" s="4" t="n">
        <v>649</v>
      </c>
      <c r="C1707" t="inlineStr"/>
      <c r="D1707" t="inlineStr">
        <is>
          <t>89349 Bayern - Burtenbach</t>
        </is>
      </c>
      <c r="E1707" s="5" t="n">
        <v>45499</v>
      </c>
      <c r="F1707" t="inlineStr">
        <is>
          <t>Sold</t>
        </is>
      </c>
      <c r="G1707" s="6">
        <f>HYPERLINK("https://www.kleinanzeigen.de/s-anzeige/rrd-surffoil/2821281494-230-6709", "Link")</f>
        <v/>
      </c>
      <c r="H1707" s="6">
        <f>HYPERLINK("C:\Projects\Kleinanzeigen-Scraper\offer_images\2821281494", "Link")</f>
        <v/>
      </c>
      <c r="I1707" t="inlineStr">
        <is>
          <t>Burkhardt</t>
        </is>
      </c>
      <c r="J1707" s="6">
        <f>HYPERLINK("https://www.kleinanzeigen.de/s-bestandsliste.html?userId=68448130", "Link")</f>
        <v/>
      </c>
      <c r="K1707" s="7" t="n">
        <v>45549.5769212963</v>
      </c>
      <c r="L1707" s="3" t="inlineStr">
        <is>
          <t>86.30</t>
        </is>
      </c>
      <c r="M1707" t="inlineStr">
        <is>
          <t>München</t>
        </is>
      </c>
    </row>
    <row r="1708">
      <c r="A1708" t="inlineStr">
        <is>
          <t>Duotone Slick SLS 5.0/ Wing / Wingfoil</t>
        </is>
      </c>
      <c r="B1708" s="4" t="n">
        <v>415</v>
      </c>
      <c r="C1708" t="inlineStr"/>
      <c r="D1708" t="inlineStr">
        <is>
          <t>81541 Obergiesing-Fasangarten - Obergiesing</t>
        </is>
      </c>
      <c r="E1708" s="5" t="n">
        <v>45543</v>
      </c>
      <c r="F1708" t="inlineStr">
        <is>
          <t>Sold</t>
        </is>
      </c>
      <c r="G1708" s="6">
        <f>HYPERLINK("https://www.kleinanzeigen.de/s-anzeige/duotone-slick-sls-5-0-wing-wingfoil/2857003361-230-16362", "Link")</f>
        <v/>
      </c>
      <c r="H1708" s="6">
        <f>HYPERLINK("C:\Projects\Kleinanzeigen-Scraper\offer_images\2857003361", "Link")</f>
        <v/>
      </c>
      <c r="I1708" t="inlineStr">
        <is>
          <t>Privat</t>
        </is>
      </c>
      <c r="J1708" s="6">
        <f>HYPERLINK("https://www.kleinanzeigen.de/s-bestandsliste.html?userId=24482530", "Link")</f>
        <v/>
      </c>
      <c r="K1708" s="7" t="n">
        <v>45549.5769212963</v>
      </c>
      <c r="L1708" s="3" t="inlineStr">
        <is>
          <t>1.89</t>
        </is>
      </c>
      <c r="M1708" t="inlineStr">
        <is>
          <t>München</t>
        </is>
      </c>
    </row>
    <row r="1709">
      <c r="A1709" t="inlineStr">
        <is>
          <t>Duotone / North Evo Kite 7 qm 2018 - Gebraucht, guter Zustand!</t>
        </is>
      </c>
      <c r="B1709" s="4" t="n">
        <v>325</v>
      </c>
      <c r="C1709" t="inlineStr"/>
      <c r="D1709" t="inlineStr">
        <is>
          <t>30880 Niedersachsen - Laatzen</t>
        </is>
      </c>
      <c r="E1709" s="5" t="n">
        <v>45536</v>
      </c>
      <c r="F1709" t="inlineStr">
        <is>
          <t>Sold</t>
        </is>
      </c>
      <c r="G1709" s="6">
        <f>HYPERLINK("https://www.kleinanzeigen.de/s-anzeige/duotone-north-evo-kite-7-qm-2018-gebraucht-guter-zustand-/2851848490-230-2893", "Link")</f>
        <v/>
      </c>
      <c r="H1709" s="6">
        <f>HYPERLINK("C:\Projects\Kleinanzeigen-Scraper\offer_images\2851848490", "Link")</f>
        <v/>
      </c>
      <c r="I1709" t="inlineStr">
        <is>
          <t>Marc</t>
        </is>
      </c>
      <c r="J1709" s="6">
        <f>HYPERLINK("https://www.kleinanzeigen.de/s-bestandsliste.html?userId=25420897", "Link")</f>
        <v/>
      </c>
      <c r="K1709" s="7" t="n">
        <v>45549.57690972222</v>
      </c>
      <c r="L1709" s="3" t="inlineStr">
        <is>
          <t>249.44</t>
        </is>
      </c>
      <c r="M1709" t="inlineStr">
        <is>
          <t>Köln</t>
        </is>
      </c>
    </row>
    <row r="1710">
      <c r="A1710" t="inlineStr">
        <is>
          <t>Solo Goya Aqua Paint Marker Powepack (12 Marker) von KREUL (NEU)</t>
        </is>
      </c>
      <c r="B1710" s="4" t="n">
        <v>20</v>
      </c>
      <c r="C1710" t="inlineStr"/>
      <c r="D1710" t="inlineStr">
        <is>
          <t>21335 Niedersachsen - Lüneburg</t>
        </is>
      </c>
      <c r="E1710" s="5" t="n">
        <v>45512</v>
      </c>
      <c r="F1710" t="inlineStr">
        <is>
          <t>Sold</t>
        </is>
      </c>
      <c r="G1710" s="6">
        <f>HYPERLINK("https://www.kleinanzeigen.de/s-anzeige/solo-goya-aqua-paint-marker-powepack-12-marker-von-kreul-neu-/2832396491-282-3260", "Link")</f>
        <v/>
      </c>
      <c r="H1710" s="6">
        <f>HYPERLINK("C:\Projects\Kleinanzeigen-Scraper\offer_images\2832396491", "Link")</f>
        <v/>
      </c>
      <c r="I1710" t="inlineStr">
        <is>
          <t>Nina H.</t>
        </is>
      </c>
      <c r="J1710" s="6">
        <f>HYPERLINK("https://www.kleinanzeigen.de/s-bestandsliste.html?userId=33870032", "Link")</f>
        <v/>
      </c>
      <c r="K1710" s="7" t="n">
        <v>45549.57689814815</v>
      </c>
      <c r="L1710" s="3" t="inlineStr">
        <is>
          <t>345.15</t>
        </is>
      </c>
      <c r="M1710" t="inlineStr">
        <is>
          <t>Köln</t>
        </is>
      </c>
    </row>
    <row r="1711">
      <c r="A1711" t="inlineStr">
        <is>
          <t>Starboard fuselage 95</t>
        </is>
      </c>
      <c r="B1711" s="4" t="n">
        <v>150</v>
      </c>
      <c r="C1711" t="inlineStr">
        <is>
          <t>VB</t>
        </is>
      </c>
      <c r="D1711" t="inlineStr">
        <is>
          <t>24114 Schleswig-Holstein - Kiel</t>
        </is>
      </c>
      <c r="E1711" s="5" t="n">
        <v>45538</v>
      </c>
      <c r="F1711" t="inlineStr"/>
      <c r="G1711" s="6">
        <f>HYPERLINK("https://www.kleinanzeigen.de/s-anzeige/starboard-fuselage-95/2853660926-230-697", "Link")</f>
        <v/>
      </c>
      <c r="H1711" s="6">
        <f>HYPERLINK("C:\Projects\Kleinanzeigen-Scraper\offer_images\2853660926", "Link")</f>
        <v/>
      </c>
      <c r="I1711" t="inlineStr">
        <is>
          <t>Lars Poggemann</t>
        </is>
      </c>
      <c r="J1711" s="6">
        <f>HYPERLINK("https://www.kleinanzeigen.de/s-bestandsliste.html?userId=73467075", "Link")</f>
        <v/>
      </c>
      <c r="K1711" s="7" t="n">
        <v>45549.57689814815</v>
      </c>
      <c r="L1711" s="3" t="inlineStr">
        <is>
          <t>431.59</t>
        </is>
      </c>
      <c r="M1711" t="inlineStr">
        <is>
          <t>Köln</t>
        </is>
      </c>
    </row>
    <row r="1712">
      <c r="A1712" t="inlineStr">
        <is>
          <t>Naish Wing ADX in 5,5 qm rot im TOP Zustand.</t>
        </is>
      </c>
      <c r="B1712" s="4" t="n">
        <v>459</v>
      </c>
      <c r="C1712" t="inlineStr"/>
      <c r="D1712" t="inlineStr">
        <is>
          <t>82467 Bayern - Garmisch-Partenkirchen</t>
        </is>
      </c>
      <c r="E1712" s="5" t="n">
        <v>45527</v>
      </c>
      <c r="F1712" t="inlineStr">
        <is>
          <t>Sold</t>
        </is>
      </c>
      <c r="G1712" s="6">
        <f>HYPERLINK("https://www.kleinanzeigen.de/s-anzeige/naish-wing-adx-in-5-5-qm-rot-im-top-zustand-/2844329553-230-6338", "Link")</f>
        <v/>
      </c>
      <c r="H1712" s="6">
        <f>HYPERLINK("C:\Projects\Kleinanzeigen-Scraper\offer_images\2844329553", "Link")</f>
        <v/>
      </c>
      <c r="I1712" t="inlineStr">
        <is>
          <t>Jürgen Mussmann</t>
        </is>
      </c>
      <c r="J1712" s="6">
        <f>HYPERLINK("https://www.kleinanzeigen.de/s-bestandsliste.html?userId=12796836", "Link")</f>
        <v/>
      </c>
      <c r="K1712" s="7" t="n">
        <v>45549.57689814815</v>
      </c>
      <c r="L1712" s="3" t="inlineStr">
        <is>
          <t>80.76</t>
        </is>
      </c>
      <c r="M1712" t="inlineStr">
        <is>
          <t>München</t>
        </is>
      </c>
    </row>
    <row r="1713">
      <c r="A1713" t="inlineStr">
        <is>
          <t>RRD y26 Foil</t>
        </is>
      </c>
      <c r="B1713" s="4" t="n">
        <v>490</v>
      </c>
      <c r="C1713" t="inlineStr">
        <is>
          <t>VB</t>
        </is>
      </c>
      <c r="D1713" t="inlineStr">
        <is>
          <t>01558 Sachsen - Großenhain</t>
        </is>
      </c>
      <c r="E1713" s="5" t="n">
        <v>45516</v>
      </c>
      <c r="F1713" t="inlineStr"/>
      <c r="G1713" s="6">
        <f>HYPERLINK("https://www.kleinanzeigen.de/s-anzeige/rrd-y26-foil/2835613510-230-3994", "Link")</f>
        <v/>
      </c>
      <c r="H1713" s="6">
        <f>HYPERLINK("C:\Projects\Kleinanzeigen-Scraper\offer_images\2835613510", "Link")</f>
        <v/>
      </c>
      <c r="I1713" t="inlineStr">
        <is>
          <t>Schmidt, Robert</t>
        </is>
      </c>
      <c r="J1713" s="6">
        <f>HYPERLINK("https://www.kleinanzeigen.de/s-bestandsliste.html?userId=18600490", "Link")</f>
        <v/>
      </c>
      <c r="K1713" s="7" t="n">
        <v>45549.57689814815</v>
      </c>
      <c r="L1713" s="3" t="inlineStr">
        <is>
          <t>378.05</t>
        </is>
      </c>
      <c r="M1713" t="inlineStr">
        <is>
          <t>München</t>
        </is>
      </c>
    </row>
    <row r="1714">
      <c r="A1714" t="inlineStr">
        <is>
          <t>5) E. A. Seemanns Künstlermappen, Mappe 27. Goya</t>
        </is>
      </c>
      <c r="B1714" s="4" t="n">
        <v>30</v>
      </c>
      <c r="C1714" t="inlineStr">
        <is>
          <t>VB</t>
        </is>
      </c>
      <c r="D1714" t="inlineStr">
        <is>
          <t>53925 Nordrhein-Westfalen - Kall</t>
        </is>
      </c>
      <c r="E1714" s="5" t="n">
        <v>44509</v>
      </c>
      <c r="F1714" t="inlineStr"/>
      <c r="G1714" s="6">
        <f>HYPERLINK("https://www.kleinanzeigen.de/s-anzeige/5-e-a-seemanns-kuenstlermappen-mappe-27-goya/1927497295-240-1680", "Link")</f>
        <v/>
      </c>
      <c r="H1714" s="6">
        <f>HYPERLINK("C:\Projects\Kleinanzeigen-Scraper\offer_images\1927497295", "Link")</f>
        <v/>
      </c>
      <c r="I1714" t="inlineStr">
        <is>
          <t>Rainer</t>
        </is>
      </c>
      <c r="J1714" s="6">
        <f>HYPERLINK("https://www.kleinanzeigen.de/s-bestandsliste.html?userId=25136444", "Link")</f>
        <v/>
      </c>
      <c r="K1714" s="7" t="n">
        <v>45549.57688657408</v>
      </c>
      <c r="L1714" s="3" t="inlineStr">
        <is>
          <t>54.09</t>
        </is>
      </c>
      <c r="M1714" t="inlineStr">
        <is>
          <t>Köln</t>
        </is>
      </c>
    </row>
    <row r="1715">
      <c r="A1715" t="inlineStr">
        <is>
          <t>Neoprenanzug Neilpryde Damen 36 38</t>
        </is>
      </c>
      <c r="B1715" s="4" t="n">
        <v>35</v>
      </c>
      <c r="C1715" t="inlineStr"/>
      <c r="D1715" t="inlineStr">
        <is>
          <t>21516 Schleswig-Holstein - Schulendorf</t>
        </is>
      </c>
      <c r="E1715" s="5" t="n">
        <v>45542</v>
      </c>
      <c r="F1715" t="inlineStr">
        <is>
          <t>Sold</t>
        </is>
      </c>
      <c r="G1715" s="6">
        <f>HYPERLINK("https://www.kleinanzeigen.de/s-anzeige/neoprenanzug-neilpryde-damen-36-38/2856440370-230-23238", "Link")</f>
        <v/>
      </c>
      <c r="H1715" s="6">
        <f>HYPERLINK("C:\Projects\Kleinanzeigen-Scraper\offer_images\2856440370", "Link")</f>
        <v/>
      </c>
      <c r="I1715" t="inlineStr">
        <is>
          <t>Svenja Kaszubowski</t>
        </is>
      </c>
      <c r="J1715" s="6">
        <f>HYPERLINK("https://www.kleinanzeigen.de/s-bestandsliste.html?userId=92307305", "Link")</f>
        <v/>
      </c>
      <c r="K1715" s="7" t="n">
        <v>45549.576875</v>
      </c>
      <c r="L1715" s="3" t="inlineStr">
        <is>
          <t>375.68</t>
        </is>
      </c>
      <c r="M1715" t="inlineStr">
        <is>
          <t>Köln</t>
        </is>
      </c>
    </row>
    <row r="1716">
      <c r="A1716" t="inlineStr">
        <is>
          <t>Wing Duotone Unit 2024 6,0 4,5 3,5</t>
        </is>
      </c>
      <c r="B1716" s="4" t="n">
        <v>625</v>
      </c>
      <c r="C1716" t="inlineStr">
        <is>
          <t>VB</t>
        </is>
      </c>
      <c r="D1716" t="inlineStr">
        <is>
          <t>49459 Niedersachsen - Lembruch</t>
        </is>
      </c>
      <c r="E1716" s="5" t="n">
        <v>45547</v>
      </c>
      <c r="F1716" t="inlineStr">
        <is>
          <t>Sold</t>
        </is>
      </c>
      <c r="G1716" s="6">
        <f>HYPERLINK("https://www.kleinanzeigen.de/s-anzeige/wing-duotone-unit-2024-6-0-4-5-3-5/2860849452-230-20676", "Link")</f>
        <v/>
      </c>
      <c r="H1716" s="6">
        <f>HYPERLINK("C:\Projects\Kleinanzeigen-Scraper\offer_images\2860849452", "Link")</f>
        <v/>
      </c>
      <c r="I1716" t="inlineStr">
        <is>
          <t>Mathias</t>
        </is>
      </c>
      <c r="J1716" s="6">
        <f>HYPERLINK("https://www.kleinanzeigen.de/s-bestandsliste.html?userId=11459789", "Link")</f>
        <v/>
      </c>
      <c r="K1716" s="7" t="n">
        <v>45549.576875</v>
      </c>
      <c r="L1716" s="3" t="inlineStr">
        <is>
          <t>201.54</t>
        </is>
      </c>
      <c r="M1716" t="inlineStr">
        <is>
          <t>Köln</t>
        </is>
      </c>
    </row>
    <row r="1717">
      <c r="A1717" t="inlineStr">
        <is>
          <t>Solo GOYA Universal Staffelei</t>
        </is>
      </c>
      <c r="B1717" s="4" t="n">
        <v>25</v>
      </c>
      <c r="C1717" t="inlineStr"/>
      <c r="D1717" t="inlineStr">
        <is>
          <t>30455 Hannover - Ahlem-Badenstedt-Davenstedt</t>
        </is>
      </c>
      <c r="E1717" s="5" t="n">
        <v>45323</v>
      </c>
      <c r="F1717" t="inlineStr"/>
      <c r="G1717" s="6">
        <f>HYPERLINK("https://www.kleinanzeigen.de/s-anzeige/solo-goya-universal-staffelei/2667979958-191-3194", "Link")</f>
        <v/>
      </c>
      <c r="H1717" s="6">
        <f>HYPERLINK("C:\Projects\Kleinanzeigen-Scraper\offer_images\2667979958", "Link")</f>
        <v/>
      </c>
      <c r="I1717" t="inlineStr">
        <is>
          <t>Dr. Joachim Oppelt</t>
        </is>
      </c>
      <c r="J1717" s="6">
        <f>HYPERLINK("https://www.kleinanzeigen.de/s-bestandsliste.html?userId=7132134", "Link")</f>
        <v/>
      </c>
      <c r="K1717" s="7" t="n">
        <v>45549.576875</v>
      </c>
      <c r="L1717" s="3" t="inlineStr">
        <is>
          <t>245.03</t>
        </is>
      </c>
      <c r="M1717" t="inlineStr">
        <is>
          <t>Köln</t>
        </is>
      </c>
    </row>
    <row r="1718">
      <c r="A1718" t="inlineStr">
        <is>
          <t>Duotone Wakeboard-Bindung Gr. 45-46</t>
        </is>
      </c>
      <c r="B1718" s="4" t="n">
        <v>150</v>
      </c>
      <c r="C1718" t="inlineStr">
        <is>
          <t>VB</t>
        </is>
      </c>
      <c r="D1718" t="inlineStr">
        <is>
          <t>40625 Düsseldorf - Gerresheim</t>
        </is>
      </c>
      <c r="E1718" s="5" t="n">
        <v>45545</v>
      </c>
      <c r="F1718" t="inlineStr">
        <is>
          <t>Sold</t>
        </is>
      </c>
      <c r="G1718" s="6">
        <f>HYPERLINK("https://www.kleinanzeigen.de/s-anzeige/duotone-wakeboard-bindung-gr-45-46/2859279191-230-2104", "Link")</f>
        <v/>
      </c>
      <c r="H1718" s="6">
        <f>HYPERLINK("C:\Projects\Kleinanzeigen-Scraper\offer_images\2859279191", "Link")</f>
        <v/>
      </c>
      <c r="I1718" t="inlineStr">
        <is>
          <t>Tim Weidhase</t>
        </is>
      </c>
      <c r="J1718" s="6">
        <f>HYPERLINK("https://www.kleinanzeigen.de/s-bestandsliste.html?userId=141171589", "Link")</f>
        <v/>
      </c>
      <c r="K1718" s="7" t="n">
        <v>45549.57686342593</v>
      </c>
      <c r="L1718" s="3" t="inlineStr">
        <is>
          <t>33.80</t>
        </is>
      </c>
      <c r="M1718" t="inlineStr">
        <is>
          <t>Köln</t>
        </is>
      </c>
    </row>
    <row r="1719">
      <c r="A1719" t="inlineStr">
        <is>
          <t>Original verpackte Pumpe neu JP Australia mit Manometer</t>
        </is>
      </c>
      <c r="B1719" s="4" t="n">
        <v>25</v>
      </c>
      <c r="C1719" t="inlineStr"/>
      <c r="D1719" t="inlineStr">
        <is>
          <t>72649 Baden-Württemberg - Wolfschlugen</t>
        </is>
      </c>
      <c r="E1719" s="5" t="n">
        <v>45058</v>
      </c>
      <c r="F1719" t="inlineStr"/>
      <c r="G1719" s="6">
        <f>HYPERLINK("https://www.kleinanzeigen.de/s-anzeige/original-verpackte-pumpe-neu-jp-australia-mit-manometer/2440096985-230-8216", "Link")</f>
        <v/>
      </c>
      <c r="H1719" s="6">
        <f>HYPERLINK("C:\Projects\Kleinanzeigen-Scraper\offer_images\2440096985", "Link")</f>
        <v/>
      </c>
      <c r="I1719" t="inlineStr">
        <is>
          <t>Elke</t>
        </is>
      </c>
      <c r="J1719" s="6">
        <f>HYPERLINK("https://www.kleinanzeigen.de/s-bestandsliste.html?userId=2979379", "Link")</f>
        <v/>
      </c>
      <c r="K1719" s="7" t="n">
        <v>45549.57686342593</v>
      </c>
      <c r="L1719" s="3" t="inlineStr">
        <is>
          <t>22.13</t>
        </is>
      </c>
      <c r="M1719" t="inlineStr">
        <is>
          <t>Böblingen</t>
        </is>
      </c>
    </row>
    <row r="1720">
      <c r="A1720" t="inlineStr">
        <is>
          <t>Vorzelt Isabella Capri North A1050/G20 Umlaufmaß 1050mm</t>
        </is>
      </c>
      <c r="B1720" s="4" t="n">
        <v>1.95</v>
      </c>
      <c r="C1720" t="inlineStr">
        <is>
          <t>VB</t>
        </is>
      </c>
      <c r="D1720" t="inlineStr">
        <is>
          <t>95473 Bayern - Creußen</t>
        </is>
      </c>
      <c r="E1720" s="5" t="n">
        <v>45537</v>
      </c>
      <c r="F1720" t="inlineStr">
        <is>
          <t>Sold</t>
        </is>
      </c>
      <c r="G1720" s="6">
        <f>HYPERLINK("https://www.kleinanzeigen.de/s-anzeige/vorzelt-isabella-capri-north-a1050-g20-umlaufmass-1050mm/2852426619-230-19612", "Link")</f>
        <v/>
      </c>
      <c r="H1720" s="6">
        <f>HYPERLINK("C:\Projects\Kleinanzeigen-Scraper\offer_images\2852426619", "Link")</f>
        <v/>
      </c>
      <c r="I1720" t="inlineStr">
        <is>
          <t>Tobi</t>
        </is>
      </c>
      <c r="J1720" s="6">
        <f>HYPERLINK("https://www.kleinanzeigen.de/s-bestandsliste.html?userId=18075547", "Link")</f>
        <v/>
      </c>
      <c r="K1720" s="7" t="n">
        <v>45549.57685185185</v>
      </c>
      <c r="L1720" s="3" t="inlineStr">
        <is>
          <t>189.99</t>
        </is>
      </c>
      <c r="M1720" t="inlineStr">
        <is>
          <t>München</t>
        </is>
      </c>
    </row>
    <row r="1721">
      <c r="A1721" t="inlineStr">
        <is>
          <t>North Code Zero 9.0 Kite 2024 (NK074)</t>
        </is>
      </c>
      <c r="B1721" s="4" t="n">
        <v>899</v>
      </c>
      <c r="C1721" t="inlineStr">
        <is>
          <t>VB</t>
        </is>
      </c>
      <c r="D1721" t="inlineStr">
        <is>
          <t>23774 Kreis Ostholstein - Heiligenhafen</t>
        </is>
      </c>
      <c r="E1721" s="5" t="n">
        <v>45540</v>
      </c>
      <c r="F1721" t="inlineStr">
        <is>
          <t>Sold</t>
        </is>
      </c>
      <c r="G1721" s="6">
        <f>HYPERLINK("https://www.kleinanzeigen.de/s-anzeige/north-code-zero-9-0-kite-2024-nk074-/2648579019-230-427", "Link")</f>
        <v/>
      </c>
      <c r="H1721" s="6">
        <f>HYPERLINK("C:\Projects\Kleinanzeigen-Scraper\offer_images\2648579019", "Link")</f>
        <v/>
      </c>
      <c r="I1721" t="inlineStr">
        <is>
          <t>No user name</t>
        </is>
      </c>
      <c r="J1721" s="6">
        <f>HYPERLINK("https://www.kleinanzeigen.deNo user link", "Link")</f>
        <v/>
      </c>
      <c r="K1721" s="7" t="n">
        <v>45549.57685185185</v>
      </c>
      <c r="L1721" s="3" t="inlineStr">
        <is>
          <t>467.75</t>
        </is>
      </c>
      <c r="M1721" t="inlineStr">
        <is>
          <t>Köln</t>
        </is>
      </c>
    </row>
    <row r="1722">
      <c r="A1722" t="inlineStr">
        <is>
          <t>Duotone 2024 Rebel 11.0 qm</t>
        </is>
      </c>
      <c r="B1722" s="4" t="n">
        <v>1.48</v>
      </c>
      <c r="C1722" t="inlineStr"/>
      <c r="D1722" t="inlineStr">
        <is>
          <t>90451 Nürnberg (Mittelfr) - Aussenstadt-Sued</t>
        </is>
      </c>
      <c r="E1722" s="5" t="n">
        <v>45540</v>
      </c>
      <c r="F1722" t="inlineStr">
        <is>
          <t>Sold</t>
        </is>
      </c>
      <c r="G1722" s="6">
        <f>HYPERLINK("https://www.kleinanzeigen.de/s-anzeige/duotone-2024-rebel-11-0-qm/2854659757-230-6836", "Link")</f>
        <v/>
      </c>
      <c r="H1722" s="6">
        <f>HYPERLINK("C:\Projects\Kleinanzeigen-Scraper\offer_images\2854659757", "Link")</f>
        <v/>
      </c>
      <c r="I1722" t="inlineStr">
        <is>
          <t>No user name</t>
        </is>
      </c>
      <c r="J1722" s="6">
        <f>HYPERLINK("https://www.kleinanzeigen.deNo user link", "Link")</f>
        <v/>
      </c>
      <c r="K1722" s="7" t="n">
        <v>45549.57685185185</v>
      </c>
      <c r="L1722" s="3" t="inlineStr">
        <is>
          <t>145.92</t>
        </is>
      </c>
      <c r="M1722" t="inlineStr">
        <is>
          <t>München</t>
        </is>
      </c>
    </row>
    <row r="1723">
      <c r="A1723" t="inlineStr">
        <is>
          <t>RRD Vision 9 ( Verliert Luft )</t>
        </is>
      </c>
      <c r="B1723" s="4" t="n">
        <v>100</v>
      </c>
      <c r="C1723" t="inlineStr">
        <is>
          <t>VB</t>
        </is>
      </c>
      <c r="D1723" t="inlineStr">
        <is>
          <t>12683 Berlin - Biesdorf</t>
        </is>
      </c>
      <c r="E1723" s="5" t="n">
        <v>45505</v>
      </c>
      <c r="F1723" t="inlineStr">
        <is>
          <t>Sold</t>
        </is>
      </c>
      <c r="G1723" s="6">
        <f>HYPERLINK("https://www.kleinanzeigen.de/s-anzeige/rrd-vision-9-verliert-luft-/2826433681-230-19394", "Link")</f>
        <v/>
      </c>
      <c r="H1723" s="6">
        <f>HYPERLINK("C:\Projects\Kleinanzeigen-Scraper\offer_images\2826433681", "Link")</f>
        <v/>
      </c>
      <c r="I1723" t="inlineStr">
        <is>
          <t>Niels Falk</t>
        </is>
      </c>
      <c r="J1723" s="6">
        <f>HYPERLINK("https://www.kleinanzeigen.de/s-bestandsliste.html?userId=36426728", "Link")</f>
        <v/>
      </c>
      <c r="K1723" s="7" t="n">
        <v>45549.57684027778</v>
      </c>
      <c r="L1723" s="3" t="inlineStr">
        <is>
          <t>486.67</t>
        </is>
      </c>
      <c r="M1723" t="inlineStr">
        <is>
          <t>Köln</t>
        </is>
      </c>
    </row>
    <row r="1724">
      <c r="A1724" t="inlineStr">
        <is>
          <t>North Neo, 7qm, mit Kitebag, 5-Leiner, neues Rep.set, User Guide</t>
        </is>
      </c>
      <c r="B1724" s="4" t="n">
        <v>300</v>
      </c>
      <c r="C1724" t="inlineStr"/>
      <c r="D1724" t="inlineStr">
        <is>
          <t>13467 Berlin - Reinickendorf</t>
        </is>
      </c>
      <c r="E1724" s="5" t="n">
        <v>45543</v>
      </c>
      <c r="F1724" t="inlineStr">
        <is>
          <t>Sold</t>
        </is>
      </c>
      <c r="G1724" s="6">
        <f>HYPERLINK("https://www.kleinanzeigen.de/s-anzeige/north-neo-7qm-mit-kitebag-5-leiner-neues-rep-set-user-guide/2857408075-230-3455", "Link")</f>
        <v/>
      </c>
      <c r="H1724" s="6">
        <f>HYPERLINK("C:\Projects\Kleinanzeigen-Scraper\offer_images\2857408075", "Link")</f>
        <v/>
      </c>
      <c r="I1724" t="inlineStr">
        <is>
          <t>An</t>
        </is>
      </c>
      <c r="J1724" s="6">
        <f>HYPERLINK("https://www.kleinanzeigen.de/s-bestandsliste.html?userId=10788682", "Link")</f>
        <v/>
      </c>
      <c r="K1724" s="7" t="n">
        <v>45549.57684027778</v>
      </c>
      <c r="L1724" s="3" t="inlineStr">
        <is>
          <t>474.84</t>
        </is>
      </c>
      <c r="M1724" t="inlineStr">
        <is>
          <t>Köln</t>
        </is>
      </c>
    </row>
    <row r="1725">
      <c r="A1725" t="inlineStr">
        <is>
          <t>Wingfoi/ Kitefoil  Frontwing Naish Jet 1250</t>
        </is>
      </c>
      <c r="B1725" s="4" t="n">
        <v>189</v>
      </c>
      <c r="C1725" t="inlineStr"/>
      <c r="D1725" t="inlineStr">
        <is>
          <t>22529 Eimsbüttel - Hamburg Lokstedt</t>
        </is>
      </c>
      <c r="E1725" s="5" t="n">
        <v>45554</v>
      </c>
      <c r="F1725" t="inlineStr">
        <is>
          <t>Sold</t>
        </is>
      </c>
      <c r="G1725" s="6">
        <f>HYPERLINK("https://www.kleinanzeigen.de/s-anzeige/wingfoi-kitefoil-frontwing-naish-jet-1250/2781230704-230-9436", "Link")</f>
        <v/>
      </c>
      <c r="H1725" s="6">
        <f>HYPERLINK("C:\Projects\Kleinanzeigen-Scraper\offer_images\2781230704", "Link")</f>
        <v/>
      </c>
      <c r="I1725" t="inlineStr">
        <is>
          <t>Joe</t>
        </is>
      </c>
      <c r="J1725" s="6">
        <f>HYPERLINK("https://www.kleinanzeigen.de/s-bestandsliste.html?userId=2904230", "Link")</f>
        <v/>
      </c>
      <c r="K1725" s="7" t="n">
        <v>45549.57684027778</v>
      </c>
      <c r="L1725" s="3" t="inlineStr">
        <is>
          <t>358.82</t>
        </is>
      </c>
      <c r="M1725" t="inlineStr">
        <is>
          <t>Köln</t>
        </is>
      </c>
    </row>
    <row r="1726">
      <c r="A1726" t="inlineStr">
        <is>
          <t>Hochtouren  Rucksack The North Face Phantom 38</t>
        </is>
      </c>
      <c r="B1726" s="4" t="n">
        <v>110</v>
      </c>
      <c r="C1726" t="inlineStr">
        <is>
          <t>VB</t>
        </is>
      </c>
      <c r="D1726" t="inlineStr">
        <is>
          <t>95519 Bayern - Vorbach</t>
        </is>
      </c>
      <c r="E1726" s="5" t="n">
        <v>45544</v>
      </c>
      <c r="F1726" t="inlineStr">
        <is>
          <t>Sold</t>
        </is>
      </c>
      <c r="G1726" s="6">
        <f>HYPERLINK("https://www.kleinanzeigen.de/s-anzeige/hochtouren-rucksack-the-north-face-phantom-38/2858501879-230-7511", "Link")</f>
        <v/>
      </c>
      <c r="H1726" s="6">
        <f>HYPERLINK("C:\Projects\Kleinanzeigen-Scraper\offer_images\2858501879", "Link")</f>
        <v/>
      </c>
      <c r="I1726" t="inlineStr">
        <is>
          <t>Johannes</t>
        </is>
      </c>
      <c r="J1726" s="6">
        <f>HYPERLINK("https://www.kleinanzeigen.de/s-bestandsliste.html?userId=136899043", "Link")</f>
        <v/>
      </c>
      <c r="K1726" s="7" t="n">
        <v>45549.57682870371</v>
      </c>
      <c r="L1726" s="3" t="inlineStr">
        <is>
          <t>185.81</t>
        </is>
      </c>
      <c r="M1726" t="inlineStr">
        <is>
          <t>München</t>
        </is>
      </c>
    </row>
    <row r="1727">
      <c r="A1727" t="inlineStr">
        <is>
          <t>Herbstsonne. , Franz Simm ,M7</t>
        </is>
      </c>
      <c r="B1727" s="4" t="n">
        <v>5</v>
      </c>
      <c r="C1727" t="inlineStr"/>
      <c r="D1727" t="inlineStr">
        <is>
          <t>02828 Sachsen - Görlitz</t>
        </is>
      </c>
      <c r="E1727" s="5" t="n">
        <v>45469</v>
      </c>
      <c r="F1727" t="inlineStr">
        <is>
          <t>Sold</t>
        </is>
      </c>
      <c r="G1727" s="6">
        <f>HYPERLINK("https://www.kleinanzeigen.de/s-anzeige/herbstsonne-franz-simm-m7/2797817037-240-3816", "Link")</f>
        <v/>
      </c>
      <c r="H1727" s="6">
        <f>HYPERLINK("C:\Projects\Kleinanzeigen-Scraper\offer_images\2797817037", "Link")</f>
        <v/>
      </c>
      <c r="I1727" t="inlineStr">
        <is>
          <t>SAHRE</t>
        </is>
      </c>
      <c r="J1727" s="6">
        <f>HYPERLINK("https://www.kleinanzeigen.de/s-bestandsliste.html?userId=5729640", "Link")</f>
        <v/>
      </c>
      <c r="K1727" s="7" t="n">
        <v>45549.57682870371</v>
      </c>
      <c r="L1727" s="3" t="inlineStr">
        <is>
          <t>415.98</t>
        </is>
      </c>
      <c r="M1727" t="inlineStr">
        <is>
          <t>München</t>
        </is>
      </c>
    </row>
    <row r="1728">
      <c r="A1728" t="inlineStr">
        <is>
          <t>Naish Pivot 12m Kite 2020 Zustand sehr gut</t>
        </is>
      </c>
      <c r="B1728" s="4" t="n">
        <v>600</v>
      </c>
      <c r="C1728" t="inlineStr"/>
      <c r="D1728" t="inlineStr">
        <is>
          <t>45549 Nordrhein-Westfalen - Sprockhövel</t>
        </is>
      </c>
      <c r="E1728" s="5" t="n">
        <v>45534</v>
      </c>
      <c r="F1728" t="inlineStr">
        <is>
          <t>Sold</t>
        </is>
      </c>
      <c r="G1728" s="6">
        <f>HYPERLINK("https://www.kleinanzeigen.de/s-anzeige/naish-pivot-12m-kite-2020-zustand-sehr-gut/2850125879-230-1556", "Link")</f>
        <v/>
      </c>
      <c r="H1728" s="6">
        <f>HYPERLINK("C:\Projects\Kleinanzeigen-Scraper\offer_images\2850125879", "Link")</f>
        <v/>
      </c>
      <c r="I1728" t="inlineStr">
        <is>
          <t>PeterW</t>
        </is>
      </c>
      <c r="J1728" s="6">
        <f>HYPERLINK("https://www.kleinanzeigen.de/s-bestandsliste.html?userId=143853232", "Link")</f>
        <v/>
      </c>
      <c r="K1728" s="7" t="n">
        <v>45549.57682870371</v>
      </c>
      <c r="L1728" s="3" t="inlineStr">
        <is>
          <t>49.45</t>
        </is>
      </c>
      <c r="M1728" t="inlineStr">
        <is>
          <t>Köln</t>
        </is>
      </c>
    </row>
    <row r="1729">
      <c r="A1729" t="inlineStr">
        <is>
          <t>North Code Zero 11.0 Kite 2024 (NK075)</t>
        </is>
      </c>
      <c r="B1729" s="4" t="n">
        <v>977</v>
      </c>
      <c r="C1729" t="inlineStr">
        <is>
          <t>VB</t>
        </is>
      </c>
      <c r="D1729" t="inlineStr">
        <is>
          <t>23774 Kreis Ostholstein - Heiligenhafen</t>
        </is>
      </c>
      <c r="E1729" s="5" t="n">
        <v>45540</v>
      </c>
      <c r="F1729" t="inlineStr">
        <is>
          <t>Sold</t>
        </is>
      </c>
      <c r="G1729" s="6">
        <f>HYPERLINK("https://www.kleinanzeigen.de/s-anzeige/north-code-zero-11-0-kite-2024-nk075-/2648585945-230-427", "Link")</f>
        <v/>
      </c>
      <c r="H1729" s="6">
        <f>HYPERLINK("C:\Projects\Kleinanzeigen-Scraper\offer_images\2648585945", "Link")</f>
        <v/>
      </c>
      <c r="I1729" t="inlineStr">
        <is>
          <t>No user name</t>
        </is>
      </c>
      <c r="J1729" s="6">
        <f>HYPERLINK("https://www.kleinanzeigen.deNo user link", "Link")</f>
        <v/>
      </c>
      <c r="K1729" s="7" t="n">
        <v>45549.57681712963</v>
      </c>
      <c r="L1729" s="3" t="inlineStr">
        <is>
          <t>467.75</t>
        </is>
      </c>
      <c r="M1729" t="inlineStr">
        <is>
          <t>Köln</t>
        </is>
      </c>
    </row>
    <row r="1730">
      <c r="A1730" t="inlineStr">
        <is>
          <t>North Duotone EVO 12m²</t>
        </is>
      </c>
      <c r="B1730" s="4" t="n">
        <v>380</v>
      </c>
      <c r="C1730" t="inlineStr">
        <is>
          <t>VB</t>
        </is>
      </c>
      <c r="D1730" t="inlineStr">
        <is>
          <t>22946 Schleswig-Holstein - Trittau</t>
        </is>
      </c>
      <c r="E1730" s="5" t="n">
        <v>45536</v>
      </c>
      <c r="F1730" t="inlineStr">
        <is>
          <t>Sold</t>
        </is>
      </c>
      <c r="G1730" s="6">
        <f>HYPERLINK("https://www.kleinanzeigen.de/s-anzeige/north-duotone-evo-12m-/2851842791-230-753", "Link")</f>
        <v/>
      </c>
      <c r="H1730" s="6">
        <f>HYPERLINK("C:\Projects\Kleinanzeigen-Scraper\offer_images\2851842791", "Link")</f>
        <v/>
      </c>
      <c r="I1730" t="inlineStr">
        <is>
          <t>HENDRIK</t>
        </is>
      </c>
      <c r="J1730" s="6">
        <f>HYPERLINK("https://www.kleinanzeigen.de/s-bestandsliste.html?userId=26255706", "Link")</f>
        <v/>
      </c>
      <c r="K1730" s="7" t="n">
        <v>45549.57680555555</v>
      </c>
      <c r="L1730" s="3" t="inlineStr">
        <is>
          <t>376.36</t>
        </is>
      </c>
      <c r="M1730" t="inlineStr">
        <is>
          <t>Köln</t>
        </is>
      </c>
    </row>
    <row r="1731">
      <c r="A1731" t="inlineStr">
        <is>
          <t>Fanatic Ray Air Premium 12'6" NEU -35% &amp; Testboard -45%</t>
        </is>
      </c>
      <c r="B1731" s="4" t="n">
        <v>583</v>
      </c>
      <c r="C1731" t="inlineStr">
        <is>
          <t>VB</t>
        </is>
      </c>
      <c r="D1731" t="inlineStr">
        <is>
          <t>18586 Mecklenburg-Vorpommern - Mönchgut, Ostseebad</t>
        </is>
      </c>
      <c r="E1731" s="5" t="n">
        <v>45544</v>
      </c>
      <c r="F1731" t="inlineStr">
        <is>
          <t>Sold</t>
        </is>
      </c>
      <c r="G1731" s="6">
        <f>HYPERLINK("https://www.kleinanzeigen.de/s-anzeige/fanatic-ray-air-premium-12-6-neu-35-testboard-45-/1526307832-230-120", "Link")</f>
        <v/>
      </c>
      <c r="H1731" s="6">
        <f>HYPERLINK("C:\Projects\Kleinanzeigen-Scraper\offer_images\1526307832", "Link")</f>
        <v/>
      </c>
      <c r="I1731" t="inlineStr">
        <is>
          <t>No user name</t>
        </is>
      </c>
      <c r="J1731" s="6">
        <f>HYPERLINK("https://www.kleinanzeigen.deNo user link", "Link")</f>
        <v/>
      </c>
      <c r="K1731" s="7" t="n">
        <v>45549.57680555555</v>
      </c>
      <c r="L1731" s="3" t="inlineStr">
        <is>
          <t>591.22</t>
        </is>
      </c>
      <c r="M1731" t="inlineStr">
        <is>
          <t>Köln</t>
        </is>
      </c>
    </row>
    <row r="1732">
      <c r="A1732" t="inlineStr">
        <is>
          <t>Kite Duotone Rebel 12m</t>
        </is>
      </c>
      <c r="B1732" s="4" t="n">
        <v>787</v>
      </c>
      <c r="C1732" t="inlineStr">
        <is>
          <t>VB</t>
        </is>
      </c>
      <c r="D1732" t="inlineStr">
        <is>
          <t>24894 Schleswig-Holstein - Twedt b Schleswig</t>
        </is>
      </c>
      <c r="E1732" s="5" t="n">
        <v>45541</v>
      </c>
      <c r="F1732" t="inlineStr">
        <is>
          <t>Sold</t>
        </is>
      </c>
      <c r="G1732" s="6">
        <f>HYPERLINK("https://www.kleinanzeigen.de/s-anzeige/kite-duotone-rebel-12m/2855961428-230-531", "Link")</f>
        <v/>
      </c>
      <c r="H1732" s="6">
        <f>HYPERLINK("C:\Projects\Kleinanzeigen-Scraper\offer_images\2855961428", "Link")</f>
        <v/>
      </c>
      <c r="I1732" t="inlineStr">
        <is>
          <t>Maik</t>
        </is>
      </c>
      <c r="J1732" s="6">
        <f>HYPERLINK("https://www.kleinanzeigen.de/s-bestandsliste.html?userId=36208954", "Link")</f>
        <v/>
      </c>
      <c r="K1732" s="7" t="n">
        <v>45549.57679398148</v>
      </c>
      <c r="L1732" s="3" t="inlineStr">
        <is>
          <t>443.27</t>
        </is>
      </c>
      <c r="M1732" t="inlineStr">
        <is>
          <t>Köln</t>
        </is>
      </c>
    </row>
    <row r="1733">
      <c r="A1733" t="inlineStr">
        <is>
          <t>Starboard Carbon Foil Set, Carbon Mast 82, Foil 1700, Wing Surfen</t>
        </is>
      </c>
      <c r="B1733" s="4" t="n">
        <v>780</v>
      </c>
      <c r="C1733" t="inlineStr"/>
      <c r="D1733" t="inlineStr">
        <is>
          <t>04179 Leipzig - Altlindenau</t>
        </is>
      </c>
      <c r="E1733" s="5" t="n">
        <v>45535</v>
      </c>
      <c r="F1733" t="inlineStr">
        <is>
          <t>Sold</t>
        </is>
      </c>
      <c r="G1733" s="6">
        <f>HYPERLINK("https://www.kleinanzeigen.de/s-anzeige/starboard-carbon-foil-set-carbon-mast-82-foil-1700-wing-surfen/2850677093-230-4236", "Link")</f>
        <v/>
      </c>
      <c r="H1733" s="6">
        <f>HYPERLINK("C:\Projects\Kleinanzeigen-Scraper\offer_images\2850677093", "Link")</f>
        <v/>
      </c>
      <c r="I1733" t="inlineStr">
        <is>
          <t>Motte</t>
        </is>
      </c>
      <c r="J1733" s="6">
        <f>HYPERLINK("https://www.kleinanzeigen.de/s-bestandsliste.html?userId=55051309", "Link")</f>
        <v/>
      </c>
      <c r="K1733" s="7" t="n">
        <v>45549.57677083334</v>
      </c>
      <c r="L1733" s="3" t="inlineStr">
        <is>
          <t>361.18</t>
        </is>
      </c>
      <c r="M1733" t="inlineStr">
        <is>
          <t>München</t>
        </is>
      </c>
    </row>
    <row r="1734">
      <c r="A1734" t="inlineStr">
        <is>
          <t>Duotone Unit 3,5 m2 2024 Wing Wingfoil</t>
        </is>
      </c>
      <c r="B1734" s="4" t="n">
        <v>600</v>
      </c>
      <c r="C1734" t="inlineStr">
        <is>
          <t>VB</t>
        </is>
      </c>
      <c r="D1734" t="inlineStr">
        <is>
          <t>26935 Niedersachsen - Stadland</t>
        </is>
      </c>
      <c r="E1734" s="5" t="n">
        <v>45547</v>
      </c>
      <c r="F1734" t="inlineStr">
        <is>
          <t>Sold</t>
        </is>
      </c>
      <c r="G1734" s="6">
        <f>HYPERLINK("https://www.kleinanzeigen.de/s-anzeige/duotone-unit-3-5-m2-2024-wing-wingfoil/2861058507-230-2698", "Link")</f>
        <v/>
      </c>
      <c r="H1734" s="6">
        <f>HYPERLINK("C:\Projects\Kleinanzeigen-Scraper\offer_images\2861058507", "Link")</f>
        <v/>
      </c>
      <c r="I1734" t="inlineStr">
        <is>
          <t>Marc Weddermann</t>
        </is>
      </c>
      <c r="J1734" s="6">
        <f>HYPERLINK("https://www.kleinanzeigen.de/s-bestandsliste.html?userId=19463901", "Link")</f>
        <v/>
      </c>
      <c r="K1734" s="7" t="n">
        <v>45549.57677083334</v>
      </c>
      <c r="L1734" s="3" t="inlineStr">
        <is>
          <t>292.54</t>
        </is>
      </c>
      <c r="M1734" t="inlineStr">
        <is>
          <t>Köln</t>
        </is>
      </c>
    </row>
    <row r="1735">
      <c r="A1735" t="inlineStr">
        <is>
          <t>North Neo incl. Bar</t>
        </is>
      </c>
      <c r="B1735" s="4" t="n">
        <v>399</v>
      </c>
      <c r="C1735" t="inlineStr">
        <is>
          <t>VB</t>
        </is>
      </c>
      <c r="D1735" t="inlineStr">
        <is>
          <t>94032 Kr. Passau - Passau</t>
        </is>
      </c>
      <c r="E1735" s="5" t="n">
        <v>45549</v>
      </c>
      <c r="F1735" t="inlineStr">
        <is>
          <t>Sold</t>
        </is>
      </c>
      <c r="G1735" s="6">
        <f>HYPERLINK("https://www.kleinanzeigen.de/s-anzeige/north-neo-incl-bar/2862932191-230-7482", "Link")</f>
        <v/>
      </c>
      <c r="H1735" s="6">
        <f>HYPERLINK("C:\Projects\Kleinanzeigen-Scraper\offer_images\2862932191", "Link")</f>
        <v/>
      </c>
      <c r="I1735" t="inlineStr">
        <is>
          <t>Harald Schuster</t>
        </is>
      </c>
      <c r="J1735" s="6">
        <f>HYPERLINK("https://www.kleinanzeigen.de/s-bestandsliste.html?userId=26372991", "Link")</f>
        <v/>
      </c>
      <c r="K1735" s="7" t="n">
        <v>45549.57674768518</v>
      </c>
      <c r="L1735" s="3" t="inlineStr">
        <is>
          <t>147.66</t>
        </is>
      </c>
      <c r="M1735" t="inlineStr">
        <is>
          <t>München</t>
        </is>
      </c>
    </row>
    <row r="1736">
      <c r="A1736" t="inlineStr">
        <is>
          <t>SUP SALE 2022 Fanatic Naish STX Fanatic SIC Blance CBC bis -50%</t>
        </is>
      </c>
      <c r="B1736" s="4" t="n">
        <v>250</v>
      </c>
      <c r="C1736" t="inlineStr">
        <is>
          <t>VB</t>
        </is>
      </c>
      <c r="D1736" t="inlineStr">
        <is>
          <t>18586 Mecklenburg-Vorpommern - Mönchgut, Ostseebad</t>
        </is>
      </c>
      <c r="E1736" s="5" t="n">
        <v>45551</v>
      </c>
      <c r="F1736" t="inlineStr"/>
      <c r="G1736" s="6">
        <f>HYPERLINK("https://www.kleinanzeigen.de/s-anzeige/sup-sale-2022-fanatic-naish-stx-fanatic-sic-blance-cbc-bis-50-/993196611-230-120", "Link")</f>
        <v/>
      </c>
      <c r="H1736" s="6">
        <f>HYPERLINK("C:\Projects\Kleinanzeigen-Scraper\offer_images\993196611", "Link")</f>
        <v/>
      </c>
      <c r="I1736" t="inlineStr">
        <is>
          <t>No user name</t>
        </is>
      </c>
      <c r="J1736" s="6">
        <f>HYPERLINK("https://www.kleinanzeigen.deNo user link", "Link")</f>
        <v/>
      </c>
      <c r="K1736" s="7" t="n">
        <v>45549.57674768518</v>
      </c>
      <c r="L1736" s="3" t="inlineStr">
        <is>
          <t>591.22</t>
        </is>
      </c>
      <c r="M1736" t="inlineStr">
        <is>
          <t>Köln</t>
        </is>
      </c>
    </row>
    <row r="1737">
      <c r="A1737" t="inlineStr">
        <is>
          <t>Duotone North Dice 10 m2 Kite</t>
        </is>
      </c>
      <c r="B1737" s="4" t="n">
        <v>349</v>
      </c>
      <c r="C1737" t="inlineStr">
        <is>
          <t>VB</t>
        </is>
      </c>
      <c r="D1737" t="inlineStr">
        <is>
          <t>86609 Bayern - Donauwörth</t>
        </is>
      </c>
      <c r="E1737" s="5" t="n">
        <v>45545</v>
      </c>
      <c r="F1737" t="inlineStr">
        <is>
          <t>Sold</t>
        </is>
      </c>
      <c r="G1737" s="6">
        <f>HYPERLINK("https://www.kleinanzeigen.de/s-anzeige/duotone-north-dice-10-m2-kite/2859656948-230-7157", "Link")</f>
        <v/>
      </c>
      <c r="H1737" s="6">
        <f>HYPERLINK("C:\Projects\Kleinanzeigen-Scraper\offer_images\2859656948", "Link")</f>
        <v/>
      </c>
      <c r="I1737" t="inlineStr">
        <is>
          <t>Reule</t>
        </is>
      </c>
      <c r="J1737" s="6">
        <f>HYPERLINK("https://www.kleinanzeigen.de/s-bestandsliste.html?userId=37063031", "Link")</f>
        <v/>
      </c>
      <c r="K1737" s="7" t="n">
        <v>45549.57674768518</v>
      </c>
      <c r="L1737" s="3" t="inlineStr">
        <is>
          <t>88.75</t>
        </is>
      </c>
      <c r="M1737" t="inlineStr">
        <is>
          <t>München</t>
        </is>
      </c>
    </row>
    <row r="1738">
      <c r="A1738" t="inlineStr">
        <is>
          <t>Naish Torch 12qm + 5Liner Bar</t>
        </is>
      </c>
      <c r="B1738" s="4" t="n">
        <v>310</v>
      </c>
      <c r="C1738" t="inlineStr">
        <is>
          <t>VB</t>
        </is>
      </c>
      <c r="D1738" t="inlineStr">
        <is>
          <t>88131 Bayern - Lindau</t>
        </is>
      </c>
      <c r="E1738" s="5" t="n">
        <v>45525</v>
      </c>
      <c r="F1738" t="inlineStr"/>
      <c r="G1738" s="6">
        <f>HYPERLINK("https://www.kleinanzeigen.de/s-anzeige/naish-torch-12qm-5liner-bar/2842516242-230-7707", "Link")</f>
        <v/>
      </c>
      <c r="H1738" s="6">
        <f>HYPERLINK("C:\Projects\Kleinanzeigen-Scraper\offer_images\2842516242", "Link")</f>
        <v/>
      </c>
      <c r="I1738" t="inlineStr">
        <is>
          <t>Chris</t>
        </is>
      </c>
      <c r="J1738" s="6">
        <f>HYPERLINK("https://www.kleinanzeigen.de/s-bestandsliste.html?userId=143603145", "Link")</f>
        <v/>
      </c>
      <c r="K1738" s="7" t="n">
        <v>45549.57674768518</v>
      </c>
      <c r="L1738" s="3" t="inlineStr">
        <is>
          <t>104.13</t>
        </is>
      </c>
      <c r="M1738" t="inlineStr">
        <is>
          <t>Bonndorf</t>
        </is>
      </c>
    </row>
    <row r="1739">
      <c r="A1739" t="inlineStr">
        <is>
          <t>Neilpryde Mission Neoprenanzug Größe L, BZ</t>
        </is>
      </c>
      <c r="B1739" s="4" t="n">
        <v>130</v>
      </c>
      <c r="C1739" t="inlineStr">
        <is>
          <t>VB</t>
        </is>
      </c>
      <c r="D1739" t="inlineStr">
        <is>
          <t>46562 Nordrhein-Westfalen - Voerde (Niederrhein)</t>
        </is>
      </c>
      <c r="E1739" s="5" t="n">
        <v>45460</v>
      </c>
      <c r="F1739" t="inlineStr">
        <is>
          <t>Sold</t>
        </is>
      </c>
      <c r="G1739" s="6">
        <f>HYPERLINK("https://www.kleinanzeigen.de/s-anzeige/neilpryde-mission-neoprenanzug-groesse-l-bz/2791028451-230-1384", "Link")</f>
        <v/>
      </c>
      <c r="H1739" s="6">
        <f>HYPERLINK("C:\Projects\Kleinanzeigen-Scraper\offer_images\2791028451", "Link")</f>
        <v/>
      </c>
      <c r="I1739" t="inlineStr">
        <is>
          <t>V. Bückmann</t>
        </is>
      </c>
      <c r="J1739" s="6">
        <f>HYPERLINK("https://www.kleinanzeigen.de/s-bestandsliste.html?userId=54604389", "Link")</f>
        <v/>
      </c>
      <c r="K1739" s="7" t="n">
        <v>45549.57674768518</v>
      </c>
      <c r="L1739" s="3" t="inlineStr">
        <is>
          <t>76.49</t>
        </is>
      </c>
      <c r="M1739" t="inlineStr">
        <is>
          <t>Köln</t>
        </is>
      </c>
    </row>
    <row r="1740">
      <c r="A1740" t="inlineStr">
        <is>
          <t>Trikot T-Shirt Hemd Set - Ion Kavenz the north face enduro</t>
        </is>
      </c>
      <c r="B1740" s="4" t="n">
        <v>19</v>
      </c>
      <c r="C1740" t="inlineStr"/>
      <c r="D1740" t="inlineStr">
        <is>
          <t>84036 Bayern - Landshut</t>
        </is>
      </c>
      <c r="E1740" s="5" t="n">
        <v>45542</v>
      </c>
      <c r="F1740" t="inlineStr">
        <is>
          <t>Sold</t>
        </is>
      </c>
      <c r="G1740" s="6">
        <f>HYPERLINK("https://www.kleinanzeigen.de/s-anzeige/trikot-t-shirt-hemd-set-ion-kavenz-the-north-face-enduro/2856276167-230-20549", "Link")</f>
        <v/>
      </c>
      <c r="H1740" s="6">
        <f>HYPERLINK("C:\Projects\Kleinanzeigen-Scraper\offer_images\2856276167", "Link")</f>
        <v/>
      </c>
      <c r="I1740" t="inlineStr">
        <is>
          <t>Ma.</t>
        </is>
      </c>
      <c r="J1740" s="6">
        <f>HYPERLINK("https://www.kleinanzeigen.de/s-bestandsliste.html?userId=10428345", "Link")</f>
        <v/>
      </c>
      <c r="K1740" s="7" t="n">
        <v>45549.57672453704</v>
      </c>
      <c r="L1740" s="3" t="inlineStr">
        <is>
          <t>63.58</t>
        </is>
      </c>
      <c r="M1740" t="inlineStr">
        <is>
          <t>München</t>
        </is>
      </c>
    </row>
    <row r="1741">
      <c r="A1741" t="inlineStr">
        <is>
          <t>Gong Kite 8 qm Strutless V3 NEU in OVP Foil Duotone Cabrinha</t>
        </is>
      </c>
      <c r="B1741" s="4" t="n">
        <v>299</v>
      </c>
      <c r="C1741" t="inlineStr"/>
      <c r="D1741" t="inlineStr">
        <is>
          <t>16540 Brandenburg - Hohen Neuendorf</t>
        </is>
      </c>
      <c r="E1741" s="5" t="n">
        <v>45547</v>
      </c>
      <c r="F1741" t="inlineStr">
        <is>
          <t>Sold</t>
        </is>
      </c>
      <c r="G1741" s="6">
        <f>HYPERLINK("https://www.kleinanzeigen.de/s-anzeige/gong-kite-8-qm-strutless-v3-neu-in-ovp-foil-duotone-cabrinha/2860997290-230-7777", "Link")</f>
        <v/>
      </c>
      <c r="H1741" s="6">
        <f>HYPERLINK("C:\Projects\Kleinanzeigen-Scraper\offer_images\2860997290", "Link")</f>
        <v/>
      </c>
      <c r="I1741" t="inlineStr">
        <is>
          <t>Klaus</t>
        </is>
      </c>
      <c r="J1741" s="6">
        <f>HYPERLINK("https://www.kleinanzeigen.de/s-bestandsliste.html?userId=29383925", "Link")</f>
        <v/>
      </c>
      <c r="K1741" s="7" t="n">
        <v>45549.57672453704</v>
      </c>
      <c r="L1741" s="3" t="inlineStr">
        <is>
          <t>474.32</t>
        </is>
      </c>
      <c r="M1741" t="inlineStr">
        <is>
          <t>Köln</t>
        </is>
      </c>
    </row>
    <row r="1742">
      <c r="A1742" t="inlineStr">
        <is>
          <t>Kite Board Door Leichtwind Duotone ? Naish? Cabrinha ?</t>
        </is>
      </c>
      <c r="B1742" s="4" t="n">
        <v>199</v>
      </c>
      <c r="C1742" t="inlineStr"/>
      <c r="D1742" t="inlineStr">
        <is>
          <t>16540 Brandenburg - Hohen Neuendorf</t>
        </is>
      </c>
      <c r="E1742" s="5" t="n">
        <v>45547</v>
      </c>
      <c r="F1742" t="inlineStr">
        <is>
          <t>Sold</t>
        </is>
      </c>
      <c r="G1742" s="6">
        <f>HYPERLINK("https://www.kleinanzeigen.de/s-anzeige/kite-board-door-leichtwind-duotone-naish-cabrinha-/2861021521-230-7777", "Link")</f>
        <v/>
      </c>
      <c r="H1742" s="6">
        <f>HYPERLINK("C:\Projects\Kleinanzeigen-Scraper\offer_images\2861021521", "Link")</f>
        <v/>
      </c>
      <c r="I1742" t="inlineStr">
        <is>
          <t>Klaus</t>
        </is>
      </c>
      <c r="J1742" s="6">
        <f>HYPERLINK("https://www.kleinanzeigen.de/s-bestandsliste.html?userId=29383925", "Link")</f>
        <v/>
      </c>
      <c r="K1742" s="7" t="n">
        <v>45549.57672453704</v>
      </c>
      <c r="L1742" s="3" t="inlineStr">
        <is>
          <t>474.32</t>
        </is>
      </c>
      <c r="M1742" t="inlineStr">
        <is>
          <t>Köln</t>
        </is>
      </c>
    </row>
    <row r="1743">
      <c r="A1743" t="inlineStr">
        <is>
          <t>Luftvorzelt Isabella Cirrus North 400 für Wohnwagen</t>
        </is>
      </c>
      <c r="B1743" s="4" t="n">
        <v>1.899</v>
      </c>
      <c r="C1743" t="inlineStr">
        <is>
          <t>VB</t>
        </is>
      </c>
      <c r="D1743" t="inlineStr">
        <is>
          <t>17033 Mecklenburg-Vorpommern - Neubrandenburg</t>
        </is>
      </c>
      <c r="E1743" s="5" t="n">
        <v>45536</v>
      </c>
      <c r="F1743" t="inlineStr">
        <is>
          <t>Sold</t>
        </is>
      </c>
      <c r="G1743" s="6">
        <f>HYPERLINK("https://www.kleinanzeigen.de/s-anzeige/luftvorzelt-isabella-cirrus-north-400-fuer-wohnwagen/2852105522-230-253", "Link")</f>
        <v/>
      </c>
      <c r="H1743" s="6">
        <f>HYPERLINK("C:\Projects\Kleinanzeigen-Scraper\offer_images\2852105522", "Link")</f>
        <v/>
      </c>
      <c r="I1743" t="inlineStr">
        <is>
          <t>Fam. Herrmann</t>
        </is>
      </c>
      <c r="J1743" s="6">
        <f>HYPERLINK("https://www.kleinanzeigen.de/s-bestandsliste.html?userId=9754215", "Link")</f>
        <v/>
      </c>
      <c r="K1743" s="7" t="n">
        <v>45549.57670138889</v>
      </c>
      <c r="L1743" s="3" t="inlineStr">
        <is>
          <t>517.16</t>
        </is>
      </c>
      <c r="M1743" t="inlineStr">
        <is>
          <t>Köln</t>
        </is>
      </c>
    </row>
    <row r="1744">
      <c r="A1744" t="inlineStr">
        <is>
          <t>Naish Jet Stabi 320 - Foil</t>
        </is>
      </c>
      <c r="B1744" s="4" t="n">
        <v>80</v>
      </c>
      <c r="C1744" t="inlineStr"/>
      <c r="D1744" t="inlineStr">
        <is>
          <t>20251 Hamburg-Nord - Hamburg Eppendorf</t>
        </is>
      </c>
      <c r="E1744" s="5" t="n">
        <v>45554</v>
      </c>
      <c r="F1744" t="inlineStr"/>
      <c r="G1744" s="6">
        <f>HYPERLINK("https://www.kleinanzeigen.de/s-anzeige/naish-jet-stabi-320-foil/2847918383-230-9475", "Link")</f>
        <v/>
      </c>
      <c r="H1744" s="6">
        <f>HYPERLINK("C:\Projects\Kleinanzeigen-Scraper\offer_images\2847918383", "Link")</f>
        <v/>
      </c>
      <c r="I1744" t="inlineStr">
        <is>
          <t>Joe</t>
        </is>
      </c>
      <c r="J1744" s="6">
        <f>HYPERLINK("https://www.kleinanzeigen.de/s-bestandsliste.html?userId=2904230", "Link")</f>
        <v/>
      </c>
      <c r="K1744" s="7" t="n">
        <v>45549.57670138889</v>
      </c>
      <c r="L1744" s="3" t="inlineStr">
        <is>
          <t>360.06</t>
        </is>
      </c>
      <c r="M1744" t="inlineStr">
        <is>
          <t>Köln</t>
        </is>
      </c>
    </row>
    <row r="1745">
      <c r="A1745" t="inlineStr">
        <is>
          <t>Naish Pivot 2024 9 m</t>
        </is>
      </c>
      <c r="B1745" s="4" t="n">
        <v>620</v>
      </c>
      <c r="C1745" t="inlineStr"/>
      <c r="D1745" t="inlineStr">
        <is>
          <t>22549 Altona - Hamburg Osdorf</t>
        </is>
      </c>
      <c r="E1745" s="5" t="n">
        <v>45499</v>
      </c>
      <c r="F1745" t="inlineStr">
        <is>
          <t>Sold</t>
        </is>
      </c>
      <c r="G1745" s="6">
        <f>HYPERLINK("https://www.kleinanzeigen.de/s-anzeige/naish-pivot-2024-9-m/2821674000-230-19496", "Link")</f>
        <v/>
      </c>
      <c r="H1745" s="6">
        <f>HYPERLINK("C:\Projects\Kleinanzeigen-Scraper\offer_images\2821674000", "Link")</f>
        <v/>
      </c>
      <c r="I1745" t="inlineStr">
        <is>
          <t>Malte</t>
        </is>
      </c>
      <c r="J1745" s="6">
        <f>HYPERLINK("https://www.kleinanzeigen.de/s-bestandsliste.html?userId=32864332", "Link")</f>
        <v/>
      </c>
      <c r="K1745" s="7" t="n">
        <v>45549.57670138889</v>
      </c>
      <c r="L1745" s="3" t="inlineStr">
        <is>
          <t>354.40</t>
        </is>
      </c>
      <c r="M1745" t="inlineStr">
        <is>
          <t>Köln</t>
        </is>
      </c>
    </row>
    <row r="1746">
      <c r="A1746" t="inlineStr">
        <is>
          <t>North Orbit 2024 9.0</t>
        </is>
      </c>
      <c r="B1746" s="4" t="n">
        <v>950</v>
      </c>
      <c r="C1746" t="inlineStr">
        <is>
          <t>VB</t>
        </is>
      </c>
      <c r="D1746" t="inlineStr">
        <is>
          <t>18439 Mecklenburg-Vorpommern - Stralsund</t>
        </is>
      </c>
      <c r="E1746" s="5" t="n">
        <v>45548</v>
      </c>
      <c r="F1746" t="inlineStr">
        <is>
          <t>Sold</t>
        </is>
      </c>
      <c r="G1746" s="6">
        <f>HYPERLINK("https://www.kleinanzeigen.de/s-anzeige/north-orbit-2024-9-0/2862033258-230-135", "Link")</f>
        <v/>
      </c>
      <c r="H1746" s="6">
        <f>HYPERLINK("C:\Projects\Kleinanzeigen-Scraper\offer_images\2862033258", "Link")</f>
        <v/>
      </c>
      <c r="I1746" t="inlineStr">
        <is>
          <t>Dario Naß</t>
        </is>
      </c>
      <c r="J1746" s="6">
        <f>HYPERLINK("https://www.kleinanzeigen.de/s-bestandsliste.html?userId=17776282", "Link")</f>
        <v/>
      </c>
      <c r="K1746" s="7" t="n">
        <v>45549.57670138889</v>
      </c>
      <c r="L1746" s="3" t="inlineStr">
        <is>
          <t>557.94</t>
        </is>
      </c>
      <c r="M1746" t="inlineStr">
        <is>
          <t>Köln</t>
        </is>
      </c>
    </row>
    <row r="1747">
      <c r="A1747" t="inlineStr">
        <is>
          <t>RSX Schwert, neu. Für Starboard Phantom als Ersatz geeignet</t>
        </is>
      </c>
      <c r="B1747" s="4" t="n">
        <v>80</v>
      </c>
      <c r="C1747" t="inlineStr"/>
      <c r="D1747" t="inlineStr">
        <is>
          <t>23843 Schleswig-Holstein - Bad Oldesloe</t>
        </is>
      </c>
      <c r="E1747" s="5" t="n">
        <v>45518</v>
      </c>
      <c r="F1747" t="inlineStr"/>
      <c r="G1747" s="6">
        <f>HYPERLINK("https://www.kleinanzeigen.de/s-anzeige/rsx-schwert-neu-fuer-starboard-phantom-als-ersatz-geeignet/2836799291-230-12923", "Link")</f>
        <v/>
      </c>
      <c r="H1747" s="6">
        <f>HYPERLINK("C:\Projects\Kleinanzeigen-Scraper\offer_images\2836799291", "Link")</f>
        <v/>
      </c>
      <c r="I1747" t="inlineStr">
        <is>
          <t>Hubertus</t>
        </is>
      </c>
      <c r="J1747" s="6">
        <f>HYPERLINK("https://www.kleinanzeigen.de/s-bestandsliste.html?userId=2299691", "Link")</f>
        <v/>
      </c>
      <c r="K1747" s="7" t="n">
        <v>45549.57670138889</v>
      </c>
      <c r="L1747" s="3" t="inlineStr">
        <is>
          <t>393.04</t>
        </is>
      </c>
      <c r="M1747" t="inlineStr">
        <is>
          <t>Köln</t>
        </is>
      </c>
    </row>
    <row r="1748">
      <c r="A1748" t="inlineStr">
        <is>
          <t>The north face backpack rucksack</t>
        </is>
      </c>
      <c r="B1748" s="4" t="n">
        <v>60</v>
      </c>
      <c r="C1748" t="inlineStr"/>
      <c r="D1748" t="inlineStr">
        <is>
          <t>81245 München - Pasing-Obermenzing</t>
        </is>
      </c>
      <c r="E1748" s="5" t="n">
        <v>45548</v>
      </c>
      <c r="F1748" t="inlineStr">
        <is>
          <t>Sold</t>
        </is>
      </c>
      <c r="G1748" s="6">
        <f>HYPERLINK("https://www.kleinanzeigen.de/s-anzeige/the-north-face-backpack-rucksack/2861887246-233-16366", "Link")</f>
        <v/>
      </c>
      <c r="H1748" s="6">
        <f>HYPERLINK("C:\Projects\Kleinanzeigen-Scraper\offer_images\2861887246", "Link")</f>
        <v/>
      </c>
      <c r="I1748" t="inlineStr">
        <is>
          <t>Antanina</t>
        </is>
      </c>
      <c r="J1748" s="6">
        <f>HYPERLINK("https://www.kleinanzeigen.de/s-bestandsliste.html?userId=38557132", "Link")</f>
        <v/>
      </c>
      <c r="K1748" s="7" t="n">
        <v>45549.57667824074</v>
      </c>
      <c r="L1748" s="3" t="inlineStr">
        <is>
          <t>10.72</t>
        </is>
      </c>
      <c r="M1748" t="inlineStr">
        <is>
          <t>München</t>
        </is>
      </c>
    </row>
    <row r="1749">
      <c r="A1749" t="inlineStr">
        <is>
          <t>Naish Park 10pm 2014</t>
        </is>
      </c>
      <c r="B1749" s="4" t="n">
        <v>600</v>
      </c>
      <c r="C1749" t="inlineStr"/>
      <c r="D1749" t="inlineStr">
        <is>
          <t>18055 Rostock - Stadtmitte</t>
        </is>
      </c>
      <c r="E1749" s="5" t="n">
        <v>45514</v>
      </c>
      <c r="F1749" t="inlineStr"/>
      <c r="G1749" s="6">
        <f>HYPERLINK("https://www.kleinanzeigen.de/s-anzeige/naish-park-10pm-2014/2833907038-230-157", "Link")</f>
        <v/>
      </c>
      <c r="H1749" s="6">
        <f>HYPERLINK("C:\Projects\Kleinanzeigen-Scraper\offer_images\2833907038", "Link")</f>
        <v/>
      </c>
      <c r="I1749" t="inlineStr">
        <is>
          <t>Katharina Blume</t>
        </is>
      </c>
      <c r="J1749" s="6">
        <f>HYPERLINK("https://www.kleinanzeigen.de/s-bestandsliste.html?userId=10967661", "Link")</f>
        <v/>
      </c>
      <c r="K1749" s="7" t="n">
        <v>45549.57667824074</v>
      </c>
      <c r="L1749" s="3" t="inlineStr">
        <is>
          <t>496.50</t>
        </is>
      </c>
      <c r="M1749" t="inlineStr">
        <is>
          <t>Köln</t>
        </is>
      </c>
    </row>
    <row r="1750">
      <c r="A1750" t="inlineStr">
        <is>
          <t>Softshelljacke The North Face</t>
        </is>
      </c>
      <c r="B1750" s="4" t="n">
        <v>50</v>
      </c>
      <c r="C1750" t="inlineStr"/>
      <c r="D1750" t="inlineStr">
        <is>
          <t>57392 Nordrhein-Westfalen - Schmallenberg</t>
        </is>
      </c>
      <c r="E1750" s="5" t="n">
        <v>45545</v>
      </c>
      <c r="F1750" t="inlineStr">
        <is>
          <t>Sold</t>
        </is>
      </c>
      <c r="G1750" s="6">
        <f>HYPERLINK("https://www.kleinanzeigen.de/s-anzeige/softshelljacke-the-north-face/2859439704-230-1534", "Link")</f>
        <v/>
      </c>
      <c r="H1750" s="6">
        <f>HYPERLINK("C:\Projects\Kleinanzeigen-Scraper\offer_images\2859439704", "Link")</f>
        <v/>
      </c>
      <c r="I1750" t="inlineStr">
        <is>
          <t>Mirco</t>
        </is>
      </c>
      <c r="J1750" s="6">
        <f>HYPERLINK("https://www.kleinanzeigen.de/s-bestandsliste.html?userId=40398191", "Link")</f>
        <v/>
      </c>
      <c r="K1750" s="7" t="n">
        <v>45549.57665509259</v>
      </c>
      <c r="L1750" s="3" t="inlineStr">
        <is>
          <t>97.43</t>
        </is>
      </c>
      <c r="M1750" t="inlineStr">
        <is>
          <t>Köln</t>
        </is>
      </c>
    </row>
    <row r="1751">
      <c r="A1751" t="inlineStr">
        <is>
          <t>RRD Evo Wing 5.0m2</t>
        </is>
      </c>
      <c r="B1751" s="4" t="n">
        <v>349</v>
      </c>
      <c r="C1751" t="inlineStr">
        <is>
          <t>VB</t>
        </is>
      </c>
      <c r="D1751" t="inlineStr">
        <is>
          <t>06258 Sachsen-Anhalt - Schkopau</t>
        </is>
      </c>
      <c r="E1751" s="5" t="n">
        <v>45544</v>
      </c>
      <c r="F1751" t="inlineStr">
        <is>
          <t>Sold</t>
        </is>
      </c>
      <c r="G1751" s="6">
        <f>HYPERLINK("https://www.kleinanzeigen.de/s-anzeige/rrd-evo-wing-5-0m2/2858126829-230-2303", "Link")</f>
        <v/>
      </c>
      <c r="H1751" s="6">
        <f>HYPERLINK("C:\Projects\Kleinanzeigen-Scraper\offer_images\2858126829", "Link")</f>
        <v/>
      </c>
      <c r="I1751" t="inlineStr">
        <is>
          <t>P.P.</t>
        </is>
      </c>
      <c r="J1751" s="6">
        <f>HYPERLINK("https://www.kleinanzeigen.de/s-bestandsliste.html?userId=5432550", "Link")</f>
        <v/>
      </c>
      <c r="K1751" s="7" t="n">
        <v>45549.57665509259</v>
      </c>
      <c r="L1751" s="3" t="inlineStr">
        <is>
          <t>358.99</t>
        </is>
      </c>
      <c r="M1751" t="inlineStr">
        <is>
          <t>Köln</t>
        </is>
      </c>
    </row>
    <row r="1752">
      <c r="A1752" t="inlineStr">
        <is>
          <t>SUP Board SALE STARBOARD, Neuware, Restbestände 2024</t>
        </is>
      </c>
      <c r="B1752" s="4" t="n">
        <v>960</v>
      </c>
      <c r="C1752" t="inlineStr"/>
      <c r="D1752" t="inlineStr">
        <is>
          <t>28215 Findorff - Weidedamm</t>
        </is>
      </c>
      <c r="E1752" s="5" t="n">
        <v>45530</v>
      </c>
      <c r="F1752" t="inlineStr"/>
      <c r="G1752" s="6">
        <f>HYPERLINK("https://www.kleinanzeigen.de/s-anzeige/sup-board-sale-starboard-neuware-restbestaende-2024/2846636256-230-27679", "Link")</f>
        <v/>
      </c>
      <c r="H1752" s="6">
        <f>HYPERLINK("C:\Projects\Kleinanzeigen-Scraper\offer_images\2846636256", "Link")</f>
        <v/>
      </c>
      <c r="I1752" t="inlineStr">
        <is>
          <t>BORAVENT</t>
        </is>
      </c>
      <c r="J1752" s="6">
        <f>HYPERLINK("https://www.kleinanzeigen.de/s-bestandsliste.html?userId=55973585", "Link")</f>
        <v/>
      </c>
      <c r="K1752" s="7" t="n">
        <v>45549.57665509259</v>
      </c>
      <c r="L1752" s="3" t="inlineStr">
        <is>
          <t>271.71</t>
        </is>
      </c>
      <c r="M1752" t="inlineStr">
        <is>
          <t>Köln</t>
        </is>
      </c>
    </row>
    <row r="1753">
      <c r="A1753" t="inlineStr">
        <is>
          <t>Duotone Evo 11m</t>
        </is>
      </c>
      <c r="B1753" s="4" t="n">
        <v>850</v>
      </c>
      <c r="C1753" t="inlineStr"/>
      <c r="D1753" t="inlineStr">
        <is>
          <t>80331 München - Altstadt-Lehel</t>
        </is>
      </c>
      <c r="E1753" s="5" t="n">
        <v>45546</v>
      </c>
      <c r="F1753" t="inlineStr">
        <is>
          <t>Sold</t>
        </is>
      </c>
      <c r="G1753" s="6">
        <f>HYPERLINK("https://www.kleinanzeigen.de/s-anzeige/duotone-evo-11m/2860526717-230-6443", "Link")</f>
        <v/>
      </c>
      <c r="H1753" s="6">
        <f>HYPERLINK("C:\Projects\Kleinanzeigen-Scraper\offer_images\2860526717", "Link")</f>
        <v/>
      </c>
      <c r="I1753" t="inlineStr">
        <is>
          <t>Caroline</t>
        </is>
      </c>
      <c r="J1753" s="6">
        <f>HYPERLINK("https://www.kleinanzeigen.de/s-bestandsliste.html?userId=140153733", "Link")</f>
        <v/>
      </c>
      <c r="K1753" s="7" t="n">
        <v>45549.57665509259</v>
      </c>
      <c r="L1753" s="3" t="inlineStr">
        <is>
          <t>0.00</t>
        </is>
      </c>
      <c r="M1753" t="inlineStr">
        <is>
          <t>München</t>
        </is>
      </c>
    </row>
    <row r="1754">
      <c r="A1754" t="inlineStr">
        <is>
          <t>Naish Wing ADX in 7,0 qm blau wie NEU</t>
        </is>
      </c>
      <c r="B1754" s="4" t="n">
        <v>578</v>
      </c>
      <c r="C1754" t="inlineStr"/>
      <c r="D1754" t="inlineStr">
        <is>
          <t>82467 Bayern - Garmisch-Partenkirchen</t>
        </is>
      </c>
      <c r="E1754" s="5" t="n">
        <v>45534</v>
      </c>
      <c r="F1754" t="inlineStr">
        <is>
          <t>Sold</t>
        </is>
      </c>
      <c r="G1754" s="6">
        <f>HYPERLINK("https://www.kleinanzeigen.de/s-anzeige/naish-wing-adx-in-7-0-qm-blau-wie-neu/2849618099-230-6338", "Link")</f>
        <v/>
      </c>
      <c r="H1754" s="6">
        <f>HYPERLINK("C:\Projects\Kleinanzeigen-Scraper\offer_images\2849618099", "Link")</f>
        <v/>
      </c>
      <c r="I1754" t="inlineStr">
        <is>
          <t>Jürgen Mussmann</t>
        </is>
      </c>
      <c r="J1754" s="6">
        <f>HYPERLINK("https://www.kleinanzeigen.de/s-bestandsliste.html?userId=12796836", "Link")</f>
        <v/>
      </c>
      <c r="K1754" s="7" t="n">
        <v>45549.57663194444</v>
      </c>
      <c r="L1754" s="3" t="inlineStr">
        <is>
          <t>80.76</t>
        </is>
      </c>
      <c r="M1754" t="inlineStr">
        <is>
          <t>München</t>
        </is>
      </c>
    </row>
    <row r="1755">
      <c r="A1755" t="inlineStr">
        <is>
          <t>Kite NAISH DASH 7qm Top Zustand</t>
        </is>
      </c>
      <c r="B1755" s="4" t="n">
        <v>180</v>
      </c>
      <c r="C1755" t="inlineStr"/>
      <c r="D1755" t="inlineStr">
        <is>
          <t>47445 Nordrhein-Westfalen - Moers</t>
        </is>
      </c>
      <c r="E1755" s="5" t="n">
        <v>45536</v>
      </c>
      <c r="F1755" t="inlineStr">
        <is>
          <t>Sold</t>
        </is>
      </c>
      <c r="G1755" s="6">
        <f>HYPERLINK("https://www.kleinanzeigen.de/s-anzeige/kite-naish-dash-7qm-top-zustand/2851481097-230-2129", "Link")</f>
        <v/>
      </c>
      <c r="H1755" s="6">
        <f>HYPERLINK("C:\Projects\Kleinanzeigen-Scraper\offer_images\2851481097", "Link")</f>
        <v/>
      </c>
      <c r="I1755" t="inlineStr">
        <is>
          <t>gewinnerfoto</t>
        </is>
      </c>
      <c r="J1755" s="6">
        <f>HYPERLINK("https://www.kleinanzeigen.de/s-bestandsliste.html?userId=138099354", "Link")</f>
        <v/>
      </c>
      <c r="K1755" s="7" t="n">
        <v>45549.57663194444</v>
      </c>
      <c r="L1755" s="3" t="inlineStr">
        <is>
          <t>65.37</t>
        </is>
      </c>
      <c r="M1755" t="inlineStr">
        <is>
          <t>Köln</t>
        </is>
      </c>
    </row>
    <row r="1756">
      <c r="A1756" t="inlineStr">
        <is>
          <t>North Reach Kite 12qm</t>
        </is>
      </c>
      <c r="B1756" s="4" t="n">
        <v>730</v>
      </c>
      <c r="C1756" t="inlineStr">
        <is>
          <t>VB</t>
        </is>
      </c>
      <c r="D1756" t="inlineStr">
        <is>
          <t>17491 Mecklenburg-Vorpommern - Greifswald</t>
        </is>
      </c>
      <c r="E1756" s="5" t="n">
        <v>45546</v>
      </c>
      <c r="F1756" t="inlineStr">
        <is>
          <t>Sold</t>
        </is>
      </c>
      <c r="G1756" s="6">
        <f>HYPERLINK("https://www.kleinanzeigen.de/s-anzeige/north-reach-kite-12qm/2860147978-230-247", "Link")</f>
        <v/>
      </c>
      <c r="H1756" s="6">
        <f>HYPERLINK("C:\Projects\Kleinanzeigen-Scraper\offer_images\2860147978", "Link")</f>
        <v/>
      </c>
      <c r="I1756" t="inlineStr">
        <is>
          <t>Lennart</t>
        </is>
      </c>
      <c r="J1756" s="6">
        <f>HYPERLINK("https://www.kleinanzeigen.de/s-bestandsliste.html?userId=22777003", "Link")</f>
        <v/>
      </c>
      <c r="K1756" s="7" t="n">
        <v>45549.57662037037</v>
      </c>
      <c r="L1756" s="3" t="inlineStr">
        <is>
          <t>559.49</t>
        </is>
      </c>
      <c r="M1756" t="inlineStr">
        <is>
          <t>Köln</t>
        </is>
      </c>
    </row>
    <row r="1757">
      <c r="A1757" t="inlineStr">
        <is>
          <t>RRD Bar 23m -selten benutzt</t>
        </is>
      </c>
      <c r="B1757" s="4" t="n">
        <v>100</v>
      </c>
      <c r="C1757" t="inlineStr">
        <is>
          <t>VB</t>
        </is>
      </c>
      <c r="D1757" t="inlineStr">
        <is>
          <t>32339 Nordrhein-Westfalen - Espelkamp</t>
        </is>
      </c>
      <c r="E1757" s="5" t="n">
        <v>45475</v>
      </c>
      <c r="F1757" t="inlineStr"/>
      <c r="G1757" s="6">
        <f>HYPERLINK("https://www.kleinanzeigen.de/s-anzeige/rrd-bar-23m-selten-benutzt/2802377513-230-1242", "Link")</f>
        <v/>
      </c>
      <c r="H1757" s="6">
        <f>HYPERLINK("C:\Projects\Kleinanzeigen-Scraper\offer_images\2802377513", "Link")</f>
        <v/>
      </c>
      <c r="I1757" t="inlineStr">
        <is>
          <t>Wolfram Nötzel</t>
        </is>
      </c>
      <c r="J1757" s="6">
        <f>HYPERLINK("https://www.kleinanzeigen.de/s-bestandsliste.html?userId=10536965", "Link")</f>
        <v/>
      </c>
      <c r="K1757" s="7" t="n">
        <v>45549.57662037037</v>
      </c>
      <c r="L1757" s="3" t="inlineStr">
        <is>
          <t>196.40</t>
        </is>
      </c>
      <c r="M1757" t="inlineStr">
        <is>
          <t>Köln</t>
        </is>
      </c>
    </row>
    <row r="1758">
      <c r="A1758" t="inlineStr">
        <is>
          <t>Duotone Aero Glide SLS 1595/220 Wingsurfen Neu</t>
        </is>
      </c>
      <c r="B1758" s="4" t="n">
        <v>869</v>
      </c>
      <c r="C1758" t="inlineStr">
        <is>
          <t>VB</t>
        </is>
      </c>
      <c r="D1758" t="inlineStr">
        <is>
          <t>22457 Eimsbüttel - Hamburg Schnelsen</t>
        </is>
      </c>
      <c r="E1758" s="5" t="n">
        <v>45539</v>
      </c>
      <c r="F1758" t="inlineStr">
        <is>
          <t>Sold</t>
        </is>
      </c>
      <c r="G1758" s="6">
        <f>HYPERLINK("https://www.kleinanzeigen.de/s-anzeige/duotone-aero-glide-sls-1595-220-wingsurfen-neu/2597605094-230-9492", "Link")</f>
        <v/>
      </c>
      <c r="H1758" s="6">
        <f>HYPERLINK("C:\Projects\Kleinanzeigen-Scraper\offer_images\2597605094", "Link")</f>
        <v/>
      </c>
      <c r="I1758" t="inlineStr">
        <is>
          <t>No user name</t>
        </is>
      </c>
      <c r="J1758" s="6">
        <f>HYPERLINK("https://www.kleinanzeigen.deNo user link", "Link")</f>
        <v/>
      </c>
      <c r="K1758" s="7" t="n">
        <v>45549.57659722222</v>
      </c>
      <c r="L1758" s="3" t="inlineStr">
        <is>
          <t>362.41</t>
        </is>
      </c>
      <c r="M1758" t="inlineStr">
        <is>
          <t>Köln</t>
        </is>
      </c>
    </row>
    <row r="1759">
      <c r="A1759" t="inlineStr">
        <is>
          <t>Duotone Dice 9qm Kite coral-red 2023 NEU</t>
        </is>
      </c>
      <c r="B1759" s="4" t="n">
        <v>1.163</v>
      </c>
      <c r="C1759" t="inlineStr"/>
      <c r="D1759" t="inlineStr">
        <is>
          <t>82319 Bayern - Starnberg</t>
        </is>
      </c>
      <c r="E1759" s="5" t="n">
        <v>45543</v>
      </c>
      <c r="F1759" t="inlineStr">
        <is>
          <t>Sold</t>
        </is>
      </c>
      <c r="G1759" s="6">
        <f>HYPERLINK("https://www.kleinanzeigen.de/s-anzeige/duotone-dice-9qm-kite-coral-red-2023-neu/2704433331-230-5525", "Link")</f>
        <v/>
      </c>
      <c r="H1759" s="6">
        <f>HYPERLINK("C:\Projects\Kleinanzeigen-Scraper\offer_images\2704433331", "Link")</f>
        <v/>
      </c>
      <c r="I1759" t="inlineStr">
        <is>
          <t>No user name</t>
        </is>
      </c>
      <c r="J1759" s="6">
        <f>HYPERLINK("https://www.kleinanzeigen.deNo user link", "Link")</f>
        <v/>
      </c>
      <c r="K1759" s="7" t="n">
        <v>45549.57659722222</v>
      </c>
      <c r="L1759" s="3" t="inlineStr">
        <is>
          <t>23.17</t>
        </is>
      </c>
      <c r="M1759" t="inlineStr">
        <is>
          <t>München</t>
        </is>
      </c>
    </row>
    <row r="1760">
      <c r="A1760" t="inlineStr">
        <is>
          <t>Kite Kitesurfing Kiterange Naish Slash 6m, 8m, 10m 2022</t>
        </is>
      </c>
      <c r="B1760" s="4" t="n">
        <v>1.647</v>
      </c>
      <c r="C1760" t="inlineStr">
        <is>
          <t>VB</t>
        </is>
      </c>
      <c r="D1760" t="inlineStr">
        <is>
          <t>20357 Altona - Hamburg Sternschanze</t>
        </is>
      </c>
      <c r="E1760" s="5" t="n">
        <v>45520</v>
      </c>
      <c r="F1760" t="inlineStr">
        <is>
          <t>Sold</t>
        </is>
      </c>
      <c r="G1760" s="6">
        <f>HYPERLINK("https://www.kleinanzeigen.de/s-anzeige/kite-kitesurfing-kiterange-naish-slash-6m-8m-10m-2022/2838448426-230-9431", "Link")</f>
        <v/>
      </c>
      <c r="H1760" s="6">
        <f>HYPERLINK("C:\Projects\Kleinanzeigen-Scraper\offer_images\2838448426", "Link")</f>
        <v/>
      </c>
      <c r="I1760" t="inlineStr">
        <is>
          <t>Hasse</t>
        </is>
      </c>
      <c r="J1760" s="6">
        <f>HYPERLINK("https://www.kleinanzeigen.de/s-bestandsliste.html?userId=133824050", "Link")</f>
        <v/>
      </c>
      <c r="K1760" s="7" t="n">
        <v>45549.57659722222</v>
      </c>
      <c r="L1760" s="3" t="inlineStr">
        <is>
          <t>356.83</t>
        </is>
      </c>
      <c r="M1760" t="inlineStr">
        <is>
          <t>Köln</t>
        </is>
      </c>
    </row>
    <row r="1761">
      <c r="A1761" t="inlineStr">
        <is>
          <t>Simms Waypoints Backpack Large (patagonia)</t>
        </is>
      </c>
      <c r="B1761" s="4" t="n">
        <v>150</v>
      </c>
      <c r="C1761" t="inlineStr"/>
      <c r="D1761" t="inlineStr">
        <is>
          <t>72760 Baden-Württemberg - Reutlingen</t>
        </is>
      </c>
      <c r="E1761" s="5" t="n">
        <v>45502</v>
      </c>
      <c r="F1761" t="inlineStr">
        <is>
          <t>Sold</t>
        </is>
      </c>
      <c r="G1761" s="6">
        <f>HYPERLINK("https://www.kleinanzeigen.de/s-anzeige/simms-waypoints-backpack-large-patagonia-/2824333492-230-9346", "Link")</f>
        <v/>
      </c>
      <c r="H1761" s="6">
        <f>HYPERLINK("C:\Projects\Kleinanzeigen-Scraper\offer_images\2824333492", "Link")</f>
        <v/>
      </c>
      <c r="I1761" t="inlineStr">
        <is>
          <t>Manuel C.</t>
        </is>
      </c>
      <c r="J1761" s="6">
        <f>HYPERLINK("https://www.kleinanzeigen.de/s-bestandsliste.html?userId=55241647", "Link")</f>
        <v/>
      </c>
      <c r="K1761" s="7" t="n">
        <v>45549.57659722222</v>
      </c>
      <c r="L1761" s="3" t="inlineStr">
        <is>
          <t>24.47</t>
        </is>
      </c>
      <c r="M1761" t="inlineStr">
        <is>
          <t>Böblingen</t>
        </is>
      </c>
    </row>
    <row r="1762">
      <c r="A1762" t="inlineStr">
        <is>
          <t>NeilPryde MastBag</t>
        </is>
      </c>
      <c r="B1762" s="4" t="n">
        <v>20</v>
      </c>
      <c r="C1762" t="inlineStr"/>
      <c r="D1762" t="inlineStr">
        <is>
          <t>14089 Berlin - Kladow</t>
        </is>
      </c>
      <c r="E1762" s="5" t="n">
        <v>45545</v>
      </c>
      <c r="F1762" t="inlineStr">
        <is>
          <t>Sold</t>
        </is>
      </c>
      <c r="G1762" s="6">
        <f>HYPERLINK("https://www.kleinanzeigen.de/s-anzeige/neilpryde-mastbag/2859131335-230-23977", "Link")</f>
        <v/>
      </c>
      <c r="H1762" s="6">
        <f>HYPERLINK("C:\Projects\Kleinanzeigen-Scraper\offer_images\2859131335", "Link")</f>
        <v/>
      </c>
      <c r="I1762" t="inlineStr">
        <is>
          <t>Christoph Poloczek</t>
        </is>
      </c>
      <c r="J1762" s="6">
        <f>HYPERLINK("https://www.kleinanzeigen.de/s-bestandsliste.html?userId=5747183", "Link")</f>
        <v/>
      </c>
      <c r="K1762" s="7" t="n">
        <v>45549.57659722222</v>
      </c>
      <c r="L1762" s="3" t="inlineStr">
        <is>
          <t>459.79</t>
        </is>
      </c>
      <c r="M1762" t="inlineStr">
        <is>
          <t>Köln</t>
        </is>
      </c>
    </row>
    <row r="1763">
      <c r="A1763" t="inlineStr">
        <is>
          <t>Starboard Airush Freewing Go 5.5qm Wingfoil Reparaturbedürftig</t>
        </is>
      </c>
      <c r="B1763" s="4" t="n">
        <v>100</v>
      </c>
      <c r="C1763" t="inlineStr">
        <is>
          <t>VB</t>
        </is>
      </c>
      <c r="D1763" t="inlineStr">
        <is>
          <t>86972 Bayern - Altenstadt</t>
        </is>
      </c>
      <c r="E1763" s="5" t="n">
        <v>45514</v>
      </c>
      <c r="F1763" t="inlineStr">
        <is>
          <t>Sold</t>
        </is>
      </c>
      <c r="G1763" s="6">
        <f>HYPERLINK("https://www.kleinanzeigen.de/s-anzeige/starboard-airush-freewing-go-5-5qm-wingfoil-reparaturbeduerftig/2833253832-230-6557", "Link")</f>
        <v/>
      </c>
      <c r="H1763" s="6">
        <f>HYPERLINK("C:\Projects\Kleinanzeigen-Scraper\offer_images\2833253832", "Link")</f>
        <v/>
      </c>
      <c r="I1763" t="inlineStr">
        <is>
          <t>Johannes</t>
        </is>
      </c>
      <c r="J1763" s="6">
        <f>HYPERLINK("https://www.kleinanzeigen.de/s-bestandsliste.html?userId=43847253", "Link")</f>
        <v/>
      </c>
      <c r="K1763" s="7" t="n">
        <v>45549.57657407408</v>
      </c>
      <c r="L1763" s="3" t="inlineStr">
        <is>
          <t>62.44</t>
        </is>
      </c>
      <c r="M1763" t="inlineStr">
        <is>
          <t>München</t>
        </is>
      </c>
    </row>
    <row r="1764">
      <c r="A1764" t="inlineStr">
        <is>
          <t>Staffelei Akademie Solo Goya (kreul)</t>
        </is>
      </c>
      <c r="B1764" s="4" t="n">
        <v>60</v>
      </c>
      <c r="C1764" t="inlineStr">
        <is>
          <t>VB</t>
        </is>
      </c>
      <c r="D1764" t="inlineStr">
        <is>
          <t>46485 Nordrhein-Westfalen - Wesel</t>
        </is>
      </c>
      <c r="E1764" s="5" t="n">
        <v>45510</v>
      </c>
      <c r="F1764" t="inlineStr"/>
      <c r="G1764" s="6">
        <f>HYPERLINK("https://www.kleinanzeigen.de/s-anzeige/staffelei-akademie-solo-goya-kreul-/2830485859-282-1866", "Link")</f>
        <v/>
      </c>
      <c r="H1764" s="6">
        <f>HYPERLINK("C:\Projects\Kleinanzeigen-Scraper\offer_images\2830485859", "Link")</f>
        <v/>
      </c>
      <c r="I1764" t="inlineStr">
        <is>
          <t>heike s</t>
        </is>
      </c>
      <c r="J1764" s="6">
        <f>HYPERLINK("https://www.kleinanzeigen.de/s-bestandsliste.html?userId=4956724", "Link")</f>
        <v/>
      </c>
      <c r="K1764" s="7" t="n">
        <v>45549.57657407408</v>
      </c>
      <c r="L1764" s="3" t="inlineStr">
        <is>
          <t>82.18</t>
        </is>
      </c>
      <c r="M1764" t="inlineStr">
        <is>
          <t>Köln</t>
        </is>
      </c>
    </row>
    <row r="1765">
      <c r="A1765" t="inlineStr">
        <is>
          <t>Duotone Rebel SLS 14qm 2023</t>
        </is>
      </c>
      <c r="B1765" s="4" t="n">
        <v>1.2</v>
      </c>
      <c r="C1765" t="inlineStr">
        <is>
          <t>VB</t>
        </is>
      </c>
      <c r="D1765" t="inlineStr">
        <is>
          <t>21423 Niedersachsen - Winsen (Luhe)</t>
        </is>
      </c>
      <c r="E1765" s="5" t="n">
        <v>45548</v>
      </c>
      <c r="F1765" t="inlineStr">
        <is>
          <t>Sold</t>
        </is>
      </c>
      <c r="G1765" s="6">
        <f>HYPERLINK("https://www.kleinanzeigen.de/s-anzeige/duotone-rebel-sls-14qm-2023/2763175315-230-3223", "Link")</f>
        <v/>
      </c>
      <c r="H1765" s="6">
        <f>HYPERLINK("C:\Projects\Kleinanzeigen-Scraper\offer_images\2763175315", "Link")</f>
        <v/>
      </c>
      <c r="I1765" t="inlineStr">
        <is>
          <t>No user name</t>
        </is>
      </c>
      <c r="J1765" s="6">
        <f>HYPERLINK("https://www.kleinanzeigen.deNo user link", "Link")</f>
        <v/>
      </c>
      <c r="K1765" s="7" t="n">
        <v>45549.57657407408</v>
      </c>
      <c r="L1765" s="3" t="inlineStr">
        <is>
          <t>349.14</t>
        </is>
      </c>
      <c r="M1765" t="inlineStr">
        <is>
          <t>Köln</t>
        </is>
      </c>
    </row>
    <row r="1766">
      <c r="A1766" t="inlineStr">
        <is>
          <t>14m² Kite north Rebel 2018 Schwarz</t>
        </is>
      </c>
      <c r="B1766" s="4" t="n">
        <v>450</v>
      </c>
      <c r="C1766" t="inlineStr">
        <is>
          <t>VB</t>
        </is>
      </c>
      <c r="D1766" t="inlineStr">
        <is>
          <t>04277 Leipzig - Marienbrunn</t>
        </is>
      </c>
      <c r="E1766" s="5" t="n">
        <v>45539</v>
      </c>
      <c r="F1766" t="inlineStr">
        <is>
          <t>Sold</t>
        </is>
      </c>
      <c r="G1766" s="6">
        <f>HYPERLINK("https://www.kleinanzeigen.de/s-anzeige/14m-kite-north-rebel-2018-schwarz/2854197935-230-30089", "Link")</f>
        <v/>
      </c>
      <c r="H1766" s="6">
        <f>HYPERLINK("C:\Projects\Kleinanzeigen-Scraper\offer_images\2854197935", "Link")</f>
        <v/>
      </c>
      <c r="I1766" t="inlineStr">
        <is>
          <t>Renting</t>
        </is>
      </c>
      <c r="J1766" s="6">
        <f>HYPERLINK("https://www.kleinanzeigen.de/s-bestandsliste.html?userId=3736628", "Link")</f>
        <v/>
      </c>
      <c r="K1766" s="7" t="n">
        <v>45549.57657407408</v>
      </c>
      <c r="L1766" s="3" t="inlineStr">
        <is>
          <t>357.35</t>
        </is>
      </c>
      <c r="M1766" t="inlineStr">
        <is>
          <t>München</t>
        </is>
      </c>
    </row>
    <row r="1767">
      <c r="A1767" t="inlineStr">
        <is>
          <t>Fanatic Carbon 25 adj. SUP Paddel</t>
        </is>
      </c>
      <c r="B1767" s="4" t="n">
        <v>85</v>
      </c>
      <c r="C1767" t="inlineStr">
        <is>
          <t>VB</t>
        </is>
      </c>
      <c r="D1767" t="inlineStr">
        <is>
          <t>18586 Mecklenburg-Vorpommern - Mönchgut, Ostseebad</t>
        </is>
      </c>
      <c r="E1767" s="5" t="n">
        <v>45564</v>
      </c>
      <c r="F1767" t="inlineStr"/>
      <c r="G1767" s="6">
        <f>HYPERLINK("https://www.kleinanzeigen.de/s-anzeige/fanatic-carbon-25-adj-sup-paddel/1215005927-230-120", "Link")</f>
        <v/>
      </c>
      <c r="H1767" s="6">
        <f>HYPERLINK("C:\Projects\Kleinanzeigen-Scraper\offer_images\1215005927", "Link")</f>
        <v/>
      </c>
      <c r="I1767" t="inlineStr">
        <is>
          <t>No user name</t>
        </is>
      </c>
      <c r="J1767" s="6">
        <f>HYPERLINK("https://www.kleinanzeigen.deNo user link", "Link")</f>
        <v/>
      </c>
      <c r="K1767" s="7" t="n">
        <v>45549.57655092593</v>
      </c>
      <c r="L1767" s="3" t="inlineStr">
        <is>
          <t>591.22</t>
        </is>
      </c>
      <c r="M1767" t="inlineStr">
        <is>
          <t>Köln</t>
        </is>
      </c>
    </row>
    <row r="1768">
      <c r="A1768" t="inlineStr">
        <is>
          <t>Duotone Rebel SLS 2022 8m² Kite Big-Air Kiteloop Rot</t>
        </is>
      </c>
      <c r="B1768" s="4" t="n">
        <v>850</v>
      </c>
      <c r="C1768" t="inlineStr"/>
      <c r="D1768" t="inlineStr">
        <is>
          <t>49835 Niedersachsen - Wietmarschen</t>
        </is>
      </c>
      <c r="E1768" s="5" t="n">
        <v>45539</v>
      </c>
      <c r="F1768" t="inlineStr">
        <is>
          <t>Sold</t>
        </is>
      </c>
      <c r="G1768" s="6">
        <f>HYPERLINK("https://www.kleinanzeigen.de/s-anzeige/duotone-rebel-sls-2022-8m-kite-big-air-kiteloop-rot/2854600870-230-2561", "Link")</f>
        <v/>
      </c>
      <c r="H1768" s="6">
        <f>HYPERLINK("C:\Projects\Kleinanzeigen-Scraper\offer_images\2854600870", "Link")</f>
        <v/>
      </c>
      <c r="I1768" t="inlineStr">
        <is>
          <t>Jeno</t>
        </is>
      </c>
      <c r="J1768" s="6">
        <f>HYPERLINK("https://www.kleinanzeigen.de/s-bestandsliste.html?userId=22906807", "Link")</f>
        <v/>
      </c>
      <c r="K1768" s="7" t="n">
        <v>45549.57655092593</v>
      </c>
      <c r="L1768" s="3" t="inlineStr">
        <is>
          <t>175.03</t>
        </is>
      </c>
      <c r="M1768" t="inlineStr">
        <is>
          <t>Köln</t>
        </is>
      </c>
    </row>
    <row r="1769">
      <c r="A1769" t="inlineStr">
        <is>
          <t>ION North Sails Quiverbag Windsurfbag Sailbag Session Bag</t>
        </is>
      </c>
      <c r="B1769" s="4" t="n">
        <v>110</v>
      </c>
      <c r="C1769" t="inlineStr">
        <is>
          <t>VB</t>
        </is>
      </c>
      <c r="D1769" t="inlineStr">
        <is>
          <t>53783 Nordrhein-Westfalen - Eitorf</t>
        </is>
      </c>
      <c r="E1769" s="5" t="n">
        <v>45537</v>
      </c>
      <c r="F1769" t="inlineStr">
        <is>
          <t>Sold</t>
        </is>
      </c>
      <c r="G1769" s="6">
        <f>HYPERLINK("https://www.kleinanzeigen.de/s-anzeige/ion-north-sails-quiverbag-windsurfbag-sailbag-session-bag/2852461475-230-1694", "Link")</f>
        <v/>
      </c>
      <c r="H1769" s="6">
        <f>HYPERLINK("C:\Projects\Kleinanzeigen-Scraper\offer_images\2852461475", "Link")</f>
        <v/>
      </c>
      <c r="I1769" t="inlineStr">
        <is>
          <t>Daniel Sauerland</t>
        </is>
      </c>
      <c r="J1769" s="6">
        <f>HYPERLINK("https://www.kleinanzeigen.de/s-bestandsliste.html?userId=41062404", "Link")</f>
        <v/>
      </c>
      <c r="K1769" s="7" t="n">
        <v>45549.57655092593</v>
      </c>
      <c r="L1769" s="3" t="inlineStr">
        <is>
          <t>39.23</t>
        </is>
      </c>
      <c r="M1769" t="inlineStr">
        <is>
          <t>Köln</t>
        </is>
      </c>
    </row>
    <row r="1770">
      <c r="A1770" t="inlineStr">
        <is>
          <t>North Trampolin low 500 480cm x 360cm in gutem Zustand NP 1049€</t>
        </is>
      </c>
      <c r="B1770" s="4" t="n">
        <v>490</v>
      </c>
      <c r="C1770" t="inlineStr">
        <is>
          <t>VB</t>
        </is>
      </c>
      <c r="D1770" t="inlineStr">
        <is>
          <t>74172 Baden-Württemberg - Neckarsulm</t>
        </is>
      </c>
      <c r="E1770" s="5" t="n">
        <v>45538</v>
      </c>
      <c r="F1770" t="inlineStr">
        <is>
          <t>Sold</t>
        </is>
      </c>
      <c r="G1770" s="6">
        <f>HYPERLINK("https://www.kleinanzeigen.de/s-anzeige/north-trampolin-low-500-480cm-x-360cm-in-gutem-zustand-np-1049-/2853413909-230-8242", "Link")</f>
        <v/>
      </c>
      <c r="H1770" s="6">
        <f>HYPERLINK("C:\Projects\Kleinanzeigen-Scraper\offer_images\2853413909", "Link")</f>
        <v/>
      </c>
      <c r="I1770" t="inlineStr">
        <is>
          <t>Joachim Thiele</t>
        </is>
      </c>
      <c r="J1770" s="6">
        <f>HYPERLINK("https://www.kleinanzeigen.de/s-bestandsliste.html?userId=53732771", "Link")</f>
        <v/>
      </c>
      <c r="K1770" s="7" t="n">
        <v>45549.57655092593</v>
      </c>
      <c r="L1770" s="3" t="inlineStr">
        <is>
          <t>60.60</t>
        </is>
      </c>
      <c r="M1770" t="inlineStr">
        <is>
          <t>Böblingen</t>
        </is>
      </c>
    </row>
    <row r="1771">
      <c r="A1771" t="inlineStr">
        <is>
          <t>Kitesurfing Kite North Rebel 14 mit Bar</t>
        </is>
      </c>
      <c r="B1771" s="4" t="n">
        <v>50</v>
      </c>
      <c r="C1771" t="inlineStr"/>
      <c r="D1771" t="inlineStr">
        <is>
          <t>35428 Hessen - Langgöns</t>
        </is>
      </c>
      <c r="E1771" s="5" t="n">
        <v>45547</v>
      </c>
      <c r="F1771" t="inlineStr">
        <is>
          <t>Sold</t>
        </is>
      </c>
      <c r="G1771" s="6">
        <f>HYPERLINK("https://www.kleinanzeigen.de/s-anzeige/kitesurfing-kite-north-rebel-14-mit-bar/2861328863-230-4664", "Link")</f>
        <v/>
      </c>
      <c r="H1771" s="6">
        <f>HYPERLINK("C:\Projects\Kleinanzeigen-Scraper\offer_images\2861328863", "Link")</f>
        <v/>
      </c>
      <c r="I1771" t="inlineStr">
        <is>
          <t>Timm Straßheim</t>
        </is>
      </c>
      <c r="J1771" s="6">
        <f>HYPERLINK("https://www.kleinanzeigen.de/s-bestandsliste.html?userId=16095459", "Link")</f>
        <v/>
      </c>
      <c r="K1771" s="7" t="n">
        <v>45549.57655092593</v>
      </c>
      <c r="L1771" s="3" t="inlineStr">
        <is>
          <t>125.53</t>
        </is>
      </c>
      <c r="M1771" t="inlineStr">
        <is>
          <t>Köln</t>
        </is>
      </c>
    </row>
    <row r="1772">
      <c r="A1772" t="inlineStr">
        <is>
          <t>rrd religion 7qm kite Mk6</t>
        </is>
      </c>
      <c r="B1772" s="4" t="n">
        <v>250</v>
      </c>
      <c r="C1772" t="inlineStr"/>
      <c r="D1772" t="inlineStr">
        <is>
          <t>87439 Bayern - Kempten</t>
        </is>
      </c>
      <c r="E1772" s="5" t="n">
        <v>45193</v>
      </c>
      <c r="F1772" t="inlineStr">
        <is>
          <t>Sold</t>
        </is>
      </c>
      <c r="G1772" s="6">
        <f>HYPERLINK("https://www.kleinanzeigen.de/s-anzeige/rrd-religion-7qm-kite-mk6/2554582622-230-7618", "Link")</f>
        <v/>
      </c>
      <c r="H1772" s="6">
        <f>HYPERLINK("C:\Projects\Kleinanzeigen-Scraper\offer_images\2554582622", "Link")</f>
        <v/>
      </c>
      <c r="I1772" t="inlineStr">
        <is>
          <t>Porsche Christian</t>
        </is>
      </c>
      <c r="J1772" s="6">
        <f>HYPERLINK("https://www.kleinanzeigen.de/s-bestandsliste.html?userId=14551534", "Link")</f>
        <v/>
      </c>
      <c r="K1772" s="7" t="n">
        <v>45549.57655092593</v>
      </c>
      <c r="L1772" s="3" t="inlineStr">
        <is>
          <t>105.97</t>
        </is>
      </c>
      <c r="M1772" t="inlineStr">
        <is>
          <t>München</t>
        </is>
      </c>
    </row>
    <row r="1773">
      <c r="A1773" t="inlineStr">
        <is>
          <t>Wing RRD Evo Wing 2021 Y26, 6,5 m, Wingfoil,</t>
        </is>
      </c>
      <c r="B1773" s="4" t="n">
        <v>299</v>
      </c>
      <c r="C1773" t="inlineStr"/>
      <c r="D1773" t="inlineStr">
        <is>
          <t>63814 Bayern - Mainaschaff</t>
        </is>
      </c>
      <c r="E1773" s="5" t="n">
        <v>45501</v>
      </c>
      <c r="F1773" t="inlineStr">
        <is>
          <t>Sold</t>
        </is>
      </c>
      <c r="G1773" s="6">
        <f>HYPERLINK("https://www.kleinanzeigen.de/s-anzeige/wing-rrd-evo-wing-2021-y26-6-5-m-wingfoil-/2822907395-230-7435", "Link")</f>
        <v/>
      </c>
      <c r="H1773" s="6">
        <f>HYPERLINK("C:\Projects\Kleinanzeigen-Scraper\offer_images\2822907395", "Link")</f>
        <v/>
      </c>
      <c r="I1773" t="inlineStr">
        <is>
          <t>Jörg</t>
        </is>
      </c>
      <c r="J1773" s="6">
        <f>HYPERLINK("https://www.kleinanzeigen.de/s-bestandsliste.html?userId=2416859", "Link")</f>
        <v/>
      </c>
      <c r="K1773" s="7" t="n">
        <v>45549.57655092593</v>
      </c>
      <c r="L1773" s="3" t="inlineStr">
        <is>
          <t>119.40</t>
        </is>
      </c>
      <c r="M1773" t="inlineStr">
        <is>
          <t>Karlsruhe</t>
        </is>
      </c>
    </row>
    <row r="1774">
      <c r="A1774" t="inlineStr">
        <is>
          <t>FANATIC / DUOTONE Foil Frontwing HIGH ASPECT 2000</t>
        </is>
      </c>
      <c r="B1774" s="4" t="n">
        <v>350</v>
      </c>
      <c r="C1774" t="inlineStr"/>
      <c r="D1774" t="inlineStr">
        <is>
          <t>79115 Baden-Württemberg - Freiburg im Breisgau</t>
        </is>
      </c>
      <c r="E1774" s="5" t="n">
        <v>45543</v>
      </c>
      <c r="F1774" t="inlineStr">
        <is>
          <t>Sold</t>
        </is>
      </c>
      <c r="G1774" s="6">
        <f>HYPERLINK("https://www.kleinanzeigen.de/s-anzeige/fanatic-duotone-foil-frontwing-high-aspect-2000/2857436358-230-9366", "Link")</f>
        <v/>
      </c>
      <c r="H1774" s="6">
        <f>HYPERLINK("C:\Projects\Kleinanzeigen-Scraper\offer_images\2857436358", "Link")</f>
        <v/>
      </c>
      <c r="I1774" t="inlineStr">
        <is>
          <t>Christian Vogt</t>
        </is>
      </c>
      <c r="J1774" s="6">
        <f>HYPERLINK("https://www.kleinanzeigen.de/s-bestandsliste.html?userId=11889225", "Link")</f>
        <v/>
      </c>
      <c r="K1774" s="7" t="n">
        <v>45549.57652777778</v>
      </c>
      <c r="L1774" s="3" t="inlineStr">
        <is>
          <t>43.13</t>
        </is>
      </c>
      <c r="M1774" t="inlineStr">
        <is>
          <t>Bonndorf</t>
        </is>
      </c>
    </row>
    <row r="1775">
      <c r="A1775" t="inlineStr">
        <is>
          <t>Duotone NEO DLAB 7m</t>
        </is>
      </c>
      <c r="B1775" s="4" t="n">
        <v>999</v>
      </c>
      <c r="C1775" t="inlineStr"/>
      <c r="D1775" t="inlineStr">
        <is>
          <t>25980 Sylt - Westerland</t>
        </is>
      </c>
      <c r="E1775" s="5" t="n">
        <v>45545</v>
      </c>
      <c r="F1775" t="inlineStr">
        <is>
          <t>Sold</t>
        </is>
      </c>
      <c r="G1775" s="6">
        <f>HYPERLINK("https://www.kleinanzeigen.de/s-anzeige/duotone-neo-dlab-7m/2859254274-230-634", "Link")</f>
        <v/>
      </c>
      <c r="H1775" s="6">
        <f>HYPERLINK("C:\Projects\Kleinanzeigen-Scraper\offer_images\2859254274", "Link")</f>
        <v/>
      </c>
      <c r="I1775" t="inlineStr">
        <is>
          <t>Lenny kite</t>
        </is>
      </c>
      <c r="J1775" s="6">
        <f>HYPERLINK("https://www.kleinanzeigen.de/s-bestandsliste.html?userId=14530034", "Link")</f>
        <v/>
      </c>
      <c r="K1775" s="7" t="n">
        <v>45549.57652777778</v>
      </c>
      <c r="L1775" s="3" t="inlineStr">
        <is>
          <t>448.30</t>
        </is>
      </c>
      <c r="M1775" t="inlineStr">
        <is>
          <t>Köln</t>
        </is>
      </c>
    </row>
    <row r="1776">
      <c r="A1776" t="inlineStr">
        <is>
          <t>Duotone Evo 9m / 2020 / Blau / TOP</t>
        </is>
      </c>
      <c r="B1776" s="4" t="n">
        <v>675</v>
      </c>
      <c r="C1776" t="inlineStr"/>
      <c r="D1776" t="inlineStr">
        <is>
          <t>63179 Hessen - Obertshausen</t>
        </is>
      </c>
      <c r="E1776" s="5" t="n">
        <v>45548</v>
      </c>
      <c r="F1776" t="inlineStr">
        <is>
          <t>Sold</t>
        </is>
      </c>
      <c r="G1776" s="6">
        <f>HYPERLINK("https://www.kleinanzeigen.de/s-anzeige/duotone-evo-9m-2020-blau-top/2862509463-230-4570", "Link")</f>
        <v/>
      </c>
      <c r="H1776" s="6">
        <f>HYPERLINK("C:\Projects\Kleinanzeigen-Scraper\offer_images\2862509463", "Link")</f>
        <v/>
      </c>
      <c r="I1776" t="inlineStr">
        <is>
          <t>JC</t>
        </is>
      </c>
      <c r="J1776" s="6">
        <f>HYPERLINK("https://www.kleinanzeigen.de/s-bestandsliste.html?userId=94421", "Link")</f>
        <v/>
      </c>
      <c r="K1776" s="7" t="n">
        <v>45549.57652777778</v>
      </c>
      <c r="L1776" s="3" t="inlineStr">
        <is>
          <t>123.72</t>
        </is>
      </c>
      <c r="M1776" t="inlineStr">
        <is>
          <t>Karlsruhe</t>
        </is>
      </c>
    </row>
    <row r="1777">
      <c r="A1777" t="inlineStr">
        <is>
          <t>Neilpryde-Long John,  Women,  Gr. 44, ungetragen, Surfen, SUP</t>
        </is>
      </c>
      <c r="B1777" s="4" t="n">
        <v>65</v>
      </c>
      <c r="C1777" t="inlineStr">
        <is>
          <t>VB</t>
        </is>
      </c>
      <c r="D1777" t="inlineStr">
        <is>
          <t>33615 Bielefeld - Bielefeld (Innenstadt)</t>
        </is>
      </c>
      <c r="E1777" s="5" t="n">
        <v>45548</v>
      </c>
      <c r="F1777" t="inlineStr"/>
      <c r="G1777" s="6">
        <f>HYPERLINK("https://www.kleinanzeigen.de/s-anzeige/neilpryde-long-john-women-gr-44-ungetragen-surfen-sup/2862327176-230-1058", "Link")</f>
        <v/>
      </c>
      <c r="H1777" s="6">
        <f>HYPERLINK("C:\Projects\Kleinanzeigen-Scraper\offer_images\2862327176", "Link")</f>
        <v/>
      </c>
      <c r="I1777" t="inlineStr">
        <is>
          <t>Carola Giller</t>
        </is>
      </c>
      <c r="J1777" s="6">
        <f>HYPERLINK("https://www.kleinanzeigen.de/s-bestandsliste.html?userId=7988525", "Link")</f>
        <v/>
      </c>
      <c r="K1777" s="7" t="n">
        <v>45549.57652777778</v>
      </c>
      <c r="L1777" s="3" t="inlineStr">
        <is>
          <t>162.21</t>
        </is>
      </c>
      <c r="M1777" t="inlineStr">
        <is>
          <t>Köln</t>
        </is>
      </c>
    </row>
    <row r="1778">
      <c r="A1778" t="inlineStr">
        <is>
          <t>Duotone Tubekite Evo C01:mint/dark-grey 2024 6.0 qm</t>
        </is>
      </c>
      <c r="B1778" s="4" t="n">
        <v>939</v>
      </c>
      <c r="C1778" t="inlineStr">
        <is>
          <t>VB</t>
        </is>
      </c>
      <c r="D1778" t="inlineStr">
        <is>
          <t>26125 Niedersachsen - Oldenburg</t>
        </is>
      </c>
      <c r="E1778" s="5" t="n">
        <v>45545</v>
      </c>
      <c r="F1778" t="inlineStr">
        <is>
          <t>Sold</t>
        </is>
      </c>
      <c r="G1778" s="6">
        <f>HYPERLINK("https://www.kleinanzeigen.de/s-anzeige/duotone-tubekite-evo-c01-mint-dark-grey-2024-6-0-qm/2859567834-230-3111", "Link")</f>
        <v/>
      </c>
      <c r="H1778" s="6">
        <f>HYPERLINK("C:\Projects\Kleinanzeigen-Scraper\offer_images\2859567834", "Link")</f>
        <v/>
      </c>
      <c r="I1778" t="inlineStr">
        <is>
          <t>No user name</t>
        </is>
      </c>
      <c r="J1778" s="6">
        <f>HYPERLINK("https://www.kleinanzeigen.deNo user link", "Link")</f>
        <v/>
      </c>
      <c r="K1778" s="7" t="n">
        <v>45549.57650462963</v>
      </c>
      <c r="L1778" s="3" t="inlineStr">
        <is>
          <t>264.10</t>
        </is>
      </c>
      <c r="M1778" t="inlineStr">
        <is>
          <t>Köln</t>
        </is>
      </c>
    </row>
    <row r="1779">
      <c r="A1779" t="inlineStr">
        <is>
          <t>Duotone Dice SLS 6m 2024 Kite *NEU&amp;UVP*</t>
        </is>
      </c>
      <c r="B1779" s="4" t="n">
        <v>1.349</v>
      </c>
      <c r="C1779" t="inlineStr">
        <is>
          <t>VB</t>
        </is>
      </c>
      <c r="D1779" t="inlineStr">
        <is>
          <t>24113 Schleswig-Holstein - Molfsee</t>
        </is>
      </c>
      <c r="E1779" s="5" t="n">
        <v>45546</v>
      </c>
      <c r="F1779" t="inlineStr">
        <is>
          <t>Sold</t>
        </is>
      </c>
      <c r="G1779" s="6">
        <f>HYPERLINK("https://www.kleinanzeigen.de/s-anzeige/duotone-dice-sls-6m-2024-kite-neu-uvp-/2860607615-230-21250", "Link")</f>
        <v/>
      </c>
      <c r="H1779" s="6">
        <f>HYPERLINK("C:\Projects\Kleinanzeigen-Scraper\offer_images\2860607615", "Link")</f>
        <v/>
      </c>
      <c r="I1779" t="inlineStr">
        <is>
          <t>Simon</t>
        </is>
      </c>
      <c r="J1779" s="6">
        <f>HYPERLINK("https://www.kleinanzeigen.de/s-bestandsliste.html?userId=52124959", "Link")</f>
        <v/>
      </c>
      <c r="K1779" s="7" t="n">
        <v>45549.57648148148</v>
      </c>
      <c r="L1779" s="3" t="inlineStr">
        <is>
          <t>427.37</t>
        </is>
      </c>
      <c r="M1779" t="inlineStr">
        <is>
          <t>Köln</t>
        </is>
      </c>
    </row>
    <row r="1780">
      <c r="A1780" t="inlineStr">
        <is>
          <t>Duotone Neo SLS 2023 8qm</t>
        </is>
      </c>
      <c r="B1780" s="4" t="n">
        <v>930</v>
      </c>
      <c r="C1780" t="inlineStr">
        <is>
          <t>VB</t>
        </is>
      </c>
      <c r="D1780" t="inlineStr">
        <is>
          <t>21423 Niedersachsen - Winsen (Luhe)</t>
        </is>
      </c>
      <c r="E1780" s="5" t="n">
        <v>45546</v>
      </c>
      <c r="F1780" t="inlineStr">
        <is>
          <t>Sold</t>
        </is>
      </c>
      <c r="G1780" s="6">
        <f>HYPERLINK("https://www.kleinanzeigen.de/s-anzeige/duotone-neo-sls-2023-8qm/2761604436-230-3223", "Link")</f>
        <v/>
      </c>
      <c r="H1780" s="6">
        <f>HYPERLINK("C:\Projects\Kleinanzeigen-Scraper\offer_images\2761604436", "Link")</f>
        <v/>
      </c>
      <c r="I1780" t="inlineStr">
        <is>
          <t>No user name</t>
        </is>
      </c>
      <c r="J1780" s="6">
        <f>HYPERLINK("https://www.kleinanzeigen.deNo user link", "Link")</f>
        <v/>
      </c>
      <c r="K1780" s="7" t="n">
        <v>45549.57646990741</v>
      </c>
      <c r="L1780" s="3" t="inlineStr">
        <is>
          <t>349.14</t>
        </is>
      </c>
      <c r="M1780" t="inlineStr">
        <is>
          <t>Köln</t>
        </is>
      </c>
    </row>
    <row r="1781">
      <c r="A1781" t="inlineStr">
        <is>
          <t>Duotone Tubekite Evo C01:mint/dark-grey 2024 12.0 qm</t>
        </is>
      </c>
      <c r="B1781" s="4" t="n">
        <v>1.249</v>
      </c>
      <c r="C1781" t="inlineStr">
        <is>
          <t>VB</t>
        </is>
      </c>
      <c r="D1781" t="inlineStr">
        <is>
          <t>26125 Niedersachsen - Oldenburg</t>
        </is>
      </c>
      <c r="E1781" s="5" t="n">
        <v>45545</v>
      </c>
      <c r="F1781" t="inlineStr">
        <is>
          <t>Sold</t>
        </is>
      </c>
      <c r="G1781" s="6">
        <f>HYPERLINK("https://www.kleinanzeigen.de/s-anzeige/duotone-tubekite-evo-c01-mint-dark-grey-2024-12-0-qm/2859571220-230-3111", "Link")</f>
        <v/>
      </c>
      <c r="H1781" s="6">
        <f>HYPERLINK("C:\Projects\Kleinanzeigen-Scraper\offer_images\2859571220", "Link")</f>
        <v/>
      </c>
      <c r="I1781" t="inlineStr">
        <is>
          <t>No user name</t>
        </is>
      </c>
      <c r="J1781" s="6">
        <f>HYPERLINK("https://www.kleinanzeigen.deNo user link", "Link")</f>
        <v/>
      </c>
      <c r="K1781" s="7" t="n">
        <v>45549.57646990741</v>
      </c>
      <c r="L1781" s="3" t="inlineStr">
        <is>
          <t>264.10</t>
        </is>
      </c>
      <c r="M1781" t="inlineStr">
        <is>
          <t>Köln</t>
        </is>
      </c>
    </row>
    <row r="1782">
      <c r="A1782" t="inlineStr">
        <is>
          <t>Solo Goya Acrylic Farbe Laubgrün 100 ml</t>
        </is>
      </c>
      <c r="B1782" s="4" t="n">
        <v>2</v>
      </c>
      <c r="C1782" t="inlineStr"/>
      <c r="D1782" t="inlineStr">
        <is>
          <t>70437 Stuttgart - Zuffenhausen</t>
        </is>
      </c>
      <c r="E1782" s="5" t="n">
        <v>45504</v>
      </c>
      <c r="F1782" t="inlineStr">
        <is>
          <t>Sold</t>
        </is>
      </c>
      <c r="G1782" s="6">
        <f>HYPERLINK("https://www.kleinanzeigen.de/s-anzeige/solo-goya-acrylic-farbe-laubgruen-100-ml/2825309043-282-9593", "Link")</f>
        <v/>
      </c>
      <c r="H1782" s="6">
        <f>HYPERLINK("C:\Projects\Kleinanzeigen-Scraper\offer_images\2825309043", "Link")</f>
        <v/>
      </c>
      <c r="I1782" t="inlineStr">
        <is>
          <t>Demyan</t>
        </is>
      </c>
      <c r="J1782" s="6">
        <f>HYPERLINK("https://www.kleinanzeigen.de/s-bestandsliste.html?userId=38066590", "Link")</f>
        <v/>
      </c>
      <c r="K1782" s="7" t="n">
        <v>45549.57645833334</v>
      </c>
      <c r="L1782" s="3" t="inlineStr">
        <is>
          <t>24.41</t>
        </is>
      </c>
      <c r="M1782" t="inlineStr">
        <is>
          <t>Böblingen</t>
        </is>
      </c>
    </row>
    <row r="1783">
      <c r="A1783" t="inlineStr">
        <is>
          <t>Kunst Malerei Grands Peintres Vinci Rubens VanGogh Goya</t>
        </is>
      </c>
      <c r="B1783" s="4" t="n">
        <v>3</v>
      </c>
      <c r="C1783" t="inlineStr"/>
      <c r="D1783" t="inlineStr">
        <is>
          <t>88677 Baden-Württemberg - Markdorf</t>
        </is>
      </c>
      <c r="E1783" s="5" t="n">
        <v>44330</v>
      </c>
      <c r="F1783" t="inlineStr"/>
      <c r="G1783" s="6">
        <f>HYPERLINK("https://www.kleinanzeigen.de/s-anzeige/kunst-malerei-grands-peintres-vinci-rubens-vangogh-goya/1765615952-240-9219", "Link")</f>
        <v/>
      </c>
      <c r="H1783" s="6">
        <f>HYPERLINK("C:\Projects\Kleinanzeigen-Scraper\offer_images\1765615952", "Link")</f>
        <v/>
      </c>
      <c r="I1783" t="inlineStr">
        <is>
          <t>Nicole</t>
        </is>
      </c>
      <c r="J1783" s="6">
        <f>HYPERLINK("https://www.kleinanzeigen.de/s-bestandsliste.html?userId=60472178", "Link")</f>
        <v/>
      </c>
      <c r="K1783" s="7" t="n">
        <v>45549.57645833334</v>
      </c>
      <c r="L1783" s="3" t="inlineStr">
        <is>
          <t>80.52</t>
        </is>
      </c>
      <c r="M1783" t="inlineStr">
        <is>
          <t>Bonndorf</t>
        </is>
      </c>
    </row>
    <row r="1784">
      <c r="A1784" t="inlineStr">
        <is>
          <t>Kinder-Neoprenanzug NEILPRYDE 2-2</t>
        </is>
      </c>
      <c r="B1784" s="4" t="n">
        <v>40</v>
      </c>
      <c r="C1784" t="inlineStr"/>
      <c r="D1784" t="inlineStr">
        <is>
          <t>13088 Pankow - Weissensee</t>
        </is>
      </c>
      <c r="E1784" s="5" t="n">
        <v>45514</v>
      </c>
      <c r="F1784" t="inlineStr">
        <is>
          <t>Sold</t>
        </is>
      </c>
      <c r="G1784" s="6">
        <f>HYPERLINK("https://www.kleinanzeigen.de/s-anzeige/kinder-neoprenanzug-neilpryde-2-2/2833877055-230-3477", "Link")</f>
        <v/>
      </c>
      <c r="H1784" s="6">
        <f>HYPERLINK("C:\Projects\Kleinanzeigen-Scraper\offer_images\2833877055", "Link")</f>
        <v/>
      </c>
      <c r="I1784" t="inlineStr">
        <is>
          <t>Ka</t>
        </is>
      </c>
      <c r="J1784" s="6">
        <f>HYPERLINK("https://www.kleinanzeigen.de/s-bestandsliste.html?userId=12896036", "Link")</f>
        <v/>
      </c>
      <c r="K1784" s="7" t="n">
        <v>45549.57644675926</v>
      </c>
      <c r="L1784" s="3" t="inlineStr">
        <is>
          <t>483.60</t>
        </is>
      </c>
      <c r="M1784" t="inlineStr">
        <is>
          <t>Köln</t>
        </is>
      </c>
    </row>
    <row r="1785">
      <c r="A1785" t="inlineStr">
        <is>
          <t>Kite 12m2 RRD Obsession mit Bar</t>
        </is>
      </c>
      <c r="B1785" s="4" t="n">
        <v>333</v>
      </c>
      <c r="C1785" t="inlineStr"/>
      <c r="D1785" t="inlineStr">
        <is>
          <t>24119 Kiel - Kronshagen</t>
        </is>
      </c>
      <c r="E1785" s="5" t="n">
        <v>45539</v>
      </c>
      <c r="F1785" t="inlineStr">
        <is>
          <t>Sold</t>
        </is>
      </c>
      <c r="G1785" s="6">
        <f>HYPERLINK("https://www.kleinanzeigen.de/s-anzeige/kite-12m2-rrd-obsession-mit-bar/2854406058-230-705", "Link")</f>
        <v/>
      </c>
      <c r="H1785" s="6">
        <f>HYPERLINK("C:\Projects\Kleinanzeigen-Scraper\offer_images\2854406058", "Link")</f>
        <v/>
      </c>
      <c r="I1785" t="inlineStr">
        <is>
          <t>Jan</t>
        </is>
      </c>
      <c r="J1785" s="6">
        <f>HYPERLINK("https://www.kleinanzeigen.de/s-bestandsliste.html?userId=42783171", "Link")</f>
        <v/>
      </c>
      <c r="K1785" s="7" t="n">
        <v>45549.57644675926</v>
      </c>
      <c r="L1785" s="3" t="inlineStr">
        <is>
          <t>432.46</t>
        </is>
      </c>
      <c r="M1785" t="inlineStr">
        <is>
          <t>Köln</t>
        </is>
      </c>
    </row>
    <row r="1786">
      <c r="A1786" t="inlineStr">
        <is>
          <t>SALE STARBOARD Astro Starship family SUP gross 8 Personen</t>
        </is>
      </c>
      <c r="B1786" s="4" t="n">
        <v>450</v>
      </c>
      <c r="C1786" t="inlineStr">
        <is>
          <t>VB</t>
        </is>
      </c>
      <c r="D1786" t="inlineStr">
        <is>
          <t>81735 München - Ramersdorf-Perlach</t>
        </is>
      </c>
      <c r="E1786" s="5" t="n">
        <v>45528</v>
      </c>
      <c r="F1786" t="inlineStr"/>
      <c r="G1786" s="6">
        <f>HYPERLINK("https://www.kleinanzeigen.de/s-anzeige/sale-starboard-astro-starship-family-sup-gross-8-personen/2844994615-230-6472", "Link")</f>
        <v/>
      </c>
      <c r="H1786" s="6">
        <f>HYPERLINK("C:\Projects\Kleinanzeigen-Scraper\offer_images\2844994615", "Link")</f>
        <v/>
      </c>
      <c r="I1786" t="inlineStr">
        <is>
          <t>Lisa</t>
        </is>
      </c>
      <c r="J1786" s="6">
        <f>HYPERLINK("https://www.kleinanzeigen.de/s-bestandsliste.html?userId=16868285", "Link")</f>
        <v/>
      </c>
      <c r="K1786" s="7" t="n">
        <v>45549.57644675926</v>
      </c>
      <c r="L1786" s="3" t="inlineStr">
        <is>
          <t>6.23</t>
        </is>
      </c>
      <c r="M1786" t="inlineStr">
        <is>
          <t>München</t>
        </is>
      </c>
    </row>
    <row r="1787">
      <c r="A1787" t="inlineStr">
        <is>
          <t>Kunstkreis Lucerne* Goya Courbet* 6 Kunstdrucke NP99</t>
        </is>
      </c>
      <c r="B1787" s="4" t="n">
        <v>5</v>
      </c>
      <c r="C1787" t="inlineStr">
        <is>
          <t>VB</t>
        </is>
      </c>
      <c r="D1787" t="inlineStr">
        <is>
          <t>33615 Bielefeld - Bielefeld (Innenstadt)</t>
        </is>
      </c>
      <c r="E1787" s="5" t="n">
        <v>45130</v>
      </c>
      <c r="F1787" t="inlineStr"/>
      <c r="G1787" s="6">
        <f>HYPERLINK("https://www.kleinanzeigen.de/s-anzeige/kunstkreis-lucerne-goya-courbet-6-kunstdrucke-np99/2500663160-240-1058", "Link")</f>
        <v/>
      </c>
      <c r="H1787" s="6">
        <f>HYPERLINK("C:\Projects\Kleinanzeigen-Scraper\offer_images\2500663160", "Link")</f>
        <v/>
      </c>
      <c r="I1787" t="inlineStr">
        <is>
          <t>A.B.</t>
        </is>
      </c>
      <c r="J1787" s="6">
        <f>HYPERLINK("https://www.kleinanzeigen.de/s-bestandsliste.html?userId=12016929", "Link")</f>
        <v/>
      </c>
      <c r="K1787" s="7" t="n">
        <v>45549.57642361111</v>
      </c>
      <c r="L1787" s="3" t="inlineStr">
        <is>
          <t>162.21</t>
        </is>
      </c>
      <c r="M1787" t="inlineStr">
        <is>
          <t>Köln</t>
        </is>
      </c>
    </row>
    <row r="1788">
      <c r="A1788" t="inlineStr">
        <is>
          <t>Neilpryde-Long John,  Gr.  54, ungetragen, Surfen, SUP</t>
        </is>
      </c>
      <c r="B1788" s="4" t="n">
        <v>65</v>
      </c>
      <c r="C1788" t="inlineStr">
        <is>
          <t>VB</t>
        </is>
      </c>
      <c r="D1788" t="inlineStr">
        <is>
          <t>33615 Bielefeld - Bielefeld (Innenstadt)</t>
        </is>
      </c>
      <c r="E1788" s="5" t="n">
        <v>45548</v>
      </c>
      <c r="F1788" t="inlineStr"/>
      <c r="G1788" s="6">
        <f>HYPERLINK("https://www.kleinanzeigen.de/s-anzeige/neilpryde-long-john-gr-54-ungetragen-surfen-sup/2862282341-230-1058", "Link")</f>
        <v/>
      </c>
      <c r="H1788" s="6">
        <f>HYPERLINK("C:\Projects\Kleinanzeigen-Scraper\offer_images\2862282341", "Link")</f>
        <v/>
      </c>
      <c r="I1788" t="inlineStr">
        <is>
          <t>Carola Giller</t>
        </is>
      </c>
      <c r="J1788" s="6">
        <f>HYPERLINK("https://www.kleinanzeigen.de/s-bestandsliste.html?userId=7988525", "Link")</f>
        <v/>
      </c>
      <c r="K1788" s="7" t="n">
        <v>45549.57642361111</v>
      </c>
      <c r="L1788" s="3" t="inlineStr">
        <is>
          <t>162.21</t>
        </is>
      </c>
      <c r="M1788" t="inlineStr">
        <is>
          <t>Köln</t>
        </is>
      </c>
    </row>
    <row r="1789">
      <c r="A1789" t="inlineStr">
        <is>
          <t>Duotone Dice 7m Modell 2022/23 Neu</t>
        </is>
      </c>
      <c r="B1789" s="4" t="n">
        <v>590</v>
      </c>
      <c r="C1789" t="inlineStr">
        <is>
          <t>VB</t>
        </is>
      </c>
      <c r="D1789" t="inlineStr">
        <is>
          <t>83629 Bayern - Weyarn</t>
        </is>
      </c>
      <c r="E1789" s="5" t="n">
        <v>45541</v>
      </c>
      <c r="F1789" t="inlineStr">
        <is>
          <t>Sold</t>
        </is>
      </c>
      <c r="G1789" s="6">
        <f>HYPERLINK("https://www.kleinanzeigen.de/s-anzeige/duotone-dice-7m-modell-2022-23-neu/2855812014-230-5899", "Link")</f>
        <v/>
      </c>
      <c r="H1789" s="6">
        <f>HYPERLINK("C:\Projects\Kleinanzeigen-Scraper\offer_images\2855812014", "Link")</f>
        <v/>
      </c>
      <c r="I1789" t="inlineStr">
        <is>
          <t>Christian Duffield</t>
        </is>
      </c>
      <c r="J1789" s="6">
        <f>HYPERLINK("https://www.kleinanzeigen.de/s-bestandsliste.html?userId=89636753", "Link")</f>
        <v/>
      </c>
      <c r="K1789" s="7" t="n">
        <v>45549.57640046296</v>
      </c>
      <c r="L1789" s="3" t="inlineStr">
        <is>
          <t>36.36</t>
        </is>
      </c>
      <c r="M1789" t="inlineStr">
        <is>
          <t>München</t>
        </is>
      </c>
    </row>
    <row r="1790">
      <c r="A1790" t="inlineStr">
        <is>
          <t>Kite Duotone Neo SLS 12qm aus 2021</t>
        </is>
      </c>
      <c r="B1790" s="4" t="n">
        <v>750</v>
      </c>
      <c r="C1790" t="inlineStr"/>
      <c r="D1790" t="inlineStr">
        <is>
          <t>47259 Duisburg - Duisburg-Süd</t>
        </is>
      </c>
      <c r="E1790" s="5" t="n">
        <v>45539</v>
      </c>
      <c r="F1790" t="inlineStr">
        <is>
          <t>Sold</t>
        </is>
      </c>
      <c r="G1790" s="6">
        <f>HYPERLINK("https://www.kleinanzeigen.de/s-anzeige/kite-duotone-neo-sls-12qm-aus-2021/2813374211-230-2139", "Link")</f>
        <v/>
      </c>
      <c r="H1790" s="6">
        <f>HYPERLINK("C:\Projects\Kleinanzeigen-Scraper\offer_images\2813374211", "Link")</f>
        <v/>
      </c>
      <c r="I1790" t="inlineStr">
        <is>
          <t>Harald</t>
        </is>
      </c>
      <c r="J1790" s="6">
        <f>HYPERLINK("https://www.kleinanzeigen.de/s-bestandsliste.html?userId=27824410", "Link")</f>
        <v/>
      </c>
      <c r="K1790" s="7" t="n">
        <v>45549.57640046296</v>
      </c>
      <c r="L1790" s="3" t="inlineStr">
        <is>
          <t>49.13</t>
        </is>
      </c>
      <c r="M1790" t="inlineStr">
        <is>
          <t>Köln</t>
        </is>
      </c>
    </row>
    <row r="1791">
      <c r="A1791" t="inlineStr">
        <is>
          <t>Neuer Goya Keilrahmen</t>
        </is>
      </c>
      <c r="B1791" s="4" t="n">
        <v>5</v>
      </c>
      <c r="C1791" t="inlineStr"/>
      <c r="D1791" t="inlineStr">
        <is>
          <t>65189 Hessen - Wiesbaden</t>
        </is>
      </c>
      <c r="E1791" s="5" t="n">
        <v>45543</v>
      </c>
      <c r="F1791" t="inlineStr"/>
      <c r="G1791" s="6">
        <f>HYPERLINK("https://www.kleinanzeigen.de/s-anzeige/neuer-goya-keilrahmen/2858063350-282-4904", "Link")</f>
        <v/>
      </c>
      <c r="H1791" s="6">
        <f>HYPERLINK("C:\Projects\Kleinanzeigen-Scraper\offer_images\2858063350", "Link")</f>
        <v/>
      </c>
      <c r="I1791" t="inlineStr">
        <is>
          <t>F. Müller</t>
        </is>
      </c>
      <c r="J1791" s="6">
        <f>HYPERLINK("https://www.kleinanzeigen.de/s-bestandsliste.html?userId=28561322", "Link")</f>
        <v/>
      </c>
      <c r="K1791" s="7" t="n">
        <v>45549.57640046296</v>
      </c>
      <c r="L1791" s="3" t="inlineStr">
        <is>
          <t>118.94</t>
        </is>
      </c>
      <c r="M1791" t="inlineStr">
        <is>
          <t>Karlsruhe</t>
        </is>
      </c>
    </row>
    <row r="1792">
      <c r="A1792" t="inlineStr">
        <is>
          <t>Duotone Evo 8qm 2023</t>
        </is>
      </c>
      <c r="B1792" s="4" t="n">
        <v>750</v>
      </c>
      <c r="C1792" t="inlineStr">
        <is>
          <t>VB</t>
        </is>
      </c>
      <c r="D1792" t="inlineStr">
        <is>
          <t>21423 Niedersachsen - Winsen (Luhe)</t>
        </is>
      </c>
      <c r="E1792" s="5" t="n">
        <v>45548</v>
      </c>
      <c r="F1792" t="inlineStr">
        <is>
          <t>Sold</t>
        </is>
      </c>
      <c r="G1792" s="6">
        <f>HYPERLINK("https://www.kleinanzeigen.de/s-anzeige/duotone-evo-8qm-2023/2763011972-230-3223", "Link")</f>
        <v/>
      </c>
      <c r="H1792" s="6">
        <f>HYPERLINK("C:\Projects\Kleinanzeigen-Scraper\offer_images\2763011972", "Link")</f>
        <v/>
      </c>
      <c r="I1792" t="inlineStr">
        <is>
          <t>No user name</t>
        </is>
      </c>
      <c r="J1792" s="6">
        <f>HYPERLINK("https://www.kleinanzeigen.deNo user link", "Link")</f>
        <v/>
      </c>
      <c r="K1792" s="7" t="n">
        <v>45549.57640046296</v>
      </c>
      <c r="L1792" s="3" t="inlineStr">
        <is>
          <t>349.14</t>
        </is>
      </c>
      <c r="M1792" t="inlineStr">
        <is>
          <t>Köln</t>
        </is>
      </c>
    </row>
    <row r="1793">
      <c r="A1793" t="inlineStr">
        <is>
          <t>Neilpryde Neoprenanzug Surfanzug Größe  98 Halbarm</t>
        </is>
      </c>
      <c r="B1793" s="4" t="n">
        <v>50</v>
      </c>
      <c r="C1793" t="inlineStr">
        <is>
          <t>VB</t>
        </is>
      </c>
      <c r="D1793" t="inlineStr">
        <is>
          <t>85604 Bayern - Zorneding</t>
        </is>
      </c>
      <c r="E1793" s="5" t="n">
        <v>45446</v>
      </c>
      <c r="F1793" t="inlineStr">
        <is>
          <t>Sold</t>
        </is>
      </c>
      <c r="G1793" s="6">
        <f>HYPERLINK("https://www.kleinanzeigen.de/s-anzeige/neilpryde-neoprenanzug-surfanzug-groesse-98-halbarm/2779078341-230-5576", "Link")</f>
        <v/>
      </c>
      <c r="H1793" s="6">
        <f>HYPERLINK("C:\Projects\Kleinanzeigen-Scraper\offer_images\2779078341", "Link")</f>
        <v/>
      </c>
      <c r="I1793" t="inlineStr">
        <is>
          <t>Claudia</t>
        </is>
      </c>
      <c r="J1793" s="6">
        <f>HYPERLINK("https://www.kleinanzeigen.de/s-bestandsliste.html?userId=56896441", "Link")</f>
        <v/>
      </c>
      <c r="K1793" s="7" t="n">
        <v>45549.57640046296</v>
      </c>
      <c r="L1793" s="3" t="inlineStr">
        <is>
          <t>19.48</t>
        </is>
      </c>
      <c r="M1793" t="inlineStr">
        <is>
          <t>München</t>
        </is>
      </c>
    </row>
    <row r="1794">
      <c r="A1794" t="inlineStr">
        <is>
          <t>Trockenanzug Starboard SUP Orbita</t>
        </is>
      </c>
      <c r="B1794" s="4" t="n">
        <v>250</v>
      </c>
      <c r="C1794" t="inlineStr">
        <is>
          <t>VB</t>
        </is>
      </c>
      <c r="D1794" t="inlineStr">
        <is>
          <t>85051 Bayern - Ingolstadt</t>
        </is>
      </c>
      <c r="E1794" s="5" t="n">
        <v>45512</v>
      </c>
      <c r="F1794" t="inlineStr"/>
      <c r="G1794" s="6">
        <f>HYPERLINK("https://www.kleinanzeigen.de/s-anzeige/trockenanzug-starboard-sup-orbita/2831863976-230-7615", "Link")</f>
        <v/>
      </c>
      <c r="H1794" s="6">
        <f>HYPERLINK("C:\Projects\Kleinanzeigen-Scraper\offer_images\2831863976", "Link")</f>
        <v/>
      </c>
      <c r="I1794" t="inlineStr">
        <is>
          <t>AF</t>
        </is>
      </c>
      <c r="J1794" s="6">
        <f>HYPERLINK("https://www.kleinanzeigen.de/s-bestandsliste.html?userId=120024474", "Link")</f>
        <v/>
      </c>
      <c r="K1794" s="7" t="n">
        <v>45549.57637731481</v>
      </c>
      <c r="L1794" s="3" t="inlineStr">
        <is>
          <t>67.00</t>
        </is>
      </c>
      <c r="M1794" t="inlineStr">
        <is>
          <t>München</t>
        </is>
      </c>
    </row>
    <row r="1795">
      <c r="A1795" t="inlineStr">
        <is>
          <t>Nitro Damen Snowboardboots Vandal - 40</t>
        </is>
      </c>
      <c r="B1795" s="4" t="n">
        <v>53</v>
      </c>
      <c r="C1795" t="inlineStr">
        <is>
          <t>VB</t>
        </is>
      </c>
      <c r="D1795" t="inlineStr">
        <is>
          <t>26131 Niedersachsen - Oldenburg</t>
        </is>
      </c>
      <c r="E1795" s="5" t="n">
        <v>45335</v>
      </c>
      <c r="F1795" t="inlineStr"/>
      <c r="G1795" s="6">
        <f>HYPERLINK("https://www.kleinanzeigen.de/s-anzeige/nitro-damen-snowboardboots-vandal-40/2679082326-230-3109", "Link")</f>
        <v/>
      </c>
      <c r="H1795" s="6">
        <f>HYPERLINK("C:\Projects\Kleinanzeigen-Scraper\offer_images\2679082326", "Link")</f>
        <v/>
      </c>
      <c r="I1795" t="inlineStr">
        <is>
          <t>Kerstin &amp; Steffen</t>
        </is>
      </c>
      <c r="J1795" s="6">
        <f>HYPERLINK("https://www.kleinanzeigen.de/s-bestandsliste.html?userId=7796296", "Link")</f>
        <v/>
      </c>
      <c r="K1795" s="7" t="n">
        <v>45549.57637731481</v>
      </c>
      <c r="L1795" s="3" t="inlineStr">
        <is>
          <t>257.10</t>
        </is>
      </c>
      <c r="M1795" t="inlineStr">
        <is>
          <t>Köln</t>
        </is>
      </c>
    </row>
    <row r="1796">
      <c r="A1796" t="inlineStr">
        <is>
          <t>Naish one stand up paddleboard 12,6</t>
        </is>
      </c>
      <c r="B1796" s="4" t="n">
        <v>340</v>
      </c>
      <c r="C1796" t="inlineStr">
        <is>
          <t>VB</t>
        </is>
      </c>
      <c r="D1796" t="inlineStr">
        <is>
          <t>22087 Hamburg-Nord - Hamburg Hohenfelde</t>
        </is>
      </c>
      <c r="E1796" s="5" t="n">
        <v>45522</v>
      </c>
      <c r="F1796" t="inlineStr"/>
      <c r="G1796" s="6">
        <f>HYPERLINK("https://www.kleinanzeigen.de/s-anzeige/naish-one-stand-up-paddleboard-12-6/2839862009-230-9421", "Link")</f>
        <v/>
      </c>
      <c r="H1796" s="6">
        <f>HYPERLINK("C:\Projects\Kleinanzeigen-Scraper\offer_images\2839862009", "Link")</f>
        <v/>
      </c>
      <c r="I1796" t="inlineStr">
        <is>
          <t>Niels O. Nielsen</t>
        </is>
      </c>
      <c r="J1796" s="6">
        <f>HYPERLINK("https://www.kleinanzeigen.de/s-bestandsliste.html?userId=13340920", "Link")</f>
        <v/>
      </c>
      <c r="K1796" s="7" t="n">
        <v>45549.57637731481</v>
      </c>
      <c r="L1796" s="3" t="inlineStr">
        <is>
          <t>358.93</t>
        </is>
      </c>
      <c r="M1796" t="inlineStr">
        <is>
          <t>Köln</t>
        </is>
      </c>
    </row>
    <row r="1797">
      <c r="A1797" t="inlineStr">
        <is>
          <t>SIMMS Musky / Hecht Langarm UPF 50 Hoody NEU Gr. XL</t>
        </is>
      </c>
      <c r="B1797" s="4" t="n">
        <v>49</v>
      </c>
      <c r="C1797" t="inlineStr"/>
      <c r="D1797" t="inlineStr">
        <is>
          <t>78315 Baden-Württemberg - Radolfzell am Bodensee</t>
        </is>
      </c>
      <c r="E1797" s="5" t="n">
        <v>45541</v>
      </c>
      <c r="F1797" t="inlineStr"/>
      <c r="G1797" s="6">
        <f>HYPERLINK("https://www.kleinanzeigen.de/s-anzeige/simms-musky-hecht-langarm-upf-50-hoody-neu-gr-xl/2855547195-230-8190", "Link")</f>
        <v/>
      </c>
      <c r="H1797" s="6">
        <f>HYPERLINK("C:\Projects\Kleinanzeigen-Scraper\offer_images\2855547195", "Link")</f>
        <v/>
      </c>
      <c r="I1797" t="inlineStr">
        <is>
          <t>Andi</t>
        </is>
      </c>
      <c r="J1797" s="6">
        <f>HYPERLINK("https://www.kleinanzeigen.de/s-bestandsliste.html?userId=4158119", "Link")</f>
        <v/>
      </c>
      <c r="K1797" s="7" t="n">
        <v>45549.57637731481</v>
      </c>
      <c r="L1797" s="3" t="inlineStr">
        <is>
          <t>48.46</t>
        </is>
      </c>
      <c r="M1797" t="inlineStr">
        <is>
          <t>Bonndorf</t>
        </is>
      </c>
    </row>
    <row r="1798">
      <c r="A1798" t="inlineStr">
        <is>
          <t>Board Bag Gun Sails 250x80</t>
        </is>
      </c>
      <c r="B1798" s="4" t="n">
        <v>60</v>
      </c>
      <c r="C1798" t="inlineStr"/>
      <c r="D1798" t="inlineStr">
        <is>
          <t>23795 Schleswig-Holstein - Bad Segeberg</t>
        </is>
      </c>
      <c r="E1798" s="5" t="n">
        <v>45548</v>
      </c>
      <c r="F1798" t="inlineStr">
        <is>
          <t>Sold</t>
        </is>
      </c>
      <c r="G1798" s="6">
        <f>HYPERLINK("https://www.kleinanzeigen.de/s-anzeige/board-bag-gun-sails-250x80/2862362727-230-13372", "Link")</f>
        <v/>
      </c>
      <c r="H1798" s="6">
        <f>HYPERLINK("C:\Projects\Kleinanzeigen-Scraper\offer_images\2862362727", "Link")</f>
        <v/>
      </c>
      <c r="I1798" t="inlineStr">
        <is>
          <t>H.P.</t>
        </is>
      </c>
      <c r="J1798" s="6">
        <f>HYPERLINK("https://www.kleinanzeigen.de/s-bestandsliste.html?userId=3587719", "Link")</f>
        <v/>
      </c>
      <c r="K1798" s="7" t="n">
        <v>45549.57636574074</v>
      </c>
      <c r="L1798" s="3" t="inlineStr">
        <is>
          <t>402.01</t>
        </is>
      </c>
      <c r="M1798" t="inlineStr">
        <is>
          <t>Köln</t>
        </is>
      </c>
    </row>
    <row r="1799">
      <c r="A1799" t="inlineStr">
        <is>
          <t>Kinder-Wakeboard-Weste NEILPRYDE VIXEN</t>
        </is>
      </c>
      <c r="B1799" s="4" t="n">
        <v>65</v>
      </c>
      <c r="C1799" t="inlineStr"/>
      <c r="D1799" t="inlineStr">
        <is>
          <t>13088 Pankow - Weissensee</t>
        </is>
      </c>
      <c r="E1799" s="5" t="n">
        <v>45523</v>
      </c>
      <c r="F1799" t="inlineStr">
        <is>
          <t>Sold</t>
        </is>
      </c>
      <c r="G1799" s="6">
        <f>HYPERLINK("https://www.kleinanzeigen.de/s-anzeige/kinder-wakeboard-weste-neilpryde-vixen/2841302686-230-3477", "Link")</f>
        <v/>
      </c>
      <c r="H1799" s="6">
        <f>HYPERLINK("C:\Projects\Kleinanzeigen-Scraper\offer_images\2841302686", "Link")</f>
        <v/>
      </c>
      <c r="I1799" t="inlineStr">
        <is>
          <t>Ka</t>
        </is>
      </c>
      <c r="J1799" s="6">
        <f>HYPERLINK("https://www.kleinanzeigen.de/s-bestandsliste.html?userId=12896036", "Link")</f>
        <v/>
      </c>
      <c r="K1799" s="7" t="n">
        <v>45549.57635416667</v>
      </c>
      <c r="L1799" s="3" t="inlineStr">
        <is>
          <t>483.60</t>
        </is>
      </c>
      <c r="M1799" t="inlineStr">
        <is>
          <t>Köln</t>
        </is>
      </c>
    </row>
    <row r="1800">
      <c r="A1800" t="inlineStr">
        <is>
          <t>Duotone Neo 6qm Kite aus 2019</t>
        </is>
      </c>
      <c r="B1800" s="4" t="n">
        <v>436</v>
      </c>
      <c r="C1800" t="inlineStr"/>
      <c r="D1800" t="inlineStr">
        <is>
          <t>15749 Brandenburg - Mittenwalde</t>
        </is>
      </c>
      <c r="E1800" s="5" t="n">
        <v>45540</v>
      </c>
      <c r="F1800" t="inlineStr">
        <is>
          <t>Sold</t>
        </is>
      </c>
      <c r="G1800" s="6">
        <f>HYPERLINK("https://www.kleinanzeigen.de/s-anzeige/duotone-neo-6qm-kite-aus-2019/2854892378-230-7905", "Link")</f>
        <v/>
      </c>
      <c r="H1800" s="6">
        <f>HYPERLINK("C:\Projects\Kleinanzeigen-Scraper\offer_images\2854892378", "Link")</f>
        <v/>
      </c>
      <c r="I1800" t="inlineStr">
        <is>
          <t>Janine Härtel</t>
        </is>
      </c>
      <c r="J1800" s="6">
        <f>HYPERLINK("https://www.kleinanzeigen.de/s-bestandsliste.html?userId=11977175", "Link")</f>
        <v/>
      </c>
      <c r="K1800" s="7" t="n">
        <v>45549.57635416667</v>
      </c>
      <c r="L1800" s="3" t="inlineStr">
        <is>
          <t>477.62</t>
        </is>
      </c>
      <c r="M1800" t="inlineStr">
        <is>
          <t>Köln</t>
        </is>
      </c>
    </row>
    <row r="1801">
      <c r="A1801" t="inlineStr">
        <is>
          <t>Kite Naish Torch in 9m und 12m (2018)</t>
        </is>
      </c>
      <c r="B1801" s="4" t="n">
        <v>599</v>
      </c>
      <c r="C1801" t="inlineStr"/>
      <c r="D1801" t="inlineStr">
        <is>
          <t>26129 Niedersachsen - Oldenburg</t>
        </is>
      </c>
      <c r="E1801" s="5" t="n">
        <v>45546</v>
      </c>
      <c r="F1801" t="inlineStr">
        <is>
          <t>Sold</t>
        </is>
      </c>
      <c r="G1801" s="6">
        <f>HYPERLINK("https://www.kleinanzeigen.de/s-anzeige/kite-naish-torch-in-9m-und-12m-2018-/2860088969-230-3113", "Link")</f>
        <v/>
      </c>
      <c r="H1801" s="6">
        <f>HYPERLINK("C:\Projects\Kleinanzeigen-Scraper\offer_images\2860088969", "Link")</f>
        <v/>
      </c>
      <c r="I1801" t="inlineStr">
        <is>
          <t>Siljan Schröder</t>
        </is>
      </c>
      <c r="J1801" s="6">
        <f>HYPERLINK("https://www.kleinanzeigen.de/s-bestandsliste.html?userId=49277330", "Link")</f>
        <v/>
      </c>
      <c r="K1801" s="7" t="n">
        <v>45549.57635416667</v>
      </c>
      <c r="L1801" s="3" t="inlineStr">
        <is>
          <t>259.47</t>
        </is>
      </c>
      <c r="M1801" t="inlineStr">
        <is>
          <t>Köln</t>
        </is>
      </c>
    </row>
    <row r="1802">
      <c r="A1802" t="inlineStr">
        <is>
          <t>Neilpryde NPX Neopren Anzug 3/2 in Größe M</t>
        </is>
      </c>
      <c r="B1802" s="4" t="n">
        <v>40</v>
      </c>
      <c r="C1802" t="inlineStr">
        <is>
          <t>VB</t>
        </is>
      </c>
      <c r="D1802" t="inlineStr">
        <is>
          <t>71332 Baden-Württemberg - Waiblingen</t>
        </is>
      </c>
      <c r="E1802" s="5" t="n">
        <v>45524</v>
      </c>
      <c r="F1802" t="inlineStr">
        <is>
          <t>Sold</t>
        </is>
      </c>
      <c r="G1802" s="6">
        <f>HYPERLINK("https://www.kleinanzeigen.de/s-anzeige/neilpryde-npx-neopren-anzug-3-2-in-groesse-m/2842184422-230-9044", "Link")</f>
        <v/>
      </c>
      <c r="H1802" s="6">
        <f>HYPERLINK("C:\Projects\Kleinanzeigen-Scraper\offer_images\2842184422", "Link")</f>
        <v/>
      </c>
      <c r="I1802" t="inlineStr">
        <is>
          <t>Jan Klaus</t>
        </is>
      </c>
      <c r="J1802" s="6">
        <f>HYPERLINK("https://www.kleinanzeigen.de/s-bestandsliste.html?userId=31211585", "Link")</f>
        <v/>
      </c>
      <c r="K1802" s="7" t="n">
        <v>45549.57635416667</v>
      </c>
      <c r="L1802" s="3" t="inlineStr">
        <is>
          <t>29.10</t>
        </is>
      </c>
      <c r="M1802" t="inlineStr">
        <is>
          <t>Böblingen</t>
        </is>
      </c>
    </row>
    <row r="1803">
      <c r="A1803" t="inlineStr">
        <is>
          <t>Duotone Kite Neo SLS 2024 – 10 - TOP</t>
        </is>
      </c>
      <c r="B1803" s="4" t="n">
        <v>999</v>
      </c>
      <c r="C1803" t="inlineStr"/>
      <c r="D1803" t="inlineStr">
        <is>
          <t>86899 Bayern - Landsberg (Lech)</t>
        </is>
      </c>
      <c r="E1803" s="5" t="n">
        <v>45539</v>
      </c>
      <c r="F1803" t="inlineStr">
        <is>
          <t>Sold</t>
        </is>
      </c>
      <c r="G1803" s="6">
        <f>HYPERLINK("https://www.kleinanzeigen.de/s-anzeige/duotone-kite-neo-sls-2024-10-top/2854389497-230-7091", "Link")</f>
        <v/>
      </c>
      <c r="H1803" s="6">
        <f>HYPERLINK("C:\Projects\Kleinanzeigen-Scraper\offer_images\2854389497", "Link")</f>
        <v/>
      </c>
      <c r="I1803" t="inlineStr">
        <is>
          <t>Chris</t>
        </is>
      </c>
      <c r="J1803" s="6">
        <f>HYPERLINK("https://www.kleinanzeigen.de/s-bestandsliste.html?userId=16182812", "Link")</f>
        <v/>
      </c>
      <c r="K1803" s="7" t="n">
        <v>45549.57634259259</v>
      </c>
      <c r="L1803" s="3" t="inlineStr">
        <is>
          <t>55.05</t>
        </is>
      </c>
      <c r="M1803" t="inlineStr">
        <is>
          <t>München</t>
        </is>
      </c>
    </row>
    <row r="1804">
      <c r="A1804" t="inlineStr">
        <is>
          <t>North Rebel 10qm (jetzt Duotone) Kite</t>
        </is>
      </c>
      <c r="B1804" s="4" t="n">
        <v>268</v>
      </c>
      <c r="C1804" t="inlineStr">
        <is>
          <t>VB</t>
        </is>
      </c>
      <c r="D1804" t="inlineStr">
        <is>
          <t>41189 Nordrhein-Westfalen - Mönchengladbach</t>
        </is>
      </c>
      <c r="E1804" s="5" t="n">
        <v>45544</v>
      </c>
      <c r="F1804" t="inlineStr">
        <is>
          <t>Sold</t>
        </is>
      </c>
      <c r="G1804" s="6">
        <f>HYPERLINK("https://www.kleinanzeigen.de/s-anzeige/north-rebel-10qm-jetzt-duotone-kite/2858297368-230-1959", "Link")</f>
        <v/>
      </c>
      <c r="H1804" s="6">
        <f>HYPERLINK("C:\Projects\Kleinanzeigen-Scraper\offer_images\2858297368", "Link")</f>
        <v/>
      </c>
      <c r="I1804" t="inlineStr">
        <is>
          <t>Brockmann</t>
        </is>
      </c>
      <c r="J1804" s="6">
        <f>HYPERLINK("https://www.kleinanzeigen.de/s-bestandsliste.html?userId=13740340", "Link")</f>
        <v/>
      </c>
      <c r="K1804" s="7" t="n">
        <v>45549.57634259259</v>
      </c>
      <c r="L1804" s="3" t="inlineStr">
        <is>
          <t>43.31</t>
        </is>
      </c>
      <c r="M1804" t="inlineStr">
        <is>
          <t>Köln</t>
        </is>
      </c>
    </row>
    <row r="1805">
      <c r="A1805" t="inlineStr">
        <is>
          <t>Trampolin North Legend</t>
        </is>
      </c>
      <c r="B1805" s="4" t="n">
        <v>750</v>
      </c>
      <c r="C1805" t="inlineStr">
        <is>
          <t>VB</t>
        </is>
      </c>
      <c r="D1805" t="inlineStr">
        <is>
          <t>86971 Bayern - Peiting</t>
        </is>
      </c>
      <c r="E1805" s="5" t="n">
        <v>45538</v>
      </c>
      <c r="F1805" t="inlineStr">
        <is>
          <t>Sold</t>
        </is>
      </c>
      <c r="G1805" s="6">
        <f>HYPERLINK("https://www.kleinanzeigen.de/s-anzeige/trampolin-north-legend/2853644271-187-5561", "Link")</f>
        <v/>
      </c>
      <c r="H1805" s="6">
        <f>HYPERLINK("C:\Projects\Kleinanzeigen-Scraper\offer_images\2853644271", "Link")</f>
        <v/>
      </c>
      <c r="I1805" t="inlineStr">
        <is>
          <t>Hanna Kirchner</t>
        </is>
      </c>
      <c r="J1805" s="6">
        <f>HYPERLINK("https://www.kleinanzeigen.de/s-bestandsliste.html?userId=128812260", "Link")</f>
        <v/>
      </c>
      <c r="K1805" s="7" t="n">
        <v>45549.57633101852</v>
      </c>
      <c r="L1805" s="3" t="inlineStr">
        <is>
          <t>61.76</t>
        </is>
      </c>
      <c r="M1805" t="inlineStr">
        <is>
          <t>München</t>
        </is>
      </c>
    </row>
    <row r="1806">
      <c r="A1806" t="inlineStr">
        <is>
          <t>Northern Hunting Fleece Jagdpullover Borr XXL</t>
        </is>
      </c>
      <c r="B1806" s="4" t="n">
        <v>30</v>
      </c>
      <c r="C1806" t="inlineStr"/>
      <c r="D1806" t="inlineStr">
        <is>
          <t>36115 Hessen - Hilders</t>
        </is>
      </c>
      <c r="E1806" s="5" t="n">
        <v>45548</v>
      </c>
      <c r="F1806" t="inlineStr">
        <is>
          <t>Sold</t>
        </is>
      </c>
      <c r="G1806" s="6">
        <f>HYPERLINK("https://www.kleinanzeigen.de/s-anzeige/northern-hunting-fleece-jagdpullover-borr-xxl/2862110203-187-4617", "Link")</f>
        <v/>
      </c>
      <c r="H1806" s="6">
        <f>HYPERLINK("C:\Projects\Kleinanzeigen-Scraper\offer_images\2862110203", "Link")</f>
        <v/>
      </c>
      <c r="I1806" t="inlineStr">
        <is>
          <t>Konrad</t>
        </is>
      </c>
      <c r="J1806" s="6">
        <f>HYPERLINK("https://www.kleinanzeigen.de/s-bestandsliste.html?userId=91989758", "Link")</f>
        <v/>
      </c>
      <c r="K1806" s="7" t="n">
        <v>45549.57633101852</v>
      </c>
      <c r="L1806" s="3" t="inlineStr">
        <is>
          <t>204.38</t>
        </is>
      </c>
      <c r="M1806" t="inlineStr">
        <is>
          <t>Karlsruhe</t>
        </is>
      </c>
    </row>
    <row r="1807">
      <c r="A1807" t="inlineStr">
        <is>
          <t>66 North XXL Jacke Fussball Trikot Iceland NEU Isländer Soccer</t>
        </is>
      </c>
      <c r="B1807" s="4" t="n">
        <v>79</v>
      </c>
      <c r="C1807" t="inlineStr"/>
      <c r="D1807" t="inlineStr">
        <is>
          <t>41539 Nordrhein-Westfalen - Dormagen</t>
        </is>
      </c>
      <c r="E1807" s="5" t="n">
        <v>45543</v>
      </c>
      <c r="F1807" t="inlineStr">
        <is>
          <t>Sold</t>
        </is>
      </c>
      <c r="G1807" s="6">
        <f>HYPERLINK("https://www.kleinanzeigen.de/s-anzeige/66-north-xxl-jacke-fussball-trikot-iceland-neu-islaender-soccer/2857359177-230-1879", "Link")</f>
        <v/>
      </c>
      <c r="H1807" s="6">
        <f>HYPERLINK("C:\Projects\Kleinanzeigen-Scraper\offer_images\2857359177", "Link")</f>
        <v/>
      </c>
      <c r="I1807" t="inlineStr">
        <is>
          <t>Nanoq</t>
        </is>
      </c>
      <c r="J1807" s="6">
        <f>HYPERLINK("https://www.kleinanzeigen.de/s-bestandsliste.html?userId=61019988", "Link")</f>
        <v/>
      </c>
      <c r="K1807" s="7" t="n">
        <v>45549.57633101852</v>
      </c>
      <c r="L1807" s="3" t="inlineStr">
        <is>
          <t>19.45</t>
        </is>
      </c>
      <c r="M1807" t="inlineStr">
        <is>
          <t>Köln</t>
        </is>
      </c>
    </row>
    <row r="1808">
      <c r="A1808" t="inlineStr">
        <is>
          <t>Outwell 470044 Goya Campingstuhl mit einer Tragkraft von 100 Kg</t>
        </is>
      </c>
      <c r="B1808" s="4" t="n">
        <v>45</v>
      </c>
      <c r="C1808" t="inlineStr">
        <is>
          <t>VB</t>
        </is>
      </c>
      <c r="D1808" t="inlineStr">
        <is>
          <t>87439 Bayern - Kempten</t>
        </is>
      </c>
      <c r="E1808" s="5" t="n">
        <v>45345</v>
      </c>
      <c r="F1808" t="inlineStr"/>
      <c r="G1808" s="6">
        <f>HYPERLINK("https://www.kleinanzeigen.de/s-anzeige/outwell-470044-goya-campingstuhl-mit-einer-tragkraft-von-100-kg/2687695279-230-7618", "Link")</f>
        <v/>
      </c>
      <c r="H1808" s="6">
        <f>HYPERLINK("C:\Projects\Kleinanzeigen-Scraper\offer_images\2687695279", "Link")</f>
        <v/>
      </c>
      <c r="I1808" t="inlineStr">
        <is>
          <t>Bernhard</t>
        </is>
      </c>
      <c r="J1808" s="6">
        <f>HYPERLINK("https://www.kleinanzeigen.de/s-bestandsliste.html?userId=3310463", "Link")</f>
        <v/>
      </c>
      <c r="K1808" s="7" t="n">
        <v>45549.57633101852</v>
      </c>
      <c r="L1808" s="3" t="inlineStr">
        <is>
          <t>105.97</t>
        </is>
      </c>
      <c r="M1808" t="inlineStr">
        <is>
          <t>München</t>
        </is>
      </c>
    </row>
    <row r="1809">
      <c r="A1809" t="inlineStr">
        <is>
          <t>Schwimmweste Neilpryde XL-2XL</t>
        </is>
      </c>
      <c r="B1809" s="4" t="n">
        <v>50</v>
      </c>
      <c r="C1809" t="inlineStr">
        <is>
          <t>VB</t>
        </is>
      </c>
      <c r="D1809" t="inlineStr">
        <is>
          <t>40223 Düsseldorf - Bilk</t>
        </is>
      </c>
      <c r="E1809" s="5" t="n">
        <v>45500</v>
      </c>
      <c r="F1809" t="inlineStr">
        <is>
          <t>Sold</t>
        </is>
      </c>
      <c r="G1809" s="6">
        <f>HYPERLINK("https://www.kleinanzeigen.de/s-anzeige/schwimmweste-neilpryde-xl-2xl/2822033321-230-2095", "Link")</f>
        <v/>
      </c>
      <c r="H1809" s="6">
        <f>HYPERLINK("C:\Projects\Kleinanzeigen-Scraper\offer_images\2822033321", "Link")</f>
        <v/>
      </c>
      <c r="I1809" t="inlineStr">
        <is>
          <t>Felix Forkel</t>
        </is>
      </c>
      <c r="J1809" s="6">
        <f>HYPERLINK("https://www.kleinanzeigen.de/s-bestandsliste.html?userId=17552800", "Link")</f>
        <v/>
      </c>
      <c r="K1809" s="7" t="n">
        <v>45549.57631944444</v>
      </c>
      <c r="L1809" s="3" t="inlineStr">
        <is>
          <t>31.69</t>
        </is>
      </c>
      <c r="M1809" t="inlineStr">
        <is>
          <t>Köln</t>
        </is>
      </c>
    </row>
    <row r="1810">
      <c r="A1810" t="inlineStr">
        <is>
          <t>⭐SIMMS Beanie Lightweight Wool Liner Carbon⭐100% Merinowolle NEU!</t>
        </is>
      </c>
      <c r="B1810" s="4" t="n">
        <v>40</v>
      </c>
      <c r="C1810" t="inlineStr"/>
      <c r="D1810" t="inlineStr">
        <is>
          <t>25358 Schleswig-Holstein - Horst (Holstein)</t>
        </is>
      </c>
      <c r="E1810" s="5" t="n">
        <v>45379</v>
      </c>
      <c r="F1810" t="inlineStr"/>
      <c r="G1810" s="6">
        <f>HYPERLINK("https://www.kleinanzeigen.de/s-anzeige/-simms-beanie-lightweight-wool-liner-carbon-100-merinowolle-neu-/2719194855-230-16905", "Link")</f>
        <v/>
      </c>
      <c r="H1810" s="6">
        <f>HYPERLINK("C:\Projects\Kleinanzeigen-Scraper\offer_images\2719194855", "Link")</f>
        <v/>
      </c>
      <c r="I1810" t="inlineStr">
        <is>
          <t>Andreas Benz</t>
        </is>
      </c>
      <c r="J1810" s="6">
        <f>HYPERLINK("https://www.kleinanzeigen.de/s-bestandsliste.html?userId=9415655", "Link")</f>
        <v/>
      </c>
      <c r="K1810" s="7" t="n">
        <v>45549.57631944444</v>
      </c>
      <c r="L1810" s="3" t="inlineStr">
        <is>
          <t>366.98</t>
        </is>
      </c>
      <c r="M1810" t="inlineStr">
        <is>
          <t>Köln</t>
        </is>
      </c>
    </row>
    <row r="1811">
      <c r="A1811" t="inlineStr">
        <is>
          <t>Naish Pivot S26 9qm *sehr guter Zustand</t>
        </is>
      </c>
      <c r="B1811" s="4" t="n">
        <v>635</v>
      </c>
      <c r="C1811" t="inlineStr">
        <is>
          <t>VB</t>
        </is>
      </c>
      <c r="D1811" t="inlineStr">
        <is>
          <t>23769 Kreis Ostholstein - Fehmarn</t>
        </is>
      </c>
      <c r="E1811" s="5" t="n">
        <v>45502</v>
      </c>
      <c r="F1811" t="inlineStr">
        <is>
          <t>Sold</t>
        </is>
      </c>
      <c r="G1811" s="6">
        <f>HYPERLINK("https://www.kleinanzeigen.de/s-anzeige/naish-pivot-s26-9qm-sehr-guter-zustand/2824535647-230-19951", "Link")</f>
        <v/>
      </c>
      <c r="H1811" s="6">
        <f>HYPERLINK("C:\Projects\Kleinanzeigen-Scraper\offer_images\2824535647", "Link")</f>
        <v/>
      </c>
      <c r="I1811" t="inlineStr">
        <is>
          <t>Max</t>
        </is>
      </c>
      <c r="J1811" s="6">
        <f>HYPERLINK("https://www.kleinanzeigen.de/s-bestandsliste.html?userId=130574568", "Link")</f>
        <v/>
      </c>
      <c r="K1811" s="7" t="n">
        <v>45549.57630787037</v>
      </c>
      <c r="L1811" s="3" t="inlineStr">
        <is>
          <t>483.01</t>
        </is>
      </c>
      <c r="M1811" t="inlineStr">
        <is>
          <t>Köln</t>
        </is>
      </c>
    </row>
    <row r="1812">
      <c r="A1812" t="inlineStr">
        <is>
          <t>North Carbon HA1250 Foil Wing</t>
        </is>
      </c>
      <c r="B1812" s="4" t="n">
        <v>390</v>
      </c>
      <c r="C1812" t="inlineStr">
        <is>
          <t>VB</t>
        </is>
      </c>
      <c r="D1812" t="inlineStr">
        <is>
          <t>86573 Bayern - Obergriesbach</t>
        </is>
      </c>
      <c r="E1812" s="5" t="n">
        <v>45547</v>
      </c>
      <c r="F1812" t="inlineStr">
        <is>
          <t>Sold</t>
        </is>
      </c>
      <c r="G1812" s="6">
        <f>HYPERLINK("https://www.kleinanzeigen.de/s-anzeige/north-carbon-ha1250-foil-wing/2861418251-230-7197", "Link")</f>
        <v/>
      </c>
      <c r="H1812" s="6">
        <f>HYPERLINK("C:\Projects\Kleinanzeigen-Scraper\offer_images\2861418251", "Link")</f>
        <v/>
      </c>
      <c r="I1812" t="inlineStr">
        <is>
          <t>Daniel</t>
        </is>
      </c>
      <c r="J1812" s="6">
        <f>HYPERLINK("https://www.kleinanzeigen.de/s-bestandsliste.html?userId=144265443", "Link")</f>
        <v/>
      </c>
      <c r="K1812" s="7" t="n">
        <v>45549.5762962963</v>
      </c>
      <c r="L1812" s="3" t="inlineStr">
        <is>
          <t>49.21</t>
        </is>
      </c>
      <c r="M1812" t="inlineStr">
        <is>
          <t>München</t>
        </is>
      </c>
    </row>
    <row r="1813">
      <c r="A1813" t="inlineStr">
        <is>
          <t>Kiteboard NAISH GECKO 5`1``</t>
        </is>
      </c>
      <c r="B1813" s="4" t="n">
        <v>590</v>
      </c>
      <c r="C1813" t="inlineStr"/>
      <c r="D1813" t="inlineStr">
        <is>
          <t>25451 Kreis Pinneberg - Quickborn</t>
        </is>
      </c>
      <c r="E1813" s="5" t="n">
        <v>45529</v>
      </c>
      <c r="F1813" t="inlineStr">
        <is>
          <t>Sold</t>
        </is>
      </c>
      <c r="G1813" s="6">
        <f>HYPERLINK("https://www.kleinanzeigen.de/s-anzeige/kiteboard-naish-gecko-5-1-/2845543694-230-784", "Link")</f>
        <v/>
      </c>
      <c r="H1813" s="6">
        <f>HYPERLINK("C:\Projects\Kleinanzeigen-Scraper\offer_images\2845543694", "Link")</f>
        <v/>
      </c>
      <c r="I1813" t="inlineStr">
        <is>
          <t>Kai</t>
        </is>
      </c>
      <c r="J1813" s="6">
        <f>HYPERLINK("https://www.kleinanzeigen.de/s-bestandsliste.html?userId=50049669", "Link")</f>
        <v/>
      </c>
      <c r="K1813" s="7" t="n">
        <v>45549.5762962963</v>
      </c>
      <c r="L1813" s="3" t="inlineStr">
        <is>
          <t>369.27</t>
        </is>
      </c>
      <c r="M1813" t="inlineStr">
        <is>
          <t>Köln</t>
        </is>
      </c>
    </row>
    <row r="1814">
      <c r="A1814" t="inlineStr">
        <is>
          <t>Kiteausrüstung für Anfän von Core North -F1 Weimann H</t>
        </is>
      </c>
      <c r="B1814" s="4" t="n">
        <v>490</v>
      </c>
      <c r="C1814" t="inlineStr">
        <is>
          <t>VB</t>
        </is>
      </c>
      <c r="D1814" t="inlineStr">
        <is>
          <t>88214 Baden-Württemberg - Ravensburg</t>
        </is>
      </c>
      <c r="E1814" s="5" t="n">
        <v>45538</v>
      </c>
      <c r="F1814" t="inlineStr">
        <is>
          <t>Sold</t>
        </is>
      </c>
      <c r="G1814" s="6">
        <f>HYPERLINK("https://www.kleinanzeigen.de/s-anzeige/kiteausruestung-fuer-anfaen-von-core-north-f1-weimann-h/2853142372-230-9223", "Link")</f>
        <v/>
      </c>
      <c r="H1814" s="6">
        <f>HYPERLINK("C:\Projects\Kleinanzeigen-Scraper\offer_images\2853142372", "Link")</f>
        <v/>
      </c>
      <c r="I1814" t="inlineStr">
        <is>
          <t>Haller</t>
        </is>
      </c>
      <c r="J1814" s="6">
        <f>HYPERLINK("https://www.kleinanzeigen.de/s-bestandsliste.html?userId=21144437", "Link")</f>
        <v/>
      </c>
      <c r="K1814" s="7" t="n">
        <v>45549.5762962963</v>
      </c>
      <c r="L1814" s="3" t="inlineStr">
        <is>
          <t>95.17</t>
        </is>
      </c>
      <c r="M1814" t="inlineStr">
        <is>
          <t>Bonndorf</t>
        </is>
      </c>
    </row>
    <row r="1815">
      <c r="A1815" t="inlineStr">
        <is>
          <t>Fanatic fly Air Premium 9‘8 SUP ISUP</t>
        </is>
      </c>
      <c r="B1815" s="4" t="n">
        <v>587</v>
      </c>
      <c r="C1815" t="inlineStr">
        <is>
          <t>VB</t>
        </is>
      </c>
      <c r="D1815" t="inlineStr">
        <is>
          <t>22457 Eimsbüttel - Hamburg Schnelsen</t>
        </is>
      </c>
      <c r="E1815" s="5" t="n">
        <v>45559</v>
      </c>
      <c r="F1815" t="inlineStr"/>
      <c r="G1815" s="6">
        <f>HYPERLINK("https://www.kleinanzeigen.de/s-anzeige/fanatic-fly-air-premium-9-8-sup-isup/2126349900-230-9492", "Link")</f>
        <v/>
      </c>
      <c r="H1815" s="6">
        <f>HYPERLINK("C:\Projects\Kleinanzeigen-Scraper\offer_images\2126349900", "Link")</f>
        <v/>
      </c>
      <c r="I1815" t="inlineStr">
        <is>
          <t>No user name</t>
        </is>
      </c>
      <c r="J1815" s="6">
        <f>HYPERLINK("https://www.kleinanzeigen.deNo user link", "Link")</f>
        <v/>
      </c>
      <c r="K1815" s="7" t="n">
        <v>45549.5762962963</v>
      </c>
      <c r="L1815" s="3" t="inlineStr">
        <is>
          <t>362.41</t>
        </is>
      </c>
      <c r="M1815" t="inlineStr">
        <is>
          <t>Köln</t>
        </is>
      </c>
    </row>
    <row r="1816">
      <c r="A1816" t="inlineStr">
        <is>
          <t>Miniatur Malerei mit Goya Künstlerölfarben</t>
        </is>
      </c>
      <c r="B1816" s="4" t="n">
        <v>5</v>
      </c>
      <c r="C1816" t="inlineStr"/>
      <c r="D1816" t="inlineStr">
        <is>
          <t>58332 Nordrhein-Westfalen - Schwelm</t>
        </is>
      </c>
      <c r="E1816" s="5" t="n">
        <v>44147</v>
      </c>
      <c r="F1816" t="inlineStr"/>
      <c r="G1816" s="6">
        <f>HYPERLINK("https://www.kleinanzeigen.de/s-anzeige/miniatur-malerei-mit-goya-kuenstleroelfarben/1570107168-240-1558", "Link")</f>
        <v/>
      </c>
      <c r="H1816" s="6">
        <f>HYPERLINK("C:\Projects\Kleinanzeigen-Scraper\offer_images\1570107168", "Link")</f>
        <v/>
      </c>
      <c r="I1816" t="inlineStr">
        <is>
          <t>Andreas Finke</t>
        </is>
      </c>
      <c r="J1816" s="6">
        <f>HYPERLINK("https://www.kleinanzeigen.de/s-bestandsliste.html?userId=4156679", "Link")</f>
        <v/>
      </c>
      <c r="K1816" s="7" t="n">
        <v>45549.5762962963</v>
      </c>
      <c r="L1816" s="3" t="inlineStr">
        <is>
          <t>44.94</t>
        </is>
      </c>
      <c r="M1816" t="inlineStr">
        <is>
          <t>Köln</t>
        </is>
      </c>
    </row>
    <row r="1817">
      <c r="A1817" t="inlineStr">
        <is>
          <t>Duotone Kite - EVO 11qm aus SS 21 - guter Zustand, mit Pumpe</t>
        </is>
      </c>
      <c r="B1817" s="4" t="n">
        <v>749</v>
      </c>
      <c r="C1817" t="inlineStr">
        <is>
          <t>VB</t>
        </is>
      </c>
      <c r="D1817" t="inlineStr">
        <is>
          <t>21614 Niedersachsen - Buxtehude</t>
        </is>
      </c>
      <c r="E1817" s="5" t="n">
        <v>45548</v>
      </c>
      <c r="F1817" t="inlineStr">
        <is>
          <t>Sold</t>
        </is>
      </c>
      <c r="G1817" s="6">
        <f>HYPERLINK("https://www.kleinanzeigen.de/s-anzeige/duotone-kite-evo-11qm-aus-ss-21-guter-zustand-mit-pumpe/2862278069-230-3328", "Link")</f>
        <v/>
      </c>
      <c r="H1817" s="6">
        <f>HYPERLINK("C:\Projects\Kleinanzeigen-Scraper\offer_images\2862278069", "Link")</f>
        <v/>
      </c>
      <c r="I1817" t="inlineStr">
        <is>
          <t>Björn Becker</t>
        </is>
      </c>
      <c r="J1817" s="6">
        <f>HYPERLINK("https://www.kleinanzeigen.de/s-bestandsliste.html?userId=8366532", "Link")</f>
        <v/>
      </c>
      <c r="K1817" s="7" t="n">
        <v>45549.5762962963</v>
      </c>
      <c r="L1817" s="3" t="inlineStr">
        <is>
          <t>336.75</t>
        </is>
      </c>
      <c r="M1817" t="inlineStr">
        <is>
          <t>Köln</t>
        </is>
      </c>
    </row>
    <row r="1818">
      <c r="A1818" t="inlineStr">
        <is>
          <t>Naish Pivot SE 2021 10qm</t>
        </is>
      </c>
      <c r="B1818" s="4" t="n">
        <v>530</v>
      </c>
      <c r="C1818" t="inlineStr"/>
      <c r="D1818" t="inlineStr">
        <is>
          <t>26388 Niedersachsen - Wilhelmshaven</t>
        </is>
      </c>
      <c r="E1818" s="5" t="n">
        <v>45498</v>
      </c>
      <c r="F1818" t="inlineStr"/>
      <c r="G1818" s="6">
        <f>HYPERLINK("https://www.kleinanzeigen.de/s-anzeige/naish-pivot-se-2021-10qm/2820775244-230-3098", "Link")</f>
        <v/>
      </c>
      <c r="H1818" s="6">
        <f>HYPERLINK("C:\Projects\Kleinanzeigen-Scraper\offer_images\2820775244", "Link")</f>
        <v/>
      </c>
      <c r="I1818" t="inlineStr">
        <is>
          <t>Kira</t>
        </is>
      </c>
      <c r="J1818" s="6">
        <f>HYPERLINK("https://www.kleinanzeigen.de/s-bestandsliste.html?userId=15277573", "Link")</f>
        <v/>
      </c>
      <c r="K1818" s="7" t="n">
        <v>45549.57627314814</v>
      </c>
      <c r="L1818" s="3" t="inlineStr">
        <is>
          <t>303.78</t>
        </is>
      </c>
      <c r="M1818" t="inlineStr">
        <is>
          <t>Köln</t>
        </is>
      </c>
    </row>
    <row r="1819">
      <c r="A1819" t="inlineStr">
        <is>
          <t>RRD SUP mit Pumpe und hochwertigem JP Paddel</t>
        </is>
      </c>
      <c r="B1819" s="4" t="n">
        <v>310</v>
      </c>
      <c r="C1819" t="inlineStr">
        <is>
          <t>VB</t>
        </is>
      </c>
      <c r="D1819" t="inlineStr">
        <is>
          <t>72141 Baden-Württemberg - Walddorfhäslach</t>
        </is>
      </c>
      <c r="E1819" s="5" t="n">
        <v>45500</v>
      </c>
      <c r="F1819" t="inlineStr"/>
      <c r="G1819" s="6">
        <f>HYPERLINK("https://www.kleinanzeigen.de/s-anzeige/rrd-sup-mit-pumpe-und-hochwertigem-jp-paddel/2822377686-230-8891", "Link")</f>
        <v/>
      </c>
      <c r="H1819" s="6">
        <f>HYPERLINK("C:\Projects\Kleinanzeigen-Scraper\offer_images\2822377686", "Link")</f>
        <v/>
      </c>
      <c r="I1819" t="inlineStr">
        <is>
          <t>Katharina &amp; Jan</t>
        </is>
      </c>
      <c r="J1819" s="6">
        <f>HYPERLINK("https://www.kleinanzeigen.de/s-bestandsliste.html?userId=5363487", "Link")</f>
        <v/>
      </c>
      <c r="K1819" s="7" t="n">
        <v>45549.57627314814</v>
      </c>
      <c r="L1819" s="3" t="inlineStr">
        <is>
          <t>16.87</t>
        </is>
      </c>
      <c r="M1819" t="inlineStr">
        <is>
          <t>Böblingen</t>
        </is>
      </c>
    </row>
    <row r="1820">
      <c r="A1820" t="inlineStr">
        <is>
          <t>Snowboard- &amp; Ski-Jacke FANATIC, Größe L - orange -</t>
        </is>
      </c>
      <c r="B1820" s="4" t="n">
        <v>43</v>
      </c>
      <c r="C1820" t="inlineStr"/>
      <c r="D1820" t="inlineStr">
        <is>
          <t>76199 Baden-Württemberg - Karlsruhe</t>
        </is>
      </c>
      <c r="E1820" s="5" t="n">
        <v>45503</v>
      </c>
      <c r="F1820" t="inlineStr">
        <is>
          <t>Sold</t>
        </is>
      </c>
      <c r="G1820" s="6">
        <f>HYPERLINK("https://www.kleinanzeigen.de/s-anzeige/snowboard-ski-jacke-fanatic-groesse-l-orange-/2825049056-230-9195", "Link")</f>
        <v/>
      </c>
      <c r="H1820" s="6">
        <f>HYPERLINK("C:\Projects\Kleinanzeigen-Scraper\offer_images\2825049056", "Link")</f>
        <v/>
      </c>
      <c r="I1820" t="inlineStr">
        <is>
          <t>Jörg</t>
        </is>
      </c>
      <c r="J1820" s="6">
        <f>HYPERLINK("https://www.kleinanzeigen.de/s-bestandsliste.html?userId=3286271", "Link")</f>
        <v/>
      </c>
      <c r="K1820" s="7" t="n">
        <v>45549.57625</v>
      </c>
      <c r="L1820" s="3" t="inlineStr">
        <is>
          <t>3.87</t>
        </is>
      </c>
      <c r="M1820" t="inlineStr">
        <is>
          <t>Karlsruhe</t>
        </is>
      </c>
    </row>
    <row r="1821">
      <c r="A1821" t="inlineStr">
        <is>
          <t>NeilPryde Glide Swift 1200 Carbon Foil 2024 *NEU* Wingfoil</t>
        </is>
      </c>
      <c r="B1821" s="4" t="n">
        <v>1.949</v>
      </c>
      <c r="C1821" t="inlineStr">
        <is>
          <t>VB</t>
        </is>
      </c>
      <c r="D1821" t="inlineStr">
        <is>
          <t>82319 Bayern - Starnberg</t>
        </is>
      </c>
      <c r="E1821" s="5" t="n">
        <v>45532</v>
      </c>
      <c r="F1821" t="inlineStr">
        <is>
          <t>Sold</t>
        </is>
      </c>
      <c r="G1821" s="6">
        <f>HYPERLINK("https://www.kleinanzeigen.de/s-anzeige/neilpryde-glide-swift-1200-carbon-foil-2024-neu-wingfoil/2848689325-230-5525", "Link")</f>
        <v/>
      </c>
      <c r="H1821" s="6">
        <f>HYPERLINK("C:\Projects\Kleinanzeigen-Scraper\offer_images\2848689325", "Link")</f>
        <v/>
      </c>
      <c r="I1821" t="inlineStr">
        <is>
          <t>No user name</t>
        </is>
      </c>
      <c r="J1821" s="6">
        <f>HYPERLINK("https://www.kleinanzeigen.deNo user link", "Link")</f>
        <v/>
      </c>
      <c r="K1821" s="7" t="n">
        <v>45549.57622685185</v>
      </c>
      <c r="L1821" s="3" t="inlineStr">
        <is>
          <t>23.17</t>
        </is>
      </c>
      <c r="M1821" t="inlineStr">
        <is>
          <t>München</t>
        </is>
      </c>
    </row>
    <row r="1822">
      <c r="A1822" t="inlineStr">
        <is>
          <t>Outdoorjacke The North Face Womens Summit Superior FL Jacket Neu</t>
        </is>
      </c>
      <c r="B1822" s="4" t="n">
        <v>200</v>
      </c>
      <c r="C1822" t="inlineStr"/>
      <c r="D1822" t="inlineStr">
        <is>
          <t>72365 Baden-Württemberg - Ratshausen</t>
        </is>
      </c>
      <c r="E1822" s="5" t="n">
        <v>45546</v>
      </c>
      <c r="F1822" t="inlineStr">
        <is>
          <t>Sold</t>
        </is>
      </c>
      <c r="G1822" s="6">
        <f>HYPERLINK("https://www.kleinanzeigen.de/s-anzeige/outdoorjacke-the-north-face-womens-summit-superior-fl-jacket-neu/2860180086-230-8693", "Link")</f>
        <v/>
      </c>
      <c r="H1822" s="6">
        <f>HYPERLINK("C:\Projects\Kleinanzeigen-Scraper\offer_images\2860180086", "Link")</f>
        <v/>
      </c>
      <c r="I1822" t="inlineStr">
        <is>
          <t>F. B.</t>
        </is>
      </c>
      <c r="J1822" s="6">
        <f>HYPERLINK("https://www.kleinanzeigen.de/s-bestandsliste.html?userId=4497316", "Link")</f>
        <v/>
      </c>
      <c r="K1822" s="7" t="n">
        <v>45549.57622685185</v>
      </c>
      <c r="L1822" s="3" t="inlineStr">
        <is>
          <t>54.21</t>
        </is>
      </c>
      <c r="M1822" t="inlineStr">
        <is>
          <t>Bonndorf</t>
        </is>
      </c>
    </row>
    <row r="1823">
      <c r="A1823" t="inlineStr">
        <is>
          <t>Simms mütze</t>
        </is>
      </c>
      <c r="B1823" s="4" t="n">
        <v>15</v>
      </c>
      <c r="C1823" t="inlineStr"/>
      <c r="D1823" t="inlineStr">
        <is>
          <t>72760 Baden-Württemberg - Reutlingen</t>
        </is>
      </c>
      <c r="E1823" s="5" t="n">
        <v>45502</v>
      </c>
      <c r="F1823" t="inlineStr"/>
      <c r="G1823" s="6">
        <f>HYPERLINK("https://www.kleinanzeigen.de/s-anzeige/simms-muetze/2824328816-230-9346", "Link")</f>
        <v/>
      </c>
      <c r="H1823" s="6">
        <f>HYPERLINK("C:\Projects\Kleinanzeigen-Scraper\offer_images\2824328816", "Link")</f>
        <v/>
      </c>
      <c r="I1823" t="inlineStr">
        <is>
          <t>Manuel C.</t>
        </is>
      </c>
      <c r="J1823" s="6">
        <f>HYPERLINK("https://www.kleinanzeigen.de/s-bestandsliste.html?userId=55241647", "Link")</f>
        <v/>
      </c>
      <c r="K1823" s="7" t="n">
        <v>45549.57620370371</v>
      </c>
      <c r="L1823" s="3" t="inlineStr">
        <is>
          <t>24.47</t>
        </is>
      </c>
      <c r="M1823" t="inlineStr">
        <is>
          <t>Böblingen</t>
        </is>
      </c>
    </row>
    <row r="1824">
      <c r="A1824" t="inlineStr">
        <is>
          <t>Goya.1971.The life and complete work of Francisco Goya von 1971</t>
        </is>
      </c>
      <c r="B1824" s="4" t="n">
        <v>399</v>
      </c>
      <c r="C1824" t="inlineStr">
        <is>
          <t>VB</t>
        </is>
      </c>
      <c r="D1824" t="inlineStr">
        <is>
          <t>40233 Düsseldorf - Flingern Nord</t>
        </is>
      </c>
      <c r="E1824" s="5" t="n">
        <v>45279</v>
      </c>
      <c r="F1824" t="inlineStr"/>
      <c r="G1824" s="6">
        <f>HYPERLINK("https://www.kleinanzeigen.de/s-anzeige/goya-1971-the-life-and-complete-work-of-francisco-goya-von-1971/1492891250-240-16726", "Link")</f>
        <v/>
      </c>
      <c r="H1824" s="6">
        <f>HYPERLINK("C:\Projects\Kleinanzeigen-Scraper\offer_images\1492891250", "Link")</f>
        <v/>
      </c>
      <c r="I1824" t="inlineStr">
        <is>
          <t>rac</t>
        </is>
      </c>
      <c r="J1824" s="6">
        <f>HYPERLINK("https://www.kleinanzeigen.de/s-bestandsliste.html?userId=14248763", "Link")</f>
        <v/>
      </c>
      <c r="K1824" s="7" t="n">
        <v>45549.57619212963</v>
      </c>
      <c r="L1824" s="3" t="inlineStr">
        <is>
          <t>32.80</t>
        </is>
      </c>
      <c r="M1824" t="inlineStr">
        <is>
          <t>Köln</t>
        </is>
      </c>
    </row>
    <row r="1825">
      <c r="A1825" t="inlineStr">
        <is>
          <t>Neilpryde FX3 Neopren Shorty , Gr. 52 Herren</t>
        </is>
      </c>
      <c r="B1825" s="4" t="n">
        <v>30</v>
      </c>
      <c r="C1825" t="inlineStr"/>
      <c r="D1825" t="inlineStr">
        <is>
          <t>97794 Bayern - Rieneck</t>
        </is>
      </c>
      <c r="E1825" s="5" t="n">
        <v>45465</v>
      </c>
      <c r="F1825" t="inlineStr">
        <is>
          <t>Sold</t>
        </is>
      </c>
      <c r="G1825" s="6">
        <f>HYPERLINK("https://www.kleinanzeigen.de/s-anzeige/neilpryde-fx3-neopren-shorty-gr-52-herren/2794318642-230-7175", "Link")</f>
        <v/>
      </c>
      <c r="H1825" s="6">
        <f>HYPERLINK("C:\Projects\Kleinanzeigen-Scraper\offer_images\2794318642", "Link")</f>
        <v/>
      </c>
      <c r="I1825" t="inlineStr">
        <is>
          <t>Thomas M.</t>
        </is>
      </c>
      <c r="J1825" s="6">
        <f>HYPERLINK("https://www.kleinanzeigen.de/s-bestandsliste.html?userId=18850856", "Link")</f>
        <v/>
      </c>
      <c r="K1825" s="7" t="n">
        <v>45549.57619212963</v>
      </c>
      <c r="L1825" s="3" t="inlineStr">
        <is>
          <t>150.87</t>
        </is>
      </c>
      <c r="M1825" t="inlineStr">
        <is>
          <t>Karlsruhe</t>
        </is>
      </c>
    </row>
    <row r="1826">
      <c r="A1826" t="inlineStr">
        <is>
          <t>Kite Hyper Type 7 von RRD in 1A Zustand!</t>
        </is>
      </c>
      <c r="B1826" s="4" t="n">
        <v>150</v>
      </c>
      <c r="C1826" t="inlineStr"/>
      <c r="D1826" t="inlineStr">
        <is>
          <t>10555 Mitte - Tiergarten</t>
        </is>
      </c>
      <c r="E1826" s="5" t="n">
        <v>45548</v>
      </c>
      <c r="F1826" t="inlineStr">
        <is>
          <t>Sold</t>
        </is>
      </c>
      <c r="G1826" s="6">
        <f>HYPERLINK("https://www.kleinanzeigen.de/s-anzeige/kite-hyper-type-7-von-rrd-in-1a-zustand-/2861720357-230-3500", "Link")</f>
        <v/>
      </c>
      <c r="H1826" s="6">
        <f>HYPERLINK("C:\Projects\Kleinanzeigen-Scraper\offer_images\2861720357", "Link")</f>
        <v/>
      </c>
      <c r="I1826" t="inlineStr">
        <is>
          <t>Peter</t>
        </is>
      </c>
      <c r="J1826" s="6">
        <f>HYPERLINK("https://www.kleinanzeigen.de/s-bestandsliste.html?userId=136865153", "Link")</f>
        <v/>
      </c>
      <c r="K1826" s="7" t="n">
        <v>45549.57619212963</v>
      </c>
      <c r="L1826" s="3" t="inlineStr">
        <is>
          <t>473.30</t>
        </is>
      </c>
      <c r="M1826" t="inlineStr">
        <is>
          <t>Köln</t>
        </is>
      </c>
    </row>
    <row r="1827">
      <c r="A1827" t="inlineStr">
        <is>
          <t>Kite Naish Dash 14 m²</t>
        </is>
      </c>
      <c r="B1827" s="4" t="n">
        <v>600</v>
      </c>
      <c r="C1827" t="inlineStr">
        <is>
          <t>VB</t>
        </is>
      </c>
      <c r="D1827" t="inlineStr">
        <is>
          <t>23730 Kreis Ostholstein - Neustadt in Holstein</t>
        </is>
      </c>
      <c r="E1827" s="5" t="n">
        <v>45534</v>
      </c>
      <c r="F1827" t="inlineStr">
        <is>
          <t>Sold</t>
        </is>
      </c>
      <c r="G1827" s="6">
        <f>HYPERLINK("https://www.kleinanzeigen.de/s-anzeige/kite-naish-dash-14-m-/2849826714-230-13579", "Link")</f>
        <v/>
      </c>
      <c r="H1827" s="6">
        <f>HYPERLINK("C:\Projects\Kleinanzeigen-Scraper\offer_images\2849826714", "Link")</f>
        <v/>
      </c>
      <c r="I1827" t="inlineStr">
        <is>
          <t>Manneck Rainer</t>
        </is>
      </c>
      <c r="J1827" s="6">
        <f>HYPERLINK("https://www.kleinanzeigen.de/s-bestandsliste.html?userId=40677069", "Link")</f>
        <v/>
      </c>
      <c r="K1827" s="7" t="n">
        <v>45549.57616898148</v>
      </c>
      <c r="L1827" s="3" t="inlineStr">
        <is>
          <t>441.08</t>
        </is>
      </c>
      <c r="M1827" t="inlineStr">
        <is>
          <t>Köln</t>
        </is>
      </c>
    </row>
    <row r="1828">
      <c r="A1828" t="inlineStr">
        <is>
          <t>Duotone Kite NEO SLS 12 qm</t>
        </is>
      </c>
      <c r="B1828" s="4" t="n">
        <v>850</v>
      </c>
      <c r="C1828" t="inlineStr">
        <is>
          <t>VB</t>
        </is>
      </c>
      <c r="D1828" t="inlineStr">
        <is>
          <t>46399 Nordrhein-Westfalen - Bocholt</t>
        </is>
      </c>
      <c r="E1828" s="5" t="n">
        <v>45547</v>
      </c>
      <c r="F1828" t="inlineStr">
        <is>
          <t>Sold</t>
        </is>
      </c>
      <c r="G1828" s="6">
        <f>HYPERLINK("https://www.kleinanzeigen.de/s-anzeige/duotone-kite-neo-sls-12-qm/2860872508-230-1851", "Link")</f>
        <v/>
      </c>
      <c r="H1828" s="6">
        <f>HYPERLINK("C:\Projects\Kleinanzeigen-Scraper\offer_images\2860872508", "Link")</f>
        <v/>
      </c>
      <c r="I1828" t="inlineStr">
        <is>
          <t>Denis Popovic</t>
        </is>
      </c>
      <c r="J1828" s="6">
        <f>HYPERLINK("https://www.kleinanzeigen.de/s-bestandsliste.html?userId=38451720", "Link")</f>
        <v/>
      </c>
      <c r="K1828" s="7" t="n">
        <v>45549.57616898148</v>
      </c>
      <c r="L1828" s="3" t="inlineStr">
        <is>
          <t>103.71</t>
        </is>
      </c>
      <c r="M1828" t="inlineStr">
        <is>
          <t>Köln</t>
        </is>
      </c>
    </row>
    <row r="1829">
      <c r="A1829" t="inlineStr">
        <is>
          <t>Mietpark Schmid: Mieten Leihen SUP Stand Up Paddle JP Australia</t>
        </is>
      </c>
      <c r="B1829" s="4" t="n">
        <v>40</v>
      </c>
      <c r="C1829" t="inlineStr"/>
      <c r="D1829" t="inlineStr">
        <is>
          <t>83115 Bayern - Neubeuern</t>
        </is>
      </c>
      <c r="E1829" s="5" t="n">
        <v>45183</v>
      </c>
      <c r="F1829" t="inlineStr"/>
      <c r="G1829" s="6">
        <f>HYPERLINK("https://www.kleinanzeigen.de/s-anzeige/mietpark-schmid-mieten-leihen-sup-stand-up-paddle-jp-australia/2545745973-230-7576", "Link")</f>
        <v/>
      </c>
      <c r="H1829" s="6">
        <f>HYPERLINK("C:\Projects\Kleinanzeigen-Scraper\offer_images\2545745973", "Link")</f>
        <v/>
      </c>
      <c r="I1829" t="inlineStr">
        <is>
          <t>Alexander Schmid</t>
        </is>
      </c>
      <c r="J1829" s="6">
        <f>HYPERLINK("https://www.kleinanzeigen.de/s-bestandsliste.html?userId=130425519", "Link")</f>
        <v/>
      </c>
      <c r="K1829" s="7" t="n">
        <v>45549.57616898148</v>
      </c>
      <c r="L1829" s="3" t="inlineStr">
        <is>
          <t>57.98</t>
        </is>
      </c>
      <c r="M1829" t="inlineStr">
        <is>
          <t>München</t>
        </is>
      </c>
    </row>
    <row r="1830">
      <c r="A1830" t="inlineStr">
        <is>
          <t>North evo (jetzt duotone) 12 m / 2014</t>
        </is>
      </c>
      <c r="B1830" s="4" t="n">
        <v>200</v>
      </c>
      <c r="C1830" t="inlineStr">
        <is>
          <t>VB</t>
        </is>
      </c>
      <c r="D1830" t="inlineStr">
        <is>
          <t>26121 Niedersachsen - Oldenburg</t>
        </is>
      </c>
      <c r="E1830" s="5" t="n">
        <v>45538</v>
      </c>
      <c r="F1830" t="inlineStr">
        <is>
          <t>Sold</t>
        </is>
      </c>
      <c r="G1830" s="6">
        <f>HYPERLINK("https://www.kleinanzeigen.de/s-anzeige/north-evo-jetzt-duotone-12-m-2014/2853383832-230-3114", "Link")</f>
        <v/>
      </c>
      <c r="H1830" s="6">
        <f>HYPERLINK("C:\Projects\Kleinanzeigen-Scraper\offer_images\2853383832", "Link")</f>
        <v/>
      </c>
      <c r="I1830" t="inlineStr">
        <is>
          <t>Stephanie</t>
        </is>
      </c>
      <c r="J1830" s="6">
        <f>HYPERLINK("https://www.kleinanzeigen.de/s-bestandsliste.html?userId=1768771", "Link")</f>
        <v/>
      </c>
      <c r="K1830" s="7" t="n">
        <v>45549.57616898148</v>
      </c>
      <c r="L1830" s="3" t="inlineStr">
        <is>
          <t>260.83</t>
        </is>
      </c>
      <c r="M1830" t="inlineStr">
        <is>
          <t>Köln</t>
        </is>
      </c>
    </row>
    <row r="1831">
      <c r="A1831" t="inlineStr">
        <is>
          <t>Wing 4.5  Starboard Airush Wingfoil</t>
        </is>
      </c>
      <c r="B1831" s="4" t="n">
        <v>250</v>
      </c>
      <c r="C1831" t="inlineStr">
        <is>
          <t>VB</t>
        </is>
      </c>
      <c r="D1831" t="inlineStr">
        <is>
          <t>14532 Brandenburg - Kleinmachnow</t>
        </is>
      </c>
      <c r="E1831" s="5" t="n">
        <v>45549</v>
      </c>
      <c r="F1831" t="inlineStr">
        <is>
          <t>Sold</t>
        </is>
      </c>
      <c r="G1831" s="6">
        <f>HYPERLINK("https://www.kleinanzeigen.de/s-anzeige/wing-4-5-starboard-airush-wingfoil/2862722642-230-7775", "Link")</f>
        <v/>
      </c>
      <c r="H1831" s="6">
        <f>HYPERLINK("C:\Projects\Kleinanzeigen-Scraper\offer_images\2862722642", "Link")</f>
        <v/>
      </c>
      <c r="I1831" t="inlineStr">
        <is>
          <t>Anja Schilling</t>
        </is>
      </c>
      <c r="J1831" s="6">
        <f>HYPERLINK("https://www.kleinanzeigen.de/s-bestandsliste.html?userId=11607853", "Link")</f>
        <v/>
      </c>
      <c r="K1831" s="7" t="n">
        <v>45549.57616898148</v>
      </c>
      <c r="L1831" s="3" t="inlineStr">
        <is>
          <t>458.23</t>
        </is>
      </c>
      <c r="M1831" t="inlineStr">
        <is>
          <t>Köln</t>
        </is>
      </c>
    </row>
    <row r="1832">
      <c r="A1832" t="inlineStr">
        <is>
          <t>Gong SUP und RRD SUP Boards</t>
        </is>
      </c>
      <c r="B1832" s="4" t="n">
        <v>300</v>
      </c>
      <c r="C1832" t="inlineStr"/>
      <c r="D1832" t="inlineStr">
        <is>
          <t>55430 Rheinland-Pfalz - Oberwesel</t>
        </is>
      </c>
      <c r="E1832" s="5" t="n">
        <v>45543</v>
      </c>
      <c r="F1832" t="inlineStr"/>
      <c r="G1832" s="6">
        <f>HYPERLINK("https://www.kleinanzeigen.de/s-anzeige/gong-sup-und-rrd-sup-boards/2857806476-230-19504", "Link")</f>
        <v/>
      </c>
      <c r="H1832" s="6">
        <f>HYPERLINK("C:\Projects\Kleinanzeigen-Scraper\offer_images\2857806476", "Link")</f>
        <v/>
      </c>
      <c r="I1832" t="inlineStr">
        <is>
          <t>NH</t>
        </is>
      </c>
      <c r="J1832" s="6">
        <f>HYPERLINK("https://www.kleinanzeigen.de/s-bestandsliste.html?userId=48729402", "Link")</f>
        <v/>
      </c>
      <c r="K1832" s="7" t="n">
        <v>45549.57614583334</v>
      </c>
      <c r="L1832" s="3" t="inlineStr">
        <is>
          <t>109.06</t>
        </is>
      </c>
      <c r="M1832" t="inlineStr">
        <is>
          <t>Köln</t>
        </is>
      </c>
    </row>
    <row r="1833">
      <c r="A1833" t="inlineStr">
        <is>
          <t>Watschuhe Simms</t>
        </is>
      </c>
      <c r="B1833" s="4" t="n">
        <v>170</v>
      </c>
      <c r="C1833" t="inlineStr">
        <is>
          <t>VB</t>
        </is>
      </c>
      <c r="D1833" t="inlineStr">
        <is>
          <t>17168 Mecklenburg-Vorpommern - Jördenstorf</t>
        </is>
      </c>
      <c r="E1833" s="5" t="n">
        <v>45512</v>
      </c>
      <c r="F1833" t="inlineStr"/>
      <c r="G1833" s="6">
        <f>HYPERLINK("https://www.kleinanzeigen.de/s-anzeige/watschuhe-simms/2831773334-230-26645", "Link")</f>
        <v/>
      </c>
      <c r="H1833" s="6">
        <f>HYPERLINK("C:\Projects\Kleinanzeigen-Scraper\offer_images\2831773334", "Link")</f>
        <v/>
      </c>
      <c r="I1833" t="inlineStr">
        <is>
          <t>Pehl</t>
        </is>
      </c>
      <c r="J1833" s="6">
        <f>HYPERLINK("https://www.kleinanzeigen.de/s-bestandsliste.html?userId=57237921", "Link")</f>
        <v/>
      </c>
      <c r="K1833" s="7" t="n">
        <v>45549.57614583334</v>
      </c>
      <c r="L1833" s="3" t="inlineStr">
        <is>
          <t>502.86</t>
        </is>
      </c>
      <c r="M1833" t="inlineStr">
        <is>
          <t>Köln</t>
        </is>
      </c>
    </row>
    <row r="1834">
      <c r="A1834" t="inlineStr">
        <is>
          <t>Kite, Duotone Neo SLS, 9qm, neuwertig</t>
        </is>
      </c>
      <c r="B1834" s="4" t="n">
        <v>690</v>
      </c>
      <c r="C1834" t="inlineStr">
        <is>
          <t>VB</t>
        </is>
      </c>
      <c r="D1834" t="inlineStr">
        <is>
          <t>51427 Nordrhein-Westfalen - Bergisch Gladbach</t>
        </is>
      </c>
      <c r="E1834" s="5" t="n">
        <v>45548</v>
      </c>
      <c r="F1834" t="inlineStr">
        <is>
          <t>Sold</t>
        </is>
      </c>
      <c r="G1834" s="6">
        <f>HYPERLINK("https://www.kleinanzeigen.de/s-anzeige/kite-duotone-neo-sls-9qm-neuwertig/2861751200-230-1587", "Link")</f>
        <v/>
      </c>
      <c r="H1834" s="6">
        <f>HYPERLINK("C:\Projects\Kleinanzeigen-Scraper\offer_images\2861751200", "Link")</f>
        <v/>
      </c>
      <c r="I1834" t="inlineStr">
        <is>
          <t>Christian</t>
        </is>
      </c>
      <c r="J1834" s="6">
        <f>HYPERLINK("https://www.kleinanzeigen.de/s-bestandsliste.html?userId=12665674", "Link")</f>
        <v/>
      </c>
      <c r="K1834" s="7" t="n">
        <v>45549.57614583334</v>
      </c>
      <c r="L1834" s="3" t="inlineStr">
        <is>
          <t>12.28</t>
        </is>
      </c>
      <c r="M1834" t="inlineStr">
        <is>
          <t>Köln</t>
        </is>
      </c>
    </row>
    <row r="1835">
      <c r="A1835" t="inlineStr">
        <is>
          <t>Vorzelt Isabella Comodore North G19A1015 Carbongestänge Erker</t>
        </is>
      </c>
      <c r="B1835" s="4" t="n">
        <v>3</v>
      </c>
      <c r="C1835" t="inlineStr">
        <is>
          <t>VB</t>
        </is>
      </c>
      <c r="D1835" t="inlineStr">
        <is>
          <t>46395 Nordrhein-Westfalen - Bocholt</t>
        </is>
      </c>
      <c r="E1835" s="5" t="n">
        <v>45543</v>
      </c>
      <c r="F1835" t="inlineStr">
        <is>
          <t>Sold</t>
        </is>
      </c>
      <c r="G1835" s="6">
        <f>HYPERLINK("https://www.kleinanzeigen.de/s-anzeige/vorzelt-isabella-comodore-north-g19a1015-carbongestaenge-erker/2857843557-230-1849", "Link")</f>
        <v/>
      </c>
      <c r="H1835" s="6">
        <f>HYPERLINK("C:\Projects\Kleinanzeigen-Scraper\offer_images\2857843557", "Link")</f>
        <v/>
      </c>
      <c r="I1835" t="inlineStr">
        <is>
          <t>Kirsten</t>
        </is>
      </c>
      <c r="J1835" s="6">
        <f>HYPERLINK("https://www.kleinanzeigen.de/s-bestandsliste.html?userId=24173293", "Link")</f>
        <v/>
      </c>
      <c r="K1835" s="7" t="n">
        <v>45549.57614583334</v>
      </c>
      <c r="L1835" s="3" t="inlineStr">
        <is>
          <t>101.96</t>
        </is>
      </c>
      <c r="M1835" t="inlineStr">
        <is>
          <t>Köln</t>
        </is>
      </c>
    </row>
    <row r="1836">
      <c r="A1836" t="inlineStr">
        <is>
          <t>KITESURF DUOTONE EVO SLS 12 mt</t>
        </is>
      </c>
      <c r="B1836" s="4" t="n">
        <v>850</v>
      </c>
      <c r="C1836" t="inlineStr"/>
      <c r="D1836" t="inlineStr">
        <is>
          <t>88131 Bayern - Lindau</t>
        </is>
      </c>
      <c r="E1836" s="5" t="n">
        <v>45546</v>
      </c>
      <c r="F1836" t="inlineStr">
        <is>
          <t>Sold</t>
        </is>
      </c>
      <c r="G1836" s="6">
        <f>HYPERLINK("https://www.kleinanzeigen.de/s-anzeige/kitesurf-duotone-evo-sls-12-mt/2860390766-230-7707", "Link")</f>
        <v/>
      </c>
      <c r="H1836" s="6">
        <f>HYPERLINK("C:\Projects\Kleinanzeigen-Scraper\offer_images\2860390766", "Link")</f>
        <v/>
      </c>
      <c r="I1836" t="inlineStr">
        <is>
          <t>Manni Eugenio</t>
        </is>
      </c>
      <c r="J1836" s="6">
        <f>HYPERLINK("https://www.kleinanzeigen.de/s-bestandsliste.html?userId=83407413", "Link")</f>
        <v/>
      </c>
      <c r="K1836" s="7" t="n">
        <v>45549.57614583334</v>
      </c>
      <c r="L1836" s="3" t="inlineStr">
        <is>
          <t>104.13</t>
        </is>
      </c>
      <c r="M1836" t="inlineStr">
        <is>
          <t>Bonndorf</t>
        </is>
      </c>
    </row>
    <row r="1837">
      <c r="A1837" t="inlineStr">
        <is>
          <t>Kite Duotone Dice SLS  9er 2022</t>
        </is>
      </c>
      <c r="B1837" s="4" t="n">
        <v>600</v>
      </c>
      <c r="C1837" t="inlineStr"/>
      <c r="D1837" t="inlineStr">
        <is>
          <t>22761 Altona - Hamburg Bahrenfeld</t>
        </is>
      </c>
      <c r="E1837" s="5" t="n">
        <v>45539</v>
      </c>
      <c r="F1837" t="inlineStr">
        <is>
          <t>Sold</t>
        </is>
      </c>
      <c r="G1837" s="6">
        <f>HYPERLINK("https://www.kleinanzeigen.de/s-anzeige/kite-duotone-dice-sls-9er-2022/2854373600-230-9503", "Link")</f>
        <v/>
      </c>
      <c r="H1837" s="6">
        <f>HYPERLINK("C:\Projects\Kleinanzeigen-Scraper\offer_images\2854373600", "Link")</f>
        <v/>
      </c>
      <c r="I1837" t="inlineStr">
        <is>
          <t>Hanns Röhl</t>
        </is>
      </c>
      <c r="J1837" s="6">
        <f>HYPERLINK("https://www.kleinanzeigen.de/s-bestandsliste.html?userId=42735171", "Link")</f>
        <v/>
      </c>
      <c r="K1837" s="7" t="n">
        <v>45549.57614583334</v>
      </c>
      <c r="L1837" s="3" t="inlineStr">
        <is>
          <t>354.92</t>
        </is>
      </c>
      <c r="M1837" t="inlineStr">
        <is>
          <t>Köln</t>
        </is>
      </c>
    </row>
    <row r="1838">
      <c r="A1838" t="inlineStr">
        <is>
          <t>Werftmodell Northern General 130cm Containerschiff Reederei</t>
        </is>
      </c>
      <c r="B1838" s="4" t="n">
        <v>2.9</v>
      </c>
      <c r="C1838" t="inlineStr"/>
      <c r="D1838" t="inlineStr">
        <is>
          <t>20249 Hamburg-Nord - Hamburg Eppendorf</t>
        </is>
      </c>
      <c r="E1838" s="5" t="n">
        <v>45545</v>
      </c>
      <c r="F1838" t="inlineStr">
        <is>
          <t>Sold</t>
        </is>
      </c>
      <c r="G1838" s="6">
        <f>HYPERLINK("https://www.kleinanzeigen.de/s-anzeige/werftmodell-northern-general-130cm-containerschiff-reederei/2859212361-234-9476", "Link")</f>
        <v/>
      </c>
      <c r="H1838" s="6">
        <f>HYPERLINK("C:\Projects\Kleinanzeigen-Scraper\offer_images\2859212361", "Link")</f>
        <v/>
      </c>
      <c r="I1838" t="inlineStr">
        <is>
          <t>No user name</t>
        </is>
      </c>
      <c r="J1838" s="6">
        <f>HYPERLINK("https://www.kleinanzeigen.deNo user link", "Link")</f>
        <v/>
      </c>
      <c r="K1838" s="7" t="n">
        <v>45549.57612268518</v>
      </c>
      <c r="L1838" s="3" t="inlineStr">
        <is>
          <t>359.93</t>
        </is>
      </c>
      <c r="M1838" t="inlineStr">
        <is>
          <t>Köln</t>
        </is>
      </c>
    </row>
    <row r="1839">
      <c r="A1839" t="inlineStr">
        <is>
          <t>Kite north duotone 10 qm Dice gut erhalten</t>
        </is>
      </c>
      <c r="B1839" s="4" t="n">
        <v>300</v>
      </c>
      <c r="C1839" t="inlineStr"/>
      <c r="D1839" t="inlineStr">
        <is>
          <t>13086 Pankow - Weissensee</t>
        </is>
      </c>
      <c r="E1839" s="5" t="n">
        <v>45542</v>
      </c>
      <c r="F1839" t="inlineStr">
        <is>
          <t>Sold</t>
        </is>
      </c>
      <c r="G1839" s="6">
        <f>HYPERLINK("https://www.kleinanzeigen.de/s-anzeige/kite-north-duotone-10-qm-dice-gut-erhalten/2856238227-230-3478", "Link")</f>
        <v/>
      </c>
      <c r="H1839" s="6">
        <f>HYPERLINK("C:\Projects\Kleinanzeigen-Scraper\offer_images\2856238227", "Link")</f>
        <v/>
      </c>
      <c r="I1839" t="inlineStr">
        <is>
          <t>Tom</t>
        </is>
      </c>
      <c r="J1839" s="6">
        <f>HYPERLINK("https://www.kleinanzeigen.de/s-bestandsliste.html?userId=9832324", "Link")</f>
        <v/>
      </c>
      <c r="K1839" s="7" t="n">
        <v>45549.57612268518</v>
      </c>
      <c r="L1839" s="3" t="inlineStr">
        <is>
          <t>481.54</t>
        </is>
      </c>
      <c r="M1839" t="inlineStr">
        <is>
          <t>Köln</t>
        </is>
      </c>
    </row>
    <row r="1840">
      <c r="A1840" t="inlineStr">
        <is>
          <t>NEILPRYDE FLIGHT SLR Foil</t>
        </is>
      </c>
      <c r="B1840" s="4" t="n">
        <v>1.4</v>
      </c>
      <c r="C1840" t="inlineStr">
        <is>
          <t>VB</t>
        </is>
      </c>
      <c r="D1840" t="inlineStr">
        <is>
          <t>83734 Bayern - Hausham</t>
        </is>
      </c>
      <c r="E1840" s="5" t="n">
        <v>45552</v>
      </c>
      <c r="F1840" t="inlineStr"/>
      <c r="G1840" s="6">
        <f>HYPERLINK("https://www.kleinanzeigen.de/s-anzeige/neilpryde-flight-slr-foil/2425937123-230-5898", "Link")</f>
        <v/>
      </c>
      <c r="H1840" s="6">
        <f>HYPERLINK("C:\Projects\Kleinanzeigen-Scraper\offer_images\2425937123", "Link")</f>
        <v/>
      </c>
      <c r="I1840" t="inlineStr">
        <is>
          <t>No user name</t>
        </is>
      </c>
      <c r="J1840" s="6">
        <f>HYPERLINK("https://www.kleinanzeigen.deNo user link", "Link")</f>
        <v/>
      </c>
      <c r="K1840" s="7" t="n">
        <v>45549.57612268518</v>
      </c>
      <c r="L1840" s="3" t="inlineStr">
        <is>
          <t>46.04</t>
        </is>
      </c>
      <c r="M1840" t="inlineStr">
        <is>
          <t>München</t>
        </is>
      </c>
    </row>
    <row r="1841">
      <c r="A1841" t="inlineStr">
        <is>
          <t>Kite Duotone Rebel SLS 12m 2024 *Bester Zustand*</t>
        </is>
      </c>
      <c r="B1841" s="4" t="n">
        <v>1.499</v>
      </c>
      <c r="C1841" t="inlineStr">
        <is>
          <t>VB</t>
        </is>
      </c>
      <c r="D1841" t="inlineStr">
        <is>
          <t>24113 Schleswig-Holstein - Molfsee</t>
        </is>
      </c>
      <c r="E1841" s="5" t="n">
        <v>45546</v>
      </c>
      <c r="F1841" t="inlineStr">
        <is>
          <t>Sold</t>
        </is>
      </c>
      <c r="G1841" s="6">
        <f>HYPERLINK("https://www.kleinanzeigen.de/s-anzeige/kite-duotone-rebel-sls-12m-2024-bester-zustand-/2860593268-230-21250", "Link")</f>
        <v/>
      </c>
      <c r="H1841" s="6">
        <f>HYPERLINK("C:\Projects\Kleinanzeigen-Scraper\offer_images\2860593268", "Link")</f>
        <v/>
      </c>
      <c r="I1841" t="inlineStr">
        <is>
          <t>Simon</t>
        </is>
      </c>
      <c r="J1841" s="6">
        <f>HYPERLINK("https://www.kleinanzeigen.de/s-bestandsliste.html?userId=52124959", "Link")</f>
        <v/>
      </c>
      <c r="K1841" s="7" t="n">
        <v>45549.57612268518</v>
      </c>
      <c r="L1841" s="3" t="inlineStr">
        <is>
          <t>427.37</t>
        </is>
      </c>
      <c r="M1841" t="inlineStr">
        <is>
          <t>Köln</t>
        </is>
      </c>
    </row>
    <row r="1842">
      <c r="A1842" t="inlineStr">
        <is>
          <t>Naish KITE BOARDBAG GOLFBAG 145cm SurfBoardbag</t>
        </is>
      </c>
      <c r="B1842" s="4" t="n">
        <v>222</v>
      </c>
      <c r="C1842" t="inlineStr">
        <is>
          <t>VB</t>
        </is>
      </c>
      <c r="D1842" t="inlineStr">
        <is>
          <t>18586 Mecklenburg-Vorpommern - Mönchgut, Ostseebad</t>
        </is>
      </c>
      <c r="E1842" s="5" t="n">
        <v>45549</v>
      </c>
      <c r="F1842" t="inlineStr">
        <is>
          <t>Sold</t>
        </is>
      </c>
      <c r="G1842" s="6">
        <f>HYPERLINK("https://www.kleinanzeigen.de/s-anzeige/naish-kite-boardbag-golfbag-145cm-surfboardbag/1478369799-230-120", "Link")</f>
        <v/>
      </c>
      <c r="H1842" s="6">
        <f>HYPERLINK("C:\Projects\Kleinanzeigen-Scraper\offer_images\1478369799", "Link")</f>
        <v/>
      </c>
      <c r="I1842" t="inlineStr">
        <is>
          <t>No user name</t>
        </is>
      </c>
      <c r="J1842" s="6">
        <f>HYPERLINK("https://www.kleinanzeigen.deNo user link", "Link")</f>
        <v/>
      </c>
      <c r="K1842" s="7" t="n">
        <v>45549.57609953704</v>
      </c>
      <c r="L1842" s="3" t="inlineStr">
        <is>
          <t>591.22</t>
        </is>
      </c>
      <c r="M1842" t="inlineStr">
        <is>
          <t>Köln</t>
        </is>
      </c>
    </row>
    <row r="1843">
      <c r="A1843" t="inlineStr">
        <is>
          <t>NAGELNEU: North Duotone Trust Quad Bar 4 Leiner 24m Bar M / L</t>
        </is>
      </c>
      <c r="B1843" s="4" t="n">
        <v>240</v>
      </c>
      <c r="C1843" t="inlineStr"/>
      <c r="D1843" t="inlineStr">
        <is>
          <t>79106 Baden-Württemberg - Freiburg im Breisgau</t>
        </is>
      </c>
      <c r="E1843" s="5" t="n">
        <v>45548</v>
      </c>
      <c r="F1843" t="inlineStr">
        <is>
          <t>Sold</t>
        </is>
      </c>
      <c r="G1843" s="6">
        <f>HYPERLINK("https://www.kleinanzeigen.de/s-anzeige/nagelneu-north-duotone-trust-quad-bar-4-leiner-24m-bar-m-l/2851920431-230-9360", "Link")</f>
        <v/>
      </c>
      <c r="H1843" s="6">
        <f>HYPERLINK("C:\Projects\Kleinanzeigen-Scraper\offer_images\2851920431", "Link")</f>
        <v/>
      </c>
      <c r="I1843" t="inlineStr">
        <is>
          <t>Viviane Zotzmann</t>
        </is>
      </c>
      <c r="J1843" s="6">
        <f>HYPERLINK("https://www.kleinanzeigen.de/s-bestandsliste.html?userId=32651166", "Link")</f>
        <v/>
      </c>
      <c r="K1843" s="7" t="n">
        <v>45549.57609953704</v>
      </c>
      <c r="L1843" s="3" t="inlineStr">
        <is>
          <t>42.73</t>
        </is>
      </c>
      <c r="M1843" t="inlineStr">
        <is>
          <t>Bonndorf</t>
        </is>
      </c>
    </row>
    <row r="1844">
      <c r="A1844" t="inlineStr">
        <is>
          <t>Trekkingschuhe, Sneaker,The North Face W Flight Vectiv Gr.42 NEU</t>
        </is>
      </c>
      <c r="B1844" s="4" t="n">
        <v>85</v>
      </c>
      <c r="C1844" t="inlineStr"/>
      <c r="D1844" t="inlineStr">
        <is>
          <t>72365 Baden-Württemberg - Ratshausen</t>
        </is>
      </c>
      <c r="E1844" s="5" t="n">
        <v>45546</v>
      </c>
      <c r="F1844" t="inlineStr">
        <is>
          <t>Sold</t>
        </is>
      </c>
      <c r="G1844" s="6">
        <f>HYPERLINK("https://www.kleinanzeigen.de/s-anzeige/trekkingschuhe-sneaker-the-north-face-w-flight-vectiv-gr-42-neu/2860153627-230-8693", "Link")</f>
        <v/>
      </c>
      <c r="H1844" s="6">
        <f>HYPERLINK("C:\Projects\Kleinanzeigen-Scraper\offer_images\2860153627", "Link")</f>
        <v/>
      </c>
      <c r="I1844" t="inlineStr">
        <is>
          <t>F. B.</t>
        </is>
      </c>
      <c r="J1844" s="6">
        <f>HYPERLINK("https://www.kleinanzeigen.de/s-bestandsliste.html?userId=4497316", "Link")</f>
        <v/>
      </c>
      <c r="K1844" s="7" t="n">
        <v>45549.57609953704</v>
      </c>
      <c r="L1844" s="3" t="inlineStr">
        <is>
          <t>54.21</t>
        </is>
      </c>
      <c r="M1844" t="inlineStr">
        <is>
          <t>Bonndorf</t>
        </is>
      </c>
    </row>
    <row r="1845">
      <c r="A1845" t="inlineStr">
        <is>
          <t>Duotone Dice 9qm (2020)</t>
        </is>
      </c>
      <c r="B1845" s="4" t="n">
        <v>550</v>
      </c>
      <c r="C1845" t="inlineStr"/>
      <c r="D1845" t="inlineStr">
        <is>
          <t>22297 Hamburg-Nord - Hamburg Alsterdorf</t>
        </is>
      </c>
      <c r="E1845" s="5" t="n">
        <v>45547</v>
      </c>
      <c r="F1845" t="inlineStr">
        <is>
          <t>Sold</t>
        </is>
      </c>
      <c r="G1845" s="6">
        <f>HYPERLINK("https://www.kleinanzeigen.de/s-anzeige/duotone-dice-9qm-2020-/2861353738-230-16438", "Link")</f>
        <v/>
      </c>
      <c r="H1845" s="6">
        <f>HYPERLINK("C:\Projects\Kleinanzeigen-Scraper\offer_images\2861353738", "Link")</f>
        <v/>
      </c>
      <c r="I1845" t="inlineStr">
        <is>
          <t>Janina</t>
        </is>
      </c>
      <c r="J1845" s="6">
        <f>HYPERLINK("https://www.kleinanzeigen.de/s-bestandsliste.html?userId=22360925", "Link")</f>
        <v/>
      </c>
      <c r="K1845" s="7" t="n">
        <v>45549.57608796296</v>
      </c>
      <c r="L1845" s="3" t="inlineStr">
        <is>
          <t>362.41</t>
        </is>
      </c>
      <c r="M1845" t="inlineStr">
        <is>
          <t>Köln</t>
        </is>
      </c>
    </row>
    <row r="1846">
      <c r="A1846" t="inlineStr">
        <is>
          <t>OPST Rainforest Waterproof Hüfttasche (SIMMS; LOOP; ORVIS; HARDY)</t>
        </is>
      </c>
      <c r="B1846" s="4" t="n">
        <v>85</v>
      </c>
      <c r="C1846" t="inlineStr"/>
      <c r="D1846" t="inlineStr">
        <is>
          <t>33330 Nordrhein-Westfalen - Gütersloh</t>
        </is>
      </c>
      <c r="E1846" s="5" t="n">
        <v>45545</v>
      </c>
      <c r="F1846" t="inlineStr"/>
      <c r="G1846" s="6">
        <f>HYPERLINK("https://www.kleinanzeigen.de/s-anzeige/opst-rainforest-waterproof-huefttasche-simms-loop-orvis-hardy-/2859096765-230-1744", "Link")</f>
        <v/>
      </c>
      <c r="H1846" s="6">
        <f>HYPERLINK("C:\Projects\Kleinanzeigen-Scraper\offer_images\2859096765", "Link")</f>
        <v/>
      </c>
      <c r="I1846" t="inlineStr">
        <is>
          <t>Matthias</t>
        </is>
      </c>
      <c r="J1846" s="6">
        <f>HYPERLINK("https://www.kleinanzeigen.de/s-bestandsliste.html?userId=31726631", "Link")</f>
        <v/>
      </c>
      <c r="K1846" s="7" t="n">
        <v>45549.57607638889</v>
      </c>
      <c r="L1846" s="3" t="inlineStr">
        <is>
          <t>145.92</t>
        </is>
      </c>
      <c r="M1846" t="inlineStr">
        <is>
          <t>Köln</t>
        </is>
      </c>
    </row>
    <row r="1847">
      <c r="A1847" t="inlineStr">
        <is>
          <t>North Duotone ClickBar M mit Freestyle Loop 2x</t>
        </is>
      </c>
      <c r="B1847" s="4" t="n">
        <v>220</v>
      </c>
      <c r="C1847" t="inlineStr"/>
      <c r="D1847" t="inlineStr">
        <is>
          <t>80335 München - Maxvorstadt</t>
        </is>
      </c>
      <c r="E1847" s="5" t="n">
        <v>45539</v>
      </c>
      <c r="F1847" t="inlineStr">
        <is>
          <t>Sold</t>
        </is>
      </c>
      <c r="G1847" s="6">
        <f>HYPERLINK("https://www.kleinanzeigen.de/s-anzeige/north-duotone-clickbar-m-mit-freestyle-loop-2x/2854382053-230-6442", "Link")</f>
        <v/>
      </c>
      <c r="H1847" s="6">
        <f>HYPERLINK("C:\Projects\Kleinanzeigen-Scraper\offer_images\2854382053", "Link")</f>
        <v/>
      </c>
      <c r="I1847" t="inlineStr">
        <is>
          <t>Andreas</t>
        </is>
      </c>
      <c r="J1847" s="6">
        <f>HYPERLINK("https://www.kleinanzeigen.de/s-bestandsliste.html?userId=56858443", "Link")</f>
        <v/>
      </c>
      <c r="K1847" s="7" t="n">
        <v>45549.57606481481</v>
      </c>
      <c r="L1847" s="3" t="inlineStr">
        <is>
          <t>1.62</t>
        </is>
      </c>
      <c r="M1847" t="inlineStr">
        <is>
          <t>München</t>
        </is>
      </c>
    </row>
    <row r="1848">
      <c r="A1848" t="inlineStr">
        <is>
          <t>Ätzkunst Kupferstich-Bild Simmern /Rheinland-Pfalz auf Holzplatte</t>
        </is>
      </c>
      <c r="B1848" s="4" t="n">
        <v>70</v>
      </c>
      <c r="C1848" t="inlineStr"/>
      <c r="D1848" t="inlineStr">
        <is>
          <t>55469 Rheinland-Pfalz - Simmern</t>
        </is>
      </c>
      <c r="E1848" s="5" t="n">
        <v>45500</v>
      </c>
      <c r="F1848" t="inlineStr">
        <is>
          <t>Sold</t>
        </is>
      </c>
      <c r="G1848" s="6">
        <f>HYPERLINK("https://www.kleinanzeigen.de/s-anzeige/aetzkunst-kupferstich-bild-simmern-rheinland-pfalz-auf-holzplatte/2822758116-240-20854", "Link")</f>
        <v/>
      </c>
      <c r="H1848" s="6">
        <f>HYPERLINK("C:\Projects\Kleinanzeigen-Scraper\offer_images\2822758116", "Link")</f>
        <v/>
      </c>
      <c r="I1848" t="inlineStr">
        <is>
          <t>Jürgen</t>
        </is>
      </c>
      <c r="J1848" s="6">
        <f>HYPERLINK("https://www.kleinanzeigen.de/s-bestandsliste.html?userId=141593145", "Link")</f>
        <v/>
      </c>
      <c r="K1848" s="7" t="n">
        <v>45549.57605324074</v>
      </c>
      <c r="L1848" s="3" t="inlineStr">
        <is>
          <t>113.56</t>
        </is>
      </c>
      <c r="M1848" t="inlineStr">
        <is>
          <t>Köln</t>
        </is>
      </c>
    </row>
    <row r="1849">
      <c r="A1849" t="inlineStr">
        <is>
          <t>Naish Pivot 12 qm S25 2021 Kite</t>
        </is>
      </c>
      <c r="B1849" s="4" t="n">
        <v>450</v>
      </c>
      <c r="C1849" t="inlineStr">
        <is>
          <t>VB</t>
        </is>
      </c>
      <c r="D1849" t="inlineStr">
        <is>
          <t>57339 Nordrhein-Westfalen - Erndtebrück</t>
        </is>
      </c>
      <c r="E1849" s="5" t="n">
        <v>45546</v>
      </c>
      <c r="F1849" t="inlineStr">
        <is>
          <t>Sold</t>
        </is>
      </c>
      <c r="G1849" s="6">
        <f>HYPERLINK("https://www.kleinanzeigen.de/s-anzeige/naish-pivot-12-qm-s25-2021-kite/2860626876-230-1469", "Link")</f>
        <v/>
      </c>
      <c r="H1849" s="6">
        <f>HYPERLINK("C:\Projects\Kleinanzeigen-Scraper\offer_images\2860626876", "Link")</f>
        <v/>
      </c>
      <c r="I1849" t="inlineStr">
        <is>
          <t>Kerstin spittel</t>
        </is>
      </c>
      <c r="J1849" s="6">
        <f>HYPERLINK("https://www.kleinanzeigen.de/s-bestandsliste.html?userId=9237713", "Link")</f>
        <v/>
      </c>
      <c r="K1849" s="7" t="n">
        <v>45549.57604166667</v>
      </c>
      <c r="L1849" s="3" t="inlineStr">
        <is>
          <t>91.26</t>
        </is>
      </c>
      <c r="M1849" t="inlineStr">
        <is>
          <t>Köln</t>
        </is>
      </c>
    </row>
    <row r="1850">
      <c r="A1850" t="inlineStr">
        <is>
          <t>Duotone Neo SLS 2023 9qm</t>
        </is>
      </c>
      <c r="B1850" s="4" t="n">
        <v>970</v>
      </c>
      <c r="C1850" t="inlineStr">
        <is>
          <t>VB</t>
        </is>
      </c>
      <c r="D1850" t="inlineStr">
        <is>
          <t>21423 Niedersachsen - Winsen (Luhe)</t>
        </is>
      </c>
      <c r="E1850" s="5" t="n">
        <v>45546</v>
      </c>
      <c r="F1850" t="inlineStr">
        <is>
          <t>Sold</t>
        </is>
      </c>
      <c r="G1850" s="6">
        <f>HYPERLINK("https://www.kleinanzeigen.de/s-anzeige/duotone-neo-sls-2023-9qm/2761602932-230-3223", "Link")</f>
        <v/>
      </c>
      <c r="H1850" s="6">
        <f>HYPERLINK("C:\Projects\Kleinanzeigen-Scraper\offer_images\2761602932", "Link")</f>
        <v/>
      </c>
      <c r="I1850" t="inlineStr">
        <is>
          <t>No user name</t>
        </is>
      </c>
      <c r="J1850" s="6">
        <f>HYPERLINK("https://www.kleinanzeigen.deNo user link", "Link")</f>
        <v/>
      </c>
      <c r="K1850" s="7" t="n">
        <v>45549.57604166667</v>
      </c>
      <c r="L1850" s="3" t="inlineStr">
        <is>
          <t>349.14</t>
        </is>
      </c>
      <c r="M1850" t="inlineStr">
        <is>
          <t>Köln</t>
        </is>
      </c>
    </row>
    <row r="1851">
      <c r="A1851" t="inlineStr">
        <is>
          <t>Duotone Boardbag / Gearbag Neu mit Rollen</t>
        </is>
      </c>
      <c r="B1851" s="4" t="n">
        <v>150</v>
      </c>
      <c r="C1851" t="inlineStr"/>
      <c r="D1851" t="inlineStr">
        <is>
          <t>71549 Baden-Württemberg - Auenwald</t>
        </is>
      </c>
      <c r="E1851" s="5" t="n">
        <v>45548</v>
      </c>
      <c r="F1851" t="inlineStr">
        <is>
          <t>Sold</t>
        </is>
      </c>
      <c r="G1851" s="6">
        <f>HYPERLINK("https://www.kleinanzeigen.de/s-anzeige/duotone-boardbag-gearbag-neu-mit-rollen/2861963271-230-20234", "Link")</f>
        <v/>
      </c>
      <c r="H1851" s="6">
        <f>HYPERLINK("C:\Projects\Kleinanzeigen-Scraper\offer_images\2861963271", "Link")</f>
        <v/>
      </c>
      <c r="I1851" t="inlineStr">
        <is>
          <t>Sam</t>
        </is>
      </c>
      <c r="J1851" s="6">
        <f>HYPERLINK("https://www.kleinanzeigen.de/s-bestandsliste.html?userId=91227219", "Link")</f>
        <v/>
      </c>
      <c r="K1851" s="7" t="n">
        <v>45549.57603009259</v>
      </c>
      <c r="L1851" s="3" t="inlineStr">
        <is>
          <t>49.16</t>
        </is>
      </c>
      <c r="M1851" t="inlineStr">
        <is>
          <t>Böblingen</t>
        </is>
      </c>
    </row>
    <row r="1852">
      <c r="A1852" t="inlineStr">
        <is>
          <t>Acryl Farben Goya Triton 750 ml</t>
        </is>
      </c>
      <c r="B1852" s="4" t="n">
        <v>9</v>
      </c>
      <c r="C1852" t="inlineStr"/>
      <c r="D1852" t="inlineStr">
        <is>
          <t>25421 Kreis Pinneberg - Pinneberg</t>
        </is>
      </c>
      <c r="E1852" s="5" t="n">
        <v>45547</v>
      </c>
      <c r="F1852" t="inlineStr"/>
      <c r="G1852" s="6">
        <f>HYPERLINK("https://www.kleinanzeigen.de/s-anzeige/acryl-farben-goya-triton-750-ml/2861504732-240-786", "Link")</f>
        <v/>
      </c>
      <c r="H1852" s="6">
        <f>HYPERLINK("C:\Projects\Kleinanzeigen-Scraper\offer_images\2861504732", "Link")</f>
        <v/>
      </c>
      <c r="I1852" t="inlineStr">
        <is>
          <t>Lars</t>
        </is>
      </c>
      <c r="J1852" s="6">
        <f>HYPERLINK("https://www.kleinanzeigen.de/s-bestandsliste.html?userId=2163676", "Link")</f>
        <v/>
      </c>
      <c r="K1852" s="7" t="n">
        <v>45549.57603009259</v>
      </c>
      <c r="L1852" s="3" t="inlineStr">
        <is>
          <t>357.38</t>
        </is>
      </c>
      <c r="M1852" t="inlineStr">
        <is>
          <t>Köln</t>
        </is>
      </c>
    </row>
    <row r="1853">
      <c r="A1853" t="inlineStr">
        <is>
          <t>Kitesurf , Kiteschirm North Vegas 8m Inkl. Bar</t>
        </is>
      </c>
      <c r="B1853" s="4" t="n">
        <v>420</v>
      </c>
      <c r="C1853" t="inlineStr"/>
      <c r="D1853" t="inlineStr">
        <is>
          <t>71549 Baden-Württemberg - Auenwald</t>
        </is>
      </c>
      <c r="E1853" s="5" t="n">
        <v>45548</v>
      </c>
      <c r="F1853" t="inlineStr">
        <is>
          <t>Sold</t>
        </is>
      </c>
      <c r="G1853" s="6">
        <f>HYPERLINK("https://www.kleinanzeigen.de/s-anzeige/kitesurf-kiteschirm-north-vegas-8m-inkl-bar/2861972795-230-20234", "Link")</f>
        <v/>
      </c>
      <c r="H1853" s="6">
        <f>HYPERLINK("C:\Projects\Kleinanzeigen-Scraper\offer_images\2861972795", "Link")</f>
        <v/>
      </c>
      <c r="I1853" t="inlineStr">
        <is>
          <t>Sam</t>
        </is>
      </c>
      <c r="J1853" s="6">
        <f>HYPERLINK("https://www.kleinanzeigen.de/s-bestandsliste.html?userId=91227219", "Link")</f>
        <v/>
      </c>
      <c r="K1853" s="7" t="n">
        <v>45549.57601851852</v>
      </c>
      <c r="L1853" s="3" t="inlineStr">
        <is>
          <t>49.16</t>
        </is>
      </c>
      <c r="M1853" t="inlineStr">
        <is>
          <t>Böblingen</t>
        </is>
      </c>
    </row>
    <row r="1854">
      <c r="A1854" t="inlineStr">
        <is>
          <t>Naish Kite Bar 5-Leiner</t>
        </is>
      </c>
      <c r="B1854" s="4" t="n">
        <v>40</v>
      </c>
      <c r="C1854" t="inlineStr"/>
      <c r="D1854" t="inlineStr">
        <is>
          <t>24837 Schleswig-Holstein - Schleswig</t>
        </is>
      </c>
      <c r="E1854" s="5" t="n">
        <v>45502</v>
      </c>
      <c r="F1854" t="inlineStr">
        <is>
          <t>Sold</t>
        </is>
      </c>
      <c r="G1854" s="6">
        <f>HYPERLINK("https://www.kleinanzeigen.de/s-anzeige/naish-kite-bar-5-leiner/2824577021-230-558", "Link")</f>
        <v/>
      </c>
      <c r="H1854" s="6">
        <f>HYPERLINK("C:\Projects\Kleinanzeigen-Scraper\offer_images\2824577021", "Link")</f>
        <v/>
      </c>
      <c r="I1854" t="inlineStr">
        <is>
          <t>Lemper</t>
        </is>
      </c>
      <c r="J1854" s="6">
        <f>HYPERLINK("https://www.kleinanzeigen.de/s-bestandsliste.html?userId=66741968", "Link")</f>
        <v/>
      </c>
      <c r="K1854" s="7" t="n">
        <v>45549.57601851852</v>
      </c>
      <c r="L1854" s="3" t="inlineStr">
        <is>
          <t>435.51</t>
        </is>
      </c>
      <c r="M1854" t="inlineStr">
        <is>
          <t>Köln</t>
        </is>
      </c>
    </row>
    <row r="1855">
      <c r="A1855" t="inlineStr">
        <is>
          <t>Neilpryde-Long John,  Gr 56, ungetragen,  Surfen,  SUP</t>
        </is>
      </c>
      <c r="B1855" s="4" t="n">
        <v>65</v>
      </c>
      <c r="C1855" t="inlineStr">
        <is>
          <t>VB</t>
        </is>
      </c>
      <c r="D1855" t="inlineStr">
        <is>
          <t>33615 Bielefeld - Bielefeld (Innenstadt)</t>
        </is>
      </c>
      <c r="E1855" s="5" t="n">
        <v>45494</v>
      </c>
      <c r="F1855" t="inlineStr"/>
      <c r="G1855" s="6">
        <f>HYPERLINK("https://www.kleinanzeigen.de/s-anzeige/neilpryde-long-john-gr-56-ungetragen-surfen-sup/2817242972-230-1058", "Link")</f>
        <v/>
      </c>
      <c r="H1855" s="6">
        <f>HYPERLINK("C:\Projects\Kleinanzeigen-Scraper\offer_images\2817242972", "Link")</f>
        <v/>
      </c>
      <c r="I1855" t="inlineStr">
        <is>
          <t>Carola Giller</t>
        </is>
      </c>
      <c r="J1855" s="6">
        <f>HYPERLINK("https://www.kleinanzeigen.de/s-bestandsliste.html?userId=7988525", "Link")</f>
        <v/>
      </c>
      <c r="K1855" s="7" t="n">
        <v>45549.57601851852</v>
      </c>
      <c r="L1855" s="3" t="inlineStr">
        <is>
          <t>162.21</t>
        </is>
      </c>
      <c r="M1855" t="inlineStr">
        <is>
          <t>Köln</t>
        </is>
      </c>
    </row>
    <row r="1856">
      <c r="A1856" t="inlineStr">
        <is>
          <t>Duotone Unit 2024 3.5m Wing</t>
        </is>
      </c>
      <c r="B1856" s="4" t="n">
        <v>575</v>
      </c>
      <c r="C1856" t="inlineStr">
        <is>
          <t>VB</t>
        </is>
      </c>
      <c r="D1856" t="inlineStr">
        <is>
          <t>24248 Schleswig-Holstein - Mönkeberg</t>
        </is>
      </c>
      <c r="E1856" s="5" t="n">
        <v>45542</v>
      </c>
      <c r="F1856" t="inlineStr">
        <is>
          <t>Sold</t>
        </is>
      </c>
      <c r="G1856" s="6">
        <f>HYPERLINK("https://www.kleinanzeigen.de/s-anzeige/duotone-unit-2024-3-5m-wing/2856209977-230-666", "Link")</f>
        <v/>
      </c>
      <c r="H1856" s="6">
        <f>HYPERLINK("C:\Projects\Kleinanzeigen-Scraper\offer_images\2856209977", "Link")</f>
        <v/>
      </c>
      <c r="I1856" t="inlineStr">
        <is>
          <t>Tim</t>
        </is>
      </c>
      <c r="J1856" s="6">
        <f>HYPERLINK("https://www.kleinanzeigen.de/s-bestandsliste.html?userId=31022388", "Link")</f>
        <v/>
      </c>
      <c r="K1856" s="7" t="n">
        <v>45549.57601851852</v>
      </c>
      <c r="L1856" s="3" t="inlineStr">
        <is>
          <t>437.31</t>
        </is>
      </c>
      <c r="M1856" t="inlineStr">
        <is>
          <t>Köln</t>
        </is>
      </c>
    </row>
    <row r="1857">
      <c r="A1857" t="inlineStr">
        <is>
          <t>Duotone Kite Dice 12qm</t>
        </is>
      </c>
      <c r="B1857" s="4" t="n">
        <v>450</v>
      </c>
      <c r="C1857" t="inlineStr">
        <is>
          <t>VB</t>
        </is>
      </c>
      <c r="D1857" t="inlineStr">
        <is>
          <t>46399 Nordrhein-Westfalen - Bocholt</t>
        </is>
      </c>
      <c r="E1857" s="5" t="n">
        <v>45547</v>
      </c>
      <c r="F1857" t="inlineStr">
        <is>
          <t>Sold</t>
        </is>
      </c>
      <c r="G1857" s="6">
        <f>HYPERLINK("https://www.kleinanzeigen.de/s-anzeige/duotone-kite-dice-12qm/2860875315-230-1851", "Link")</f>
        <v/>
      </c>
      <c r="H1857" s="6">
        <f>HYPERLINK("C:\Projects\Kleinanzeigen-Scraper\offer_images\2860875315", "Link")</f>
        <v/>
      </c>
      <c r="I1857" t="inlineStr">
        <is>
          <t>Denis Popovic</t>
        </is>
      </c>
      <c r="J1857" s="6">
        <f>HYPERLINK("https://www.kleinanzeigen.de/s-bestandsliste.html?userId=38451720", "Link")</f>
        <v/>
      </c>
      <c r="K1857" s="7" t="n">
        <v>45549.57601851852</v>
      </c>
      <c r="L1857" s="3" t="inlineStr">
        <is>
          <t>103.71</t>
        </is>
      </c>
      <c r="M1857" t="inlineStr">
        <is>
          <t>Köln</t>
        </is>
      </c>
    </row>
    <row r="1858">
      <c r="A1858" t="inlineStr">
        <is>
          <t>Neilpryde Rise Impact Weste Neopren XS Kite</t>
        </is>
      </c>
      <c r="B1858" s="4" t="n">
        <v>60</v>
      </c>
      <c r="C1858" t="inlineStr">
        <is>
          <t>VB</t>
        </is>
      </c>
      <c r="D1858" t="inlineStr">
        <is>
          <t>71272 Baden-Württemberg - Renningen</t>
        </is>
      </c>
      <c r="E1858" s="5" t="n">
        <v>45511</v>
      </c>
      <c r="F1858" t="inlineStr">
        <is>
          <t>Sold</t>
        </is>
      </c>
      <c r="G1858" s="6">
        <f>HYPERLINK("https://www.kleinanzeigen.de/s-anzeige/neilpryde-rise-impact-weste-neopren-xs-kite/2831542778-230-8426", "Link")</f>
        <v/>
      </c>
      <c r="H1858" s="6">
        <f>HYPERLINK("C:\Projects\Kleinanzeigen-Scraper\offer_images\2831542778", "Link")</f>
        <v/>
      </c>
      <c r="I1858" t="inlineStr">
        <is>
          <t>G.H.</t>
        </is>
      </c>
      <c r="J1858" s="6">
        <f>HYPERLINK("https://www.kleinanzeigen.de/s-bestandsliste.html?userId=30737649", "Link")</f>
        <v/>
      </c>
      <c r="K1858" s="7" t="n">
        <v>45549.57601851852</v>
      </c>
      <c r="L1858" s="3" t="inlineStr">
        <is>
          <t>11.07</t>
        </is>
      </c>
      <c r="M1858" t="inlineStr">
        <is>
          <t>Böblingen</t>
        </is>
      </c>
    </row>
    <row r="1859">
      <c r="A1859" t="inlineStr">
        <is>
          <t>Kite Drache North Rhino 18</t>
        </is>
      </c>
      <c r="B1859" s="4" t="n">
        <v>150</v>
      </c>
      <c r="C1859" t="inlineStr"/>
      <c r="D1859" t="inlineStr">
        <is>
          <t>44379 Dortmund - Marten</t>
        </is>
      </c>
      <c r="E1859" s="5" t="n">
        <v>45543</v>
      </c>
      <c r="F1859" t="inlineStr">
        <is>
          <t>Sold</t>
        </is>
      </c>
      <c r="G1859" s="6">
        <f>HYPERLINK("https://www.kleinanzeigen.de/s-anzeige/kite-drache-north-rhino-18/2857727399-230-28155", "Link")</f>
        <v/>
      </c>
      <c r="H1859" s="6">
        <f>HYPERLINK("C:\Projects\Kleinanzeigen-Scraper\offer_images\2857727399", "Link")</f>
        <v/>
      </c>
      <c r="I1859" t="inlineStr">
        <is>
          <t>Yilmaz</t>
        </is>
      </c>
      <c r="J1859" s="6">
        <f>HYPERLINK("https://www.kleinanzeigen.de/s-bestandsliste.html?userId=46651513", "Link")</f>
        <v/>
      </c>
      <c r="K1859" s="7" t="n">
        <v>45549.57599537037</v>
      </c>
      <c r="L1859" s="3" t="inlineStr">
        <is>
          <t>70.01</t>
        </is>
      </c>
      <c r="M1859" t="inlineStr">
        <is>
          <t>Köln</t>
        </is>
      </c>
    </row>
    <row r="1860">
      <c r="A1860" t="inlineStr">
        <is>
          <t>Naish Wing-Surfer 6.0</t>
        </is>
      </c>
      <c r="B1860" s="4" t="n">
        <v>350</v>
      </c>
      <c r="C1860" t="inlineStr">
        <is>
          <t>VB</t>
        </is>
      </c>
      <c r="D1860" t="inlineStr">
        <is>
          <t>50129 Nordrhein-Westfalen - Bergheim</t>
        </is>
      </c>
      <c r="E1860" s="5" t="n">
        <v>45551</v>
      </c>
      <c r="F1860" t="inlineStr">
        <is>
          <t>Sold</t>
        </is>
      </c>
      <c r="G1860" s="6">
        <f>HYPERLINK("https://www.kleinanzeigen.de/s-anzeige/naish-wing-surfer-6-0/2820223164-230-1876", "Link")</f>
        <v/>
      </c>
      <c r="H1860" s="6">
        <f>HYPERLINK("C:\Projects\Kleinanzeigen-Scraper\offer_images\2820223164", "Link")</f>
        <v/>
      </c>
      <c r="I1860" t="inlineStr">
        <is>
          <t>Eniz Deniz</t>
        </is>
      </c>
      <c r="J1860" s="6">
        <f>HYPERLINK("https://www.kleinanzeigen.de/s-bestandsliste.html?userId=9669769", "Link")</f>
        <v/>
      </c>
      <c r="K1860" s="7" t="n">
        <v>45549.57599537037</v>
      </c>
      <c r="L1860" s="3" t="inlineStr">
        <is>
          <t>18.04</t>
        </is>
      </c>
      <c r="M1860" t="inlineStr">
        <is>
          <t>Köln</t>
        </is>
      </c>
    </row>
    <row r="1861">
      <c r="A1861" t="inlineStr">
        <is>
          <t>Fanatic Duotone Aero High Aspect Foil Set 1250</t>
        </is>
      </c>
      <c r="B1861" s="4" t="n">
        <v>380</v>
      </c>
      <c r="C1861" t="inlineStr">
        <is>
          <t>VB</t>
        </is>
      </c>
      <c r="D1861" t="inlineStr">
        <is>
          <t>30167 Hannover - Mitte</t>
        </is>
      </c>
      <c r="E1861" s="5" t="n">
        <v>45512</v>
      </c>
      <c r="F1861" t="inlineStr">
        <is>
          <t>Sold</t>
        </is>
      </c>
      <c r="G1861" s="6">
        <f>HYPERLINK("https://www.kleinanzeigen.de/s-anzeige/fanatic-duotone-aero-high-aspect-foil-set-1250/2831774084-230-3168", "Link")</f>
        <v/>
      </c>
      <c r="H1861" s="6">
        <f>HYPERLINK("C:\Projects\Kleinanzeigen-Scraper\offer_images\2831774084", "Link")</f>
        <v/>
      </c>
      <c r="I1861" t="inlineStr">
        <is>
          <t>Lukas</t>
        </is>
      </c>
      <c r="J1861" s="6">
        <f>HYPERLINK("https://www.kleinanzeigen.de/s-bestandsliste.html?userId=16727357", "Link")</f>
        <v/>
      </c>
      <c r="K1861" s="7" t="n">
        <v>45549.57599537037</v>
      </c>
      <c r="L1861" s="3" t="inlineStr">
        <is>
          <t>249.37</t>
        </is>
      </c>
      <c r="M1861" t="inlineStr">
        <is>
          <t>Köln</t>
        </is>
      </c>
    </row>
    <row r="1862">
      <c r="A1862" t="inlineStr">
        <is>
          <t>Starbucks Tasse Icon Northern Ireland / Nordirland</t>
        </is>
      </c>
      <c r="B1862" s="4" t="n">
        <v>17</v>
      </c>
      <c r="C1862" t="inlineStr"/>
      <c r="D1862" t="inlineStr">
        <is>
          <t>96465 Bayern - Neustadt b.Coburg</t>
        </is>
      </c>
      <c r="E1862" s="5" t="n">
        <v>45546</v>
      </c>
      <c r="F1862" t="inlineStr">
        <is>
          <t>Sold</t>
        </is>
      </c>
      <c r="G1862" s="6">
        <f>HYPERLINK("https://www.kleinanzeigen.de/s-anzeige/starbucks-tasse-icon-northern-ireland-nordirland/2860043888-234-6647", "Link")</f>
        <v/>
      </c>
      <c r="H1862" s="6">
        <f>HYPERLINK("C:\Projects\Kleinanzeigen-Scraper\offer_images\2860043888", "Link")</f>
        <v/>
      </c>
      <c r="I1862" t="inlineStr">
        <is>
          <t>Nicole Fleischmann-Höhn</t>
        </is>
      </c>
      <c r="J1862" s="6">
        <f>HYPERLINK("https://www.kleinanzeigen.de/s-bestandsliste.html?userId=2803005", "Link")</f>
        <v/>
      </c>
      <c r="K1862" s="7" t="n">
        <v>45549.57599537037</v>
      </c>
      <c r="L1862" s="3" t="inlineStr">
        <is>
          <t>237.72</t>
        </is>
      </c>
      <c r="M1862" t="inlineStr">
        <is>
          <t>Böblingen</t>
        </is>
      </c>
    </row>
    <row r="1863">
      <c r="A1863" t="inlineStr">
        <is>
          <t>NeilPryde, Neopren, Termalite langarm, schwarz, XS, neu</t>
        </is>
      </c>
      <c r="B1863" s="4" t="n">
        <v>20</v>
      </c>
      <c r="C1863" t="inlineStr"/>
      <c r="D1863" t="inlineStr">
        <is>
          <t>72639 Baden-Württemberg - Neuffen</t>
        </is>
      </c>
      <c r="E1863" s="5" t="n">
        <v>45509</v>
      </c>
      <c r="F1863" t="inlineStr">
        <is>
          <t>Sold</t>
        </is>
      </c>
      <c r="G1863" s="6">
        <f>HYPERLINK("https://www.kleinanzeigen.de/s-anzeige/neilpryde-neopren-termalite-langarm-schwarz-xs-neu/2829819605-230-7993", "Link")</f>
        <v/>
      </c>
      <c r="H1863" s="6">
        <f>HYPERLINK("C:\Projects\Kleinanzeigen-Scraper\offer_images\2829819605", "Link")</f>
        <v/>
      </c>
      <c r="I1863" t="inlineStr">
        <is>
          <t>ich</t>
        </is>
      </c>
      <c r="J1863" s="6">
        <f>HYPERLINK("https://www.kleinanzeigen.de/s-bestandsliste.html?userId=19037347", "Link")</f>
        <v/>
      </c>
      <c r="K1863" s="7" t="n">
        <v>45549.57597222222</v>
      </c>
      <c r="L1863" s="3" t="inlineStr">
        <is>
          <t>32.05</t>
        </is>
      </c>
      <c r="M1863" t="inlineStr">
        <is>
          <t>Böblingen</t>
        </is>
      </c>
    </row>
    <row r="1864">
      <c r="A1864" t="inlineStr">
        <is>
          <t>RRD Religion Wave Kite 10,5</t>
        </is>
      </c>
      <c r="B1864" s="4" t="n">
        <v>400</v>
      </c>
      <c r="C1864" t="inlineStr">
        <is>
          <t>VB</t>
        </is>
      </c>
      <c r="D1864" t="inlineStr">
        <is>
          <t>66740 Saarland - Saarlouis</t>
        </is>
      </c>
      <c r="E1864" s="5" t="n">
        <v>45534</v>
      </c>
      <c r="F1864" t="inlineStr">
        <is>
          <t>Sold</t>
        </is>
      </c>
      <c r="G1864" s="6">
        <f>HYPERLINK("https://www.kleinanzeigen.de/s-anzeige/rrd-religion-wave-kite-10-5/2850164655-230-369", "Link")</f>
        <v/>
      </c>
      <c r="H1864" s="6">
        <f>HYPERLINK("C:\Projects\Kleinanzeigen-Scraper\offer_images\2850164655", "Link")</f>
        <v/>
      </c>
      <c r="I1864" t="inlineStr">
        <is>
          <t>Peter</t>
        </is>
      </c>
      <c r="J1864" s="6">
        <f>HYPERLINK("https://www.kleinanzeigen.de/s-bestandsliste.html?userId=21245490", "Link")</f>
        <v/>
      </c>
      <c r="K1864" s="7" t="n">
        <v>45549.57597222222</v>
      </c>
      <c r="L1864" s="3" t="inlineStr">
        <is>
          <t>124.87</t>
        </is>
      </c>
      <c r="M1864" t="inlineStr">
        <is>
          <t>Karlsruhe</t>
        </is>
      </c>
    </row>
    <row r="1865">
      <c r="A1865" t="inlineStr">
        <is>
          <t>Starboard zweiteiliges Lima PrePreg Carbon Paddel Gr. M</t>
        </is>
      </c>
      <c r="B1865" s="4" t="n">
        <v>210</v>
      </c>
      <c r="C1865" t="inlineStr"/>
      <c r="D1865" t="inlineStr">
        <is>
          <t>22765 Altona - Hamburg Ottensen</t>
        </is>
      </c>
      <c r="E1865" s="5" t="n">
        <v>45513</v>
      </c>
      <c r="F1865" t="inlineStr"/>
      <c r="G1865" s="6">
        <f>HYPERLINK("https://www.kleinanzeigen.de/s-anzeige/starboard-zweiteiliges-lima-prepreg-carbon-paddel-gr-m/2832761997-230-9504", "Link")</f>
        <v/>
      </c>
      <c r="H1865" s="6">
        <f>HYPERLINK("C:\Projects\Kleinanzeigen-Scraper\offer_images\2832761997", "Link")</f>
        <v/>
      </c>
      <c r="I1865" t="inlineStr">
        <is>
          <t>Nadine</t>
        </is>
      </c>
      <c r="J1865" s="6">
        <f>HYPERLINK("https://www.kleinanzeigen.de/s-bestandsliste.html?userId=63228199", "Link")</f>
        <v/>
      </c>
      <c r="K1865" s="7" t="n">
        <v>45549.57597222222</v>
      </c>
      <c r="L1865" s="3" t="inlineStr">
        <is>
          <t>354.49</t>
        </is>
      </c>
      <c r="M1865" t="inlineStr">
        <is>
          <t>Köln</t>
        </is>
      </c>
    </row>
    <row r="1866">
      <c r="A1866" t="inlineStr">
        <is>
          <t>North Rebel Kite Set</t>
        </is>
      </c>
      <c r="B1866" s="4" t="n">
        <v>749</v>
      </c>
      <c r="C1866" t="inlineStr">
        <is>
          <t>VB</t>
        </is>
      </c>
      <c r="D1866" t="inlineStr">
        <is>
          <t>81477 München - Thalk.Obersendl.-Forsten-Fürstenr.-Solln</t>
        </is>
      </c>
      <c r="E1866" s="5" t="n">
        <v>45548</v>
      </c>
      <c r="F1866" t="inlineStr">
        <is>
          <t>Sold</t>
        </is>
      </c>
      <c r="G1866" s="6">
        <f>HYPERLINK("https://www.kleinanzeigen.de/s-anzeige/north-rebel-kite-set/2862448511-230-6435", "Link")</f>
        <v/>
      </c>
      <c r="H1866" s="6">
        <f>HYPERLINK("C:\Projects\Kleinanzeigen-Scraper\offer_images\2862448511", "Link")</f>
        <v/>
      </c>
      <c r="I1866" t="inlineStr">
        <is>
          <t>Felix</t>
        </is>
      </c>
      <c r="J1866" s="6">
        <f>HYPERLINK("https://www.kleinanzeigen.de/s-bestandsliste.html?userId=133590962", "Link")</f>
        <v/>
      </c>
      <c r="K1866" s="7" t="n">
        <v>45549.57597222222</v>
      </c>
      <c r="L1866" s="3" t="inlineStr">
        <is>
          <t>7.49</t>
        </is>
      </c>
      <c r="M1866" t="inlineStr">
        <is>
          <t>München</t>
        </is>
      </c>
    </row>
    <row r="1867">
      <c r="A1867" t="inlineStr">
        <is>
          <t>NeilPryde Rise 5+4mm Neoprenanzug Surfanzug Gr. 48   171-177cm</t>
        </is>
      </c>
      <c r="B1867" s="4" t="n">
        <v>89</v>
      </c>
      <c r="C1867" t="inlineStr">
        <is>
          <t>VB</t>
        </is>
      </c>
      <c r="D1867" t="inlineStr">
        <is>
          <t>12623 Berlin - Mahlsdorf</t>
        </is>
      </c>
      <c r="E1867" s="5" t="n">
        <v>45544</v>
      </c>
      <c r="F1867" t="inlineStr">
        <is>
          <t>Sold</t>
        </is>
      </c>
      <c r="G1867" s="6">
        <f>HYPERLINK("https://www.kleinanzeigen.de/s-anzeige/neilpryde-rise-5-4mm-neoprenanzug-surfanzug-gr-48-171-177cm/2858185319-230-27141", "Link")</f>
        <v/>
      </c>
      <c r="H1867" s="6">
        <f>HYPERLINK("C:\Projects\Kleinanzeigen-Scraper\offer_images\2858185319", "Link")</f>
        <v/>
      </c>
      <c r="I1867" t="inlineStr">
        <is>
          <t>S.Y.</t>
        </is>
      </c>
      <c r="J1867" s="6">
        <f>HYPERLINK("https://www.kleinanzeigen.de/s-bestandsliste.html?userId=597337", "Link")</f>
        <v/>
      </c>
      <c r="K1867" s="7" t="n">
        <v>45549.57597222222</v>
      </c>
      <c r="L1867" s="3" t="inlineStr">
        <is>
          <t>490.00</t>
        </is>
      </c>
      <c r="M1867" t="inlineStr">
        <is>
          <t>Köln</t>
        </is>
      </c>
    </row>
    <row r="1868">
      <c r="A1868" t="inlineStr">
        <is>
          <t>Duotone Spirit Fuselage 2.0 AL</t>
        </is>
      </c>
      <c r="B1868" s="4" t="n">
        <v>88</v>
      </c>
      <c r="C1868" t="inlineStr">
        <is>
          <t>VB</t>
        </is>
      </c>
      <c r="D1868" t="inlineStr">
        <is>
          <t>80331 München - Altstadt-Lehel</t>
        </is>
      </c>
      <c r="E1868" s="5" t="n">
        <v>45539</v>
      </c>
      <c r="F1868" t="inlineStr">
        <is>
          <t>Sold</t>
        </is>
      </c>
      <c r="G1868" s="6">
        <f>HYPERLINK("https://www.kleinanzeigen.de/s-anzeige/duotone-spirit-fuselage-2-0-al/2853965662-230-6443", "Link")</f>
        <v/>
      </c>
      <c r="H1868" s="6">
        <f>HYPERLINK("C:\Projects\Kleinanzeigen-Scraper\offer_images\2853965662", "Link")</f>
        <v/>
      </c>
      <c r="I1868" t="inlineStr">
        <is>
          <t>Nemeth</t>
        </is>
      </c>
      <c r="J1868" s="6">
        <f>HYPERLINK("https://www.kleinanzeigen.de/s-bestandsliste.html?userId=30520100", "Link")</f>
        <v/>
      </c>
      <c r="K1868" s="7" t="n">
        <v>45549.57594907407</v>
      </c>
      <c r="L1868" s="3" t="inlineStr">
        <is>
          <t>0.00</t>
        </is>
      </c>
      <c r="M1868" t="inlineStr">
        <is>
          <t>München</t>
        </is>
      </c>
    </row>
    <row r="1869">
      <c r="A1869" t="inlineStr">
        <is>
          <t>Kite Naish Park nachfolger Pivot 6qm neuwertig</t>
        </is>
      </c>
      <c r="B1869" s="4" t="n">
        <v>185</v>
      </c>
      <c r="C1869" t="inlineStr"/>
      <c r="D1869" t="inlineStr">
        <is>
          <t>24943 Schleswig-Holstein - Tastrup</t>
        </is>
      </c>
      <c r="E1869" s="5" t="n">
        <v>45551</v>
      </c>
      <c r="F1869" t="inlineStr">
        <is>
          <t>Sold</t>
        </is>
      </c>
      <c r="G1869" s="6">
        <f>HYPERLINK("https://www.kleinanzeigen.de/s-anzeige/kite-naish-park-nachfolger-pivot-6qm-neuwertig/2809850427-230-715", "Link")</f>
        <v/>
      </c>
      <c r="H1869" s="6">
        <f>HYPERLINK("C:\Projects\Kleinanzeigen-Scraper\offer_images\2809850427", "Link")</f>
        <v/>
      </c>
      <c r="I1869" t="inlineStr">
        <is>
          <t>Fly</t>
        </is>
      </c>
      <c r="J1869" s="6">
        <f>HYPERLINK("https://www.kleinanzeigen.de/s-bestandsliste.html?userId=61554616", "Link")</f>
        <v/>
      </c>
      <c r="K1869" s="7" t="n">
        <v>45549.57594907407</v>
      </c>
      <c r="L1869" s="3" t="inlineStr">
        <is>
          <t>459.78</t>
        </is>
      </c>
      <c r="M1869" t="inlineStr">
        <is>
          <t>Köln</t>
        </is>
      </c>
    </row>
    <row r="1870">
      <c r="A1870" t="inlineStr">
        <is>
          <t>Duotone EVO 2020 13qm, blau | Kite | Kitesurfen</t>
        </is>
      </c>
      <c r="B1870" s="4" t="n">
        <v>540</v>
      </c>
      <c r="C1870" t="inlineStr">
        <is>
          <t>VB</t>
        </is>
      </c>
      <c r="D1870" t="inlineStr">
        <is>
          <t>81543 München - Untergiesing-Harlaching</t>
        </is>
      </c>
      <c r="E1870" s="5" t="n">
        <v>45541</v>
      </c>
      <c r="F1870" t="inlineStr">
        <is>
          <t>Sold</t>
        </is>
      </c>
      <c r="G1870" s="6">
        <f>HYPERLINK("https://www.kleinanzeigen.de/s-anzeige/duotone-evo-2020-13qm-blau-kite-kitesurfen/2855492225-230-6430", "Link")</f>
        <v/>
      </c>
      <c r="H1870" s="6">
        <f>HYPERLINK("C:\Projects\Kleinanzeigen-Scraper\offer_images\2855492225", "Link")</f>
        <v/>
      </c>
      <c r="I1870" t="inlineStr">
        <is>
          <t>Jürgen Schaub</t>
        </is>
      </c>
      <c r="J1870" s="6">
        <f>HYPERLINK("https://www.kleinanzeigen.de/s-bestandsliste.html?userId=8905328", "Link")</f>
        <v/>
      </c>
      <c r="K1870" s="7" t="n">
        <v>45549.57594907407</v>
      </c>
      <c r="L1870" s="3" t="inlineStr">
        <is>
          <t>2.63</t>
        </is>
      </c>
      <c r="M1870" t="inlineStr">
        <is>
          <t>München</t>
        </is>
      </c>
    </row>
    <row r="1871">
      <c r="A1871" t="inlineStr">
        <is>
          <t>Duotone Dice 12qm (2020)</t>
        </is>
      </c>
      <c r="B1871" s="4" t="n">
        <v>650</v>
      </c>
      <c r="C1871" t="inlineStr">
        <is>
          <t>VB</t>
        </is>
      </c>
      <c r="D1871" t="inlineStr">
        <is>
          <t>22297 Hamburg-Nord - Hamburg Alsterdorf</t>
        </is>
      </c>
      <c r="E1871" s="5" t="n">
        <v>45547</v>
      </c>
      <c r="F1871" t="inlineStr">
        <is>
          <t>Sold</t>
        </is>
      </c>
      <c r="G1871" s="6">
        <f>HYPERLINK("https://www.kleinanzeigen.de/s-anzeige/duotone-dice-12qm-2020-/2861352212-230-16438", "Link")</f>
        <v/>
      </c>
      <c r="H1871" s="6">
        <f>HYPERLINK("C:\Projects\Kleinanzeigen-Scraper\offer_images\2861352212", "Link")</f>
        <v/>
      </c>
      <c r="I1871" t="inlineStr">
        <is>
          <t>Janina</t>
        </is>
      </c>
      <c r="J1871" s="6">
        <f>HYPERLINK("https://www.kleinanzeigen.de/s-bestandsliste.html?userId=22360925", "Link")</f>
        <v/>
      </c>
      <c r="K1871" s="7" t="n">
        <v>45549.57594907407</v>
      </c>
      <c r="L1871" s="3" t="inlineStr">
        <is>
          <t>362.41</t>
        </is>
      </c>
      <c r="M1871" t="inlineStr">
        <is>
          <t>Köln</t>
        </is>
      </c>
    </row>
    <row r="1872">
      <c r="A1872" t="inlineStr">
        <is>
          <t>Naish Hoodie Neu in Grau Gr.L</t>
        </is>
      </c>
      <c r="B1872" s="4" t="n">
        <v>59</v>
      </c>
      <c r="C1872" t="inlineStr"/>
      <c r="D1872" t="inlineStr">
        <is>
          <t>24229 Schleswig-Holstein - Schwedeneck</t>
        </is>
      </c>
      <c r="E1872" s="5" t="n">
        <v>45549</v>
      </c>
      <c r="F1872" t="inlineStr"/>
      <c r="G1872" s="6">
        <f>HYPERLINK("https://www.kleinanzeigen.de/s-anzeige/naish-hoodie-neu-in-grau-gr-l/2862608631-230-17470", "Link")</f>
        <v/>
      </c>
      <c r="H1872" s="6">
        <f>HYPERLINK("C:\Projects\Kleinanzeigen-Scraper\offer_images\2862608631", "Link")</f>
        <v/>
      </c>
      <c r="I1872" t="inlineStr">
        <is>
          <t>Bernd</t>
        </is>
      </c>
      <c r="J1872" s="6">
        <f>HYPERLINK("https://www.kleinanzeigen.de/s-bestandsliste.html?userId=7833787", "Link")</f>
        <v/>
      </c>
      <c r="K1872" s="7" t="n">
        <v>45549.5759375</v>
      </c>
      <c r="L1872" s="3" t="inlineStr">
        <is>
          <t>445.58</t>
        </is>
      </c>
      <c r="M1872" t="inlineStr">
        <is>
          <t>Köln</t>
        </is>
      </c>
    </row>
    <row r="1873">
      <c r="A1873" t="inlineStr">
        <is>
          <t>Snowboard duotone Style 60 inkl Schuhe und Bindung</t>
        </is>
      </c>
      <c r="B1873" s="4" t="n">
        <v>45</v>
      </c>
      <c r="C1873" t="inlineStr">
        <is>
          <t>VB</t>
        </is>
      </c>
      <c r="D1873" t="inlineStr">
        <is>
          <t>42499 Nordrhein-Westfalen - Hückeswagen</t>
        </is>
      </c>
      <c r="E1873" s="5" t="n">
        <v>45546</v>
      </c>
      <c r="F1873" t="inlineStr">
        <is>
          <t>Sold</t>
        </is>
      </c>
      <c r="G1873" s="6">
        <f>HYPERLINK("https://www.kleinanzeigen.de/s-anzeige/snowboard-duotone-style-60-inkl-schuhe-und-bindung/2860165345-230-1550", "Link")</f>
        <v/>
      </c>
      <c r="H1873" s="6">
        <f>HYPERLINK("C:\Projects\Kleinanzeigen-Scraper\offer_images\2860165345", "Link")</f>
        <v/>
      </c>
      <c r="I1873" t="inlineStr">
        <is>
          <t>Jens</t>
        </is>
      </c>
      <c r="J1873" s="6">
        <f>HYPERLINK("https://www.kleinanzeigen.de/s-bestandsliste.html?userId=19955979", "Link")</f>
        <v/>
      </c>
      <c r="K1873" s="7" t="n">
        <v>45549.5759375</v>
      </c>
      <c r="L1873" s="3" t="inlineStr">
        <is>
          <t>35.16</t>
        </is>
      </c>
      <c r="M1873" t="inlineStr">
        <is>
          <t>Köln</t>
        </is>
      </c>
    </row>
    <row r="1874">
      <c r="A1874" t="inlineStr">
        <is>
          <t>Fanatic Aufkleber, Active Wear, Mode.</t>
        </is>
      </c>
      <c r="B1874" s="4" t="n">
        <v>4</v>
      </c>
      <c r="C1874" t="inlineStr"/>
      <c r="D1874" t="inlineStr">
        <is>
          <t>55435 Rheinland-Pfalz - Gau-Algesheim</t>
        </is>
      </c>
      <c r="E1874" s="5" t="n">
        <v>45516</v>
      </c>
      <c r="F1874" t="inlineStr">
        <is>
          <t>Sold</t>
        </is>
      </c>
      <c r="G1874" s="6">
        <f>HYPERLINK("https://www.kleinanzeigen.de/s-anzeige/fanatic-aufkleber-active-wear-mode-/2835098017-234-5127", "Link")</f>
        <v/>
      </c>
      <c r="H1874" s="6">
        <f>HYPERLINK("C:\Projects\Kleinanzeigen-Scraper\offer_images\2835098017", "Link")</f>
        <v/>
      </c>
      <c r="I1874" t="inlineStr">
        <is>
          <t>GRH</t>
        </is>
      </c>
      <c r="J1874" s="6">
        <f>HYPERLINK("https://www.kleinanzeigen.de/s-bestandsliste.html?userId=40089716", "Link")</f>
        <v/>
      </c>
      <c r="K1874" s="7" t="n">
        <v>45549.5759375</v>
      </c>
      <c r="L1874" s="3" t="inlineStr">
        <is>
          <t>108.83</t>
        </is>
      </c>
      <c r="M1874" t="inlineStr">
        <is>
          <t>Karlsruhe</t>
        </is>
      </c>
    </row>
    <row r="1875">
      <c r="A1875" t="inlineStr">
        <is>
          <t>Fanatic Aero Foil 2500/300 Foil Set</t>
        </is>
      </c>
      <c r="B1875" s="4" t="inlineStr"/>
      <c r="C1875" t="inlineStr">
        <is>
          <t>VB</t>
        </is>
      </c>
      <c r="D1875" t="inlineStr">
        <is>
          <t>85737 Kr. München - Ismaning</t>
        </is>
      </c>
      <c r="E1875" s="5" t="n">
        <v>45545</v>
      </c>
      <c r="F1875" t="inlineStr">
        <is>
          <t>Sold</t>
        </is>
      </c>
      <c r="G1875" s="6">
        <f>HYPERLINK("https://www.kleinanzeigen.de/s-anzeige/fanatic-aero-foil-2500-300-foil-set/2859218466-230-17192", "Link")</f>
        <v/>
      </c>
      <c r="H1875" s="6">
        <f>HYPERLINK("C:\Projects\Kleinanzeigen-Scraper\offer_images\2859218466", "Link")</f>
        <v/>
      </c>
      <c r="I1875" t="inlineStr">
        <is>
          <t>Florian</t>
        </is>
      </c>
      <c r="J1875" s="6">
        <f>HYPERLINK("https://www.kleinanzeigen.de/s-bestandsliste.html?userId=2124459", "Link")</f>
        <v/>
      </c>
      <c r="K1875" s="7" t="n">
        <v>45549.57592592593</v>
      </c>
      <c r="L1875" s="3" t="inlineStr">
        <is>
          <t>14.56</t>
        </is>
      </c>
      <c r="M1875" t="inlineStr">
        <is>
          <t>München</t>
        </is>
      </c>
    </row>
    <row r="1876">
      <c r="A1876" t="inlineStr">
        <is>
          <t>Isabella Vorzelt Capri North G19 A1015 mit CarbonX</t>
        </is>
      </c>
      <c r="B1876" s="4" t="n">
        <v>1.7</v>
      </c>
      <c r="C1876" t="inlineStr"/>
      <c r="D1876" t="inlineStr">
        <is>
          <t>73466 Baden-Württemberg - Lauchheim</t>
        </is>
      </c>
      <c r="E1876" s="5" t="n">
        <v>45541</v>
      </c>
      <c r="F1876" t="inlineStr">
        <is>
          <t>Sold</t>
        </is>
      </c>
      <c r="G1876" s="6">
        <f>HYPERLINK("https://www.kleinanzeigen.de/s-anzeige/isabella-vorzelt-capri-north-g19-a1015-mit-carbonx/2856114806-230-9082", "Link")</f>
        <v/>
      </c>
      <c r="H1876" s="6">
        <f>HYPERLINK("C:\Projects\Kleinanzeigen-Scraper\offer_images\2856114806", "Link")</f>
        <v/>
      </c>
      <c r="I1876" t="inlineStr">
        <is>
          <t>J.R.</t>
        </is>
      </c>
      <c r="J1876" s="6">
        <f>HYPERLINK("https://www.kleinanzeigen.de/s-bestandsliste.html?userId=2578116", "Link")</f>
        <v/>
      </c>
      <c r="K1876" s="7" t="n">
        <v>45549.57591435185</v>
      </c>
      <c r="L1876" s="3" t="inlineStr">
        <is>
          <t>94.56</t>
        </is>
      </c>
      <c r="M1876" t="inlineStr">
        <is>
          <t>Böblingen</t>
        </is>
      </c>
    </row>
    <row r="1877">
      <c r="A1877" t="inlineStr">
        <is>
          <t>Neilpryde Surf Leicra, blau, Gr.L</t>
        </is>
      </c>
      <c r="B1877" s="4" t="n">
        <v>22</v>
      </c>
      <c r="C1877" t="inlineStr">
        <is>
          <t>VB</t>
        </is>
      </c>
      <c r="D1877" t="inlineStr">
        <is>
          <t>81247 München - Pasing-Obermenzing</t>
        </is>
      </c>
      <c r="E1877" s="5" t="n">
        <v>45537</v>
      </c>
      <c r="F1877" t="inlineStr"/>
      <c r="G1877" s="6">
        <f>HYPERLINK("https://www.kleinanzeigen.de/s-anzeige/neilpryde-surf-leicra-blau-gr-l/2852807834-230-6478", "Link")</f>
        <v/>
      </c>
      <c r="H1877" s="6">
        <f>HYPERLINK("C:\Projects\Kleinanzeigen-Scraper\offer_images\2852807834", "Link")</f>
        <v/>
      </c>
      <c r="I1877" t="inlineStr">
        <is>
          <t>Felix Schwarz</t>
        </is>
      </c>
      <c r="J1877" s="6">
        <f>HYPERLINK("https://www.kleinanzeigen.de/s-bestandsliste.html?userId=13206507", "Link")</f>
        <v/>
      </c>
      <c r="K1877" s="7" t="n">
        <v>45549.57591435185</v>
      </c>
      <c r="L1877" s="3" t="inlineStr">
        <is>
          <t>8.71</t>
        </is>
      </c>
      <c r="M1877" t="inlineStr">
        <is>
          <t>München</t>
        </is>
      </c>
    </row>
    <row r="1878">
      <c r="A1878" t="inlineStr">
        <is>
          <t>Duotone Unit Wing 6.0</t>
        </is>
      </c>
      <c r="B1878" s="4" t="n">
        <v>450</v>
      </c>
      <c r="C1878" t="inlineStr">
        <is>
          <t>VB</t>
        </is>
      </c>
      <c r="D1878" t="inlineStr">
        <is>
          <t>06120 Sachsen-Anhalt - Halle</t>
        </is>
      </c>
      <c r="E1878" s="5" t="n">
        <v>45548</v>
      </c>
      <c r="F1878" t="inlineStr">
        <is>
          <t>Sold</t>
        </is>
      </c>
      <c r="G1878" s="6">
        <f>HYPERLINK("https://www.kleinanzeigen.de/s-anzeige/duotone-unit-wing-6-0/2861967096-230-20383", "Link")</f>
        <v/>
      </c>
      <c r="H1878" s="6">
        <f>HYPERLINK("C:\Projects\Kleinanzeigen-Scraper\offer_images\2861967096", "Link")</f>
        <v/>
      </c>
      <c r="I1878" t="inlineStr">
        <is>
          <t>René Schnuer</t>
        </is>
      </c>
      <c r="J1878" s="6">
        <f>HYPERLINK("https://www.kleinanzeigen.de/s-bestandsliste.html?userId=4277758", "Link")</f>
        <v/>
      </c>
      <c r="K1878" s="7" t="n">
        <v>45549.57591435185</v>
      </c>
      <c r="L1878" s="3" t="inlineStr">
        <is>
          <t>350.29</t>
        </is>
      </c>
      <c r="M1878" t="inlineStr">
        <is>
          <t>Köln</t>
        </is>
      </c>
    </row>
    <row r="1879">
      <c r="A1879" t="inlineStr">
        <is>
          <t>Gun Sails Longsleeve</t>
        </is>
      </c>
      <c r="B1879" s="4" t="n">
        <v>13</v>
      </c>
      <c r="C1879" t="inlineStr"/>
      <c r="D1879" t="inlineStr">
        <is>
          <t>33758 Nordrhein-Westfalen - Schloß Holte-Stukenbrock</t>
        </is>
      </c>
      <c r="E1879" s="5" t="n">
        <v>45187</v>
      </c>
      <c r="F1879" t="inlineStr"/>
      <c r="G1879" s="6">
        <f>HYPERLINK("https://www.kleinanzeigen.de/s-anzeige/gun-sails-longsleeve/2549255512-230-1646", "Link")</f>
        <v/>
      </c>
      <c r="H1879" s="6">
        <f>HYPERLINK("C:\Projects\Kleinanzeigen-Scraper\offer_images\2549255512", "Link")</f>
        <v/>
      </c>
      <c r="I1879" t="inlineStr">
        <is>
          <t>Lisa</t>
        </is>
      </c>
      <c r="J1879" s="6">
        <f>HYPERLINK("https://www.kleinanzeigen.de/s-bestandsliste.html?userId=44034730", "Link")</f>
        <v/>
      </c>
      <c r="K1879" s="7" t="n">
        <v>45549.57589120371</v>
      </c>
      <c r="L1879" s="3" t="inlineStr">
        <is>
          <t>158.29</t>
        </is>
      </c>
      <c r="M1879" t="inlineStr">
        <is>
          <t>Köln</t>
        </is>
      </c>
    </row>
    <row r="1880">
      <c r="A1880" t="inlineStr">
        <is>
          <t>Kiteboarding Duotone Safety Leash</t>
        </is>
      </c>
      <c r="B1880" s="4" t="n">
        <v>35</v>
      </c>
      <c r="C1880" t="inlineStr">
        <is>
          <t>VB</t>
        </is>
      </c>
      <c r="D1880" t="inlineStr">
        <is>
          <t>24217 Schleswig-Holstein - Fiefbergen</t>
        </is>
      </c>
      <c r="E1880" s="5" t="n">
        <v>45538</v>
      </c>
      <c r="F1880" t="inlineStr">
        <is>
          <t>Sold</t>
        </is>
      </c>
      <c r="G1880" s="6">
        <f>HYPERLINK("https://www.kleinanzeigen.de/s-anzeige/kiteboarding-duotone-safety-leash/2853503355-230-26370", "Link")</f>
        <v/>
      </c>
      <c r="H1880" s="6">
        <f>HYPERLINK("C:\Projects\Kleinanzeigen-Scraper\offer_images\2853503355", "Link")</f>
        <v/>
      </c>
      <c r="I1880" t="inlineStr">
        <is>
          <t>Lars-Ole</t>
        </is>
      </c>
      <c r="J1880" s="6">
        <f>HYPERLINK("https://www.kleinanzeigen.de/s-bestandsliste.html?userId=87616456", "Link")</f>
        <v/>
      </c>
      <c r="K1880" s="7" t="n">
        <v>45549.57589120371</v>
      </c>
      <c r="L1880" s="3" t="inlineStr">
        <is>
          <t>447.79</t>
        </is>
      </c>
      <c r="M1880" t="inlineStr">
        <is>
          <t>Köln</t>
        </is>
      </c>
    </row>
    <row r="1881">
      <c r="A1881" t="inlineStr">
        <is>
          <t>Neilpryde Glide Foil Wing Foil Hydrofoil</t>
        </is>
      </c>
      <c r="B1881" s="4" t="n">
        <v>320</v>
      </c>
      <c r="C1881" t="inlineStr"/>
      <c r="D1881" t="inlineStr">
        <is>
          <t>18347 Darß - Dierhagen</t>
        </is>
      </c>
      <c r="E1881" s="5" t="n">
        <v>45542</v>
      </c>
      <c r="F1881" t="inlineStr">
        <is>
          <t>Sold</t>
        </is>
      </c>
      <c r="G1881" s="6">
        <f>HYPERLINK("https://www.kleinanzeigen.de/s-anzeige/neilpryde-glide-foil-wing-foil-hydrofoil/2856796860-230-17108", "Link")</f>
        <v/>
      </c>
      <c r="H1881" s="6">
        <f>HYPERLINK("C:\Projects\Kleinanzeigen-Scraper\offer_images\2856796860", "Link")</f>
        <v/>
      </c>
      <c r="I1881" t="inlineStr">
        <is>
          <t>Robert</t>
        </is>
      </c>
      <c r="J1881" s="6">
        <f>HYPERLINK("https://www.kleinanzeigen.de/s-bestandsliste.html?userId=7986076", "Link")</f>
        <v/>
      </c>
      <c r="K1881" s="7" t="n">
        <v>45549.57589120371</v>
      </c>
      <c r="L1881" s="3" t="inlineStr">
        <is>
          <t>519.05</t>
        </is>
      </c>
      <c r="M1881" t="inlineStr">
        <is>
          <t>Köln</t>
        </is>
      </c>
    </row>
    <row r="1882">
      <c r="A1882" t="inlineStr">
        <is>
          <t>Fanatic Flow Foil</t>
        </is>
      </c>
      <c r="B1882" s="4" t="n">
        <v>490</v>
      </c>
      <c r="C1882" t="inlineStr">
        <is>
          <t>VB</t>
        </is>
      </c>
      <c r="D1882" t="inlineStr">
        <is>
          <t>87561 Bayern - Oberstdorf</t>
        </is>
      </c>
      <c r="E1882" s="5" t="n">
        <v>45524</v>
      </c>
      <c r="F1882" t="inlineStr">
        <is>
          <t>Sold</t>
        </is>
      </c>
      <c r="G1882" s="6">
        <f>HYPERLINK("https://www.kleinanzeigen.de/s-anzeige/fanatic-flow-foil/2842166432-230-5529", "Link")</f>
        <v/>
      </c>
      <c r="H1882" s="6">
        <f>HYPERLINK("C:\Projects\Kleinanzeigen-Scraper\offer_images\2842166432", "Link")</f>
        <v/>
      </c>
      <c r="I1882" t="inlineStr">
        <is>
          <t>Sina Vogler</t>
        </is>
      </c>
      <c r="J1882" s="6">
        <f>HYPERLINK("https://www.kleinanzeigen.de/s-bestandsliste.html?userId=66897733", "Link")</f>
        <v/>
      </c>
      <c r="K1882" s="7" t="n">
        <v>45549.57589120371</v>
      </c>
      <c r="L1882" s="3" t="inlineStr">
        <is>
          <t>128.77</t>
        </is>
      </c>
      <c r="M1882" t="inlineStr">
        <is>
          <t>München</t>
        </is>
      </c>
    </row>
    <row r="1883">
      <c r="A1883" t="inlineStr">
        <is>
          <t>Duotone Dice SLS aus 2024 in 9qm</t>
        </is>
      </c>
      <c r="B1883" s="4" t="n">
        <v>1.2</v>
      </c>
      <c r="C1883" t="inlineStr">
        <is>
          <t>VB</t>
        </is>
      </c>
      <c r="D1883" t="inlineStr">
        <is>
          <t>17449 Mecklenburg-Vorpommern - Karlshagen</t>
        </is>
      </c>
      <c r="E1883" s="5" t="n">
        <v>45546</v>
      </c>
      <c r="F1883" t="inlineStr">
        <is>
          <t>Sold</t>
        </is>
      </c>
      <c r="G1883" s="6">
        <f>HYPERLINK("https://www.kleinanzeigen.de/s-anzeige/duotone-dice-sls-aus-2024-in-9qm/2859969484-230-21596", "Link")</f>
        <v/>
      </c>
      <c r="H1883" s="6">
        <f>HYPERLINK("C:\Projects\Kleinanzeigen-Scraper\offer_images\2859969484", "Link")</f>
        <v/>
      </c>
      <c r="I1883" t="inlineStr">
        <is>
          <t>Marcel</t>
        </is>
      </c>
      <c r="J1883" s="6">
        <f>HYPERLINK("https://www.kleinanzeigen.de/s-bestandsliste.html?userId=25123770", "Link")</f>
        <v/>
      </c>
      <c r="K1883" s="7" t="n">
        <v>45549.57589120371</v>
      </c>
      <c r="L1883" s="3" t="inlineStr">
        <is>
          <t>583.70</t>
        </is>
      </c>
      <c r="M1883" t="inlineStr">
        <is>
          <t>Köln</t>
        </is>
      </c>
    </row>
    <row r="1884">
      <c r="A1884" t="inlineStr">
        <is>
          <t>North London Thierry Henry Topps Arsenal Team set</t>
        </is>
      </c>
      <c r="B1884" s="4" t="inlineStr"/>
      <c r="C1884" t="inlineStr">
        <is>
          <t>VB</t>
        </is>
      </c>
      <c r="D1884" t="inlineStr">
        <is>
          <t>45475 Nordrhein-Westfalen - Mülheim (Ruhr)</t>
        </is>
      </c>
      <c r="E1884" s="5" t="n">
        <v>45540</v>
      </c>
      <c r="F1884" t="inlineStr">
        <is>
          <t>Sold</t>
        </is>
      </c>
      <c r="G1884" s="6">
        <f>HYPERLINK("https://www.kleinanzeigen.de/s-anzeige/north-london-thierry-henry-topps-arsenal-team-set/2854947044-234-1283", "Link")</f>
        <v/>
      </c>
      <c r="H1884" s="6">
        <f>HYPERLINK("C:\Projects\Kleinanzeigen-Scraper\offer_images\2854947044", "Link")</f>
        <v/>
      </c>
      <c r="I1884" t="inlineStr">
        <is>
          <t>Rico</t>
        </is>
      </c>
      <c r="J1884" s="6">
        <f>HYPERLINK("https://www.kleinanzeigen.de/s-bestandsliste.html?userId=133922686", "Link")</f>
        <v/>
      </c>
      <c r="K1884" s="7" t="n">
        <v>45549.57586805556</v>
      </c>
      <c r="L1884" s="3" t="inlineStr">
        <is>
          <t>57.78</t>
        </is>
      </c>
      <c r="M1884" t="inlineStr">
        <is>
          <t>Köln</t>
        </is>
      </c>
    </row>
    <row r="1885">
      <c r="A1885" t="inlineStr">
        <is>
          <t>Kite Bar f. Duotone Vegas Rebel Naish torch</t>
        </is>
      </c>
      <c r="B1885" s="4" t="n">
        <v>95</v>
      </c>
      <c r="C1885" t="inlineStr"/>
      <c r="D1885" t="inlineStr">
        <is>
          <t>71634 Baden-Württemberg - Ludwigsburg</t>
        </is>
      </c>
      <c r="E1885" s="5" t="n">
        <v>45537</v>
      </c>
      <c r="F1885" t="inlineStr">
        <is>
          <t>Sold</t>
        </is>
      </c>
      <c r="G1885" s="6">
        <f>HYPERLINK("https://www.kleinanzeigen.de/s-anzeige/kite-bar-f-duotone-vegas-rebel-naish-torch/2852694859-230-9065", "Link")</f>
        <v/>
      </c>
      <c r="H1885" s="6">
        <f>HYPERLINK("C:\Projects\Kleinanzeigen-Scraper\offer_images\2852694859", "Link")</f>
        <v/>
      </c>
      <c r="I1885" t="inlineStr">
        <is>
          <t>TPsixtyone</t>
        </is>
      </c>
      <c r="J1885" s="6">
        <f>HYPERLINK("https://www.kleinanzeigen.de/s-bestandsliste.html?userId=137859614", "Link")</f>
        <v/>
      </c>
      <c r="K1885" s="7" t="n">
        <v>45549.57586805556</v>
      </c>
      <c r="L1885" s="3" t="inlineStr">
        <is>
          <t>29.80</t>
        </is>
      </c>
      <c r="M1885" t="inlineStr">
        <is>
          <t>Böblingen</t>
        </is>
      </c>
    </row>
    <row r="1886">
      <c r="A1886" t="inlineStr">
        <is>
          <t>SUP Fanatic</t>
        </is>
      </c>
      <c r="B1886" s="4" t="n">
        <v>500</v>
      </c>
      <c r="C1886" t="inlineStr">
        <is>
          <t>VB</t>
        </is>
      </c>
      <c r="D1886" t="inlineStr">
        <is>
          <t>18239 Bad Doberan - Landkreis - Satow</t>
        </is>
      </c>
      <c r="E1886" s="5" t="n">
        <v>45527</v>
      </c>
      <c r="F1886" t="inlineStr">
        <is>
          <t>Sold</t>
        </is>
      </c>
      <c r="G1886" s="6">
        <f>HYPERLINK("https://www.kleinanzeigen.de/s-anzeige/sup-fanatic/2844535497-230-16581", "Link")</f>
        <v/>
      </c>
      <c r="H1886" s="6">
        <f>HYPERLINK("C:\Projects\Kleinanzeigen-Scraper\offer_images\2844535497", "Link")</f>
        <v/>
      </c>
      <c r="I1886" t="inlineStr">
        <is>
          <t>Andi</t>
        </is>
      </c>
      <c r="J1886" s="6">
        <f>HYPERLINK("https://www.kleinanzeigen.de/s-bestandsliste.html?userId=85654154", "Link")</f>
        <v/>
      </c>
      <c r="K1886" s="7" t="n">
        <v>45549.57586805556</v>
      </c>
      <c r="L1886" s="3" t="inlineStr">
        <is>
          <t>476.15</t>
        </is>
      </c>
      <c r="M1886" t="inlineStr">
        <is>
          <t>Köln</t>
        </is>
      </c>
    </row>
    <row r="1887">
      <c r="A1887" t="inlineStr">
        <is>
          <t>Naish Pivot 5 2023</t>
        </is>
      </c>
      <c r="B1887" s="4" t="n">
        <v>400</v>
      </c>
      <c r="C1887" t="inlineStr"/>
      <c r="D1887" t="inlineStr">
        <is>
          <t>14163 Berlin - Zehlendorf</t>
        </is>
      </c>
      <c r="E1887" s="5" t="n">
        <v>45531</v>
      </c>
      <c r="F1887" t="inlineStr">
        <is>
          <t>Sold</t>
        </is>
      </c>
      <c r="G1887" s="6">
        <f>HYPERLINK("https://www.kleinanzeigen.de/s-anzeige/naish-pivot-5-2023/2847551667-230-3527", "Link")</f>
        <v/>
      </c>
      <c r="H1887" s="6">
        <f>HYPERLINK("C:\Projects\Kleinanzeigen-Scraper\offer_images\2847551667", "Link")</f>
        <v/>
      </c>
      <c r="I1887" t="inlineStr">
        <is>
          <t>Can</t>
        </is>
      </c>
      <c r="J1887" s="6">
        <f>HYPERLINK("https://www.kleinanzeigen.de/s-bestandsliste.html?userId=38650025", "Link")</f>
        <v/>
      </c>
      <c r="K1887" s="7" t="n">
        <v>45549.57586805556</v>
      </c>
      <c r="L1887" s="3" t="inlineStr">
        <is>
          <t>464.44</t>
        </is>
      </c>
      <c r="M1887" t="inlineStr">
        <is>
          <t>Köln</t>
        </is>
      </c>
    </row>
    <row r="1888">
      <c r="A1888" t="inlineStr">
        <is>
          <t>Starboard Paddel Lima Tikki Tech Blue 2020</t>
        </is>
      </c>
      <c r="B1888" s="4" t="n">
        <v>110</v>
      </c>
      <c r="C1888" t="inlineStr">
        <is>
          <t>VB</t>
        </is>
      </c>
      <c r="D1888" t="inlineStr">
        <is>
          <t>81371 München - Sendling</t>
        </is>
      </c>
      <c r="E1888" s="5" t="n">
        <v>45536</v>
      </c>
      <c r="F1888" t="inlineStr"/>
      <c r="G1888" s="6">
        <f>HYPERLINK("https://www.kleinanzeigen.de/s-anzeige/starboard-paddel-lima-tikki-tech-blue-2020/2852024868-230-6416", "Link")</f>
        <v/>
      </c>
      <c r="H1888" s="6">
        <f>HYPERLINK("C:\Projects\Kleinanzeigen-Scraper\offer_images\2852024868", "Link")</f>
        <v/>
      </c>
      <c r="I1888" t="inlineStr">
        <is>
          <t>Andi</t>
        </is>
      </c>
      <c r="J1888" s="6">
        <f>HYPERLINK("https://www.kleinanzeigen.de/s-bestandsliste.html?userId=65611754", "Link")</f>
        <v/>
      </c>
      <c r="K1888" s="7" t="n">
        <v>45549.57586805556</v>
      </c>
      <c r="L1888" s="3" t="inlineStr">
        <is>
          <t>2.76</t>
        </is>
      </c>
      <c r="M1888" t="inlineStr">
        <is>
          <t>München</t>
        </is>
      </c>
    </row>
    <row r="1889">
      <c r="A1889" t="inlineStr">
        <is>
          <t>North Rebel 8m2, 10m2, 12m2 inklusive Bar ( jetzt Duotone)</t>
        </is>
      </c>
      <c r="B1889" s="4" t="n">
        <v>950</v>
      </c>
      <c r="C1889" t="inlineStr">
        <is>
          <t>VB</t>
        </is>
      </c>
      <c r="D1889" t="inlineStr">
        <is>
          <t>26655 Niedersachsen - Westerstede</t>
        </is>
      </c>
      <c r="E1889" s="5" t="n">
        <v>45537</v>
      </c>
      <c r="F1889" t="inlineStr">
        <is>
          <t>Sold</t>
        </is>
      </c>
      <c r="G1889" s="6">
        <f>HYPERLINK("https://www.kleinanzeigen.de/s-anzeige/north-rebel-8m2-10m2-12m2-inklusive-bar-jetzt-duotone-/2852466195-230-2641", "Link")</f>
        <v/>
      </c>
      <c r="H1889" s="6">
        <f>HYPERLINK("C:\Projects\Kleinanzeigen-Scraper\offer_images\2852466195", "Link")</f>
        <v/>
      </c>
      <c r="I1889" t="inlineStr">
        <is>
          <t>Enrico</t>
        </is>
      </c>
      <c r="J1889" s="6">
        <f>HYPERLINK("https://www.kleinanzeigen.de/s-bestandsliste.html?userId=37855769", "Link")</f>
        <v/>
      </c>
      <c r="K1889" s="7" t="n">
        <v>45549.57586805556</v>
      </c>
      <c r="L1889" s="3" t="inlineStr">
        <is>
          <t>268.59</t>
        </is>
      </c>
      <c r="M1889" t="inlineStr">
        <is>
          <t>Köln</t>
        </is>
      </c>
    </row>
    <row r="1890">
      <c r="A1890" t="inlineStr">
        <is>
          <t>Neilpryde Glide HP Backwing 2,5</t>
        </is>
      </c>
      <c r="B1890" s="4" t="n">
        <v>70</v>
      </c>
      <c r="C1890" t="inlineStr">
        <is>
          <t>VB</t>
        </is>
      </c>
      <c r="D1890" t="inlineStr">
        <is>
          <t>27419 Niedersachsen - Sittensen</t>
        </is>
      </c>
      <c r="E1890" s="5" t="n">
        <v>45535</v>
      </c>
      <c r="F1890" t="inlineStr">
        <is>
          <t>Sold</t>
        </is>
      </c>
      <c r="G1890" s="6">
        <f>HYPERLINK("https://www.kleinanzeigen.de/s-anzeige/neilpryde-glide-hp-backwing-2-5/2850765441-230-17302", "Link")</f>
        <v/>
      </c>
      <c r="H1890" s="6">
        <f>HYPERLINK("C:\Projects\Kleinanzeigen-Scraper\offer_images\2850765441", "Link")</f>
        <v/>
      </c>
      <c r="I1890" t="inlineStr">
        <is>
          <t>Olaf</t>
        </is>
      </c>
      <c r="J1890" s="6">
        <f>HYPERLINK("https://www.kleinanzeigen.de/s-bestandsliste.html?userId=12991662", "Link")</f>
        <v/>
      </c>
      <c r="K1890" s="7" t="n">
        <v>45549.57584490741</v>
      </c>
      <c r="L1890" s="3" t="inlineStr">
        <is>
          <t>314.80</t>
        </is>
      </c>
      <c r="M1890" t="inlineStr">
        <is>
          <t>Köln</t>
        </is>
      </c>
    </row>
    <row r="1891">
      <c r="A1891" t="inlineStr">
        <is>
          <t>Extrafeine Künstler-Pastellkreiden C. Kreul Goya</t>
        </is>
      </c>
      <c r="B1891" s="4" t="n">
        <v>75</v>
      </c>
      <c r="C1891" t="inlineStr">
        <is>
          <t>VB</t>
        </is>
      </c>
      <c r="D1891" t="inlineStr">
        <is>
          <t>94036 Kr. Passau - Passau</t>
        </is>
      </c>
      <c r="E1891" s="5" t="n">
        <v>45270</v>
      </c>
      <c r="F1891" t="inlineStr"/>
      <c r="G1891" s="6">
        <f>HYPERLINK("https://www.kleinanzeigen.de/s-anzeige/extrafeine-kuenstler-pastellkreiden-c-kreul-goya/2625918530-282-7480", "Link")</f>
        <v/>
      </c>
      <c r="H1891" s="6">
        <f>HYPERLINK("C:\Projects\Kleinanzeigen-Scraper\offer_images\2625918530", "Link")</f>
        <v/>
      </c>
      <c r="I1891" t="inlineStr">
        <is>
          <t>Mizu</t>
        </is>
      </c>
      <c r="J1891" s="6">
        <f>HYPERLINK("https://www.kleinanzeigen.de/s-bestandsliste.html?userId=22836209", "Link")</f>
        <v/>
      </c>
      <c r="K1891" s="7" t="n">
        <v>45549.57584490741</v>
      </c>
      <c r="L1891" s="3" t="inlineStr">
        <is>
          <t>142.54</t>
        </is>
      </c>
      <c r="M1891" t="inlineStr">
        <is>
          <t>München</t>
        </is>
      </c>
    </row>
    <row r="1892">
      <c r="A1892" t="inlineStr">
        <is>
          <t>Naish Pivot 10qm 2024</t>
        </is>
      </c>
      <c r="B1892" s="4" t="n">
        <v>849</v>
      </c>
      <c r="C1892" t="inlineStr"/>
      <c r="D1892" t="inlineStr">
        <is>
          <t>20535 Hamburg-Mitte - Hamburg Hamm</t>
        </is>
      </c>
      <c r="E1892" s="5" t="n">
        <v>45519</v>
      </c>
      <c r="F1892" t="inlineStr"/>
      <c r="G1892" s="6">
        <f>HYPERLINK("https://www.kleinanzeigen.de/s-anzeige/naish-pivot-10qm-2024/2837382323-230-9425", "Link")</f>
        <v/>
      </c>
      <c r="H1892" s="6">
        <f>HYPERLINK("C:\Projects\Kleinanzeigen-Scraper\offer_images\2837382323", "Link")</f>
        <v/>
      </c>
      <c r="I1892" t="inlineStr">
        <is>
          <t>Sebastian Dannenberg</t>
        </is>
      </c>
      <c r="J1892" s="6">
        <f>HYPERLINK("https://www.kleinanzeigen.de/s-bestandsliste.html?userId=24007699", "Link")</f>
        <v/>
      </c>
      <c r="K1892" s="7" t="n">
        <v>45549.57584490741</v>
      </c>
      <c r="L1892" s="3" t="inlineStr">
        <is>
          <t>359.68</t>
        </is>
      </c>
      <c r="M1892" t="inlineStr">
        <is>
          <t>Köln</t>
        </is>
      </c>
    </row>
    <row r="1893">
      <c r="A1893" t="inlineStr">
        <is>
          <t>Duotone Neo 10qm  aus 2019 - Neuwertig</t>
        </is>
      </c>
      <c r="B1893" s="4" t="n">
        <v>400</v>
      </c>
      <c r="C1893" t="inlineStr"/>
      <c r="D1893" t="inlineStr">
        <is>
          <t>68259 Baden-Württemberg - Mannheim</t>
        </is>
      </c>
      <c r="E1893" s="5" t="n">
        <v>45545</v>
      </c>
      <c r="F1893" t="inlineStr">
        <is>
          <t>Sold</t>
        </is>
      </c>
      <c r="G1893" s="6">
        <f>HYPERLINK("https://www.kleinanzeigen.de/s-anzeige/duotone-neo-10qm-aus-2019-neuwertig/2859864479-230-7975", "Link")</f>
        <v/>
      </c>
      <c r="H1893" s="6">
        <f>HYPERLINK("C:\Projects\Kleinanzeigen-Scraper\offer_images\2859864479", "Link")</f>
        <v/>
      </c>
      <c r="I1893" t="inlineStr">
        <is>
          <t>Michi</t>
        </is>
      </c>
      <c r="J1893" s="6">
        <f>HYPERLINK("https://www.kleinanzeigen.de/s-bestandsliste.html?userId=37209166", "Link")</f>
        <v/>
      </c>
      <c r="K1893" s="7" t="n">
        <v>45549.57584490741</v>
      </c>
      <c r="L1893" s="3" t="inlineStr">
        <is>
          <t>56.44</t>
        </is>
      </c>
      <c r="M1893" t="inlineStr">
        <is>
          <t>Karlsruhe</t>
        </is>
      </c>
    </row>
    <row r="1894">
      <c r="A1894" t="inlineStr">
        <is>
          <t>KREUL Solo GOYA Acrylic 32x20ml - NEU</t>
        </is>
      </c>
      <c r="B1894" s="4" t="n">
        <v>33</v>
      </c>
      <c r="C1894" t="inlineStr">
        <is>
          <t>VB</t>
        </is>
      </c>
      <c r="D1894" t="inlineStr">
        <is>
          <t>88400 Baden-Württemberg - Biberach an der Riß</t>
        </is>
      </c>
      <c r="E1894" s="5" t="n">
        <v>44998</v>
      </c>
      <c r="F1894" t="inlineStr"/>
      <c r="G1894" s="6">
        <f>HYPERLINK("https://www.kleinanzeigen.de/s-anzeige/kreul-solo-goya-acrylic-32x20ml-neu/2384389141-282-8706", "Link")</f>
        <v/>
      </c>
      <c r="H1894" s="6">
        <f>HYPERLINK("C:\Projects\Kleinanzeigen-Scraper\offer_images\2384389141", "Link")</f>
        <v/>
      </c>
      <c r="I1894" t="inlineStr">
        <is>
          <t>SI</t>
        </is>
      </c>
      <c r="J1894" s="6">
        <f>HYPERLINK("https://www.kleinanzeigen.de/s-bestandsliste.html?userId=72811767", "Link")</f>
        <v/>
      </c>
      <c r="K1894" s="7" t="n">
        <v>45549.57584490741</v>
      </c>
      <c r="L1894" s="3" t="inlineStr">
        <is>
          <t>89.53</t>
        </is>
      </c>
      <c r="M1894" t="inlineStr">
        <is>
          <t>Böblingen</t>
        </is>
      </c>
    </row>
    <row r="1895">
      <c r="A1895" t="inlineStr">
        <is>
          <t>RRD Religion Kite MK6 -- 10,5qm --- sehr guter Zustand</t>
        </is>
      </c>
      <c r="B1895" s="4" t="n">
        <v>199</v>
      </c>
      <c r="C1895" t="inlineStr"/>
      <c r="D1895" t="inlineStr">
        <is>
          <t>75382 Baden-Württemberg - Althengstett</t>
        </is>
      </c>
      <c r="E1895" s="5" t="n">
        <v>45473</v>
      </c>
      <c r="F1895" t="inlineStr">
        <is>
          <t>Sold</t>
        </is>
      </c>
      <c r="G1895" s="6">
        <f>HYPERLINK("https://www.kleinanzeigen.de/s-anzeige/rrd-religion-kite-mk6-10-5qm-sehr-guter-zustand/2800374571-230-8769", "Link")</f>
        <v/>
      </c>
      <c r="H1895" s="6">
        <f>HYPERLINK("C:\Projects\Kleinanzeigen-Scraper\offer_images\2800374571", "Link")</f>
        <v/>
      </c>
      <c r="I1895" t="inlineStr">
        <is>
          <t>Andreas</t>
        </is>
      </c>
      <c r="J1895" s="6">
        <f>HYPERLINK("https://www.kleinanzeigen.de/s-bestandsliste.html?userId=33461646", "Link")</f>
        <v/>
      </c>
      <c r="K1895" s="7" t="n">
        <v>45549.57584490741</v>
      </c>
      <c r="L1895" s="3" t="inlineStr">
        <is>
          <t>14.99</t>
        </is>
      </c>
      <c r="M1895" t="inlineStr">
        <is>
          <t>Böblingen</t>
        </is>
      </c>
    </row>
    <row r="1896">
      <c r="A1896" t="inlineStr">
        <is>
          <t>RRD Religion Kite MK7 -- 9qm --- sehr guter Zustand</t>
        </is>
      </c>
      <c r="B1896" s="4" t="n">
        <v>230</v>
      </c>
      <c r="C1896" t="inlineStr"/>
      <c r="D1896" t="inlineStr">
        <is>
          <t>75382 Baden-Württemberg - Althengstett</t>
        </is>
      </c>
      <c r="E1896" s="5" t="n">
        <v>45473</v>
      </c>
      <c r="F1896" t="inlineStr">
        <is>
          <t>Sold</t>
        </is>
      </c>
      <c r="G1896" s="6">
        <f>HYPERLINK("https://www.kleinanzeigen.de/s-anzeige/rrd-religion-kite-mk7-9qm-sehr-guter-zustand/2800381193-230-8769", "Link")</f>
        <v/>
      </c>
      <c r="H1896" s="6">
        <f>HYPERLINK("C:\Projects\Kleinanzeigen-Scraper\offer_images\2800381193", "Link")</f>
        <v/>
      </c>
      <c r="I1896" t="inlineStr">
        <is>
          <t>Andreas</t>
        </is>
      </c>
      <c r="J1896" s="6">
        <f>HYPERLINK("https://www.kleinanzeigen.de/s-bestandsliste.html?userId=33461646", "Link")</f>
        <v/>
      </c>
      <c r="K1896" s="7" t="n">
        <v>45549.57583333334</v>
      </c>
      <c r="L1896" s="3" t="inlineStr">
        <is>
          <t>14.99</t>
        </is>
      </c>
      <c r="M1896" t="inlineStr">
        <is>
          <t>Böblingen</t>
        </is>
      </c>
    </row>
    <row r="1897">
      <c r="A1897" t="inlineStr">
        <is>
          <t>Wakeboardweste Damen Naish XS - neu</t>
        </is>
      </c>
      <c r="B1897" s="4" t="n">
        <v>35</v>
      </c>
      <c r="C1897" t="inlineStr">
        <is>
          <t>VB</t>
        </is>
      </c>
      <c r="D1897" t="inlineStr">
        <is>
          <t>26127 Niedersachsen - Oldenburg</t>
        </is>
      </c>
      <c r="E1897" s="5" t="n">
        <v>45509</v>
      </c>
      <c r="F1897" t="inlineStr"/>
      <c r="G1897" s="6">
        <f>HYPERLINK("https://www.kleinanzeigen.de/s-anzeige/wakeboardweste-damen-naish-xs-neu/2830077027-230-3112", "Link")</f>
        <v/>
      </c>
      <c r="H1897" s="6">
        <f>HYPERLINK("C:\Projects\Kleinanzeigen-Scraper\offer_images\2830077027", "Link")</f>
        <v/>
      </c>
      <c r="I1897" t="inlineStr">
        <is>
          <t>Mike</t>
        </is>
      </c>
      <c r="J1897" s="6">
        <f>HYPERLINK("https://www.kleinanzeigen.de/s-bestandsliste.html?userId=42957432", "Link")</f>
        <v/>
      </c>
      <c r="K1897" s="7" t="n">
        <v>45549.57582175926</v>
      </c>
      <c r="L1897" s="3" t="inlineStr">
        <is>
          <t>262.05</t>
        </is>
      </c>
      <c r="M1897" t="inlineStr">
        <is>
          <t>Köln</t>
        </is>
      </c>
    </row>
    <row r="1898">
      <c r="A1898" t="inlineStr">
        <is>
          <t>Kiteboard Tisch Stuhl Bank  North Hadlow</t>
        </is>
      </c>
      <c r="B1898" s="4" t="n">
        <v>150</v>
      </c>
      <c r="C1898" t="inlineStr"/>
      <c r="D1898" t="inlineStr">
        <is>
          <t>25336 Schleswig-Holstein - Elmshorn</t>
        </is>
      </c>
      <c r="E1898" s="5" t="n">
        <v>45542</v>
      </c>
      <c r="F1898" t="inlineStr">
        <is>
          <t>Sold</t>
        </is>
      </c>
      <c r="G1898" s="6">
        <f>HYPERLINK("https://www.kleinanzeigen.de/s-anzeige/kiteboard-tisch-stuhl-bank-north-hadlow/2856281195-230-19115", "Link")</f>
        <v/>
      </c>
      <c r="H1898" s="6">
        <f>HYPERLINK("C:\Projects\Kleinanzeigen-Scraper\offer_images\2856281195", "Link")</f>
        <v/>
      </c>
      <c r="I1898" t="inlineStr">
        <is>
          <t>Huesi</t>
        </is>
      </c>
      <c r="J1898" s="6">
        <f>HYPERLINK("https://www.kleinanzeigen.de/s-bestandsliste.html?userId=8084035", "Link")</f>
        <v/>
      </c>
      <c r="K1898" s="7" t="n">
        <v>45549.57581018518</v>
      </c>
      <c r="L1898" s="3" t="inlineStr">
        <is>
          <t>361.17</t>
        </is>
      </c>
      <c r="M1898" t="inlineStr">
        <is>
          <t>Köln</t>
        </is>
      </c>
    </row>
    <row r="1899">
      <c r="A1899" t="inlineStr">
        <is>
          <t>Kite: Naish Pivot S26 // 12qm *Sehr guter Zustand*</t>
        </is>
      </c>
      <c r="B1899" s="4" t="n">
        <v>780</v>
      </c>
      <c r="C1899" t="inlineStr">
        <is>
          <t>VB</t>
        </is>
      </c>
      <c r="D1899" t="inlineStr">
        <is>
          <t>20459 Hamburg-Mitte - Hamburg Neustadt</t>
        </is>
      </c>
      <c r="E1899" s="5" t="n">
        <v>45551</v>
      </c>
      <c r="F1899" t="inlineStr">
        <is>
          <t>Sold</t>
        </is>
      </c>
      <c r="G1899" s="6">
        <f>HYPERLINK("https://www.kleinanzeigen.de/s-anzeige/kite-naish-pivot-s26-12qm-sehr-guter-zustand-/2840730304-230-9422", "Link")</f>
        <v/>
      </c>
      <c r="H1899" s="6">
        <f>HYPERLINK("C:\Projects\Kleinanzeigen-Scraper\offer_images\2840730304", "Link")</f>
        <v/>
      </c>
      <c r="I1899" t="inlineStr">
        <is>
          <t>Simon J.</t>
        </is>
      </c>
      <c r="J1899" s="6">
        <f>HYPERLINK("https://www.kleinanzeigen.de/s-bestandsliste.html?userId=24665216", "Link")</f>
        <v/>
      </c>
      <c r="K1899" s="7" t="n">
        <v>45549.57578703704</v>
      </c>
      <c r="L1899" s="3" t="inlineStr">
        <is>
          <t>355.64</t>
        </is>
      </c>
      <c r="M1899" t="inlineStr">
        <is>
          <t>Köln</t>
        </is>
      </c>
    </row>
    <row r="1900">
      <c r="A1900" t="inlineStr">
        <is>
          <t>Neoprenanzug Neilpryde M</t>
        </is>
      </c>
      <c r="B1900" s="4" t="n">
        <v>50</v>
      </c>
      <c r="C1900" t="inlineStr"/>
      <c r="D1900" t="inlineStr">
        <is>
          <t>08529 Sachsen - Plauen</t>
        </is>
      </c>
      <c r="E1900" s="5" t="n">
        <v>45470</v>
      </c>
      <c r="F1900" t="inlineStr">
        <is>
          <t>Sold</t>
        </is>
      </c>
      <c r="G1900" s="6">
        <f>HYPERLINK("https://www.kleinanzeigen.de/s-anzeige/neoprenanzug-neilpryde-m/2798110254-230-4225", "Link")</f>
        <v/>
      </c>
      <c r="H1900" s="6">
        <f>HYPERLINK("C:\Projects\Kleinanzeigen-Scraper\offer_images\2798110254", "Link")</f>
        <v/>
      </c>
      <c r="I1900" t="inlineStr">
        <is>
          <t>Roland</t>
        </is>
      </c>
      <c r="J1900" s="6">
        <f>HYPERLINK("https://www.kleinanzeigen.de/s-bestandsliste.html?userId=36199234", "Link")</f>
        <v/>
      </c>
      <c r="K1900" s="7" t="n">
        <v>45549.57576388889</v>
      </c>
      <c r="L1900" s="3" t="inlineStr">
        <is>
          <t>265.79</t>
        </is>
      </c>
      <c r="M1900" t="inlineStr">
        <is>
          <t>München</t>
        </is>
      </c>
    </row>
    <row r="1901">
      <c r="A1901" t="inlineStr">
        <is>
          <t>Mystic Vandal Pro Helm Helmet XL/XXL wakeboard kitesurfing</t>
        </is>
      </c>
      <c r="B1901" s="4" t="n">
        <v>55</v>
      </c>
      <c r="C1901" t="inlineStr"/>
      <c r="D1901" t="inlineStr">
        <is>
          <t>60596 Frankfurt am Main - Sachsenhausen</t>
        </is>
      </c>
      <c r="E1901" s="5" t="n">
        <v>45528</v>
      </c>
      <c r="F1901" t="inlineStr">
        <is>
          <t>Sold</t>
        </is>
      </c>
      <c r="G1901" s="6">
        <f>HYPERLINK("https://www.kleinanzeigen.de/s-anzeige/mystic-vandal-pro-helm-helmet-xl-xxl-wakeboard-kitesurfing/2844983064-230-4317", "Link")</f>
        <v/>
      </c>
      <c r="H1901" s="6">
        <f>HYPERLINK("C:\Projects\Kleinanzeigen-Scraper\offer_images\2844983064", "Link")</f>
        <v/>
      </c>
      <c r="I1901" t="inlineStr">
        <is>
          <t>Niklas Frieling</t>
        </is>
      </c>
      <c r="J1901" s="6">
        <f>HYPERLINK("https://www.kleinanzeigen.de/s-bestandsliste.html?userId=30376377", "Link")</f>
        <v/>
      </c>
      <c r="K1901" s="7" t="n">
        <v>45549.57576388889</v>
      </c>
      <c r="L1901" s="3" t="inlineStr">
        <is>
          <t>123.13</t>
        </is>
      </c>
      <c r="M1901" t="inlineStr">
        <is>
          <t>Karlsruhe</t>
        </is>
      </c>
    </row>
    <row r="1902">
      <c r="A1902" t="inlineStr">
        <is>
          <t>Kite North Vegas 14 m</t>
        </is>
      </c>
      <c r="B1902" s="4" t="n">
        <v>150</v>
      </c>
      <c r="C1902" t="inlineStr"/>
      <c r="D1902" t="inlineStr">
        <is>
          <t>10827 Berlin - Schöneberg</t>
        </is>
      </c>
      <c r="E1902" s="5" t="n">
        <v>45548</v>
      </c>
      <c r="F1902" t="inlineStr">
        <is>
          <t>Sold</t>
        </is>
      </c>
      <c r="G1902" s="6">
        <f>HYPERLINK("https://www.kleinanzeigen.de/s-anzeige/kite-north-vegas-14-m/2862071479-230-3447", "Link")</f>
        <v/>
      </c>
      <c r="H1902" s="6">
        <f>HYPERLINK("C:\Projects\Kleinanzeigen-Scraper\offer_images\2862071479", "Link")</f>
        <v/>
      </c>
      <c r="I1902" t="inlineStr">
        <is>
          <t>Till</t>
        </is>
      </c>
      <c r="J1902" s="6">
        <f>HYPERLINK("https://www.kleinanzeigen.de/s-bestandsliste.html?userId=31270150", "Link")</f>
        <v/>
      </c>
      <c r="K1902" s="7" t="n">
        <v>45549.57576388889</v>
      </c>
      <c r="L1902" s="3" t="inlineStr">
        <is>
          <t>473.04</t>
        </is>
      </c>
      <c r="M1902" t="inlineStr">
        <is>
          <t>Köln</t>
        </is>
      </c>
    </row>
    <row r="1903">
      <c r="A1903" t="inlineStr">
        <is>
          <t>DUOTONE Juice 2020 17m² CC12:red *Testkite*</t>
        </is>
      </c>
      <c r="B1903" s="4" t="n">
        <v>1.138</v>
      </c>
      <c r="C1903" t="inlineStr"/>
      <c r="D1903" t="inlineStr">
        <is>
          <t>17509 Mecklenburg-Vorpommern - Loissin</t>
        </is>
      </c>
      <c r="E1903" s="5" t="n">
        <v>45547</v>
      </c>
      <c r="F1903" t="inlineStr">
        <is>
          <t>Sold</t>
        </is>
      </c>
      <c r="G1903" s="6">
        <f>HYPERLINK("https://www.kleinanzeigen.de/s-anzeige/duotone-juice-2020-17m-cc12-red-testkite-/2735356208-230-21340", "Link")</f>
        <v/>
      </c>
      <c r="H1903" s="6">
        <f>HYPERLINK("C:\Projects\Kleinanzeigen-Scraper\offer_images\2735356208", "Link")</f>
        <v/>
      </c>
      <c r="I1903" t="inlineStr">
        <is>
          <t>No user name</t>
        </is>
      </c>
      <c r="J1903" s="6">
        <f>HYPERLINK("https://www.kleinanzeigen.deNo user link", "Link")</f>
        <v/>
      </c>
      <c r="K1903" s="7" t="n">
        <v>45549.57576388889</v>
      </c>
      <c r="L1903" s="3" t="inlineStr">
        <is>
          <t>568.47</t>
        </is>
      </c>
      <c r="M1903" t="inlineStr">
        <is>
          <t>Köln</t>
        </is>
      </c>
    </row>
    <row r="1904">
      <c r="A1904" t="inlineStr">
        <is>
          <t>DUOTONE Juice 2020 17m² CC12:red *Testkite*</t>
        </is>
      </c>
      <c r="B1904" s="4" t="n">
        <v>1.138</v>
      </c>
      <c r="C1904" t="inlineStr"/>
      <c r="D1904" t="inlineStr">
        <is>
          <t>17509 Mecklenburg-Vorpommern - Loissin</t>
        </is>
      </c>
      <c r="E1904" s="5" t="n">
        <v>45547</v>
      </c>
      <c r="F1904" t="inlineStr">
        <is>
          <t>Sold</t>
        </is>
      </c>
      <c r="G1904" s="6">
        <f>HYPERLINK("https://www.kleinanzeigen.de/s-anzeige/duotone-juice-2020-17m-cc12-red-testkite-/2735356094-230-21340", "Link")</f>
        <v/>
      </c>
      <c r="H1904" s="6">
        <f>HYPERLINK("C:\Projects\Kleinanzeigen-Scraper\offer_images\2735356094", "Link")</f>
        <v/>
      </c>
      <c r="I1904" t="inlineStr">
        <is>
          <t>No user name</t>
        </is>
      </c>
      <c r="J1904" s="6">
        <f>HYPERLINK("https://www.kleinanzeigen.deNo user link", "Link")</f>
        <v/>
      </c>
      <c r="K1904" s="7" t="n">
        <v>45549.57574074074</v>
      </c>
      <c r="L1904" s="3" t="inlineStr">
        <is>
          <t>568.47</t>
        </is>
      </c>
      <c r="M1904" t="inlineStr">
        <is>
          <t>Köln</t>
        </is>
      </c>
    </row>
    <row r="1905">
      <c r="A1905" t="inlineStr">
        <is>
          <t>The North Face Laufshirt</t>
        </is>
      </c>
      <c r="B1905" s="4" t="n">
        <v>25</v>
      </c>
      <c r="C1905" t="inlineStr">
        <is>
          <t>VB</t>
        </is>
      </c>
      <c r="D1905" t="inlineStr">
        <is>
          <t>30171 Hannover - Südstadt-Bult</t>
        </is>
      </c>
      <c r="E1905" s="5" t="n">
        <v>45545</v>
      </c>
      <c r="F1905" t="inlineStr">
        <is>
          <t>Sold</t>
        </is>
      </c>
      <c r="G1905" s="6">
        <f>HYPERLINK("https://www.kleinanzeigen.de/s-anzeige/the-north-face-laufshirt/2859497567-230-3162", "Link")</f>
        <v/>
      </c>
      <c r="H1905" s="6">
        <f>HYPERLINK("C:\Projects\Kleinanzeigen-Scraper\offer_images\2859497567", "Link")</f>
        <v/>
      </c>
      <c r="I1905" t="inlineStr">
        <is>
          <t>Niklas</t>
        </is>
      </c>
      <c r="J1905" s="6">
        <f>HYPERLINK("https://www.kleinanzeigen.de/s-bestandsliste.html?userId=75961006", "Link")</f>
        <v/>
      </c>
      <c r="K1905" s="7" t="n">
        <v>45549.57574074074</v>
      </c>
      <c r="L1905" s="3" t="inlineStr">
        <is>
          <t>249.94</t>
        </is>
      </c>
      <c r="M1905" t="inlineStr">
        <is>
          <t>Köln</t>
        </is>
      </c>
    </row>
    <row r="1906">
      <c r="A1906" t="inlineStr">
        <is>
          <t>Naish Slash S26 Kites 6m 8m 10m Torque Bar</t>
        </is>
      </c>
      <c r="B1906" s="4" t="n">
        <v>1.58</v>
      </c>
      <c r="C1906" t="inlineStr"/>
      <c r="D1906" t="inlineStr">
        <is>
          <t>22523 Eimsbüttel - Hamburg Eidelstedt</t>
        </is>
      </c>
      <c r="E1906" s="5" t="n">
        <v>45523</v>
      </c>
      <c r="F1906" t="inlineStr">
        <is>
          <t>Sold</t>
        </is>
      </c>
      <c r="G1906" s="6">
        <f>HYPERLINK("https://www.kleinanzeigen.de/s-anzeige/naish-slash-s26-kites-6m-8m-10m-torque-bar/2840765258-230-9437", "Link")</f>
        <v/>
      </c>
      <c r="H1906" s="6">
        <f>HYPERLINK("C:\Projects\Kleinanzeigen-Scraper\offer_images\2840765258", "Link")</f>
        <v/>
      </c>
      <c r="I1906" t="inlineStr">
        <is>
          <t>ivo moring</t>
        </is>
      </c>
      <c r="J1906" s="6">
        <f>HYPERLINK("https://www.kleinanzeigen.de/s-bestandsliste.html?userId=124350609", "Link")</f>
        <v/>
      </c>
      <c r="K1906" s="7" t="n">
        <v>45549.57574074074</v>
      </c>
      <c r="L1906" s="3" t="inlineStr">
        <is>
          <t>358.62</t>
        </is>
      </c>
      <c r="M1906" t="inlineStr">
        <is>
          <t>Köln</t>
        </is>
      </c>
    </row>
    <row r="1907">
      <c r="A1907" t="inlineStr">
        <is>
          <t>Fanatic RAY AIR PREMIUM/C35   12,6" Package</t>
        </is>
      </c>
      <c r="B1907" s="4" t="n">
        <v>699</v>
      </c>
      <c r="C1907" t="inlineStr">
        <is>
          <t>VB</t>
        </is>
      </c>
      <c r="D1907" t="inlineStr">
        <is>
          <t>54311 Rheinland-Pfalz - Trierweiler</t>
        </is>
      </c>
      <c r="E1907" s="5" t="n">
        <v>45525</v>
      </c>
      <c r="F1907" t="inlineStr">
        <is>
          <t>Sold</t>
        </is>
      </c>
      <c r="G1907" s="6">
        <f>HYPERLINK("https://www.kleinanzeigen.de/s-anzeige/fanatic-ray-air-premium-c35-12-6-package/2843077479-230-5464", "Link")</f>
        <v/>
      </c>
      <c r="H1907" s="6">
        <f>HYPERLINK("C:\Projects\Kleinanzeigen-Scraper\offer_images\2843077479", "Link")</f>
        <v/>
      </c>
      <c r="I1907" t="inlineStr">
        <is>
          <t>Thomas</t>
        </is>
      </c>
      <c r="J1907" s="6">
        <f>HYPERLINK("https://www.kleinanzeigen.de/s-bestandsliste.html?userId=8868577", "Link")</f>
        <v/>
      </c>
      <c r="K1907" s="7" t="n">
        <v>45549.57574074074</v>
      </c>
      <c r="L1907" s="3" t="inlineStr">
        <is>
          <t>134.12</t>
        </is>
      </c>
      <c r="M1907" t="inlineStr">
        <is>
          <t>Köln</t>
        </is>
      </c>
    </row>
    <row r="1908">
      <c r="A1908" t="inlineStr">
        <is>
          <t>Kite Duotone Evo SLS 7qm 7.0 vanilla 2023</t>
        </is>
      </c>
      <c r="B1908" s="4" t="n">
        <v>1</v>
      </c>
      <c r="C1908" t="inlineStr"/>
      <c r="D1908" t="inlineStr">
        <is>
          <t>24114 Schleswig-Holstein - Kiel</t>
        </is>
      </c>
      <c r="E1908" s="5" t="n">
        <v>45538</v>
      </c>
      <c r="F1908" t="inlineStr">
        <is>
          <t>Sold</t>
        </is>
      </c>
      <c r="G1908" s="6">
        <f>HYPERLINK("https://www.kleinanzeigen.de/s-anzeige/kite-duotone-evo-sls-7qm-7-0-vanilla-2023/2853762834-230-697", "Link")</f>
        <v/>
      </c>
      <c r="H1908" s="6">
        <f>HYPERLINK("C:\Projects\Kleinanzeigen-Scraper\offer_images\2853762834", "Link")</f>
        <v/>
      </c>
      <c r="I1908" t="inlineStr">
        <is>
          <t>So</t>
        </is>
      </c>
      <c r="J1908" s="6">
        <f>HYPERLINK("https://www.kleinanzeigen.de/s-bestandsliste.html?userId=1721950", "Link")</f>
        <v/>
      </c>
      <c r="K1908" s="7" t="n">
        <v>45549.57571759259</v>
      </c>
      <c r="L1908" s="3" t="inlineStr">
        <is>
          <t>431.59</t>
        </is>
      </c>
      <c r="M1908" t="inlineStr">
        <is>
          <t>Köln</t>
        </is>
      </c>
    </row>
    <row r="1909">
      <c r="A1909" t="inlineStr">
        <is>
          <t>Acrylfarbe rot echtrot dunkelblau Basic Marabu Goya</t>
        </is>
      </c>
      <c r="B1909" s="4" t="n">
        <v>6</v>
      </c>
      <c r="C1909" t="inlineStr"/>
      <c r="D1909" t="inlineStr">
        <is>
          <t>10829 Berlin - Schöneberg</t>
        </is>
      </c>
      <c r="E1909" s="5" t="n">
        <v>45347</v>
      </c>
      <c r="F1909" t="inlineStr"/>
      <c r="G1909" s="6">
        <f>HYPERLINK("https://www.kleinanzeigen.de/s-anzeige/acrylfarbe-rot-echtrot-dunkelblau-basic-marabu-goya/2689899855-282-3446", "Link")</f>
        <v/>
      </c>
      <c r="H1909" s="6">
        <f>HYPERLINK("C:\Projects\Kleinanzeigen-Scraper\offer_images\2689899855", "Link")</f>
        <v/>
      </c>
      <c r="I1909" t="inlineStr">
        <is>
          <t>Mirjam</t>
        </is>
      </c>
      <c r="J1909" s="6">
        <f>HYPERLINK("https://www.kleinanzeigen.de/s-bestandsliste.html?userId=34572456", "Link")</f>
        <v/>
      </c>
      <c r="K1909" s="7" t="n">
        <v>45549.57571759259</v>
      </c>
      <c r="L1909" s="3" t="inlineStr">
        <is>
          <t>473.29</t>
        </is>
      </c>
      <c r="M1909" t="inlineStr">
        <is>
          <t>Köln</t>
        </is>
      </c>
    </row>
    <row r="1910">
      <c r="A1910" t="inlineStr">
        <is>
          <t>Boardbag 240x60, Gun Sails, flugtauglich</t>
        </is>
      </c>
      <c r="B1910" s="4" t="n">
        <v>85</v>
      </c>
      <c r="C1910" t="inlineStr">
        <is>
          <t>VB</t>
        </is>
      </c>
      <c r="D1910" t="inlineStr">
        <is>
          <t>52134 Nordrhein-Westfalen - Herzogenrath</t>
        </is>
      </c>
      <c r="E1910" s="5" t="n">
        <v>45522</v>
      </c>
      <c r="F1910" t="inlineStr"/>
      <c r="G1910" s="6">
        <f>HYPERLINK("https://www.kleinanzeigen.de/s-anzeige/boardbag-240x60-gun-sails-flugtauglich/2840218856-230-1712", "Link")</f>
        <v/>
      </c>
      <c r="H1910" s="6">
        <f>HYPERLINK("C:\Projects\Kleinanzeigen-Scraper\offer_images\2840218856", "Link")</f>
        <v/>
      </c>
      <c r="I1910" t="inlineStr">
        <is>
          <t>D. Müller</t>
        </is>
      </c>
      <c r="J1910" s="6">
        <f>HYPERLINK("https://www.kleinanzeigen.de/s-bestandsliste.html?userId=133665701", "Link")</f>
        <v/>
      </c>
      <c r="K1910" s="7" t="n">
        <v>45549.57571759259</v>
      </c>
      <c r="L1910" s="3" t="inlineStr">
        <is>
          <t>59.57</t>
        </is>
      </c>
      <c r="M1910" t="inlineStr">
        <is>
          <t>Köln</t>
        </is>
      </c>
    </row>
    <row r="1911">
      <c r="A1911" t="inlineStr">
        <is>
          <t>SUP Paddel Naish Alana Performance</t>
        </is>
      </c>
      <c r="B1911" s="4" t="n">
        <v>120</v>
      </c>
      <c r="C1911" t="inlineStr">
        <is>
          <t>VB</t>
        </is>
      </c>
      <c r="D1911" t="inlineStr">
        <is>
          <t>67063 Rheinland-Pfalz - Ludwigshafen</t>
        </is>
      </c>
      <c r="E1911" s="5" t="n">
        <v>45524</v>
      </c>
      <c r="F1911" t="inlineStr"/>
      <c r="G1911" s="6">
        <f>HYPERLINK("https://www.kleinanzeigen.de/s-anzeige/sup-paddel-naish-alana-performance/2841936842-230-7985", "Link")</f>
        <v/>
      </c>
      <c r="H1911" s="6">
        <f>HYPERLINK("C:\Projects\Kleinanzeigen-Scraper\offer_images\2841936842", "Link")</f>
        <v/>
      </c>
      <c r="I1911" t="inlineStr">
        <is>
          <t>MK</t>
        </is>
      </c>
      <c r="J1911" s="6">
        <f>HYPERLINK("https://www.kleinanzeigen.de/s-bestandsliste.html?userId=20478811", "Link")</f>
        <v/>
      </c>
      <c r="K1911" s="7" t="n">
        <v>45549.57571759259</v>
      </c>
      <c r="L1911" s="3" t="inlineStr">
        <is>
          <t>55.12</t>
        </is>
      </c>
      <c r="M1911" t="inlineStr">
        <is>
          <t>Karlsruhe</t>
        </is>
      </c>
    </row>
    <row r="1912">
      <c r="A1912" t="inlineStr">
        <is>
          <t>Emhar EM 1001 - North American FJ-4B Fury - 1:72</t>
        </is>
      </c>
      <c r="B1912" s="4" t="n">
        <v>22</v>
      </c>
      <c r="C1912" t="inlineStr">
        <is>
          <t>VB</t>
        </is>
      </c>
      <c r="D1912" t="inlineStr">
        <is>
          <t>63110 Hessen - Rodgau</t>
        </is>
      </c>
      <c r="E1912" s="5" t="n">
        <v>45544</v>
      </c>
      <c r="F1912" t="inlineStr">
        <is>
          <t>Sold</t>
        </is>
      </c>
      <c r="G1912" s="6">
        <f>HYPERLINK("https://www.kleinanzeigen.de/s-anzeige/emhar-em-1001-north-american-fj-4b-fury-1-72/2859006361-249-4358", "Link")</f>
        <v/>
      </c>
      <c r="H1912" s="6">
        <f>HYPERLINK("C:\Projects\Kleinanzeigen-Scraper\offer_images\2859006361", "Link")</f>
        <v/>
      </c>
      <c r="I1912" t="inlineStr">
        <is>
          <t>Nik</t>
        </is>
      </c>
      <c r="J1912" s="6">
        <f>HYPERLINK("https://www.kleinanzeigen.de/s-bestandsliste.html?userId=18897590", "Link")</f>
        <v/>
      </c>
      <c r="K1912" s="7" t="n">
        <v>45549.57570601852</v>
      </c>
      <c r="L1912" s="3" t="inlineStr">
        <is>
          <t>118.01</t>
        </is>
      </c>
      <c r="M1912" t="inlineStr">
        <is>
          <t>Karlsruhe</t>
        </is>
      </c>
    </row>
    <row r="1913">
      <c r="A1913" t="inlineStr">
        <is>
          <t>North bar 2012</t>
        </is>
      </c>
      <c r="B1913" s="4" t="n">
        <v>50</v>
      </c>
      <c r="C1913" t="inlineStr">
        <is>
          <t>VB</t>
        </is>
      </c>
      <c r="D1913" t="inlineStr">
        <is>
          <t>38440 Niedersachsen - Wolfsburg</t>
        </is>
      </c>
      <c r="E1913" s="5" t="n">
        <v>45546</v>
      </c>
      <c r="F1913" t="inlineStr">
        <is>
          <t>Sold</t>
        </is>
      </c>
      <c r="G1913" s="6">
        <f>HYPERLINK("https://www.kleinanzeigen.de/s-anzeige/north-bar-2012/2860059046-230-3074", "Link")</f>
        <v/>
      </c>
      <c r="H1913" s="6">
        <f>HYPERLINK("C:\Projects\Kleinanzeigen-Scraper\offer_images\2860059046", "Link")</f>
        <v/>
      </c>
      <c r="I1913" t="inlineStr">
        <is>
          <t>Dani</t>
        </is>
      </c>
      <c r="J1913" s="6">
        <f>HYPERLINK("https://www.kleinanzeigen.de/s-bestandsliste.html?userId=8663825", "Link")</f>
        <v/>
      </c>
      <c r="K1913" s="7" t="n">
        <v>45549.57569444444</v>
      </c>
      <c r="L1913" s="3" t="inlineStr">
        <is>
          <t>310.40</t>
        </is>
      </c>
      <c r="M1913" t="inlineStr">
        <is>
          <t>Köln</t>
        </is>
      </c>
    </row>
    <row r="1914">
      <c r="A1914" t="inlineStr">
        <is>
          <t>3 x NAISH TORCH 2020  8, 9 &amp; 10 inkl. Bar</t>
        </is>
      </c>
      <c r="B1914" s="4" t="n">
        <v>1.05</v>
      </c>
      <c r="C1914" t="inlineStr">
        <is>
          <t>VB</t>
        </is>
      </c>
      <c r="D1914" t="inlineStr">
        <is>
          <t>22359 Wandsbek - Hamburg Volksdorf</t>
        </is>
      </c>
      <c r="E1914" s="5" t="n">
        <v>45489</v>
      </c>
      <c r="F1914" t="inlineStr">
        <is>
          <t>Sold</t>
        </is>
      </c>
      <c r="G1914" s="6">
        <f>HYPERLINK("https://www.kleinanzeigen.de/s-anzeige/3-x-naish-torch-2020-8-9-10-inkl-bar/2813929625-230-16495", "Link")</f>
        <v/>
      </c>
      <c r="H1914" s="6">
        <f>HYPERLINK("C:\Projects\Kleinanzeigen-Scraper\offer_images\2813929625", "Link")</f>
        <v/>
      </c>
      <c r="I1914" t="inlineStr">
        <is>
          <t>Florian Schröder</t>
        </is>
      </c>
      <c r="J1914" s="6">
        <f>HYPERLINK("https://www.kleinanzeigen.de/s-bestandsliste.html?userId=21644969", "Link")</f>
        <v/>
      </c>
      <c r="K1914" s="7" t="n">
        <v>45549.57569444444</v>
      </c>
      <c r="L1914" s="3" t="inlineStr">
        <is>
          <t>371.96</t>
        </is>
      </c>
      <c r="M1914" t="inlineStr">
        <is>
          <t>Köln</t>
        </is>
      </c>
    </row>
    <row r="1915">
      <c r="A1915" t="inlineStr">
        <is>
          <t>René Simm Cosplay Wig</t>
        </is>
      </c>
      <c r="B1915" s="4" t="n">
        <v>17</v>
      </c>
      <c r="C1915" t="inlineStr"/>
      <c r="D1915" t="inlineStr">
        <is>
          <t>51147 Köln - Porz</t>
        </is>
      </c>
      <c r="E1915" s="5" t="n">
        <v>44863</v>
      </c>
      <c r="F1915" t="inlineStr"/>
      <c r="G1915" s="6">
        <f>HYPERLINK("https://www.kleinanzeigen.de/s-anzeige/ren-simm-cosplay-wig/2256532116-242-961", "Link")</f>
        <v/>
      </c>
      <c r="H1915" s="6">
        <f>HYPERLINK("C:\Projects\Kleinanzeigen-Scraper\offer_images\2256532116", "Link")</f>
        <v/>
      </c>
      <c r="I1915" t="inlineStr">
        <is>
          <t>Luka</t>
        </is>
      </c>
      <c r="J1915" s="6">
        <f>HYPERLINK("https://www.kleinanzeigen.de/s-bestandsliste.html?userId=72409779", "Link")</f>
        <v/>
      </c>
      <c r="K1915" s="7" t="n">
        <v>45549.57569444444</v>
      </c>
      <c r="L1915" s="3" t="inlineStr">
        <is>
          <t>14.27</t>
        </is>
      </c>
      <c r="M1915" t="inlineStr">
        <is>
          <t>Köln</t>
        </is>
      </c>
    </row>
    <row r="1916">
      <c r="A1916" t="inlineStr">
        <is>
          <t>Anfänger Kiteset Board Bar Fone Fanatic JN GA</t>
        </is>
      </c>
      <c r="B1916" s="4" t="n">
        <v>450</v>
      </c>
      <c r="C1916" t="inlineStr"/>
      <c r="D1916" t="inlineStr">
        <is>
          <t>30165 Hannover - Vahrenwald-List</t>
        </is>
      </c>
      <c r="E1916" s="5" t="n">
        <v>45518</v>
      </c>
      <c r="F1916" t="inlineStr">
        <is>
          <t>Sold</t>
        </is>
      </c>
      <c r="G1916" s="6">
        <f>HYPERLINK("https://www.kleinanzeigen.de/s-anzeige/anfaenger-kiteset-board-bar-fone-fanatic-jn-ga/2798071579-230-3171", "Link")</f>
        <v/>
      </c>
      <c r="H1916" s="6">
        <f>HYPERLINK("C:\Projects\Kleinanzeigen-Scraper\offer_images\2798071579", "Link")</f>
        <v/>
      </c>
      <c r="I1916" t="inlineStr">
        <is>
          <t>Björn Hawighorst</t>
        </is>
      </c>
      <c r="J1916" s="6">
        <f>HYPERLINK("https://www.kleinanzeigen.de/s-bestandsliste.html?userId=44415375", "Link")</f>
        <v/>
      </c>
      <c r="K1916" s="7" t="n">
        <v>45549.57569444444</v>
      </c>
      <c r="L1916" s="3" t="inlineStr">
        <is>
          <t>251.16</t>
        </is>
      </c>
      <c r="M1916" t="inlineStr">
        <is>
          <t>Köln</t>
        </is>
      </c>
    </row>
    <row r="1917">
      <c r="A1917" t="inlineStr">
        <is>
          <t>SUP Board Ausrüstung (Red Paddle Voyager/JP Australia)</t>
        </is>
      </c>
      <c r="B1917" s="4" t="n">
        <v>980</v>
      </c>
      <c r="C1917" t="inlineStr"/>
      <c r="D1917" t="inlineStr">
        <is>
          <t>21365 Niedersachsen - Adendorf</t>
        </is>
      </c>
      <c r="E1917" s="5" t="n">
        <v>45521</v>
      </c>
      <c r="F1917" t="inlineStr"/>
      <c r="G1917" s="6">
        <f>HYPERLINK("https://www.kleinanzeigen.de/s-anzeige/sup-board-ausruestung-red-paddle-voyager-jp-australia-/2839111299-230-3267", "Link")</f>
        <v/>
      </c>
      <c r="H1917" s="6">
        <f>HYPERLINK("C:\Projects\Kleinanzeigen-Scraper\offer_images\2839111299", "Link")</f>
        <v/>
      </c>
      <c r="I1917" t="inlineStr">
        <is>
          <t>USla</t>
        </is>
      </c>
      <c r="J1917" s="6">
        <f>HYPERLINK("https://www.kleinanzeigen.de/s-bestandsliste.html?userId=4647371", "Link")</f>
        <v/>
      </c>
      <c r="K1917" s="7" t="n">
        <v>45549.57565972222</v>
      </c>
      <c r="L1917" s="3" t="inlineStr">
        <is>
          <t>353.55</t>
        </is>
      </c>
      <c r="M1917" t="inlineStr">
        <is>
          <t>Köln</t>
        </is>
      </c>
    </row>
    <row r="1918">
      <c r="A1918" t="inlineStr">
        <is>
          <t>SUP Naish ALU Paddle, 2 Teilig; Gebraucht</t>
        </is>
      </c>
      <c r="B1918" s="4" t="n">
        <v>40</v>
      </c>
      <c r="C1918" t="inlineStr"/>
      <c r="D1918" t="inlineStr">
        <is>
          <t>91154 Bayern - Roth</t>
        </is>
      </c>
      <c r="E1918" s="5" t="n">
        <v>45503</v>
      </c>
      <c r="F1918" t="inlineStr">
        <is>
          <t>Sold</t>
        </is>
      </c>
      <c r="G1918" s="6">
        <f>HYPERLINK("https://www.kleinanzeigen.de/s-anzeige/sup-naish-alu-paddle-2-teilig-gebraucht/2824867196-230-5631", "Link")</f>
        <v/>
      </c>
      <c r="H1918" s="6">
        <f>HYPERLINK("C:\Projects\Kleinanzeigen-Scraper\offer_images\2824867196", "Link")</f>
        <v/>
      </c>
      <c r="I1918" t="inlineStr">
        <is>
          <t>Frank</t>
        </is>
      </c>
      <c r="J1918" s="6">
        <f>HYPERLINK("https://www.kleinanzeigen.de/s-bestandsliste.html?userId=14376797", "Link")</f>
        <v/>
      </c>
      <c r="K1918" s="7" t="n">
        <v>45549.57564814815</v>
      </c>
      <c r="L1918" s="3" t="inlineStr">
        <is>
          <t>125.04</t>
        </is>
      </c>
      <c r="M1918" t="inlineStr">
        <is>
          <t>München</t>
        </is>
      </c>
    </row>
    <row r="1919">
      <c r="A1919" t="inlineStr">
        <is>
          <t>Starboard Fuselage Quicklock 1</t>
        </is>
      </c>
      <c r="B1919" s="4" t="n">
        <v>39</v>
      </c>
      <c r="C1919" t="inlineStr">
        <is>
          <t>VB</t>
        </is>
      </c>
      <c r="D1919" t="inlineStr">
        <is>
          <t>24975 Schleswig-Holstein - Maasbüll</t>
        </is>
      </c>
      <c r="E1919" s="5" t="n">
        <v>45548</v>
      </c>
      <c r="F1919" t="inlineStr"/>
      <c r="G1919" s="6">
        <f>HYPERLINK("https://www.kleinanzeigen.de/s-anzeige/starboard-fuselage-quicklock-1/2862221419-230-725", "Link")</f>
        <v/>
      </c>
      <c r="H1919" s="6">
        <f>HYPERLINK("C:\Projects\Kleinanzeigen-Scraper\offer_images\2862221419", "Link")</f>
        <v/>
      </c>
      <c r="I1919" t="inlineStr">
        <is>
          <t>Peer</t>
        </is>
      </c>
      <c r="J1919" s="6">
        <f>HYPERLINK("https://www.kleinanzeigen.de/s-bestandsliste.html?userId=20160158", "Link")</f>
        <v/>
      </c>
      <c r="K1919" s="7" t="n">
        <v>45549.57564814815</v>
      </c>
      <c r="L1919" s="3" t="inlineStr">
        <is>
          <t>458.46</t>
        </is>
      </c>
      <c r="M1919" t="inlineStr">
        <is>
          <t>Köln</t>
        </is>
      </c>
    </row>
    <row r="1920">
      <c r="A1920" t="inlineStr">
        <is>
          <t>Warhammer 2x Ork Fanatic</t>
        </is>
      </c>
      <c r="B1920" s="4" t="n">
        <v>16</v>
      </c>
      <c r="C1920" t="inlineStr">
        <is>
          <t>VB</t>
        </is>
      </c>
      <c r="D1920" t="inlineStr">
        <is>
          <t>45527 Nordrhein-Westfalen - Hattingen</t>
        </is>
      </c>
      <c r="E1920" s="5" t="n">
        <v>45541</v>
      </c>
      <c r="F1920" t="inlineStr">
        <is>
          <t>Sold</t>
        </is>
      </c>
      <c r="G1920" s="6">
        <f>HYPERLINK("https://www.kleinanzeigen.de/s-anzeige/warhammer-2x-ork-fanatic/2855551010-249-1872", "Link")</f>
        <v/>
      </c>
      <c r="H1920" s="6">
        <f>HYPERLINK("C:\Projects\Kleinanzeigen-Scraper\offer_images\2855551010", "Link")</f>
        <v/>
      </c>
      <c r="I1920" t="inlineStr">
        <is>
          <t>Lu</t>
        </is>
      </c>
      <c r="J1920" s="6">
        <f>HYPERLINK("https://www.kleinanzeigen.de/s-bestandsliste.html?userId=47096413", "Link")</f>
        <v/>
      </c>
      <c r="K1920" s="7" t="n">
        <v>45549.57561342593</v>
      </c>
      <c r="L1920" s="3" t="inlineStr">
        <is>
          <t>52.52</t>
        </is>
      </c>
      <c r="M1920" t="inlineStr">
        <is>
          <t>Köln</t>
        </is>
      </c>
    </row>
    <row r="1921">
      <c r="A1921" t="inlineStr">
        <is>
          <t>Goya, Acrylfarben, c.kreul, 5Tuben</t>
        </is>
      </c>
      <c r="B1921" s="4" t="n">
        <v>14</v>
      </c>
      <c r="C1921" t="inlineStr">
        <is>
          <t>VB</t>
        </is>
      </c>
      <c r="D1921" t="inlineStr">
        <is>
          <t>78462 Baden-Württemberg - Konstanz</t>
        </is>
      </c>
      <c r="E1921" s="5" t="n">
        <v>45111</v>
      </c>
      <c r="F1921" t="inlineStr"/>
      <c r="G1921" s="6">
        <f>HYPERLINK("https://www.kleinanzeigen.de/s-anzeige/goya-acrylfarben-c-kreul-5tuben/2484894168-282-9390", "Link")</f>
        <v/>
      </c>
      <c r="H1921" s="6">
        <f>HYPERLINK("C:\Projects\Kleinanzeigen-Scraper\offer_images\2484894168", "Link")</f>
        <v/>
      </c>
      <c r="I1921" t="inlineStr">
        <is>
          <t>Leoni</t>
        </is>
      </c>
      <c r="J1921" s="6">
        <f>HYPERLINK("https://www.kleinanzeigen.de/s-bestandsliste.html?userId=38761650", "Link")</f>
        <v/>
      </c>
      <c r="K1921" s="7" t="n">
        <v>45549.57561342593</v>
      </c>
      <c r="L1921" s="3" t="inlineStr">
        <is>
          <t>64.75</t>
        </is>
      </c>
      <c r="M1921" t="inlineStr">
        <is>
          <t>Bonndorf</t>
        </is>
      </c>
    </row>
    <row r="1922">
      <c r="A1922" t="inlineStr">
        <is>
          <t>Duotone Tubekite Evo D/LAB C09:dark-grey 2024 6.0 qm</t>
        </is>
      </c>
      <c r="B1922" s="4" t="n">
        <v>1.609</v>
      </c>
      <c r="C1922" t="inlineStr">
        <is>
          <t>VB</t>
        </is>
      </c>
      <c r="D1922" t="inlineStr">
        <is>
          <t>26125 Niedersachsen - Oldenburg</t>
        </is>
      </c>
      <c r="E1922" s="5" t="n">
        <v>45545</v>
      </c>
      <c r="F1922" t="inlineStr">
        <is>
          <t>Sold</t>
        </is>
      </c>
      <c r="G1922" s="6">
        <f>HYPERLINK("https://www.kleinanzeigen.de/s-anzeige/duotone-tubekite-evo-d-lab-c09-dark-grey-2024-6-0-qm/2859568515-230-3111", "Link")</f>
        <v/>
      </c>
      <c r="H1922" s="6">
        <f>HYPERLINK("C:\Projects\Kleinanzeigen-Scraper\offer_images\2859568515", "Link")</f>
        <v/>
      </c>
      <c r="I1922" t="inlineStr">
        <is>
          <t>No user name</t>
        </is>
      </c>
      <c r="J1922" s="6">
        <f>HYPERLINK("https://www.kleinanzeigen.deNo user link", "Link")</f>
        <v/>
      </c>
      <c r="K1922" s="7" t="n">
        <v>45549.57561342593</v>
      </c>
      <c r="L1922" s="3" t="inlineStr">
        <is>
          <t>264.10</t>
        </is>
      </c>
      <c r="M1922" t="inlineStr">
        <is>
          <t>Köln</t>
        </is>
      </c>
    </row>
    <row r="1923">
      <c r="A1923" t="inlineStr">
        <is>
          <t>Sailloft UFO 4.5 &amp; 5.5 qm Wing Foil</t>
        </is>
      </c>
      <c r="B1923" s="4" t="n">
        <v>395</v>
      </c>
      <c r="C1923" t="inlineStr"/>
      <c r="D1923" t="inlineStr">
        <is>
          <t>78464 Baden-Württemberg - Konstanz</t>
        </is>
      </c>
      <c r="E1923" s="5" t="n">
        <v>45541</v>
      </c>
      <c r="F1923" t="inlineStr">
        <is>
          <t>Sold</t>
        </is>
      </c>
      <c r="G1923" s="6">
        <f>HYPERLINK("https://www.kleinanzeigen.de/s-anzeige/sailloft-ufo-4-5-5-5-qm-wing-foil/2855441674-230-9387", "Link")</f>
        <v/>
      </c>
      <c r="H1923" s="6">
        <f>HYPERLINK("C:\Projects\Kleinanzeigen-Scraper\offer_images\2855441674", "Link")</f>
        <v/>
      </c>
      <c r="I1923" t="inlineStr">
        <is>
          <t>S P</t>
        </is>
      </c>
      <c r="J1923" s="6">
        <f>HYPERLINK("https://www.kleinanzeigen.de/s-bestandsliste.html?userId=4865727", "Link")</f>
        <v/>
      </c>
      <c r="K1923" s="7" t="n">
        <v>45549.57561342593</v>
      </c>
      <c r="L1923" s="3" t="inlineStr">
        <is>
          <t>66.23</t>
        </is>
      </c>
      <c r="M1923" t="inlineStr">
        <is>
          <t>Bonndorf</t>
        </is>
      </c>
    </row>
    <row r="1924">
      <c r="A1924" t="inlineStr">
        <is>
          <t>neilpryde Steamer Surfanzug Neopren Gr.40 Damen</t>
        </is>
      </c>
      <c r="B1924" s="4" t="inlineStr">
        <is>
          <t>Zu verschenken</t>
        </is>
      </c>
      <c r="C1924" t="inlineStr"/>
      <c r="D1924" t="inlineStr">
        <is>
          <t>79291 Baden-Württemberg - Merdingen</t>
        </is>
      </c>
      <c r="E1924" s="5" t="n">
        <v>45526</v>
      </c>
      <c r="F1924" t="inlineStr">
        <is>
          <t>Sold</t>
        </is>
      </c>
      <c r="G1924" s="6">
        <f>HYPERLINK("https://www.kleinanzeigen.de/s-anzeige/neilpryde-steamer-surfanzug-neopren-gr-40-damen/2843562767-230-8629", "Link")</f>
        <v/>
      </c>
      <c r="H1924" s="6">
        <f>HYPERLINK("C:\Projects\Kleinanzeigen-Scraper\offer_images\2843562767", "Link")</f>
        <v/>
      </c>
      <c r="I1924" t="inlineStr">
        <is>
          <t>Birgit</t>
        </is>
      </c>
      <c r="J1924" s="6">
        <f>HYPERLINK("https://www.kleinanzeigen.de/s-bestandsliste.html?userId=35962775", "Link")</f>
        <v/>
      </c>
      <c r="K1924" s="7" t="n">
        <v>45549.57561342593</v>
      </c>
      <c r="L1924" s="3" t="inlineStr">
        <is>
          <t>53.77</t>
        </is>
      </c>
      <c r="M1924" t="inlineStr">
        <is>
          <t>Bonndorf</t>
        </is>
      </c>
    </row>
    <row r="1925">
      <c r="A1925" t="inlineStr">
        <is>
          <t>GUN Sails Session Bag 225 / 57</t>
        </is>
      </c>
      <c r="B1925" s="4" t="n">
        <v>80</v>
      </c>
      <c r="C1925" t="inlineStr">
        <is>
          <t>VB</t>
        </is>
      </c>
      <c r="D1925" t="inlineStr">
        <is>
          <t>82140 Bayern - Olching</t>
        </is>
      </c>
      <c r="E1925" s="5" t="n">
        <v>45517</v>
      </c>
      <c r="F1925" t="inlineStr"/>
      <c r="G1925" s="6">
        <f>HYPERLINK("https://www.kleinanzeigen.de/s-anzeige/gun-sails-session-bag-225-57/2835697555-230-5589", "Link")</f>
        <v/>
      </c>
      <c r="H1925" s="6">
        <f>HYPERLINK("C:\Projects\Kleinanzeigen-Scraper\offer_images\2835697555", "Link")</f>
        <v/>
      </c>
      <c r="I1925" t="inlineStr">
        <is>
          <t>Christopher Hansen</t>
        </is>
      </c>
      <c r="J1925" s="6">
        <f>HYPERLINK("https://www.kleinanzeigen.de/s-bestandsliste.html?userId=68172151", "Link")</f>
        <v/>
      </c>
      <c r="K1925" s="7" t="n">
        <v>45549.57559027777</v>
      </c>
      <c r="L1925" s="3" t="inlineStr">
        <is>
          <t>18.66</t>
        </is>
      </c>
      <c r="M1925" t="inlineStr">
        <is>
          <t>München</t>
        </is>
      </c>
    </row>
    <row r="1926">
      <c r="A1926" t="inlineStr">
        <is>
          <t>Naish kite 12er</t>
        </is>
      </c>
      <c r="B1926" s="4" t="n">
        <v>250</v>
      </c>
      <c r="C1926" t="inlineStr">
        <is>
          <t>VB</t>
        </is>
      </c>
      <c r="D1926" t="inlineStr">
        <is>
          <t>22043 Wandsbek - Hamburg Jenfeld</t>
        </is>
      </c>
      <c r="E1926" s="5" t="n">
        <v>45462</v>
      </c>
      <c r="F1926" t="inlineStr">
        <is>
          <t>Sold</t>
        </is>
      </c>
      <c r="G1926" s="6">
        <f>HYPERLINK("https://www.kleinanzeigen.de/s-anzeige/naish-kite-12er/2792503971-230-9465", "Link")</f>
        <v/>
      </c>
      <c r="H1926" s="6">
        <f>HYPERLINK("C:\Projects\Kleinanzeigen-Scraper\offer_images\2792503971", "Link")</f>
        <v/>
      </c>
      <c r="I1926" t="inlineStr">
        <is>
          <t>M.m</t>
        </is>
      </c>
      <c r="J1926" s="6">
        <f>HYPERLINK("https://www.kleinanzeigen.de/s-bestandsliste.html?userId=61995326", "Link")</f>
        <v/>
      </c>
      <c r="K1926" s="7" t="n">
        <v>45549.57559027777</v>
      </c>
      <c r="L1926" s="3" t="inlineStr">
        <is>
          <t>362.40</t>
        </is>
      </c>
      <c r="M1926" t="inlineStr">
        <is>
          <t>Köln</t>
        </is>
      </c>
    </row>
    <row r="1927">
      <c r="A1927" t="inlineStr">
        <is>
          <t>Märklin 3181 4181 Burlington Northern, H0, OVP, NEU</t>
        </is>
      </c>
      <c r="B1927" s="4" t="n">
        <v>135</v>
      </c>
      <c r="C1927" t="inlineStr">
        <is>
          <t>VB</t>
        </is>
      </c>
      <c r="D1927" t="inlineStr">
        <is>
          <t>78224 Baden-Württemberg - Singen</t>
        </is>
      </c>
      <c r="E1927" s="5" t="n">
        <v>45547</v>
      </c>
      <c r="F1927" t="inlineStr">
        <is>
          <t>Sold</t>
        </is>
      </c>
      <c r="G1927" s="6">
        <f>HYPERLINK("https://www.kleinanzeigen.de/s-anzeige/maerklin-3181-4181-burlington-northern-h0-ovp-neu/2498325253-249-9397", "Link")</f>
        <v/>
      </c>
      <c r="H1927" s="6">
        <f>HYPERLINK("C:\Projects\Kleinanzeigen-Scraper\offer_images\2498325253", "Link")</f>
        <v/>
      </c>
      <c r="I1927" t="inlineStr">
        <is>
          <t>No user name</t>
        </is>
      </c>
      <c r="J1927" s="6">
        <f>HYPERLINK("https://www.kleinanzeigen.deNo user link", "Link")</f>
        <v/>
      </c>
      <c r="K1927" s="7" t="n">
        <v>45549.57559027777</v>
      </c>
      <c r="L1927" s="3" t="inlineStr">
        <is>
          <t>40.33</t>
        </is>
      </c>
      <c r="M1927" t="inlineStr">
        <is>
          <t>Bonndorf</t>
        </is>
      </c>
    </row>
    <row r="1928">
      <c r="A1928" t="inlineStr">
        <is>
          <t>Kite Naish Pivot 10</t>
        </is>
      </c>
      <c r="B1928" s="4" t="n">
        <v>370</v>
      </c>
      <c r="C1928" t="inlineStr">
        <is>
          <t>VB</t>
        </is>
      </c>
      <c r="D1928" t="inlineStr">
        <is>
          <t>22159 Wandsbek - Hamburg Farmsen-Berne</t>
        </is>
      </c>
      <c r="E1928" s="5" t="n">
        <v>45493</v>
      </c>
      <c r="F1928" t="inlineStr">
        <is>
          <t>Sold</t>
        </is>
      </c>
      <c r="G1928" s="6">
        <f>HYPERLINK("https://www.kleinanzeigen.de/s-anzeige/kite-naish-pivot-10/2816996216-230-9454", "Link")</f>
        <v/>
      </c>
      <c r="H1928" s="6">
        <f>HYPERLINK("C:\Projects\Kleinanzeigen-Scraper\offer_images\2816996216", "Link")</f>
        <v/>
      </c>
      <c r="I1928" t="inlineStr">
        <is>
          <t>Silke Marien</t>
        </is>
      </c>
      <c r="J1928" s="6">
        <f>HYPERLINK("https://www.kleinanzeigen.de/s-bestandsliste.html?userId=17263285", "Link")</f>
        <v/>
      </c>
      <c r="K1928" s="7" t="n">
        <v>45549.57559027777</v>
      </c>
      <c r="L1928" s="3" t="inlineStr">
        <is>
          <t>367.33</t>
        </is>
      </c>
      <c r="M1928" t="inlineStr">
        <is>
          <t>Köln</t>
        </is>
      </c>
    </row>
    <row r="1929">
      <c r="A1929" t="inlineStr">
        <is>
          <t>Neoprenanzug Damen neilpryde 36/38</t>
        </is>
      </c>
      <c r="B1929" s="4" t="n">
        <v>60</v>
      </c>
      <c r="C1929" t="inlineStr">
        <is>
          <t>VB</t>
        </is>
      </c>
      <c r="D1929" t="inlineStr">
        <is>
          <t>49401 Niedersachsen - Damme</t>
        </is>
      </c>
      <c r="E1929" s="5" t="n">
        <v>45497</v>
      </c>
      <c r="F1929" t="inlineStr">
        <is>
          <t>Sold</t>
        </is>
      </c>
      <c r="G1929" s="6">
        <f>HYPERLINK("https://www.kleinanzeigen.de/s-anzeige/neoprenanzug-damen-neilpryde-36-38/2820155549-230-2617", "Link")</f>
        <v/>
      </c>
      <c r="H1929" s="6">
        <f>HYPERLINK("C:\Projects\Kleinanzeigen-Scraper\offer_images\2820155549", "Link")</f>
        <v/>
      </c>
      <c r="I1929" t="inlineStr">
        <is>
          <t>Rhiati</t>
        </is>
      </c>
      <c r="J1929" s="6">
        <f>HYPERLINK("https://www.kleinanzeigen.de/s-bestandsliste.html?userId=22541825", "Link")</f>
        <v/>
      </c>
      <c r="K1929" s="7" t="n">
        <v>45549.57557870371</v>
      </c>
      <c r="L1929" s="3" t="inlineStr">
        <is>
          <t>196.82</t>
        </is>
      </c>
      <c r="M1929" t="inlineStr">
        <is>
          <t>Köln</t>
        </is>
      </c>
    </row>
    <row r="1930">
      <c r="A1930" t="inlineStr">
        <is>
          <t>SUP Fanatic HP5 Triple Action Pumpe</t>
        </is>
      </c>
      <c r="B1930" s="4" t="n">
        <v>49</v>
      </c>
      <c r="C1930" t="inlineStr"/>
      <c r="D1930" t="inlineStr">
        <is>
          <t>83362 Bayern - Surberg</t>
        </is>
      </c>
      <c r="E1930" s="5" t="n">
        <v>45529</v>
      </c>
      <c r="F1930" t="inlineStr">
        <is>
          <t>Sold</t>
        </is>
      </c>
      <c r="G1930" s="6">
        <f>HYPERLINK("https://www.kleinanzeigen.de/s-anzeige/sup-fanatic-hp5-triple-action-pumpe/2846335694-230-5732", "Link")</f>
        <v/>
      </c>
      <c r="H1930" s="6">
        <f>HYPERLINK("C:\Projects\Kleinanzeigen-Scraper\offer_images\2846335694", "Link")</f>
        <v/>
      </c>
      <c r="I1930" t="inlineStr">
        <is>
          <t>Götze</t>
        </is>
      </c>
      <c r="J1930" s="6">
        <f>HYPERLINK("https://www.kleinanzeigen.de/s-bestandsliste.html?userId=13056472", "Link")</f>
        <v/>
      </c>
      <c r="K1930" s="7" t="n">
        <v>45549.57556712963</v>
      </c>
      <c r="L1930" s="3" t="inlineStr">
        <is>
          <t>89.66</t>
        </is>
      </c>
      <c r="M1930" t="inlineStr">
        <is>
          <t>München</t>
        </is>
      </c>
    </row>
    <row r="1931">
      <c r="A1931" t="inlineStr">
        <is>
          <t>DUOTONE Slick Wing 3.0 - 2023</t>
        </is>
      </c>
      <c r="B1931" s="4" t="n">
        <v>430</v>
      </c>
      <c r="C1931" t="inlineStr"/>
      <c r="D1931" t="inlineStr">
        <is>
          <t>24226 Schleswig-Holstein - Heikendorf</t>
        </is>
      </c>
      <c r="E1931" s="5" t="n">
        <v>45542</v>
      </c>
      <c r="F1931" t="inlineStr">
        <is>
          <t>Sold</t>
        </is>
      </c>
      <c r="G1931" s="6">
        <f>HYPERLINK("https://www.kleinanzeigen.de/s-anzeige/duotone-slick-wing-3-0-2023/2856339642-230-672", "Link")</f>
        <v/>
      </c>
      <c r="H1931" s="6">
        <f>HYPERLINK("C:\Projects\Kleinanzeigen-Scraper\offer_images\2856339642", "Link")</f>
        <v/>
      </c>
      <c r="I1931" t="inlineStr">
        <is>
          <t>Privatanbieter</t>
        </is>
      </c>
      <c r="J1931" s="6">
        <f>HYPERLINK("https://www.kleinanzeigen.de/s-bestandsliste.html?userId=11097585", "Link")</f>
        <v/>
      </c>
      <c r="K1931" s="7" t="n">
        <v>45549.57556712963</v>
      </c>
      <c r="L1931" s="3" t="inlineStr">
        <is>
          <t>441.08</t>
        </is>
      </c>
      <c r="M1931" t="inlineStr">
        <is>
          <t>Köln</t>
        </is>
      </c>
    </row>
    <row r="1932">
      <c r="A1932" t="inlineStr">
        <is>
          <t>Duotone Foil Wing Free 800 + 216</t>
        </is>
      </c>
      <c r="B1932" s="4" t="n">
        <v>350</v>
      </c>
      <c r="C1932" t="inlineStr">
        <is>
          <t>VB</t>
        </is>
      </c>
      <c r="D1932" t="inlineStr">
        <is>
          <t>82031 Kr. München - Grünwald</t>
        </is>
      </c>
      <c r="E1932" s="5" t="n">
        <v>45541</v>
      </c>
      <c r="F1932" t="inlineStr">
        <is>
          <t>Sold</t>
        </is>
      </c>
      <c r="G1932" s="6">
        <f>HYPERLINK("https://www.kleinanzeigen.de/s-anzeige/duotone-foil-wing-free-800-216/2855802131-230-6187", "Link")</f>
        <v/>
      </c>
      <c r="H1932" s="6">
        <f>HYPERLINK("C:\Projects\Kleinanzeigen-Scraper\offer_images\2855802131", "Link")</f>
        <v/>
      </c>
      <c r="I1932" t="inlineStr">
        <is>
          <t>Lukas Eisenberg</t>
        </is>
      </c>
      <c r="J1932" s="6">
        <f>HYPERLINK("https://www.kleinanzeigen.de/s-bestandsliste.html?userId=26948965", "Link")</f>
        <v/>
      </c>
      <c r="K1932" s="7" t="n">
        <v>45549.57556712963</v>
      </c>
      <c r="L1932" s="3" t="inlineStr">
        <is>
          <t>10.76</t>
        </is>
      </c>
      <c r="M1932" t="inlineStr">
        <is>
          <t>München</t>
        </is>
      </c>
    </row>
    <row r="1933">
      <c r="A1933" t="inlineStr">
        <is>
          <t>Duotone Rebel SLS 10m 2023; Kite</t>
        </is>
      </c>
      <c r="B1933" s="4" t="n">
        <v>1.28</v>
      </c>
      <c r="C1933" t="inlineStr">
        <is>
          <t>VB</t>
        </is>
      </c>
      <c r="D1933" t="inlineStr">
        <is>
          <t>83043 Bayern - Bad Aibling</t>
        </is>
      </c>
      <c r="E1933" s="5" t="n">
        <v>45540</v>
      </c>
      <c r="F1933" t="inlineStr">
        <is>
          <t>Sold</t>
        </is>
      </c>
      <c r="G1933" s="6">
        <f>HYPERLINK("https://www.kleinanzeigen.de/s-anzeige/duotone-rebel-sls-10m-2023-kite/2854775088-230-6134", "Link")</f>
        <v/>
      </c>
      <c r="H1933" s="6">
        <f>HYPERLINK("C:\Projects\Kleinanzeigen-Scraper\offer_images\2854775088", "Link")</f>
        <v/>
      </c>
      <c r="I1933" t="inlineStr">
        <is>
          <t>Michael Hohmann</t>
        </is>
      </c>
      <c r="J1933" s="6">
        <f>HYPERLINK("https://www.kleinanzeigen.de/s-bestandsliste.html?userId=22739113", "Link")</f>
        <v/>
      </c>
      <c r="K1933" s="7" t="n">
        <v>45549.57556712963</v>
      </c>
      <c r="L1933" s="3" t="inlineStr">
        <is>
          <t>43.15</t>
        </is>
      </c>
      <c r="M1933" t="inlineStr">
        <is>
          <t>München</t>
        </is>
      </c>
    </row>
    <row r="1934">
      <c r="A1934" t="inlineStr">
        <is>
          <t>Wing Duotone Slick 6.0 mint / white top</t>
        </is>
      </c>
      <c r="B1934" s="4" t="n">
        <v>429</v>
      </c>
      <c r="C1934" t="inlineStr">
        <is>
          <t>VB</t>
        </is>
      </c>
      <c r="D1934" t="inlineStr">
        <is>
          <t>50859 Köln - Widdersdorf</t>
        </is>
      </c>
      <c r="E1934" s="5" t="n">
        <v>45545</v>
      </c>
      <c r="F1934" t="inlineStr">
        <is>
          <t>Sold</t>
        </is>
      </c>
      <c r="G1934" s="6">
        <f>HYPERLINK("https://www.kleinanzeigen.de/s-anzeige/wing-duotone-slick-6-0-mint-white-top/2859186905-230-21232", "Link")</f>
        <v/>
      </c>
      <c r="H1934" s="6">
        <f>HYPERLINK("C:\Projects\Kleinanzeigen-Scraper\offer_images\2859186905", "Link")</f>
        <v/>
      </c>
      <c r="I1934" t="inlineStr">
        <is>
          <t>W. Schmitz</t>
        </is>
      </c>
      <c r="J1934" s="6">
        <f>HYPERLINK("https://www.kleinanzeigen.de/s-bestandsliste.html?userId=12902954", "Link")</f>
        <v/>
      </c>
      <c r="K1934" s="7" t="n">
        <v>45549.57555555556</v>
      </c>
      <c r="L1934" s="3" t="inlineStr">
        <is>
          <t>8.43</t>
        </is>
      </c>
      <c r="M1934" t="inlineStr">
        <is>
          <t>Köln</t>
        </is>
      </c>
    </row>
    <row r="1935">
      <c r="A1935" t="inlineStr">
        <is>
          <t>Duotone Dice SLS aus 2024 in 12qm</t>
        </is>
      </c>
      <c r="B1935" s="4" t="n">
        <v>1.35</v>
      </c>
      <c r="C1935" t="inlineStr">
        <is>
          <t>VB</t>
        </is>
      </c>
      <c r="D1935" t="inlineStr">
        <is>
          <t>17449 Mecklenburg-Vorpommern - Karlshagen</t>
        </is>
      </c>
      <c r="E1935" s="5" t="n">
        <v>45546</v>
      </c>
      <c r="F1935" t="inlineStr">
        <is>
          <t>Sold</t>
        </is>
      </c>
      <c r="G1935" s="6">
        <f>HYPERLINK("https://www.kleinanzeigen.de/s-anzeige/duotone-dice-sls-aus-2024-in-12qm/2859966702-230-21596", "Link")</f>
        <v/>
      </c>
      <c r="H1935" s="6">
        <f>HYPERLINK("C:\Projects\Kleinanzeigen-Scraper\offer_images\2859966702", "Link")</f>
        <v/>
      </c>
      <c r="I1935" t="inlineStr">
        <is>
          <t>Marcel</t>
        </is>
      </c>
      <c r="J1935" s="6">
        <f>HYPERLINK("https://www.kleinanzeigen.de/s-bestandsliste.html?userId=25123770", "Link")</f>
        <v/>
      </c>
      <c r="K1935" s="7" t="n">
        <v>45549.57555555556</v>
      </c>
      <c r="L1935" s="3" t="inlineStr">
        <is>
          <t>583.70</t>
        </is>
      </c>
      <c r="M1935" t="inlineStr">
        <is>
          <t>Köln</t>
        </is>
      </c>
    </row>
    <row r="1936">
      <c r="A1936" t="inlineStr">
        <is>
          <t>Simms Waders Wathose Neopren Fischerhose Anglerhose Angeln</t>
        </is>
      </c>
      <c r="B1936" s="4" t="n">
        <v>150</v>
      </c>
      <c r="C1936" t="inlineStr"/>
      <c r="D1936" t="inlineStr">
        <is>
          <t>77749 Baden-Württemberg - Hohberg</t>
        </is>
      </c>
      <c r="E1936" s="5" t="n">
        <v>45503</v>
      </c>
      <c r="F1936" t="inlineStr">
        <is>
          <t>Sold</t>
        </is>
      </c>
      <c r="G1936" s="6">
        <f>HYPERLINK("https://www.kleinanzeigen.de/s-anzeige/simms-waders-wathose-neopren-fischerhose-anglerhose-angeln/2824674226-230-9033", "Link")</f>
        <v/>
      </c>
      <c r="H1936" s="6">
        <f>HYPERLINK("C:\Projects\Kleinanzeigen-Scraper\offer_images\2824674226", "Link")</f>
        <v/>
      </c>
      <c r="I1936" t="inlineStr">
        <is>
          <t>M.C.</t>
        </is>
      </c>
      <c r="J1936" s="6">
        <f>HYPERLINK("https://www.kleinanzeigen.de/s-bestandsliste.html?userId=5761553", "Link")</f>
        <v/>
      </c>
      <c r="K1936" s="7" t="n">
        <v>45549.57555555556</v>
      </c>
      <c r="L1936" s="3" t="inlineStr">
        <is>
          <t>74.57</t>
        </is>
      </c>
      <c r="M1936" t="inlineStr">
        <is>
          <t>Karlsruhe</t>
        </is>
      </c>
    </row>
    <row r="1937">
      <c r="A1937" t="inlineStr">
        <is>
          <t>Neilpryde Glide Foil-Flügel (Front,Back) ggf auch C-Mast&amp;Fuselage</t>
        </is>
      </c>
      <c r="B1937" s="4" t="n">
        <v>365</v>
      </c>
      <c r="C1937" t="inlineStr">
        <is>
          <t>VB</t>
        </is>
      </c>
      <c r="D1937" t="inlineStr">
        <is>
          <t>90530 Bayern - Wendelstein</t>
        </is>
      </c>
      <c r="E1937" s="5" t="n">
        <v>45539</v>
      </c>
      <c r="F1937" t="inlineStr">
        <is>
          <t>Sold</t>
        </is>
      </c>
      <c r="G1937" s="6">
        <f>HYPERLINK("https://www.kleinanzeigen.de/s-anzeige/neilpryde-glide-foil-fluegel-front-back-ggf-auch-c-mast-fuselage/2854434496-230-5655", "Link")</f>
        <v/>
      </c>
      <c r="H1937" s="6">
        <f>HYPERLINK("C:\Projects\Kleinanzeigen-Scraper\offer_images\2854434496", "Link")</f>
        <v/>
      </c>
      <c r="I1937" t="inlineStr">
        <is>
          <t>Gerald</t>
        </is>
      </c>
      <c r="J1937" s="6">
        <f>HYPERLINK("https://www.kleinanzeigen.de/s-bestandsliste.html?userId=31119745", "Link")</f>
        <v/>
      </c>
      <c r="K1937" s="7" t="n">
        <v>45549.57554398148</v>
      </c>
      <c r="L1937" s="3" t="inlineStr">
        <is>
          <t>137.59</t>
        </is>
      </c>
      <c r="M1937" t="inlineStr">
        <is>
          <t>München</t>
        </is>
      </c>
    </row>
    <row r="1938">
      <c r="A1938" t="inlineStr">
        <is>
          <t>Neilpryde-Long John mit Jacke,  Gr. 94,  ungetragen, Surfen, SUP</t>
        </is>
      </c>
      <c r="B1938" s="4" t="n">
        <v>70</v>
      </c>
      <c r="C1938" t="inlineStr">
        <is>
          <t>VB</t>
        </is>
      </c>
      <c r="D1938" t="inlineStr">
        <is>
          <t>33615 Bielefeld - Bielefeld (Innenstadt)</t>
        </is>
      </c>
      <c r="E1938" s="5" t="n">
        <v>45548</v>
      </c>
      <c r="F1938" t="inlineStr"/>
      <c r="G1938" s="6">
        <f>HYPERLINK("https://www.kleinanzeigen.de/s-anzeige/neilpryde-long-john-mit-jacke-gr-94-ungetragen-surfen-sup/2862319933-230-1058", "Link")</f>
        <v/>
      </c>
      <c r="H1938" s="6">
        <f>HYPERLINK("C:\Projects\Kleinanzeigen-Scraper\offer_images\2862319933", "Link")</f>
        <v/>
      </c>
      <c r="I1938" t="inlineStr">
        <is>
          <t>Carola Giller</t>
        </is>
      </c>
      <c r="J1938" s="6">
        <f>HYPERLINK("https://www.kleinanzeigen.de/s-bestandsliste.html?userId=7988525", "Link")</f>
        <v/>
      </c>
      <c r="K1938" s="7" t="n">
        <v>45549.57554398148</v>
      </c>
      <c r="L1938" s="3" t="inlineStr">
        <is>
          <t>162.21</t>
        </is>
      </c>
      <c r="M1938" t="inlineStr">
        <is>
          <t>Köln</t>
        </is>
      </c>
    </row>
    <row r="1939">
      <c r="A1939" t="inlineStr">
        <is>
          <t>Feinste natürliche Zeichenkohle Solo Goya C.Kreul</t>
        </is>
      </c>
      <c r="B1939" s="4" t="n">
        <v>5</v>
      </c>
      <c r="C1939" t="inlineStr"/>
      <c r="D1939" t="inlineStr">
        <is>
          <t>16833 Brandenburg - Fehrbellin</t>
        </is>
      </c>
      <c r="E1939" s="5" t="n">
        <v>45521</v>
      </c>
      <c r="F1939" t="inlineStr">
        <is>
          <t>Sold</t>
        </is>
      </c>
      <c r="G1939" s="6">
        <f>HYPERLINK("https://www.kleinanzeigen.de/s-anzeige/feinste-natuerliche-zeichenkohle-solo-goya-c-kreul/2838763896-282-19580", "Link")</f>
        <v/>
      </c>
      <c r="H1939" s="6">
        <f>HYPERLINK("C:\Projects\Kleinanzeigen-Scraper\offer_images\2838763896", "Link")</f>
        <v/>
      </c>
      <c r="I1939" t="inlineStr">
        <is>
          <t>Birgit Hauschke</t>
        </is>
      </c>
      <c r="J1939" s="6">
        <f>HYPERLINK("https://www.kleinanzeigen.de/s-bestandsliste.html?userId=17469640", "Link")</f>
        <v/>
      </c>
      <c r="K1939" s="7" t="n">
        <v>45549.57553240741</v>
      </c>
      <c r="L1939" s="3" t="inlineStr">
        <is>
          <t>450.38</t>
        </is>
      </c>
      <c r="M1939" t="inlineStr">
        <is>
          <t>Köln</t>
        </is>
      </c>
    </row>
    <row r="1940">
      <c r="A1940" t="inlineStr">
        <is>
          <t>Softboots Nitro Vandal Gr. 42 2/3</t>
        </is>
      </c>
      <c r="B1940" s="4" t="n">
        <v>50</v>
      </c>
      <c r="C1940" t="inlineStr">
        <is>
          <t>VB</t>
        </is>
      </c>
      <c r="D1940" t="inlineStr">
        <is>
          <t>44625 Nordrhein-Westfalen - Herne</t>
        </is>
      </c>
      <c r="E1940" s="5" t="n">
        <v>45543</v>
      </c>
      <c r="F1940" t="inlineStr"/>
      <c r="G1940" s="6">
        <f>HYPERLINK("https://www.kleinanzeigen.de/s-anzeige/softboots-nitro-vandal-gr-42-2-3/2857675051-230-2003", "Link")</f>
        <v/>
      </c>
      <c r="H1940" s="6">
        <f>HYPERLINK("C:\Projects\Kleinanzeigen-Scraper\offer_images\2857675051", "Link")</f>
        <v/>
      </c>
      <c r="I1940" t="inlineStr">
        <is>
          <t>Nils Sv</t>
        </is>
      </c>
      <c r="J1940" s="6">
        <f>HYPERLINK("https://www.kleinanzeigen.de/s-bestandsliste.html?userId=144146825", "Link")</f>
        <v/>
      </c>
      <c r="K1940" s="7" t="n">
        <v>45549.57553240741</v>
      </c>
      <c r="L1940" s="3" t="inlineStr">
        <is>
          <t>67.92</t>
        </is>
      </c>
      <c r="M1940" t="inlineStr">
        <is>
          <t>Köln</t>
        </is>
      </c>
    </row>
    <row r="1941">
      <c r="A1941" t="inlineStr">
        <is>
          <t>Duotone Tubekite Rebel SLS C03: blue/light-grey 2024 12.0 qm</t>
        </is>
      </c>
      <c r="B1941" s="4" t="n">
        <v>1.599</v>
      </c>
      <c r="C1941" t="inlineStr">
        <is>
          <t>VB</t>
        </is>
      </c>
      <c r="D1941" t="inlineStr">
        <is>
          <t>26125 Niedersachsen - Oldenburg</t>
        </is>
      </c>
      <c r="E1941" s="5" t="n">
        <v>45545</v>
      </c>
      <c r="F1941" t="inlineStr">
        <is>
          <t>Sold</t>
        </is>
      </c>
      <c r="G1941" s="6">
        <f>HYPERLINK("https://www.kleinanzeigen.de/s-anzeige/duotone-tubekite-rebel-sls-c03-blue-light-grey-2024-12-0-qm/2859570666-230-3111", "Link")</f>
        <v/>
      </c>
      <c r="H1941" s="6">
        <f>HYPERLINK("C:\Projects\Kleinanzeigen-Scraper\offer_images\2859570666", "Link")</f>
        <v/>
      </c>
      <c r="I1941" t="inlineStr">
        <is>
          <t>No user name</t>
        </is>
      </c>
      <c r="J1941" s="6">
        <f>HYPERLINK("https://www.kleinanzeigen.deNo user link", "Link")</f>
        <v/>
      </c>
      <c r="K1941" s="7" t="n">
        <v>45549.57552083334</v>
      </c>
      <c r="L1941" s="3" t="inlineStr">
        <is>
          <t>264.10</t>
        </is>
      </c>
      <c r="M1941" t="inlineStr">
        <is>
          <t>Köln</t>
        </is>
      </c>
    </row>
    <row r="1942">
      <c r="A1942" t="inlineStr">
        <is>
          <t>Wing Naish Wing-Surfer ADX 5.0 Orange</t>
        </is>
      </c>
      <c r="B1942" s="4" t="n">
        <v>460</v>
      </c>
      <c r="C1942" t="inlineStr"/>
      <c r="D1942" t="inlineStr">
        <is>
          <t>24229 Schleswig-Holstein - Schwedeneck</t>
        </is>
      </c>
      <c r="E1942" s="5" t="n">
        <v>45527</v>
      </c>
      <c r="F1942" t="inlineStr">
        <is>
          <t>Sold</t>
        </is>
      </c>
      <c r="G1942" s="6">
        <f>HYPERLINK("https://www.kleinanzeigen.de/s-anzeige/wing-naish-wing-surfer-adx-5-0-orange/2844113925-230-17470", "Link")</f>
        <v/>
      </c>
      <c r="H1942" s="6">
        <f>HYPERLINK("C:\Projects\Kleinanzeigen-Scraper\offer_images\2844113925", "Link")</f>
        <v/>
      </c>
      <c r="I1942" t="inlineStr">
        <is>
          <t>Nick Dathe</t>
        </is>
      </c>
      <c r="J1942" s="6">
        <f>HYPERLINK("https://www.kleinanzeigen.de/s-bestandsliste.html?userId=12352140", "Link")</f>
        <v/>
      </c>
      <c r="K1942" s="7" t="n">
        <v>45549.57552083334</v>
      </c>
      <c r="L1942" s="3" t="inlineStr">
        <is>
          <t>445.58</t>
        </is>
      </c>
      <c r="M1942" t="inlineStr">
        <is>
          <t>Köln</t>
        </is>
      </c>
    </row>
    <row r="1943">
      <c r="A1943" t="inlineStr">
        <is>
          <t>Duotone Unit Dlab 6.0 2024</t>
        </is>
      </c>
      <c r="B1943" s="4" t="n">
        <v>1.1</v>
      </c>
      <c r="C1943" t="inlineStr">
        <is>
          <t>VB</t>
        </is>
      </c>
      <c r="D1943" t="inlineStr">
        <is>
          <t>87463 Bayern - Dietmannsried</t>
        </is>
      </c>
      <c r="E1943" s="5" t="n">
        <v>45548</v>
      </c>
      <c r="F1943" t="inlineStr">
        <is>
          <t>Sold</t>
        </is>
      </c>
      <c r="G1943" s="6">
        <f>HYPERLINK("https://www.kleinanzeigen.de/s-anzeige/duotone-unit-dlab-6-0-2024/2862401581-230-7623", "Link")</f>
        <v/>
      </c>
      <c r="H1943" s="6">
        <f>HYPERLINK("C:\Projects\Kleinanzeigen-Scraper\offer_images\2862401581", "Link")</f>
        <v/>
      </c>
      <c r="I1943" t="inlineStr">
        <is>
          <t>Robert Bircheneder</t>
        </is>
      </c>
      <c r="J1943" s="6">
        <f>HYPERLINK("https://www.kleinanzeigen.de/s-bestandsliste.html?userId=43544466", "Link")</f>
        <v/>
      </c>
      <c r="K1943" s="7" t="n">
        <v>45549.57550925926</v>
      </c>
      <c r="L1943" s="3" t="inlineStr">
        <is>
          <t>102.25</t>
        </is>
      </c>
      <c r="M1943" t="inlineStr">
        <is>
          <t>München</t>
        </is>
      </c>
    </row>
    <row r="1944">
      <c r="A1944" t="inlineStr">
        <is>
          <t>4er Set CC MOORE Northern Specials Wafters / Pop-UPS SELTEN RAR!!</t>
        </is>
      </c>
      <c r="B1944" s="4" t="n">
        <v>55</v>
      </c>
      <c r="C1944" t="inlineStr"/>
      <c r="D1944" t="inlineStr">
        <is>
          <t>48455 Niedersachsen - Bad Bentheim</t>
        </is>
      </c>
      <c r="E1944" s="5" t="n">
        <v>45542</v>
      </c>
      <c r="F1944" t="inlineStr">
        <is>
          <t>Sold</t>
        </is>
      </c>
      <c r="G1944" s="6">
        <f>HYPERLINK("https://www.kleinanzeigen.de/s-anzeige/4er-set-cc-moore-northern-specials-wafters-pop-ups-selten-rar-/2246193634-230-2492", "Link")</f>
        <v/>
      </c>
      <c r="H1944" s="6">
        <f>HYPERLINK("C:\Projects\Kleinanzeigen-Scraper\offer_images\2246193634", "Link")</f>
        <v/>
      </c>
      <c r="I1944" t="inlineStr">
        <is>
          <t>No user name</t>
        </is>
      </c>
      <c r="J1944" s="6">
        <f>HYPERLINK("https://www.kleinanzeigen.deNo user link", "Link")</f>
        <v/>
      </c>
      <c r="K1944" s="7" t="n">
        <v>45549.57550925926</v>
      </c>
      <c r="L1944" s="3" t="inlineStr">
        <is>
          <t>151.42</t>
        </is>
      </c>
      <c r="M1944" t="inlineStr">
        <is>
          <t>Köln</t>
        </is>
      </c>
    </row>
    <row r="1945">
      <c r="A1945" t="inlineStr">
        <is>
          <t>Simms Watweste</t>
        </is>
      </c>
      <c r="B1945" s="4" t="n">
        <v>175</v>
      </c>
      <c r="C1945" t="inlineStr"/>
      <c r="D1945" t="inlineStr">
        <is>
          <t>35759 Hessen - Driedorf</t>
        </is>
      </c>
      <c r="E1945" s="5" t="n">
        <v>45404</v>
      </c>
      <c r="F1945" t="inlineStr"/>
      <c r="G1945" s="6">
        <f>HYPERLINK("https://www.kleinanzeigen.de/s-anzeige/simms-watweste/2742555895-230-4705", "Link")</f>
        <v/>
      </c>
      <c r="H1945" s="6">
        <f>HYPERLINK("C:\Projects\Kleinanzeigen-Scraper\offer_images\2742555895", "Link")</f>
        <v/>
      </c>
      <c r="I1945" t="inlineStr">
        <is>
          <t>Mattes</t>
        </is>
      </c>
      <c r="J1945" s="6">
        <f>HYPERLINK("https://www.kleinanzeigen.de/s-bestandsliste.html?userId=36746911", "Link")</f>
        <v/>
      </c>
      <c r="K1945" s="7" t="n">
        <v>45549.57550925926</v>
      </c>
      <c r="L1945" s="3" t="inlineStr">
        <is>
          <t>93.00</t>
        </is>
      </c>
      <c r="M1945" t="inlineStr">
        <is>
          <t>Köln</t>
        </is>
      </c>
    </row>
    <row r="1946">
      <c r="A1946" t="inlineStr">
        <is>
          <t>RRD Obsession 12qm inkl Bar</t>
        </is>
      </c>
      <c r="B1946" s="4" t="n">
        <v>100</v>
      </c>
      <c r="C1946" t="inlineStr">
        <is>
          <t>VB</t>
        </is>
      </c>
      <c r="D1946" t="inlineStr">
        <is>
          <t>81927 München - Bogenhausen</t>
        </is>
      </c>
      <c r="E1946" s="5" t="n">
        <v>45535</v>
      </c>
      <c r="F1946" t="inlineStr"/>
      <c r="G1946" s="6">
        <f>HYPERLINK("https://www.kleinanzeigen.de/s-anzeige/rrd-obsession-12qm-inkl-bar/2850549127-230-6527", "Link")</f>
        <v/>
      </c>
      <c r="H1946" s="6">
        <f>HYPERLINK("C:\Projects\Kleinanzeigen-Scraper\offer_images\2850549127", "Link")</f>
        <v/>
      </c>
      <c r="I1946" t="inlineStr">
        <is>
          <t>Christian</t>
        </is>
      </c>
      <c r="J1946" s="6">
        <f>HYPERLINK("https://www.kleinanzeigen.de/s-bestandsliste.html?userId=24096526", "Link")</f>
        <v/>
      </c>
      <c r="K1946" s="7" t="n">
        <v>45549.57550925926</v>
      </c>
      <c r="L1946" s="3" t="inlineStr">
        <is>
          <t>5.60</t>
        </is>
      </c>
      <c r="M1946" t="inlineStr">
        <is>
          <t>München</t>
        </is>
      </c>
    </row>
    <row r="1947">
      <c r="A1947" t="inlineStr">
        <is>
          <t>Duotone Unit 5.5m DLAB 2024 wie neu</t>
        </is>
      </c>
      <c r="B1947" s="4" t="n">
        <v>1.099</v>
      </c>
      <c r="C1947" t="inlineStr">
        <is>
          <t>VB</t>
        </is>
      </c>
      <c r="D1947" t="inlineStr">
        <is>
          <t>75053 Baden-Württemberg - Gondelsheim</t>
        </is>
      </c>
      <c r="E1947" s="5" t="n">
        <v>45546</v>
      </c>
      <c r="F1947" t="inlineStr">
        <is>
          <t>Sold</t>
        </is>
      </c>
      <c r="G1947" s="6">
        <f>HYPERLINK("https://www.kleinanzeigen.de/s-anzeige/duotone-unit-5-5m-dlab-2024-wie-neu/2860441064-230-8801", "Link")</f>
        <v/>
      </c>
      <c r="H1947" s="6">
        <f>HYPERLINK("C:\Projects\Kleinanzeigen-Scraper\offer_images\2860441064", "Link")</f>
        <v/>
      </c>
      <c r="I1947" t="inlineStr">
        <is>
          <t>MH</t>
        </is>
      </c>
      <c r="J1947" s="6">
        <f>HYPERLINK("https://www.kleinanzeigen.de/s-bestandsliste.html?userId=14774800", "Link")</f>
        <v/>
      </c>
      <c r="K1947" s="7" t="n">
        <v>45549.57549768518</v>
      </c>
      <c r="L1947" s="3" t="inlineStr">
        <is>
          <t>20.24</t>
        </is>
      </c>
      <c r="M1947" t="inlineStr">
        <is>
          <t>Karlsruhe</t>
        </is>
      </c>
    </row>
    <row r="1948">
      <c r="A1948" t="inlineStr">
        <is>
          <t>MITCHELL Bomber von NORTH AMERICAN</t>
        </is>
      </c>
      <c r="B1948" s="4" t="n">
        <v>25</v>
      </c>
      <c r="C1948" t="inlineStr"/>
      <c r="D1948" t="inlineStr">
        <is>
          <t>35390 Hessen - Gießen</t>
        </is>
      </c>
      <c r="E1948" s="5" t="n">
        <v>45542</v>
      </c>
      <c r="F1948" t="inlineStr">
        <is>
          <t>Sold</t>
        </is>
      </c>
      <c r="G1948" s="6">
        <f>HYPERLINK("https://www.kleinanzeigen.de/s-anzeige/mitchell-bomber-von-north-american/2856578316-249-4712", "Link")</f>
        <v/>
      </c>
      <c r="H1948" s="6">
        <f>HYPERLINK("C:\Projects\Kleinanzeigen-Scraper\offer_images\2856578316", "Link")</f>
        <v/>
      </c>
      <c r="I1948" t="inlineStr">
        <is>
          <t>MB</t>
        </is>
      </c>
      <c r="J1948" s="6">
        <f>HYPERLINK("https://www.kleinanzeigen.de/s-bestandsliste.html?userId=75104723", "Link")</f>
        <v/>
      </c>
      <c r="K1948" s="7" t="n">
        <v>45549.57548611111</v>
      </c>
      <c r="L1948" s="3" t="inlineStr">
        <is>
          <t>127.22</t>
        </is>
      </c>
      <c r="M1948" t="inlineStr">
        <is>
          <t>Köln</t>
        </is>
      </c>
    </row>
    <row r="1949">
      <c r="A1949" t="inlineStr">
        <is>
          <t>Naish Triad S26 TestKite -35% &amp; Triad 2022 Neu -15% Test -20%</t>
        </is>
      </c>
      <c r="B1949" s="4" t="n">
        <v>961</v>
      </c>
      <c r="C1949" t="inlineStr">
        <is>
          <t>VB</t>
        </is>
      </c>
      <c r="D1949" t="inlineStr">
        <is>
          <t>18586 Mecklenburg-Vorpommern - Mönchgut, Ostseebad</t>
        </is>
      </c>
      <c r="E1949" s="5" t="n">
        <v>45545</v>
      </c>
      <c r="F1949" t="inlineStr">
        <is>
          <t>Sold</t>
        </is>
      </c>
      <c r="G1949" s="6">
        <f>HYPERLINK("https://www.kleinanzeigen.de/s-anzeige/naish-triad-s26-testkite-35-triad-2022-neu-15-test-20-/1807236372-230-120", "Link")</f>
        <v/>
      </c>
      <c r="H1949" s="6">
        <f>HYPERLINK("C:\Projects\Kleinanzeigen-Scraper\offer_images\1807236372", "Link")</f>
        <v/>
      </c>
      <c r="I1949" t="inlineStr">
        <is>
          <t>No user name</t>
        </is>
      </c>
      <c r="J1949" s="6">
        <f>HYPERLINK("https://www.kleinanzeigen.deNo user link", "Link")</f>
        <v/>
      </c>
      <c r="K1949" s="7" t="n">
        <v>45549.57548611111</v>
      </c>
      <c r="L1949" s="3" t="inlineStr">
        <is>
          <t>591.22</t>
        </is>
      </c>
      <c r="M1949" t="inlineStr">
        <is>
          <t>Köln</t>
        </is>
      </c>
    </row>
    <row r="1950">
      <c r="A1950" t="inlineStr">
        <is>
          <t>Duotone Rebel 2021 12 qm</t>
        </is>
      </c>
      <c r="B1950" s="4" t="n">
        <v>720</v>
      </c>
      <c r="C1950" t="inlineStr"/>
      <c r="D1950" t="inlineStr">
        <is>
          <t>12049 Berlin - Neukölln</t>
        </is>
      </c>
      <c r="E1950" s="5" t="n">
        <v>45547</v>
      </c>
      <c r="F1950" t="inlineStr">
        <is>
          <t>Sold</t>
        </is>
      </c>
      <c r="G1950" s="6">
        <f>HYPERLINK("https://www.kleinanzeigen.de/s-anzeige/duotone-rebel-2021-12-qm/2861305247-230-3396", "Link")</f>
        <v/>
      </c>
      <c r="H1950" s="6">
        <f>HYPERLINK("C:\Projects\Kleinanzeigen-Scraper\offer_images\2861305247", "Link")</f>
        <v/>
      </c>
      <c r="I1950" t="inlineStr">
        <is>
          <t>Andreas</t>
        </is>
      </c>
      <c r="J1950" s="6">
        <f>HYPERLINK("https://www.kleinanzeigen.de/s-bestandsliste.html?userId=34610162", "Link")</f>
        <v/>
      </c>
      <c r="K1950" s="7" t="n">
        <v>45549.57548611111</v>
      </c>
      <c r="L1950" s="3" t="inlineStr">
        <is>
          <t>477.18</t>
        </is>
      </c>
      <c r="M1950" t="inlineStr">
        <is>
          <t>Köln</t>
        </is>
      </c>
    </row>
    <row r="1951">
      <c r="A1951" t="inlineStr">
        <is>
          <t>Acryl Farbenset Goya / el Greco</t>
        </is>
      </c>
      <c r="B1951" s="4" t="n">
        <v>10</v>
      </c>
      <c r="C1951" t="inlineStr"/>
      <c r="D1951" t="inlineStr">
        <is>
          <t>85123 Bayern - Karlskron</t>
        </is>
      </c>
      <c r="E1951" s="5" t="n">
        <v>45543</v>
      </c>
      <c r="F1951" t="inlineStr"/>
      <c r="G1951" s="6">
        <f>HYPERLINK("https://www.kleinanzeigen.de/s-anzeige/acryl-farbenset-goya-el-greco/2857912227-282-7599", "Link")</f>
        <v/>
      </c>
      <c r="H1951" s="6">
        <f>HYPERLINK("C:\Projects\Kleinanzeigen-Scraper\offer_images\2857912227", "Link")</f>
        <v/>
      </c>
      <c r="I1951" t="inlineStr">
        <is>
          <t>Patrick</t>
        </is>
      </c>
      <c r="J1951" s="6">
        <f>HYPERLINK("https://www.kleinanzeigen.de/s-bestandsliste.html?userId=18631533", "Link")</f>
        <v/>
      </c>
      <c r="K1951" s="7" t="n">
        <v>45549.57546296297</v>
      </c>
      <c r="L1951" s="3" t="inlineStr">
        <is>
          <t>60.31</t>
        </is>
      </c>
      <c r="M1951" t="inlineStr">
        <is>
          <t>München</t>
        </is>
      </c>
    </row>
    <row r="1952">
      <c r="A1952" t="inlineStr">
        <is>
          <t>Starbucks Sammeltasse/Tumbler North Ireland NEU !!</t>
        </is>
      </c>
      <c r="B1952" s="4" t="n">
        <v>50</v>
      </c>
      <c r="C1952" t="inlineStr"/>
      <c r="D1952" t="inlineStr">
        <is>
          <t>76227 Baden-Württemberg - Karlsruhe</t>
        </is>
      </c>
      <c r="E1952" s="5" t="n">
        <v>45540</v>
      </c>
      <c r="F1952" t="inlineStr">
        <is>
          <t>Sold</t>
        </is>
      </c>
      <c r="G1952" s="6">
        <f>HYPERLINK("https://www.kleinanzeigen.de/s-anzeige/starbucks-sammeltasse-tumbler-north-ireland-neu-/2855044395-234-9197", "Link")</f>
        <v/>
      </c>
      <c r="H1952" s="6">
        <f>HYPERLINK("C:\Projects\Kleinanzeigen-Scraper\offer_images\2855044395", "Link")</f>
        <v/>
      </c>
      <c r="I1952" t="inlineStr">
        <is>
          <t>thenomad</t>
        </is>
      </c>
      <c r="J1952" s="6">
        <f>HYPERLINK("https://www.kleinanzeigen.de/s-bestandsliste.html?userId=138392283", "Link")</f>
        <v/>
      </c>
      <c r="K1952" s="7" t="n">
        <v>45549.57546296297</v>
      </c>
      <c r="L1952" s="3" t="inlineStr">
        <is>
          <t>6.23</t>
        </is>
      </c>
      <c r="M1952" t="inlineStr">
        <is>
          <t>Karlsruhe</t>
        </is>
      </c>
    </row>
    <row r="1953">
      <c r="A1953" t="inlineStr">
        <is>
          <t>Wildwasser SUP Fanatic Rapid Air Premium</t>
        </is>
      </c>
      <c r="B1953" s="4" t="n">
        <v>520</v>
      </c>
      <c r="C1953" t="inlineStr">
        <is>
          <t>VB</t>
        </is>
      </c>
      <c r="D1953" t="inlineStr">
        <is>
          <t>82140 Bayern - Olching</t>
        </is>
      </c>
      <c r="E1953" s="5" t="n">
        <v>45536</v>
      </c>
      <c r="F1953" t="inlineStr">
        <is>
          <t>Sold</t>
        </is>
      </c>
      <c r="G1953" s="6">
        <f>HYPERLINK("https://www.kleinanzeigen.de/s-anzeige/wildwasser-sup-fanatic-rapid-air-premium/2851213237-230-5589", "Link")</f>
        <v/>
      </c>
      <c r="H1953" s="6">
        <f>HYPERLINK("C:\Projects\Kleinanzeigen-Scraper\offer_images\2851213237", "Link")</f>
        <v/>
      </c>
      <c r="I1953" t="inlineStr">
        <is>
          <t>S.G.</t>
        </is>
      </c>
      <c r="J1953" s="6">
        <f>HYPERLINK("https://www.kleinanzeigen.de/s-bestandsliste.html?userId=455763", "Link")</f>
        <v/>
      </c>
      <c r="K1953" s="7" t="n">
        <v>45549.57546296297</v>
      </c>
      <c r="L1953" s="3" t="inlineStr">
        <is>
          <t>18.66</t>
        </is>
      </c>
      <c r="M1953" t="inlineStr">
        <is>
          <t>München</t>
        </is>
      </c>
    </row>
    <row r="1954">
      <c r="A1954" t="inlineStr">
        <is>
          <t>Skitourenhose von The North Face 36</t>
        </is>
      </c>
      <c r="B1954" s="4" t="n">
        <v>100</v>
      </c>
      <c r="C1954" t="inlineStr">
        <is>
          <t>VB</t>
        </is>
      </c>
      <c r="D1954" t="inlineStr">
        <is>
          <t>83088 Bayern - Kiefersfelden</t>
        </is>
      </c>
      <c r="E1954" s="5" t="n">
        <v>45544</v>
      </c>
      <c r="F1954" t="inlineStr">
        <is>
          <t>Sold</t>
        </is>
      </c>
      <c r="G1954" s="6">
        <f>HYPERLINK("https://www.kleinanzeigen.de/s-anzeige/skitourenhose-von-the-north-face-36/2858563708-230-7584", "Link")</f>
        <v/>
      </c>
      <c r="H1954" s="6">
        <f>HYPERLINK("C:\Projects\Kleinanzeigen-Scraper\offer_images\2858563708", "Link")</f>
        <v/>
      </c>
      <c r="I1954" t="inlineStr">
        <is>
          <t>Steffen und Tine Rosenlehner</t>
        </is>
      </c>
      <c r="J1954" s="6">
        <f>HYPERLINK("https://www.kleinanzeigen.de/s-bestandsliste.html?userId=16844133", "Link")</f>
        <v/>
      </c>
      <c r="K1954" s="7" t="n">
        <v>45549.57546296297</v>
      </c>
      <c r="L1954" s="3" t="inlineStr">
        <is>
          <t>73.59</t>
        </is>
      </c>
      <c r="M1954" t="inlineStr">
        <is>
          <t>München</t>
        </is>
      </c>
    </row>
    <row r="1955">
      <c r="A1955" t="inlineStr">
        <is>
          <t>RRD Religion 10,5 MK9  1.Hand kein Demo Neo Drifter usw</t>
        </is>
      </c>
      <c r="B1955" s="4" t="n">
        <v>340</v>
      </c>
      <c r="C1955" t="inlineStr">
        <is>
          <t>VB</t>
        </is>
      </c>
      <c r="D1955" t="inlineStr">
        <is>
          <t>38350 Niedersachsen - Helmstedt</t>
        </is>
      </c>
      <c r="E1955" s="5" t="n">
        <v>45533</v>
      </c>
      <c r="F1955" t="inlineStr">
        <is>
          <t>Sold</t>
        </is>
      </c>
      <c r="G1955" s="6">
        <f>HYPERLINK("https://www.kleinanzeigen.de/s-anzeige/rrd-religion-10-5-mk9-1-hand-kein-demo-neo-drifter-usw/2848976520-230-14238", "Link")</f>
        <v/>
      </c>
      <c r="H1955" s="6">
        <f>HYPERLINK("C:\Projects\Kleinanzeigen-Scraper\offer_images\2848976520", "Link")</f>
        <v/>
      </c>
      <c r="I1955" t="inlineStr">
        <is>
          <t>Liebing</t>
        </is>
      </c>
      <c r="J1955" s="6">
        <f>HYPERLINK("https://www.kleinanzeigen.de/s-bestandsliste.html?userId=11767375", "Link")</f>
        <v/>
      </c>
      <c r="K1955" s="7" t="n">
        <v>45549.57546296297</v>
      </c>
      <c r="L1955" s="3" t="inlineStr">
        <is>
          <t>314.95</t>
        </is>
      </c>
      <c r="M1955" t="inlineStr">
        <is>
          <t>Köln</t>
        </is>
      </c>
    </row>
    <row r="1956">
      <c r="A1956" t="inlineStr">
        <is>
          <t>Naish MK4 WING 4.5</t>
        </is>
      </c>
      <c r="B1956" s="4" t="n">
        <v>360</v>
      </c>
      <c r="C1956" t="inlineStr">
        <is>
          <t>VB</t>
        </is>
      </c>
      <c r="D1956" t="inlineStr">
        <is>
          <t>95444 Bayern - Bayreuth</t>
        </is>
      </c>
      <c r="E1956" s="5" t="n">
        <v>45521</v>
      </c>
      <c r="F1956" t="inlineStr">
        <is>
          <t>Sold</t>
        </is>
      </c>
      <c r="G1956" s="6">
        <f>HYPERLINK("https://www.kleinanzeigen.de/s-anzeige/naish-mk4-wing-4-5/2839366633-230-7494", "Link")</f>
        <v/>
      </c>
      <c r="H1956" s="6">
        <f>HYPERLINK("C:\Projects\Kleinanzeigen-Scraper\offer_images\2839366633", "Link")</f>
        <v/>
      </c>
      <c r="I1956" t="inlineStr">
        <is>
          <t>R.Schäfer</t>
        </is>
      </c>
      <c r="J1956" s="6">
        <f>HYPERLINK("https://www.kleinanzeigen.de/s-bestandsliste.html?userId=3764992", "Link")</f>
        <v/>
      </c>
      <c r="K1956" s="7" t="n">
        <v>45549.57546296297</v>
      </c>
      <c r="L1956" s="3" t="inlineStr">
        <is>
          <t>200.86</t>
        </is>
      </c>
      <c r="M1956" t="inlineStr">
        <is>
          <t>München</t>
        </is>
      </c>
    </row>
    <row r="1957">
      <c r="A1957" t="inlineStr">
        <is>
          <t>Verkaufe 9qm Kite "RRD Passion MK9"</t>
        </is>
      </c>
      <c r="B1957" s="4" t="n">
        <v>270</v>
      </c>
      <c r="C1957" t="inlineStr">
        <is>
          <t>VB</t>
        </is>
      </c>
      <c r="D1957" t="inlineStr">
        <is>
          <t>18057 Rostock - Hansaviertel</t>
        </is>
      </c>
      <c r="E1957" s="5" t="n">
        <v>45369</v>
      </c>
      <c r="F1957" t="inlineStr">
        <is>
          <t>Sold</t>
        </is>
      </c>
      <c r="G1957" s="6">
        <f>HYPERLINK("https://www.kleinanzeigen.de/s-anzeige/verkaufe-9qm-kite-rrd-passion-mk9-/2709731896-230-9533", "Link")</f>
        <v/>
      </c>
      <c r="H1957" s="6">
        <f>HYPERLINK("C:\Projects\Kleinanzeigen-Scraper\offer_images\2709731896", "Link")</f>
        <v/>
      </c>
      <c r="I1957" t="inlineStr">
        <is>
          <t>Mathias</t>
        </is>
      </c>
      <c r="J1957" s="6">
        <f>HYPERLINK("https://www.kleinanzeigen.de/s-bestandsliste.html?userId=9319129", "Link")</f>
        <v/>
      </c>
      <c r="K1957" s="7" t="n">
        <v>45549.57543981481</v>
      </c>
      <c r="L1957" s="3" t="inlineStr">
        <is>
          <t>494.07</t>
        </is>
      </c>
      <c r="M1957" t="inlineStr">
        <is>
          <t>Köln</t>
        </is>
      </c>
    </row>
    <row r="1958">
      <c r="A1958" t="inlineStr">
        <is>
          <t>SUP Fanatic Ray Air Premium 13'6" Package incl. Leash/JP Paddel</t>
        </is>
      </c>
      <c r="B1958" s="4" t="n">
        <v>749</v>
      </c>
      <c r="C1958" t="inlineStr">
        <is>
          <t>VB</t>
        </is>
      </c>
      <c r="D1958" t="inlineStr">
        <is>
          <t>83646 Bayern - Bad Tölz</t>
        </is>
      </c>
      <c r="E1958" s="5" t="n">
        <v>45521</v>
      </c>
      <c r="F1958" t="inlineStr">
        <is>
          <t>Sold</t>
        </is>
      </c>
      <c r="G1958" s="6">
        <f>HYPERLINK("https://www.kleinanzeigen.de/s-anzeige/sup-fanatic-ray-air-premium-13-6-package-incl-leash-jp-paddel/2838764563-230-5883", "Link")</f>
        <v/>
      </c>
      <c r="H1958" s="6">
        <f>HYPERLINK("C:\Projects\Kleinanzeigen-Scraper\offer_images\2838764563", "Link")</f>
        <v/>
      </c>
      <c r="I1958" t="inlineStr">
        <is>
          <t>Hans-Peter</t>
        </is>
      </c>
      <c r="J1958" s="6">
        <f>HYPERLINK("https://www.kleinanzeigen.de/s-bestandsliste.html?userId=15717801", "Link")</f>
        <v/>
      </c>
      <c r="K1958" s="7" t="n">
        <v>45549.57543981481</v>
      </c>
      <c r="L1958" s="3" t="inlineStr">
        <is>
          <t>43.27</t>
        </is>
      </c>
      <c r="M1958" t="inlineStr">
        <is>
          <t>München</t>
        </is>
      </c>
    </row>
    <row r="1959">
      <c r="A1959" t="inlineStr">
        <is>
          <t>North Orbit 10m2 2023er Modell</t>
        </is>
      </c>
      <c r="B1959" s="4" t="n">
        <v>579</v>
      </c>
      <c r="C1959" t="inlineStr"/>
      <c r="D1959" t="inlineStr">
        <is>
          <t>18055 Rostock - Brinckmansdorf</t>
        </is>
      </c>
      <c r="E1959" s="5" t="n">
        <v>45538</v>
      </c>
      <c r="F1959" t="inlineStr">
        <is>
          <t>Sold</t>
        </is>
      </c>
      <c r="G1959" s="6">
        <f>HYPERLINK("https://www.kleinanzeigen.de/s-anzeige/north-orbit-10m2-2023er-modell/2853288378-230-9526", "Link")</f>
        <v/>
      </c>
      <c r="H1959" s="6">
        <f>HYPERLINK("C:\Projects\Kleinanzeigen-Scraper\offer_images\2853288378", "Link")</f>
        <v/>
      </c>
      <c r="I1959" t="inlineStr">
        <is>
          <t>Daniel</t>
        </is>
      </c>
      <c r="J1959" s="6">
        <f>HYPERLINK("https://www.kleinanzeigen.de/s-bestandsliste.html?userId=26003487", "Link")</f>
        <v/>
      </c>
      <c r="K1959" s="7" t="n">
        <v>45549.57543981481</v>
      </c>
      <c r="L1959" s="3" t="inlineStr">
        <is>
          <t>496.50</t>
        </is>
      </c>
      <c r="M1959" t="inlineStr">
        <is>
          <t>Köln</t>
        </is>
      </c>
    </row>
    <row r="1960">
      <c r="A1960" t="inlineStr">
        <is>
          <t>North Orbit 2020 9m - Freeride &amp; BigAir</t>
        </is>
      </c>
      <c r="B1960" s="4" t="n">
        <v>599</v>
      </c>
      <c r="C1960" t="inlineStr">
        <is>
          <t>VB</t>
        </is>
      </c>
      <c r="D1960" t="inlineStr">
        <is>
          <t>28201 Bremen - Neustadt</t>
        </is>
      </c>
      <c r="E1960" s="5" t="n">
        <v>45549</v>
      </c>
      <c r="F1960" t="inlineStr">
        <is>
          <t>Sold</t>
        </is>
      </c>
      <c r="G1960" s="6">
        <f>HYPERLINK("https://www.kleinanzeigen.de/s-anzeige/north-orbit-2020-9m-freeride-bigair/2862921914-230-44", "Link")</f>
        <v/>
      </c>
      <c r="H1960" s="6">
        <f>HYPERLINK("C:\Projects\Kleinanzeigen-Scraper\offer_images\2862921914", "Link")</f>
        <v/>
      </c>
      <c r="I1960" t="inlineStr">
        <is>
          <t>Lennart M.</t>
        </is>
      </c>
      <c r="J1960" s="6">
        <f>HYPERLINK("https://www.kleinanzeigen.de/s-bestandsliste.html?userId=27794622", "Link")</f>
        <v/>
      </c>
      <c r="K1960" s="7" t="n">
        <v>45549.57543981481</v>
      </c>
      <c r="L1960" s="3" t="inlineStr">
        <is>
          <t>267.67</t>
        </is>
      </c>
      <c r="M1960" t="inlineStr">
        <is>
          <t>Köln</t>
        </is>
      </c>
    </row>
    <row r="1961">
      <c r="A1961" t="inlineStr">
        <is>
          <t>Isabella Luftvorzelt Air Cirrus North 400</t>
        </is>
      </c>
      <c r="B1961" s="4" t="n">
        <v>1.5</v>
      </c>
      <c r="C1961" t="inlineStr"/>
      <c r="D1961" t="inlineStr">
        <is>
          <t>04668 Sachsen - Grimma</t>
        </is>
      </c>
      <c r="E1961" s="5" t="n">
        <v>45536</v>
      </c>
      <c r="F1961" t="inlineStr">
        <is>
          <t>Sold</t>
        </is>
      </c>
      <c r="G1961" s="6">
        <f>HYPERLINK("https://www.kleinanzeigen.de/s-anzeige/isabella-luftvorzelt-air-cirrus-north-400/2852046167-230-3929", "Link")</f>
        <v/>
      </c>
      <c r="H1961" s="6">
        <f>HYPERLINK("C:\Projects\Kleinanzeigen-Scraper\offer_images\2852046167", "Link")</f>
        <v/>
      </c>
      <c r="I1961" t="inlineStr">
        <is>
          <t>Falk</t>
        </is>
      </c>
      <c r="J1961" s="6">
        <f>HYPERLINK("https://www.kleinanzeigen.de/s-bestandsliste.html?userId=87727593", "Link")</f>
        <v/>
      </c>
      <c r="K1961" s="7" t="n">
        <v>45549.57541666667</v>
      </c>
      <c r="L1961" s="3" t="inlineStr">
        <is>
          <t>353.13</t>
        </is>
      </c>
      <c r="M1961" t="inlineStr">
        <is>
          <t>München</t>
        </is>
      </c>
    </row>
    <row r="1962">
      <c r="A1962" t="inlineStr">
        <is>
          <t>Duotone Neo D LAB, 8 qm, Kite, top Zustand D/Lab, Dlab</t>
        </is>
      </c>
      <c r="B1962" s="4" t="n">
        <v>1.149</v>
      </c>
      <c r="C1962" t="inlineStr"/>
      <c r="D1962" t="inlineStr">
        <is>
          <t>86899 Bayern - Landsberg (Lech)</t>
        </is>
      </c>
      <c r="E1962" s="5" t="n">
        <v>45539</v>
      </c>
      <c r="F1962" t="inlineStr">
        <is>
          <t>Sold</t>
        </is>
      </c>
      <c r="G1962" s="6">
        <f>HYPERLINK("https://www.kleinanzeigen.de/s-anzeige/duotone-neo-d-lab-8-qm-kite-top-zustand-d-lab-dlab/2854394179-230-7091", "Link")</f>
        <v/>
      </c>
      <c r="H1962" s="6">
        <f>HYPERLINK("C:\Projects\Kleinanzeigen-Scraper\offer_images\2854394179", "Link")</f>
        <v/>
      </c>
      <c r="I1962" t="inlineStr">
        <is>
          <t>Chris</t>
        </is>
      </c>
      <c r="J1962" s="6">
        <f>HYPERLINK("https://www.kleinanzeigen.de/s-bestandsliste.html?userId=16182812", "Link")</f>
        <v/>
      </c>
      <c r="K1962" s="7" t="n">
        <v>45549.57541666667</v>
      </c>
      <c r="L1962" s="3" t="inlineStr">
        <is>
          <t>55.05</t>
        </is>
      </c>
      <c r="M1962" t="inlineStr">
        <is>
          <t>München</t>
        </is>
      </c>
    </row>
    <row r="1963">
      <c r="A1963" t="inlineStr">
        <is>
          <t>Duotone evo dlab 10qm  Kite</t>
        </is>
      </c>
      <c r="B1963" s="4" t="n">
        <v>1.7</v>
      </c>
      <c r="C1963" t="inlineStr">
        <is>
          <t>VB</t>
        </is>
      </c>
      <c r="D1963" t="inlineStr">
        <is>
          <t>21337 Niedersachsen - Lüneburg</t>
        </is>
      </c>
      <c r="E1963" s="5" t="n">
        <v>45548</v>
      </c>
      <c r="F1963" t="inlineStr">
        <is>
          <t>Sold</t>
        </is>
      </c>
      <c r="G1963" s="6">
        <f>HYPERLINK("https://www.kleinanzeigen.de/s-anzeige/duotone-evo-dlab-10qm-kite/2861808485-230-3262", "Link")</f>
        <v/>
      </c>
      <c r="H1963" s="6">
        <f>HYPERLINK("C:\Projects\Kleinanzeigen-Scraper\offer_images\2861808485", "Link")</f>
        <v/>
      </c>
      <c r="I1963" t="inlineStr">
        <is>
          <t>Johannes</t>
        </is>
      </c>
      <c r="J1963" s="6">
        <f>HYPERLINK("https://www.kleinanzeigen.de/s-bestandsliste.html?userId=54385446", "Link")</f>
        <v/>
      </c>
      <c r="K1963" s="7" t="n">
        <v>45549.57541666667</v>
      </c>
      <c r="L1963" s="3" t="inlineStr">
        <is>
          <t>350.18</t>
        </is>
      </c>
      <c r="M1963" t="inlineStr">
        <is>
          <t>Köln</t>
        </is>
      </c>
    </row>
    <row r="1964">
      <c r="A1964" t="inlineStr">
        <is>
          <t>Neoprene Schuhe NeilPryde Rise Reef 2mm</t>
        </is>
      </c>
      <c r="B1964" s="4" t="n">
        <v>35</v>
      </c>
      <c r="C1964" t="inlineStr">
        <is>
          <t>VB</t>
        </is>
      </c>
      <c r="D1964" t="inlineStr">
        <is>
          <t>80809 München - Milbertshofen - Am Hart</t>
        </is>
      </c>
      <c r="E1964" s="5" t="n">
        <v>45478</v>
      </c>
      <c r="F1964" t="inlineStr">
        <is>
          <t>Sold</t>
        </is>
      </c>
      <c r="G1964" s="6">
        <f>HYPERLINK("https://www.kleinanzeigen.de/s-anzeige/neoprene-schuhe-neilpryde-rise-reef-2mm/2804521052-230-6471", "Link")</f>
        <v/>
      </c>
      <c r="H1964" s="6">
        <f>HYPERLINK("C:\Projects\Kleinanzeigen-Scraper\offer_images\2804521052", "Link")</f>
        <v/>
      </c>
      <c r="I1964" t="inlineStr">
        <is>
          <t>Dmitry</t>
        </is>
      </c>
      <c r="J1964" s="6">
        <f>HYPERLINK("https://www.kleinanzeigen.de/s-bestandsliste.html?userId=51595780", "Link")</f>
        <v/>
      </c>
      <c r="K1964" s="7" t="n">
        <v>45549.57541666667</v>
      </c>
      <c r="L1964" s="3" t="inlineStr">
        <is>
          <t>5.17</t>
        </is>
      </c>
      <c r="M1964" t="inlineStr">
        <is>
          <t>München</t>
        </is>
      </c>
    </row>
    <row r="1965">
      <c r="A1965" t="inlineStr">
        <is>
          <t>Komplettes RRD Religion Kiteset inkl. Board Bar  Pumpe Trapez Neo</t>
        </is>
      </c>
      <c r="B1965" s="4" t="n">
        <v>1.499</v>
      </c>
      <c r="C1965" t="inlineStr">
        <is>
          <t>VB</t>
        </is>
      </c>
      <c r="D1965" t="inlineStr">
        <is>
          <t>27607 Niedersachsen - Geestland</t>
        </is>
      </c>
      <c r="E1965" s="5" t="n">
        <v>45555</v>
      </c>
      <c r="F1965" t="inlineStr">
        <is>
          <t>Sold</t>
        </is>
      </c>
      <c r="G1965" s="6">
        <f>HYPERLINK("https://www.kleinanzeigen.de/s-anzeige/komplettes-rrd-religion-kiteset-inkl-board-bar-pumpe-trapez-neo/2848929608-230-9733", "Link")</f>
        <v/>
      </c>
      <c r="H1965" s="6">
        <f>HYPERLINK("C:\Projects\Kleinanzeigen-Scraper\offer_images\2848929608", "Link")</f>
        <v/>
      </c>
      <c r="I1965" t="inlineStr">
        <is>
          <t>Privat</t>
        </is>
      </c>
      <c r="J1965" s="6">
        <f>HYPERLINK("https://www.kleinanzeigen.de/s-bestandsliste.html?userId=62857753", "Link")</f>
        <v/>
      </c>
      <c r="K1965" s="7" t="n">
        <v>45549.57539351852</v>
      </c>
      <c r="L1965" s="3" t="inlineStr">
        <is>
          <t>323.93</t>
        </is>
      </c>
      <c r="M1965" t="inlineStr">
        <is>
          <t>Köln</t>
        </is>
      </c>
    </row>
    <row r="1966">
      <c r="A1966" t="inlineStr">
        <is>
          <t>OVP Hasbro Disney Frozen 2 Elsa Northern Lights Nordlichter Puppe</t>
        </is>
      </c>
      <c r="B1966" s="4" t="n">
        <v>26</v>
      </c>
      <c r="C1966" t="inlineStr"/>
      <c r="D1966" t="inlineStr">
        <is>
          <t>46519 Nordrhein-Westfalen - Alpen</t>
        </is>
      </c>
      <c r="E1966" s="5" t="n">
        <v>45537</v>
      </c>
      <c r="F1966" t="inlineStr">
        <is>
          <t>Sold</t>
        </is>
      </c>
      <c r="G1966" s="6">
        <f>HYPERLINK("https://www.kleinanzeigen.de/s-anzeige/ovp-hasbro-disney-frozen-2-elsa-northern-lights-nordlichter-puppe/2852415111-234-1398", "Link")</f>
        <v/>
      </c>
      <c r="H1966" s="6">
        <f>HYPERLINK("C:\Projects\Kleinanzeigen-Scraper\offer_images\2852415111", "Link")</f>
        <v/>
      </c>
      <c r="I1966" t="inlineStr">
        <is>
          <t>Fam</t>
        </is>
      </c>
      <c r="J1966" s="6">
        <f>HYPERLINK("https://www.kleinanzeigen.de/s-bestandsliste.html?userId=141386084", "Link")</f>
        <v/>
      </c>
      <c r="K1966" s="7" t="n">
        <v>45549.57539351852</v>
      </c>
      <c r="L1966" s="3" t="inlineStr">
        <is>
          <t>80.54</t>
        </is>
      </c>
      <c r="M1966" t="inlineStr">
        <is>
          <t>Köln</t>
        </is>
      </c>
    </row>
    <row r="1967">
      <c r="A1967" t="inlineStr">
        <is>
          <t>DUOTONE Dice SLS 2022 9m² C03:Vanilla/Coral-Red *Testkite*</t>
        </is>
      </c>
      <c r="B1967" s="4" t="n">
        <v>999</v>
      </c>
      <c r="C1967" t="inlineStr"/>
      <c r="D1967" t="inlineStr">
        <is>
          <t>17509 Mecklenburg-Vorpommern - Loissin</t>
        </is>
      </c>
      <c r="E1967" s="5" t="n">
        <v>45547</v>
      </c>
      <c r="F1967" t="inlineStr">
        <is>
          <t>Sold</t>
        </is>
      </c>
      <c r="G1967" s="6">
        <f>HYPERLINK("https://www.kleinanzeigen.de/s-anzeige/duotone-dice-sls-2022-9m-c03-vanilla-coral-red-testkite-/2735356144-230-21340", "Link")</f>
        <v/>
      </c>
      <c r="H1967" s="6">
        <f>HYPERLINK("C:\Projects\Kleinanzeigen-Scraper\offer_images\2735356144", "Link")</f>
        <v/>
      </c>
      <c r="I1967" t="inlineStr">
        <is>
          <t>No user name</t>
        </is>
      </c>
      <c r="J1967" s="6">
        <f>HYPERLINK("https://www.kleinanzeigen.deNo user link", "Link")</f>
        <v/>
      </c>
      <c r="K1967" s="7" t="n">
        <v>45549.57539351852</v>
      </c>
      <c r="L1967" s="3" t="inlineStr">
        <is>
          <t>568.47</t>
        </is>
      </c>
      <c r="M1967" t="inlineStr">
        <is>
          <t>Köln</t>
        </is>
      </c>
    </row>
    <row r="1968">
      <c r="A1968" t="inlineStr">
        <is>
          <t>Nitro Vandal Snowboard Schuhe Gr. 41 (EU)</t>
        </is>
      </c>
      <c r="B1968" s="4" t="n">
        <v>35</v>
      </c>
      <c r="C1968" t="inlineStr">
        <is>
          <t>VB</t>
        </is>
      </c>
      <c r="D1968" t="inlineStr">
        <is>
          <t>70180 Stuttgart - Stuttgart-Süd</t>
        </is>
      </c>
      <c r="E1968" s="5" t="n">
        <v>45318</v>
      </c>
      <c r="F1968" t="inlineStr"/>
      <c r="G1968" s="6">
        <f>HYPERLINK("https://www.kleinanzeigen.de/s-anzeige/nitro-vandal-snowboard-schuhe-gr-41-eu-/2663998648-230-9281", "Link")</f>
        <v/>
      </c>
      <c r="H1968" s="6">
        <f>HYPERLINK("C:\Projects\Kleinanzeigen-Scraper\offer_images\2663998648", "Link")</f>
        <v/>
      </c>
      <c r="I1968" t="inlineStr">
        <is>
          <t>Julian Bopp</t>
        </is>
      </c>
      <c r="J1968" s="6">
        <f>HYPERLINK("https://www.kleinanzeigen.de/s-bestandsliste.html?userId=819011", "Link")</f>
        <v/>
      </c>
      <c r="K1968" s="7" t="n">
        <v>45549.57539351852</v>
      </c>
      <c r="L1968" s="3" t="inlineStr">
        <is>
          <t>17.51</t>
        </is>
      </c>
      <c r="M1968" t="inlineStr">
        <is>
          <t>Böblingen</t>
        </is>
      </c>
    </row>
    <row r="1969">
      <c r="A1969" t="inlineStr">
        <is>
          <t>Starboard Windsurffoil</t>
        </is>
      </c>
      <c r="B1969" s="4" t="n">
        <v>250</v>
      </c>
      <c r="C1969" t="inlineStr"/>
      <c r="D1969" t="inlineStr">
        <is>
          <t>89134 Baden-Württemberg - Blaustein</t>
        </is>
      </c>
      <c r="E1969" s="5" t="n">
        <v>45540</v>
      </c>
      <c r="F1969" t="inlineStr"/>
      <c r="G1969" s="6">
        <f>HYPERLINK("https://www.kleinanzeigen.de/s-anzeige/starboard-windsurffoil/2855238909-230-8683", "Link")</f>
        <v/>
      </c>
      <c r="H1969" s="6">
        <f>HYPERLINK("C:\Projects\Kleinanzeigen-Scraper\offer_images\2855238909", "Link")</f>
        <v/>
      </c>
      <c r="I1969" t="inlineStr">
        <is>
          <t>michael</t>
        </is>
      </c>
      <c r="J1969" s="6">
        <f>HYPERLINK("https://www.kleinanzeigen.de/s-bestandsliste.html?userId=11632859", "Link")</f>
        <v/>
      </c>
      <c r="K1969" s="7" t="n">
        <v>45549.57539351852</v>
      </c>
      <c r="L1969" s="3" t="inlineStr">
        <is>
          <t>74.25</t>
        </is>
      </c>
      <c r="M1969" t="inlineStr">
        <is>
          <t>Böblingen</t>
        </is>
      </c>
    </row>
    <row r="1970">
      <c r="A1970" t="inlineStr">
        <is>
          <t>Fanatic Ray Air Pocket 11,6 Sup Set stand up paddle board</t>
        </is>
      </c>
      <c r="B1970" s="4" t="n">
        <v>509</v>
      </c>
      <c r="C1970" t="inlineStr">
        <is>
          <t>VB</t>
        </is>
      </c>
      <c r="D1970" t="inlineStr">
        <is>
          <t>22457 Eimsbüttel - Hamburg Schnelsen</t>
        </is>
      </c>
      <c r="E1970" s="5" t="n">
        <v>45559</v>
      </c>
      <c r="F1970" t="inlineStr"/>
      <c r="G1970" s="6">
        <f>HYPERLINK("https://www.kleinanzeigen.de/s-anzeige/fanatic-ray-air-pocket-11-6-sup-set-stand-up-paddle-board/2126361212-230-9492", "Link")</f>
        <v/>
      </c>
      <c r="H1970" s="6">
        <f>HYPERLINK("C:\Projects\Kleinanzeigen-Scraper\offer_images\2126361212", "Link")</f>
        <v/>
      </c>
      <c r="I1970" t="inlineStr">
        <is>
          <t>No user name</t>
        </is>
      </c>
      <c r="J1970" s="6">
        <f>HYPERLINK("https://www.kleinanzeigen.deNo user link", "Link")</f>
        <v/>
      </c>
      <c r="K1970" s="7" t="n">
        <v>45549.57537037037</v>
      </c>
      <c r="L1970" s="3" t="inlineStr">
        <is>
          <t>362.41</t>
        </is>
      </c>
      <c r="M1970" t="inlineStr">
        <is>
          <t>Köln</t>
        </is>
      </c>
    </row>
    <row r="1971">
      <c r="A1971" t="inlineStr">
        <is>
          <t>Foil Starboard S-Type 2400 cm² /82 / 250</t>
        </is>
      </c>
      <c r="B1971" s="4" t="n">
        <v>749</v>
      </c>
      <c r="C1971" t="inlineStr"/>
      <c r="D1971" t="inlineStr">
        <is>
          <t>37671 Nordrhein-Westfalen - Höxter</t>
        </is>
      </c>
      <c r="E1971" s="5" t="n">
        <v>45522</v>
      </c>
      <c r="F1971" t="inlineStr"/>
      <c r="G1971" s="6">
        <f>HYPERLINK("https://www.kleinanzeigen.de/s-anzeige/foil-starboard-s-type-2400-cm-82-250/2840205582-230-1348", "Link")</f>
        <v/>
      </c>
      <c r="H1971" s="6">
        <f>HYPERLINK("C:\Projects\Kleinanzeigen-Scraper\offer_images\2840205582", "Link")</f>
        <v/>
      </c>
      <c r="I1971" t="inlineStr">
        <is>
          <t>Benno</t>
        </is>
      </c>
      <c r="J1971" s="6">
        <f>HYPERLINK("https://www.kleinanzeigen.de/s-bestandsliste.html?userId=141623355", "Link")</f>
        <v/>
      </c>
      <c r="K1971" s="7" t="n">
        <v>45549.57537037037</v>
      </c>
      <c r="L1971" s="3" t="inlineStr">
        <is>
          <t>191.88</t>
        </is>
      </c>
      <c r="M1971" t="inlineStr">
        <is>
          <t>Köln</t>
        </is>
      </c>
    </row>
    <row r="1972">
      <c r="A1972" t="inlineStr">
        <is>
          <t>Kite RRD Religion 9 m² Y 25</t>
        </is>
      </c>
      <c r="B1972" s="4" t="n">
        <v>320</v>
      </c>
      <c r="C1972" t="inlineStr"/>
      <c r="D1972" t="inlineStr">
        <is>
          <t>19057 Schwerin - Lankow</t>
        </is>
      </c>
      <c r="E1972" s="5" t="n">
        <v>45540</v>
      </c>
      <c r="F1972" t="inlineStr">
        <is>
          <t>Sold</t>
        </is>
      </c>
      <c r="G1972" s="6">
        <f>HYPERLINK("https://www.kleinanzeigen.de/s-anzeige/kite-rrd-religion-9-m-y-25/2855027930-230-281", "Link")</f>
        <v/>
      </c>
      <c r="H1972" s="6">
        <f>HYPERLINK("C:\Projects\Kleinanzeigen-Scraper\offer_images\2855027930", "Link")</f>
        <v/>
      </c>
      <c r="I1972" t="inlineStr">
        <is>
          <t>Kim</t>
        </is>
      </c>
      <c r="J1972" s="6">
        <f>HYPERLINK("https://www.kleinanzeigen.de/s-bestandsliste.html?userId=141461145", "Link")</f>
        <v/>
      </c>
      <c r="K1972" s="7" t="n">
        <v>45549.57537037037</v>
      </c>
      <c r="L1972" s="3" t="inlineStr">
        <is>
          <t>424.45</t>
        </is>
      </c>
      <c r="M1972" t="inlineStr">
        <is>
          <t>Köln</t>
        </is>
      </c>
    </row>
    <row r="1973">
      <c r="A1973" t="inlineStr">
        <is>
          <t>Duotone Tubekite Rebel SLS C03: blue/light-grey 2024 11.0 qm</t>
        </is>
      </c>
      <c r="B1973" s="4" t="n">
        <v>1.549</v>
      </c>
      <c r="C1973" t="inlineStr">
        <is>
          <t>VB</t>
        </is>
      </c>
      <c r="D1973" t="inlineStr">
        <is>
          <t>26125 Niedersachsen - Oldenburg</t>
        </is>
      </c>
      <c r="E1973" s="5" t="n">
        <v>45545</v>
      </c>
      <c r="F1973" t="inlineStr">
        <is>
          <t>Sold</t>
        </is>
      </c>
      <c r="G1973" s="6">
        <f>HYPERLINK("https://www.kleinanzeigen.de/s-anzeige/duotone-tubekite-rebel-sls-c03-blue-light-grey-2024-11-0-qm/2859570485-230-3111", "Link")</f>
        <v/>
      </c>
      <c r="H1973" s="6">
        <f>HYPERLINK("C:\Projects\Kleinanzeigen-Scraper\offer_images\2859570485", "Link")</f>
        <v/>
      </c>
      <c r="I1973" t="inlineStr">
        <is>
          <t>No user name</t>
        </is>
      </c>
      <c r="J1973" s="6">
        <f>HYPERLINK("https://www.kleinanzeigen.deNo user link", "Link")</f>
        <v/>
      </c>
      <c r="K1973" s="7" t="n">
        <v>45549.57537037037</v>
      </c>
      <c r="L1973" s="3" t="inlineStr">
        <is>
          <t>264.10</t>
        </is>
      </c>
      <c r="M1973" t="inlineStr">
        <is>
          <t>Köln</t>
        </is>
      </c>
    </row>
    <row r="1974">
      <c r="A1974" t="inlineStr">
        <is>
          <t>Rennradschuh North Wave Extreme Pro 3 (Größe 45,5)</t>
        </is>
      </c>
      <c r="B1974" s="4" t="n">
        <v>175</v>
      </c>
      <c r="C1974" t="inlineStr"/>
      <c r="D1974" t="inlineStr">
        <is>
          <t>50858 Köln - Junkersdorf</t>
        </is>
      </c>
      <c r="E1974" s="5" t="n">
        <v>45537</v>
      </c>
      <c r="F1974" t="inlineStr">
        <is>
          <t>Sold</t>
        </is>
      </c>
      <c r="G1974" s="6">
        <f>HYPERLINK("https://www.kleinanzeigen.de/s-anzeige/rennradschuh-north-wave-extreme-pro-3-groesse-45-5-/2852276290-230-17139", "Link")</f>
        <v/>
      </c>
      <c r="H1974" s="6">
        <f>HYPERLINK("C:\Projects\Kleinanzeigen-Scraper\offer_images\2852276290", "Link")</f>
        <v/>
      </c>
      <c r="I1974" t="inlineStr">
        <is>
          <t>Ludwig Moch</t>
        </is>
      </c>
      <c r="J1974" s="6">
        <f>HYPERLINK("https://www.kleinanzeigen.de/s-bestandsliste.html?userId=57813975", "Link")</f>
        <v/>
      </c>
      <c r="K1974" s="7" t="n">
        <v>45549.57537037037</v>
      </c>
      <c r="L1974" s="3" t="inlineStr">
        <is>
          <t>7.26</t>
        </is>
      </c>
      <c r="M1974" t="inlineStr">
        <is>
          <t>Köln</t>
        </is>
      </c>
    </row>
    <row r="1975">
      <c r="A1975" t="inlineStr">
        <is>
          <t>Kite Naish Ride 9qm</t>
        </is>
      </c>
      <c r="B1975" s="4" t="n">
        <v>190</v>
      </c>
      <c r="C1975" t="inlineStr">
        <is>
          <t>VB</t>
        </is>
      </c>
      <c r="D1975" t="inlineStr">
        <is>
          <t>47057 Duisburg - Duisburg-Mitte</t>
        </is>
      </c>
      <c r="E1975" s="5" t="n">
        <v>45547</v>
      </c>
      <c r="F1975" t="inlineStr">
        <is>
          <t>Sold</t>
        </is>
      </c>
      <c r="G1975" s="6">
        <f>HYPERLINK("https://www.kleinanzeigen.de/s-anzeige/kite-naish-ride-9qm/2861522200-230-2149", "Link")</f>
        <v/>
      </c>
      <c r="H1975" s="6">
        <f>HYPERLINK("C:\Projects\Kleinanzeigen-Scraper\offer_images\2861522200", "Link")</f>
        <v/>
      </c>
      <c r="I1975" t="inlineStr">
        <is>
          <t>Miriam</t>
        </is>
      </c>
      <c r="J1975" s="6">
        <f>HYPERLINK("https://www.kleinanzeigen.de/s-bestandsliste.html?userId=1114496", "Link")</f>
        <v/>
      </c>
      <c r="K1975" s="7" t="n">
        <v>45549.57534722222</v>
      </c>
      <c r="L1975" s="3" t="inlineStr">
        <is>
          <t>54.29</t>
        </is>
      </c>
      <c r="M1975" t="inlineStr">
        <is>
          <t>Köln</t>
        </is>
      </c>
    </row>
    <row r="1976">
      <c r="A1976" t="inlineStr">
        <is>
          <t>NAISH Maliko Isup Carbon - Fusion 14’’ x 27''</t>
        </is>
      </c>
      <c r="B1976" s="4" t="n">
        <v>899</v>
      </c>
      <c r="C1976" t="inlineStr"/>
      <c r="D1976" t="inlineStr">
        <is>
          <t>10119 Berlin - Mitte</t>
        </is>
      </c>
      <c r="E1976" s="5" t="n">
        <v>45531</v>
      </c>
      <c r="F1976" t="inlineStr"/>
      <c r="G1976" s="6">
        <f>HYPERLINK("https://www.kleinanzeigen.de/s-anzeige/naish-maliko-isup-carbon-fusion-14-x-27-/2847897986-230-3519", "Link")</f>
        <v/>
      </c>
      <c r="H1976" s="6">
        <f>HYPERLINK("C:\Projects\Kleinanzeigen-Scraper\offer_images\2847897986", "Link")</f>
        <v/>
      </c>
      <c r="I1976" t="inlineStr">
        <is>
          <t>Holger</t>
        </is>
      </c>
      <c r="J1976" s="6">
        <f>HYPERLINK("https://www.kleinanzeigen.de/s-bestandsliste.html?userId=84091655", "Link")</f>
        <v/>
      </c>
      <c r="K1976" s="7" t="n">
        <v>45549.57534722222</v>
      </c>
      <c r="L1976" s="3" t="inlineStr">
        <is>
          <t>478.06</t>
        </is>
      </c>
      <c r="M1976" t="inlineStr">
        <is>
          <t>Köln</t>
        </is>
      </c>
    </row>
    <row r="1977">
      <c r="A1977" t="inlineStr">
        <is>
          <t>NP Neil Pryde Neilpryde Neopren Shorty Neoprenanzug für 171-177cm</t>
        </is>
      </c>
      <c r="B1977" s="4" t="n">
        <v>33</v>
      </c>
      <c r="C1977" t="inlineStr">
        <is>
          <t>VB</t>
        </is>
      </c>
      <c r="D1977" t="inlineStr">
        <is>
          <t>12623 Berlin - Mahlsdorf</t>
        </is>
      </c>
      <c r="E1977" s="5" t="n">
        <v>45544</v>
      </c>
      <c r="F1977" t="inlineStr">
        <is>
          <t>Sold</t>
        </is>
      </c>
      <c r="G1977" s="6">
        <f>HYPERLINK("https://www.kleinanzeigen.de/s-anzeige/np-neil-pryde-neilpryde-neopren-shorty-neoprenanzug-fuer-171-177cm/2858200517-230-27141", "Link")</f>
        <v/>
      </c>
      <c r="H1977" s="6">
        <f>HYPERLINK("C:\Projects\Kleinanzeigen-Scraper\offer_images\2858200517", "Link")</f>
        <v/>
      </c>
      <c r="I1977" t="inlineStr">
        <is>
          <t>S.Y.</t>
        </is>
      </c>
      <c r="J1977" s="6">
        <f>HYPERLINK("https://www.kleinanzeigen.de/s-bestandsliste.html?userId=597337", "Link")</f>
        <v/>
      </c>
      <c r="K1977" s="7" t="n">
        <v>45549.57534722222</v>
      </c>
      <c r="L1977" s="3" t="inlineStr">
        <is>
          <t>490.00</t>
        </is>
      </c>
      <c r="M1977" t="inlineStr">
        <is>
          <t>Köln</t>
        </is>
      </c>
    </row>
    <row r="1978">
      <c r="A1978" t="inlineStr">
        <is>
          <t>Naish matador lt 3m2 u 5 m2 wing neu</t>
        </is>
      </c>
      <c r="B1978" s="4" t="n">
        <v>315</v>
      </c>
      <c r="C1978" t="inlineStr">
        <is>
          <t>VB</t>
        </is>
      </c>
      <c r="D1978" t="inlineStr">
        <is>
          <t>12587 Berlin - Köpenick</t>
        </is>
      </c>
      <c r="E1978" s="5" t="n">
        <v>45536</v>
      </c>
      <c r="F1978" t="inlineStr">
        <is>
          <t>Sold</t>
        </is>
      </c>
      <c r="G1978" s="6">
        <f>HYPERLINK("https://www.kleinanzeigen.de/s-anzeige/naish-matador-lt-3m2-u-5-m2-wing-neu/2851147156-230-3374", "Link")</f>
        <v/>
      </c>
      <c r="H1978" s="6">
        <f>HYPERLINK("C:\Projects\Kleinanzeigen-Scraper\offer_images\2851147156", "Link")</f>
        <v/>
      </c>
      <c r="I1978" t="inlineStr">
        <is>
          <t>Johannes Glitzky</t>
        </is>
      </c>
      <c r="J1978" s="6">
        <f>HYPERLINK("https://www.kleinanzeigen.de/s-bestandsliste.html?userId=133592437", "Link")</f>
        <v/>
      </c>
      <c r="K1978" s="7" t="n">
        <v>45549.57534722222</v>
      </c>
      <c r="L1978" s="3" t="inlineStr">
        <is>
          <t>490.72</t>
        </is>
      </c>
      <c r="M1978" t="inlineStr">
        <is>
          <t>Köln</t>
        </is>
      </c>
    </row>
    <row r="1979">
      <c r="A1979" t="inlineStr">
        <is>
          <t>Naish Wingsurfer S26 6.8 Wing Wingfoil (Wie Gong, Ozone)</t>
        </is>
      </c>
      <c r="B1979" s="4" t="n">
        <v>429</v>
      </c>
      <c r="C1979" t="inlineStr">
        <is>
          <t>VB</t>
        </is>
      </c>
      <c r="D1979" t="inlineStr">
        <is>
          <t>33100 Nordrhein-Westfalen - Paderborn</t>
        </is>
      </c>
      <c r="E1979" s="5" t="n">
        <v>45520</v>
      </c>
      <c r="F1979" t="inlineStr">
        <is>
          <t>Sold</t>
        </is>
      </c>
      <c r="G1979" s="6">
        <f>HYPERLINK("https://www.kleinanzeigen.de/s-anzeige/naish-wingsurfer-s26-6-8-wing-wingfoil-wie-gong-ozone-/2838423140-230-2164", "Link")</f>
        <v/>
      </c>
      <c r="H1979" s="6">
        <f>HYPERLINK("C:\Projects\Kleinanzeigen-Scraper\offer_images\2838423140", "Link")</f>
        <v/>
      </c>
      <c r="I1979" t="inlineStr">
        <is>
          <t>Luca</t>
        </is>
      </c>
      <c r="J1979" s="6">
        <f>HYPERLINK("https://www.kleinanzeigen.de/s-bestandsliste.html?userId=73896882", "Link")</f>
        <v/>
      </c>
      <c r="K1979" s="7" t="n">
        <v>45549.57534722222</v>
      </c>
      <c r="L1979" s="3" t="inlineStr">
        <is>
          <t>156.96</t>
        </is>
      </c>
      <c r="M1979" t="inlineStr">
        <is>
          <t>Köln</t>
        </is>
      </c>
    </row>
    <row r="1980">
      <c r="A1980" t="inlineStr">
        <is>
          <t>Neilpryde foil wing windsurf surf</t>
        </is>
      </c>
      <c r="B1980" s="4" t="n">
        <v>300</v>
      </c>
      <c r="C1980" t="inlineStr"/>
      <c r="D1980" t="inlineStr">
        <is>
          <t>48529 Niedersachsen - Nordhorn</t>
        </is>
      </c>
      <c r="E1980" s="5" t="n">
        <v>45503</v>
      </c>
      <c r="F1980" t="inlineStr">
        <is>
          <t>Sold</t>
        </is>
      </c>
      <c r="G1980" s="6">
        <f>HYPERLINK("https://www.kleinanzeigen.de/s-anzeige/neilpryde-foil-wing-windsurf-surf/2824700611-230-3018", "Link")</f>
        <v/>
      </c>
      <c r="H1980" s="6">
        <f>HYPERLINK("C:\Projects\Kleinanzeigen-Scraper\offer_images\2824700611", "Link")</f>
        <v/>
      </c>
      <c r="I1980" t="inlineStr">
        <is>
          <t>Hauke</t>
        </is>
      </c>
      <c r="J1980" s="6">
        <f>HYPERLINK("https://www.kleinanzeigen.de/s-bestandsliste.html?userId=131947779", "Link")</f>
        <v/>
      </c>
      <c r="K1980" s="7" t="n">
        <v>45549.57532407407</v>
      </c>
      <c r="L1980" s="3" t="inlineStr">
        <is>
          <t>162.75</t>
        </is>
      </c>
      <c r="M1980" t="inlineStr">
        <is>
          <t>Köln</t>
        </is>
      </c>
    </row>
    <row r="1981">
      <c r="A1981" t="inlineStr">
        <is>
          <t>Fuselage Windsurfen</t>
        </is>
      </c>
      <c r="B1981" s="4" t="n">
        <v>120</v>
      </c>
      <c r="C1981" t="inlineStr"/>
      <c r="D1981" t="inlineStr">
        <is>
          <t>44227 Dortmund - Persebeck</t>
        </is>
      </c>
      <c r="E1981" s="5" t="n">
        <v>45548</v>
      </c>
      <c r="F1981" t="inlineStr">
        <is>
          <t>Sold</t>
        </is>
      </c>
      <c r="G1981" s="6">
        <f>HYPERLINK("https://www.kleinanzeigen.de/s-anzeige/fuselage-windsurfen/2862341425-230-17430", "Link")</f>
        <v/>
      </c>
      <c r="H1981" s="6">
        <f>HYPERLINK("C:\Projects\Kleinanzeigen-Scraper\offer_images\2862341425", "Link")</f>
        <v/>
      </c>
      <c r="I1981" t="inlineStr">
        <is>
          <t>Johannes Beste</t>
        </is>
      </c>
      <c r="J1981" s="6">
        <f>HYPERLINK("https://www.kleinanzeigen.de/s-bestandsliste.html?userId=43542211", "Link")</f>
        <v/>
      </c>
      <c r="K1981" s="7" t="n">
        <v>45549.5753125</v>
      </c>
      <c r="L1981" s="3" t="inlineStr">
        <is>
          <t>66.90</t>
        </is>
      </c>
      <c r="M1981" t="inlineStr">
        <is>
          <t>Köln</t>
        </is>
      </c>
    </row>
    <row r="1982">
      <c r="A1982" t="inlineStr">
        <is>
          <t>RRD Universal K Rear Wing Foil OVP</t>
        </is>
      </c>
      <c r="B1982" s="4" t="n">
        <v>99</v>
      </c>
      <c r="C1982" t="inlineStr"/>
      <c r="D1982" t="inlineStr">
        <is>
          <t>23564 Lübeck - St. Gertrud</t>
        </is>
      </c>
      <c r="E1982" s="5" t="n">
        <v>45143</v>
      </c>
      <c r="F1982" t="inlineStr">
        <is>
          <t>Sold</t>
        </is>
      </c>
      <c r="G1982" s="6">
        <f>HYPERLINK("https://www.kleinanzeigen.de/s-anzeige/rrd-universal-k-rear-wing-foil-ovp/2512465411-230-24238", "Link")</f>
        <v/>
      </c>
      <c r="H1982" s="6">
        <f>HYPERLINK("C:\Projects\Kleinanzeigen-Scraper\offer_images\2512465411", "Link")</f>
        <v/>
      </c>
      <c r="I1982" t="inlineStr">
        <is>
          <t>Andi</t>
        </is>
      </c>
      <c r="J1982" s="6">
        <f>HYPERLINK("https://www.kleinanzeigen.de/s-bestandsliste.html?userId=16394392", "Link")</f>
        <v/>
      </c>
      <c r="K1982" s="7" t="n">
        <v>45549.5753125</v>
      </c>
      <c r="L1982" s="3" t="inlineStr">
        <is>
          <t>413.01</t>
        </is>
      </c>
      <c r="M1982" t="inlineStr">
        <is>
          <t>Köln</t>
        </is>
      </c>
    </row>
    <row r="1983">
      <c r="A1983" t="inlineStr">
        <is>
          <t>Fanatic Carbon Fuselage 90 cm</t>
        </is>
      </c>
      <c r="B1983" s="4" t="n">
        <v>220</v>
      </c>
      <c r="C1983" t="inlineStr">
        <is>
          <t>VB</t>
        </is>
      </c>
      <c r="D1983" t="inlineStr">
        <is>
          <t>81377 München - Sendling-Westpark</t>
        </is>
      </c>
      <c r="E1983" s="5" t="n">
        <v>45526</v>
      </c>
      <c r="F1983" t="inlineStr">
        <is>
          <t>Sold</t>
        </is>
      </c>
      <c r="G1983" s="6">
        <f>HYPERLINK("https://www.kleinanzeigen.de/s-anzeige/fanatic-carbon-fuselage-90-cm/2843759546-230-16392", "Link")</f>
        <v/>
      </c>
      <c r="H1983" s="6">
        <f>HYPERLINK("C:\Projects\Kleinanzeigen-Scraper\offer_images\2843759546", "Link")</f>
        <v/>
      </c>
      <c r="I1983" t="inlineStr">
        <is>
          <t>Artur Urban</t>
        </is>
      </c>
      <c r="J1983" s="6">
        <f>HYPERLINK("https://www.kleinanzeigen.de/s-bestandsliste.html?userId=23732953", "Link")</f>
        <v/>
      </c>
      <c r="K1983" s="7" t="n">
        <v>45549.57530092593</v>
      </c>
      <c r="L1983" s="3" t="inlineStr">
        <is>
          <t>7.24</t>
        </is>
      </c>
      <c r="M1983" t="inlineStr">
        <is>
          <t>München</t>
        </is>
      </c>
    </row>
    <row r="1984">
      <c r="A1984" t="inlineStr">
        <is>
          <t>NEILPRYDE FX3 Neoprenanzug 3/2 Surfanzug kurzarm Gr. 106 Herren</t>
        </is>
      </c>
      <c r="B1984" s="4" t="n">
        <v>75</v>
      </c>
      <c r="C1984" t="inlineStr"/>
      <c r="D1984" t="inlineStr">
        <is>
          <t>85057 Bayern - Ingolstadt</t>
        </is>
      </c>
      <c r="E1984" s="5" t="n">
        <v>45500</v>
      </c>
      <c r="F1984" t="inlineStr">
        <is>
          <t>Sold</t>
        </is>
      </c>
      <c r="G1984" s="6">
        <f>HYPERLINK("https://www.kleinanzeigen.de/s-anzeige/neilpryde-fx3-neoprenanzug-3-2-surfanzug-kurzarm-gr-106-herren/2822363493-230-7609", "Link")</f>
        <v/>
      </c>
      <c r="H1984" s="6">
        <f>HYPERLINK("C:\Projects\Kleinanzeigen-Scraper\offer_images\2822363493", "Link")</f>
        <v/>
      </c>
      <c r="I1984" t="inlineStr">
        <is>
          <t>Privat</t>
        </is>
      </c>
      <c r="J1984" s="6">
        <f>HYPERLINK("https://www.kleinanzeigen.de/s-bestandsliste.html?userId=43824893", "Link")</f>
        <v/>
      </c>
      <c r="K1984" s="7" t="n">
        <v>45549.57530092593</v>
      </c>
      <c r="L1984" s="3" t="inlineStr">
        <is>
          <t>72.05</t>
        </is>
      </c>
      <c r="M1984" t="inlineStr">
        <is>
          <t>München</t>
        </is>
      </c>
    </row>
    <row r="1985">
      <c r="A1985" t="inlineStr">
        <is>
          <t>Naish S26 JET Foil MA / Test ab Mai auf Rügen</t>
        </is>
      </c>
      <c r="B1985" s="4" t="n">
        <v>929</v>
      </c>
      <c r="C1985" t="inlineStr"/>
      <c r="D1985" t="inlineStr">
        <is>
          <t>18586 Mecklenburg-Vorpommern - Mönchgut, Ostseebad</t>
        </is>
      </c>
      <c r="E1985" s="5" t="n">
        <v>45541</v>
      </c>
      <c r="F1985" t="inlineStr"/>
      <c r="G1985" s="6">
        <f>HYPERLINK("https://www.kleinanzeigen.de/s-anzeige/naish-s26-jet-foil-ma-test-ab-mai-auf-ruegen/2027618033-230-120", "Link")</f>
        <v/>
      </c>
      <c r="H1985" s="6">
        <f>HYPERLINK("C:\Projects\Kleinanzeigen-Scraper\offer_images\2027618033", "Link")</f>
        <v/>
      </c>
      <c r="I1985" t="inlineStr">
        <is>
          <t>No user name</t>
        </is>
      </c>
      <c r="J1985" s="6">
        <f>HYPERLINK("https://www.kleinanzeigen.deNo user link", "Link")</f>
        <v/>
      </c>
      <c r="K1985" s="7" t="n">
        <v>45549.57528935185</v>
      </c>
      <c r="L1985" s="3" t="inlineStr">
        <is>
          <t>591.22</t>
        </is>
      </c>
      <c r="M1985" t="inlineStr">
        <is>
          <t>Köln</t>
        </is>
      </c>
    </row>
    <row r="1986">
      <c r="A1986" t="inlineStr">
        <is>
          <t>Duotone Rebel SLS 8m 2023; Kite</t>
        </is>
      </c>
      <c r="B1986" s="4" t="n">
        <v>1.24</v>
      </c>
      <c r="C1986" t="inlineStr">
        <is>
          <t>VB</t>
        </is>
      </c>
      <c r="D1986" t="inlineStr">
        <is>
          <t>83043 Bayern - Bad Aibling</t>
        </is>
      </c>
      <c r="E1986" s="5" t="n">
        <v>45540</v>
      </c>
      <c r="F1986" t="inlineStr">
        <is>
          <t>Sold</t>
        </is>
      </c>
      <c r="G1986" s="6">
        <f>HYPERLINK("https://www.kleinanzeigen.de/s-anzeige/duotone-rebel-sls-8m-2023-kite/2854771334-230-6134", "Link")</f>
        <v/>
      </c>
      <c r="H1986" s="6">
        <f>HYPERLINK("C:\Projects\Kleinanzeigen-Scraper\offer_images\2854771334", "Link")</f>
        <v/>
      </c>
      <c r="I1986" t="inlineStr">
        <is>
          <t>Michael Hohmann</t>
        </is>
      </c>
      <c r="J1986" s="6">
        <f>HYPERLINK("https://www.kleinanzeigen.de/s-bestandsliste.html?userId=22739113", "Link")</f>
        <v/>
      </c>
      <c r="K1986" s="7" t="n">
        <v>45549.57528935185</v>
      </c>
      <c r="L1986" s="3" t="inlineStr">
        <is>
          <t>43.15</t>
        </is>
      </c>
      <c r="M1986" t="inlineStr">
        <is>
          <t>München</t>
        </is>
      </c>
    </row>
    <row r="1987">
      <c r="A1987" t="inlineStr">
        <is>
          <t>RRD Kite Bar Global</t>
        </is>
      </c>
      <c r="B1987" s="4" t="n">
        <v>400</v>
      </c>
      <c r="C1987" t="inlineStr">
        <is>
          <t>VB</t>
        </is>
      </c>
      <c r="D1987" t="inlineStr">
        <is>
          <t>81245 München - Pasing-Obermenzing</t>
        </is>
      </c>
      <c r="E1987" s="5" t="n">
        <v>45125</v>
      </c>
      <c r="F1987" t="inlineStr">
        <is>
          <t>Sold</t>
        </is>
      </c>
      <c r="G1987" s="6">
        <f>HYPERLINK("https://www.kleinanzeigen.de/s-anzeige/rrd-kite-bar-global/2496562773-230-16366", "Link")</f>
        <v/>
      </c>
      <c r="H1987" s="6">
        <f>HYPERLINK("C:\Projects\Kleinanzeigen-Scraper\offer_images\2496562773", "Link")</f>
        <v/>
      </c>
      <c r="I1987" t="inlineStr">
        <is>
          <t>Patrick</t>
        </is>
      </c>
      <c r="J1987" s="6">
        <f>HYPERLINK("https://www.kleinanzeigen.de/s-bestandsliste.html?userId=42823369", "Link")</f>
        <v/>
      </c>
      <c r="K1987" s="7" t="n">
        <v>45549.57527777777</v>
      </c>
      <c r="L1987" s="3" t="inlineStr">
        <is>
          <t>10.72</t>
        </is>
      </c>
      <c r="M1987" t="inlineStr">
        <is>
          <t>München</t>
        </is>
      </c>
    </row>
    <row r="1988">
      <c r="A1988" t="inlineStr">
        <is>
          <t>Snowboard K2 Vandal + Oxygen Bindung + Salomon Boots</t>
        </is>
      </c>
      <c r="B1988" s="4" t="n">
        <v>120</v>
      </c>
      <c r="C1988" t="inlineStr"/>
      <c r="D1988" t="inlineStr">
        <is>
          <t>89518 Baden-Württemberg - Heidenheim an der Brenz</t>
        </is>
      </c>
      <c r="E1988" s="5" t="n">
        <v>44890</v>
      </c>
      <c r="F1988" t="inlineStr"/>
      <c r="G1988" s="6">
        <f>HYPERLINK("https://www.kleinanzeigen.de/s-anzeige/snowboard-k2-vandal-oxygen-bindung-salomon-boots/2284504615-230-9053", "Link")</f>
        <v/>
      </c>
      <c r="H1988" s="6">
        <f>HYPERLINK("C:\Projects\Kleinanzeigen-Scraper\offer_images\2284504615", "Link")</f>
        <v/>
      </c>
      <c r="I1988" t="inlineStr">
        <is>
          <t>Laszlo Pere</t>
        </is>
      </c>
      <c r="J1988" s="6">
        <f>HYPERLINK("https://www.kleinanzeigen.de/s-bestandsliste.html?userId=32454172", "Link")</f>
        <v/>
      </c>
      <c r="K1988" s="7" t="n">
        <v>45549.57527777777</v>
      </c>
      <c r="L1988" s="3" t="inlineStr">
        <is>
          <t>85.76</t>
        </is>
      </c>
      <c r="M1988" t="inlineStr">
        <is>
          <t>Böblingen</t>
        </is>
      </c>
    </row>
    <row r="1989">
      <c r="A1989" t="inlineStr">
        <is>
          <t>Duotone Kite Rebel incl Clickbar</t>
        </is>
      </c>
      <c r="B1989" s="4" t="n">
        <v>250</v>
      </c>
      <c r="C1989" t="inlineStr"/>
      <c r="D1989" t="inlineStr">
        <is>
          <t>47445 Nordrhein-Westfalen - Moers</t>
        </is>
      </c>
      <c r="E1989" s="5" t="n">
        <v>45546</v>
      </c>
      <c r="F1989" t="inlineStr">
        <is>
          <t>Sold</t>
        </is>
      </c>
      <c r="G1989" s="6">
        <f>HYPERLINK("https://www.kleinanzeigen.de/s-anzeige/duotone-kite-rebel-incl-clickbar/2860214005-230-2129", "Link")</f>
        <v/>
      </c>
      <c r="H1989" s="6">
        <f>HYPERLINK("C:\Projects\Kleinanzeigen-Scraper\offer_images\2860214005", "Link")</f>
        <v/>
      </c>
      <c r="I1989" t="inlineStr">
        <is>
          <t>Dirk Nowak</t>
        </is>
      </c>
      <c r="J1989" s="6">
        <f>HYPERLINK("https://www.kleinanzeigen.de/s-bestandsliste.html?userId=16026426", "Link")</f>
        <v/>
      </c>
      <c r="K1989" s="7" t="n">
        <v>45549.57527777777</v>
      </c>
      <c r="L1989" s="3" t="inlineStr">
        <is>
          <t>65.37</t>
        </is>
      </c>
      <c r="M1989" t="inlineStr">
        <is>
          <t>Köln</t>
        </is>
      </c>
    </row>
    <row r="1990">
      <c r="A1990" t="inlineStr">
        <is>
          <t>Sticker Vandal Sport 187 Strassenbande</t>
        </is>
      </c>
      <c r="B1990" s="4" t="n">
        <v>4</v>
      </c>
      <c r="C1990" t="inlineStr"/>
      <c r="D1990" t="inlineStr">
        <is>
          <t>31785 Niedersachsen - Hameln</t>
        </is>
      </c>
      <c r="E1990" s="5" t="n">
        <v>45204</v>
      </c>
      <c r="F1990" t="inlineStr"/>
      <c r="G1990" s="6">
        <f>HYPERLINK("https://www.kleinanzeigen.de/s-anzeige/sticker-vandal-sport-187-strassenbande/2563985790-234-3066", "Link")</f>
        <v/>
      </c>
      <c r="H1990" s="6">
        <f>HYPERLINK("C:\Projects\Kleinanzeigen-Scraper\offer_images\2563985790", "Link")</f>
        <v/>
      </c>
      <c r="I1990" t="inlineStr">
        <is>
          <t>Tomasz Polanski</t>
        </is>
      </c>
      <c r="J1990" s="6">
        <f>HYPERLINK("https://www.kleinanzeigen.de/s-bestandsliste.html?userId=41220552", "Link")</f>
        <v/>
      </c>
      <c r="K1990" s="7" t="n">
        <v>45549.5752662037</v>
      </c>
      <c r="L1990" s="3" t="inlineStr">
        <is>
          <t>211.26</t>
        </is>
      </c>
      <c r="M1990" t="inlineStr">
        <is>
          <t>Köln</t>
        </is>
      </c>
    </row>
    <row r="1991">
      <c r="A1991" t="inlineStr">
        <is>
          <t>North Rebel 12 qm kite</t>
        </is>
      </c>
      <c r="B1991" s="4" t="n">
        <v>100</v>
      </c>
      <c r="C1991" t="inlineStr">
        <is>
          <t>VB</t>
        </is>
      </c>
      <c r="D1991" t="inlineStr">
        <is>
          <t>38440 Niedersachsen - Wolfsburg</t>
        </is>
      </c>
      <c r="E1991" s="5" t="n">
        <v>45546</v>
      </c>
      <c r="F1991" t="inlineStr">
        <is>
          <t>Sold</t>
        </is>
      </c>
      <c r="G1991" s="6">
        <f>HYPERLINK("https://www.kleinanzeigen.de/s-anzeige/north-rebel-12-qm-kite/2860056418-230-3074", "Link")</f>
        <v/>
      </c>
      <c r="H1991" s="6">
        <f>HYPERLINK("C:\Projects\Kleinanzeigen-Scraper\offer_images\2860056418", "Link")</f>
        <v/>
      </c>
      <c r="I1991" t="inlineStr">
        <is>
          <t>Dani</t>
        </is>
      </c>
      <c r="J1991" s="6">
        <f>HYPERLINK("https://www.kleinanzeigen.de/s-bestandsliste.html?userId=8663825", "Link")</f>
        <v/>
      </c>
      <c r="K1991" s="7" t="n">
        <v>45549.5752662037</v>
      </c>
      <c r="L1991" s="3" t="inlineStr">
        <is>
          <t>310.40</t>
        </is>
      </c>
      <c r="M1991" t="inlineStr">
        <is>
          <t>Köln</t>
        </is>
      </c>
    </row>
    <row r="1992">
      <c r="A1992" t="inlineStr">
        <is>
          <t>Angeln Simms Rucksack Meerforelle Fliegenfischen</t>
        </is>
      </c>
      <c r="B1992" s="4" t="n">
        <v>205</v>
      </c>
      <c r="C1992" t="inlineStr">
        <is>
          <t>VB</t>
        </is>
      </c>
      <c r="D1992" t="inlineStr">
        <is>
          <t>30851 Niedersachsen - Langenhagen</t>
        </is>
      </c>
      <c r="E1992" s="5" t="n">
        <v>45526</v>
      </c>
      <c r="F1992" t="inlineStr"/>
      <c r="G1992" s="6">
        <f>HYPERLINK("https://www.kleinanzeigen.de/s-anzeige/angeln-simms-rucksack-meerforelle-fliegenfischen/2843534485-230-3045", "Link")</f>
        <v/>
      </c>
      <c r="H1992" s="6">
        <f>HYPERLINK("C:\Projects\Kleinanzeigen-Scraper\offer_images\2843534485", "Link")</f>
        <v/>
      </c>
      <c r="I1992" t="inlineStr">
        <is>
          <t>Björn</t>
        </is>
      </c>
      <c r="J1992" s="6">
        <f>HYPERLINK("https://www.kleinanzeigen.de/s-bestandsliste.html?userId=64594425", "Link")</f>
        <v/>
      </c>
      <c r="K1992" s="7" t="n">
        <v>45549.5752662037</v>
      </c>
      <c r="L1992" s="3" t="inlineStr">
        <is>
          <t>253.44</t>
        </is>
      </c>
      <c r="M1992" t="inlineStr">
        <is>
          <t>Köln</t>
        </is>
      </c>
    </row>
    <row r="1993">
      <c r="A1993" t="inlineStr">
        <is>
          <t>Ölfarben im Holzkoffer Goya Kreul</t>
        </is>
      </c>
      <c r="B1993" s="4" t="n">
        <v>50</v>
      </c>
      <c r="C1993" t="inlineStr"/>
      <c r="D1993" t="inlineStr">
        <is>
          <t>48366 Nordrhein-Westfalen - Laer</t>
        </is>
      </c>
      <c r="E1993" s="5" t="n">
        <v>45484</v>
      </c>
      <c r="F1993" t="inlineStr"/>
      <c r="G1993" s="6">
        <f>HYPERLINK("https://www.kleinanzeigen.de/s-anzeige/oelfarben-im-holzkoffer-goya-kreul/2810009422-282-1298", "Link")</f>
        <v/>
      </c>
      <c r="H1993" s="6">
        <f>HYPERLINK("C:\Projects\Kleinanzeigen-Scraper\offer_images\2810009422", "Link")</f>
        <v/>
      </c>
      <c r="I1993" t="inlineStr">
        <is>
          <t>Jana</t>
        </is>
      </c>
      <c r="J1993" s="6">
        <f>HYPERLINK("https://www.kleinanzeigen.de/s-bestandsliste.html?userId=85396984", "Link")</f>
        <v/>
      </c>
      <c r="K1993" s="7" t="n">
        <v>45549.57525462963</v>
      </c>
      <c r="L1993" s="3" t="inlineStr">
        <is>
          <t>127.46</t>
        </is>
      </c>
      <c r="M1993" t="inlineStr">
        <is>
          <t>Köln</t>
        </is>
      </c>
    </row>
    <row r="1994">
      <c r="A1994" t="inlineStr">
        <is>
          <t>North Pulse 5m 2020, Kite, 3 mal geflogen</t>
        </is>
      </c>
      <c r="B1994" s="4" t="n">
        <v>250</v>
      </c>
      <c r="C1994" t="inlineStr">
        <is>
          <t>VB</t>
        </is>
      </c>
      <c r="D1994" t="inlineStr">
        <is>
          <t>50679 Innenstadt - Köln Deutz</t>
        </is>
      </c>
      <c r="E1994" s="5" t="n">
        <v>45546</v>
      </c>
      <c r="F1994" t="inlineStr">
        <is>
          <t>Sold</t>
        </is>
      </c>
      <c r="G1994" s="6">
        <f>HYPERLINK("https://www.kleinanzeigen.de/s-anzeige/north-pulse-5m-2020-kite-3-mal-geflogen/2860144996-230-988", "Link")</f>
        <v/>
      </c>
      <c r="H1994" s="6">
        <f>HYPERLINK("C:\Projects\Kleinanzeigen-Scraper\offer_images\2860144996", "Link")</f>
        <v/>
      </c>
      <c r="I1994" t="inlineStr">
        <is>
          <t>Paul</t>
        </is>
      </c>
      <c r="J1994" s="6">
        <f>HYPERLINK("https://www.kleinanzeigen.de/s-bestandsliste.html?userId=28811563", "Link")</f>
        <v/>
      </c>
      <c r="K1994" s="7" t="n">
        <v>45549.57525462963</v>
      </c>
      <c r="L1994" s="3" t="inlineStr">
        <is>
          <t>1.61</t>
        </is>
      </c>
      <c r="M1994" t="inlineStr">
        <is>
          <t>Köln</t>
        </is>
      </c>
    </row>
    <row r="1995">
      <c r="A1995" t="inlineStr">
        <is>
          <t>Starboard Enduro SUP Paddel 3 teilig ohne Blatt</t>
        </is>
      </c>
      <c r="B1995" s="4" t="n">
        <v>19</v>
      </c>
      <c r="C1995" t="inlineStr"/>
      <c r="D1995" t="inlineStr">
        <is>
          <t>45219 Essen - Essen-Kettwig</t>
        </is>
      </c>
      <c r="E1995" s="5" t="n">
        <v>45543</v>
      </c>
      <c r="F1995" t="inlineStr"/>
      <c r="G1995" s="6">
        <f>HYPERLINK("https://www.kleinanzeigen.de/s-anzeige/starboard-enduro-sup-paddel-3-teilig-ohne-blatt/2858039267-230-2040", "Link")</f>
        <v/>
      </c>
      <c r="H1995" s="6">
        <f>HYPERLINK("C:\Projects\Kleinanzeigen-Scraper\offer_images\2858039267", "Link")</f>
        <v/>
      </c>
      <c r="I1995" t="inlineStr">
        <is>
          <t>Peter</t>
        </is>
      </c>
      <c r="J1995" s="6">
        <f>HYPERLINK("https://www.kleinanzeigen.de/s-bestandsliste.html?userId=131672184", "Link")</f>
        <v/>
      </c>
      <c r="K1995" s="7" t="n">
        <v>45549.57524305556</v>
      </c>
      <c r="L1995" s="3" t="inlineStr">
        <is>
          <t>47.62</t>
        </is>
      </c>
      <c r="M1995" t="inlineStr">
        <is>
          <t>Köln</t>
        </is>
      </c>
    </row>
    <row r="1996">
      <c r="A1996" t="inlineStr">
        <is>
          <t>Naish Boardbag 135 für 2 Boards</t>
        </is>
      </c>
      <c r="B1996" s="4" t="n">
        <v>69</v>
      </c>
      <c r="C1996" t="inlineStr"/>
      <c r="D1996" t="inlineStr">
        <is>
          <t>25813 Husum - Schobüll</t>
        </is>
      </c>
      <c r="E1996" s="5" t="n">
        <v>45534</v>
      </c>
      <c r="F1996" t="inlineStr"/>
      <c r="G1996" s="6">
        <f>HYPERLINK("https://www.kleinanzeigen.de/s-anzeige/naish-boardbag-135-fuer-2-boards/2850096874-230-8324", "Link")</f>
        <v/>
      </c>
      <c r="H1996" s="6">
        <f>HYPERLINK("C:\Projects\Kleinanzeigen-Scraper\offer_images\2850096874", "Link")</f>
        <v/>
      </c>
      <c r="I1996" t="inlineStr">
        <is>
          <t>Hansi</t>
        </is>
      </c>
      <c r="J1996" s="6">
        <f>HYPERLINK("https://www.kleinanzeigen.de/s-bestandsliste.html?userId=12589251", "Link")</f>
        <v/>
      </c>
      <c r="K1996" s="7" t="n">
        <v>45549.57523148148</v>
      </c>
      <c r="L1996" s="3" t="inlineStr">
        <is>
          <t>416.07</t>
        </is>
      </c>
      <c r="M1996" t="inlineStr">
        <is>
          <t>Köln</t>
        </is>
      </c>
    </row>
    <row r="1997">
      <c r="A1997" t="inlineStr">
        <is>
          <t>Spur G Northern Pacific NP 552</t>
        </is>
      </c>
      <c r="B1997" s="4" t="n">
        <v>135</v>
      </c>
      <c r="C1997" t="inlineStr">
        <is>
          <t>VB</t>
        </is>
      </c>
      <c r="D1997" t="inlineStr">
        <is>
          <t>28876 Niedersachsen - Oyten</t>
        </is>
      </c>
      <c r="E1997" s="5" t="n">
        <v>45544</v>
      </c>
      <c r="F1997" t="inlineStr">
        <is>
          <t>Sold</t>
        </is>
      </c>
      <c r="G1997" s="6">
        <f>HYPERLINK("https://www.kleinanzeigen.de/s-anzeige/spur-g-northern-pacific-np-552/2858628125-249-2740", "Link")</f>
        <v/>
      </c>
      <c r="H1997" s="6">
        <f>HYPERLINK("C:\Projects\Kleinanzeigen-Scraper\offer_images\2858628125", "Link")</f>
        <v/>
      </c>
      <c r="I1997" t="inlineStr">
        <is>
          <t>René</t>
        </is>
      </c>
      <c r="J1997" s="6">
        <f>HYPERLINK("https://www.kleinanzeigen.de/s-bestandsliste.html?userId=80286599", "Link")</f>
        <v/>
      </c>
      <c r="K1997" s="7" t="n">
        <v>45549.57523148148</v>
      </c>
      <c r="L1997" s="3" t="inlineStr">
        <is>
          <t>277.79</t>
        </is>
      </c>
      <c r="M1997" t="inlineStr">
        <is>
          <t>Köln</t>
        </is>
      </c>
    </row>
    <row r="1998">
      <c r="A1998" t="inlineStr">
        <is>
          <t>Fanatic Wing Foil Set Aero Carved 1400/250 // Top Zustand!!</t>
        </is>
      </c>
      <c r="B1998" s="4" t="n">
        <v>280</v>
      </c>
      <c r="C1998" t="inlineStr"/>
      <c r="D1998" t="inlineStr">
        <is>
          <t>22359 Wandsbek - Hamburg Volksdorf</t>
        </is>
      </c>
      <c r="E1998" s="5" t="n">
        <v>45544</v>
      </c>
      <c r="F1998" t="inlineStr">
        <is>
          <t>Sold</t>
        </is>
      </c>
      <c r="G1998" s="6">
        <f>HYPERLINK("https://www.kleinanzeigen.de/s-anzeige/fanatic-wing-foil-set-aero-carved-1400-250-top-zustand-/2858568853-230-16495", "Link")</f>
        <v/>
      </c>
      <c r="H1998" s="6">
        <f>HYPERLINK("C:\Projects\Kleinanzeigen-Scraper\offer_images\2858568853", "Link")</f>
        <v/>
      </c>
      <c r="I1998" t="inlineStr">
        <is>
          <t>Jan</t>
        </is>
      </c>
      <c r="J1998" s="6">
        <f>HYPERLINK("https://www.kleinanzeigen.de/s-bestandsliste.html?userId=3513794", "Link")</f>
        <v/>
      </c>
      <c r="K1998" s="7" t="n">
        <v>45549.5752199074</v>
      </c>
      <c r="L1998" s="3" t="inlineStr">
        <is>
          <t>371.96</t>
        </is>
      </c>
      <c r="M1998" t="inlineStr">
        <is>
          <t>Köln</t>
        </is>
      </c>
    </row>
    <row r="1999">
      <c r="A1999" t="inlineStr">
        <is>
          <t>Duotone Foil Set 90/67-700/216 Complete AL Carve 2024</t>
        </is>
      </c>
      <c r="B1999" s="4" t="n">
        <v>850</v>
      </c>
      <c r="C1999" t="inlineStr"/>
      <c r="D1999" t="inlineStr">
        <is>
          <t>90451 Nürnberg (Mittelfr) - Aussenstadt-Sued</t>
        </is>
      </c>
      <c r="E1999" s="5" t="n">
        <v>45540</v>
      </c>
      <c r="F1999" t="inlineStr">
        <is>
          <t>Sold</t>
        </is>
      </c>
      <c r="G1999" s="6">
        <f>HYPERLINK("https://www.kleinanzeigen.de/s-anzeige/duotone-foil-set-90-67-700-216-complete-al-carve-2024/2806212614-230-6836", "Link")</f>
        <v/>
      </c>
      <c r="H1999" s="6">
        <f>HYPERLINK("C:\Projects\Kleinanzeigen-Scraper\offer_images\2806212614", "Link")</f>
        <v/>
      </c>
      <c r="I1999" t="inlineStr">
        <is>
          <t>No user name</t>
        </is>
      </c>
      <c r="J1999" s="6">
        <f>HYPERLINK("https://www.kleinanzeigen.deNo user link", "Link")</f>
        <v/>
      </c>
      <c r="K1999" s="7" t="n">
        <v>45549.5752199074</v>
      </c>
      <c r="L1999" s="3" t="inlineStr">
        <is>
          <t>145.92</t>
        </is>
      </c>
      <c r="M1999" t="inlineStr">
        <is>
          <t>München</t>
        </is>
      </c>
    </row>
    <row r="2000">
      <c r="A2000" t="inlineStr">
        <is>
          <t>North Reach 2024 13.0 qm Kite (NK095)</t>
        </is>
      </c>
      <c r="B2000" s="4" t="n">
        <v>1.365</v>
      </c>
      <c r="C2000" t="inlineStr">
        <is>
          <t>VB</t>
        </is>
      </c>
      <c r="D2000" t="inlineStr">
        <is>
          <t>23774 Kreis Ostholstein - Heiligenhafen</t>
        </is>
      </c>
      <c r="E2000" s="5" t="n">
        <v>45544</v>
      </c>
      <c r="F2000" t="inlineStr">
        <is>
          <t>Sold</t>
        </is>
      </c>
      <c r="G2000" s="6">
        <f>HYPERLINK("https://www.kleinanzeigen.de/s-anzeige/north-reach-2024-13-0-qm-kite-nk095-/2809929873-230-427", "Link")</f>
        <v/>
      </c>
      <c r="H2000" s="6">
        <f>HYPERLINK("C:\Projects\Kleinanzeigen-Scraper\offer_images\2809929873", "Link")</f>
        <v/>
      </c>
      <c r="I2000" t="inlineStr">
        <is>
          <t>No user name</t>
        </is>
      </c>
      <c r="J2000" s="6">
        <f>HYPERLINK("https://www.kleinanzeigen.deNo user link", "Link")</f>
        <v/>
      </c>
      <c r="K2000" s="7" t="n">
        <v>45549.57519675926</v>
      </c>
      <c r="L2000" s="3" t="inlineStr">
        <is>
          <t>467.75</t>
        </is>
      </c>
      <c r="M2000" t="inlineStr">
        <is>
          <t>Köln</t>
        </is>
      </c>
    </row>
    <row r="2001">
      <c r="A2001" t="inlineStr">
        <is>
          <t>NEU Fanatic Fly Air/Pure 10'4" Paddleboard Stand-up-Paddling</t>
        </is>
      </c>
      <c r="B2001" s="4" t="n">
        <v>250</v>
      </c>
      <c r="C2001" t="inlineStr"/>
      <c r="D2001" t="inlineStr">
        <is>
          <t>55276 Rheinland-Pfalz - Oppenheim</t>
        </is>
      </c>
      <c r="E2001" s="5" t="n">
        <v>45536</v>
      </c>
      <c r="F2001" t="inlineStr">
        <is>
          <t>Sold</t>
        </is>
      </c>
      <c r="G2001" s="6">
        <f>HYPERLINK("https://www.kleinanzeigen.de/s-anzeige/neu-fanatic-fly-air-pure-10-4-paddleboard-stand-up-paddling/2851549229-230-4467", "Link")</f>
        <v/>
      </c>
      <c r="H2001" s="6">
        <f>HYPERLINK("C:\Projects\Kleinanzeigen-Scraper\offer_images\2851549229", "Link")</f>
        <v/>
      </c>
      <c r="I2001" t="inlineStr">
        <is>
          <t>David</t>
        </is>
      </c>
      <c r="J2001" s="6">
        <f>HYPERLINK("https://www.kleinanzeigen.de/s-bestandsliste.html?userId=26325834", "Link")</f>
        <v/>
      </c>
      <c r="K2001" s="7" t="n">
        <v>45549.57519675926</v>
      </c>
      <c r="L2001" s="3" t="inlineStr">
        <is>
          <t>92.25</t>
        </is>
      </c>
      <c r="M2001" t="inlineStr">
        <is>
          <t>Karlsruhe</t>
        </is>
      </c>
    </row>
    <row r="2002">
      <c r="A2002" t="inlineStr">
        <is>
          <t>Fanatic Foil high aspect Frontwing + Backwing</t>
        </is>
      </c>
      <c r="B2002" s="4" t="n">
        <v>250</v>
      </c>
      <c r="C2002" t="inlineStr">
        <is>
          <t>VB</t>
        </is>
      </c>
      <c r="D2002" t="inlineStr">
        <is>
          <t>83071 Bayern - Stephanskirchen</t>
        </is>
      </c>
      <c r="E2002" s="5" t="n">
        <v>45544</v>
      </c>
      <c r="F2002" t="inlineStr">
        <is>
          <t>Sold</t>
        </is>
      </c>
      <c r="G2002" s="6">
        <f>HYPERLINK("https://www.kleinanzeigen.de/s-anzeige/fanatic-foil-high-aspect-frontwing-backwing/2858821069-230-7577", "Link")</f>
        <v/>
      </c>
      <c r="H2002" s="6">
        <f>HYPERLINK("C:\Projects\Kleinanzeigen-Scraper\offer_images\2858821069", "Link")</f>
        <v/>
      </c>
      <c r="I2002" t="inlineStr">
        <is>
          <t>Markus Schlittenbauer</t>
        </is>
      </c>
      <c r="J2002" s="6">
        <f>HYPERLINK("https://www.kleinanzeigen.de/s-bestandsliste.html?userId=60187737", "Link")</f>
        <v/>
      </c>
      <c r="K2002" s="7" t="n">
        <v>45549.57519675926</v>
      </c>
      <c r="L2002" s="3" t="inlineStr">
        <is>
          <t>54.85</t>
        </is>
      </c>
      <c r="M2002" t="inlineStr">
        <is>
          <t>München</t>
        </is>
      </c>
    </row>
    <row r="2003">
      <c r="A2003" t="inlineStr">
        <is>
          <t>Kite Duotone Rebel SLS 9m 2024 *Bester Zustand*</t>
        </is>
      </c>
      <c r="B2003" s="4" t="n">
        <v>1.359</v>
      </c>
      <c r="C2003" t="inlineStr">
        <is>
          <t>VB</t>
        </is>
      </c>
      <c r="D2003" t="inlineStr">
        <is>
          <t>24113 Schleswig-Holstein - Molfsee</t>
        </is>
      </c>
      <c r="E2003" s="5" t="n">
        <v>45546</v>
      </c>
      <c r="F2003" t="inlineStr">
        <is>
          <t>Sold</t>
        </is>
      </c>
      <c r="G2003" s="6">
        <f>HYPERLINK("https://www.kleinanzeigen.de/s-anzeige/kite-duotone-rebel-sls-9m-2024-bester-zustand-/2860600170-230-21250", "Link")</f>
        <v/>
      </c>
      <c r="H2003" s="6">
        <f>HYPERLINK("C:\Projects\Kleinanzeigen-Scraper\offer_images\2860600170", "Link")</f>
        <v/>
      </c>
      <c r="I2003" t="inlineStr">
        <is>
          <t>Simon</t>
        </is>
      </c>
      <c r="J2003" s="6">
        <f>HYPERLINK("https://www.kleinanzeigen.de/s-bestandsliste.html?userId=52124959", "Link")</f>
        <v/>
      </c>
      <c r="K2003" s="7" t="n">
        <v>45549.57517361111</v>
      </c>
      <c r="L2003" s="3" t="inlineStr">
        <is>
          <t>427.37</t>
        </is>
      </c>
      <c r="M2003" t="inlineStr">
        <is>
          <t>Köln</t>
        </is>
      </c>
    </row>
    <row r="2004">
      <c r="A2004" t="inlineStr">
        <is>
          <t>North Evo 7m2 Kite Kitesurfen</t>
        </is>
      </c>
      <c r="B2004" s="4" t="inlineStr"/>
      <c r="C2004" t="inlineStr">
        <is>
          <t>VB</t>
        </is>
      </c>
      <c r="D2004" t="inlineStr">
        <is>
          <t>12683 Berlin - Biesdorf</t>
        </is>
      </c>
      <c r="E2004" s="5" t="n">
        <v>45545</v>
      </c>
      <c r="F2004" t="inlineStr">
        <is>
          <t>Sold</t>
        </is>
      </c>
      <c r="G2004" s="6">
        <f>HYPERLINK("https://www.kleinanzeigen.de/s-anzeige/north-evo-7m2-kite-kitesurfen/2859406295-230-19394", "Link")</f>
        <v/>
      </c>
      <c r="H2004" s="6">
        <f>HYPERLINK("C:\Projects\Kleinanzeigen-Scraper\offer_images\2859406295", "Link")</f>
        <v/>
      </c>
      <c r="I2004" t="inlineStr">
        <is>
          <t>WirRäumenAuf</t>
        </is>
      </c>
      <c r="J2004" s="6">
        <f>HYPERLINK("https://www.kleinanzeigen.de/s-bestandsliste.html?userId=8358509", "Link")</f>
        <v/>
      </c>
      <c r="K2004" s="7" t="n">
        <v>45549.57515046297</v>
      </c>
      <c r="L2004" s="3" t="inlineStr">
        <is>
          <t>486.67</t>
        </is>
      </c>
      <c r="M2004" t="inlineStr">
        <is>
          <t>Köln</t>
        </is>
      </c>
    </row>
    <row r="2005">
      <c r="A2005" t="inlineStr">
        <is>
          <t>Funko Pop Michael Jordan North Carolina no75</t>
        </is>
      </c>
      <c r="B2005" s="4" t="n">
        <v>30</v>
      </c>
      <c r="C2005" t="inlineStr"/>
      <c r="D2005" t="inlineStr">
        <is>
          <t>23769 Kreis Ostholstein - Fehmarn</t>
        </is>
      </c>
      <c r="E2005" s="5" t="n">
        <v>45547</v>
      </c>
      <c r="F2005" t="inlineStr">
        <is>
          <t>Sold</t>
        </is>
      </c>
      <c r="G2005" s="6">
        <f>HYPERLINK("https://www.kleinanzeigen.de/s-anzeige/funko-pop-michael-jordan-north-carolina-no75/2861035581-234-19951", "Link")</f>
        <v/>
      </c>
      <c r="H2005" s="6">
        <f>HYPERLINK("C:\Projects\Kleinanzeigen-Scraper\offer_images\2861035581", "Link")</f>
        <v/>
      </c>
      <c r="I2005" t="inlineStr">
        <is>
          <t>Benjamin Müller</t>
        </is>
      </c>
      <c r="J2005" s="6">
        <f>HYPERLINK("https://www.kleinanzeigen.de/s-bestandsliste.html?userId=125825655", "Link")</f>
        <v/>
      </c>
      <c r="K2005" s="7" t="n">
        <v>45549.57515046297</v>
      </c>
      <c r="L2005" s="3" t="inlineStr">
        <is>
          <t>483.01</t>
        </is>
      </c>
      <c r="M2005" t="inlineStr">
        <is>
          <t>Köln</t>
        </is>
      </c>
    </row>
    <row r="2006">
      <c r="A2006" t="inlineStr">
        <is>
          <t>Duotone Neo SLS 2024, 6 qm, Kite, TOP</t>
        </is>
      </c>
      <c r="B2006" s="4" t="n">
        <v>950</v>
      </c>
      <c r="C2006" t="inlineStr"/>
      <c r="D2006" t="inlineStr">
        <is>
          <t>86899 Bayern - Landsberg (Lech)</t>
        </is>
      </c>
      <c r="E2006" s="5" t="n">
        <v>45547</v>
      </c>
      <c r="F2006" t="inlineStr">
        <is>
          <t>Sold</t>
        </is>
      </c>
      <c r="G2006" s="6">
        <f>HYPERLINK("https://www.kleinanzeigen.de/s-anzeige/duotone-neo-sls-2024-6-qm-kite-top/2861038939-230-7091", "Link")</f>
        <v/>
      </c>
      <c r="H2006" s="6">
        <f>HYPERLINK("C:\Projects\Kleinanzeigen-Scraper\offer_images\2861038939", "Link")</f>
        <v/>
      </c>
      <c r="I2006" t="inlineStr">
        <is>
          <t>Chris</t>
        </is>
      </c>
      <c r="J2006" s="6">
        <f>HYPERLINK("https://www.kleinanzeigen.de/s-bestandsliste.html?userId=16182812", "Link")</f>
        <v/>
      </c>
      <c r="K2006" s="7" t="n">
        <v>45549.57515046297</v>
      </c>
      <c r="L2006" s="3" t="inlineStr">
        <is>
          <t>55.05</t>
        </is>
      </c>
      <c r="M2006" t="inlineStr">
        <is>
          <t>München</t>
        </is>
      </c>
    </row>
    <row r="2007">
      <c r="A2007" t="inlineStr">
        <is>
          <t>SUP PUMPE NEU JP AUSTRALIA</t>
        </is>
      </c>
      <c r="B2007" s="4" t="n">
        <v>25</v>
      </c>
      <c r="C2007" t="inlineStr">
        <is>
          <t>VB</t>
        </is>
      </c>
      <c r="D2007" t="inlineStr">
        <is>
          <t>57482 Nordrhein-Westfalen - Wenden</t>
        </is>
      </c>
      <c r="E2007" s="5" t="n">
        <v>45525</v>
      </c>
      <c r="F2007" t="inlineStr"/>
      <c r="G2007" s="6">
        <f>HYPERLINK("https://www.kleinanzeigen.de/s-anzeige/sup-pumpe-neu-jp-australia/2842935267-230-1540", "Link")</f>
        <v/>
      </c>
      <c r="H2007" s="6">
        <f>HYPERLINK("C:\Projects\Kleinanzeigen-Scraper\offer_images\2842935267", "Link")</f>
        <v/>
      </c>
      <c r="I2007" t="inlineStr">
        <is>
          <t>RM</t>
        </is>
      </c>
      <c r="J2007" s="6">
        <f>HYPERLINK("https://www.kleinanzeigen.de/s-bestandsliste.html?userId=20651316", "Link")</f>
        <v/>
      </c>
      <c r="K2007" s="7" t="n">
        <v>45549.57513888889</v>
      </c>
      <c r="L2007" s="3" t="inlineStr">
        <is>
          <t>64.13</t>
        </is>
      </c>
      <c r="M2007" t="inlineStr">
        <is>
          <t>Köln</t>
        </is>
      </c>
    </row>
    <row r="2008">
      <c r="A2008" t="inlineStr">
        <is>
          <t>Messerkopf 115mm Gigacut Rrd 16125</t>
        </is>
      </c>
      <c r="B2008" s="4" t="n">
        <v>85</v>
      </c>
      <c r="C2008" t="inlineStr">
        <is>
          <t>VB</t>
        </is>
      </c>
      <c r="D2008" t="inlineStr">
        <is>
          <t>24568 Schleswig-Holstein - Kaltenkirchen</t>
        </is>
      </c>
      <c r="E2008" s="5" t="n">
        <v>45470</v>
      </c>
      <c r="F2008" t="inlineStr"/>
      <c r="G2008" s="6">
        <f>HYPERLINK("https://www.kleinanzeigen.de/s-anzeige/messerkopf-115mm-gigacut-rrd-16125/2798570668-242-12984", "Link")</f>
        <v/>
      </c>
      <c r="H2008" s="6">
        <f>HYPERLINK("C:\Projects\Kleinanzeigen-Scraper\offer_images\2798570668", "Link")</f>
        <v/>
      </c>
      <c r="I2008" t="inlineStr">
        <is>
          <t>Jörn</t>
        </is>
      </c>
      <c r="J2008" s="6">
        <f>HYPERLINK("https://www.kleinanzeigen.de/s-bestandsliste.html?userId=19581604", "Link")</f>
        <v/>
      </c>
      <c r="K2008" s="7" t="n">
        <v>45549.57512731481</v>
      </c>
      <c r="L2008" s="3" t="inlineStr">
        <is>
          <t>380.54</t>
        </is>
      </c>
      <c r="M2008" t="inlineStr">
        <is>
          <t>Köln</t>
        </is>
      </c>
    </row>
    <row r="2009">
      <c r="A2009" t="inlineStr">
        <is>
          <t>Naish Hoodie 2024</t>
        </is>
      </c>
      <c r="B2009" s="4" t="n">
        <v>59</v>
      </c>
      <c r="C2009" t="inlineStr"/>
      <c r="D2009" t="inlineStr">
        <is>
          <t>24229 Schleswig-Holstein - Schwedeneck</t>
        </is>
      </c>
      <c r="E2009" s="5" t="n">
        <v>45548</v>
      </c>
      <c r="F2009" t="inlineStr"/>
      <c r="G2009" s="6">
        <f>HYPERLINK("https://www.kleinanzeigen.de/s-anzeige/naish-hoodie-2024/2861905248-230-17470", "Link")</f>
        <v/>
      </c>
      <c r="H2009" s="6">
        <f>HYPERLINK("C:\Projects\Kleinanzeigen-Scraper\offer_images\2861905248", "Link")</f>
        <v/>
      </c>
      <c r="I2009" t="inlineStr">
        <is>
          <t>Bernd</t>
        </is>
      </c>
      <c r="J2009" s="6">
        <f>HYPERLINK("https://www.kleinanzeigen.de/s-bestandsliste.html?userId=7833787", "Link")</f>
        <v/>
      </c>
      <c r="K2009" s="7" t="n">
        <v>45549.57512731481</v>
      </c>
      <c r="L2009" s="3" t="inlineStr">
        <is>
          <t>445.58</t>
        </is>
      </c>
      <c r="M2009" t="inlineStr">
        <is>
          <t>Köln</t>
        </is>
      </c>
    </row>
    <row r="2010">
      <c r="A2010" t="inlineStr">
        <is>
          <t>Brand Wohnwagen Vorzelt Goya Größe 21 Umlaufmaß  939-958 cm</t>
        </is>
      </c>
      <c r="B2010" s="4" t="n">
        <v>595</v>
      </c>
      <c r="C2010" t="inlineStr">
        <is>
          <t>VB</t>
        </is>
      </c>
      <c r="D2010" t="inlineStr">
        <is>
          <t>88512 Baden-Württemberg - Mengen</t>
        </is>
      </c>
      <c r="E2010" s="5" t="n">
        <v>45496</v>
      </c>
      <c r="F2010" t="inlineStr">
        <is>
          <t>Sold</t>
        </is>
      </c>
      <c r="G2010" s="6">
        <f>HYPERLINK("https://www.kleinanzeigen.de/s-anzeige/brand-wohnwagen-vorzelt-goya-groesse-21-umlaufmass-939-958-cm/2819288095-230-8142", "Link")</f>
        <v/>
      </c>
      <c r="H2010" s="6">
        <f>HYPERLINK("C:\Projects\Kleinanzeigen-Scraper\offer_images\2819288095", "Link")</f>
        <v/>
      </c>
      <c r="I2010" t="inlineStr">
        <is>
          <t>Stumpp</t>
        </is>
      </c>
      <c r="J2010" s="6">
        <f>HYPERLINK("https://www.kleinanzeigen.de/s-bestandsliste.html?userId=34599784", "Link")</f>
        <v/>
      </c>
      <c r="K2010" s="7" t="n">
        <v>45549.57512731481</v>
      </c>
      <c r="L2010" s="3" t="inlineStr">
        <is>
          <t>74.66</t>
        </is>
      </c>
      <c r="M2010" t="inlineStr">
        <is>
          <t>Böblingen</t>
        </is>
      </c>
    </row>
    <row r="2011">
      <c r="A2011" t="inlineStr">
        <is>
          <t>North Kites 2024</t>
        </is>
      </c>
      <c r="B2011" s="4" t="n">
        <v>1.1</v>
      </c>
      <c r="C2011" t="inlineStr">
        <is>
          <t>VB</t>
        </is>
      </c>
      <c r="D2011" t="inlineStr">
        <is>
          <t>25938 Nordfriesland - Wyk</t>
        </is>
      </c>
      <c r="E2011" s="5" t="n">
        <v>45536</v>
      </c>
      <c r="F2011" t="inlineStr">
        <is>
          <t>Sold</t>
        </is>
      </c>
      <c r="G2011" s="6">
        <f>HYPERLINK("https://www.kleinanzeigen.de/s-anzeige/north-kites-2024/2851484010-230-640", "Link")</f>
        <v/>
      </c>
      <c r="H2011" s="6">
        <f>HYPERLINK("C:\Projects\Kleinanzeigen-Scraper\offer_images\2851484010", "Link")</f>
        <v/>
      </c>
      <c r="I2011" t="inlineStr">
        <is>
          <t>Ole</t>
        </is>
      </c>
      <c r="J2011" s="6">
        <f>HYPERLINK("https://www.kleinanzeigen.de/s-bestandsliste.html?userId=76522998", "Link")</f>
        <v/>
      </c>
      <c r="K2011" s="7" t="n">
        <v>45549.57511574074</v>
      </c>
      <c r="L2011" s="3" t="inlineStr">
        <is>
          <t>432.94</t>
        </is>
      </c>
      <c r="M2011" t="inlineStr">
        <is>
          <t>Köln</t>
        </is>
      </c>
    </row>
    <row r="2012">
      <c r="A2012" t="inlineStr">
        <is>
          <t>The North Face Fleece Jacke, Gr. L, grau/schwarz</t>
        </is>
      </c>
      <c r="B2012" s="4" t="n">
        <v>20</v>
      </c>
      <c r="C2012" t="inlineStr"/>
      <c r="D2012" t="inlineStr">
        <is>
          <t>85229 Kr. Dachau - Markt Indersdorf</t>
        </is>
      </c>
      <c r="E2012" s="5" t="n">
        <v>45544</v>
      </c>
      <c r="F2012" t="inlineStr">
        <is>
          <t>Sold</t>
        </is>
      </c>
      <c r="G2012" s="6">
        <f>HYPERLINK("https://www.kleinanzeigen.de/s-anzeige/the-north-face-fleece-jacke-gr-l-grau-schwarz/2858303532-230-5978", "Link")</f>
        <v/>
      </c>
      <c r="H2012" s="6">
        <f>HYPERLINK("C:\Projects\Kleinanzeigen-Scraper\offer_images\2858303532", "Link")</f>
        <v/>
      </c>
      <c r="I2012" t="inlineStr">
        <is>
          <t>Margret</t>
        </is>
      </c>
      <c r="J2012" s="6">
        <f>HYPERLINK("https://www.kleinanzeigen.de/s-bestandsliste.html?userId=70868304", "Link")</f>
        <v/>
      </c>
      <c r="K2012" s="7" t="n">
        <v>45549.57511574074</v>
      </c>
      <c r="L2012" s="3" t="inlineStr">
        <is>
          <t>29.96</t>
        </is>
      </c>
      <c r="M2012" t="inlineStr">
        <is>
          <t>München</t>
        </is>
      </c>
    </row>
    <row r="2013">
      <c r="A2013" t="inlineStr">
        <is>
          <t>Naish Slash 8 qm 2021 Kite</t>
        </is>
      </c>
      <c r="B2013" s="4" t="n">
        <v>310</v>
      </c>
      <c r="C2013" t="inlineStr"/>
      <c r="D2013" t="inlineStr">
        <is>
          <t>51399 Nordrhein-Westfalen - Burscheid</t>
        </is>
      </c>
      <c r="E2013" s="5" t="n">
        <v>45531</v>
      </c>
      <c r="F2013" t="inlineStr">
        <is>
          <t>Sold</t>
        </is>
      </c>
      <c r="G2013" s="6">
        <f>HYPERLINK("https://www.kleinanzeigen.de/s-anzeige/naish-slash-8-qm-2021-kite/2847853640-230-1512", "Link")</f>
        <v/>
      </c>
      <c r="H2013" s="6">
        <f>HYPERLINK("C:\Projects\Kleinanzeigen-Scraper\offer_images\2847853640", "Link")</f>
        <v/>
      </c>
      <c r="I2013" t="inlineStr">
        <is>
          <t>Rudolf</t>
        </is>
      </c>
      <c r="J2013" s="6">
        <f>HYPERLINK("https://www.kleinanzeigen.de/s-bestandsliste.html?userId=5804101", "Link")</f>
        <v/>
      </c>
      <c r="K2013" s="7" t="n">
        <v>45549.57510416667</v>
      </c>
      <c r="L2013" s="3" t="inlineStr">
        <is>
          <t>19.54</t>
        </is>
      </c>
      <c r="M2013" t="inlineStr">
        <is>
          <t>Köln</t>
        </is>
      </c>
    </row>
    <row r="2014">
      <c r="A2014" t="inlineStr">
        <is>
          <t>Naish Kite Park HD 9 qm</t>
        </is>
      </c>
      <c r="B2014" s="4" t="n">
        <v>220</v>
      </c>
      <c r="C2014" t="inlineStr"/>
      <c r="D2014" t="inlineStr">
        <is>
          <t>25980 Sylt - Westerland</t>
        </is>
      </c>
      <c r="E2014" s="5" t="n">
        <v>45459</v>
      </c>
      <c r="F2014" t="inlineStr">
        <is>
          <t>Sold</t>
        </is>
      </c>
      <c r="G2014" s="6">
        <f>HYPERLINK("https://www.kleinanzeigen.de/s-anzeige/naish-kite-park-hd-9-qm/2789224115-230-634", "Link")</f>
        <v/>
      </c>
      <c r="H2014" s="6">
        <f>HYPERLINK("C:\Projects\Kleinanzeigen-Scraper\offer_images\2789224115", "Link")</f>
        <v/>
      </c>
      <c r="I2014" t="inlineStr">
        <is>
          <t>Jens</t>
        </is>
      </c>
      <c r="J2014" s="6">
        <f>HYPERLINK("https://www.kleinanzeigen.de/s-bestandsliste.html?userId=10169141", "Link")</f>
        <v/>
      </c>
      <c r="K2014" s="7" t="n">
        <v>45549.57510416667</v>
      </c>
      <c r="L2014" s="3" t="inlineStr">
        <is>
          <t>448.30</t>
        </is>
      </c>
      <c r="M2014" t="inlineStr">
        <is>
          <t>Köln</t>
        </is>
      </c>
    </row>
    <row r="2015">
      <c r="A2015" t="inlineStr">
        <is>
          <t>NEU RRD RAD PAD Kiteboard Bindung orange</t>
        </is>
      </c>
      <c r="B2015" s="4" t="n">
        <v>120</v>
      </c>
      <c r="C2015" t="inlineStr"/>
      <c r="D2015" t="inlineStr">
        <is>
          <t>39116 Sachsen-Anhalt - Magdeburg</t>
        </is>
      </c>
      <c r="E2015" s="5" t="n">
        <v>45472</v>
      </c>
      <c r="F2015" t="inlineStr">
        <is>
          <t>Sold</t>
        </is>
      </c>
      <c r="G2015" s="6">
        <f>HYPERLINK("https://www.kleinanzeigen.de/s-anzeige/neu-rrd-rad-pad-kiteboard-bindung-orange/2799548867-230-2234", "Link")</f>
        <v/>
      </c>
      <c r="H2015" s="6">
        <f>HYPERLINK("C:\Projects\Kleinanzeigen-Scraper\offer_images\2799548867", "Link")</f>
        <v/>
      </c>
      <c r="I2015" t="inlineStr">
        <is>
          <t>CMI</t>
        </is>
      </c>
      <c r="J2015" s="6">
        <f>HYPERLINK("https://www.kleinanzeigen.de/s-bestandsliste.html?userId=4099478", "Link")</f>
        <v/>
      </c>
      <c r="K2015" s="7" t="n">
        <v>45549.57509259259</v>
      </c>
      <c r="L2015" s="3" t="inlineStr">
        <is>
          <t>342.84</t>
        </is>
      </c>
      <c r="M2015" t="inlineStr">
        <is>
          <t>Köln</t>
        </is>
      </c>
    </row>
    <row r="2016">
      <c r="A2016" t="inlineStr">
        <is>
          <t>North Trust Kitebar 4 Leiner Depower Kite - Bar Top Zustand</t>
        </is>
      </c>
      <c r="B2016" s="4" t="n">
        <v>185</v>
      </c>
      <c r="C2016" t="inlineStr">
        <is>
          <t>VB</t>
        </is>
      </c>
      <c r="D2016" t="inlineStr">
        <is>
          <t>32756 Nordrhein-Westfalen - Detmold</t>
        </is>
      </c>
      <c r="E2016" s="5" t="n">
        <v>45549</v>
      </c>
      <c r="F2016" t="inlineStr">
        <is>
          <t>Sold</t>
        </is>
      </c>
      <c r="G2016" s="6">
        <f>HYPERLINK("https://www.kleinanzeigen.de/s-anzeige/north-trust-kitebar-4-leiner-depower-kite-bar-top-zustand/2862628255-230-1794", "Link")</f>
        <v/>
      </c>
      <c r="H2016" s="6">
        <f>HYPERLINK("C:\Projects\Kleinanzeigen-Scraper\offer_images\2862628255", "Link")</f>
        <v/>
      </c>
      <c r="I2016" t="inlineStr">
        <is>
          <t>privat</t>
        </is>
      </c>
      <c r="J2016" s="6">
        <f>HYPERLINK("https://www.kleinanzeigen.de/s-bestandsliste.html?userId=75549", "Link")</f>
        <v/>
      </c>
      <c r="K2016" s="7" t="n">
        <v>45549.57509259259</v>
      </c>
      <c r="L2016" s="3" t="inlineStr">
        <is>
          <t>172.99</t>
        </is>
      </c>
      <c r="M2016" t="inlineStr">
        <is>
          <t>Köln</t>
        </is>
      </c>
    </row>
    <row r="2017">
      <c r="A2017" t="inlineStr">
        <is>
          <t>Starboard SUP Lite Tech 11`2*32</t>
        </is>
      </c>
      <c r="B2017" s="4" t="n">
        <v>700</v>
      </c>
      <c r="C2017" t="inlineStr"/>
      <c r="D2017" t="inlineStr">
        <is>
          <t>24983 Schleswig-Holstein - Handewitt</t>
        </is>
      </c>
      <c r="E2017" s="5" t="n">
        <v>45517</v>
      </c>
      <c r="F2017" t="inlineStr"/>
      <c r="G2017" s="6">
        <f>HYPERLINK("https://www.kleinanzeigen.de/s-anzeige/starboard-sup-lite-tech-11-2-32/2836052350-230-722", "Link")</f>
        <v/>
      </c>
      <c r="H2017" s="6">
        <f>HYPERLINK("C:\Projects\Kleinanzeigen-Scraper\offer_images\2836052350", "Link")</f>
        <v/>
      </c>
      <c r="I2017" t="inlineStr">
        <is>
          <t>Martin Strauch</t>
        </is>
      </c>
      <c r="J2017" s="6">
        <f>HYPERLINK("https://www.kleinanzeigen.de/s-bestandsliste.html?userId=44923939", "Link")</f>
        <v/>
      </c>
      <c r="K2017" s="7" t="n">
        <v>45549.57509259259</v>
      </c>
      <c r="L2017" s="3" t="inlineStr">
        <is>
          <t>454.47</t>
        </is>
      </c>
      <c r="M2017" t="inlineStr">
        <is>
          <t>Köln</t>
        </is>
      </c>
    </row>
    <row r="2018">
      <c r="A2018" t="inlineStr">
        <is>
          <t>Staffelei Goya Solo. Massivholz,</t>
        </is>
      </c>
      <c r="B2018" s="4" t="n">
        <v>30</v>
      </c>
      <c r="C2018" t="inlineStr">
        <is>
          <t>VB</t>
        </is>
      </c>
      <c r="D2018" t="inlineStr">
        <is>
          <t>74589 Baden-Württemberg - Satteldorf</t>
        </is>
      </c>
      <c r="E2018" s="5" t="n">
        <v>45523</v>
      </c>
      <c r="F2018" t="inlineStr"/>
      <c r="G2018" s="6">
        <f>HYPERLINK("https://www.kleinanzeigen.de/s-anzeige/staffelei-goya-solo-massivholz-/2841174314-282-9132", "Link")</f>
        <v/>
      </c>
      <c r="H2018" s="6">
        <f>HYPERLINK("C:\Projects\Kleinanzeigen-Scraper\offer_images\2841174314", "Link")</f>
        <v/>
      </c>
      <c r="I2018" t="inlineStr">
        <is>
          <t>Alexander Wolf</t>
        </is>
      </c>
      <c r="J2018" s="6">
        <f>HYPERLINK("https://www.kleinanzeigen.de/s-bestandsliste.html?userId=53649518", "Link")</f>
        <v/>
      </c>
      <c r="K2018" s="7" t="n">
        <v>45549.57508101852</v>
      </c>
      <c r="L2018" s="3" t="inlineStr">
        <is>
          <t>98.57</t>
        </is>
      </c>
      <c r="M2018" t="inlineStr">
        <is>
          <t>Böblingen</t>
        </is>
      </c>
    </row>
    <row r="2019">
      <c r="A2019" t="inlineStr">
        <is>
          <t>Duotone Kiteboard Spike inkl. NTT Bindung 2024 153</t>
        </is>
      </c>
      <c r="B2019" s="4" t="n">
        <v>659</v>
      </c>
      <c r="C2019" t="inlineStr">
        <is>
          <t>VB</t>
        </is>
      </c>
      <c r="D2019" t="inlineStr">
        <is>
          <t>26125 Niedersachsen - Oldenburg</t>
        </is>
      </c>
      <c r="E2019" s="5" t="n">
        <v>45545</v>
      </c>
      <c r="F2019" t="inlineStr">
        <is>
          <t>Sold</t>
        </is>
      </c>
      <c r="G2019" s="6">
        <f>HYPERLINK("https://www.kleinanzeigen.de/s-anzeige/duotone-kiteboard-spike-inkl-ntt-bindung-2024-153/2859567493-230-3111", "Link")</f>
        <v/>
      </c>
      <c r="H2019" s="6">
        <f>HYPERLINK("C:\Projects\Kleinanzeigen-Scraper\offer_images\2859567493", "Link")</f>
        <v/>
      </c>
      <c r="I2019" t="inlineStr">
        <is>
          <t>No user name</t>
        </is>
      </c>
      <c r="J2019" s="6">
        <f>HYPERLINK("https://www.kleinanzeigen.deNo user link", "Link")</f>
        <v/>
      </c>
      <c r="K2019" s="7" t="n">
        <v>45549.57508101852</v>
      </c>
      <c r="L2019" s="3" t="inlineStr">
        <is>
          <t>264.10</t>
        </is>
      </c>
      <c r="M2019" t="inlineStr">
        <is>
          <t>Köln</t>
        </is>
      </c>
    </row>
    <row r="2020">
      <c r="A2020" t="inlineStr">
        <is>
          <t>RRD Wind Wing W 6.0 Wingfoil Roberto Ricci</t>
        </is>
      </c>
      <c r="B2020" s="4" t="n">
        <v>290</v>
      </c>
      <c r="C2020" t="inlineStr"/>
      <c r="D2020" t="inlineStr">
        <is>
          <t>93059 Bayern - Regensburg</t>
        </is>
      </c>
      <c r="E2020" s="5" t="n">
        <v>45533</v>
      </c>
      <c r="F2020" t="inlineStr">
        <is>
          <t>Sold</t>
        </is>
      </c>
      <c r="G2020" s="6">
        <f>HYPERLINK("https://www.kleinanzeigen.de/s-anzeige/rrd-wind-wing-w-6-0-wingfoil-roberto-ricci/2848918445-230-7657", "Link")</f>
        <v/>
      </c>
      <c r="H2020" s="6">
        <f>HYPERLINK("C:\Projects\Kleinanzeigen-Scraper\offer_images\2848918445", "Link")</f>
        <v/>
      </c>
      <c r="I2020" t="inlineStr">
        <is>
          <t>Jorma</t>
        </is>
      </c>
      <c r="J2020" s="6">
        <f>HYPERLINK("https://www.kleinanzeigen.de/s-bestandsliste.html?userId=8399437", "Link")</f>
        <v/>
      </c>
      <c r="K2020" s="7" t="n">
        <v>45549.57506944444</v>
      </c>
      <c r="L2020" s="3" t="inlineStr">
        <is>
          <t>106.71</t>
        </is>
      </c>
      <c r="M2020" t="inlineStr">
        <is>
          <t>München</t>
        </is>
      </c>
    </row>
    <row r="2021">
      <c r="A2021" t="inlineStr">
        <is>
          <t>Naish Airmax 2 Kite Pumpe</t>
        </is>
      </c>
      <c r="B2021" s="4" t="n">
        <v>59</v>
      </c>
      <c r="C2021" t="inlineStr">
        <is>
          <t>VB</t>
        </is>
      </c>
      <c r="D2021" t="inlineStr">
        <is>
          <t>18586 Mecklenburg-Vorpommern - Mönchgut, Ostseebad</t>
        </is>
      </c>
      <c r="E2021" s="5" t="n">
        <v>45542</v>
      </c>
      <c r="F2021" t="inlineStr">
        <is>
          <t>Sold</t>
        </is>
      </c>
      <c r="G2021" s="6">
        <f>HYPERLINK("https://www.kleinanzeigen.de/s-anzeige/naish-airmax-2-kite-pumpe/1778344115-230-120", "Link")</f>
        <v/>
      </c>
      <c r="H2021" s="6">
        <f>HYPERLINK("C:\Projects\Kleinanzeigen-Scraper\offer_images\1778344115", "Link")</f>
        <v/>
      </c>
      <c r="I2021" t="inlineStr">
        <is>
          <t>No user name</t>
        </is>
      </c>
      <c r="J2021" s="6">
        <f>HYPERLINK("https://www.kleinanzeigen.deNo user link", "Link")</f>
        <v/>
      </c>
      <c r="K2021" s="7" t="n">
        <v>45549.57506944444</v>
      </c>
      <c r="L2021" s="3" t="inlineStr">
        <is>
          <t>591.22</t>
        </is>
      </c>
      <c r="M2021" t="inlineStr">
        <is>
          <t>Köln</t>
        </is>
      </c>
    </row>
    <row r="2022">
      <c r="A2022" t="inlineStr">
        <is>
          <t>Brand Caravan - Vorzelt Goya 41 1026-1051 cm Top Zustand</t>
        </is>
      </c>
      <c r="B2022" s="4" t="inlineStr"/>
      <c r="C2022" t="inlineStr">
        <is>
          <t>VB</t>
        </is>
      </c>
      <c r="D2022" t="inlineStr">
        <is>
          <t>88515 Baden-Württemberg - Langenenslingen</t>
        </is>
      </c>
      <c r="E2022" s="5" t="n">
        <v>45143</v>
      </c>
      <c r="F2022" t="inlineStr"/>
      <c r="G2022" s="6">
        <f>HYPERLINK("https://www.kleinanzeigen.de/s-anzeige/brand-caravan-vorzelt-goya-41-1026-1051-cm-top-zustand/2512671719-230-8141", "Link")</f>
        <v/>
      </c>
      <c r="H2022" s="6">
        <f>HYPERLINK("C:\Projects\Kleinanzeigen-Scraper\offer_images\2512671719", "Link")</f>
        <v/>
      </c>
      <c r="I2022" t="inlineStr">
        <is>
          <t>Müller</t>
        </is>
      </c>
      <c r="J2022" s="6">
        <f>HYPERLINK("https://www.kleinanzeigen.de/s-bestandsliste.html?userId=15366057", "Link")</f>
        <v/>
      </c>
      <c r="K2022" s="7" t="n">
        <v>45549.57506944444</v>
      </c>
      <c r="L2022" s="3" t="inlineStr">
        <is>
          <t>65.70</t>
        </is>
      </c>
      <c r="M2022" t="inlineStr">
        <is>
          <t>Böblingen</t>
        </is>
      </c>
    </row>
    <row r="2023">
      <c r="A2023" t="inlineStr">
        <is>
          <t>SUP Starboard Atlas Zen mit Tasche &amp; Pumpe</t>
        </is>
      </c>
      <c r="B2023" s="4" t="n">
        <v>400</v>
      </c>
      <c r="C2023" t="inlineStr">
        <is>
          <t>VB</t>
        </is>
      </c>
      <c r="D2023" t="inlineStr">
        <is>
          <t>47055 Duisburg - Duisburg-Mitte</t>
        </is>
      </c>
      <c r="E2023" s="5" t="n">
        <v>45542</v>
      </c>
      <c r="F2023" t="inlineStr"/>
      <c r="G2023" s="6">
        <f>HYPERLINK("https://www.kleinanzeigen.de/s-anzeige/sup-starboard-atlas-zen-mit-tasche-pumpe/2856743977-230-2147", "Link")</f>
        <v/>
      </c>
      <c r="H2023" s="6">
        <f>HYPERLINK("C:\Projects\Kleinanzeigen-Scraper\offer_images\2856743977", "Link")</f>
        <v/>
      </c>
      <c r="I2023" t="inlineStr">
        <is>
          <t>Marc Krüger</t>
        </is>
      </c>
      <c r="J2023" s="6">
        <f>HYPERLINK("https://www.kleinanzeigen.de/s-bestandsliste.html?userId=5903862", "Link")</f>
        <v/>
      </c>
      <c r="K2023" s="7" t="n">
        <v>45549.57506944444</v>
      </c>
      <c r="L2023" s="3" t="inlineStr">
        <is>
          <t>52.67</t>
        </is>
      </c>
      <c r="M2023" t="inlineStr">
        <is>
          <t>Köln</t>
        </is>
      </c>
    </row>
    <row r="2024">
      <c r="A2024" t="inlineStr">
        <is>
          <t>North Navigator L 55 cm - guter Zustand</t>
        </is>
      </c>
      <c r="B2024" s="4" t="n">
        <v>299</v>
      </c>
      <c r="C2024" t="inlineStr"/>
      <c r="D2024" t="inlineStr">
        <is>
          <t>68782 Baden-Württemberg - Brühl</t>
        </is>
      </c>
      <c r="E2024" s="5" t="n">
        <v>45538</v>
      </c>
      <c r="F2024" t="inlineStr">
        <is>
          <t>Sold</t>
        </is>
      </c>
      <c r="G2024" s="6">
        <f>HYPERLINK("https://www.kleinanzeigen.de/s-anzeige/north-navigator-l-55-cm-guter-zustand/2853576558-230-1157", "Link")</f>
        <v/>
      </c>
      <c r="H2024" s="6">
        <f>HYPERLINK("C:\Projects\Kleinanzeigen-Scraper\offer_images\2853576558", "Link")</f>
        <v/>
      </c>
      <c r="I2024" t="inlineStr">
        <is>
          <t>Ben Häcker</t>
        </is>
      </c>
      <c r="J2024" s="6">
        <f>HYPERLINK("https://www.kleinanzeigen.de/s-bestandsliste.html?userId=24752802", "Link")</f>
        <v/>
      </c>
      <c r="K2024" s="7" t="n">
        <v>45549.5750462963</v>
      </c>
      <c r="L2024" s="3" t="inlineStr">
        <is>
          <t>44.92</t>
        </is>
      </c>
      <c r="M2024" t="inlineStr">
        <is>
          <t>Karlsruhe</t>
        </is>
      </c>
    </row>
    <row r="2025">
      <c r="A2025" t="inlineStr">
        <is>
          <t>Herpa Scania R TL Gardinenplanen-Sattelzug "Joe Sharp, Northern L</t>
        </is>
      </c>
      <c r="B2025" s="4" t="n">
        <v>45</v>
      </c>
      <c r="C2025" t="inlineStr"/>
      <c r="D2025" t="inlineStr">
        <is>
          <t>85386 Bayern - Eching (Kr Freising)</t>
        </is>
      </c>
      <c r="E2025" s="5" t="n">
        <v>45546</v>
      </c>
      <c r="F2025" t="inlineStr">
        <is>
          <t>Sold</t>
        </is>
      </c>
      <c r="G2025" s="6">
        <f>HYPERLINK("https://www.kleinanzeigen.de/s-anzeige/herpa-scania-r-tl-gardinenplanen-sattelzug-joe-sharp-northern-l/2859949409-249-6618", "Link")</f>
        <v/>
      </c>
      <c r="H2025" s="6">
        <f>HYPERLINK("C:\Projects\Kleinanzeigen-Scraper\offer_images\2859949409", "Link")</f>
        <v/>
      </c>
      <c r="I2025" t="inlineStr">
        <is>
          <t>Daniel Busch</t>
        </is>
      </c>
      <c r="J2025" s="6">
        <f>HYPERLINK("https://www.kleinanzeigen.de/s-bestandsliste.html?userId=13561911", "Link")</f>
        <v/>
      </c>
      <c r="K2025" s="7" t="n">
        <v>45549.5750462963</v>
      </c>
      <c r="L2025" s="3" t="inlineStr">
        <is>
          <t>18.75</t>
        </is>
      </c>
      <c r="M2025" t="inlineStr">
        <is>
          <t>München</t>
        </is>
      </c>
    </row>
    <row r="2026">
      <c r="A2026" t="inlineStr">
        <is>
          <t>Kitesurfing set North Rebel</t>
        </is>
      </c>
      <c r="B2026" s="4" t="n">
        <v>2.5</v>
      </c>
      <c r="C2026" t="inlineStr"/>
      <c r="D2026" t="inlineStr">
        <is>
          <t>22047 Hamburg - Wandsbek</t>
        </is>
      </c>
      <c r="E2026" s="5" t="n">
        <v>45537</v>
      </c>
      <c r="F2026" t="inlineStr">
        <is>
          <t>Sold</t>
        </is>
      </c>
      <c r="G2026" s="6">
        <f>HYPERLINK("https://www.kleinanzeigen.de/s-anzeige/kitesurfing-set-north-rebel/2852937760-230-26507", "Link")</f>
        <v/>
      </c>
      <c r="H2026" s="6">
        <f>HYPERLINK("C:\Projects\Kleinanzeigen-Scraper\offer_images\2852937760", "Link")</f>
        <v/>
      </c>
      <c r="I2026" t="inlineStr">
        <is>
          <t>Alex Silitra</t>
        </is>
      </c>
      <c r="J2026" s="6">
        <f>HYPERLINK("https://www.kleinanzeigen.de/s-bestandsliste.html?userId=46535232", "Link")</f>
        <v/>
      </c>
      <c r="K2026" s="7" t="n">
        <v>45549.5750462963</v>
      </c>
      <c r="L2026" s="3" t="inlineStr">
        <is>
          <t>364.13</t>
        </is>
      </c>
      <c r="M2026" t="inlineStr">
        <is>
          <t>Köln</t>
        </is>
      </c>
    </row>
    <row r="2027">
      <c r="A2027" t="inlineStr">
        <is>
          <t>STARBOARD Trockenanzug MENS HD SUIT Größe XXL</t>
        </is>
      </c>
      <c r="B2027" s="4" t="n">
        <v>300</v>
      </c>
      <c r="C2027" t="inlineStr"/>
      <c r="D2027" t="inlineStr">
        <is>
          <t>47447 Nordrhein-Westfalen - Moers</t>
        </is>
      </c>
      <c r="E2027" s="5" t="n">
        <v>45533</v>
      </c>
      <c r="F2027" t="inlineStr">
        <is>
          <t>Sold</t>
        </is>
      </c>
      <c r="G2027" s="6">
        <f>HYPERLINK("https://www.kleinanzeigen.de/s-anzeige/starboard-trockenanzug-mens-hd-suit-groesse-xxl/2849157734-230-2130", "Link")</f>
        <v/>
      </c>
      <c r="H2027" s="6">
        <f>HYPERLINK("C:\Projects\Kleinanzeigen-Scraper\offer_images\2849157734", "Link")</f>
        <v/>
      </c>
      <c r="I2027" t="inlineStr">
        <is>
          <t>Stefan Lander</t>
        </is>
      </c>
      <c r="J2027" s="6">
        <f>HYPERLINK("https://www.kleinanzeigen.de/s-bestandsliste.html?userId=5010852", "Link")</f>
        <v/>
      </c>
      <c r="K2027" s="7" t="n">
        <v>45549.5750462963</v>
      </c>
      <c r="L2027" s="3" t="inlineStr">
        <is>
          <t>58.22</t>
        </is>
      </c>
      <c r="M2027" t="inlineStr">
        <is>
          <t>Köln</t>
        </is>
      </c>
    </row>
    <row r="2028">
      <c r="A2028" t="inlineStr">
        <is>
          <t>DTK Duotone Kite Binding Entity Ergo 2023 *NEU*</t>
        </is>
      </c>
      <c r="B2028" s="4" t="n">
        <v>249</v>
      </c>
      <c r="C2028" t="inlineStr"/>
      <c r="D2028" t="inlineStr">
        <is>
          <t>82319 Bayern - Starnberg</t>
        </is>
      </c>
      <c r="E2028" s="5" t="n">
        <v>45541</v>
      </c>
      <c r="F2028" t="inlineStr">
        <is>
          <t>Sold</t>
        </is>
      </c>
      <c r="G2028" s="6">
        <f>HYPERLINK("https://www.kleinanzeigen.de/s-anzeige/dtk-duotone-kite-binding-entity-ergo-2023-neu-/2442873449-230-5525", "Link")</f>
        <v/>
      </c>
      <c r="H2028" s="6">
        <f>HYPERLINK("C:\Projects\Kleinanzeigen-Scraper\offer_images\2442873449", "Link")</f>
        <v/>
      </c>
      <c r="I2028" t="inlineStr">
        <is>
          <t>No user name</t>
        </is>
      </c>
      <c r="J2028" s="6">
        <f>HYPERLINK("https://www.kleinanzeigen.deNo user link", "Link")</f>
        <v/>
      </c>
      <c r="K2028" s="7" t="n">
        <v>45549.5750462963</v>
      </c>
      <c r="L2028" s="3" t="inlineStr">
        <is>
          <t>23.17</t>
        </is>
      </c>
      <c r="M2028" t="inlineStr">
        <is>
          <t>München</t>
        </is>
      </c>
    </row>
    <row r="2029">
      <c r="A2029" t="inlineStr">
        <is>
          <t>Naish Pivot 12 - neuwertig</t>
        </is>
      </c>
      <c r="B2029" s="4" t="n">
        <v>729</v>
      </c>
      <c r="C2029" t="inlineStr">
        <is>
          <t>VB</t>
        </is>
      </c>
      <c r="D2029" t="inlineStr">
        <is>
          <t>81243 München - Pasing-Obermenzing</t>
        </is>
      </c>
      <c r="E2029" s="5" t="n">
        <v>45495</v>
      </c>
      <c r="F2029" t="inlineStr">
        <is>
          <t>Sold</t>
        </is>
      </c>
      <c r="G2029" s="6">
        <f>HYPERLINK("https://www.kleinanzeigen.de/s-anzeige/naish-pivot-12-neuwertig/2818751150-230-6476", "Link")</f>
        <v/>
      </c>
      <c r="H2029" s="6">
        <f>HYPERLINK("C:\Projects\Kleinanzeigen-Scraper\offer_images\2818751150", "Link")</f>
        <v/>
      </c>
      <c r="I2029" t="inlineStr">
        <is>
          <t>Benjamin</t>
        </is>
      </c>
      <c r="J2029" s="6">
        <f>HYPERLINK("https://www.kleinanzeigen.de/s-bestandsliste.html?userId=34393182", "Link")</f>
        <v/>
      </c>
      <c r="K2029" s="7" t="n">
        <v>45549.5750462963</v>
      </c>
      <c r="L2029" s="3" t="inlineStr">
        <is>
          <t>10.14</t>
        </is>
      </c>
      <c r="M2029" t="inlineStr">
        <is>
          <t>München</t>
        </is>
      </c>
    </row>
    <row r="2030">
      <c r="A2030" t="inlineStr">
        <is>
          <t>Angeln, Simms, Fliegenfischen Meerforelle, Spinnfischen</t>
        </is>
      </c>
      <c r="B2030" s="4" t="n">
        <v>70</v>
      </c>
      <c r="C2030" t="inlineStr"/>
      <c r="D2030" t="inlineStr">
        <is>
          <t>30851 Niedersachsen - Langenhagen</t>
        </is>
      </c>
      <c r="E2030" s="5" t="n">
        <v>45526</v>
      </c>
      <c r="F2030" t="inlineStr">
        <is>
          <t>Sold</t>
        </is>
      </c>
      <c r="G2030" s="6">
        <f>HYPERLINK("https://www.kleinanzeigen.de/s-anzeige/angeln-simms-fliegenfischen-meerforelle-spinnfischen/2843527346-230-3045", "Link")</f>
        <v/>
      </c>
      <c r="H2030" s="6">
        <f>HYPERLINK("C:\Projects\Kleinanzeigen-Scraper\offer_images\2843527346", "Link")</f>
        <v/>
      </c>
      <c r="I2030" t="inlineStr">
        <is>
          <t>Björn</t>
        </is>
      </c>
      <c r="J2030" s="6">
        <f>HYPERLINK("https://www.kleinanzeigen.de/s-bestandsliste.html?userId=64594425", "Link")</f>
        <v/>
      </c>
      <c r="K2030" s="7" t="n">
        <v>45549.57503472222</v>
      </c>
      <c r="L2030" s="3" t="inlineStr">
        <is>
          <t>253.44</t>
        </is>
      </c>
      <c r="M2030" t="inlineStr">
        <is>
          <t>Köln</t>
        </is>
      </c>
    </row>
    <row r="2031">
      <c r="A2031" t="inlineStr">
        <is>
          <t>Simms wathose (Kid‘s Gore-Tex)</t>
        </is>
      </c>
      <c r="B2031" s="4" t="n">
        <v>100</v>
      </c>
      <c r="C2031" t="inlineStr">
        <is>
          <t>VB</t>
        </is>
      </c>
      <c r="D2031" t="inlineStr">
        <is>
          <t>41569 Nordrhein-Westfalen - Rommerskirchen</t>
        </is>
      </c>
      <c r="E2031" s="5" t="n">
        <v>45460</v>
      </c>
      <c r="F2031" t="inlineStr"/>
      <c r="G2031" s="6">
        <f>HYPERLINK("https://www.kleinanzeigen.de/s-anzeige/simms-wathose-kid-s-gore-tex-/2791016359-230-19638", "Link")</f>
        <v/>
      </c>
      <c r="H2031" s="6">
        <f>HYPERLINK("C:\Projects\Kleinanzeigen-Scraper\offer_images\2791016359", "Link")</f>
        <v/>
      </c>
      <c r="I2031" t="inlineStr">
        <is>
          <t>Maze Kleuters</t>
        </is>
      </c>
      <c r="J2031" s="6">
        <f>HYPERLINK("https://www.kleinanzeigen.de/s-bestandsliste.html?userId=81018531", "Link")</f>
        <v/>
      </c>
      <c r="K2031" s="7" t="n">
        <v>45549.57502314815</v>
      </c>
      <c r="L2031" s="3" t="inlineStr">
        <is>
          <t>22.79</t>
        </is>
      </c>
      <c r="M2031" t="inlineStr">
        <is>
          <t>Köln</t>
        </is>
      </c>
    </row>
    <row r="2032">
      <c r="A2032" t="inlineStr">
        <is>
          <t>The North Face summit Race Belt Größe Medium</t>
        </is>
      </c>
      <c r="B2032" s="4" t="n">
        <v>28</v>
      </c>
      <c r="C2032" t="inlineStr">
        <is>
          <t>VB</t>
        </is>
      </c>
      <c r="D2032" t="inlineStr">
        <is>
          <t>83451 Bayern - Piding</t>
        </is>
      </c>
      <c r="E2032" s="5" t="n">
        <v>45544</v>
      </c>
      <c r="F2032" t="inlineStr">
        <is>
          <t>Sold</t>
        </is>
      </c>
      <c r="G2032" s="6">
        <f>HYPERLINK("https://www.kleinanzeigen.de/s-anzeige/the-north-face-summit-race-belt-groesse-medium/2858872074-230-5880", "Link")</f>
        <v/>
      </c>
      <c r="H2032" s="6">
        <f>HYPERLINK("C:\Projects\Kleinanzeigen-Scraper\offer_images\2858872074", "Link")</f>
        <v/>
      </c>
      <c r="I2032" t="inlineStr">
        <is>
          <t>Marcel</t>
        </is>
      </c>
      <c r="J2032" s="6">
        <f>HYPERLINK("https://www.kleinanzeigen.de/s-bestandsliste.html?userId=80200559", "Link")</f>
        <v/>
      </c>
      <c r="K2032" s="7" t="n">
        <v>45549.57502314815</v>
      </c>
      <c r="L2032" s="3" t="inlineStr">
        <is>
          <t>107.84</t>
        </is>
      </c>
      <c r="M2032" t="inlineStr">
        <is>
          <t>München</t>
        </is>
      </c>
    </row>
    <row r="2033">
      <c r="A2033" t="inlineStr">
        <is>
          <t>Goya Ausstellungsplakat, 1988</t>
        </is>
      </c>
      <c r="B2033" s="4" t="n">
        <v>17</v>
      </c>
      <c r="C2033" t="inlineStr">
        <is>
          <t>VB</t>
        </is>
      </c>
      <c r="D2033" t="inlineStr">
        <is>
          <t>42929 Nordrhein-Westfalen - Wermelskirchen</t>
        </is>
      </c>
      <c r="E2033" s="5" t="n">
        <v>45290</v>
      </c>
      <c r="F2033" t="inlineStr"/>
      <c r="G2033" s="6">
        <f>HYPERLINK("https://www.kleinanzeigen.de/s-anzeige/goya-ausstellungsplakat-1988/2639787809-240-1546", "Link")</f>
        <v/>
      </c>
      <c r="H2033" s="6">
        <f>HYPERLINK("C:\Projects\Kleinanzeigen-Scraper\offer_images\2639787809", "Link")</f>
        <v/>
      </c>
      <c r="I2033" t="inlineStr">
        <is>
          <t>Andreas</t>
        </is>
      </c>
      <c r="J2033" s="6">
        <f>HYPERLINK("https://www.kleinanzeigen.de/s-bestandsliste.html?userId=9802520", "Link")</f>
        <v/>
      </c>
      <c r="K2033" s="7" t="n">
        <v>45549.57502314815</v>
      </c>
      <c r="L2033" s="3" t="inlineStr">
        <is>
          <t>26.30</t>
        </is>
      </c>
      <c r="M2033" t="inlineStr">
        <is>
          <t>Köln</t>
        </is>
      </c>
    </row>
    <row r="2034">
      <c r="A2034" t="inlineStr">
        <is>
          <t>Kupferchalkographie Francisco de Goya</t>
        </is>
      </c>
      <c r="B2034" s="4" t="n">
        <v>250</v>
      </c>
      <c r="C2034" t="inlineStr"/>
      <c r="D2034" t="inlineStr">
        <is>
          <t>69190 Baden-Württemberg - Walldorf</t>
        </is>
      </c>
      <c r="E2034" s="5" t="n">
        <v>45482</v>
      </c>
      <c r="F2034" t="inlineStr"/>
      <c r="G2034" s="6">
        <f>HYPERLINK("https://www.kleinanzeigen.de/s-anzeige/kupferchalkographie-francisco-de-goya/2807907603-240-8260", "Link")</f>
        <v/>
      </c>
      <c r="H2034" s="6">
        <f>HYPERLINK("C:\Projects\Kleinanzeigen-Scraper\offer_images\2807907603", "Link")</f>
        <v/>
      </c>
      <c r="I2034" t="inlineStr">
        <is>
          <t>Raul</t>
        </is>
      </c>
      <c r="J2034" s="6">
        <f>HYPERLINK("https://www.kleinanzeigen.de/s-bestandsliste.html?userId=132003176", "Link")</f>
        <v/>
      </c>
      <c r="K2034" s="7" t="n">
        <v>45549.57501157407</v>
      </c>
      <c r="L2034" s="3" t="inlineStr">
        <is>
          <t>36.84</t>
        </is>
      </c>
      <c r="M2034" t="inlineStr">
        <is>
          <t>Karlsruhe</t>
        </is>
      </c>
    </row>
    <row r="2035">
      <c r="A2035" t="inlineStr">
        <is>
          <t>Naish ADX Wing 4m</t>
        </is>
      </c>
      <c r="B2035" s="4" t="n">
        <v>500</v>
      </c>
      <c r="C2035" t="inlineStr">
        <is>
          <t>VB</t>
        </is>
      </c>
      <c r="D2035" t="inlineStr">
        <is>
          <t>83395 Bayern - Freilassing</t>
        </is>
      </c>
      <c r="E2035" s="5" t="n">
        <v>45513</v>
      </c>
      <c r="F2035" t="inlineStr">
        <is>
          <t>Sold</t>
        </is>
      </c>
      <c r="G2035" s="6">
        <f>HYPERLINK("https://www.kleinanzeigen.de/s-anzeige/naish-adx-wing-4m/2833133856-230-6273", "Link")</f>
        <v/>
      </c>
      <c r="H2035" s="6">
        <f>HYPERLINK("C:\Projects\Kleinanzeigen-Scraper\offer_images\2833133856", "Link")</f>
        <v/>
      </c>
      <c r="I2035" t="inlineStr">
        <is>
          <t>Hannes</t>
        </is>
      </c>
      <c r="J2035" s="6">
        <f>HYPERLINK("https://www.kleinanzeigen.de/s-bestandsliste.html?userId=125303914", "Link")</f>
        <v/>
      </c>
      <c r="K2035" s="7" t="n">
        <v>45549.57501157407</v>
      </c>
      <c r="L2035" s="3" t="inlineStr">
        <is>
          <t>108.85</t>
        </is>
      </c>
      <c r="M2035" t="inlineStr">
        <is>
          <t>München</t>
        </is>
      </c>
    </row>
    <row r="2036">
      <c r="A2036" t="inlineStr">
        <is>
          <t>Kitesurf Allround Freeride Wave Kite Naish Triad 9qm</t>
        </is>
      </c>
      <c r="B2036" s="4" t="n">
        <v>525</v>
      </c>
      <c r="C2036" t="inlineStr">
        <is>
          <t>VB</t>
        </is>
      </c>
      <c r="D2036" t="inlineStr">
        <is>
          <t>22399 Wandsbek - Hamburg Poppenbüttel</t>
        </is>
      </c>
      <c r="E2036" s="5" t="n">
        <v>45539</v>
      </c>
      <c r="F2036" t="inlineStr">
        <is>
          <t>Sold</t>
        </is>
      </c>
      <c r="G2036" s="6">
        <f>HYPERLINK("https://www.kleinanzeigen.de/s-anzeige/kitesurf-allround-freeride-wave-kite-naish-triad-9qm/2854434158-230-18568", "Link")</f>
        <v/>
      </c>
      <c r="H2036" s="6">
        <f>HYPERLINK("C:\Projects\Kleinanzeigen-Scraper\offer_images\2854434158", "Link")</f>
        <v/>
      </c>
      <c r="I2036" t="inlineStr">
        <is>
          <t>Raymond</t>
        </is>
      </c>
      <c r="J2036" s="6">
        <f>HYPERLINK("https://www.kleinanzeigen.de/s-bestandsliste.html?userId=13021969", "Link")</f>
        <v/>
      </c>
      <c r="K2036" s="7" t="n">
        <v>45549.575</v>
      </c>
      <c r="L2036" s="3" t="inlineStr">
        <is>
          <t>369.80</t>
        </is>
      </c>
      <c r="M2036" t="inlineStr">
        <is>
          <t>Köln</t>
        </is>
      </c>
    </row>
    <row r="2037">
      <c r="A2037" t="inlineStr">
        <is>
          <t>Naish Kite Ride 11qm</t>
        </is>
      </c>
      <c r="B2037" s="4" t="n">
        <v>299</v>
      </c>
      <c r="C2037" t="inlineStr"/>
      <c r="D2037" t="inlineStr">
        <is>
          <t>48249 Nordrhein-Westfalen - Dülmen</t>
        </is>
      </c>
      <c r="E2037" s="5" t="n">
        <v>45511</v>
      </c>
      <c r="F2037" t="inlineStr">
        <is>
          <t>Sold</t>
        </is>
      </c>
      <c r="G2037" s="6">
        <f>HYPERLINK("https://www.kleinanzeigen.de/s-anzeige/naish-kite-ride-11qm/2831231237-230-1331", "Link")</f>
        <v/>
      </c>
      <c r="H2037" s="6">
        <f>HYPERLINK("C:\Projects\Kleinanzeigen-Scraper\offer_images\2831231237", "Link")</f>
        <v/>
      </c>
      <c r="I2037" t="inlineStr">
        <is>
          <t>Joachim Blei</t>
        </is>
      </c>
      <c r="J2037" s="6">
        <f>HYPERLINK("https://www.kleinanzeigen.de/s-bestandsliste.html?userId=13507546", "Link")</f>
        <v/>
      </c>
      <c r="K2037" s="7" t="n">
        <v>45549.575</v>
      </c>
      <c r="L2037" s="3" t="inlineStr">
        <is>
          <t>105.23</t>
        </is>
      </c>
      <c r="M2037" t="inlineStr">
        <is>
          <t>Köln</t>
        </is>
      </c>
    </row>
    <row r="2038">
      <c r="A2038" t="inlineStr">
        <is>
          <t>Kite Duotone Trust Bar 2021</t>
        </is>
      </c>
      <c r="B2038" s="4" t="n">
        <v>180</v>
      </c>
      <c r="C2038" t="inlineStr">
        <is>
          <t>VB</t>
        </is>
      </c>
      <c r="D2038" t="inlineStr">
        <is>
          <t>23566 Schleswig-Holstein - Lübeck</t>
        </is>
      </c>
      <c r="E2038" s="5" t="n">
        <v>45548</v>
      </c>
      <c r="F2038" t="inlineStr">
        <is>
          <t>Sold</t>
        </is>
      </c>
      <c r="G2038" s="6">
        <f>HYPERLINK("https://www.kleinanzeigen.de/s-anzeige/kite-duotone-trust-bar-2021/2825219500-230-421", "Link")</f>
        <v/>
      </c>
      <c r="H2038" s="6">
        <f>HYPERLINK("C:\Projects\Kleinanzeigen-Scraper\offer_images\2825219500", "Link")</f>
        <v/>
      </c>
      <c r="I2038" t="inlineStr">
        <is>
          <t>Torben</t>
        </is>
      </c>
      <c r="J2038" s="6">
        <f>HYPERLINK("https://www.kleinanzeigen.de/s-bestandsliste.html?userId=22756835", "Link")</f>
        <v/>
      </c>
      <c r="K2038" s="7" t="n">
        <v>45549.575</v>
      </c>
      <c r="L2038" s="3" t="inlineStr">
        <is>
          <t>415.00</t>
        </is>
      </c>
      <c r="M2038" t="inlineStr">
        <is>
          <t>Köln</t>
        </is>
      </c>
    </row>
    <row r="2039">
      <c r="A2039" t="inlineStr">
        <is>
          <t>Neoprenanzug Surfanzug NEILPRYDE, Size 8 für Kinder</t>
        </is>
      </c>
      <c r="B2039" s="4" t="n">
        <v>50</v>
      </c>
      <c r="C2039" t="inlineStr"/>
      <c r="D2039" t="inlineStr">
        <is>
          <t>85764 Kr. München - Oberschleißheim</t>
        </is>
      </c>
      <c r="E2039" s="5" t="n">
        <v>45530</v>
      </c>
      <c r="F2039" t="inlineStr">
        <is>
          <t>Sold</t>
        </is>
      </c>
      <c r="G2039" s="6">
        <f>HYPERLINK("https://www.kleinanzeigen.de/s-anzeige/neoprenanzug-surfanzug-neilpryde-size-8-fuer-kinder/2847139817-230-5517", "Link")</f>
        <v/>
      </c>
      <c r="H2039" s="6">
        <f>HYPERLINK("C:\Projects\Kleinanzeigen-Scraper\offer_images\2847139817", "Link")</f>
        <v/>
      </c>
      <c r="I2039" t="inlineStr">
        <is>
          <t>Lisa</t>
        </is>
      </c>
      <c r="J2039" s="6">
        <f>HYPERLINK("https://www.kleinanzeigen.de/s-bestandsliste.html?userId=39260285", "Link")</f>
        <v/>
      </c>
      <c r="K2039" s="7" t="n">
        <v>45549.57498842593</v>
      </c>
      <c r="L2039" s="3" t="inlineStr">
        <is>
          <t>12.47</t>
        </is>
      </c>
      <c r="M2039" t="inlineStr">
        <is>
          <t>München</t>
        </is>
      </c>
    </row>
    <row r="2040">
      <c r="A2040" t="inlineStr">
        <is>
          <t>Fanatic Pure SUP Paddel 2021 3 tlg. 165-220cm NEU Testpaddel -15%</t>
        </is>
      </c>
      <c r="B2040" s="4" t="n">
        <v>99</v>
      </c>
      <c r="C2040" t="inlineStr"/>
      <c r="D2040" t="inlineStr">
        <is>
          <t>18586 Mecklenburg-Vorpommern - Mönchgut, Ostseebad</t>
        </is>
      </c>
      <c r="E2040" s="5" t="n">
        <v>45546</v>
      </c>
      <c r="F2040" t="inlineStr">
        <is>
          <t>Sold</t>
        </is>
      </c>
      <c r="G2040" s="6">
        <f>HYPERLINK("https://www.kleinanzeigen.de/s-anzeige/fanatic-pure-sup-paddel-2021-3-tlg-165-220cm-neu-testpaddel-15-/1119552049-230-120", "Link")</f>
        <v/>
      </c>
      <c r="H2040" s="6">
        <f>HYPERLINK("C:\Projects\Kleinanzeigen-Scraper\offer_images\1119552049", "Link")</f>
        <v/>
      </c>
      <c r="I2040" t="inlineStr">
        <is>
          <t>No user name</t>
        </is>
      </c>
      <c r="J2040" s="6">
        <f>HYPERLINK("https://www.kleinanzeigen.deNo user link", "Link")</f>
        <v/>
      </c>
      <c r="K2040" s="7" t="n">
        <v>45549.57498842593</v>
      </c>
      <c r="L2040" s="3" t="inlineStr">
        <is>
          <t>591.22</t>
        </is>
      </c>
      <c r="M2040" t="inlineStr">
        <is>
          <t>Köln</t>
        </is>
      </c>
    </row>
    <row r="2041">
      <c r="A2041" t="inlineStr">
        <is>
          <t>2024 DUOTONE Unit 6,0m² inkl. Leash</t>
        </is>
      </c>
      <c r="B2041" s="4" t="n">
        <v>715</v>
      </c>
      <c r="C2041" t="inlineStr">
        <is>
          <t>VB</t>
        </is>
      </c>
      <c r="D2041" t="inlineStr">
        <is>
          <t>82054 Kr. München - Sauerlach</t>
        </is>
      </c>
      <c r="E2041" s="5" t="n">
        <v>45546</v>
      </c>
      <c r="F2041" t="inlineStr">
        <is>
          <t>Sold</t>
        </is>
      </c>
      <c r="G2041" s="6">
        <f>HYPERLINK("https://www.kleinanzeigen.de/s-anzeige/2024-duotone-unit-6-0m-inkl-leash/2860175286-230-5593", "Link")</f>
        <v/>
      </c>
      <c r="H2041" s="6">
        <f>HYPERLINK("C:\Projects\Kleinanzeigen-Scraper\offer_images\2860175286", "Link")</f>
        <v/>
      </c>
      <c r="I2041" t="inlineStr">
        <is>
          <t>Carolin M.</t>
        </is>
      </c>
      <c r="J2041" s="6">
        <f>HYPERLINK("https://www.kleinanzeigen.de/s-bestandsliste.html?userId=31945199", "Link")</f>
        <v/>
      </c>
      <c r="K2041" s="7" t="n">
        <v>45549.57497685185</v>
      </c>
      <c r="L2041" s="3" t="inlineStr">
        <is>
          <t>20.66</t>
        </is>
      </c>
      <c r="M2041" t="inlineStr">
        <is>
          <t>München</t>
        </is>
      </c>
    </row>
    <row r="2042">
      <c r="A2042" t="inlineStr">
        <is>
          <t>3 Paar Fahrrad Schuhe North Wave Klicker für alle Jahreszeiten</t>
        </is>
      </c>
      <c r="B2042" s="4" t="n">
        <v>5</v>
      </c>
      <c r="C2042" t="inlineStr">
        <is>
          <t>VB</t>
        </is>
      </c>
      <c r="D2042" t="inlineStr">
        <is>
          <t>73760 Baden-Württemberg - Ostfildern</t>
        </is>
      </c>
      <c r="E2042" s="5" t="n">
        <v>45547</v>
      </c>
      <c r="F2042" t="inlineStr">
        <is>
          <t>Sold</t>
        </is>
      </c>
      <c r="G2042" s="6">
        <f>HYPERLINK("https://www.kleinanzeigen.de/s-anzeige/3-paar-fahrrad-schuhe-north-wave-klicker-fuer-alle-jahreszeiten/2861568615-230-8437", "Link")</f>
        <v/>
      </c>
      <c r="H2042" s="6">
        <f>HYPERLINK("C:\Projects\Kleinanzeigen-Scraper\offer_images\2861568615", "Link")</f>
        <v/>
      </c>
      <c r="I2042" t="inlineStr">
        <is>
          <t>inga</t>
        </is>
      </c>
      <c r="J2042" s="6">
        <f>HYPERLINK("https://www.kleinanzeigen.de/s-bestandsliste.html?userId=34742612", "Link")</f>
        <v/>
      </c>
      <c r="K2042" s="7" t="n">
        <v>45549.57496527778</v>
      </c>
      <c r="L2042" s="3" t="inlineStr">
        <is>
          <t>21.07</t>
        </is>
      </c>
      <c r="M2042" t="inlineStr">
        <is>
          <t>Böblingen</t>
        </is>
      </c>
    </row>
    <row r="2043">
      <c r="A2043" t="inlineStr">
        <is>
          <t>Starbucks Been There - North Dakota, new</t>
        </is>
      </c>
      <c r="B2043" s="4" t="n">
        <v>79</v>
      </c>
      <c r="C2043" t="inlineStr">
        <is>
          <t>VB</t>
        </is>
      </c>
      <c r="D2043" t="inlineStr">
        <is>
          <t>79801 Baden-Württemberg - Hohentengen am Hochrhein</t>
        </is>
      </c>
      <c r="E2043" s="5" t="n">
        <v>45537</v>
      </c>
      <c r="F2043" t="inlineStr">
        <is>
          <t>Sold</t>
        </is>
      </c>
      <c r="G2043" s="6">
        <f>HYPERLINK("https://www.kleinanzeigen.de/s-anzeige/starbucks-been-there-north-dakota-new/2852560243-234-8301", "Link")</f>
        <v/>
      </c>
      <c r="H2043" s="6">
        <f>HYPERLINK("C:\Projects\Kleinanzeigen-Scraper\offer_images\2852560243", "Link")</f>
        <v/>
      </c>
      <c r="I2043" t="inlineStr">
        <is>
          <t>burrito</t>
        </is>
      </c>
      <c r="J2043" s="6">
        <f>HYPERLINK("https://www.kleinanzeigen.de/s-bestandsliste.html?userId=136960720", "Link")</f>
        <v/>
      </c>
      <c r="K2043" s="7" t="n">
        <v>45549.57496527778</v>
      </c>
      <c r="L2043" s="3" t="inlineStr">
        <is>
          <t>26.08</t>
        </is>
      </c>
      <c r="M2043" t="inlineStr">
        <is>
          <t>Bonndorf</t>
        </is>
      </c>
    </row>
    <row r="2044">
      <c r="A2044" t="inlineStr">
        <is>
          <t>Surfbrett Surfboard Hülle Schutzhülle Boardbag Neilpryde 295</t>
        </is>
      </c>
      <c r="B2044" s="4" t="n">
        <v>40</v>
      </c>
      <c r="C2044" t="inlineStr"/>
      <c r="D2044" t="inlineStr">
        <is>
          <t>71254 Baden-Württemberg - Ditzingen</t>
        </is>
      </c>
      <c r="E2044" s="5" t="n">
        <v>45538</v>
      </c>
      <c r="F2044" t="inlineStr"/>
      <c r="G2044" s="6">
        <f>HYPERLINK("https://www.kleinanzeigen.de/s-anzeige/surfbrett-surfboard-huelle-schutzhuelle-boardbag-neilpryde-295/2853260490-230-8865", "Link")</f>
        <v/>
      </c>
      <c r="H2044" s="6">
        <f>HYPERLINK("C:\Projects\Kleinanzeigen-Scraper\offer_images\2853260490", "Link")</f>
        <v/>
      </c>
      <c r="I2044" t="inlineStr">
        <is>
          <t>Johannes Gaechter</t>
        </is>
      </c>
      <c r="J2044" s="6">
        <f>HYPERLINK("https://www.kleinanzeigen.de/s-bestandsliste.html?userId=2640764", "Link")</f>
        <v/>
      </c>
      <c r="K2044" s="7" t="n">
        <v>45549.57494212963</v>
      </c>
      <c r="L2044" s="3" t="inlineStr">
        <is>
          <t>18.57</t>
        </is>
      </c>
      <c r="M2044" t="inlineStr">
        <is>
          <t>Böblingen</t>
        </is>
      </c>
    </row>
    <row r="2045">
      <c r="A2045" t="inlineStr">
        <is>
          <t>EA Seemanns Künstlermappe 27 Goya</t>
        </is>
      </c>
      <c r="B2045" s="4" t="n">
        <v>20</v>
      </c>
      <c r="C2045" t="inlineStr"/>
      <c r="D2045" t="inlineStr">
        <is>
          <t>94538 Bayern - Fürstenstein</t>
        </is>
      </c>
      <c r="E2045" s="5" t="n">
        <v>45308</v>
      </c>
      <c r="F2045" t="inlineStr"/>
      <c r="G2045" s="6">
        <f>HYPERLINK("https://www.kleinanzeigen.de/s-anzeige/ea-seemanns-kuenstlermappe-27-goya/2655290466-240-5804", "Link")</f>
        <v/>
      </c>
      <c r="H2045" s="6">
        <f>HYPERLINK("C:\Projects\Kleinanzeigen-Scraper\offer_images\2655290466", "Link")</f>
        <v/>
      </c>
      <c r="I2045" t="inlineStr">
        <is>
          <t>Astrid Seidl</t>
        </is>
      </c>
      <c r="J2045" s="6">
        <f>HYPERLINK("https://www.kleinanzeigen.de/s-bestandsliste.html?userId=7685537", "Link")</f>
        <v/>
      </c>
      <c r="K2045" s="7" t="n">
        <v>45549.57494212963</v>
      </c>
      <c r="L2045" s="3" t="inlineStr">
        <is>
          <t>144.78</t>
        </is>
      </c>
      <c r="M2045" t="inlineStr">
        <is>
          <t>München</t>
        </is>
      </c>
    </row>
    <row r="2046">
      <c r="A2046" t="inlineStr">
        <is>
          <t>Spiel Imperial Settlers Empire of the North</t>
        </is>
      </c>
      <c r="B2046" s="4" t="n">
        <v>15</v>
      </c>
      <c r="C2046" t="inlineStr"/>
      <c r="D2046" t="inlineStr">
        <is>
          <t>87666 Bayern - Pforzen</t>
        </is>
      </c>
      <c r="E2046" s="5" t="n">
        <v>45538</v>
      </c>
      <c r="F2046" t="inlineStr">
        <is>
          <t>Sold</t>
        </is>
      </c>
      <c r="G2046" s="6">
        <f>HYPERLINK("https://www.kleinanzeigen.de/s-anzeige/spiel-imperial-settlers-empire-of-the-north/2853123401-187-7276", "Link")</f>
        <v/>
      </c>
      <c r="H2046" s="6">
        <f>HYPERLINK("C:\Projects\Kleinanzeigen-Scraper\offer_images\2853123401", "Link")</f>
        <v/>
      </c>
      <c r="I2046" t="inlineStr">
        <is>
          <t>Tina</t>
        </is>
      </c>
      <c r="J2046" s="6">
        <f>HYPERLINK("https://www.kleinanzeigen.de/s-bestandsliste.html?userId=67494532", "Link")</f>
        <v/>
      </c>
      <c r="K2046" s="7" t="n">
        <v>45549.57494212963</v>
      </c>
      <c r="L2046" s="3" t="inlineStr">
        <is>
          <t>74.98</t>
        </is>
      </c>
      <c r="M2046" t="inlineStr">
        <is>
          <t>München</t>
        </is>
      </c>
    </row>
    <row r="2047">
      <c r="A2047" t="inlineStr">
        <is>
          <t>Naish Pivot S26 2022 12m Kite</t>
        </is>
      </c>
      <c r="B2047" s="4" t="n">
        <v>400</v>
      </c>
      <c r="C2047" t="inlineStr"/>
      <c r="D2047" t="inlineStr">
        <is>
          <t>80993 München - Moosach</t>
        </is>
      </c>
      <c r="E2047" s="5" t="n">
        <v>45535</v>
      </c>
      <c r="F2047" t="inlineStr">
        <is>
          <t>Sold</t>
        </is>
      </c>
      <c r="G2047" s="6">
        <f>HYPERLINK("https://www.kleinanzeigen.de/s-anzeige/naish-pivot-s26-2022-12m-kite/2850553994-230-6446", "Link")</f>
        <v/>
      </c>
      <c r="H2047" s="6">
        <f>HYPERLINK("C:\Projects\Kleinanzeigen-Scraper\offer_images\2850553994", "Link")</f>
        <v/>
      </c>
      <c r="I2047" t="inlineStr">
        <is>
          <t>Mark Schäfer</t>
        </is>
      </c>
      <c r="J2047" s="6">
        <f>HYPERLINK("https://www.kleinanzeigen.de/s-bestandsliste.html?userId=16374444", "Link")</f>
        <v/>
      </c>
      <c r="K2047" s="7" t="n">
        <v>45549.57494212963</v>
      </c>
      <c r="L2047" s="3" t="inlineStr">
        <is>
          <t>6.77</t>
        </is>
      </c>
      <c r="M2047" t="inlineStr">
        <is>
          <t>München</t>
        </is>
      </c>
    </row>
    <row r="2048">
      <c r="A2048" t="inlineStr">
        <is>
          <t>Kite Surf Ausrüstung Komplett North Mystic Cabrinha</t>
        </is>
      </c>
      <c r="B2048" s="4" t="n">
        <v>699</v>
      </c>
      <c r="C2048" t="inlineStr">
        <is>
          <t>VB</t>
        </is>
      </c>
      <c r="D2048" t="inlineStr">
        <is>
          <t>24148 Kiel - Ellerbek-Wellingdorf</t>
        </is>
      </c>
      <c r="E2048" s="5" t="n">
        <v>45549</v>
      </c>
      <c r="F2048" t="inlineStr">
        <is>
          <t>Sold</t>
        </is>
      </c>
      <c r="G2048" s="6">
        <f>HYPERLINK("https://www.kleinanzeigen.de/s-anzeige/kite-surf-ausruestung-komplett-north-mystic-cabrinha/2862911704-230-701", "Link")</f>
        <v/>
      </c>
      <c r="H2048" s="6">
        <f>HYPERLINK("C:\Projects\Kleinanzeigen-Scraper\offer_images\2862911704", "Link")</f>
        <v/>
      </c>
      <c r="I2048" t="inlineStr">
        <is>
          <t>Sven Möller</t>
        </is>
      </c>
      <c r="J2048" s="6">
        <f>HYPERLINK("https://www.kleinanzeigen.de/s-bestandsliste.html?userId=2464561", "Link")</f>
        <v/>
      </c>
      <c r="K2048" s="7" t="n">
        <v>45549.57494212963</v>
      </c>
      <c r="L2048" s="3" t="inlineStr">
        <is>
          <t>433.89</t>
        </is>
      </c>
      <c r="M2048" t="inlineStr">
        <is>
          <t>Köln</t>
        </is>
      </c>
    </row>
    <row r="2049">
      <c r="A2049" t="inlineStr">
        <is>
          <t>1:48 North American P-51 Mustang Diorama US Air Force WWII</t>
        </is>
      </c>
      <c r="B2049" s="4" t="n">
        <v>30</v>
      </c>
      <c r="C2049" t="inlineStr">
        <is>
          <t>VB</t>
        </is>
      </c>
      <c r="D2049" t="inlineStr">
        <is>
          <t>70734 Baden-Württemberg - Fellbach</t>
        </is>
      </c>
      <c r="E2049" s="5" t="n">
        <v>45540</v>
      </c>
      <c r="F2049" t="inlineStr">
        <is>
          <t>Sold</t>
        </is>
      </c>
      <c r="G2049" s="6">
        <f>HYPERLINK("https://www.kleinanzeigen.de/s-anzeige/1-48-north-american-p-51-mustang-diorama-us-air-force-wwii/2855358063-249-8888", "Link")</f>
        <v/>
      </c>
      <c r="H2049" s="6">
        <f>HYPERLINK("C:\Projects\Kleinanzeigen-Scraper\offer_images\2855358063", "Link")</f>
        <v/>
      </c>
      <c r="I2049" t="inlineStr">
        <is>
          <t>Alena</t>
        </is>
      </c>
      <c r="J2049" s="6">
        <f>HYPERLINK("https://www.kleinanzeigen.de/s-bestandsliste.html?userId=142227541", "Link")</f>
        <v/>
      </c>
      <c r="K2049" s="7" t="n">
        <v>45549.57491898148</v>
      </c>
      <c r="L2049" s="3" t="inlineStr">
        <is>
          <t>26.90</t>
        </is>
      </c>
      <c r="M2049" t="inlineStr">
        <is>
          <t>Böblingen</t>
        </is>
      </c>
    </row>
    <row r="2050">
      <c r="A2050" t="inlineStr">
        <is>
          <t>DUOTONE Dice 2019 7m² CC1:blue *Testkite*</t>
        </is>
      </c>
      <c r="B2050" s="4" t="n">
        <v>450</v>
      </c>
      <c r="C2050" t="inlineStr"/>
      <c r="D2050" t="inlineStr">
        <is>
          <t>17509 Mecklenburg-Vorpommern - Loissin</t>
        </is>
      </c>
      <c r="E2050" s="5" t="n">
        <v>45546</v>
      </c>
      <c r="F2050" t="inlineStr">
        <is>
          <t>Sold</t>
        </is>
      </c>
      <c r="G2050" s="6">
        <f>HYPERLINK("https://www.kleinanzeigen.de/s-anzeige/duotone-dice-2019-7m-cc1-blue-testkite-/2706826582-230-21340", "Link")</f>
        <v/>
      </c>
      <c r="H2050" s="6">
        <f>HYPERLINK("C:\Projects\Kleinanzeigen-Scraper\offer_images\2706826582", "Link")</f>
        <v/>
      </c>
      <c r="I2050" t="inlineStr">
        <is>
          <t>No user name</t>
        </is>
      </c>
      <c r="J2050" s="6">
        <f>HYPERLINK("https://www.kleinanzeigen.deNo user link", "Link")</f>
        <v/>
      </c>
      <c r="K2050" s="7" t="n">
        <v>45549.57491898148</v>
      </c>
      <c r="L2050" s="3" t="inlineStr">
        <is>
          <t>568.47</t>
        </is>
      </c>
      <c r="M2050" t="inlineStr">
        <is>
          <t>Köln</t>
        </is>
      </c>
    </row>
    <row r="2051">
      <c r="A2051" t="inlineStr">
        <is>
          <t>Starboard Frontwing 660 SLR2 Foil</t>
        </is>
      </c>
      <c r="B2051" s="4" t="n">
        <v>450</v>
      </c>
      <c r="C2051" t="inlineStr"/>
      <c r="D2051" t="inlineStr">
        <is>
          <t>87629 Bayern - Füssen</t>
        </is>
      </c>
      <c r="E2051" s="5" t="n">
        <v>45528</v>
      </c>
      <c r="F2051" t="inlineStr">
        <is>
          <t>Sold</t>
        </is>
      </c>
      <c r="G2051" s="6">
        <f>HYPERLINK("https://www.kleinanzeigen.de/s-anzeige/starboard-frontwing-660-slr2-foil/2845248081-230-6564", "Link")</f>
        <v/>
      </c>
      <c r="H2051" s="6">
        <f>HYPERLINK("C:\Projects\Kleinanzeigen-Scraper\offer_images\2845248081", "Link")</f>
        <v/>
      </c>
      <c r="I2051" t="inlineStr">
        <is>
          <t>Michael Sattler</t>
        </is>
      </c>
      <c r="J2051" s="6">
        <f>HYPERLINK("https://www.kleinanzeigen.de/s-bestandsliste.html?userId=5834114", "Link")</f>
        <v/>
      </c>
      <c r="K2051" s="7" t="n">
        <v>45549.57491898148</v>
      </c>
      <c r="L2051" s="3" t="inlineStr">
        <is>
          <t>92.19</t>
        </is>
      </c>
      <c r="M2051" t="inlineStr">
        <is>
          <t>München</t>
        </is>
      </c>
    </row>
    <row r="2052">
      <c r="A2052" t="inlineStr">
        <is>
          <t>Naish Apex Bindungen Sizes 5-12 2024</t>
        </is>
      </c>
      <c r="B2052" s="4" t="n">
        <v>150</v>
      </c>
      <c r="C2052" t="inlineStr"/>
      <c r="D2052" t="inlineStr">
        <is>
          <t>44797 Bochum - Bochum-Süd</t>
        </is>
      </c>
      <c r="E2052" s="5" t="n">
        <v>45492</v>
      </c>
      <c r="F2052" t="inlineStr">
        <is>
          <t>Sold</t>
        </is>
      </c>
      <c r="G2052" s="6">
        <f>HYPERLINK("https://www.kleinanzeigen.de/s-anzeige/naish-apex-bindungen-sizes-5-12-2024/2816156357-230-1950", "Link")</f>
        <v/>
      </c>
      <c r="H2052" s="6">
        <f>HYPERLINK("C:\Projects\Kleinanzeigen-Scraper\offer_images\2816156357", "Link")</f>
        <v/>
      </c>
      <c r="I2052" t="inlineStr">
        <is>
          <t>Barbara Schick</t>
        </is>
      </c>
      <c r="J2052" s="6">
        <f>HYPERLINK("https://www.kleinanzeigen.de/s-bestandsliste.html?userId=32712862", "Link")</f>
        <v/>
      </c>
      <c r="K2052" s="7" t="n">
        <v>45549.57491898148</v>
      </c>
      <c r="L2052" s="3" t="inlineStr">
        <is>
          <t>57.12</t>
        </is>
      </c>
      <c r="M2052" t="inlineStr">
        <is>
          <t>Köln</t>
        </is>
      </c>
    </row>
    <row r="2053">
      <c r="A2053" t="inlineStr">
        <is>
          <t>SIMMS Fishing Jacke -Shell Gore tex  Membrane- Grösse L</t>
        </is>
      </c>
      <c r="B2053" s="4" t="n">
        <v>265</v>
      </c>
      <c r="C2053" t="inlineStr">
        <is>
          <t>VB</t>
        </is>
      </c>
      <c r="D2053" t="inlineStr">
        <is>
          <t>58540 Nordrhein-Westfalen - Meinerzhagen</t>
        </is>
      </c>
      <c r="E2053" s="5" t="n">
        <v>45358</v>
      </c>
      <c r="F2053" t="inlineStr"/>
      <c r="G2053" s="6">
        <f>HYPERLINK("https://www.kleinanzeigen.de/s-anzeige/simms-fishing-jacke-shell-gore-tex-membrane-groesse-l/2699393919-230-1428", "Link")</f>
        <v/>
      </c>
      <c r="H2053" s="6">
        <f>HYPERLINK("C:\Projects\Kleinanzeigen-Scraper\offer_images\2699393919", "Link")</f>
        <v/>
      </c>
      <c r="I2053" t="inlineStr">
        <is>
          <t>E.G.</t>
        </is>
      </c>
      <c r="J2053" s="6">
        <f>HYPERLINK("https://www.kleinanzeigen.de/s-bestandsliste.html?userId=68247973", "Link")</f>
        <v/>
      </c>
      <c r="K2053" s="7" t="n">
        <v>45549.57489583334</v>
      </c>
      <c r="L2053" s="3" t="inlineStr">
        <is>
          <t>56.25</t>
        </is>
      </c>
      <c r="M2053" t="inlineStr">
        <is>
          <t>Köln</t>
        </is>
      </c>
    </row>
    <row r="2054">
      <c r="A2054" t="inlineStr">
        <is>
          <t>Rebel 9qm Kite - North jetzt Duotone</t>
        </is>
      </c>
      <c r="B2054" s="4" t="n">
        <v>390</v>
      </c>
      <c r="C2054" t="inlineStr">
        <is>
          <t>VB</t>
        </is>
      </c>
      <c r="D2054" t="inlineStr">
        <is>
          <t>41199 Nordrhein-Westfalen - Mönchengladbach</t>
        </is>
      </c>
      <c r="E2054" s="5" t="n">
        <v>45543</v>
      </c>
      <c r="F2054" t="inlineStr">
        <is>
          <t>Sold</t>
        </is>
      </c>
      <c r="G2054" s="6">
        <f>HYPERLINK("https://www.kleinanzeigen.de/s-anzeige/rebel-9qm-kite-north-jetzt-duotone/2857859023-230-1958", "Link")</f>
        <v/>
      </c>
      <c r="H2054" s="6">
        <f>HYPERLINK("C:\Projects\Kleinanzeigen-Scraper\offer_images\2857859023", "Link")</f>
        <v/>
      </c>
      <c r="I2054" t="inlineStr">
        <is>
          <t>JensMG</t>
        </is>
      </c>
      <c r="J2054" s="6">
        <f>HYPERLINK("https://www.kleinanzeigen.de/s-bestandsliste.html?userId=134933884", "Link")</f>
        <v/>
      </c>
      <c r="K2054" s="7" t="n">
        <v>45549.57489583334</v>
      </c>
      <c r="L2054" s="3" t="inlineStr">
        <is>
          <t>41.63</t>
        </is>
      </c>
      <c r="M2054" t="inlineStr">
        <is>
          <t>Köln</t>
        </is>
      </c>
    </row>
    <row r="2055">
      <c r="A2055" t="inlineStr">
        <is>
          <t>Vorzelt Luftvorzelt Isabella Cirrus North 400 mit Anbau rechts</t>
        </is>
      </c>
      <c r="B2055" s="4" t="n">
        <v>2.85</v>
      </c>
      <c r="C2055" t="inlineStr">
        <is>
          <t>VB</t>
        </is>
      </c>
      <c r="D2055" t="inlineStr">
        <is>
          <t>56253 Rheinland-Pfalz - Treis-Karden</t>
        </is>
      </c>
      <c r="E2055" s="5" t="n">
        <v>45548</v>
      </c>
      <c r="F2055" t="inlineStr">
        <is>
          <t>Sold</t>
        </is>
      </c>
      <c r="G2055" s="6">
        <f>HYPERLINK("https://www.kleinanzeigen.de/s-anzeige/vorzelt-luftvorzelt-isabella-cirrus-north-400-mit-anbau-rechts/2861882690-230-5003", "Link")</f>
        <v/>
      </c>
      <c r="H2055" s="6">
        <f>HYPERLINK("C:\Projects\Kleinanzeigen-Scraper\offer_images\2861882690", "Link")</f>
        <v/>
      </c>
      <c r="I2055" t="inlineStr">
        <is>
          <t>Jürgen Kindler</t>
        </is>
      </c>
      <c r="J2055" s="6">
        <f>HYPERLINK("https://www.kleinanzeigen.de/s-bestandsliste.html?userId=17570803", "Link")</f>
        <v/>
      </c>
      <c r="K2055" s="7" t="n">
        <v>45549.57488425926</v>
      </c>
      <c r="L2055" s="3" t="inlineStr">
        <is>
          <t>88.43</t>
        </is>
      </c>
      <c r="M2055" t="inlineStr">
        <is>
          <t>Köln</t>
        </is>
      </c>
    </row>
    <row r="2056">
      <c r="A2056" t="inlineStr">
        <is>
          <t>Solo Goya Acrylfarbe dunkelbraun 250 ml</t>
        </is>
      </c>
      <c r="B2056" s="4" t="n">
        <v>7</v>
      </c>
      <c r="C2056" t="inlineStr"/>
      <c r="D2056" t="inlineStr">
        <is>
          <t>77876 Baden-Württemberg - Kappelrodeck</t>
        </is>
      </c>
      <c r="E2056" s="5" t="n">
        <v>45209</v>
      </c>
      <c r="F2056" t="inlineStr"/>
      <c r="G2056" s="6">
        <f>HYPERLINK("https://www.kleinanzeigen.de/s-anzeige/solo-goya-acrylfarbe-dunkelbraun-250-ml/2569036234-282-8666", "Link")</f>
        <v/>
      </c>
      <c r="H2056" s="6">
        <f>HYPERLINK("C:\Projects\Kleinanzeigen-Scraper\offer_images\2569036234", "Link")</f>
        <v/>
      </c>
      <c r="I2056" t="inlineStr">
        <is>
          <t>Tanja</t>
        </is>
      </c>
      <c r="J2056" s="6">
        <f>HYPERLINK("https://www.kleinanzeigen.de/s-bestandsliste.html?userId=32588892", "Link")</f>
        <v/>
      </c>
      <c r="K2056" s="7" t="n">
        <v>45549.57487268518</v>
      </c>
      <c r="L2056" s="3" t="inlineStr">
        <is>
          <t>51.78</t>
        </is>
      </c>
      <c r="M2056" t="inlineStr">
        <is>
          <t>Karlsruhe</t>
        </is>
      </c>
    </row>
    <row r="2057">
      <c r="A2057" t="inlineStr">
        <is>
          <t>RRD WIND Wing Boom 5,5m</t>
        </is>
      </c>
      <c r="B2057" s="4" t="n">
        <v>800</v>
      </c>
      <c r="C2057" t="inlineStr">
        <is>
          <t>VB</t>
        </is>
      </c>
      <c r="D2057" t="inlineStr">
        <is>
          <t>18375 Darß - Born am Darß</t>
        </is>
      </c>
      <c r="E2057" s="5" t="n">
        <v>45547</v>
      </c>
      <c r="F2057" t="inlineStr">
        <is>
          <t>Sold</t>
        </is>
      </c>
      <c r="G2057" s="6">
        <f>HYPERLINK("https://www.kleinanzeigen.de/s-anzeige/rrd-wind-wing-boom-5-5m/2861329011-230-13567", "Link")</f>
        <v/>
      </c>
      <c r="H2057" s="6">
        <f>HYPERLINK("C:\Projects\Kleinanzeigen-Scraper\offer_images\2861329011", "Link")</f>
        <v/>
      </c>
      <c r="I2057" t="inlineStr">
        <is>
          <t>Marius</t>
        </is>
      </c>
      <c r="J2057" s="6">
        <f>HYPERLINK("https://www.kleinanzeigen.de/s-bestandsliste.html?userId=10762913", "Link")</f>
        <v/>
      </c>
      <c r="K2057" s="7" t="n">
        <v>45549.57487268518</v>
      </c>
      <c r="L2057" s="3" t="inlineStr">
        <is>
          <t>538.88</t>
        </is>
      </c>
      <c r="M2057" t="inlineStr">
        <is>
          <t>Köln</t>
        </is>
      </c>
    </row>
    <row r="2058">
      <c r="A2058" t="inlineStr">
        <is>
          <t>Acrylfarben Goya Solo Triton</t>
        </is>
      </c>
      <c r="B2058" s="4" t="n">
        <v>9</v>
      </c>
      <c r="C2058" t="inlineStr"/>
      <c r="D2058" t="inlineStr">
        <is>
          <t>41334 Nordrhein-Westfalen - Nettetal</t>
        </is>
      </c>
      <c r="E2058" s="5" t="n">
        <v>44983</v>
      </c>
      <c r="F2058" t="inlineStr"/>
      <c r="G2058" s="6">
        <f>HYPERLINK("https://www.kleinanzeigen.de/s-anzeige/acrylfarben-goya-solo-triton/2369391649-282-1182", "Link")</f>
        <v/>
      </c>
      <c r="H2058" s="6">
        <f>HYPERLINK("C:\Projects\Kleinanzeigen-Scraper\offer_images\2369391649", "Link")</f>
        <v/>
      </c>
      <c r="I2058" t="inlineStr">
        <is>
          <t>Daniela</t>
        </is>
      </c>
      <c r="J2058" s="6">
        <f>HYPERLINK("https://www.kleinanzeigen.de/s-bestandsliste.html?userId=8210286", "Link")</f>
        <v/>
      </c>
      <c r="K2058" s="7" t="n">
        <v>45549.57486111111</v>
      </c>
      <c r="L2058" s="3" t="inlineStr">
        <is>
          <t>64.20</t>
        </is>
      </c>
      <c r="M2058" t="inlineStr">
        <is>
          <t>Köln</t>
        </is>
      </c>
    </row>
    <row r="2059">
      <c r="A2059" t="inlineStr">
        <is>
          <t>Stand-Up-Paddle Set Fanatic Fly Air Premium 10.8 -neu-Sonderpreis</t>
        </is>
      </c>
      <c r="B2059" s="4" t="n">
        <v>520</v>
      </c>
      <c r="C2059" t="inlineStr"/>
      <c r="D2059" t="inlineStr">
        <is>
          <t>79114 Baden-Württemberg - Freiburg im Breisgau</t>
        </is>
      </c>
      <c r="E2059" s="5" t="n">
        <v>45532</v>
      </c>
      <c r="F2059" t="inlineStr">
        <is>
          <t>Sold</t>
        </is>
      </c>
      <c r="G2059" s="6">
        <f>HYPERLINK("https://www.kleinanzeigen.de/s-anzeige/stand-up-paddle-set-fanatic-fly-air-premium-10-8-neu-sonderpreis/2848252761-230-9367", "Link")</f>
        <v/>
      </c>
      <c r="H2059" s="6">
        <f>HYPERLINK("C:\Projects\Kleinanzeigen-Scraper\offer_images\2848252761", "Link")</f>
        <v/>
      </c>
      <c r="I2059" t="inlineStr">
        <is>
          <t>goofy, snowboarding ,SUP+more</t>
        </is>
      </c>
      <c r="J2059" s="6">
        <f>HYPERLINK("https://www.kleinanzeigen.de/s-bestandsliste.html?userId=74344460", "Link")</f>
        <v/>
      </c>
      <c r="K2059" s="7" t="n">
        <v>45549.57484953704</v>
      </c>
      <c r="L2059" s="3" t="inlineStr">
        <is>
          <t>44.06</t>
        </is>
      </c>
      <c r="M2059" t="inlineStr">
        <is>
          <t>Bonndorf</t>
        </is>
      </c>
    </row>
    <row r="2060">
      <c r="A2060" t="inlineStr">
        <is>
          <t>NEOPREN Surfanzug NEILPRYDE MISSION 5.4 FZ, MEN 52L aus 2023</t>
        </is>
      </c>
      <c r="B2060" s="4" t="n">
        <v>250</v>
      </c>
      <c r="C2060" t="inlineStr">
        <is>
          <t>VB</t>
        </is>
      </c>
      <c r="D2060" t="inlineStr">
        <is>
          <t>47918 Nordrhein-Westfalen - Tönisvorst</t>
        </is>
      </c>
      <c r="E2060" s="5" t="n">
        <v>45518</v>
      </c>
      <c r="F2060" t="inlineStr">
        <is>
          <t>Sold</t>
        </is>
      </c>
      <c r="G2060" s="6">
        <f>HYPERLINK("https://www.kleinanzeigen.de/s-anzeige/neopren-surfanzug-neilpryde-mission-5-4-fz-men-52l-aus-2023/2836793439-230-1121", "Link")</f>
        <v/>
      </c>
      <c r="H2060" s="6">
        <f>HYPERLINK("C:\Projects\Kleinanzeigen-Scraper\offer_images\2836793439", "Link")</f>
        <v/>
      </c>
      <c r="I2060" t="inlineStr">
        <is>
          <t>Ulrich Lufen</t>
        </is>
      </c>
      <c r="J2060" s="6">
        <f>HYPERLINK("https://www.kleinanzeigen.de/s-bestandsliste.html?userId=28551898", "Link")</f>
        <v/>
      </c>
      <c r="K2060" s="7" t="n">
        <v>45549.57484953704</v>
      </c>
      <c r="L2060" s="3" t="inlineStr">
        <is>
          <t>56.00</t>
        </is>
      </c>
      <c r="M2060" t="inlineStr">
        <is>
          <t>Köln</t>
        </is>
      </c>
    </row>
    <row r="2061">
      <c r="A2061" t="inlineStr">
        <is>
          <t>Duotone Rebel 9 2019</t>
        </is>
      </c>
      <c r="B2061" s="4" t="n">
        <v>499</v>
      </c>
      <c r="C2061" t="inlineStr"/>
      <c r="D2061" t="inlineStr">
        <is>
          <t>27777 Niedersachsen - Ganderkesee</t>
        </is>
      </c>
      <c r="E2061" s="5" t="n">
        <v>45539</v>
      </c>
      <c r="F2061" t="inlineStr">
        <is>
          <t>Sold</t>
        </is>
      </c>
      <c r="G2061" s="6">
        <f>HYPERLINK("https://www.kleinanzeigen.de/s-anzeige/duotone-rebel-9-2019/2854053395-230-2472", "Link")</f>
        <v/>
      </c>
      <c r="H2061" s="6">
        <f>HYPERLINK("C:\Projects\Kleinanzeigen-Scraper\offer_images\2854053395", "Link")</f>
        <v/>
      </c>
      <c r="I2061" t="inlineStr">
        <is>
          <t>Blume Pauly Gbr</t>
        </is>
      </c>
      <c r="J2061" s="6">
        <f>HYPERLINK("https://www.kleinanzeigen.de/s-bestandsliste.html?userId=83509711", "Link")</f>
        <v/>
      </c>
      <c r="K2061" s="7" t="n">
        <v>45549.57484953704</v>
      </c>
      <c r="L2061" s="3" t="inlineStr">
        <is>
          <t>258.92</t>
        </is>
      </c>
      <c r="M2061" t="inlineStr">
        <is>
          <t>Köln</t>
        </is>
      </c>
    </row>
    <row r="2062">
      <c r="A2062" t="inlineStr">
        <is>
          <t>DUOTONE Juice SS21 17m²  CC1 light grey *Testkite*</t>
        </is>
      </c>
      <c r="B2062" s="4" t="n">
        <v>1.287</v>
      </c>
      <c r="C2062" t="inlineStr"/>
      <c r="D2062" t="inlineStr">
        <is>
          <t>17509 Mecklenburg-Vorpommern - Loissin</t>
        </is>
      </c>
      <c r="E2062" s="5" t="n">
        <v>45547</v>
      </c>
      <c r="F2062" t="inlineStr">
        <is>
          <t>Sold</t>
        </is>
      </c>
      <c r="G2062" s="6">
        <f>HYPERLINK("https://www.kleinanzeigen.de/s-anzeige/duotone-juice-ss21-17m-cc1-light-grey-testkite-/2735356253-230-21340", "Link")</f>
        <v/>
      </c>
      <c r="H2062" s="6">
        <f>HYPERLINK("C:\Projects\Kleinanzeigen-Scraper\offer_images\2735356253", "Link")</f>
        <v/>
      </c>
      <c r="I2062" t="inlineStr">
        <is>
          <t>No user name</t>
        </is>
      </c>
      <c r="J2062" s="6">
        <f>HYPERLINK("https://www.kleinanzeigen.deNo user link", "Link")</f>
        <v/>
      </c>
      <c r="K2062" s="7" t="n">
        <v>45549.57483796297</v>
      </c>
      <c r="L2062" s="3" t="inlineStr">
        <is>
          <t>568.47</t>
        </is>
      </c>
      <c r="M2062" t="inlineStr">
        <is>
          <t>Köln</t>
        </is>
      </c>
    </row>
    <row r="2063">
      <c r="A2063" t="inlineStr">
        <is>
          <t>Neilpryde Foiltasche groß mit Rollen Neil Pryde Foil Bag</t>
        </is>
      </c>
      <c r="B2063" s="4" t="n">
        <v>75</v>
      </c>
      <c r="C2063" t="inlineStr">
        <is>
          <t>VB</t>
        </is>
      </c>
      <c r="D2063" t="inlineStr">
        <is>
          <t>55291 Rheinland-Pfalz - Saulheim</t>
        </is>
      </c>
      <c r="E2063" s="5" t="n">
        <v>45549</v>
      </c>
      <c r="F2063" t="inlineStr"/>
      <c r="G2063" s="6">
        <f>HYPERLINK("https://www.kleinanzeigen.de/s-anzeige/neilpryde-foiltasche-gross-mit-rollen-neil-pryde-foil-bag/2862820612-230-5332", "Link")</f>
        <v/>
      </c>
      <c r="H2063" s="6">
        <f>HYPERLINK("C:\Projects\Kleinanzeigen-Scraper\offer_images\2862820612", "Link")</f>
        <v/>
      </c>
      <c r="I2063" t="inlineStr">
        <is>
          <t>Michael</t>
        </is>
      </c>
      <c r="J2063" s="6">
        <f>HYPERLINK("https://www.kleinanzeigen.de/s-bestandsliste.html?userId=120338761", "Link")</f>
        <v/>
      </c>
      <c r="K2063" s="7" t="n">
        <v>45549.57483796297</v>
      </c>
      <c r="L2063" s="3" t="inlineStr">
        <is>
          <t>97.88</t>
        </is>
      </c>
      <c r="M2063" t="inlineStr">
        <is>
          <t>Karlsruhe</t>
        </is>
      </c>
    </row>
    <row r="2064">
      <c r="A2064" t="inlineStr">
        <is>
          <t>North Kiteboarding Juice 18m // Duotone</t>
        </is>
      </c>
      <c r="B2064" s="4" t="n">
        <v>625</v>
      </c>
      <c r="C2064" t="inlineStr">
        <is>
          <t>VB</t>
        </is>
      </c>
      <c r="D2064" t="inlineStr">
        <is>
          <t>21644 Niedersachsen - Sauensiek</t>
        </is>
      </c>
      <c r="E2064" s="5" t="n">
        <v>45538</v>
      </c>
      <c r="F2064" t="inlineStr">
        <is>
          <t>Sold</t>
        </is>
      </c>
      <c r="G2064" s="6">
        <f>HYPERLINK("https://www.kleinanzeigen.de/s-anzeige/north-kiteboarding-juice-18m-duotone/2853595529-230-3324", "Link")</f>
        <v/>
      </c>
      <c r="H2064" s="6">
        <f>HYPERLINK("C:\Projects\Kleinanzeigen-Scraper\offer_images\2853595529", "Link")</f>
        <v/>
      </c>
      <c r="I2064" t="inlineStr">
        <is>
          <t>Falko</t>
        </is>
      </c>
      <c r="J2064" s="6">
        <f>HYPERLINK("https://www.kleinanzeigen.de/s-bestandsliste.html?userId=22428653", "Link")</f>
        <v/>
      </c>
      <c r="K2064" s="7" t="n">
        <v>45549.57483796297</v>
      </c>
      <c r="L2064" s="3" t="inlineStr">
        <is>
          <t>326.61</t>
        </is>
      </c>
      <c r="M2064" t="inlineStr">
        <is>
          <t>Köln</t>
        </is>
      </c>
    </row>
    <row r="2065">
      <c r="A2065" t="inlineStr">
        <is>
          <t>Duotone Slick DLab 2023 6,5 QM Mini Platinum SLS Boom</t>
        </is>
      </c>
      <c r="B2065" s="4" t="n">
        <v>870</v>
      </c>
      <c r="C2065" t="inlineStr"/>
      <c r="D2065" t="inlineStr">
        <is>
          <t>66625 Saarland - Nohfelden</t>
        </is>
      </c>
      <c r="E2065" s="5" t="n">
        <v>45546</v>
      </c>
      <c r="F2065" t="inlineStr">
        <is>
          <t>Sold</t>
        </is>
      </c>
      <c r="G2065" s="6">
        <f>HYPERLINK("https://www.kleinanzeigen.de/s-anzeige/duotone-slick-dlab-2023-6-5-qm-mini-platinum-sls-boom/2860627911-230-317", "Link")</f>
        <v/>
      </c>
      <c r="H2065" s="6">
        <f>HYPERLINK("C:\Projects\Kleinanzeigen-Scraper\offer_images\2860627911", "Link")</f>
        <v/>
      </c>
      <c r="I2065" t="inlineStr">
        <is>
          <t>Zadach</t>
        </is>
      </c>
      <c r="J2065" s="6">
        <f>HYPERLINK("https://www.kleinanzeigen.de/s-bestandsliste.html?userId=7415040", "Link")</f>
        <v/>
      </c>
      <c r="K2065" s="7" t="n">
        <v>45549.57481481481</v>
      </c>
      <c r="L2065" s="3" t="inlineStr">
        <is>
          <t>113.60</t>
        </is>
      </c>
      <c r="M2065" t="inlineStr">
        <is>
          <t>Karlsruhe</t>
        </is>
      </c>
    </row>
    <row r="2066">
      <c r="A2066" t="inlineStr">
        <is>
          <t>Fishpond Thunderhead Rod Reel Case EcoShale Orvis Simms Patagonia</t>
        </is>
      </c>
      <c r="B2066" s="4" t="n">
        <v>180</v>
      </c>
      <c r="C2066" t="inlineStr"/>
      <c r="D2066" t="inlineStr">
        <is>
          <t>33428 Nordrhein-Westfalen - Harsewinkel - Marienfeld</t>
        </is>
      </c>
      <c r="E2066" s="5" t="n">
        <v>45520</v>
      </c>
      <c r="F2066" t="inlineStr">
        <is>
          <t>Sold</t>
        </is>
      </c>
      <c r="G2066" s="6">
        <f>HYPERLINK("https://www.kleinanzeigen.de/s-anzeige/fishpond-thunderhead-rod-reel-case-ecoshale-orvis-simms-patagonia/2837999441-230-1598", "Link")</f>
        <v/>
      </c>
      <c r="H2066" s="6">
        <f>HYPERLINK("C:\Projects\Kleinanzeigen-Scraper\offer_images\2837999441", "Link")</f>
        <v/>
      </c>
      <c r="I2066" t="inlineStr">
        <is>
          <t>Fab</t>
        </is>
      </c>
      <c r="J2066" s="6">
        <f>HYPERLINK("https://www.kleinanzeigen.de/s-bestandsliste.html?userId=52984862", "Link")</f>
        <v/>
      </c>
      <c r="K2066" s="7" t="n">
        <v>45549.57481481481</v>
      </c>
      <c r="L2066" s="3" t="inlineStr">
        <is>
          <t>142.54</t>
        </is>
      </c>
      <c r="M2066" t="inlineStr">
        <is>
          <t>Köln</t>
        </is>
      </c>
    </row>
    <row r="2067">
      <c r="A2067" t="inlineStr">
        <is>
          <t>DUOTONE 21 NEO 12qm Kite - Top Zustand</t>
        </is>
      </c>
      <c r="B2067" s="4" t="n">
        <v>630</v>
      </c>
      <c r="C2067" t="inlineStr"/>
      <c r="D2067" t="inlineStr">
        <is>
          <t>25746 Dithmarschen - Heide</t>
        </is>
      </c>
      <c r="E2067" s="5" t="n">
        <v>45548</v>
      </c>
      <c r="F2067" t="inlineStr">
        <is>
          <t>Sold</t>
        </is>
      </c>
      <c r="G2067" s="6">
        <f>HYPERLINK("https://www.kleinanzeigen.de/s-anzeige/duotone-21-neo-12qm-kite-top-zustand/2862316953-230-855", "Link")</f>
        <v/>
      </c>
      <c r="H2067" s="6">
        <f>HYPERLINK("C:\Projects\Kleinanzeigen-Scraper\offer_images\2862316953", "Link")</f>
        <v/>
      </c>
      <c r="I2067" t="inlineStr">
        <is>
          <t>Jesse E.</t>
        </is>
      </c>
      <c r="J2067" s="6">
        <f>HYPERLINK("https://www.kleinanzeigen.de/s-bestandsliste.html?userId=42799424", "Link")</f>
        <v/>
      </c>
      <c r="K2067" s="7" t="n">
        <v>45549.57481481481</v>
      </c>
      <c r="L2067" s="3" t="inlineStr">
        <is>
          <t>389.26</t>
        </is>
      </c>
      <c r="M2067" t="inlineStr">
        <is>
          <t>Köln</t>
        </is>
      </c>
    </row>
    <row r="2068">
      <c r="A2068" t="inlineStr">
        <is>
          <t>Kitesurf , Kiteschirm North Vegas 8m Inkl. Bar</t>
        </is>
      </c>
      <c r="B2068" s="4" t="n">
        <v>420</v>
      </c>
      <c r="C2068" t="inlineStr"/>
      <c r="D2068" t="inlineStr">
        <is>
          <t>71549 Baden-Württemberg - Auenwald</t>
        </is>
      </c>
      <c r="E2068" s="5" t="n">
        <v>45543</v>
      </c>
      <c r="F2068" t="inlineStr">
        <is>
          <t>Sold</t>
        </is>
      </c>
      <c r="G2068" s="6">
        <f>HYPERLINK("https://www.kleinanzeigen.de/s-anzeige/kitesurf-kiteschirm-north-vegas-8m-inkl-bar/2857529804-230-20234", "Link")</f>
        <v/>
      </c>
      <c r="H2068" s="6">
        <f>HYPERLINK("C:\Projects\Kleinanzeigen-Scraper\offer_images\2857529804", "Link")</f>
        <v/>
      </c>
      <c r="I2068" t="inlineStr">
        <is>
          <t>Sam</t>
        </is>
      </c>
      <c r="J2068" s="6">
        <f>HYPERLINK("https://www.kleinanzeigen.de/s-bestandsliste.html?userId=91227219", "Link")</f>
        <v/>
      </c>
      <c r="K2068" s="7" t="n">
        <v>45549.57479166667</v>
      </c>
      <c r="L2068" s="3" t="inlineStr">
        <is>
          <t>49.16</t>
        </is>
      </c>
      <c r="M2068" t="inlineStr">
        <is>
          <t>Böblingen</t>
        </is>
      </c>
    </row>
    <row r="2069">
      <c r="A2069" t="inlineStr">
        <is>
          <t>Großes Zelt The North Face</t>
        </is>
      </c>
      <c r="B2069" s="4" t="n">
        <v>250</v>
      </c>
      <c r="C2069" t="inlineStr"/>
      <c r="D2069" t="inlineStr">
        <is>
          <t>72124 Baden-Württemberg - Pliezhausen</t>
        </is>
      </c>
      <c r="E2069" s="5" t="n">
        <v>45546</v>
      </c>
      <c r="F2069" t="inlineStr">
        <is>
          <t>Sold</t>
        </is>
      </c>
      <c r="G2069" s="6">
        <f>HYPERLINK("https://www.kleinanzeigen.de/s-anzeige/grosses-zelt-the-north-face/2860533407-230-7988", "Link")</f>
        <v/>
      </c>
      <c r="H2069" s="6">
        <f>HYPERLINK("C:\Projects\Kleinanzeigen-Scraper\offer_images\2860533407", "Link")</f>
        <v/>
      </c>
      <c r="I2069" t="inlineStr">
        <is>
          <t>Patrizia</t>
        </is>
      </c>
      <c r="J2069" s="6">
        <f>HYPERLINK("https://www.kleinanzeigen.de/s-bestandsliste.html?userId=37223221", "Link")</f>
        <v/>
      </c>
      <c r="K2069" s="7" t="n">
        <v>45549.57479166667</v>
      </c>
      <c r="L2069" s="3" t="inlineStr">
        <is>
          <t>19.26</t>
        </is>
      </c>
      <c r="M2069" t="inlineStr">
        <is>
          <t>Böblingen</t>
        </is>
      </c>
    </row>
    <row r="2070">
      <c r="A2070" t="inlineStr">
        <is>
          <t>Duotone Unit 5,0 2022</t>
        </is>
      </c>
      <c r="B2070" s="4" t="n">
        <v>395</v>
      </c>
      <c r="C2070" t="inlineStr"/>
      <c r="D2070" t="inlineStr">
        <is>
          <t>24247 Schleswig-Holstein - Mielkendorf</t>
        </is>
      </c>
      <c r="E2070" s="5" t="n">
        <v>45548</v>
      </c>
      <c r="F2070" t="inlineStr">
        <is>
          <t>Sold</t>
        </is>
      </c>
      <c r="G2070" s="6">
        <f>HYPERLINK("https://www.kleinanzeigen.de/s-anzeige/duotone-unit-5-0-2022/2861912366-230-18216", "Link")</f>
        <v/>
      </c>
      <c r="H2070" s="6">
        <f>HYPERLINK("C:\Projects\Kleinanzeigen-Scraper\offer_images\2861912366", "Link")</f>
        <v/>
      </c>
      <c r="I2070" t="inlineStr">
        <is>
          <t>Ulf</t>
        </is>
      </c>
      <c r="J2070" s="6">
        <f>HYPERLINK("https://www.kleinanzeigen.de/s-bestandsliste.html?userId=6449701", "Link")</f>
        <v/>
      </c>
      <c r="K2070" s="7" t="n">
        <v>45549.57479166667</v>
      </c>
      <c r="L2070" s="3" t="inlineStr">
        <is>
          <t>426.37</t>
        </is>
      </c>
      <c r="M2070" t="inlineStr">
        <is>
          <t>Köln</t>
        </is>
      </c>
    </row>
    <row r="2071">
      <c r="A2071" t="inlineStr">
        <is>
          <t>Vintage tabou Crosslauf CSL Neuf-Brisach Trikot Shirt Gr.M rot</t>
        </is>
      </c>
      <c r="B2071" s="4" t="n">
        <v>19</v>
      </c>
      <c r="C2071" t="inlineStr"/>
      <c r="D2071" t="inlineStr">
        <is>
          <t>74363 Baden-Württemberg - Güglingen</t>
        </is>
      </c>
      <c r="E2071" s="5" t="n">
        <v>45085</v>
      </c>
      <c r="F2071" t="inlineStr"/>
      <c r="G2071" s="6">
        <f>HYPERLINK("https://www.kleinanzeigen.de/s-anzeige/vintage-tabou-crosslauf-csl-neuf-brisach-trikot-shirt-gr-m-rot/2462988917-230-8775", "Link")</f>
        <v/>
      </c>
      <c r="H2071" s="6">
        <f>HYPERLINK("C:\Projects\Kleinanzeigen-Scraper\offer_images\2462988917", "Link")</f>
        <v/>
      </c>
      <c r="I2071" t="inlineStr">
        <is>
          <t>Familie B.</t>
        </is>
      </c>
      <c r="J2071" s="6">
        <f>HYPERLINK("https://www.kleinanzeigen.de/s-bestandsliste.html?userId=86038928", "Link")</f>
        <v/>
      </c>
      <c r="K2071" s="7" t="n">
        <v>45549.57479166667</v>
      </c>
      <c r="L2071" s="3" t="inlineStr">
        <is>
          <t>43.83</t>
        </is>
      </c>
      <c r="M2071" t="inlineStr">
        <is>
          <t>Böblingen</t>
        </is>
      </c>
    </row>
    <row r="2072">
      <c r="A2072" t="inlineStr">
        <is>
          <t>Duotone Unit Wing 2023 4,5m²</t>
        </is>
      </c>
      <c r="B2072" s="4" t="n">
        <v>440</v>
      </c>
      <c r="C2072" t="inlineStr">
        <is>
          <t>VB</t>
        </is>
      </c>
      <c r="D2072" t="inlineStr">
        <is>
          <t>22946 Schleswig-Holstein - Trittau</t>
        </is>
      </c>
      <c r="E2072" s="5" t="n">
        <v>45541</v>
      </c>
      <c r="F2072" t="inlineStr">
        <is>
          <t>Sold</t>
        </is>
      </c>
      <c r="G2072" s="6">
        <f>HYPERLINK("https://www.kleinanzeigen.de/s-anzeige/duotone-unit-wing-2023-4-5m-/2855493902-230-753", "Link")</f>
        <v/>
      </c>
      <c r="H2072" s="6">
        <f>HYPERLINK("C:\Projects\Kleinanzeigen-Scraper\offer_images\2855493902", "Link")</f>
        <v/>
      </c>
      <c r="I2072" t="inlineStr">
        <is>
          <t>HENDRIK</t>
        </is>
      </c>
      <c r="J2072" s="6">
        <f>HYPERLINK("https://www.kleinanzeigen.de/s-bestandsliste.html?userId=26255706", "Link")</f>
        <v/>
      </c>
      <c r="K2072" s="7" t="n">
        <v>45549.57479166667</v>
      </c>
      <c r="L2072" s="3" t="inlineStr">
        <is>
          <t>376.36</t>
        </is>
      </c>
      <c r="M2072" t="inlineStr">
        <is>
          <t>Köln</t>
        </is>
      </c>
    </row>
    <row r="2073">
      <c r="A2073" t="inlineStr">
        <is>
          <t>Duotone 2023/24 Neo D/Lab 7 qm</t>
        </is>
      </c>
      <c r="B2073" s="4" t="n">
        <v>1.43</v>
      </c>
      <c r="C2073" t="inlineStr"/>
      <c r="D2073" t="inlineStr">
        <is>
          <t>90451 Nürnberg (Mittelfr) - Aussenstadt-Sued</t>
        </is>
      </c>
      <c r="E2073" s="5" t="n">
        <v>45540</v>
      </c>
      <c r="F2073" t="inlineStr">
        <is>
          <t>Sold</t>
        </is>
      </c>
      <c r="G2073" s="6">
        <f>HYPERLINK("https://www.kleinanzeigen.de/s-anzeige/duotone-2023-24-neo-d-lab-7-qm/2854721550-230-6836", "Link")</f>
        <v/>
      </c>
      <c r="H2073" s="6">
        <f>HYPERLINK("C:\Projects\Kleinanzeigen-Scraper\offer_images\2854721550", "Link")</f>
        <v/>
      </c>
      <c r="I2073" t="inlineStr">
        <is>
          <t>No user name</t>
        </is>
      </c>
      <c r="J2073" s="6">
        <f>HYPERLINK("https://www.kleinanzeigen.deNo user link", "Link")</f>
        <v/>
      </c>
      <c r="K2073" s="7" t="n">
        <v>45549.57476851852</v>
      </c>
      <c r="L2073" s="3" t="inlineStr">
        <is>
          <t>145.92</t>
        </is>
      </c>
      <c r="M2073" t="inlineStr">
        <is>
          <t>München</t>
        </is>
      </c>
    </row>
    <row r="2074">
      <c r="A2074" t="inlineStr">
        <is>
          <t>Naish Bar ohne Leinen</t>
        </is>
      </c>
      <c r="B2074" s="4" t="n">
        <v>10</v>
      </c>
      <c r="C2074" t="inlineStr"/>
      <c r="D2074" t="inlineStr">
        <is>
          <t>23570 Lübeck - Travemünde</t>
        </is>
      </c>
      <c r="E2074" s="5" t="n">
        <v>45515</v>
      </c>
      <c r="F2074" t="inlineStr"/>
      <c r="G2074" s="6">
        <f>HYPERLINK("https://www.kleinanzeigen.de/s-anzeige/naish-bar-ohne-leinen/2834012597-230-24220", "Link")</f>
        <v/>
      </c>
      <c r="H2074" s="6">
        <f>HYPERLINK("C:\Projects\Kleinanzeigen-Scraper\offer_images\2834012597", "Link")</f>
        <v/>
      </c>
      <c r="I2074" t="inlineStr">
        <is>
          <t>Peter G.</t>
        </is>
      </c>
      <c r="J2074" s="6">
        <f>HYPERLINK("https://www.kleinanzeigen.de/s-bestandsliste.html?userId=11821674", "Link")</f>
        <v/>
      </c>
      <c r="K2074" s="7" t="n">
        <v>45549.57476851852</v>
      </c>
      <c r="L2074" s="3" t="inlineStr">
        <is>
          <t>427.31</t>
        </is>
      </c>
      <c r="M2074" t="inlineStr">
        <is>
          <t>Köln</t>
        </is>
      </c>
    </row>
    <row r="2075">
      <c r="A2075" t="inlineStr">
        <is>
          <t>RRD Religion MK8 2018 in 10,5qm Wavekite</t>
        </is>
      </c>
      <c r="B2075" s="4" t="n">
        <v>300</v>
      </c>
      <c r="C2075" t="inlineStr">
        <is>
          <t>VB</t>
        </is>
      </c>
      <c r="D2075" t="inlineStr">
        <is>
          <t>40477 Düsseldorf - Pempelfort</t>
        </is>
      </c>
      <c r="E2075" s="5" t="n">
        <v>45530</v>
      </c>
      <c r="F2075" t="inlineStr">
        <is>
          <t>Sold</t>
        </is>
      </c>
      <c r="G2075" s="6">
        <f>HYPERLINK("https://www.kleinanzeigen.de/s-anzeige/rrd-religion-mk8-2018-in-10-5qm-wavekite/2847242595-230-2082", "Link")</f>
        <v/>
      </c>
      <c r="H2075" s="6">
        <f>HYPERLINK("C:\Projects\Kleinanzeigen-Scraper\offer_images\2847242595", "Link")</f>
        <v/>
      </c>
      <c r="I2075" t="inlineStr">
        <is>
          <t>Julius L</t>
        </is>
      </c>
      <c r="J2075" s="6">
        <f>HYPERLINK("https://www.kleinanzeigen.de/s-bestandsliste.html?userId=21206247", "Link")</f>
        <v/>
      </c>
      <c r="K2075" s="7" t="n">
        <v>45549.57476851852</v>
      </c>
      <c r="L2075" s="3" t="inlineStr">
        <is>
          <t>35.36</t>
        </is>
      </c>
      <c r="M2075" t="inlineStr">
        <is>
          <t>Köln</t>
        </is>
      </c>
    </row>
    <row r="2076">
      <c r="A2076" t="inlineStr">
        <is>
          <t>++ Wing Naish Wing-Surfer Matador LT S26, Farbe orange, 4,0 qm ++</t>
        </is>
      </c>
      <c r="B2076" s="4" t="n">
        <v>260</v>
      </c>
      <c r="C2076" t="inlineStr">
        <is>
          <t>VB</t>
        </is>
      </c>
      <c r="D2076" t="inlineStr">
        <is>
          <t>90491 Bayern - Nürnberg (Mittelfr)</t>
        </is>
      </c>
      <c r="E2076" s="5" t="n">
        <v>45464</v>
      </c>
      <c r="F2076" t="inlineStr">
        <is>
          <t>Sold</t>
        </is>
      </c>
      <c r="G2076" s="6">
        <f>HYPERLINK("https://www.kleinanzeigen.de/s-anzeige/-wing-naish-wing-surfer-matador-lt-s26-farbe-orange-4-0-qm-/2793987132-230-18754", "Link")</f>
        <v/>
      </c>
      <c r="H2076" s="6">
        <f>HYPERLINK("C:\Projects\Kleinanzeigen-Scraper\offer_images\2793987132", "Link")</f>
        <v/>
      </c>
      <c r="I2076" t="inlineStr">
        <is>
          <t>Martin Kohl</t>
        </is>
      </c>
      <c r="J2076" s="6">
        <f>HYPERLINK("https://www.kleinanzeigen.de/s-bestandsliste.html?userId=23313932", "Link")</f>
        <v/>
      </c>
      <c r="K2076" s="7" t="n">
        <v>45549.57476851852</v>
      </c>
      <c r="L2076" s="3" t="inlineStr">
        <is>
          <t>151.82</t>
        </is>
      </c>
      <c r="M2076" t="inlineStr">
        <is>
          <t>München</t>
        </is>
      </c>
    </row>
    <row r="2077">
      <c r="A2077" t="inlineStr">
        <is>
          <t>Wasser Sport tauchen: NEILPRYDE-Neopren, Cressi</t>
        </is>
      </c>
      <c r="B2077" s="4" t="n">
        <v>10</v>
      </c>
      <c r="C2077" t="inlineStr">
        <is>
          <t>VB</t>
        </is>
      </c>
      <c r="D2077" t="inlineStr">
        <is>
          <t>45659 Nordrhein-Westfalen - Recklinghausen</t>
        </is>
      </c>
      <c r="E2077" s="5" t="n">
        <v>45447</v>
      </c>
      <c r="F2077" t="inlineStr">
        <is>
          <t>Sold</t>
        </is>
      </c>
      <c r="G2077" s="6">
        <f>HYPERLINK("https://www.kleinanzeigen.de/s-anzeige/wasser-sport-tauchen-neilpryde-neopren-cressi/2779730800-230-1988", "Link")</f>
        <v/>
      </c>
      <c r="H2077" s="6">
        <f>HYPERLINK("C:\Projects\Kleinanzeigen-Scraper\offer_images\2779730800", "Link")</f>
        <v/>
      </c>
      <c r="I2077" t="inlineStr">
        <is>
          <t>Klaus Kotsch</t>
        </is>
      </c>
      <c r="J2077" s="6">
        <f>HYPERLINK("https://www.kleinanzeigen.de/s-bestandsliste.html?userId=12623679", "Link")</f>
        <v/>
      </c>
      <c r="K2077" s="7" t="n">
        <v>45549.57474537037</v>
      </c>
      <c r="L2077" s="3" t="inlineStr">
        <is>
          <t>79.38</t>
        </is>
      </c>
      <c r="M2077" t="inlineStr">
        <is>
          <t>Köln</t>
        </is>
      </c>
    </row>
    <row r="2078">
      <c r="A2078" t="inlineStr">
        <is>
          <t>Kitesurfbrett Hero Naish</t>
        </is>
      </c>
      <c r="B2078" s="4" t="n">
        <v>150</v>
      </c>
      <c r="C2078" t="inlineStr">
        <is>
          <t>VB</t>
        </is>
      </c>
      <c r="D2078" t="inlineStr">
        <is>
          <t>65321 Hessen - Heidenrod</t>
        </is>
      </c>
      <c r="E2078" s="5" t="n">
        <v>45544</v>
      </c>
      <c r="F2078" t="inlineStr">
        <is>
          <t>Sold</t>
        </is>
      </c>
      <c r="G2078" s="6">
        <f>HYPERLINK("https://www.kleinanzeigen.de/s-anzeige/kitesurfbrett-hero-naish/2858695121-230-4919", "Link")</f>
        <v/>
      </c>
      <c r="H2078" s="6">
        <f>HYPERLINK("C:\Projects\Kleinanzeigen-Scraper\offer_images\2858695121", "Link")</f>
        <v/>
      </c>
      <c r="I2078" t="inlineStr">
        <is>
          <t>Daniel</t>
        </is>
      </c>
      <c r="J2078" s="6">
        <f>HYPERLINK("https://www.kleinanzeigen.de/s-bestandsliste.html?userId=33748842", "Link")</f>
        <v/>
      </c>
      <c r="K2078" s="7" t="n">
        <v>45549.57472222222</v>
      </c>
      <c r="L2078" s="3" t="inlineStr">
        <is>
          <t>109.24</t>
        </is>
      </c>
      <c r="M2078" t="inlineStr">
        <is>
          <t>Köln</t>
        </is>
      </c>
    </row>
    <row r="2079">
      <c r="A2079" t="inlineStr">
        <is>
          <t>Fußball Bild 50/60er Jahre Kreis Simmern Hunsrück</t>
        </is>
      </c>
      <c r="B2079" s="4" t="n">
        <v>5</v>
      </c>
      <c r="C2079" t="inlineStr"/>
      <c r="D2079" t="inlineStr">
        <is>
          <t>91781 Bayern - Weißenburg in Bayern</t>
        </is>
      </c>
      <c r="E2079" s="5" t="n">
        <v>45497</v>
      </c>
      <c r="F2079" t="inlineStr"/>
      <c r="G2079" s="6">
        <f>HYPERLINK("https://www.kleinanzeigen.de/s-anzeige/fussball-bild-50-60er-jahre-kreis-simmern-hunsrueck/2820076221-234-5862", "Link")</f>
        <v/>
      </c>
      <c r="H2079" s="6">
        <f>HYPERLINK("C:\Projects\Kleinanzeigen-Scraper\offer_images\2820076221", "Link")</f>
        <v/>
      </c>
      <c r="I2079" t="inlineStr">
        <is>
          <t>Moni</t>
        </is>
      </c>
      <c r="J2079" s="6">
        <f>HYPERLINK("https://www.kleinanzeigen.de/s-bestandsliste.html?userId=91182249", "Link")</f>
        <v/>
      </c>
      <c r="K2079" s="7" t="n">
        <v>45549.57472222222</v>
      </c>
      <c r="L2079" s="3" t="inlineStr">
        <is>
          <t>108.52</t>
        </is>
      </c>
      <c r="M2079" t="inlineStr">
        <is>
          <t>München</t>
        </is>
      </c>
    </row>
    <row r="2080">
      <c r="A2080" t="inlineStr">
        <is>
          <t>Neue Neopren Haube schwarz  M von RRD</t>
        </is>
      </c>
      <c r="B2080" s="4" t="n">
        <v>25</v>
      </c>
      <c r="C2080" t="inlineStr">
        <is>
          <t>VB</t>
        </is>
      </c>
      <c r="D2080" t="inlineStr">
        <is>
          <t>33659 Bielefeld - Senne</t>
        </is>
      </c>
      <c r="E2080" s="5" t="n">
        <v>45368</v>
      </c>
      <c r="F2080" t="inlineStr">
        <is>
          <t>Sold</t>
        </is>
      </c>
      <c r="G2080" s="6">
        <f>HYPERLINK("https://www.kleinanzeigen.de/s-anzeige/neue-neopren-haube-schwarz-m-von-rrd/2708472248-230-1057", "Link")</f>
        <v/>
      </c>
      <c r="H2080" s="6">
        <f>HYPERLINK("C:\Projects\Kleinanzeigen-Scraper\offer_images\2708472248", "Link")</f>
        <v/>
      </c>
      <c r="I2080" t="inlineStr">
        <is>
          <t>Linda M</t>
        </is>
      </c>
      <c r="J2080" s="6">
        <f>HYPERLINK("https://www.kleinanzeigen.de/s-bestandsliste.html?userId=18669590", "Link")</f>
        <v/>
      </c>
      <c r="K2080" s="7" t="n">
        <v>45549.57469907407</v>
      </c>
      <c r="L2080" s="3" t="inlineStr">
        <is>
          <t>156.75</t>
        </is>
      </c>
      <c r="M2080" t="inlineStr">
        <is>
          <t>Köln</t>
        </is>
      </c>
    </row>
    <row r="2081">
      <c r="A2081" t="inlineStr">
        <is>
          <t>Isabella Capri North A1050/G20 inkl. Carbon X Gestänge</t>
        </is>
      </c>
      <c r="B2081" s="4" t="n">
        <v>2.2</v>
      </c>
      <c r="C2081" t="inlineStr"/>
      <c r="D2081" t="inlineStr">
        <is>
          <t>45481 Nordrhein-Westfalen - Mülheim (Ruhr)</t>
        </is>
      </c>
      <c r="E2081" s="5" t="n">
        <v>45539</v>
      </c>
      <c r="F2081" t="inlineStr">
        <is>
          <t>Sold</t>
        </is>
      </c>
      <c r="G2081" s="6">
        <f>HYPERLINK("https://www.kleinanzeigen.de/s-anzeige/isabella-capri-north-a1050-g20-inkl-carbon-x-gestaenge/2673428040-230-2067", "Link")</f>
        <v/>
      </c>
      <c r="H2081" s="6">
        <f>HYPERLINK("C:\Projects\Kleinanzeigen-Scraper\offer_images\2673428040", "Link")</f>
        <v/>
      </c>
      <c r="I2081" t="inlineStr">
        <is>
          <t>No user name</t>
        </is>
      </c>
      <c r="J2081" s="6">
        <f>HYPERLINK("https://www.kleinanzeigen.deNo user link", "Link")</f>
        <v/>
      </c>
      <c r="K2081" s="7" t="n">
        <v>45549.57469907407</v>
      </c>
      <c r="L2081" s="3" t="inlineStr">
        <is>
          <t>50.45</t>
        </is>
      </c>
      <c r="M2081" t="inlineStr">
        <is>
          <t>Köln</t>
        </is>
      </c>
    </row>
    <row r="2082">
      <c r="A2082" t="inlineStr">
        <is>
          <t>Trockenanzug Starboard</t>
        </is>
      </c>
      <c r="B2082" s="4" t="n">
        <v>255</v>
      </c>
      <c r="C2082" t="inlineStr"/>
      <c r="D2082" t="inlineStr">
        <is>
          <t>82140 Bayern - Olching</t>
        </is>
      </c>
      <c r="E2082" s="5" t="n">
        <v>45536</v>
      </c>
      <c r="F2082" t="inlineStr"/>
      <c r="G2082" s="6">
        <f>HYPERLINK("https://www.kleinanzeigen.de/s-anzeige/trockenanzug-starboard/2851234478-230-5589", "Link")</f>
        <v/>
      </c>
      <c r="H2082" s="6">
        <f>HYPERLINK("C:\Projects\Kleinanzeigen-Scraper\offer_images\2851234478", "Link")</f>
        <v/>
      </c>
      <c r="I2082" t="inlineStr">
        <is>
          <t>S.G.</t>
        </is>
      </c>
      <c r="J2082" s="6">
        <f>HYPERLINK("https://www.kleinanzeigen.de/s-bestandsliste.html?userId=455763", "Link")</f>
        <v/>
      </c>
      <c r="K2082" s="7" t="n">
        <v>45549.57469907407</v>
      </c>
      <c r="L2082" s="3" t="inlineStr">
        <is>
          <t>18.66</t>
        </is>
      </c>
      <c r="M2082" t="inlineStr">
        <is>
          <t>München</t>
        </is>
      </c>
    </row>
    <row r="2083">
      <c r="A2083" t="inlineStr">
        <is>
          <t>Naish wingsurfer S26 3.6 qm neuwertig</t>
        </is>
      </c>
      <c r="B2083" s="4" t="n">
        <v>194</v>
      </c>
      <c r="C2083" t="inlineStr">
        <is>
          <t>VB</t>
        </is>
      </c>
      <c r="D2083" t="inlineStr">
        <is>
          <t>24161 Schleswig-Holstein - Altenholz</t>
        </is>
      </c>
      <c r="E2083" s="5" t="n">
        <v>45515</v>
      </c>
      <c r="F2083" t="inlineStr">
        <is>
          <t>Sold</t>
        </is>
      </c>
      <c r="G2083" s="6">
        <f>HYPERLINK("https://www.kleinanzeigen.de/s-anzeige/naish-wingsurfer-s26-3-6-qm-neuwertig/2834377481-230-10597", "Link")</f>
        <v/>
      </c>
      <c r="H2083" s="6">
        <f>HYPERLINK("C:\Projects\Kleinanzeigen-Scraper\offer_images\2834377481", "Link")</f>
        <v/>
      </c>
      <c r="I2083" t="inlineStr">
        <is>
          <t>Maren</t>
        </is>
      </c>
      <c r="J2083" s="6">
        <f>HYPERLINK("https://www.kleinanzeigen.de/s-bestandsliste.html?userId=26664814", "Link")</f>
        <v/>
      </c>
      <c r="K2083" s="7" t="n">
        <v>45549.57469907407</v>
      </c>
      <c r="L2083" s="3" t="inlineStr">
        <is>
          <t>439.33</t>
        </is>
      </c>
      <c r="M2083" t="inlineStr">
        <is>
          <t>Köln</t>
        </is>
      </c>
    </row>
    <row r="2084">
      <c r="A2084" t="inlineStr">
        <is>
          <t>Extrem warme Handschuhe von The North Face</t>
        </is>
      </c>
      <c r="B2084" s="4" t="n">
        <v>70</v>
      </c>
      <c r="C2084" t="inlineStr">
        <is>
          <t>VB</t>
        </is>
      </c>
      <c r="D2084" t="inlineStr">
        <is>
          <t>85551 Kr. München - Kirchheim bei München</t>
        </is>
      </c>
      <c r="E2084" s="5" t="n">
        <v>45537</v>
      </c>
      <c r="F2084" t="inlineStr">
        <is>
          <t>Sold</t>
        </is>
      </c>
      <c r="G2084" s="6">
        <f>HYPERLINK("https://www.kleinanzeigen.de/s-anzeige/extrem-warme-handschuhe-von-the-north-face/2852366516-230-5578", "Link")</f>
        <v/>
      </c>
      <c r="H2084" s="6">
        <f>HYPERLINK("C:\Projects\Kleinanzeigen-Scraper\offer_images\2852366516", "Link")</f>
        <v/>
      </c>
      <c r="I2084" t="inlineStr">
        <is>
          <t>P. Kaiser</t>
        </is>
      </c>
      <c r="J2084" s="6">
        <f>HYPERLINK("https://www.kleinanzeigen.de/s-bestandsliste.html?userId=26014368", "Link")</f>
        <v/>
      </c>
      <c r="K2084" s="7" t="n">
        <v>45549.57469907407</v>
      </c>
      <c r="L2084" s="3" t="inlineStr">
        <is>
          <t>13.82</t>
        </is>
      </c>
      <c r="M2084" t="inlineStr">
        <is>
          <t>München</t>
        </is>
      </c>
    </row>
    <row r="2085">
      <c r="A2085" t="inlineStr">
        <is>
          <t>Naish Poncho</t>
        </is>
      </c>
      <c r="B2085" s="4" t="n">
        <v>89</v>
      </c>
      <c r="C2085" t="inlineStr"/>
      <c r="D2085" t="inlineStr">
        <is>
          <t>24229 Schleswig-Holstein - Schwedeneck</t>
        </is>
      </c>
      <c r="E2085" s="5" t="n">
        <v>45548</v>
      </c>
      <c r="F2085" t="inlineStr"/>
      <c r="G2085" s="6">
        <f>HYPERLINK("https://www.kleinanzeigen.de/s-anzeige/naish-poncho/2862043819-230-17470", "Link")</f>
        <v/>
      </c>
      <c r="H2085" s="6">
        <f>HYPERLINK("C:\Projects\Kleinanzeigen-Scraper\offer_images\2862043819", "Link")</f>
        <v/>
      </c>
      <c r="I2085" t="inlineStr">
        <is>
          <t>Bernd</t>
        </is>
      </c>
      <c r="J2085" s="6">
        <f>HYPERLINK("https://www.kleinanzeigen.de/s-bestandsliste.html?userId=7833787", "Link")</f>
        <v/>
      </c>
      <c r="K2085" s="7" t="n">
        <v>45549.57469907407</v>
      </c>
      <c r="L2085" s="3" t="inlineStr">
        <is>
          <t>445.58</t>
        </is>
      </c>
      <c r="M2085" t="inlineStr">
        <is>
          <t>Köln</t>
        </is>
      </c>
    </row>
    <row r="2086">
      <c r="A2086" t="inlineStr">
        <is>
          <t>NPX Cult 5.3 Neoprenanzug Größe 98 - by Neilpryde</t>
        </is>
      </c>
      <c r="B2086" s="4" t="n">
        <v>65</v>
      </c>
      <c r="C2086" t="inlineStr">
        <is>
          <t>VB</t>
        </is>
      </c>
      <c r="D2086" t="inlineStr">
        <is>
          <t>47626 Nordrhein-Westfalen - Kevelaer</t>
        </is>
      </c>
      <c r="E2086" s="5" t="n">
        <v>45522</v>
      </c>
      <c r="F2086" t="inlineStr">
        <is>
          <t>Sold</t>
        </is>
      </c>
      <c r="G2086" s="6">
        <f>HYPERLINK("https://www.kleinanzeigen.de/s-anzeige/npx-cult-5-3-neoprenanzug-groesse-98-by-neilpryde/2839880846-230-1136", "Link")</f>
        <v/>
      </c>
      <c r="H2086" s="6">
        <f>HYPERLINK("C:\Projects\Kleinanzeigen-Scraper\offer_images\2839880846", "Link")</f>
        <v/>
      </c>
      <c r="I2086" t="inlineStr">
        <is>
          <t>Marcel Schreiner</t>
        </is>
      </c>
      <c r="J2086" s="6">
        <f>HYPERLINK("https://www.kleinanzeigen.de/s-bestandsliste.html?userId=8317428", "Link")</f>
        <v/>
      </c>
      <c r="K2086" s="7" t="n">
        <v>45549.57469907407</v>
      </c>
      <c r="L2086" s="3" t="inlineStr">
        <is>
          <t>85.35</t>
        </is>
      </c>
      <c r="M2086" t="inlineStr">
        <is>
          <t>Köln</t>
        </is>
      </c>
    </row>
    <row r="2087">
      <c r="A2087" t="inlineStr">
        <is>
          <t>Wing Duotone Echo 6qm mit boom</t>
        </is>
      </c>
      <c r="B2087" s="4" t="n">
        <v>449</v>
      </c>
      <c r="C2087" t="inlineStr"/>
      <c r="D2087" t="inlineStr">
        <is>
          <t>80538 Altstadt-Lehel - München/Lehel</t>
        </is>
      </c>
      <c r="E2087" s="5" t="n">
        <v>45543</v>
      </c>
      <c r="F2087" t="inlineStr">
        <is>
          <t>Sold</t>
        </is>
      </c>
      <c r="G2087" s="6">
        <f>HYPERLINK("https://www.kleinanzeigen.de/s-anzeige/wing-duotone-echo-6qm-mit-boom/2814504907-230-12894", "Link")</f>
        <v/>
      </c>
      <c r="H2087" s="6">
        <f>HYPERLINK("C:\Projects\Kleinanzeigen-Scraper\offer_images\2814504907", "Link")</f>
        <v/>
      </c>
      <c r="I2087" t="inlineStr">
        <is>
          <t>Struppe</t>
        </is>
      </c>
      <c r="J2087" s="6">
        <f>HYPERLINK("https://www.kleinanzeigen.de/s-bestandsliste.html?userId=21558895", "Link")</f>
        <v/>
      </c>
      <c r="K2087" s="7" t="n">
        <v>45549.5746875</v>
      </c>
      <c r="L2087" s="3" t="inlineStr">
        <is>
          <t>1.55</t>
        </is>
      </c>
      <c r="M2087" t="inlineStr">
        <is>
          <t>München</t>
        </is>
      </c>
    </row>
    <row r="2088">
      <c r="A2088" t="inlineStr">
        <is>
          <t>Neilpryde Neopren lang Surfanzug Hose Jacke</t>
        </is>
      </c>
      <c r="B2088" s="4" t="n">
        <v>30</v>
      </c>
      <c r="C2088" t="inlineStr"/>
      <c r="D2088" t="inlineStr">
        <is>
          <t>30163 Hannover - Vahrenwald-List</t>
        </is>
      </c>
      <c r="E2088" s="5" t="n">
        <v>45503</v>
      </c>
      <c r="F2088" t="inlineStr">
        <is>
          <t>Sold</t>
        </is>
      </c>
      <c r="G2088" s="6">
        <f>HYPERLINK("https://www.kleinanzeigen.de/s-anzeige/neilpryde-neopren-lang-surfanzug-hose-jacke/2825196105-230-3170", "Link")</f>
        <v/>
      </c>
      <c r="H2088" s="6">
        <f>HYPERLINK("C:\Projects\Kleinanzeigen-Scraper\offer_images\2825196105", "Link")</f>
        <v/>
      </c>
      <c r="I2088" t="inlineStr">
        <is>
          <t>Christian Heinrich</t>
        </is>
      </c>
      <c r="J2088" s="6">
        <f>HYPERLINK("https://www.kleinanzeigen.de/s-bestandsliste.html?userId=93457190", "Link")</f>
        <v/>
      </c>
      <c r="K2088" s="7" t="n">
        <v>45549.57467592593</v>
      </c>
      <c r="L2088" s="3" t="inlineStr">
        <is>
          <t>252.08</t>
        </is>
      </c>
      <c r="M2088" t="inlineStr">
        <is>
          <t>Köln</t>
        </is>
      </c>
    </row>
    <row r="2089">
      <c r="A2089" t="inlineStr">
        <is>
          <t>Duotone Dice SLS 11qm 2023 NEU</t>
        </is>
      </c>
      <c r="B2089" s="4" t="n">
        <v>950</v>
      </c>
      <c r="C2089" t="inlineStr">
        <is>
          <t>VB</t>
        </is>
      </c>
      <c r="D2089" t="inlineStr">
        <is>
          <t>20354 Eimsbüttel - Hamburg Rotherbaum</t>
        </is>
      </c>
      <c r="E2089" s="5" t="n">
        <v>45554</v>
      </c>
      <c r="F2089" t="inlineStr">
        <is>
          <t>Sold</t>
        </is>
      </c>
      <c r="G2089" s="6">
        <f>HYPERLINK("https://www.kleinanzeigen.de/s-anzeige/duotone-dice-sls-11qm-2023-neu/2854003575-230-16456", "Link")</f>
        <v/>
      </c>
      <c r="H2089" s="6">
        <f>HYPERLINK("C:\Projects\Kleinanzeigen-Scraper\offer_images\2854003575", "Link")</f>
        <v/>
      </c>
      <c r="I2089" t="inlineStr">
        <is>
          <t>Maik</t>
        </is>
      </c>
      <c r="J2089" s="6">
        <f>HYPERLINK("https://www.kleinanzeigen.de/s-bestandsliste.html?userId=14283910", "Link")</f>
        <v/>
      </c>
      <c r="K2089" s="7" t="n">
        <v>45549.57467592593</v>
      </c>
      <c r="L2089" s="3" t="inlineStr">
        <is>
          <t>357.37</t>
        </is>
      </c>
      <c r="M2089" t="inlineStr">
        <is>
          <t>Köln</t>
        </is>
      </c>
    </row>
    <row r="2090">
      <c r="A2090" t="inlineStr">
        <is>
          <t>Holztruhe ☆Unikat☆ handgeschnitztes Panorama von Simmern</t>
        </is>
      </c>
      <c r="B2090" s="4" t="n">
        <v>399</v>
      </c>
      <c r="C2090" t="inlineStr"/>
      <c r="D2090" t="inlineStr">
        <is>
          <t>55469 Rheinland-Pfalz - Simmern</t>
        </is>
      </c>
      <c r="E2090" s="5" t="n">
        <v>45472</v>
      </c>
      <c r="F2090" t="inlineStr">
        <is>
          <t>Sold</t>
        </is>
      </c>
      <c r="G2090" s="6">
        <f>HYPERLINK("https://www.kleinanzeigen.de/s-anzeige/holztruhe-unikat-handgeschnitztes-panorama-von-simmern/2800106818-240-20854", "Link")</f>
        <v/>
      </c>
      <c r="H2090" s="6">
        <f>HYPERLINK("C:\Projects\Kleinanzeigen-Scraper\offer_images\2800106818", "Link")</f>
        <v/>
      </c>
      <c r="I2090" t="inlineStr">
        <is>
          <t>Jürgen</t>
        </is>
      </c>
      <c r="J2090" s="6">
        <f>HYPERLINK("https://www.kleinanzeigen.de/s-bestandsliste.html?userId=141593145", "Link")</f>
        <v/>
      </c>
      <c r="K2090" s="7" t="n">
        <v>45549.57467592593</v>
      </c>
      <c r="L2090" s="3" t="inlineStr">
        <is>
          <t>113.56</t>
        </is>
      </c>
      <c r="M2090" t="inlineStr">
        <is>
          <t>Köln</t>
        </is>
      </c>
    </row>
    <row r="2091">
      <c r="A2091" t="inlineStr">
        <is>
          <t>Duotone Dice 9qm (2020)</t>
        </is>
      </c>
      <c r="B2091" s="4" t="n">
        <v>550</v>
      </c>
      <c r="C2091" t="inlineStr"/>
      <c r="D2091" t="inlineStr">
        <is>
          <t>24576 Schleswig-Holstein - Hitzhusen</t>
        </is>
      </c>
      <c r="E2091" s="5" t="n">
        <v>45547</v>
      </c>
      <c r="F2091" t="inlineStr">
        <is>
          <t>Sold</t>
        </is>
      </c>
      <c r="G2091" s="6">
        <f>HYPERLINK("https://www.kleinanzeigen.de/s-anzeige/duotone-dice-9qm-2020-/2861331011-230-27447", "Link")</f>
        <v/>
      </c>
      <c r="H2091" s="6">
        <f>HYPERLINK("C:\Projects\Kleinanzeigen-Scraper\offer_images\2861331011", "Link")</f>
        <v/>
      </c>
      <c r="I2091" t="inlineStr">
        <is>
          <t>Janina</t>
        </is>
      </c>
      <c r="J2091" s="6">
        <f>HYPERLINK("https://www.kleinanzeigen.de/s-bestandsliste.html?userId=22360925", "Link")</f>
        <v/>
      </c>
      <c r="K2091" s="7" t="n">
        <v>45549.57467592593</v>
      </c>
      <c r="L2091" s="3" t="inlineStr">
        <is>
          <t>384.10</t>
        </is>
      </c>
      <c r="M2091" t="inlineStr">
        <is>
          <t>Köln</t>
        </is>
      </c>
    </row>
    <row r="2092">
      <c r="A2092" t="inlineStr">
        <is>
          <t>Kite Naish Bar Torque ATB</t>
        </is>
      </c>
      <c r="B2092" s="4" t="n">
        <v>135</v>
      </c>
      <c r="C2092" t="inlineStr"/>
      <c r="D2092" t="inlineStr">
        <is>
          <t>21220 Niedersachsen - Seevetal</t>
        </is>
      </c>
      <c r="E2092" s="5" t="n">
        <v>45533</v>
      </c>
      <c r="F2092" t="inlineStr">
        <is>
          <t>Sold</t>
        </is>
      </c>
      <c r="G2092" s="6">
        <f>HYPERLINK("https://www.kleinanzeigen.de/s-anzeige/kite-naish-bar-torque-atb/2849466910-230-2813", "Link")</f>
        <v/>
      </c>
      <c r="H2092" s="6">
        <f>HYPERLINK("C:\Projects\Kleinanzeigen-Scraper\offer_images\2849466910", "Link")</f>
        <v/>
      </c>
      <c r="I2092" t="inlineStr">
        <is>
          <t>Ron Barck</t>
        </is>
      </c>
      <c r="J2092" s="6">
        <f>HYPERLINK("https://www.kleinanzeigen.de/s-bestandsliste.html?userId=14537943", "Link")</f>
        <v/>
      </c>
      <c r="K2092" s="7" t="n">
        <v>45549.57465277778</v>
      </c>
      <c r="L2092" s="3" t="inlineStr">
        <is>
          <t>342.14</t>
        </is>
      </c>
      <c r="M2092" t="inlineStr">
        <is>
          <t>Köln</t>
        </is>
      </c>
    </row>
    <row r="2093">
      <c r="A2093" t="inlineStr">
        <is>
          <t>Naish Phoenix</t>
        </is>
      </c>
      <c r="B2093" s="4" t="n">
        <v>490</v>
      </c>
      <c r="C2093" t="inlineStr">
        <is>
          <t>VB</t>
        </is>
      </c>
      <c r="D2093" t="inlineStr">
        <is>
          <t>97424 Bayern - Schweinfurt</t>
        </is>
      </c>
      <c r="E2093" s="5" t="n">
        <v>45528</v>
      </c>
      <c r="F2093" t="inlineStr"/>
      <c r="G2093" s="6">
        <f>HYPERLINK("https://www.kleinanzeigen.de/s-anzeige/naish-phoenix/2845165339-230-6860", "Link")</f>
        <v/>
      </c>
      <c r="H2093" s="6">
        <f>HYPERLINK("C:\Projects\Kleinanzeigen-Scraper\offer_images\2845165339", "Link")</f>
        <v/>
      </c>
      <c r="I2093" t="inlineStr">
        <is>
          <t>Kevin Manz</t>
        </is>
      </c>
      <c r="J2093" s="6">
        <f>HYPERLINK("https://www.kleinanzeigen.de/s-bestandsliste.html?userId=69118519", "Link")</f>
        <v/>
      </c>
      <c r="K2093" s="7" t="n">
        <v>45549.57465277778</v>
      </c>
      <c r="L2093" s="3" t="inlineStr">
        <is>
          <t>174.01</t>
        </is>
      </c>
      <c r="M2093" t="inlineStr">
        <is>
          <t>Karlsruhe</t>
        </is>
      </c>
    </row>
    <row r="2094">
      <c r="A2094" t="inlineStr">
        <is>
          <t>North Carve 11m, 2020 Kite</t>
        </is>
      </c>
      <c r="B2094" s="4" t="n">
        <v>450</v>
      </c>
      <c r="C2094" t="inlineStr">
        <is>
          <t>VB</t>
        </is>
      </c>
      <c r="D2094" t="inlineStr">
        <is>
          <t>50679 Innenstadt - Köln Deutz</t>
        </is>
      </c>
      <c r="E2094" s="5" t="n">
        <v>45546</v>
      </c>
      <c r="F2094" t="inlineStr">
        <is>
          <t>Sold</t>
        </is>
      </c>
      <c r="G2094" s="6">
        <f>HYPERLINK("https://www.kleinanzeigen.de/s-anzeige/north-carve-11m-2020-kite/2860141830-230-988", "Link")</f>
        <v/>
      </c>
      <c r="H2094" s="6">
        <f>HYPERLINK("C:\Projects\Kleinanzeigen-Scraper\offer_images\2860141830", "Link")</f>
        <v/>
      </c>
      <c r="I2094" t="inlineStr">
        <is>
          <t>Paul</t>
        </is>
      </c>
      <c r="J2094" s="6">
        <f>HYPERLINK("https://www.kleinanzeigen.de/s-bestandsliste.html?userId=28811563", "Link")</f>
        <v/>
      </c>
      <c r="K2094" s="7" t="n">
        <v>45549.5746412037</v>
      </c>
      <c r="L2094" s="3" t="inlineStr">
        <is>
          <t>1.61</t>
        </is>
      </c>
      <c r="M2094" t="inlineStr">
        <is>
          <t>Köln</t>
        </is>
      </c>
    </row>
    <row r="2095">
      <c r="A2095" t="inlineStr">
        <is>
          <t>SUP Trockenanzug Starboard ALLSTAR Drysuit Women  Monarchy NEU</t>
        </is>
      </c>
      <c r="B2095" s="4" t="n">
        <v>399</v>
      </c>
      <c r="C2095" t="inlineStr"/>
      <c r="D2095" t="inlineStr">
        <is>
          <t>86441 Bayern - Zusmarshausen</t>
        </is>
      </c>
      <c r="E2095" s="5" t="n">
        <v>45522</v>
      </c>
      <c r="F2095" t="inlineStr"/>
      <c r="G2095" s="6">
        <f>HYPERLINK("https://www.kleinanzeigen.de/s-anzeige/sup-trockenanzug-starboard-allstar-drysuit-women-monarchy-neu/2840104654-230-7060", "Link")</f>
        <v/>
      </c>
      <c r="H2095" s="6">
        <f>HYPERLINK("C:\Projects\Kleinanzeigen-Scraper\offer_images\2840104654", "Link")</f>
        <v/>
      </c>
      <c r="I2095" t="inlineStr">
        <is>
          <t>Privat</t>
        </is>
      </c>
      <c r="J2095" s="6">
        <f>HYPERLINK("https://www.kleinanzeigen.de/s-bestandsliste.html?userId=87123277", "Link")</f>
        <v/>
      </c>
      <c r="K2095" s="7" t="n">
        <v>45549.57462962963</v>
      </c>
      <c r="L2095" s="3" t="inlineStr">
        <is>
          <t>78.44</t>
        </is>
      </c>
      <c r="M2095" t="inlineStr">
        <is>
          <t>München</t>
        </is>
      </c>
    </row>
    <row r="2096">
      <c r="A2096" t="inlineStr">
        <is>
          <t>Naish Apex Bindung Footpads Kiteboard neuwertig</t>
        </is>
      </c>
      <c r="B2096" s="4" t="n">
        <v>168</v>
      </c>
      <c r="C2096" t="inlineStr"/>
      <c r="D2096" t="inlineStr">
        <is>
          <t>41066 Nordrhein-Westfalen - Mönchengladbach</t>
        </is>
      </c>
      <c r="E2096" s="5" t="n">
        <v>45532</v>
      </c>
      <c r="F2096" t="inlineStr">
        <is>
          <t>Sold</t>
        </is>
      </c>
      <c r="G2096" s="6">
        <f>HYPERLINK("https://www.kleinanzeigen.de/s-anzeige/naish-apex-bindung-footpads-kiteboard-neuwertig/2848770408-230-1968", "Link")</f>
        <v/>
      </c>
      <c r="H2096" s="6">
        <f>HYPERLINK("C:\Projects\Kleinanzeigen-Scraper\offer_images\2848770408", "Link")</f>
        <v/>
      </c>
      <c r="I2096" t="inlineStr">
        <is>
          <t>Uli</t>
        </is>
      </c>
      <c r="J2096" s="6">
        <f>HYPERLINK("https://www.kleinanzeigen.de/s-bestandsliste.html?userId=24773790", "Link")</f>
        <v/>
      </c>
      <c r="K2096" s="7" t="n">
        <v>45549.57461805556</v>
      </c>
      <c r="L2096" s="3" t="inlineStr">
        <is>
          <t>46.71</t>
        </is>
      </c>
      <c r="M2096" t="inlineStr">
        <is>
          <t>Köln</t>
        </is>
      </c>
    </row>
    <row r="2097">
      <c r="A2097" t="inlineStr">
        <is>
          <t>Duotone Evo SLS / 2023// 11qm - wie neu! 3 Monate alt</t>
        </is>
      </c>
      <c r="B2097" s="4" t="n">
        <v>1.199</v>
      </c>
      <c r="C2097" t="inlineStr">
        <is>
          <t>VB</t>
        </is>
      </c>
      <c r="D2097" t="inlineStr">
        <is>
          <t>82239 Bayern - Alling</t>
        </is>
      </c>
      <c r="E2097" s="5" t="n">
        <v>45547</v>
      </c>
      <c r="F2097" t="inlineStr">
        <is>
          <t>Sold</t>
        </is>
      </c>
      <c r="G2097" s="6">
        <f>HYPERLINK("https://www.kleinanzeigen.de/s-anzeige/duotone-evo-sls-2023-11qm-wie-neu-3-monate-alt/2861228141-230-6354", "Link")</f>
        <v/>
      </c>
      <c r="H2097" s="6">
        <f>HYPERLINK("C:\Projects\Kleinanzeigen-Scraper\offer_images\2861228141", "Link")</f>
        <v/>
      </c>
      <c r="I2097" t="inlineStr">
        <is>
          <t>MO</t>
        </is>
      </c>
      <c r="J2097" s="6">
        <f>HYPERLINK("https://www.kleinanzeigen.de/s-bestandsliste.html?userId=16696145", "Link")</f>
        <v/>
      </c>
      <c r="K2097" s="7" t="n">
        <v>45549.57460648148</v>
      </c>
      <c r="L2097" s="3" t="inlineStr">
        <is>
          <t>20.29</t>
        </is>
      </c>
      <c r="M2097" t="inlineStr">
        <is>
          <t>München</t>
        </is>
      </c>
    </row>
    <row r="2098">
      <c r="A2098" t="inlineStr">
        <is>
          <t>Wing North Nova 4,2</t>
        </is>
      </c>
      <c r="B2098" s="4" t="n">
        <v>380</v>
      </c>
      <c r="C2098" t="inlineStr"/>
      <c r="D2098" t="inlineStr">
        <is>
          <t>16356 Brandenburg - Werneuchen</t>
        </is>
      </c>
      <c r="E2098" s="5" t="n">
        <v>45538</v>
      </c>
      <c r="F2098" t="inlineStr">
        <is>
          <t>Sold</t>
        </is>
      </c>
      <c r="G2098" s="6">
        <f>HYPERLINK("https://www.kleinanzeigen.de/s-anzeige/wing-north-nova-4-2/2853447893-230-3517", "Link")</f>
        <v/>
      </c>
      <c r="H2098" s="6">
        <f>HYPERLINK("C:\Projects\Kleinanzeigen-Scraper\offer_images\2853447893", "Link")</f>
        <v/>
      </c>
      <c r="I2098" t="inlineStr">
        <is>
          <t>Steffen Gerhardt</t>
        </is>
      </c>
      <c r="J2098" s="6">
        <f>HYPERLINK("https://www.kleinanzeigen.de/s-bestandsliste.html?userId=25461049", "Link")</f>
        <v/>
      </c>
      <c r="K2098" s="7" t="n">
        <v>45549.57460648148</v>
      </c>
      <c r="L2098" s="3" t="inlineStr">
        <is>
          <t>498.47</t>
        </is>
      </c>
      <c r="M2098" t="inlineStr">
        <is>
          <t>Köln</t>
        </is>
      </c>
    </row>
    <row r="2099">
      <c r="A2099" t="inlineStr">
        <is>
          <t>Insgesamt 19 Aquarell Farben 1/2 Napf Goya Watercolor inkl Kasten</t>
        </is>
      </c>
      <c r="B2099" s="4" t="n">
        <v>20</v>
      </c>
      <c r="C2099" t="inlineStr"/>
      <c r="D2099" t="inlineStr">
        <is>
          <t>86517 Bayern - Wehringen</t>
        </is>
      </c>
      <c r="E2099" s="5" t="n">
        <v>45393</v>
      </c>
      <c r="F2099" t="inlineStr"/>
      <c r="G2099" s="6">
        <f>HYPERLINK("https://www.kleinanzeigen.de/s-anzeige/insgesamt-19-aquarell-farben-1-2-napf-goya-watercolor-inkl-kasten/2731971735-282-7135", "Link")</f>
        <v/>
      </c>
      <c r="H2099" s="6">
        <f>HYPERLINK("C:\Projects\Kleinanzeigen-Scraper\offer_images\2731971735", "Link")</f>
        <v/>
      </c>
      <c r="I2099" t="inlineStr">
        <is>
          <t>Bärbel</t>
        </is>
      </c>
      <c r="J2099" s="6">
        <f>HYPERLINK("https://www.kleinanzeigen.de/s-bestandsliste.html?userId=41432315", "Link")</f>
        <v/>
      </c>
      <c r="K2099" s="7" t="n">
        <v>45549.57460648148</v>
      </c>
      <c r="L2099" s="3" t="inlineStr">
        <is>
          <t>58.64</t>
        </is>
      </c>
      <c r="M2099" t="inlineStr">
        <is>
          <t>München</t>
        </is>
      </c>
    </row>
    <row r="2100">
      <c r="A2100" t="inlineStr">
        <is>
          <t>Naish SUP Fusion Touring I SUP neu Standuppaddling</t>
        </is>
      </c>
      <c r="B2100" s="4" t="n">
        <v>499</v>
      </c>
      <c r="C2100" t="inlineStr"/>
      <c r="D2100" t="inlineStr">
        <is>
          <t>22457 Eimsbüttel - Hamburg Schnelsen</t>
        </is>
      </c>
      <c r="E2100" s="5" t="n">
        <v>45565</v>
      </c>
      <c r="F2100" t="inlineStr"/>
      <c r="G2100" s="6">
        <f>HYPERLINK("https://www.kleinanzeigen.de/s-anzeige/naish-sup-fusion-touring-i-sup-neu-standuppaddling/2724836854-230-9492", "Link")</f>
        <v/>
      </c>
      <c r="H2100" s="6">
        <f>HYPERLINK("C:\Projects\Kleinanzeigen-Scraper\offer_images\2724836854", "Link")</f>
        <v/>
      </c>
      <c r="I2100" t="inlineStr">
        <is>
          <t>No user name</t>
        </is>
      </c>
      <c r="J2100" s="6">
        <f>HYPERLINK("https://www.kleinanzeigen.deNo user link", "Link")</f>
        <v/>
      </c>
      <c r="K2100" s="7" t="n">
        <v>45549.5745949074</v>
      </c>
      <c r="L2100" s="3" t="inlineStr">
        <is>
          <t>362.41</t>
        </is>
      </c>
      <c r="M2100" t="inlineStr">
        <is>
          <t>Köln</t>
        </is>
      </c>
    </row>
    <row r="2101">
      <c r="A2101" t="inlineStr">
        <is>
          <t>Fanatic Ray Air Premium 12’6 Neu  Supboard Package stand up paddl</t>
        </is>
      </c>
      <c r="B2101" s="4" t="n">
        <v>699</v>
      </c>
      <c r="C2101" t="inlineStr"/>
      <c r="D2101" t="inlineStr">
        <is>
          <t>22457 Eimsbüttel - Hamburg Schnelsen</t>
        </is>
      </c>
      <c r="E2101" s="5" t="n">
        <v>45547</v>
      </c>
      <c r="F2101" t="inlineStr">
        <is>
          <t>Sold</t>
        </is>
      </c>
      <c r="G2101" s="6">
        <f>HYPERLINK("https://www.kleinanzeigen.de/s-anzeige/fanatic-ray-air-premium-12-6-neu-supboard-package-stand-up-paddl/2281493963-230-9492", "Link")</f>
        <v/>
      </c>
      <c r="H2101" s="6">
        <f>HYPERLINK("C:\Projects\Kleinanzeigen-Scraper\offer_images\2281493963", "Link")</f>
        <v/>
      </c>
      <c r="I2101" t="inlineStr">
        <is>
          <t>No user name</t>
        </is>
      </c>
      <c r="J2101" s="6">
        <f>HYPERLINK("https://www.kleinanzeigen.deNo user link", "Link")</f>
        <v/>
      </c>
      <c r="K2101" s="7" t="n">
        <v>45549.5745949074</v>
      </c>
      <c r="L2101" s="3" t="inlineStr">
        <is>
          <t>362.41</t>
        </is>
      </c>
      <c r="M2101" t="inlineStr">
        <is>
          <t>Köln</t>
        </is>
      </c>
    </row>
    <row r="2102">
      <c r="A2102" t="inlineStr">
        <is>
          <t>SUP Pumpe Hochdruckpumpe JP Australia</t>
        </is>
      </c>
      <c r="B2102" s="4" t="n">
        <v>10</v>
      </c>
      <c r="C2102" t="inlineStr"/>
      <c r="D2102" t="inlineStr">
        <is>
          <t>63263 Hessen - Neu-Isenburg</t>
        </is>
      </c>
      <c r="E2102" s="5" t="n">
        <v>45512</v>
      </c>
      <c r="F2102" t="inlineStr">
        <is>
          <t>Sold</t>
        </is>
      </c>
      <c r="G2102" s="6">
        <f>HYPERLINK("https://www.kleinanzeigen.de/s-anzeige/sup-pumpe-hochdruckpumpe-jp-australia/2832224032-230-4542", "Link")</f>
        <v/>
      </c>
      <c r="H2102" s="6">
        <f>HYPERLINK("C:\Projects\Kleinanzeigen-Scraper\offer_images\2832224032", "Link")</f>
        <v/>
      </c>
      <c r="I2102" t="inlineStr">
        <is>
          <t>R. Ricker</t>
        </is>
      </c>
      <c r="J2102" s="6">
        <f>HYPERLINK("https://www.kleinanzeigen.de/s-bestandsliste.html?userId=9163625", "Link")</f>
        <v/>
      </c>
      <c r="K2102" s="7" t="n">
        <v>45549.57458333333</v>
      </c>
      <c r="L2102" s="3" t="inlineStr">
        <is>
          <t>118.26</t>
        </is>
      </c>
      <c r="M2102" t="inlineStr">
        <is>
          <t>Karlsruhe</t>
        </is>
      </c>
    </row>
    <row r="2103">
      <c r="A2103" t="inlineStr">
        <is>
          <t>SUP Paddel Wildwasser Fanatic</t>
        </is>
      </c>
      <c r="B2103" s="4" t="n">
        <v>80</v>
      </c>
      <c r="C2103" t="inlineStr">
        <is>
          <t>VB</t>
        </is>
      </c>
      <c r="D2103" t="inlineStr">
        <is>
          <t>82140 Bayern - Olching</t>
        </is>
      </c>
      <c r="E2103" s="5" t="n">
        <v>45536</v>
      </c>
      <c r="F2103" t="inlineStr">
        <is>
          <t>Sold</t>
        </is>
      </c>
      <c r="G2103" s="6">
        <f>HYPERLINK("https://www.kleinanzeigen.de/s-anzeige/sup-paddel-wildwasser-fanatic/2851230061-230-5589", "Link")</f>
        <v/>
      </c>
      <c r="H2103" s="6">
        <f>HYPERLINK("C:\Projects\Kleinanzeigen-Scraper\offer_images\2851230061", "Link")</f>
        <v/>
      </c>
      <c r="I2103" t="inlineStr">
        <is>
          <t>S.G.</t>
        </is>
      </c>
      <c r="J2103" s="6">
        <f>HYPERLINK("https://www.kleinanzeigen.de/s-bestandsliste.html?userId=455763", "Link")</f>
        <v/>
      </c>
      <c r="K2103" s="7" t="n">
        <v>45549.57457175926</v>
      </c>
      <c r="L2103" s="3" t="inlineStr">
        <is>
          <t>18.66</t>
        </is>
      </c>
      <c r="M2103" t="inlineStr">
        <is>
          <t>München</t>
        </is>
      </c>
    </row>
    <row r="2104">
      <c r="A2104" t="inlineStr">
        <is>
          <t>Duotone Tubekite Evo C01:mint/dark-grey 2024 10.0 qm</t>
        </is>
      </c>
      <c r="B2104" s="4" t="n">
        <v>1.139</v>
      </c>
      <c r="C2104" t="inlineStr">
        <is>
          <t>VB</t>
        </is>
      </c>
      <c r="D2104" t="inlineStr">
        <is>
          <t>26125 Niedersachsen - Oldenburg</t>
        </is>
      </c>
      <c r="E2104" s="5" t="n">
        <v>45545</v>
      </c>
      <c r="F2104" t="inlineStr">
        <is>
          <t>Sold</t>
        </is>
      </c>
      <c r="G2104" s="6">
        <f>HYPERLINK("https://www.kleinanzeigen.de/s-anzeige/duotone-tubekite-evo-c01-mint-dark-grey-2024-10-0-qm/2859567983-230-3111", "Link")</f>
        <v/>
      </c>
      <c r="H2104" s="6">
        <f>HYPERLINK("C:\Projects\Kleinanzeigen-Scraper\offer_images\2859567983", "Link")</f>
        <v/>
      </c>
      <c r="I2104" t="inlineStr">
        <is>
          <t>No user name</t>
        </is>
      </c>
      <c r="J2104" s="6">
        <f>HYPERLINK("https://www.kleinanzeigen.deNo user link", "Link")</f>
        <v/>
      </c>
      <c r="K2104" s="7" t="n">
        <v>45549.57454861111</v>
      </c>
      <c r="L2104" s="3" t="inlineStr">
        <is>
          <t>264.10</t>
        </is>
      </c>
      <c r="M2104" t="inlineStr">
        <is>
          <t>Köln</t>
        </is>
      </c>
    </row>
    <row r="2105">
      <c r="A2105" t="inlineStr">
        <is>
          <t>NAISH Park Kite Modell 2013 Größe 12qm und Bar + Bag</t>
        </is>
      </c>
      <c r="B2105" s="4" t="n">
        <v>480</v>
      </c>
      <c r="C2105" t="inlineStr"/>
      <c r="D2105" t="inlineStr">
        <is>
          <t>13127 Pankow - Französisch Buchholz</t>
        </is>
      </c>
      <c r="E2105" s="5" t="n">
        <v>45535</v>
      </c>
      <c r="F2105" t="inlineStr">
        <is>
          <t>Sold</t>
        </is>
      </c>
      <c r="G2105" s="6">
        <f>HYPERLINK("https://www.kleinanzeigen.de/s-anzeige/naish-park-kite-modell-2013-groesse-12qm-und-bar-bag/2850954365-230-26775", "Link")</f>
        <v/>
      </c>
      <c r="H2105" s="6">
        <f>HYPERLINK("C:\Projects\Kleinanzeigen-Scraper\offer_images\2850954365", "Link")</f>
        <v/>
      </c>
      <c r="I2105" t="inlineStr">
        <is>
          <t>Louis Büttner</t>
        </is>
      </c>
      <c r="J2105" s="6">
        <f>HYPERLINK("https://www.kleinanzeigen.de/s-bestandsliste.html?userId=134000578", "Link")</f>
        <v/>
      </c>
      <c r="K2105" s="7" t="n">
        <v>45549.57453703704</v>
      </c>
      <c r="L2105" s="3" t="inlineStr">
        <is>
          <t>482.48</t>
        </is>
      </c>
      <c r="M2105" t="inlineStr">
        <is>
          <t>Köln</t>
        </is>
      </c>
    </row>
    <row r="2106">
      <c r="A2106" t="inlineStr">
        <is>
          <t>Starboard Slalom foil mk2</t>
        </is>
      </c>
      <c r="B2106" s="4" t="n">
        <v>1.2</v>
      </c>
      <c r="C2106" t="inlineStr">
        <is>
          <t>VB</t>
        </is>
      </c>
      <c r="D2106" t="inlineStr">
        <is>
          <t>47665 Nordrhein-Westfalen - Sonsbeck</t>
        </is>
      </c>
      <c r="E2106" s="5" t="n">
        <v>45542</v>
      </c>
      <c r="F2106" t="inlineStr"/>
      <c r="G2106" s="6">
        <f>HYPERLINK("https://www.kleinanzeigen.de/s-anzeige/starboard-slalom-foil-mk2/2856455843-230-1404", "Link")</f>
        <v/>
      </c>
      <c r="H2106" s="6">
        <f>HYPERLINK("C:\Projects\Kleinanzeigen-Scraper\offer_images\2856455843", "Link")</f>
        <v/>
      </c>
      <c r="I2106" t="inlineStr">
        <is>
          <t>Becker Jan</t>
        </is>
      </c>
      <c r="J2106" s="6">
        <f>HYPERLINK("https://www.kleinanzeigen.de/s-bestandsliste.html?userId=91021997", "Link")</f>
        <v/>
      </c>
      <c r="K2106" s="7" t="n">
        <v>45549.57452546297</v>
      </c>
      <c r="L2106" s="3" t="inlineStr">
        <is>
          <t>86.26</t>
        </is>
      </c>
      <c r="M2106" t="inlineStr">
        <is>
          <t>Köln</t>
        </is>
      </c>
    </row>
    <row r="2107">
      <c r="A2107" t="inlineStr">
        <is>
          <t>Simms pro guide nipper</t>
        </is>
      </c>
      <c r="B2107" s="4" t="n">
        <v>63</v>
      </c>
      <c r="C2107" t="inlineStr"/>
      <c r="D2107" t="inlineStr">
        <is>
          <t>52080 Aachen - Eilendorf</t>
        </is>
      </c>
      <c r="E2107" s="5" t="n">
        <v>45542</v>
      </c>
      <c r="F2107" t="inlineStr"/>
      <c r="G2107" s="6">
        <f>HYPERLINK("https://www.kleinanzeigen.de/s-anzeige/simms-pro-guide-nipper/2856533431-230-1931", "Link")</f>
        <v/>
      </c>
      <c r="H2107" s="6">
        <f>HYPERLINK("C:\Projects\Kleinanzeigen-Scraper\offer_images\2856533431", "Link")</f>
        <v/>
      </c>
      <c r="I2107" t="inlineStr">
        <is>
          <t>Jakob</t>
        </is>
      </c>
      <c r="J2107" s="6">
        <f>HYPERLINK("https://www.kleinanzeigen.de/s-bestandsliste.html?userId=13521874", "Link")</f>
        <v/>
      </c>
      <c r="K2107" s="7" t="n">
        <v>45549.57450231481</v>
      </c>
      <c r="L2107" s="3" t="inlineStr">
        <is>
          <t>58.05</t>
        </is>
      </c>
      <c r="M2107" t="inlineStr">
        <is>
          <t>Köln</t>
        </is>
      </c>
    </row>
    <row r="2108">
      <c r="A2108" t="inlineStr">
        <is>
          <t>Simms Watjacke , Neuwertig</t>
        </is>
      </c>
      <c r="B2108" s="4" t="n">
        <v>290</v>
      </c>
      <c r="C2108" t="inlineStr"/>
      <c r="D2108" t="inlineStr">
        <is>
          <t>82319 Bayern - Starnberg</t>
        </is>
      </c>
      <c r="E2108" s="5" t="n">
        <v>45389</v>
      </c>
      <c r="F2108" t="inlineStr"/>
      <c r="G2108" s="6">
        <f>HYPERLINK("https://www.kleinanzeigen.de/s-anzeige/simms-watjacke-neuwertig/2728072543-230-5525", "Link")</f>
        <v/>
      </c>
      <c r="H2108" s="6">
        <f>HYPERLINK("C:\Projects\Kleinanzeigen-Scraper\offer_images\2728072543", "Link")</f>
        <v/>
      </c>
      <c r="I2108" t="inlineStr">
        <is>
          <t>Christine Zwick</t>
        </is>
      </c>
      <c r="J2108" s="6">
        <f>HYPERLINK("https://www.kleinanzeigen.de/s-bestandsliste.html?userId=13991668", "Link")</f>
        <v/>
      </c>
      <c r="K2108" s="7" t="n">
        <v>45549.57450231481</v>
      </c>
      <c r="L2108" s="3" t="inlineStr">
        <is>
          <t>23.17</t>
        </is>
      </c>
      <c r="M2108" t="inlineStr">
        <is>
          <t>München</t>
        </is>
      </c>
    </row>
    <row r="2109">
      <c r="A2109" t="inlineStr">
        <is>
          <t>Neo Duotone in 7qm aus 2021</t>
        </is>
      </c>
      <c r="B2109" s="4" t="n">
        <v>480</v>
      </c>
      <c r="C2109" t="inlineStr">
        <is>
          <t>VB</t>
        </is>
      </c>
      <c r="D2109" t="inlineStr">
        <is>
          <t>22941 Schleswig-Holstein - Bargteheide</t>
        </is>
      </c>
      <c r="E2109" s="5" t="n">
        <v>45547</v>
      </c>
      <c r="F2109" t="inlineStr">
        <is>
          <t>Sold</t>
        </is>
      </c>
      <c r="G2109" s="6">
        <f>HYPERLINK("https://www.kleinanzeigen.de/s-anzeige/neo-duotone-in-7qm-aus-2021/2861363651-230-903", "Link")</f>
        <v/>
      </c>
      <c r="H2109" s="6">
        <f>HYPERLINK("C:\Projects\Kleinanzeigen-Scraper\offer_images\2861363651", "Link")</f>
        <v/>
      </c>
      <c r="I2109" t="inlineStr">
        <is>
          <t>Peter</t>
        </is>
      </c>
      <c r="J2109" s="6">
        <f>HYPERLINK("https://www.kleinanzeigen.de/s-bestandsliste.html?userId=62695429", "Link")</f>
        <v/>
      </c>
      <c r="K2109" s="7" t="n">
        <v>45549.57450231481</v>
      </c>
      <c r="L2109" s="3" t="inlineStr">
        <is>
          <t>382.34</t>
        </is>
      </c>
      <c r="M2109" t="inlineStr">
        <is>
          <t>Köln</t>
        </is>
      </c>
    </row>
    <row r="2110">
      <c r="A2110" t="inlineStr">
        <is>
          <t>Doujinshi Pochi-Goya Elder Sisters Anime Ecchi Hentai Comic neu</t>
        </is>
      </c>
      <c r="B2110" s="4" t="inlineStr"/>
      <c r="C2110" t="inlineStr">
        <is>
          <t>VB</t>
        </is>
      </c>
      <c r="D2110" t="inlineStr">
        <is>
          <t>86154 Bayern - Augsburg</t>
        </is>
      </c>
      <c r="E2110" s="5" t="n">
        <v>45497</v>
      </c>
      <c r="F2110" t="inlineStr"/>
      <c r="G2110" s="6">
        <f>HYPERLINK("https://www.kleinanzeigen.de/s-anzeige/doujinshi-pochi-goya-elder-sisters-anime-ecchi-hentai-comic-neu/2820418807-234-7528", "Link")</f>
        <v/>
      </c>
      <c r="H2110" s="6">
        <f>HYPERLINK("C:\Projects\Kleinanzeigen-Scraper\offer_images\2820418807", "Link")</f>
        <v/>
      </c>
      <c r="I2110" t="inlineStr">
        <is>
          <t>Onii-chan18</t>
        </is>
      </c>
      <c r="J2110" s="6">
        <f>HYPERLINK("https://www.kleinanzeigen.de/s-bestandsliste.html?userId=131877759", "Link")</f>
        <v/>
      </c>
      <c r="K2110" s="7" t="n">
        <v>45549.57449074074</v>
      </c>
      <c r="L2110" s="3" t="inlineStr">
        <is>
          <t>58.77</t>
        </is>
      </c>
      <c r="M2110" t="inlineStr">
        <is>
          <t>München</t>
        </is>
      </c>
    </row>
    <row r="2111">
      <c r="A2111" t="inlineStr">
        <is>
          <t>NAISH-Kite</t>
        </is>
      </c>
      <c r="B2111" s="4" t="n">
        <v>75</v>
      </c>
      <c r="C2111" t="inlineStr"/>
      <c r="D2111" t="inlineStr">
        <is>
          <t>23669 Kreis Ostholstein - Timmendorfer Strand</t>
        </is>
      </c>
      <c r="E2111" s="5" t="n">
        <v>45486</v>
      </c>
      <c r="F2111" t="inlineStr">
        <is>
          <t>Sold</t>
        </is>
      </c>
      <c r="G2111" s="6">
        <f>HYPERLINK("https://www.kleinanzeigen.de/s-anzeige/naish-kite/2811636229-230-442", "Link")</f>
        <v/>
      </c>
      <c r="H2111" s="6">
        <f>HYPERLINK("C:\Projects\Kleinanzeigen-Scraper\offer_images\2811636229", "Link")</f>
        <v/>
      </c>
      <c r="I2111" t="inlineStr">
        <is>
          <t>Simeon</t>
        </is>
      </c>
      <c r="J2111" s="6">
        <f>HYPERLINK("https://www.kleinanzeigen.de/s-bestandsliste.html?userId=89406828", "Link")</f>
        <v/>
      </c>
      <c r="K2111" s="7" t="n">
        <v>45549.57447916667</v>
      </c>
      <c r="L2111" s="3" t="inlineStr">
        <is>
          <t>425.88</t>
        </is>
      </c>
      <c r="M2111" t="inlineStr">
        <is>
          <t>Köln</t>
        </is>
      </c>
    </row>
    <row r="2112">
      <c r="A2112" t="inlineStr">
        <is>
          <t>RRD Passion 9M Allround Kite + Bar optional</t>
        </is>
      </c>
      <c r="B2112" s="4" t="n">
        <v>289</v>
      </c>
      <c r="C2112" t="inlineStr"/>
      <c r="D2112" t="inlineStr">
        <is>
          <t>10247 Friedrichshain-Kreuzberg - Friedrichshain</t>
        </is>
      </c>
      <c r="E2112" s="5" t="n">
        <v>45496</v>
      </c>
      <c r="F2112" t="inlineStr">
        <is>
          <t>Sold</t>
        </is>
      </c>
      <c r="G2112" s="6">
        <f>HYPERLINK("https://www.kleinanzeigen.de/s-anzeige/rrd-passion-9m-allround-kite-bar-optional/2819189824-230-3353", "Link")</f>
        <v/>
      </c>
      <c r="H2112" s="6">
        <f>HYPERLINK("C:\Projects\Kleinanzeigen-Scraper\offer_images\2819189824", "Link")</f>
        <v/>
      </c>
      <c r="I2112" t="inlineStr">
        <is>
          <t>Claudio</t>
        </is>
      </c>
      <c r="J2112" s="6">
        <f>HYPERLINK("https://www.kleinanzeigen.de/s-bestandsliste.html?userId=2513618", "Link")</f>
        <v/>
      </c>
      <c r="K2112" s="7" t="n">
        <v>45549.57447916667</v>
      </c>
      <c r="L2112" s="3" t="inlineStr">
        <is>
          <t>481.24</t>
        </is>
      </c>
      <c r="M2112" t="inlineStr">
        <is>
          <t>Köln</t>
        </is>
      </c>
    </row>
    <row r="2113">
      <c r="A2113" t="inlineStr">
        <is>
          <t>Wingfoil Sale Armstrong, Naish, Slingshot, RideEngine, SIC, usw. bis -35%</t>
        </is>
      </c>
      <c r="B2113" s="4" t="n">
        <v>517</v>
      </c>
      <c r="C2113" t="inlineStr">
        <is>
          <t>VB</t>
        </is>
      </c>
      <c r="D2113" t="inlineStr">
        <is>
          <t>18586 Mecklenburg-Vorpommern - Mönchgut, Ostseebad</t>
        </is>
      </c>
      <c r="E2113" s="5" t="n">
        <v>45552</v>
      </c>
      <c r="F2113" t="inlineStr">
        <is>
          <t>Sold</t>
        </is>
      </c>
      <c r="G2113" s="6">
        <f>HYPERLINK("https://www.kleinanzeigen.de/s-anzeige/wingfoil-sale-armstrong-naish-slingshot-rideengine-sic-usw-bis-35-/1950254800-230-120", "Link")</f>
        <v/>
      </c>
      <c r="H2113" s="6">
        <f>HYPERLINK("C:\Projects\Kleinanzeigen-Scraper\offer_images\1950254800", "Link")</f>
        <v/>
      </c>
      <c r="I2113" t="inlineStr">
        <is>
          <t>No user name</t>
        </is>
      </c>
      <c r="J2113" s="6">
        <f>HYPERLINK("https://www.kleinanzeigen.deNo user link", "Link")</f>
        <v/>
      </c>
      <c r="K2113" s="7" t="n">
        <v>45549.57447916667</v>
      </c>
      <c r="L2113" s="3" t="inlineStr">
        <is>
          <t>591.22</t>
        </is>
      </c>
      <c r="M2113" t="inlineStr">
        <is>
          <t>Köln</t>
        </is>
      </c>
    </row>
    <row r="2114">
      <c r="A2114" t="inlineStr">
        <is>
          <t>Revell 04148 1:72 North American P-51D Mustang BAUSATZ UNGEÖFFNET</t>
        </is>
      </c>
      <c r="B2114" s="4" t="n">
        <v>8</v>
      </c>
      <c r="C2114" t="inlineStr">
        <is>
          <t>VB</t>
        </is>
      </c>
      <c r="D2114" t="inlineStr">
        <is>
          <t>47169 Duisburg - Röttgersbach</t>
        </is>
      </c>
      <c r="E2114" s="5" t="n">
        <v>45544</v>
      </c>
      <c r="F2114" t="inlineStr">
        <is>
          <t>Sold</t>
        </is>
      </c>
      <c r="G2114" s="6">
        <f>HYPERLINK("https://www.kleinanzeigen.de/s-anzeige/revell-04148-1-72-north-american-p-51d-mustang-bausatz-ungeoeffnet/2858525188-249-23951", "Link")</f>
        <v/>
      </c>
      <c r="H2114" s="6">
        <f>HYPERLINK("C:\Projects\Kleinanzeigen-Scraper\offer_images\2858525188", "Link")</f>
        <v/>
      </c>
      <c r="I2114" t="inlineStr">
        <is>
          <t>Haeffs/Hlobik</t>
        </is>
      </c>
      <c r="J2114" s="6">
        <f>HYPERLINK("https://www.kleinanzeigen.de/s-bestandsliste.html?userId=43501739", "Link")</f>
        <v/>
      </c>
      <c r="K2114" s="7" t="n">
        <v>45549.57445601852</v>
      </c>
      <c r="L2114" s="3" t="inlineStr">
        <is>
          <t>65.16</t>
        </is>
      </c>
      <c r="M2114" t="inlineStr">
        <is>
          <t>Köln</t>
        </is>
      </c>
    </row>
    <row r="2115">
      <c r="A2115" t="inlineStr">
        <is>
          <t>North Rebel 7qm (2018)</t>
        </is>
      </c>
      <c r="B2115" s="4" t="n">
        <v>550</v>
      </c>
      <c r="C2115" t="inlineStr">
        <is>
          <t>VB</t>
        </is>
      </c>
      <c r="D2115" t="inlineStr">
        <is>
          <t>22297 Hamburg-Nord - Hamburg Alsterdorf</t>
        </is>
      </c>
      <c r="E2115" s="5" t="n">
        <v>45547</v>
      </c>
      <c r="F2115" t="inlineStr">
        <is>
          <t>Sold</t>
        </is>
      </c>
      <c r="G2115" s="6">
        <f>HYPERLINK("https://www.kleinanzeigen.de/s-anzeige/north-rebel-7qm-2018-/2861356069-230-16438", "Link")</f>
        <v/>
      </c>
      <c r="H2115" s="6">
        <f>HYPERLINK("C:\Projects\Kleinanzeigen-Scraper\offer_images\2861356069", "Link")</f>
        <v/>
      </c>
      <c r="I2115" t="inlineStr">
        <is>
          <t>Janina</t>
        </is>
      </c>
      <c r="J2115" s="6">
        <f>HYPERLINK("https://www.kleinanzeigen.de/s-bestandsliste.html?userId=22360925", "Link")</f>
        <v/>
      </c>
      <c r="K2115" s="7" t="n">
        <v>45549.57445601852</v>
      </c>
      <c r="L2115" s="3" t="inlineStr">
        <is>
          <t>362.41</t>
        </is>
      </c>
      <c r="M2115" t="inlineStr">
        <is>
          <t>Köln</t>
        </is>
      </c>
    </row>
    <row r="2116">
      <c r="A2116" t="inlineStr">
        <is>
          <t>North evo Kite 7qm</t>
        </is>
      </c>
      <c r="B2116" s="4" t="n">
        <v>180</v>
      </c>
      <c r="C2116" t="inlineStr"/>
      <c r="D2116" t="inlineStr">
        <is>
          <t>24960 Schleswig-Holstein - Glücksburg</t>
        </is>
      </c>
      <c r="E2116" s="5" t="n">
        <v>45537</v>
      </c>
      <c r="F2116" t="inlineStr">
        <is>
          <t>Sold</t>
        </is>
      </c>
      <c r="G2116" s="6">
        <f>HYPERLINK("https://www.kleinanzeigen.de/s-anzeige/north-evo-kite-7qm/2852255946-230-19313", "Link")</f>
        <v/>
      </c>
      <c r="H2116" s="6">
        <f>HYPERLINK("C:\Projects\Kleinanzeigen-Scraper\offer_images\2852255946", "Link")</f>
        <v/>
      </c>
      <c r="I2116" t="inlineStr">
        <is>
          <t>B.K</t>
        </is>
      </c>
      <c r="J2116" s="6">
        <f>HYPERLINK("https://www.kleinanzeigen.de/s-bestandsliste.html?userId=74574837", "Link")</f>
        <v/>
      </c>
      <c r="K2116" s="7" t="n">
        <v>45549.57445601852</v>
      </c>
      <c r="L2116" s="3" t="inlineStr">
        <is>
          <t>467.53</t>
        </is>
      </c>
      <c r="M2116" t="inlineStr">
        <is>
          <t>Köln</t>
        </is>
      </c>
    </row>
    <row r="2117">
      <c r="A2117" t="inlineStr">
        <is>
          <t>Kite Naish Park 9m2 aus 2015</t>
        </is>
      </c>
      <c r="B2117" s="4" t="n">
        <v>200</v>
      </c>
      <c r="C2117" t="inlineStr"/>
      <c r="D2117" t="inlineStr">
        <is>
          <t>82131 Bayern - Gauting</t>
        </is>
      </c>
      <c r="E2117" s="5" t="n">
        <v>45543</v>
      </c>
      <c r="F2117" t="inlineStr">
        <is>
          <t>Sold</t>
        </is>
      </c>
      <c r="G2117" s="6">
        <f>HYPERLINK("https://www.kleinanzeigen.de/s-anzeige/kite-naish-park-9m2-aus-2015/2857679717-230-6334", "Link")</f>
        <v/>
      </c>
      <c r="H2117" s="6">
        <f>HYPERLINK("C:\Projects\Kleinanzeigen-Scraper\offer_images\2857679717", "Link")</f>
        <v/>
      </c>
      <c r="I2117" t="inlineStr">
        <is>
          <t>angelique Betz</t>
        </is>
      </c>
      <c r="J2117" s="6">
        <f>HYPERLINK("https://www.kleinanzeigen.de/s-bestandsliste.html?userId=14037313", "Link")</f>
        <v/>
      </c>
      <c r="K2117" s="7" t="n">
        <v>45549.57445601852</v>
      </c>
      <c r="L2117" s="3" t="inlineStr">
        <is>
          <t>16.76</t>
        </is>
      </c>
      <c r="M2117" t="inlineStr">
        <is>
          <t>München</t>
        </is>
      </c>
    </row>
    <row r="2118">
      <c r="A2118" t="inlineStr">
        <is>
          <t>Fanatic Ripper Pure Kids SUP Paddel 2021 130-160cm NEU</t>
        </is>
      </c>
      <c r="B2118" s="4" t="n">
        <v>79</v>
      </c>
      <c r="C2118" t="inlineStr"/>
      <c r="D2118" t="inlineStr">
        <is>
          <t>18586 Mecklenburg-Vorpommern - Mönchgut, Ostseebad</t>
        </is>
      </c>
      <c r="E2118" s="5" t="n">
        <v>45549</v>
      </c>
      <c r="F2118" t="inlineStr">
        <is>
          <t>Sold</t>
        </is>
      </c>
      <c r="G2118" s="6">
        <f>HYPERLINK("https://www.kleinanzeigen.de/s-anzeige/fanatic-ripper-pure-kids-sup-paddel-2021-130-160cm-neu/1276066876-230-120", "Link")</f>
        <v/>
      </c>
      <c r="H2118" s="6">
        <f>HYPERLINK("C:\Projects\Kleinanzeigen-Scraper\offer_images\1276066876", "Link")</f>
        <v/>
      </c>
      <c r="I2118" t="inlineStr">
        <is>
          <t>No user name</t>
        </is>
      </c>
      <c r="J2118" s="6">
        <f>HYPERLINK("https://www.kleinanzeigen.deNo user link", "Link")</f>
        <v/>
      </c>
      <c r="K2118" s="7" t="n">
        <v>45549.57444444444</v>
      </c>
      <c r="L2118" s="3" t="inlineStr">
        <is>
          <t>591.22</t>
        </is>
      </c>
      <c r="M2118" t="inlineStr">
        <is>
          <t>Köln</t>
        </is>
      </c>
    </row>
    <row r="2119">
      <c r="A2119" t="inlineStr">
        <is>
          <t>Duotone Neo SLS, 9m2, Modell 2022, gekauft 2023</t>
        </is>
      </c>
      <c r="B2119" s="4" t="n">
        <v>650</v>
      </c>
      <c r="C2119" t="inlineStr"/>
      <c r="D2119" t="inlineStr">
        <is>
          <t>82205 Bayern - Gilching</t>
        </is>
      </c>
      <c r="E2119" s="5" t="n">
        <v>45547</v>
      </c>
      <c r="F2119" t="inlineStr">
        <is>
          <t>Sold</t>
        </is>
      </c>
      <c r="G2119" s="6">
        <f>HYPERLINK("https://www.kleinanzeigen.de/s-anzeige/duotone-neo-sls-9m2-modell-2022-gekauft-2023/2861649722-230-15740", "Link")</f>
        <v/>
      </c>
      <c r="H2119" s="6">
        <f>HYPERLINK("C:\Projects\Kleinanzeigen-Scraper\offer_images\2861649722", "Link")</f>
        <v/>
      </c>
      <c r="I2119" t="inlineStr">
        <is>
          <t>Martin</t>
        </is>
      </c>
      <c r="J2119" s="6">
        <f>HYPERLINK("https://www.kleinanzeigen.de/s-bestandsliste.html?userId=36486285", "Link")</f>
        <v/>
      </c>
      <c r="K2119" s="7" t="n">
        <v>45549.57444444444</v>
      </c>
      <c r="L2119" s="3" t="inlineStr">
        <is>
          <t>23.04</t>
        </is>
      </c>
      <c r="M2119" t="inlineStr">
        <is>
          <t>München</t>
        </is>
      </c>
    </row>
    <row r="2120">
      <c r="A2120" t="inlineStr">
        <is>
          <t>Wing Duotone Slick 4,0 Modell 2024</t>
        </is>
      </c>
      <c r="B2120" s="4" t="n">
        <v>670</v>
      </c>
      <c r="C2120" t="inlineStr"/>
      <c r="D2120" t="inlineStr">
        <is>
          <t>47058 Duisburg - Duisburg-Mitte</t>
        </is>
      </c>
      <c r="E2120" s="5" t="n">
        <v>45546</v>
      </c>
      <c r="F2120" t="inlineStr">
        <is>
          <t>Sold</t>
        </is>
      </c>
      <c r="G2120" s="6">
        <f>HYPERLINK("https://www.kleinanzeigen.de/s-anzeige/wing-duotone-slick-4-0-modell-2024/2860739540-230-2152", "Link")</f>
        <v/>
      </c>
      <c r="H2120" s="6">
        <f>HYPERLINK("C:\Projects\Kleinanzeigen-Scraper\offer_images\2860739540", "Link")</f>
        <v/>
      </c>
      <c r="I2120" t="inlineStr">
        <is>
          <t>Sebastian</t>
        </is>
      </c>
      <c r="J2120" s="6">
        <f>HYPERLINK("https://www.kleinanzeigen.de/s-bestandsliste.html?userId=14905691", "Link")</f>
        <v/>
      </c>
      <c r="K2120" s="7" t="n">
        <v>45549.57443287037</v>
      </c>
      <c r="L2120" s="3" t="inlineStr">
        <is>
          <t>56.75</t>
        </is>
      </c>
      <c r="M2120" t="inlineStr">
        <is>
          <t>Köln</t>
        </is>
      </c>
    </row>
    <row r="2121">
      <c r="A2121" t="inlineStr">
        <is>
          <t>Snowboard Vandal Afterblack Wide 132</t>
        </is>
      </c>
      <c r="B2121" s="4" t="n">
        <v>130</v>
      </c>
      <c r="C2121" t="inlineStr">
        <is>
          <t>VB</t>
        </is>
      </c>
      <c r="D2121" t="inlineStr">
        <is>
          <t>41468 Nordrhein-Westfalen - Neuss</t>
        </is>
      </c>
      <c r="E2121" s="5" t="n">
        <v>45543</v>
      </c>
      <c r="F2121" t="inlineStr">
        <is>
          <t>Sold</t>
        </is>
      </c>
      <c r="G2121" s="6">
        <f>HYPERLINK("https://www.kleinanzeigen.de/s-anzeige/snowboard-vandal-afterblack-wide-132/2857625184-230-2112", "Link")</f>
        <v/>
      </c>
      <c r="H2121" s="6">
        <f>HYPERLINK("C:\Projects\Kleinanzeigen-Scraper\offer_images\2857625184", "Link")</f>
        <v/>
      </c>
      <c r="I2121" t="inlineStr">
        <is>
          <t>Sonja</t>
        </is>
      </c>
      <c r="J2121" s="6">
        <f>HYPERLINK("https://www.kleinanzeigen.de/s-bestandsliste.html?userId=18091655", "Link")</f>
        <v/>
      </c>
      <c r="K2121" s="7" t="n">
        <v>45549.57443287037</v>
      </c>
      <c r="L2121" s="3" t="inlineStr">
        <is>
          <t>27.78</t>
        </is>
      </c>
      <c r="M2121" t="inlineStr">
        <is>
          <t>Köln</t>
        </is>
      </c>
    </row>
    <row r="2122">
      <c r="A2122" t="inlineStr">
        <is>
          <t>Duotone Clickbar S 2022 - 22m inkl. Extensions</t>
        </is>
      </c>
      <c r="B2122" s="4" t="n">
        <v>350</v>
      </c>
      <c r="C2122" t="inlineStr">
        <is>
          <t>VB</t>
        </is>
      </c>
      <c r="D2122" t="inlineStr">
        <is>
          <t>83395 Bayern - Freilassing</t>
        </is>
      </c>
      <c r="E2122" s="5" t="n">
        <v>45548</v>
      </c>
      <c r="F2122" t="inlineStr">
        <is>
          <t>Sold</t>
        </is>
      </c>
      <c r="G2122" s="6">
        <f>HYPERLINK("https://www.kleinanzeigen.de/s-anzeige/duotone-clickbar-s-2022-22m-inkl-extensions/2862495121-230-6273", "Link")</f>
        <v/>
      </c>
      <c r="H2122" s="6">
        <f>HYPERLINK("C:\Projects\Kleinanzeigen-Scraper\offer_images\2862495121", "Link")</f>
        <v/>
      </c>
      <c r="I2122" t="inlineStr">
        <is>
          <t>L.K.</t>
        </is>
      </c>
      <c r="J2122" s="6">
        <f>HYPERLINK("https://www.kleinanzeigen.de/s-bestandsliste.html?userId=19079316", "Link")</f>
        <v/>
      </c>
      <c r="K2122" s="7" t="n">
        <v>45549.5744212963</v>
      </c>
      <c r="L2122" s="3" t="inlineStr">
        <is>
          <t>108.85</t>
        </is>
      </c>
      <c r="M2122" t="inlineStr">
        <is>
          <t>München</t>
        </is>
      </c>
    </row>
    <row r="2123">
      <c r="A2123" t="inlineStr">
        <is>
          <t>North (Duotone) Rebel 9 qm</t>
        </is>
      </c>
      <c r="B2123" s="4" t="n">
        <v>310</v>
      </c>
      <c r="C2123" t="inlineStr">
        <is>
          <t>VB</t>
        </is>
      </c>
      <c r="D2123" t="inlineStr">
        <is>
          <t>10965 Friedrichshain-Kreuzberg - Kreuzberg</t>
        </is>
      </c>
      <c r="E2123" s="5" t="n">
        <v>45544</v>
      </c>
      <c r="F2123" t="inlineStr">
        <is>
          <t>Sold</t>
        </is>
      </c>
      <c r="G2123" s="6">
        <f>HYPERLINK("https://www.kleinanzeigen.de/s-anzeige/north-duotone-rebel-9-qm/2858443415-230-3378", "Link")</f>
        <v/>
      </c>
      <c r="H2123" s="6">
        <f>HYPERLINK("C:\Projects\Kleinanzeigen-Scraper\offer_images\2858443415", "Link")</f>
        <v/>
      </c>
      <c r="I2123" t="inlineStr">
        <is>
          <t>Laura Jentzsch</t>
        </is>
      </c>
      <c r="J2123" s="6">
        <f>HYPERLINK("https://www.kleinanzeigen.de/s-bestandsliste.html?userId=31446486", "Link")</f>
        <v/>
      </c>
      <c r="K2123" s="7" t="n">
        <v>45549.57440972222</v>
      </c>
      <c r="L2123" s="3" t="inlineStr">
        <is>
          <t>475.99</t>
        </is>
      </c>
      <c r="M2123" t="inlineStr">
        <is>
          <t>Köln</t>
        </is>
      </c>
    </row>
    <row r="2124">
      <c r="A2124" t="inlineStr">
        <is>
          <t>Wing RRD Evo Y26 Größe 5,5 qm NEU</t>
        </is>
      </c>
      <c r="B2124" s="4" t="n">
        <v>299</v>
      </c>
      <c r="C2124" t="inlineStr">
        <is>
          <t>VB</t>
        </is>
      </c>
      <c r="D2124" t="inlineStr">
        <is>
          <t>82256 Bayern - Fürstenfeldbruck</t>
        </is>
      </c>
      <c r="E2124" s="5" t="n">
        <v>45496</v>
      </c>
      <c r="F2124" t="inlineStr">
        <is>
          <t>Sold</t>
        </is>
      </c>
      <c r="G2124" s="6">
        <f>HYPERLINK("https://www.kleinanzeigen.de/s-anzeige/wing-rrd-evo-y26-groesse-5-5-qm-neu/2819136420-230-6311", "Link")</f>
        <v/>
      </c>
      <c r="H2124" s="6">
        <f>HYPERLINK("C:\Projects\Kleinanzeigen-Scraper\offer_images\2819136420", "Link")</f>
        <v/>
      </c>
      <c r="I2124" t="inlineStr">
        <is>
          <t>Richard</t>
        </is>
      </c>
      <c r="J2124" s="6">
        <f>HYPERLINK("https://www.kleinanzeigen.de/s-bestandsliste.html?userId=1263378", "Link")</f>
        <v/>
      </c>
      <c r="K2124" s="7" t="n">
        <v>45549.57440972222</v>
      </c>
      <c r="L2124" s="3" t="inlineStr">
        <is>
          <t>25.37</t>
        </is>
      </c>
      <c r="M2124" t="inlineStr">
        <is>
          <t>München</t>
        </is>
      </c>
    </row>
    <row r="2125">
      <c r="A2125" t="inlineStr">
        <is>
          <t>Metalldetektor Golden Mask 7 mit Pinpointer u. 4 Spulen</t>
        </is>
      </c>
      <c r="B2125" s="4" t="n">
        <v>600</v>
      </c>
      <c r="C2125" t="inlineStr"/>
      <c r="D2125" t="inlineStr">
        <is>
          <t>24119 Kiel - Kronshagen</t>
        </is>
      </c>
      <c r="E2125" s="5" t="n">
        <v>45395</v>
      </c>
      <c r="F2125" t="inlineStr"/>
      <c r="G2125" s="6">
        <f>HYPERLINK("https://www.kleinanzeigen.de/s-anzeige/metalldetektor-golden-mask-7-mit-pinpointer-u-4-spulen/2733327113-242-705", "Link")</f>
        <v/>
      </c>
      <c r="H2125" s="6">
        <f>HYPERLINK("C:\Projects\Kleinanzeigen-Scraper\offer_images\2733327113", "Link")</f>
        <v/>
      </c>
      <c r="I2125" t="inlineStr">
        <is>
          <t>Andre</t>
        </is>
      </c>
      <c r="J2125" s="6">
        <f>HYPERLINK("https://www.kleinanzeigen.de/s-bestandsliste.html?userId=5779784", "Link")</f>
        <v/>
      </c>
      <c r="K2125" s="7" t="n">
        <v>45549.57440972222</v>
      </c>
      <c r="L2125" s="3" t="inlineStr">
        <is>
          <t>432.46</t>
        </is>
      </c>
      <c r="M2125" t="inlineStr">
        <is>
          <t>Köln</t>
        </is>
      </c>
    </row>
    <row r="2126">
      <c r="A2126" t="inlineStr">
        <is>
          <t>North Rebel 14qm, voll funktionsfähig, für Einsteiger</t>
        </is>
      </c>
      <c r="B2126" s="4" t="n">
        <v>50</v>
      </c>
      <c r="C2126" t="inlineStr">
        <is>
          <t>VB</t>
        </is>
      </c>
      <c r="D2126" t="inlineStr">
        <is>
          <t>53229 Beuel - Pützchen/Bechlinghoven</t>
        </is>
      </c>
      <c r="E2126" s="5" t="n">
        <v>45543</v>
      </c>
      <c r="F2126" t="inlineStr">
        <is>
          <t>Sold</t>
        </is>
      </c>
      <c r="G2126" s="6">
        <f>HYPERLINK("https://www.kleinanzeigen.de/s-anzeige/north-rebel-14qm-voll-funktionsfaehig-fuer-einsteiger/2857622785-230-23763", "Link")</f>
        <v/>
      </c>
      <c r="H2126" s="6">
        <f>HYPERLINK("C:\Projects\Kleinanzeigen-Scraper\offer_images\2857622785", "Link")</f>
        <v/>
      </c>
      <c r="I2126" t="inlineStr">
        <is>
          <t>Thomas Schulze</t>
        </is>
      </c>
      <c r="J2126" s="6">
        <f>HYPERLINK("https://www.kleinanzeigen.de/s-bestandsliste.html?userId=14443087", "Link")</f>
        <v/>
      </c>
      <c r="K2126" s="7" t="n">
        <v>45549.57439814815</v>
      </c>
      <c r="L2126" s="3" t="inlineStr">
        <is>
          <t>26.09</t>
        </is>
      </c>
      <c r="M2126" t="inlineStr">
        <is>
          <t>Köln</t>
        </is>
      </c>
    </row>
    <row r="2127">
      <c r="A2127" t="inlineStr">
        <is>
          <t>Naish Pivot 2024 8 m</t>
        </is>
      </c>
      <c r="B2127" s="4" t="n">
        <v>580</v>
      </c>
      <c r="C2127" t="inlineStr"/>
      <c r="D2127" t="inlineStr">
        <is>
          <t>22549 Altona - Hamburg Osdorf</t>
        </is>
      </c>
      <c r="E2127" s="5" t="n">
        <v>45495</v>
      </c>
      <c r="F2127" t="inlineStr">
        <is>
          <t>Sold</t>
        </is>
      </c>
      <c r="G2127" s="6">
        <f>HYPERLINK("https://www.kleinanzeigen.de/s-anzeige/naish-pivot-2024-8-m/2818531930-230-19496", "Link")</f>
        <v/>
      </c>
      <c r="H2127" s="6">
        <f>HYPERLINK("C:\Projects\Kleinanzeigen-Scraper\offer_images\2818531930", "Link")</f>
        <v/>
      </c>
      <c r="I2127" t="inlineStr">
        <is>
          <t>Malte</t>
        </is>
      </c>
      <c r="J2127" s="6">
        <f>HYPERLINK("https://www.kleinanzeigen.de/s-bestandsliste.html?userId=32864332", "Link")</f>
        <v/>
      </c>
      <c r="K2127" s="7" t="n">
        <v>45549.57439814815</v>
      </c>
      <c r="L2127" s="3" t="inlineStr">
        <is>
          <t>354.40</t>
        </is>
      </c>
      <c r="M2127" t="inlineStr">
        <is>
          <t>Köln</t>
        </is>
      </c>
    </row>
    <row r="2128">
      <c r="A2128" t="inlineStr">
        <is>
          <t>Neilpryde Neopren 20 Mission Fullsuit, 5/4/3 FZ,C 2, Herren Gr.50</t>
        </is>
      </c>
      <c r="B2128" s="4" t="n">
        <v>250</v>
      </c>
      <c r="C2128" t="inlineStr"/>
      <c r="D2128" t="inlineStr">
        <is>
          <t>48157 Münster (Westfalen) - Handorf</t>
        </is>
      </c>
      <c r="E2128" s="5" t="n">
        <v>45521</v>
      </c>
      <c r="F2128" t="inlineStr">
        <is>
          <t>Sold</t>
        </is>
      </c>
      <c r="G2128" s="6">
        <f>HYPERLINK("https://www.kleinanzeigen.de/s-anzeige/neilpryde-neopren-20-mission-fullsuit-5-4-3-fz-c-2-herren-gr-50/2838672285-230-18765", "Link")</f>
        <v/>
      </c>
      <c r="H2128" s="6">
        <f>HYPERLINK("C:\Projects\Kleinanzeigen-Scraper\offer_images\2838672285", "Link")</f>
        <v/>
      </c>
      <c r="I2128" t="inlineStr">
        <is>
          <t>Denise</t>
        </is>
      </c>
      <c r="J2128" s="6">
        <f>HYPERLINK("https://www.kleinanzeigen.de/s-bestandsliste.html?userId=9468514", "Link")</f>
        <v/>
      </c>
      <c r="K2128" s="7" t="n">
        <v>45549.57438657407</v>
      </c>
      <c r="L2128" s="3" t="inlineStr">
        <is>
          <t>129.71</t>
        </is>
      </c>
      <c r="M2128" t="inlineStr">
        <is>
          <t>Köln</t>
        </is>
      </c>
    </row>
    <row r="2129">
      <c r="A2129" t="inlineStr">
        <is>
          <t>Schwertkasten - Fanatic hot bat / Viper / Ultracat</t>
        </is>
      </c>
      <c r="B2129" s="4" t="n">
        <v>10</v>
      </c>
      <c r="C2129" t="inlineStr"/>
      <c r="D2129" t="inlineStr">
        <is>
          <t>07549 Thüringen - Gera</t>
        </is>
      </c>
      <c r="E2129" s="5" t="n">
        <v>45523</v>
      </c>
      <c r="F2129" t="inlineStr">
        <is>
          <t>Sold</t>
        </is>
      </c>
      <c r="G2129" s="6">
        <f>HYPERLINK("https://www.kleinanzeigen.de/s-anzeige/schwertkasten-fanatic-hot-bat-viper-ultracat/2840964552-230-3793", "Link")</f>
        <v/>
      </c>
      <c r="H2129" s="6">
        <f>HYPERLINK("C:\Projects\Kleinanzeigen-Scraper\offer_images\2840964552", "Link")</f>
        <v/>
      </c>
      <c r="I2129" t="inlineStr">
        <is>
          <t>Alex B</t>
        </is>
      </c>
      <c r="J2129" s="6">
        <f>HYPERLINK("https://www.kleinanzeigen.de/s-bestandsliste.html?userId=135686766", "Link")</f>
        <v/>
      </c>
      <c r="K2129" s="7" t="n">
        <v>45549.57438657407</v>
      </c>
      <c r="L2129" s="3" t="inlineStr">
        <is>
          <t>303.22</t>
        </is>
      </c>
      <c r="M2129" t="inlineStr">
        <is>
          <t>München</t>
        </is>
      </c>
    </row>
    <row r="2130">
      <c r="A2130" t="inlineStr">
        <is>
          <t>North Evo 9,0 inkl. Bar</t>
        </is>
      </c>
      <c r="B2130" s="4" t="n">
        <v>350</v>
      </c>
      <c r="C2130" t="inlineStr"/>
      <c r="D2130" t="inlineStr">
        <is>
          <t>13125 Berlin - Pankow</t>
        </is>
      </c>
      <c r="E2130" s="5" t="n">
        <v>45541</v>
      </c>
      <c r="F2130" t="inlineStr">
        <is>
          <t>Sold</t>
        </is>
      </c>
      <c r="G2130" s="6">
        <f>HYPERLINK("https://www.kleinanzeigen.de/s-anzeige/north-evo-9-0-inkl-bar/2855918812-230-3466", "Link")</f>
        <v/>
      </c>
      <c r="H2130" s="6">
        <f>HYPERLINK("C:\Projects\Kleinanzeigen-Scraper\offer_images\2855918812", "Link")</f>
        <v/>
      </c>
      <c r="I2130" t="inlineStr">
        <is>
          <t>René Brodehl</t>
        </is>
      </c>
      <c r="J2130" s="6">
        <f>HYPERLINK("https://www.kleinanzeigen.de/s-bestandsliste.html?userId=46580267", "Link")</f>
        <v/>
      </c>
      <c r="K2130" s="7" t="n">
        <v>45549.57438657407</v>
      </c>
      <c r="L2130" s="3" t="inlineStr">
        <is>
          <t>486.44</t>
        </is>
      </c>
      <c r="M2130" t="inlineStr">
        <is>
          <t>Köln</t>
        </is>
      </c>
    </row>
    <row r="2131">
      <c r="A2131" t="inlineStr">
        <is>
          <t>Touring SUP Naish S26 Air 10´8"</t>
        </is>
      </c>
      <c r="B2131" s="4" t="n">
        <v>390</v>
      </c>
      <c r="C2131" t="inlineStr"/>
      <c r="D2131" t="inlineStr">
        <is>
          <t>38477 Niedersachsen - Jembke</t>
        </is>
      </c>
      <c r="E2131" s="5" t="n">
        <v>45529</v>
      </c>
      <c r="F2131" t="inlineStr"/>
      <c r="G2131" s="6">
        <f>HYPERLINK("https://www.kleinanzeigen.de/s-anzeige/touring-sup-naish-s26-air-10-8-/2845885514-230-3088", "Link")</f>
        <v/>
      </c>
      <c r="H2131" s="6">
        <f>HYPERLINK("C:\Projects\Kleinanzeigen-Scraper\offer_images\2845885514", "Link")</f>
        <v/>
      </c>
      <c r="I2131" t="inlineStr">
        <is>
          <t>Holger</t>
        </is>
      </c>
      <c r="J2131" s="6">
        <f>HYPERLINK("https://www.kleinanzeigen.de/s-bestandsliste.html?userId=57318661", "Link")</f>
        <v/>
      </c>
      <c r="K2131" s="7" t="n">
        <v>45549.574375</v>
      </c>
      <c r="L2131" s="3" t="inlineStr">
        <is>
          <t>314.62</t>
        </is>
      </c>
      <c r="M2131" t="inlineStr">
        <is>
          <t>Köln</t>
        </is>
      </c>
    </row>
    <row r="2132">
      <c r="A2132" t="inlineStr">
        <is>
          <t>Naish Wing ADX in 5,0 qm blau im TOP Zustand</t>
        </is>
      </c>
      <c r="B2132" s="4" t="n">
        <v>429</v>
      </c>
      <c r="C2132" t="inlineStr"/>
      <c r="D2132" t="inlineStr">
        <is>
          <t>82467 Bayern - Garmisch-Partenkirchen</t>
        </is>
      </c>
      <c r="E2132" s="5" t="n">
        <v>45527</v>
      </c>
      <c r="F2132" t="inlineStr">
        <is>
          <t>Sold</t>
        </is>
      </c>
      <c r="G2132" s="6">
        <f>HYPERLINK("https://www.kleinanzeigen.de/s-anzeige/naish-wing-adx-in-5-0-qm-blau-im-top-zustand/2844326441-230-6338", "Link")</f>
        <v/>
      </c>
      <c r="H2132" s="6">
        <f>HYPERLINK("C:\Projects\Kleinanzeigen-Scraper\offer_images\2844326441", "Link")</f>
        <v/>
      </c>
      <c r="I2132" t="inlineStr">
        <is>
          <t>Jürgen Mussmann</t>
        </is>
      </c>
      <c r="J2132" s="6">
        <f>HYPERLINK("https://www.kleinanzeigen.de/s-bestandsliste.html?userId=12796836", "Link")</f>
        <v/>
      </c>
      <c r="K2132" s="7" t="n">
        <v>45549.574375</v>
      </c>
      <c r="L2132" s="3" t="inlineStr">
        <is>
          <t>80.76</t>
        </is>
      </c>
      <c r="M2132" t="inlineStr">
        <is>
          <t>München</t>
        </is>
      </c>
    </row>
    <row r="2133">
      <c r="A2133" t="inlineStr">
        <is>
          <t>Neilpryde Neoprenanzug 2x getragen fast NEU</t>
        </is>
      </c>
      <c r="B2133" s="4" t="n">
        <v>75</v>
      </c>
      <c r="C2133" t="inlineStr"/>
      <c r="D2133" t="inlineStr">
        <is>
          <t>97342 Bayern - Obernbreit</t>
        </is>
      </c>
      <c r="E2133" s="5" t="n">
        <v>45523</v>
      </c>
      <c r="F2133" t="inlineStr">
        <is>
          <t>Sold</t>
        </is>
      </c>
      <c r="G2133" s="6">
        <f>HYPERLINK("https://www.kleinanzeigen.de/s-anzeige/neilpryde-neoprenanzug-2x-getragen-fast-neu/2840974625-230-18939", "Link")</f>
        <v/>
      </c>
      <c r="H2133" s="6">
        <f>HYPERLINK("C:\Projects\Kleinanzeigen-Scraper\offer_images\2840974625", "Link")</f>
        <v/>
      </c>
      <c r="I2133" t="inlineStr">
        <is>
          <t>Anna</t>
        </is>
      </c>
      <c r="J2133" s="6">
        <f>HYPERLINK("https://www.kleinanzeigen.de/s-bestandsliste.html?userId=123366681", "Link")</f>
        <v/>
      </c>
      <c r="K2133" s="7" t="n">
        <v>45549.574375</v>
      </c>
      <c r="L2133" s="3" t="inlineStr">
        <is>
          <t>139.25</t>
        </is>
      </c>
      <c r="M2133" t="inlineStr">
        <is>
          <t>Böblingen</t>
        </is>
      </c>
    </row>
    <row r="2134">
      <c r="A2134" t="inlineStr">
        <is>
          <t>Schlafsack The North Face</t>
        </is>
      </c>
      <c r="B2134" s="4" t="n">
        <v>30</v>
      </c>
      <c r="C2134" t="inlineStr">
        <is>
          <t>VB</t>
        </is>
      </c>
      <c r="D2134" t="inlineStr">
        <is>
          <t>42289 Wuppertal - Heckinghausen</t>
        </is>
      </c>
      <c r="E2134" s="5" t="n">
        <v>45536</v>
      </c>
      <c r="F2134" t="inlineStr">
        <is>
          <t>Sold</t>
        </is>
      </c>
      <c r="G2134" s="6">
        <f>HYPERLINK("https://www.kleinanzeigen.de/s-anzeige/schlafsack-the-north-face/2851229410-230-1573", "Link")</f>
        <v/>
      </c>
      <c r="H2134" s="6">
        <f>HYPERLINK("C:\Projects\Kleinanzeigen-Scraper\offer_images\2851229410", "Link")</f>
        <v/>
      </c>
      <c r="I2134" t="inlineStr">
        <is>
          <t>Greune</t>
        </is>
      </c>
      <c r="J2134" s="6">
        <f>HYPERLINK("https://www.kleinanzeigen.de/s-bestandsliste.html?userId=9389548", "Link")</f>
        <v/>
      </c>
      <c r="K2134" s="7" t="n">
        <v>45549.57436342593</v>
      </c>
      <c r="L2134" s="3" t="inlineStr">
        <is>
          <t>40.91</t>
        </is>
      </c>
      <c r="M2134" t="inlineStr">
        <is>
          <t>Köln</t>
        </is>
      </c>
    </row>
    <row r="2135">
      <c r="A2135" t="inlineStr">
        <is>
          <t>Duotone Dice 12qm (2020)</t>
        </is>
      </c>
      <c r="B2135" s="4" t="n">
        <v>650</v>
      </c>
      <c r="C2135" t="inlineStr">
        <is>
          <t>VB</t>
        </is>
      </c>
      <c r="D2135" t="inlineStr">
        <is>
          <t>24576 Schleswig-Holstein - Hitzhusen</t>
        </is>
      </c>
      <c r="E2135" s="5" t="n">
        <v>45547</v>
      </c>
      <c r="F2135" t="inlineStr">
        <is>
          <t>Sold</t>
        </is>
      </c>
      <c r="G2135" s="6">
        <f>HYPERLINK("https://www.kleinanzeigen.de/s-anzeige/duotone-dice-12qm-2020-/2861321411-230-27447", "Link")</f>
        <v/>
      </c>
      <c r="H2135" s="6">
        <f>HYPERLINK("C:\Projects\Kleinanzeigen-Scraper\offer_images\2861321411", "Link")</f>
        <v/>
      </c>
      <c r="I2135" t="inlineStr">
        <is>
          <t>Janina</t>
        </is>
      </c>
      <c r="J2135" s="6">
        <f>HYPERLINK("https://www.kleinanzeigen.de/s-bestandsliste.html?userId=22360925", "Link")</f>
        <v/>
      </c>
      <c r="K2135" s="7" t="n">
        <v>45549.57436342593</v>
      </c>
      <c r="L2135" s="3" t="inlineStr">
        <is>
          <t>384.10</t>
        </is>
      </c>
      <c r="M2135" t="inlineStr">
        <is>
          <t>Köln</t>
        </is>
      </c>
    </row>
    <row r="2136">
      <c r="A2136" t="inlineStr">
        <is>
          <t>Naish Kitebag Golfbag Boardbag 140 cm Kite Tasche Travelbag</t>
        </is>
      </c>
      <c r="B2136" s="4" t="n">
        <v>90</v>
      </c>
      <c r="C2136" t="inlineStr"/>
      <c r="D2136" t="inlineStr">
        <is>
          <t>17459 Mecklenburg-Vorpommern - Ückeritz</t>
        </is>
      </c>
      <c r="E2136" s="5" t="n">
        <v>45497</v>
      </c>
      <c r="F2136" t="inlineStr">
        <is>
          <t>Sold</t>
        </is>
      </c>
      <c r="G2136" s="6">
        <f>HYPERLINK("https://www.kleinanzeigen.de/s-anzeige/naish-kitebag-golfbag-boardbag-140-cm-kite-tasche-travelbag/2820103548-230-17003", "Link")</f>
        <v/>
      </c>
      <c r="H2136" s="6">
        <f>HYPERLINK("C:\Projects\Kleinanzeigen-Scraper\offer_images\2820103548", "Link")</f>
        <v/>
      </c>
      <c r="I2136" t="inlineStr">
        <is>
          <t>Mehr am Meer</t>
        </is>
      </c>
      <c r="J2136" s="6">
        <f>HYPERLINK("https://www.kleinanzeigen.de/s-bestandsliste.html?userId=23743922", "Link")</f>
        <v/>
      </c>
      <c r="K2136" s="7" t="n">
        <v>45549.57435185185</v>
      </c>
      <c r="L2136" s="3" t="inlineStr">
        <is>
          <t>589.30</t>
        </is>
      </c>
      <c r="M2136" t="inlineStr">
        <is>
          <t>Köln</t>
        </is>
      </c>
    </row>
    <row r="2137">
      <c r="A2137" t="inlineStr">
        <is>
          <t>Surfanzug Windsurfen Gun Sails Surfanzug Winter</t>
        </is>
      </c>
      <c r="B2137" s="4" t="n">
        <v>25</v>
      </c>
      <c r="C2137" t="inlineStr">
        <is>
          <t>VB</t>
        </is>
      </c>
      <c r="D2137" t="inlineStr">
        <is>
          <t>37269 Hessen - Eschwege</t>
        </is>
      </c>
      <c r="E2137" s="5" t="n">
        <v>45220</v>
      </c>
      <c r="F2137" t="inlineStr"/>
      <c r="G2137" s="6">
        <f>HYPERLINK("https://www.kleinanzeigen.de/s-anzeige/surfanzug-windsurfen-gun-sails-surfanzug-winter/2578836637-230-4740", "Link")</f>
        <v/>
      </c>
      <c r="H2137" s="6">
        <f>HYPERLINK("C:\Projects\Kleinanzeigen-Scraper\offer_images\2578836637", "Link")</f>
        <v/>
      </c>
      <c r="I2137" t="inlineStr">
        <is>
          <t>TL</t>
        </is>
      </c>
      <c r="J2137" s="6">
        <f>HYPERLINK("https://www.kleinanzeigen.de/s-bestandsliste.html?userId=30922705", "Link")</f>
        <v/>
      </c>
      <c r="K2137" s="7" t="n">
        <v>45549.57435185185</v>
      </c>
      <c r="L2137" s="3" t="inlineStr">
        <is>
          <t>217.89</t>
        </is>
      </c>
      <c r="M2137" t="inlineStr">
        <is>
          <t>Köln</t>
        </is>
      </c>
    </row>
    <row r="2138">
      <c r="A2138" t="inlineStr">
        <is>
          <t>Neilpryde Lycra/ UV-Shirt, M</t>
        </is>
      </c>
      <c r="B2138" s="4" t="n">
        <v>35</v>
      </c>
      <c r="C2138" t="inlineStr"/>
      <c r="D2138" t="inlineStr">
        <is>
          <t>48157 Münster (Westfalen) - Handorf</t>
        </is>
      </c>
      <c r="E2138" s="5" t="n">
        <v>45521</v>
      </c>
      <c r="F2138" t="inlineStr"/>
      <c r="G2138" s="6">
        <f>HYPERLINK("https://www.kleinanzeigen.de/s-anzeige/neilpryde-lycra-uv-shirt-m/2838680185-230-18765", "Link")</f>
        <v/>
      </c>
      <c r="H2138" s="6">
        <f>HYPERLINK("C:\Projects\Kleinanzeigen-Scraper\offer_images\2838680185", "Link")</f>
        <v/>
      </c>
      <c r="I2138" t="inlineStr">
        <is>
          <t>Denise</t>
        </is>
      </c>
      <c r="J2138" s="6">
        <f>HYPERLINK("https://www.kleinanzeigen.de/s-bestandsliste.html?userId=9468514", "Link")</f>
        <v/>
      </c>
      <c r="K2138" s="7" t="n">
        <v>45549.57435185185</v>
      </c>
      <c r="L2138" s="3" t="inlineStr">
        <is>
          <t>129.71</t>
        </is>
      </c>
      <c r="M2138" t="inlineStr">
        <is>
          <t>Köln</t>
        </is>
      </c>
    </row>
    <row r="2139">
      <c r="A2139" t="inlineStr">
        <is>
          <t>RRD OBSESSION MK9 Kite 10,5 m2 (2018)</t>
        </is>
      </c>
      <c r="B2139" s="4" t="n">
        <v>175</v>
      </c>
      <c r="C2139" t="inlineStr">
        <is>
          <t>VB</t>
        </is>
      </c>
      <c r="D2139" t="inlineStr">
        <is>
          <t>24955 Schleswig-Holstein - Harrislee</t>
        </is>
      </c>
      <c r="E2139" s="5" t="n">
        <v>45457</v>
      </c>
      <c r="F2139" t="inlineStr">
        <is>
          <t>Sold</t>
        </is>
      </c>
      <c r="G2139" s="6">
        <f>HYPERLINK("https://www.kleinanzeigen.de/s-anzeige/rrd-obsession-mk9-kite-10-5-m2-2018-/2787873300-230-734", "Link")</f>
        <v/>
      </c>
      <c r="H2139" s="6">
        <f>HYPERLINK("C:\Projects\Kleinanzeigen-Scraper\offer_images\2787873300", "Link")</f>
        <v/>
      </c>
      <c r="I2139" t="inlineStr">
        <is>
          <t>M. Blanck</t>
        </is>
      </c>
      <c r="J2139" s="6">
        <f>HYPERLINK("https://www.kleinanzeigen.de/s-bestandsliste.html?userId=24400847", "Link")</f>
        <v/>
      </c>
      <c r="K2139" s="7" t="n">
        <v>45549.57434027778</v>
      </c>
      <c r="L2139" s="3" t="inlineStr">
        <is>
          <t>459.37</t>
        </is>
      </c>
      <c r="M2139" t="inlineStr">
        <is>
          <t>Köln</t>
        </is>
      </c>
    </row>
    <row r="2140">
      <c r="A2140" t="inlineStr">
        <is>
          <t>Duotone WHIZZ SLS - 850 Set / NEU / Wingfoil Foil</t>
        </is>
      </c>
      <c r="B2140" s="4" t="n">
        <v>599</v>
      </c>
      <c r="C2140" t="inlineStr">
        <is>
          <t>VB</t>
        </is>
      </c>
      <c r="D2140" t="inlineStr">
        <is>
          <t>10707 Berlin - Wilmersdorf</t>
        </is>
      </c>
      <c r="E2140" s="5" t="n">
        <v>45538</v>
      </c>
      <c r="F2140" t="inlineStr">
        <is>
          <t>Sold</t>
        </is>
      </c>
      <c r="G2140" s="6">
        <f>HYPERLINK("https://www.kleinanzeigen.de/s-anzeige/duotone-whizz-sls-850-set-neu-wingfoil-foil/2853681552-230-3534", "Link")</f>
        <v/>
      </c>
      <c r="H2140" s="6">
        <f>HYPERLINK("C:\Projects\Kleinanzeigen-Scraper\offer_images\2853681552", "Link")</f>
        <v/>
      </c>
      <c r="I2140" t="inlineStr">
        <is>
          <t>California Dream</t>
        </is>
      </c>
      <c r="J2140" s="6">
        <f>HYPERLINK("https://www.kleinanzeigen.de/s-bestandsliste.html?userId=6488201", "Link")</f>
        <v/>
      </c>
      <c r="K2140" s="7" t="n">
        <v>45549.5743287037</v>
      </c>
      <c r="L2140" s="3" t="inlineStr">
        <is>
          <t>470.94</t>
        </is>
      </c>
      <c r="M2140" t="inlineStr">
        <is>
          <t>Köln</t>
        </is>
      </c>
    </row>
    <row r="2141">
      <c r="A2141" t="inlineStr">
        <is>
          <t>NAISH PIVOT 9 u. 6 + Torque 2 Bar</t>
        </is>
      </c>
      <c r="B2141" s="4" t="n">
        <v>1.45</v>
      </c>
      <c r="C2141" t="inlineStr">
        <is>
          <t>VB</t>
        </is>
      </c>
      <c r="D2141" t="inlineStr">
        <is>
          <t>82418 Bayern - Murnau am Staffelsee</t>
        </is>
      </c>
      <c r="E2141" s="5" t="n">
        <v>45549</v>
      </c>
      <c r="F2141" t="inlineStr">
        <is>
          <t>Sold</t>
        </is>
      </c>
      <c r="G2141" s="6">
        <f>HYPERLINK("https://www.kleinanzeigen.de/s-anzeige/naish-pivot-9-u-6-torque-2-bar/2863014589-230-10648", "Link")</f>
        <v/>
      </c>
      <c r="H2141" s="6">
        <f>HYPERLINK("C:\Projects\Kleinanzeigen-Scraper\offer_images\2863014589", "Link")</f>
        <v/>
      </c>
      <c r="I2141" t="inlineStr">
        <is>
          <t>Franz Stör</t>
        </is>
      </c>
      <c r="J2141" s="6">
        <f>HYPERLINK("https://www.kleinanzeigen.de/s-bestandsliste.html?userId=21021256", "Link")</f>
        <v/>
      </c>
      <c r="K2141" s="7" t="n">
        <v>45549.5743287037</v>
      </c>
      <c r="L2141" s="3" t="inlineStr">
        <is>
          <t>57.83</t>
        </is>
      </c>
      <c r="M2141" t="inlineStr">
        <is>
          <t>München</t>
        </is>
      </c>
    </row>
    <row r="2142">
      <c r="A2142" t="inlineStr">
        <is>
          <t>North Western Sealey Swimfeeder</t>
        </is>
      </c>
      <c r="B2142" s="4" t="n">
        <v>1</v>
      </c>
      <c r="C2142" t="inlineStr">
        <is>
          <t>VB</t>
        </is>
      </c>
      <c r="D2142" t="inlineStr">
        <is>
          <t>48653 Nordrhein-Westfalen - Coesfeld</t>
        </is>
      </c>
      <c r="E2142" s="5" t="n">
        <v>45545</v>
      </c>
      <c r="F2142" t="inlineStr">
        <is>
          <t>Sold</t>
        </is>
      </c>
      <c r="G2142" s="6">
        <f>HYPERLINK("https://www.kleinanzeigen.de/s-anzeige/north-western-sealey-swimfeeder/2859856874-230-1173", "Link")</f>
        <v/>
      </c>
      <c r="H2142" s="6">
        <f>HYPERLINK("C:\Projects\Kleinanzeigen-Scraper\offer_images\2859856874", "Link")</f>
        <v/>
      </c>
      <c r="I2142" t="inlineStr">
        <is>
          <t>Vormann Christan</t>
        </is>
      </c>
      <c r="J2142" s="6">
        <f>HYPERLINK("https://www.kleinanzeigen.de/s-bestandsliste.html?userId=1613353", "Link")</f>
        <v/>
      </c>
      <c r="K2142" s="7" t="n">
        <v>45549.57430555556</v>
      </c>
      <c r="L2142" s="3" t="inlineStr">
        <is>
          <t>108.96</t>
        </is>
      </c>
      <c r="M2142" t="inlineStr">
        <is>
          <t>Köln</t>
        </is>
      </c>
    </row>
    <row r="2143">
      <c r="A2143" t="inlineStr">
        <is>
          <t>Duotone Trustbar 2024</t>
        </is>
      </c>
      <c r="B2143" s="4" t="n">
        <v>300</v>
      </c>
      <c r="C2143" t="inlineStr">
        <is>
          <t>VB</t>
        </is>
      </c>
      <c r="D2143" t="inlineStr">
        <is>
          <t>21423 Niedersachsen - Winsen (Luhe)</t>
        </is>
      </c>
      <c r="E2143" s="5" t="n">
        <v>45543</v>
      </c>
      <c r="F2143" t="inlineStr">
        <is>
          <t>Sold</t>
        </is>
      </c>
      <c r="G2143" s="6">
        <f>HYPERLINK("https://www.kleinanzeigen.de/s-anzeige/duotone-trustbar-2024/2832678965-230-3223", "Link")</f>
        <v/>
      </c>
      <c r="H2143" s="6">
        <f>HYPERLINK("C:\Projects\Kleinanzeigen-Scraper\offer_images\2832678965", "Link")</f>
        <v/>
      </c>
      <c r="I2143" t="inlineStr">
        <is>
          <t>No user name</t>
        </is>
      </c>
      <c r="J2143" s="6">
        <f>HYPERLINK("https://www.kleinanzeigen.deNo user link", "Link")</f>
        <v/>
      </c>
      <c r="K2143" s="7" t="n">
        <v>45549.57430555556</v>
      </c>
      <c r="L2143" s="3" t="inlineStr">
        <is>
          <t>349.14</t>
        </is>
      </c>
      <c r="M2143" t="inlineStr">
        <is>
          <t>Köln</t>
        </is>
      </c>
    </row>
    <row r="2144">
      <c r="A2144" t="inlineStr">
        <is>
          <t>Neuer Kitesurf Allround Freeride Wave Kite Naish Triad 7qm</t>
        </is>
      </c>
      <c r="B2144" s="4" t="n">
        <v>550</v>
      </c>
      <c r="C2144" t="inlineStr">
        <is>
          <t>VB</t>
        </is>
      </c>
      <c r="D2144" t="inlineStr">
        <is>
          <t>22399 Wandsbek - Hamburg Poppenbüttel</t>
        </is>
      </c>
      <c r="E2144" s="5" t="n">
        <v>45543</v>
      </c>
      <c r="F2144" t="inlineStr">
        <is>
          <t>Sold</t>
        </is>
      </c>
      <c r="G2144" s="6">
        <f>HYPERLINK("https://www.kleinanzeigen.de/s-anzeige/neuer-kitesurf-allround-freeride-wave-kite-naish-triad-7qm/2857122840-230-18568", "Link")</f>
        <v/>
      </c>
      <c r="H2144" s="6">
        <f>HYPERLINK("C:\Projects\Kleinanzeigen-Scraper\offer_images\2857122840", "Link")</f>
        <v/>
      </c>
      <c r="I2144" t="inlineStr">
        <is>
          <t>Raymond</t>
        </is>
      </c>
      <c r="J2144" s="6">
        <f>HYPERLINK("https://www.kleinanzeigen.de/s-bestandsliste.html?userId=13021969", "Link")</f>
        <v/>
      </c>
      <c r="K2144" s="7" t="n">
        <v>45549.57430555556</v>
      </c>
      <c r="L2144" s="3" t="inlineStr">
        <is>
          <t>369.80</t>
        </is>
      </c>
      <c r="M2144" t="inlineStr">
        <is>
          <t>Köln</t>
        </is>
      </c>
    </row>
    <row r="2145">
      <c r="A2145" t="inlineStr">
        <is>
          <t>29 Tuben Ölfarbe Goya Ölfarben</t>
        </is>
      </c>
      <c r="B2145" s="4" t="n">
        <v>18</v>
      </c>
      <c r="C2145" t="inlineStr">
        <is>
          <t>VB</t>
        </is>
      </c>
      <c r="D2145" t="inlineStr">
        <is>
          <t>18437 Mecklenburg-Vorpommern - Stralsund</t>
        </is>
      </c>
      <c r="E2145" s="5" t="n">
        <v>45544</v>
      </c>
      <c r="F2145" t="inlineStr">
        <is>
          <t>Sold</t>
        </is>
      </c>
      <c r="G2145" s="6">
        <f>HYPERLINK("https://www.kleinanzeigen.de/s-anzeige/29-tuben-oelfarbe-goya-oelfarben/2858481640-282-136", "Link")</f>
        <v/>
      </c>
      <c r="H2145" s="6">
        <f>HYPERLINK("C:\Projects\Kleinanzeigen-Scraper\offer_images\2858481640", "Link")</f>
        <v/>
      </c>
      <c r="I2145" t="inlineStr">
        <is>
          <t>Cassiopeia</t>
        </is>
      </c>
      <c r="J2145" s="6">
        <f>HYPERLINK("https://www.kleinanzeigen.de/s-bestandsliste.html?userId=63310903", "Link")</f>
        <v/>
      </c>
      <c r="K2145" s="7" t="n">
        <v>45549.5742824074</v>
      </c>
      <c r="L2145" s="3" t="inlineStr">
        <is>
          <t>555.96</t>
        </is>
      </c>
      <c r="M2145" t="inlineStr">
        <is>
          <t>Köln</t>
        </is>
      </c>
    </row>
    <row r="2146">
      <c r="A2146" t="inlineStr">
        <is>
          <t>Simms Wathose M‘s Tributary Stockingfoot Gr. M - NEU &amp; Ungetragen</t>
        </is>
      </c>
      <c r="B2146" s="4" t="n">
        <v>190</v>
      </c>
      <c r="C2146" t="inlineStr">
        <is>
          <t>VB</t>
        </is>
      </c>
      <c r="D2146" t="inlineStr">
        <is>
          <t>24376 Schleswig-Holstein - Grödersby</t>
        </is>
      </c>
      <c r="E2146" s="5" t="n">
        <v>45500</v>
      </c>
      <c r="F2146" t="inlineStr"/>
      <c r="G2146" s="6">
        <f>HYPERLINK("https://www.kleinanzeigen.de/s-anzeige/simms-wathose-m-s-tributary-stockingfoot-gr-m-neu-ungetragen/2822421017-230-18589", "Link")</f>
        <v/>
      </c>
      <c r="H2146" s="6">
        <f>HYPERLINK("C:\Projects\Kleinanzeigen-Scraper\offer_images\2822421017", "Link")</f>
        <v/>
      </c>
      <c r="I2146" t="inlineStr">
        <is>
          <t>R.K.</t>
        </is>
      </c>
      <c r="J2146" s="6">
        <f>HYPERLINK("https://www.kleinanzeigen.de/s-bestandsliste.html?userId=33794124", "Link")</f>
        <v/>
      </c>
      <c r="K2146" s="7" t="n">
        <v>45549.5742824074</v>
      </c>
      <c r="L2146" s="3" t="inlineStr">
        <is>
          <t>461.27</t>
        </is>
      </c>
      <c r="M2146" t="inlineStr">
        <is>
          <t>Köln</t>
        </is>
      </c>
    </row>
    <row r="2147">
      <c r="A2147" t="inlineStr">
        <is>
          <t>Acrylfarbe Reste (teilweise fast voll) Goya</t>
        </is>
      </c>
      <c r="B2147" s="4" t="n">
        <v>15</v>
      </c>
      <c r="C2147" t="inlineStr">
        <is>
          <t>VB</t>
        </is>
      </c>
      <c r="D2147" t="inlineStr">
        <is>
          <t>76829 Rheinland-Pfalz - Landau-Godramstein</t>
        </is>
      </c>
      <c r="E2147" s="5" t="n">
        <v>45489</v>
      </c>
      <c r="F2147" t="inlineStr"/>
      <c r="G2147" s="6">
        <f>HYPERLINK("https://www.kleinanzeigen.de/s-anzeige/acrylfarbe-reste-teilweise-fast-voll-goya/2813730545-282-22284", "Link")</f>
        <v/>
      </c>
      <c r="H2147" s="6">
        <f>HYPERLINK("C:\Projects\Kleinanzeigen-Scraper\offer_images\2813730545", "Link")</f>
        <v/>
      </c>
      <c r="I2147" t="inlineStr">
        <is>
          <t>Emma Forkel</t>
        </is>
      </c>
      <c r="J2147" s="6">
        <f>HYPERLINK("https://www.kleinanzeigen.de/s-bestandsliste.html?userId=55154517", "Link")</f>
        <v/>
      </c>
      <c r="K2147" s="7" t="n">
        <v>45549.5742824074</v>
      </c>
      <c r="L2147" s="3" t="inlineStr">
        <is>
          <t>30.09</t>
        </is>
      </c>
      <c r="M2147" t="inlineStr">
        <is>
          <t>Karlsruhe</t>
        </is>
      </c>
    </row>
    <row r="2148">
      <c r="A2148" t="inlineStr">
        <is>
          <t>Kite North Rhino 12m</t>
        </is>
      </c>
      <c r="B2148" s="4" t="n">
        <v>50</v>
      </c>
      <c r="C2148" t="inlineStr">
        <is>
          <t>VB</t>
        </is>
      </c>
      <c r="D2148" t="inlineStr">
        <is>
          <t>45721 Nordrhein-Westfalen - Haltern am See</t>
        </is>
      </c>
      <c r="E2148" s="5" t="n">
        <v>45536</v>
      </c>
      <c r="F2148" t="inlineStr">
        <is>
          <t>Sold</t>
        </is>
      </c>
      <c r="G2148" s="6">
        <f>HYPERLINK("https://www.kleinanzeigen.de/s-anzeige/kite-north-rhino-12m/2851799151-230-1336", "Link")</f>
        <v/>
      </c>
      <c r="H2148" s="6">
        <f>HYPERLINK("C:\Projects\Kleinanzeigen-Scraper\offer_images\2851799151", "Link")</f>
        <v/>
      </c>
      <c r="I2148" t="inlineStr">
        <is>
          <t>Dominik Brink</t>
        </is>
      </c>
      <c r="J2148" s="6">
        <f>HYPERLINK("https://www.kleinanzeigen.de/s-bestandsliste.html?userId=17619670", "Link")</f>
        <v/>
      </c>
      <c r="K2148" s="7" t="n">
        <v>45549.5742824074</v>
      </c>
      <c r="L2148" s="3" t="inlineStr">
        <is>
          <t>95.03</t>
        </is>
      </c>
      <c r="M2148" t="inlineStr">
        <is>
          <t>Köln</t>
        </is>
      </c>
    </row>
    <row r="2149">
      <c r="A2149" t="inlineStr">
        <is>
          <t>Bart the Vandal</t>
        </is>
      </c>
      <c r="B2149" s="4" t="n">
        <v>50</v>
      </c>
      <c r="C2149" t="inlineStr">
        <is>
          <t>VB</t>
        </is>
      </c>
      <c r="D2149" t="inlineStr">
        <is>
          <t>47877 Nordrhein-Westfalen - Willich</t>
        </is>
      </c>
      <c r="E2149" s="5" t="n">
        <v>45239</v>
      </c>
      <c r="F2149" t="inlineStr"/>
      <c r="G2149" s="6">
        <f>HYPERLINK("https://www.kleinanzeigen.de/s-anzeige/bart-the-vandal/2597822216-234-1918", "Link")</f>
        <v/>
      </c>
      <c r="H2149" s="6">
        <f>HYPERLINK("C:\Projects\Kleinanzeigen-Scraper\offer_images\2597822216", "Link")</f>
        <v/>
      </c>
      <c r="I2149" t="inlineStr">
        <is>
          <t>H. Topel</t>
        </is>
      </c>
      <c r="J2149" s="6">
        <f>HYPERLINK("https://www.kleinanzeigen.de/s-bestandsliste.html?userId=21980431", "Link")</f>
        <v/>
      </c>
      <c r="K2149" s="7" t="n">
        <v>45549.57425925926</v>
      </c>
      <c r="L2149" s="3" t="inlineStr">
        <is>
          <t>47.48</t>
        </is>
      </c>
      <c r="M2149" t="inlineStr">
        <is>
          <t>Köln</t>
        </is>
      </c>
    </row>
    <row r="2150">
      <c r="A2150" t="inlineStr">
        <is>
          <t>Fanatic Duotone Glide 905 / 180</t>
        </is>
      </c>
      <c r="B2150" s="4" t="n">
        <v>299</v>
      </c>
      <c r="C2150" t="inlineStr"/>
      <c r="D2150" t="inlineStr">
        <is>
          <t>83395 Bayern - Freilassing</t>
        </is>
      </c>
      <c r="E2150" s="5" t="n">
        <v>45541</v>
      </c>
      <c r="F2150" t="inlineStr">
        <is>
          <t>Sold</t>
        </is>
      </c>
      <c r="G2150" s="6">
        <f>HYPERLINK("https://www.kleinanzeigen.de/s-anzeige/fanatic-duotone-glide-905-180/2855595553-230-6273", "Link")</f>
        <v/>
      </c>
      <c r="H2150" s="6">
        <f>HYPERLINK("C:\Projects\Kleinanzeigen-Scraper\offer_images\2855595553", "Link")</f>
        <v/>
      </c>
      <c r="I2150" t="inlineStr">
        <is>
          <t>Harald</t>
        </is>
      </c>
      <c r="J2150" s="6">
        <f>HYPERLINK("https://www.kleinanzeigen.de/s-bestandsliste.html?userId=48509048", "Link")</f>
        <v/>
      </c>
      <c r="K2150" s="7" t="n">
        <v>45549.57425925926</v>
      </c>
      <c r="L2150" s="3" t="inlineStr">
        <is>
          <t>108.85</t>
        </is>
      </c>
      <c r="M2150" t="inlineStr">
        <is>
          <t>München</t>
        </is>
      </c>
    </row>
    <row r="2151">
      <c r="A2151" t="inlineStr">
        <is>
          <t>Kite North EVO 14 Bestzustand</t>
        </is>
      </c>
      <c r="B2151" s="4" t="n">
        <v>490</v>
      </c>
      <c r="C2151" t="inlineStr"/>
      <c r="D2151" t="inlineStr">
        <is>
          <t>53340 Nordrhein-Westfalen - Meckenheim</t>
        </is>
      </c>
      <c r="E2151" s="5" t="n">
        <v>45548</v>
      </c>
      <c r="F2151" t="inlineStr">
        <is>
          <t>Sold</t>
        </is>
      </c>
      <c r="G2151" s="6">
        <f>HYPERLINK("https://www.kleinanzeigen.de/s-anzeige/kite-north-evo-14-bestzustand/2817496742-242-1684", "Link")</f>
        <v/>
      </c>
      <c r="H2151" s="6">
        <f>HYPERLINK("C:\Projects\Kleinanzeigen-Scraper\offer_images\2817496742", "Link")</f>
        <v/>
      </c>
      <c r="I2151" t="inlineStr">
        <is>
          <t>Herbert Fritz</t>
        </is>
      </c>
      <c r="J2151" s="6">
        <f>HYPERLINK("https://www.kleinanzeigen.de/s-bestandsliste.html?userId=6892200", "Link")</f>
        <v/>
      </c>
      <c r="K2151" s="7" t="n">
        <v>45549.57425925926</v>
      </c>
      <c r="L2151" s="3" t="inlineStr">
        <is>
          <t>35.79</t>
        </is>
      </c>
      <c r="M2151" t="inlineStr">
        <is>
          <t>Köln</t>
        </is>
      </c>
    </row>
    <row r="2152">
      <c r="A2152" t="inlineStr">
        <is>
          <t>North Evo 9m2 beschädigt Kite Kitesurfen</t>
        </is>
      </c>
      <c r="B2152" s="4" t="inlineStr"/>
      <c r="C2152" t="inlineStr">
        <is>
          <t>VB</t>
        </is>
      </c>
      <c r="D2152" t="inlineStr">
        <is>
          <t>12683 Berlin - Biesdorf</t>
        </is>
      </c>
      <c r="E2152" s="5" t="n">
        <v>45545</v>
      </c>
      <c r="F2152" t="inlineStr">
        <is>
          <t>Sold</t>
        </is>
      </c>
      <c r="G2152" s="6">
        <f>HYPERLINK("https://www.kleinanzeigen.de/s-anzeige/north-evo-9m2-beschaedigt-kite-kitesurfen/2859430012-230-19394", "Link")</f>
        <v/>
      </c>
      <c r="H2152" s="6">
        <f>HYPERLINK("C:\Projects\Kleinanzeigen-Scraper\offer_images\2859430012", "Link")</f>
        <v/>
      </c>
      <c r="I2152" t="inlineStr">
        <is>
          <t>WirRäumenAuf</t>
        </is>
      </c>
      <c r="J2152" s="6">
        <f>HYPERLINK("https://www.kleinanzeigen.de/s-bestandsliste.html?userId=8358509", "Link")</f>
        <v/>
      </c>
      <c r="K2152" s="7" t="n">
        <v>45549.57425925926</v>
      </c>
      <c r="L2152" s="3" t="inlineStr">
        <is>
          <t>486.67</t>
        </is>
      </c>
      <c r="M2152" t="inlineStr">
        <is>
          <t>Köln</t>
        </is>
      </c>
    </row>
    <row r="2153">
      <c r="A2153" t="inlineStr">
        <is>
          <t>IQ- Foil Starboard / Windsurfing Foil gesamt oder in Teilen</t>
        </is>
      </c>
      <c r="B2153" s="4" t="inlineStr"/>
      <c r="C2153" t="inlineStr">
        <is>
          <t>VB</t>
        </is>
      </c>
      <c r="D2153" t="inlineStr">
        <is>
          <t>55128 Rheinland-Pfalz - Mainz</t>
        </is>
      </c>
      <c r="E2153" s="5" t="n">
        <v>45533</v>
      </c>
      <c r="F2153" t="inlineStr"/>
      <c r="G2153" s="6">
        <f>HYPERLINK("https://www.kleinanzeigen.de/s-anzeige/iq-foil-starboard-windsurfing-foil-gesamt-oder-in-teilen/2849454299-230-5321", "Link")</f>
        <v/>
      </c>
      <c r="H2153" s="6">
        <f>HYPERLINK("C:\Projects\Kleinanzeigen-Scraper\offer_images\2849454299", "Link")</f>
        <v/>
      </c>
      <c r="I2153" t="inlineStr">
        <is>
          <t>Ralf Rockenbauch</t>
        </is>
      </c>
      <c r="J2153" s="6">
        <f>HYPERLINK("https://www.kleinanzeigen.de/s-bestandsliste.html?userId=35714984", "Link")</f>
        <v/>
      </c>
      <c r="K2153" s="7" t="n">
        <v>45549.57424768519</v>
      </c>
      <c r="L2153" s="3" t="inlineStr">
        <is>
          <t>108.61</t>
        </is>
      </c>
      <c r="M2153" t="inlineStr">
        <is>
          <t>Karlsruhe</t>
        </is>
      </c>
    </row>
    <row r="2154">
      <c r="A2154" t="inlineStr">
        <is>
          <t>Duotone Aero Glide SLS 1595 Set</t>
        </is>
      </c>
      <c r="B2154" s="4" t="n">
        <v>685</v>
      </c>
      <c r="C2154" t="inlineStr">
        <is>
          <t>VB</t>
        </is>
      </c>
      <c r="D2154" t="inlineStr">
        <is>
          <t>63075 Hessen - Offenbach</t>
        </is>
      </c>
      <c r="E2154" s="5" t="n">
        <v>45549</v>
      </c>
      <c r="F2154" t="inlineStr">
        <is>
          <t>Sold</t>
        </is>
      </c>
      <c r="G2154" s="6">
        <f>HYPERLINK("https://www.kleinanzeigen.de/s-anzeige/duotone-aero-glide-sls-1595-set/2862810832-230-4356", "Link")</f>
        <v/>
      </c>
      <c r="H2154" s="6">
        <f>HYPERLINK("C:\Projects\Kleinanzeigen-Scraper\offer_images\2862810832", "Link")</f>
        <v/>
      </c>
      <c r="I2154" t="inlineStr">
        <is>
          <t>Chr. Doetsch</t>
        </is>
      </c>
      <c r="J2154" s="6">
        <f>HYPERLINK("https://www.kleinanzeigen.de/s-bestandsliste.html?userId=18166072", "Link")</f>
        <v/>
      </c>
      <c r="K2154" s="7" t="n">
        <v>45549.57423611111</v>
      </c>
      <c r="L2154" s="3" t="inlineStr">
        <is>
          <t>127.53</t>
        </is>
      </c>
      <c r="M2154" t="inlineStr">
        <is>
          <t>Karlsruhe</t>
        </is>
      </c>
    </row>
    <row r="2155">
      <c r="A2155" t="inlineStr">
        <is>
          <t>Duotone Neo SLS 2024, 5 qm, Kite, top Zustand TOP</t>
        </is>
      </c>
      <c r="B2155" s="4" t="n">
        <v>900</v>
      </c>
      <c r="C2155" t="inlineStr"/>
      <c r="D2155" t="inlineStr">
        <is>
          <t>86899 Bayern - Landsberg (Lech)</t>
        </is>
      </c>
      <c r="E2155" s="5" t="n">
        <v>45547</v>
      </c>
      <c r="F2155" t="inlineStr">
        <is>
          <t>Sold</t>
        </is>
      </c>
      <c r="G2155" s="6">
        <f>HYPERLINK("https://www.kleinanzeigen.de/s-anzeige/duotone-neo-sls-2024-5-qm-kite-top-zustand-top/2861035899-230-7091", "Link")</f>
        <v/>
      </c>
      <c r="H2155" s="6">
        <f>HYPERLINK("C:\Projects\Kleinanzeigen-Scraper\offer_images\2861035899", "Link")</f>
        <v/>
      </c>
      <c r="I2155" t="inlineStr">
        <is>
          <t>Chris</t>
        </is>
      </c>
      <c r="J2155" s="6">
        <f>HYPERLINK("https://www.kleinanzeigen.de/s-bestandsliste.html?userId=16182812", "Link")</f>
        <v/>
      </c>
      <c r="K2155" s="7" t="n">
        <v>45549.57422453703</v>
      </c>
      <c r="L2155" s="3" t="inlineStr">
        <is>
          <t>55.05</t>
        </is>
      </c>
      <c r="M2155" t="inlineStr">
        <is>
          <t>München</t>
        </is>
      </c>
    </row>
    <row r="2156">
      <c r="A2156" t="inlineStr">
        <is>
          <t>Surfbag Neilpryde Streamliner, Tasche</t>
        </is>
      </c>
      <c r="B2156" s="4" t="n">
        <v>50</v>
      </c>
      <c r="C2156" t="inlineStr">
        <is>
          <t>VB</t>
        </is>
      </c>
      <c r="D2156" t="inlineStr">
        <is>
          <t>81369 München - Sendling</t>
        </is>
      </c>
      <c r="E2156" s="5" t="n">
        <v>45536</v>
      </c>
      <c r="F2156" t="inlineStr"/>
      <c r="G2156" s="6">
        <f>HYPERLINK("https://www.kleinanzeigen.de/s-anzeige/surfbag-neilpryde-streamliner-tasche/2851250597-230-16382", "Link")</f>
        <v/>
      </c>
      <c r="H2156" s="6">
        <f>HYPERLINK("C:\Projects\Kleinanzeigen-Scraper\offer_images\2851250597", "Link")</f>
        <v/>
      </c>
      <c r="I2156" t="inlineStr">
        <is>
          <t>Moritz von Unold</t>
        </is>
      </c>
      <c r="J2156" s="6">
        <f>HYPERLINK("https://www.kleinanzeigen.de/s-bestandsliste.html?userId=24552406", "Link")</f>
        <v/>
      </c>
      <c r="K2156" s="7" t="n">
        <v>45549.57422453703</v>
      </c>
      <c r="L2156" s="3" t="inlineStr">
        <is>
          <t>4.53</t>
        </is>
      </c>
      <c r="M2156" t="inlineStr">
        <is>
          <t>München</t>
        </is>
      </c>
    </row>
    <row r="2157">
      <c r="A2157" t="inlineStr">
        <is>
          <t>Neilpryde NP Double Boardbag 252/70 Windsurfing</t>
        </is>
      </c>
      <c r="B2157" s="4" t="n">
        <v>185</v>
      </c>
      <c r="C2157" t="inlineStr"/>
      <c r="D2157" t="inlineStr">
        <is>
          <t>83278 Bayern - Traunstein</t>
        </is>
      </c>
      <c r="E2157" s="5" t="n">
        <v>45502</v>
      </c>
      <c r="F2157" t="inlineStr">
        <is>
          <t>Sold</t>
        </is>
      </c>
      <c r="G2157" s="6">
        <f>HYPERLINK("https://www.kleinanzeigen.de/s-anzeige/neilpryde-np-double-boardbag-252-70-windsurfing/2823852863-230-5740", "Link")</f>
        <v/>
      </c>
      <c r="H2157" s="6">
        <f>HYPERLINK("C:\Projects\Kleinanzeigen-Scraper\offer_images\2823852863", "Link")</f>
        <v/>
      </c>
      <c r="I2157" t="inlineStr">
        <is>
          <t>Marinus</t>
        </is>
      </c>
      <c r="J2157" s="6">
        <f>HYPERLINK("https://www.kleinanzeigen.de/s-bestandsliste.html?userId=17799557", "Link")</f>
        <v/>
      </c>
      <c r="K2157" s="7" t="n">
        <v>45549.57420138889</v>
      </c>
      <c r="L2157" s="3" t="inlineStr">
        <is>
          <t>84.14</t>
        </is>
      </c>
      <c r="M2157" t="inlineStr">
        <is>
          <t>München</t>
        </is>
      </c>
    </row>
    <row r="2158">
      <c r="A2158" t="inlineStr">
        <is>
          <t>Pin aus Kanada, North-West-Territories Fort Liard</t>
        </is>
      </c>
      <c r="B2158" s="4" t="n">
        <v>15</v>
      </c>
      <c r="C2158" t="inlineStr"/>
      <c r="D2158" t="inlineStr">
        <is>
          <t>71254 Baden-Württemberg - Ditzingen</t>
        </is>
      </c>
      <c r="E2158" s="5" t="n">
        <v>45545</v>
      </c>
      <c r="F2158" t="inlineStr">
        <is>
          <t>Sold</t>
        </is>
      </c>
      <c r="G2158" s="6">
        <f>HYPERLINK("https://www.kleinanzeigen.de/s-anzeige/pin-aus-kanada-north-west-territories-fort-liard/2859629110-234-8865", "Link")</f>
        <v/>
      </c>
      <c r="H2158" s="6">
        <f>HYPERLINK("C:\Projects\Kleinanzeigen-Scraper\offer_images\2859629110", "Link")</f>
        <v/>
      </c>
      <c r="I2158" t="inlineStr">
        <is>
          <t>B. Reimann</t>
        </is>
      </c>
      <c r="J2158" s="6">
        <f>HYPERLINK("https://www.kleinanzeigen.de/s-bestandsliste.html?userId=51254072", "Link")</f>
        <v/>
      </c>
      <c r="K2158" s="7" t="n">
        <v>45549.57420138889</v>
      </c>
      <c r="L2158" s="3" t="inlineStr">
        <is>
          <t>18.57</t>
        </is>
      </c>
      <c r="M2158" t="inlineStr">
        <is>
          <t>Böblingen</t>
        </is>
      </c>
    </row>
    <row r="2159">
      <c r="A2159" t="inlineStr">
        <is>
          <t>Isabella Vorzelt Capri North A950/G18 inkl. Carbon-X Gestänge</t>
        </is>
      </c>
      <c r="B2159" s="4" t="n">
        <v>1.85</v>
      </c>
      <c r="C2159" t="inlineStr">
        <is>
          <t>VB</t>
        </is>
      </c>
      <c r="D2159" t="inlineStr">
        <is>
          <t>78658 Baden-Württemberg - Zimmern ob Rottweil</t>
        </is>
      </c>
      <c r="E2159" s="5" t="n">
        <v>45547</v>
      </c>
      <c r="F2159" t="inlineStr">
        <is>
          <t>Sold</t>
        </is>
      </c>
      <c r="G2159" s="6">
        <f>HYPERLINK("https://www.kleinanzeigen.de/s-anzeige/isabella-vorzelt-capri-north-a950-g18-inkl-carbon-x-gestaenge/2861285136-230-8522", "Link")</f>
        <v/>
      </c>
      <c r="H2159" s="6">
        <f>HYPERLINK("C:\Projects\Kleinanzeigen-Scraper\offer_images\2861285136", "Link")</f>
        <v/>
      </c>
      <c r="I2159" t="inlineStr">
        <is>
          <t>Kathrin</t>
        </is>
      </c>
      <c r="J2159" s="6">
        <f>HYPERLINK("https://www.kleinanzeigen.de/s-bestandsliste.html?userId=15673849", "Link")</f>
        <v/>
      </c>
      <c r="K2159" s="7" t="n">
        <v>45549.57418981481</v>
      </c>
      <c r="L2159" s="3" t="inlineStr">
        <is>
          <t>43.35</t>
        </is>
      </c>
      <c r="M2159" t="inlineStr">
        <is>
          <t>Bonndorf</t>
        </is>
      </c>
    </row>
    <row r="2160">
      <c r="A2160" t="inlineStr">
        <is>
          <t>Naish Torch 12qm von 2009</t>
        </is>
      </c>
      <c r="B2160" s="4" t="n">
        <v>40</v>
      </c>
      <c r="C2160" t="inlineStr"/>
      <c r="D2160" t="inlineStr">
        <is>
          <t>69181 Baden-Württemberg - Leimen</t>
        </is>
      </c>
      <c r="E2160" s="5" t="n">
        <v>45545</v>
      </c>
      <c r="F2160" t="inlineStr"/>
      <c r="G2160" s="6">
        <f>HYPERLINK("https://www.kleinanzeigen.de/s-anzeige/naish-torch-12qm-von-2009/2859642799-230-8068", "Link")</f>
        <v/>
      </c>
      <c r="H2160" s="6">
        <f>HYPERLINK("C:\Projects\Kleinanzeigen-Scraper\offer_images\2859642799", "Link")</f>
        <v/>
      </c>
      <c r="I2160" t="inlineStr">
        <is>
          <t>Eugen</t>
        </is>
      </c>
      <c r="J2160" s="6">
        <f>HYPERLINK("https://www.kleinanzeigen.de/s-bestandsliste.html?userId=120330954", "Link")</f>
        <v/>
      </c>
      <c r="K2160" s="7" t="n">
        <v>45549.57416666667</v>
      </c>
      <c r="L2160" s="3" t="inlineStr">
        <is>
          <t>44.41</t>
        </is>
      </c>
      <c r="M2160" t="inlineStr">
        <is>
          <t>Karlsruhe</t>
        </is>
      </c>
    </row>
    <row r="2161">
      <c r="A2161" t="inlineStr">
        <is>
          <t>North Orbit 2024 7.0</t>
        </is>
      </c>
      <c r="B2161" s="4" t="n">
        <v>700</v>
      </c>
      <c r="C2161" t="inlineStr">
        <is>
          <t>VB</t>
        </is>
      </c>
      <c r="D2161" t="inlineStr">
        <is>
          <t>18439 Mecklenburg-Vorpommern - Stralsund</t>
        </is>
      </c>
      <c r="E2161" s="5" t="n">
        <v>45548</v>
      </c>
      <c r="F2161" t="inlineStr">
        <is>
          <t>Sold</t>
        </is>
      </c>
      <c r="G2161" s="6">
        <f>HYPERLINK("https://www.kleinanzeigen.de/s-anzeige/north-orbit-2024-7-0/2862036173-230-135", "Link")</f>
        <v/>
      </c>
      <c r="H2161" s="6">
        <f>HYPERLINK("C:\Projects\Kleinanzeigen-Scraper\offer_images\2862036173", "Link")</f>
        <v/>
      </c>
      <c r="I2161" t="inlineStr">
        <is>
          <t>Dario Naß</t>
        </is>
      </c>
      <c r="J2161" s="6">
        <f>HYPERLINK("https://www.kleinanzeigen.de/s-bestandsliste.html?userId=17776282", "Link")</f>
        <v/>
      </c>
      <c r="K2161" s="7" t="n">
        <v>45549.5741550926</v>
      </c>
      <c r="L2161" s="3" t="inlineStr">
        <is>
          <t>557.94</t>
        </is>
      </c>
      <c r="M2161" t="inlineStr">
        <is>
          <t>Köln</t>
        </is>
      </c>
    </row>
    <row r="2162">
      <c r="A2162" t="inlineStr">
        <is>
          <t>North orbit 2023 9m</t>
        </is>
      </c>
      <c r="B2162" s="4" t="n">
        <v>750</v>
      </c>
      <c r="C2162" t="inlineStr">
        <is>
          <t>VB</t>
        </is>
      </c>
      <c r="D2162" t="inlineStr">
        <is>
          <t>24159 Kiel - Holtenau</t>
        </is>
      </c>
      <c r="E2162" s="5" t="n">
        <v>45547</v>
      </c>
      <c r="F2162" t="inlineStr">
        <is>
          <t>Sold</t>
        </is>
      </c>
      <c r="G2162" s="6">
        <f>HYPERLINK("https://www.kleinanzeigen.de/s-anzeige/north-orbit-2023-9m/2861121533-230-9541", "Link")</f>
        <v/>
      </c>
      <c r="H2162" s="6">
        <f>HYPERLINK("C:\Projects\Kleinanzeigen-Scraper\offer_images\2861121533", "Link")</f>
        <v/>
      </c>
      <c r="I2162" t="inlineStr">
        <is>
          <t>Fritz</t>
        </is>
      </c>
      <c r="J2162" s="6">
        <f>HYPERLINK("https://www.kleinanzeigen.de/s-bestandsliste.html?userId=77246985", "Link")</f>
        <v/>
      </c>
      <c r="K2162" s="7" t="n">
        <v>45549.57413194444</v>
      </c>
      <c r="L2162" s="3" t="inlineStr">
        <is>
          <t>440.84</t>
        </is>
      </c>
      <c r="M2162" t="inlineStr">
        <is>
          <t>Köln</t>
        </is>
      </c>
    </row>
    <row r="2163">
      <c r="A2163" t="inlineStr">
        <is>
          <t>North Sonar Carbon Foil Edition</t>
        </is>
      </c>
      <c r="B2163" s="4" t="n">
        <v>900</v>
      </c>
      <c r="C2163" t="inlineStr">
        <is>
          <t>VB</t>
        </is>
      </c>
      <c r="D2163" t="inlineStr">
        <is>
          <t>86573 Bayern - Obergriesbach</t>
        </is>
      </c>
      <c r="E2163" s="5" t="n">
        <v>45547</v>
      </c>
      <c r="F2163" t="inlineStr">
        <is>
          <t>Sold</t>
        </is>
      </c>
      <c r="G2163" s="6">
        <f>HYPERLINK("https://www.kleinanzeigen.de/s-anzeige/north-sonar-carbon-foil-edition/2861413070-230-7197", "Link")</f>
        <v/>
      </c>
      <c r="H2163" s="6">
        <f>HYPERLINK("C:\Projects\Kleinanzeigen-Scraper\offer_images\2861413070", "Link")</f>
        <v/>
      </c>
      <c r="I2163" t="inlineStr">
        <is>
          <t>Daniel</t>
        </is>
      </c>
      <c r="J2163" s="6">
        <f>HYPERLINK("https://www.kleinanzeigen.de/s-bestandsliste.html?userId=144265443", "Link")</f>
        <v/>
      </c>
      <c r="K2163" s="7" t="n">
        <v>45549.57413194444</v>
      </c>
      <c r="L2163" s="3" t="inlineStr">
        <is>
          <t>49.21</t>
        </is>
      </c>
      <c r="M2163" t="inlineStr">
        <is>
          <t>München</t>
        </is>
      </c>
    </row>
    <row r="2164">
      <c r="A2164" t="inlineStr">
        <is>
          <t>Naish Pivot 7qm 2016 Kite orange - Kitesurf</t>
        </is>
      </c>
      <c r="B2164" s="4" t="n">
        <v>280</v>
      </c>
      <c r="C2164" t="inlineStr">
        <is>
          <t>VB</t>
        </is>
      </c>
      <c r="D2164" t="inlineStr">
        <is>
          <t>50939 Köln - Lindenthal</t>
        </is>
      </c>
      <c r="E2164" s="5" t="n">
        <v>45505</v>
      </c>
      <c r="F2164" t="inlineStr">
        <is>
          <t>Sold</t>
        </is>
      </c>
      <c r="G2164" s="6">
        <f>HYPERLINK("https://www.kleinanzeigen.de/s-anzeige/naish-pivot-7qm-2016-kite-orange-kitesurf/2826206021-230-16761", "Link")</f>
        <v/>
      </c>
      <c r="H2164" s="6">
        <f>HYPERLINK("C:\Projects\Kleinanzeigen-Scraper\offer_images\2826206021", "Link")</f>
        <v/>
      </c>
      <c r="I2164" t="inlineStr">
        <is>
          <t>Diana T.</t>
        </is>
      </c>
      <c r="J2164" s="6">
        <f>HYPERLINK("https://www.kleinanzeigen.de/s-bestandsliste.html?userId=4000087", "Link")</f>
        <v/>
      </c>
      <c r="K2164" s="7" t="n">
        <v>45549.57413194444</v>
      </c>
      <c r="L2164" s="3" t="inlineStr">
        <is>
          <t>3.65</t>
        </is>
      </c>
      <c r="M2164" t="inlineStr">
        <is>
          <t>Köln</t>
        </is>
      </c>
    </row>
    <row r="2165">
      <c r="A2165" t="inlineStr">
        <is>
          <t>Naish Wingsurfer MK 4 Größen 5,5 und 4,5 qm</t>
        </is>
      </c>
      <c r="B2165" s="4" t="n">
        <v>330</v>
      </c>
      <c r="C2165" t="inlineStr">
        <is>
          <t>VB</t>
        </is>
      </c>
      <c r="D2165" t="inlineStr">
        <is>
          <t>24321 Schleswig-Holstein - Lütjenburg</t>
        </is>
      </c>
      <c r="E2165" s="5" t="n">
        <v>45515</v>
      </c>
      <c r="F2165" t="inlineStr">
        <is>
          <t>Sold</t>
        </is>
      </c>
      <c r="G2165" s="6">
        <f>HYPERLINK("https://www.kleinanzeigen.de/s-anzeige/naish-wingsurfer-mk-4-groessen-5-5-und-4-5-qm/2834753859-230-10594", "Link")</f>
        <v/>
      </c>
      <c r="H2165" s="6">
        <f>HYPERLINK("C:\Projects\Kleinanzeigen-Scraper\offer_images\2834753859", "Link")</f>
        <v/>
      </c>
      <c r="I2165" t="inlineStr">
        <is>
          <t>Hasko Facklam</t>
        </is>
      </c>
      <c r="J2165" s="6">
        <f>HYPERLINK("https://www.kleinanzeigen.de/s-bestandsliste.html?userId=48599792", "Link")</f>
        <v/>
      </c>
      <c r="K2165" s="7" t="n">
        <v>45549.5741087963</v>
      </c>
      <c r="L2165" s="3" t="inlineStr">
        <is>
          <t>446.03</t>
        </is>
      </c>
      <c r="M2165" t="inlineStr">
        <is>
          <t>Köln</t>
        </is>
      </c>
    </row>
    <row r="2166">
      <c r="A2166" t="inlineStr">
        <is>
          <t>Duotone Dice SLS 9qm 2022</t>
        </is>
      </c>
      <c r="B2166" s="4" t="n">
        <v>720</v>
      </c>
      <c r="C2166" t="inlineStr"/>
      <c r="D2166" t="inlineStr">
        <is>
          <t>63486 Hessen - Bruchköbel</t>
        </is>
      </c>
      <c r="E2166" s="5" t="n">
        <v>45538</v>
      </c>
      <c r="F2166" t="inlineStr">
        <is>
          <t>Sold</t>
        </is>
      </c>
      <c r="G2166" s="6">
        <f>HYPERLINK("https://www.kleinanzeigen.de/s-anzeige/duotone-dice-sls-9qm-2022/2853402729-230-4555", "Link")</f>
        <v/>
      </c>
      <c r="H2166" s="6">
        <f>HYPERLINK("C:\Projects\Kleinanzeigen-Scraper\offer_images\2853402729", "Link")</f>
        <v/>
      </c>
      <c r="I2166" t="inlineStr">
        <is>
          <t>Luca</t>
        </is>
      </c>
      <c r="J2166" s="6">
        <f>HYPERLINK("https://www.kleinanzeigen.de/s-bestandsliste.html?userId=12167190", "Link")</f>
        <v/>
      </c>
      <c r="K2166" s="7" t="n">
        <v>45549.5741087963</v>
      </c>
      <c r="L2166" s="3" t="inlineStr">
        <is>
          <t>136.28</t>
        </is>
      </c>
      <c r="M2166" t="inlineStr">
        <is>
          <t>Karlsruhe</t>
        </is>
      </c>
    </row>
    <row r="2167">
      <c r="A2167" t="inlineStr">
        <is>
          <t>SUP Rucksack groß rot oder blau Fanatic neuwertig</t>
        </is>
      </c>
      <c r="B2167" s="4" t="n">
        <v>35</v>
      </c>
      <c r="C2167" t="inlineStr">
        <is>
          <t>VB</t>
        </is>
      </c>
      <c r="D2167" t="inlineStr">
        <is>
          <t>03096 Brandenburg - Werben (Spreewald)</t>
        </is>
      </c>
      <c r="E2167" s="5" t="n">
        <v>45527</v>
      </c>
      <c r="F2167" t="inlineStr">
        <is>
          <t>Sold</t>
        </is>
      </c>
      <c r="G2167" s="6">
        <f>HYPERLINK("https://www.kleinanzeigen.de/s-anzeige/sup-rucksack-gross-rot-oder-blau-fanatic-neuwertig/2844337993-230-7758", "Link")</f>
        <v/>
      </c>
      <c r="H2167" s="6">
        <f>HYPERLINK("C:\Projects\Kleinanzeigen-Scraper\offer_images\2844337993", "Link")</f>
        <v/>
      </c>
      <c r="I2167" t="inlineStr">
        <is>
          <t>Martin</t>
        </is>
      </c>
      <c r="J2167" s="6">
        <f>HYPERLINK("https://www.kleinanzeigen.de/s-bestandsliste.html?userId=3383629", "Link")</f>
        <v/>
      </c>
      <c r="K2167" s="7" t="n">
        <v>45549.57409722222</v>
      </c>
      <c r="L2167" s="3" t="inlineStr">
        <is>
          <t>449.49</t>
        </is>
      </c>
      <c r="M2167" t="inlineStr">
        <is>
          <t>München</t>
        </is>
      </c>
    </row>
    <row r="2168">
      <c r="A2168" t="inlineStr">
        <is>
          <t>4 St. Outwell Goya Faltstuhl</t>
        </is>
      </c>
      <c r="B2168" s="4" t="n">
        <v>90</v>
      </c>
      <c r="C2168" t="inlineStr"/>
      <c r="D2168" t="inlineStr">
        <is>
          <t>59929 Nordrhein-Westfalen - Brilon</t>
        </is>
      </c>
      <c r="E2168" s="5" t="n">
        <v>45458</v>
      </c>
      <c r="F2168" t="inlineStr"/>
      <c r="G2168" s="6">
        <f>HYPERLINK("https://www.kleinanzeigen.de/s-anzeige/4-st-outwell-goya-faltstuhl/2788927081-230-1269", "Link")</f>
        <v/>
      </c>
      <c r="H2168" s="6">
        <f>HYPERLINK("C:\Projects\Kleinanzeigen-Scraper\offer_images\2788927081", "Link")</f>
        <v/>
      </c>
      <c r="I2168" t="inlineStr">
        <is>
          <t>Frank</t>
        </is>
      </c>
      <c r="J2168" s="6">
        <f>HYPERLINK("https://www.kleinanzeigen.de/s-bestandsliste.html?userId=49818007", "Link")</f>
        <v/>
      </c>
      <c r="K2168" s="7" t="n">
        <v>45549.57408564815</v>
      </c>
      <c r="L2168" s="3" t="inlineStr">
        <is>
          <t>125.21</t>
        </is>
      </c>
      <c r="M2168" t="inlineStr">
        <is>
          <t>Köln</t>
        </is>
      </c>
    </row>
    <row r="2169">
      <c r="A2169" t="inlineStr">
        <is>
          <t>Duotone Unit Wing 3.0 2024 „wie neu“</t>
        </is>
      </c>
      <c r="B2169" s="4" t="n">
        <v>550</v>
      </c>
      <c r="C2169" t="inlineStr"/>
      <c r="D2169" t="inlineStr">
        <is>
          <t>87494 Bayern - Rückholz</t>
        </is>
      </c>
      <c r="E2169" s="5" t="n">
        <v>45538</v>
      </c>
      <c r="F2169" t="inlineStr">
        <is>
          <t>Sold</t>
        </is>
      </c>
      <c r="G2169" s="6">
        <f>HYPERLINK("https://www.kleinanzeigen.de/s-anzeige/duotone-unit-wing-3-0-2024-wie-neu-/2853158629-230-6558", "Link")</f>
        <v/>
      </c>
      <c r="H2169" s="6">
        <f>HYPERLINK("C:\Projects\Kleinanzeigen-Scraper\offer_images\2853158629", "Link")</f>
        <v/>
      </c>
      <c r="I2169" t="inlineStr">
        <is>
          <t>V. Hiermeier</t>
        </is>
      </c>
      <c r="J2169" s="6">
        <f>HYPERLINK("https://www.kleinanzeigen.de/s-bestandsliste.html?userId=7453073", "Link")</f>
        <v/>
      </c>
      <c r="K2169" s="7" t="n">
        <v>45549.57407407407</v>
      </c>
      <c r="L2169" s="3" t="inlineStr">
        <is>
          <t>92.86</t>
        </is>
      </c>
      <c r="M2169" t="inlineStr">
        <is>
          <t>München</t>
        </is>
      </c>
    </row>
    <row r="2170">
      <c r="A2170" t="inlineStr">
        <is>
          <t>Neilpryde Neoprenanzug Rise 2.2, shorty Gr 48 (S)</t>
        </is>
      </c>
      <c r="B2170" s="4" t="n">
        <v>44</v>
      </c>
      <c r="C2170" t="inlineStr">
        <is>
          <t>VB</t>
        </is>
      </c>
      <c r="D2170" t="inlineStr">
        <is>
          <t>24796 Schleswig-Holstein - Bovenau</t>
        </is>
      </c>
      <c r="E2170" s="5" t="n">
        <v>45516</v>
      </c>
      <c r="F2170" t="inlineStr">
        <is>
          <t>Sold</t>
        </is>
      </c>
      <c r="G2170" s="6">
        <f>HYPERLINK("https://www.kleinanzeigen.de/s-anzeige/neilpryde-neoprenanzug-rise-2-2-shorty-gr-48-s-/2835577381-230-26959", "Link")</f>
        <v/>
      </c>
      <c r="H2170" s="6">
        <f>HYPERLINK("C:\Projects\Kleinanzeigen-Scraper\offer_images\2835577381", "Link")</f>
        <v/>
      </c>
      <c r="I2170" t="inlineStr">
        <is>
          <t>KMS</t>
        </is>
      </c>
      <c r="J2170" s="6">
        <f>HYPERLINK("https://www.kleinanzeigen.de/s-bestandsliste.html?userId=132085586", "Link")</f>
        <v/>
      </c>
      <c r="K2170" s="7" t="n">
        <v>45549.57407407407</v>
      </c>
      <c r="L2170" s="3" t="inlineStr">
        <is>
          <t>424.32</t>
        </is>
      </c>
      <c r="M2170" t="inlineStr">
        <is>
          <t>Köln</t>
        </is>
      </c>
    </row>
    <row r="2171">
      <c r="A2171" t="inlineStr">
        <is>
          <t>Fanatic SUP Fly Air Premium 9'8" + C35 Paddel im Set -10%</t>
        </is>
      </c>
      <c r="B2171" s="4" t="n">
        <v>953</v>
      </c>
      <c r="C2171" t="inlineStr">
        <is>
          <t>VB</t>
        </is>
      </c>
      <c r="D2171" t="inlineStr">
        <is>
          <t>18586 Mecklenburg-Vorpommern - Mönchgut, Ostseebad</t>
        </is>
      </c>
      <c r="E2171" s="5" t="n">
        <v>45544</v>
      </c>
      <c r="F2171" t="inlineStr">
        <is>
          <t>Sold</t>
        </is>
      </c>
      <c r="G2171" s="6">
        <f>HYPERLINK("https://www.kleinanzeigen.de/s-anzeige/fanatic-sup-fly-air-premium-9-8-c35-paddel-im-set-10-/1526401391-230-120", "Link")</f>
        <v/>
      </c>
      <c r="H2171" s="6">
        <f>HYPERLINK("C:\Projects\Kleinanzeigen-Scraper\offer_images\1526401391", "Link")</f>
        <v/>
      </c>
      <c r="I2171" t="inlineStr">
        <is>
          <t>No user name</t>
        </is>
      </c>
      <c r="J2171" s="6">
        <f>HYPERLINK("https://www.kleinanzeigen.deNo user link", "Link")</f>
        <v/>
      </c>
      <c r="K2171" s="7" t="n">
        <v>45549.5740625</v>
      </c>
      <c r="L2171" s="3" t="inlineStr">
        <is>
          <t>591.22</t>
        </is>
      </c>
      <c r="M2171" t="inlineStr">
        <is>
          <t>Köln</t>
        </is>
      </c>
    </row>
    <row r="2172">
      <c r="A2172" t="inlineStr">
        <is>
          <t>North Orbit Kite  9 qm  - 2023 neu Kitesurfen</t>
        </is>
      </c>
      <c r="B2172" s="4" t="n">
        <v>848</v>
      </c>
      <c r="C2172" t="inlineStr"/>
      <c r="D2172" t="inlineStr">
        <is>
          <t>22457 Eimsbüttel - Hamburg Schnelsen</t>
        </is>
      </c>
      <c r="E2172" s="5" t="n">
        <v>45538</v>
      </c>
      <c r="F2172" t="inlineStr">
        <is>
          <t>Sold</t>
        </is>
      </c>
      <c r="G2172" s="6">
        <f>HYPERLINK("https://www.kleinanzeigen.de/s-anzeige/north-orbit-kite-9-qm-2023-neu-kitesurfen/2211103449-230-9492", "Link")</f>
        <v/>
      </c>
      <c r="H2172" s="6">
        <f>HYPERLINK("C:\Projects\Kleinanzeigen-Scraper\offer_images\2211103449", "Link")</f>
        <v/>
      </c>
      <c r="I2172" t="inlineStr">
        <is>
          <t>No user name</t>
        </is>
      </c>
      <c r="J2172" s="6">
        <f>HYPERLINK("https://www.kleinanzeigen.deNo user link", "Link")</f>
        <v/>
      </c>
      <c r="K2172" s="7" t="n">
        <v>45549.5740625</v>
      </c>
      <c r="L2172" s="3" t="inlineStr">
        <is>
          <t>362.41</t>
        </is>
      </c>
      <c r="M2172" t="inlineStr">
        <is>
          <t>Köln</t>
        </is>
      </c>
    </row>
    <row r="2173">
      <c r="A2173" t="inlineStr">
        <is>
          <t>North Navigator Bar 2024</t>
        </is>
      </c>
      <c r="B2173" s="4" t="n">
        <v>300</v>
      </c>
      <c r="C2173" t="inlineStr"/>
      <c r="D2173" t="inlineStr">
        <is>
          <t>80638 Neuhausen-Nymphenburg - Nymphenburg</t>
        </is>
      </c>
      <c r="E2173" s="5" t="n">
        <v>45543</v>
      </c>
      <c r="F2173" t="inlineStr">
        <is>
          <t>Sold</t>
        </is>
      </c>
      <c r="G2173" s="6">
        <f>HYPERLINK("https://www.kleinanzeigen.de/s-anzeige/north-navigator-bar-2024/2857133693-230-6421", "Link")</f>
        <v/>
      </c>
      <c r="H2173" s="6">
        <f>HYPERLINK("C:\Projects\Kleinanzeigen-Scraper\offer_images\2857133693", "Link")</f>
        <v/>
      </c>
      <c r="I2173" t="inlineStr">
        <is>
          <t>Loui</t>
        </is>
      </c>
      <c r="J2173" s="6">
        <f>HYPERLINK("https://www.kleinanzeigen.de/s-bestandsliste.html?userId=67174608", "Link")</f>
        <v/>
      </c>
      <c r="K2173" s="7" t="n">
        <v>45549.5740625</v>
      </c>
      <c r="L2173" s="3" t="inlineStr">
        <is>
          <t>5.88</t>
        </is>
      </c>
      <c r="M2173" t="inlineStr">
        <is>
          <t>München</t>
        </is>
      </c>
    </row>
    <row r="2174">
      <c r="A2174" t="inlineStr">
        <is>
          <t>Kitesurfen kite naish Ride schwarz 10m2</t>
        </is>
      </c>
      <c r="B2174" s="4" t="n">
        <v>250</v>
      </c>
      <c r="C2174" t="inlineStr">
        <is>
          <t>VB</t>
        </is>
      </c>
      <c r="D2174" t="inlineStr">
        <is>
          <t>06618 Sachsen-Anhalt - Naumburg (Saale)</t>
        </is>
      </c>
      <c r="E2174" s="5" t="n">
        <v>45543</v>
      </c>
      <c r="F2174" t="inlineStr">
        <is>
          <t>Sold</t>
        </is>
      </c>
      <c r="G2174" s="6">
        <f>HYPERLINK("https://www.kleinanzeigen.de/s-anzeige/kitesurfen-kite-naish-ride-schwarz-10m2/2857450246-230-2333", "Link")</f>
        <v/>
      </c>
      <c r="H2174" s="6">
        <f>HYPERLINK("C:\Projects\Kleinanzeigen-Scraper\offer_images\2857450246", "Link")</f>
        <v/>
      </c>
      <c r="I2174" t="inlineStr">
        <is>
          <t>Högel</t>
        </is>
      </c>
      <c r="J2174" s="6">
        <f>HYPERLINK("https://www.kleinanzeigen.de/s-bestandsliste.html?userId=4714620", "Link")</f>
        <v/>
      </c>
      <c r="K2174" s="7" t="n">
        <v>45549.57405092593</v>
      </c>
      <c r="L2174" s="3" t="inlineStr">
        <is>
          <t>330.63</t>
        </is>
      </c>
      <c r="M2174" t="inlineStr">
        <is>
          <t>München</t>
        </is>
      </c>
    </row>
    <row r="2175">
      <c r="A2175" t="inlineStr">
        <is>
          <t>Naish S25 WING Surfer Limited Edition 5,3 qm</t>
        </is>
      </c>
      <c r="B2175" s="4" t="n">
        <v>320</v>
      </c>
      <c r="C2175" t="inlineStr"/>
      <c r="D2175" t="inlineStr">
        <is>
          <t>24768 Schleswig-Holstein - Rendsburg</t>
        </is>
      </c>
      <c r="E2175" s="5" t="n">
        <v>45550</v>
      </c>
      <c r="F2175" t="inlineStr">
        <is>
          <t>Sold</t>
        </is>
      </c>
      <c r="G2175" s="6">
        <f>HYPERLINK("https://www.kleinanzeigen.de/s-anzeige/naish-s25-wing-surfer-limited-edition-5-3-qm/2849354471-230-496", "Link")</f>
        <v/>
      </c>
      <c r="H2175" s="6">
        <f>HYPERLINK("C:\Projects\Kleinanzeigen-Scraper\offer_images\2849354471", "Link")</f>
        <v/>
      </c>
      <c r="I2175" t="inlineStr">
        <is>
          <t>M. Carstensen</t>
        </is>
      </c>
      <c r="J2175" s="6">
        <f>HYPERLINK("https://www.kleinanzeigen.de/s-bestandsliste.html?userId=6492723", "Link")</f>
        <v/>
      </c>
      <c r="K2175" s="7" t="n">
        <v>45549.57405092593</v>
      </c>
      <c r="L2175" s="3" t="inlineStr">
        <is>
          <t>416.07</t>
        </is>
      </c>
      <c r="M2175" t="inlineStr">
        <is>
          <t>Köln</t>
        </is>
      </c>
    </row>
    <row r="2176">
      <c r="A2176" t="inlineStr">
        <is>
          <t>NEILPRYDE Shorty Neoprenanzug 2/2 - Größe L *Surfen*Kite*Wing*</t>
        </is>
      </c>
      <c r="B2176" s="4" t="n">
        <v>30</v>
      </c>
      <c r="C2176" t="inlineStr"/>
      <c r="D2176" t="inlineStr">
        <is>
          <t>76694 Baden-Württemberg - Forst</t>
        </is>
      </c>
      <c r="E2176" s="5" t="n">
        <v>45523</v>
      </c>
      <c r="F2176" t="inlineStr">
        <is>
          <t>Sold</t>
        </is>
      </c>
      <c r="G2176" s="6">
        <f>HYPERLINK("https://www.kleinanzeigen.de/s-anzeige/neilpryde-shorty-neoprenanzug-2-2-groesse-l-surfen-kite-wing-/2841248673-230-8794", "Link")</f>
        <v/>
      </c>
      <c r="H2176" s="6">
        <f>HYPERLINK("C:\Projects\Kleinanzeigen-Scraper\offer_images\2841248673", "Link")</f>
        <v/>
      </c>
      <c r="I2176" t="inlineStr">
        <is>
          <t>Chris</t>
        </is>
      </c>
      <c r="J2176" s="6">
        <f>HYPERLINK("https://www.kleinanzeigen.de/s-bestandsliste.html?userId=13755256", "Link")</f>
        <v/>
      </c>
      <c r="K2176" s="7" t="n">
        <v>45549.57403935185</v>
      </c>
      <c r="L2176" s="3" t="inlineStr">
        <is>
          <t>21.44</t>
        </is>
      </c>
      <c r="M2176" t="inlineStr">
        <is>
          <t>Karlsruhe</t>
        </is>
      </c>
    </row>
    <row r="2177">
      <c r="A2177" t="inlineStr">
        <is>
          <t>Duotone Wing Unit 2 4,5 m2</t>
        </is>
      </c>
      <c r="B2177" s="4" t="n">
        <v>300</v>
      </c>
      <c r="C2177" t="inlineStr"/>
      <c r="D2177" t="inlineStr">
        <is>
          <t>51103 Köln - Kalk</t>
        </is>
      </c>
      <c r="E2177" s="5" t="n">
        <v>45549</v>
      </c>
      <c r="F2177" t="inlineStr">
        <is>
          <t>Sold</t>
        </is>
      </c>
      <c r="G2177" s="6">
        <f>HYPERLINK("https://www.kleinanzeigen.de/s-anzeige/duotone-wing-unit-2-4-5-m2/2862855292-230-17009", "Link")</f>
        <v/>
      </c>
      <c r="H2177" s="6">
        <f>HYPERLINK("C:\Projects\Kleinanzeigen-Scraper\offer_images\2862855292", "Link")</f>
        <v/>
      </c>
      <c r="I2177" t="inlineStr">
        <is>
          <t>Jens</t>
        </is>
      </c>
      <c r="J2177" s="6">
        <f>HYPERLINK("https://www.kleinanzeigen.de/s-bestandsliste.html?userId=25766307", "Link")</f>
        <v/>
      </c>
      <c r="K2177" s="7" t="n">
        <v>45549.57403935185</v>
      </c>
      <c r="L2177" s="3" t="inlineStr">
        <is>
          <t>4.19</t>
        </is>
      </c>
      <c r="M2177" t="inlineStr">
        <is>
          <t>Köln</t>
        </is>
      </c>
    </row>
    <row r="2178">
      <c r="A2178" t="inlineStr">
        <is>
          <t>Starboard 14.0 X 28 ALL STAR AIRLINE Deluxe SC 2022 SUP</t>
        </is>
      </c>
      <c r="B2178" s="4" t="n">
        <v>1.399</v>
      </c>
      <c r="C2178" t="inlineStr"/>
      <c r="D2178" t="inlineStr">
        <is>
          <t>82319 Bayern - Starnberg</t>
        </is>
      </c>
      <c r="E2178" s="5" t="n">
        <v>45551</v>
      </c>
      <c r="F2178" t="inlineStr"/>
      <c r="G2178" s="6">
        <f>HYPERLINK("https://www.kleinanzeigen.de/s-anzeige/starboard-14-0-x-28-all-star-airline-deluxe-sc-2022-sup/2451537169-230-5525", "Link")</f>
        <v/>
      </c>
      <c r="H2178" s="6">
        <f>HYPERLINK("C:\Projects\Kleinanzeigen-Scraper\offer_images\2451537169", "Link")</f>
        <v/>
      </c>
      <c r="I2178" t="inlineStr">
        <is>
          <t>No user name</t>
        </is>
      </c>
      <c r="J2178" s="6">
        <f>HYPERLINK("https://www.kleinanzeigen.deNo user link", "Link")</f>
        <v/>
      </c>
      <c r="K2178" s="7" t="n">
        <v>45549.57402777778</v>
      </c>
      <c r="L2178" s="3" t="inlineStr">
        <is>
          <t>23.17</t>
        </is>
      </c>
      <c r="M2178" t="inlineStr">
        <is>
          <t>München</t>
        </is>
      </c>
    </row>
    <row r="2179">
      <c r="A2179" t="inlineStr">
        <is>
          <t>Naish Alana Kite 12qm (vgl. Pivot) + Naish Alana Fusion Bar</t>
        </is>
      </c>
      <c r="B2179" s="4" t="n">
        <v>380</v>
      </c>
      <c r="C2179" t="inlineStr">
        <is>
          <t>VB</t>
        </is>
      </c>
      <c r="D2179" t="inlineStr">
        <is>
          <t>40545 Düsseldorf - Oberkassel</t>
        </is>
      </c>
      <c r="E2179" s="5" t="n">
        <v>45546</v>
      </c>
      <c r="F2179" t="inlineStr">
        <is>
          <t>Sold</t>
        </is>
      </c>
      <c r="G2179" s="6">
        <f>HYPERLINK("https://www.kleinanzeigen.de/s-anzeige/naish-alana-kite-12qm-vgl-pivot-naish-alana-fusion-bar/2860797912-230-2071", "Link")</f>
        <v/>
      </c>
      <c r="H2179" s="6">
        <f>HYPERLINK("C:\Projects\Kleinanzeigen-Scraper\offer_images\2860797912", "Link")</f>
        <v/>
      </c>
      <c r="I2179" t="inlineStr">
        <is>
          <t>Verena H.</t>
        </is>
      </c>
      <c r="J2179" s="6">
        <f>HYPERLINK("https://www.kleinanzeigen.de/s-bestandsliste.html?userId=33301194", "Link")</f>
        <v/>
      </c>
      <c r="K2179" s="7" t="n">
        <v>45549.57402777778</v>
      </c>
      <c r="L2179" s="3" t="inlineStr">
        <is>
          <t>35.10</t>
        </is>
      </c>
      <c r="M2179" t="inlineStr">
        <is>
          <t>Köln</t>
        </is>
      </c>
    </row>
    <row r="2180">
      <c r="A2180" t="inlineStr">
        <is>
          <t>Sailloft UFO Wing 4 m² (NEU!) Neilpryde Segel SUP</t>
        </is>
      </c>
      <c r="B2180" s="4" t="n">
        <v>465</v>
      </c>
      <c r="C2180" t="inlineStr"/>
      <c r="D2180" t="inlineStr">
        <is>
          <t>22769 Altona - Hamburg Bahrenfeld</t>
        </is>
      </c>
      <c r="E2180" s="5" t="n">
        <v>45509</v>
      </c>
      <c r="F2180" t="inlineStr">
        <is>
          <t>Sold</t>
        </is>
      </c>
      <c r="G2180" s="6">
        <f>HYPERLINK("https://www.kleinanzeigen.de/s-anzeige/sailloft-ufo-wing-4-m-neu-neilpryde-segel-sup/2829793517-230-26485", "Link")</f>
        <v/>
      </c>
      <c r="H2180" s="6">
        <f>HYPERLINK("C:\Projects\Kleinanzeigen-Scraper\offer_images\2829793517", "Link")</f>
        <v/>
      </c>
      <c r="I2180" t="inlineStr">
        <is>
          <t>nordlicht</t>
        </is>
      </c>
      <c r="J2180" s="6">
        <f>HYPERLINK("https://www.kleinanzeigen.de/s-bestandsliste.html?userId=86235875", "Link")</f>
        <v/>
      </c>
      <c r="K2180" s="7" t="n">
        <v>45549.57402777778</v>
      </c>
      <c r="L2180" s="3" t="inlineStr">
        <is>
          <t>356.14</t>
        </is>
      </c>
      <c r="M2180" t="inlineStr">
        <is>
          <t>Köln</t>
        </is>
      </c>
    </row>
    <row r="2181">
      <c r="A2181" t="inlineStr">
        <is>
          <t>ISO Matte North Camp</t>
        </is>
      </c>
      <c r="B2181" s="4" t="n">
        <v>10</v>
      </c>
      <c r="C2181" t="inlineStr"/>
      <c r="D2181" t="inlineStr">
        <is>
          <t>26441 Niedersachsen - Jever</t>
        </is>
      </c>
      <c r="E2181" s="5" t="n">
        <v>45543</v>
      </c>
      <c r="F2181" t="inlineStr">
        <is>
          <t>Sold</t>
        </is>
      </c>
      <c r="G2181" s="6">
        <f>HYPERLINK("https://www.kleinanzeigen.de/s-anzeige/iso-matte-north-camp/2857066343-230-3010", "Link")</f>
        <v/>
      </c>
      <c r="H2181" s="6">
        <f>HYPERLINK("C:\Projects\Kleinanzeigen-Scraper\offer_images\2857066343", "Link")</f>
        <v/>
      </c>
      <c r="I2181" t="inlineStr">
        <is>
          <t>Anbieter</t>
        </is>
      </c>
      <c r="J2181" s="6">
        <f>HYPERLINK("https://www.kleinanzeigen.de/s-bestandsliste.html?userId=9946147", "Link")</f>
        <v/>
      </c>
      <c r="K2181" s="7" t="n">
        <v>45549.57402777778</v>
      </c>
      <c r="L2181" s="3" t="inlineStr">
        <is>
          <t>297.32</t>
        </is>
      </c>
      <c r="M2181" t="inlineStr">
        <is>
          <t>Köln</t>
        </is>
      </c>
    </row>
    <row r="2182">
      <c r="A2182" t="inlineStr">
        <is>
          <t>Neilpryde Neopren Schuhe gr. 35 Kinder</t>
        </is>
      </c>
      <c r="B2182" s="4" t="n">
        <v>15</v>
      </c>
      <c r="C2182" t="inlineStr"/>
      <c r="D2182" t="inlineStr">
        <is>
          <t>23623 Kreis Ostholstein - Ahrensbök</t>
        </is>
      </c>
      <c r="E2182" s="5" t="n">
        <v>45504</v>
      </c>
      <c r="F2182" t="inlineStr">
        <is>
          <t>Sold</t>
        </is>
      </c>
      <c r="G2182" s="6">
        <f>HYPERLINK("https://www.kleinanzeigen.de/s-anzeige/neilpryde-neopren-schuhe-gr-35-kinder/2825899645-230-16669", "Link")</f>
        <v/>
      </c>
      <c r="H2182" s="6">
        <f>HYPERLINK("C:\Projects\Kleinanzeigen-Scraper\offer_images\2825899645", "Link")</f>
        <v/>
      </c>
      <c r="I2182" t="inlineStr">
        <is>
          <t>Alexandra Kreimeyer</t>
        </is>
      </c>
      <c r="J2182" s="6">
        <f>HYPERLINK("https://www.kleinanzeigen.de/s-bestandsliste.html?userId=14058333", "Link")</f>
        <v/>
      </c>
      <c r="K2182" s="7" t="n">
        <v>45549.57402777778</v>
      </c>
      <c r="L2182" s="3" t="inlineStr">
        <is>
          <t>418.92</t>
        </is>
      </c>
      <c r="M2182" t="inlineStr">
        <is>
          <t>Köln</t>
        </is>
      </c>
    </row>
    <row r="2183">
      <c r="A2183" t="inlineStr">
        <is>
          <t>Naish Kite Dash 9qm</t>
        </is>
      </c>
      <c r="B2183" s="4" t="n">
        <v>270</v>
      </c>
      <c r="C2183" t="inlineStr">
        <is>
          <t>VB</t>
        </is>
      </c>
      <c r="D2183" t="inlineStr">
        <is>
          <t>25980 Sylt - Westerland</t>
        </is>
      </c>
      <c r="E2183" s="5" t="n">
        <v>45466</v>
      </c>
      <c r="F2183" t="inlineStr">
        <is>
          <t>Sold</t>
        </is>
      </c>
      <c r="G2183" s="6">
        <f>HYPERLINK("https://www.kleinanzeigen.de/s-anzeige/naish-kite-dash-9qm/2795696461-230-634", "Link")</f>
        <v/>
      </c>
      <c r="H2183" s="6">
        <f>HYPERLINK("C:\Projects\Kleinanzeigen-Scraper\offer_images\2795696461", "Link")</f>
        <v/>
      </c>
      <c r="I2183" t="inlineStr">
        <is>
          <t>Jens</t>
        </is>
      </c>
      <c r="J2183" s="6">
        <f>HYPERLINK("https://www.kleinanzeigen.de/s-bestandsliste.html?userId=10169141", "Link")</f>
        <v/>
      </c>
      <c r="K2183" s="7" t="n">
        <v>45549.57402777778</v>
      </c>
      <c r="L2183" s="3" t="inlineStr">
        <is>
          <t>448.30</t>
        </is>
      </c>
      <c r="M2183" t="inlineStr">
        <is>
          <t>Köln</t>
        </is>
      </c>
    </row>
    <row r="2184">
      <c r="A2184" t="inlineStr">
        <is>
          <t>Duotone Neo SLS 12m 2024</t>
        </is>
      </c>
      <c r="B2184" s="4" t="n">
        <v>749</v>
      </c>
      <c r="C2184" t="inlineStr">
        <is>
          <t>VB</t>
        </is>
      </c>
      <c r="D2184" t="inlineStr">
        <is>
          <t>83022 Bayern - Rosenheim</t>
        </is>
      </c>
      <c r="E2184" s="5" t="n">
        <v>45546</v>
      </c>
      <c r="F2184" t="inlineStr">
        <is>
          <t>Sold</t>
        </is>
      </c>
      <c r="G2184" s="6">
        <f>HYPERLINK("https://www.kleinanzeigen.de/s-anzeige/duotone-neo-sls-12m-2024/2860420454-230-7581", "Link")</f>
        <v/>
      </c>
      <c r="H2184" s="6">
        <f>HYPERLINK("C:\Projects\Kleinanzeigen-Scraper\offer_images\2860420454", "Link")</f>
        <v/>
      </c>
      <c r="I2184" t="inlineStr">
        <is>
          <t>Jo Gisbach</t>
        </is>
      </c>
      <c r="J2184" s="6">
        <f>HYPERLINK("https://www.kleinanzeigen.de/s-bestandsliste.html?userId=133050072", "Link")</f>
        <v/>
      </c>
      <c r="K2184" s="7" t="n">
        <v>45549.57400462963</v>
      </c>
      <c r="L2184" s="3" t="inlineStr">
        <is>
          <t>52.12</t>
        </is>
      </c>
      <c r="M2184" t="inlineStr">
        <is>
          <t>München</t>
        </is>
      </c>
    </row>
    <row r="2185">
      <c r="A2185" t="inlineStr">
        <is>
          <t>Starboard Supercruiser Foil   Windsurffoil</t>
        </is>
      </c>
      <c r="B2185" s="4" t="n">
        <v>455</v>
      </c>
      <c r="C2185" t="inlineStr">
        <is>
          <t>VB</t>
        </is>
      </c>
      <c r="D2185" t="inlineStr">
        <is>
          <t>16766 Brandenburg - Kremmen</t>
        </is>
      </c>
      <c r="E2185" s="5" t="n">
        <v>45521</v>
      </c>
      <c r="F2185" t="inlineStr"/>
      <c r="G2185" s="6">
        <f>HYPERLINK("https://www.kleinanzeigen.de/s-anzeige/starboard-supercruiser-foil-windsurffoil/2839176497-230-7817", "Link")</f>
        <v/>
      </c>
      <c r="H2185" s="6">
        <f>HYPERLINK("C:\Projects\Kleinanzeigen-Scraper\offer_images\2839176497", "Link")</f>
        <v/>
      </c>
      <c r="I2185" t="inlineStr">
        <is>
          <t>jens</t>
        </is>
      </c>
      <c r="J2185" s="6">
        <f>HYPERLINK("https://www.kleinanzeigen.de/s-bestandsliste.html?userId=4474220", "Link")</f>
        <v/>
      </c>
      <c r="K2185" s="7" t="n">
        <v>45549.57400462963</v>
      </c>
      <c r="L2185" s="3" t="inlineStr">
        <is>
          <t>463.41</t>
        </is>
      </c>
      <c r="M2185" t="inlineStr">
        <is>
          <t>Köln</t>
        </is>
      </c>
    </row>
    <row r="2186">
      <c r="A2186" t="inlineStr">
        <is>
          <t>Naish Alu Foil</t>
        </is>
      </c>
      <c r="B2186" s="4" t="n">
        <v>250</v>
      </c>
      <c r="C2186" t="inlineStr"/>
      <c r="D2186" t="inlineStr">
        <is>
          <t>82049 Bayern - Pullach</t>
        </is>
      </c>
      <c r="E2186" s="5" t="n">
        <v>45496</v>
      </c>
      <c r="F2186" t="inlineStr">
        <is>
          <t>Sold</t>
        </is>
      </c>
      <c r="G2186" s="6">
        <f>HYPERLINK("https://www.kleinanzeigen.de/s-anzeige/naish-alu-foil/2819327297-230-6190", "Link")</f>
        <v/>
      </c>
      <c r="H2186" s="6">
        <f>HYPERLINK("C:\Projects\Kleinanzeigen-Scraper\offer_images\2819327297", "Link")</f>
        <v/>
      </c>
      <c r="I2186" t="inlineStr">
        <is>
          <t>Mirko Wiedemann</t>
        </is>
      </c>
      <c r="J2186" s="6">
        <f>HYPERLINK("https://www.kleinanzeigen.de/s-bestandsliste.html?userId=45634638", "Link")</f>
        <v/>
      </c>
      <c r="K2186" s="7" t="n">
        <v>45549.57400462963</v>
      </c>
      <c r="L2186" s="3" t="inlineStr">
        <is>
          <t>9.62</t>
        </is>
      </c>
      <c r="M2186" t="inlineStr">
        <is>
          <t>München</t>
        </is>
      </c>
    </row>
    <row r="2187">
      <c r="A2187" t="inlineStr">
        <is>
          <t>SUP JP Australia Young Gun inkl. Paddel und Kinderschwimmweste</t>
        </is>
      </c>
      <c r="B2187" s="4" t="n">
        <v>350</v>
      </c>
      <c r="C2187" t="inlineStr">
        <is>
          <t>VB</t>
        </is>
      </c>
      <c r="D2187" t="inlineStr">
        <is>
          <t>82538 Bayern - Geretsried</t>
        </is>
      </c>
      <c r="E2187" s="5" t="n">
        <v>45506</v>
      </c>
      <c r="F2187" t="inlineStr">
        <is>
          <t>Sold</t>
        </is>
      </c>
      <c r="G2187" s="6">
        <f>HYPERLINK("https://www.kleinanzeigen.de/s-anzeige/sup-jp-australia-young-gun-inkl-paddel-und-kinderschwimmweste/2827149429-230-6330", "Link")</f>
        <v/>
      </c>
      <c r="H2187" s="6">
        <f>HYPERLINK("C:\Projects\Kleinanzeigen-Scraper\offer_images\2827149429", "Link")</f>
        <v/>
      </c>
      <c r="I2187" t="inlineStr">
        <is>
          <t>Michael</t>
        </is>
      </c>
      <c r="J2187" s="6">
        <f>HYPERLINK("https://www.kleinanzeigen.de/s-bestandsliste.html?userId=139365606", "Link")</f>
        <v/>
      </c>
      <c r="K2187" s="7" t="n">
        <v>45549.57400462963</v>
      </c>
      <c r="L2187" s="3" t="inlineStr">
        <is>
          <t>30.25</t>
        </is>
      </c>
      <c r="M2187" t="inlineStr">
        <is>
          <t>München</t>
        </is>
      </c>
    </row>
    <row r="2188">
      <c r="A2188" t="inlineStr">
        <is>
          <t>NAISH Kite Pivot 11m 2016/17</t>
        </is>
      </c>
      <c r="B2188" s="4" t="n">
        <v>325</v>
      </c>
      <c r="C2188" t="inlineStr">
        <is>
          <t>VB</t>
        </is>
      </c>
      <c r="D2188" t="inlineStr">
        <is>
          <t>25884 Nordfriesland - Viöl</t>
        </is>
      </c>
      <c r="E2188" s="5" t="n">
        <v>45465</v>
      </c>
      <c r="F2188" t="inlineStr">
        <is>
          <t>Sold</t>
        </is>
      </c>
      <c r="G2188" s="6">
        <f>HYPERLINK("https://www.kleinanzeigen.de/s-anzeige/naish-kite-pivot-11m-2016-17/2665009260-230-567", "Link")</f>
        <v/>
      </c>
      <c r="H2188" s="6">
        <f>HYPERLINK("C:\Projects\Kleinanzeigen-Scraper\offer_images\2665009260", "Link")</f>
        <v/>
      </c>
      <c r="I2188" t="inlineStr">
        <is>
          <t>Jan Petersen</t>
        </is>
      </c>
      <c r="J2188" s="6">
        <f>HYPERLINK("https://www.kleinanzeigen.de/s-bestandsliste.html?userId=10928104", "Link")</f>
        <v/>
      </c>
      <c r="K2188" s="7" t="n">
        <v>45549.57400462963</v>
      </c>
      <c r="L2188" s="3" t="inlineStr">
        <is>
          <t>430.63</t>
        </is>
      </c>
      <c r="M2188" t="inlineStr">
        <is>
          <t>Köln</t>
        </is>
      </c>
    </row>
    <row r="2189">
      <c r="A2189" t="inlineStr">
        <is>
          <t>Schlafsack North Camp</t>
        </is>
      </c>
      <c r="B2189" s="4" t="n">
        <v>25</v>
      </c>
      <c r="C2189" t="inlineStr"/>
      <c r="D2189" t="inlineStr">
        <is>
          <t>33161 Nordrhein-Westfalen - Hövelhof</t>
        </is>
      </c>
      <c r="E2189" s="5" t="n">
        <v>45542</v>
      </c>
      <c r="F2189" t="inlineStr">
        <is>
          <t>Sold</t>
        </is>
      </c>
      <c r="G2189" s="6">
        <f>HYPERLINK("https://www.kleinanzeigen.de/s-anzeige/schlafsack-north-camp/2856756160-230-1353", "Link")</f>
        <v/>
      </c>
      <c r="H2189" s="6">
        <f>HYPERLINK("C:\Projects\Kleinanzeigen-Scraper\offer_images\2856756160", "Link")</f>
        <v/>
      </c>
      <c r="I2189" t="inlineStr">
        <is>
          <t>P T</t>
        </is>
      </c>
      <c r="J2189" s="6">
        <f>HYPERLINK("https://www.kleinanzeigen.de/s-bestandsliste.html?userId=94249580", "Link")</f>
        <v/>
      </c>
      <c r="K2189" s="7" t="n">
        <v>45549.57398148148</v>
      </c>
      <c r="L2189" s="3" t="inlineStr">
        <is>
          <t>155.92</t>
        </is>
      </c>
      <c r="M2189" t="inlineStr">
        <is>
          <t>Köln</t>
        </is>
      </c>
    </row>
    <row r="2190">
      <c r="A2190" t="inlineStr">
        <is>
          <t>Top Kiteausrüstung von den Kite Marken North -F1 Weimann Hawaii u</t>
        </is>
      </c>
      <c r="B2190" s="4" t="n">
        <v>499</v>
      </c>
      <c r="C2190" t="inlineStr">
        <is>
          <t>VB</t>
        </is>
      </c>
      <c r="D2190" t="inlineStr">
        <is>
          <t>88214 Baden-Württemberg - Ravensburg</t>
        </is>
      </c>
      <c r="E2190" s="5" t="n">
        <v>45538</v>
      </c>
      <c r="F2190" t="inlineStr">
        <is>
          <t>Sold</t>
        </is>
      </c>
      <c r="G2190" s="6">
        <f>HYPERLINK("https://www.kleinanzeigen.de/s-anzeige/top-kiteausruestung-von-den-kite-marken-north-f1-weimann-hawaii-u/2852997003-230-9223", "Link")</f>
        <v/>
      </c>
      <c r="H2190" s="6">
        <f>HYPERLINK("C:\Projects\Kleinanzeigen-Scraper\offer_images\2852997003", "Link")</f>
        <v/>
      </c>
      <c r="I2190" t="inlineStr">
        <is>
          <t>Haller</t>
        </is>
      </c>
      <c r="J2190" s="6">
        <f>HYPERLINK("https://www.kleinanzeigen.de/s-bestandsliste.html?userId=21144437", "Link")</f>
        <v/>
      </c>
      <c r="K2190" s="7" t="n">
        <v>45549.57398148148</v>
      </c>
      <c r="L2190" s="3" t="inlineStr">
        <is>
          <t>95.17</t>
        </is>
      </c>
      <c r="M2190" t="inlineStr">
        <is>
          <t>Bonndorf</t>
        </is>
      </c>
    </row>
    <row r="2191">
      <c r="A2191" t="inlineStr">
        <is>
          <t>North Evo 10 qm kite</t>
        </is>
      </c>
      <c r="B2191" s="4" t="n">
        <v>100</v>
      </c>
      <c r="C2191" t="inlineStr">
        <is>
          <t>VB</t>
        </is>
      </c>
      <c r="D2191" t="inlineStr">
        <is>
          <t>38440 Niedersachsen - Wolfsburg</t>
        </is>
      </c>
      <c r="E2191" s="5" t="n">
        <v>45546</v>
      </c>
      <c r="F2191" t="inlineStr">
        <is>
          <t>Sold</t>
        </is>
      </c>
      <c r="G2191" s="6">
        <f>HYPERLINK("https://www.kleinanzeigen.de/s-anzeige/north-evo-10-qm-kite/2860057674-230-3074", "Link")</f>
        <v/>
      </c>
      <c r="H2191" s="6">
        <f>HYPERLINK("C:\Projects\Kleinanzeigen-Scraper\offer_images\2860057674", "Link")</f>
        <v/>
      </c>
      <c r="I2191" t="inlineStr">
        <is>
          <t>Dani</t>
        </is>
      </c>
      <c r="J2191" s="6">
        <f>HYPERLINK("https://www.kleinanzeigen.de/s-bestandsliste.html?userId=8663825", "Link")</f>
        <v/>
      </c>
      <c r="K2191" s="7" t="n">
        <v>45549.57398148148</v>
      </c>
      <c r="L2191" s="3" t="inlineStr">
        <is>
          <t>310.40</t>
        </is>
      </c>
      <c r="M2191" t="inlineStr">
        <is>
          <t>Köln</t>
        </is>
      </c>
    </row>
    <row r="2192">
      <c r="A2192" t="inlineStr">
        <is>
          <t>Simms Watschuhe</t>
        </is>
      </c>
      <c r="B2192" s="4" t="n">
        <v>35</v>
      </c>
      <c r="C2192" t="inlineStr">
        <is>
          <t>VB</t>
        </is>
      </c>
      <c r="D2192" t="inlineStr">
        <is>
          <t>41569 Nordrhein-Westfalen - Rommerskirchen</t>
        </is>
      </c>
      <c r="E2192" s="5" t="n">
        <v>45460</v>
      </c>
      <c r="F2192" t="inlineStr"/>
      <c r="G2192" s="6">
        <f>HYPERLINK("https://www.kleinanzeigen.de/s-anzeige/simms-watschuhe/2791018082-230-19638", "Link")</f>
        <v/>
      </c>
      <c r="H2192" s="6">
        <f>HYPERLINK("C:\Projects\Kleinanzeigen-Scraper\offer_images\2791018082", "Link")</f>
        <v/>
      </c>
      <c r="I2192" t="inlineStr">
        <is>
          <t>Maze Kleuters</t>
        </is>
      </c>
      <c r="J2192" s="6">
        <f>HYPERLINK("https://www.kleinanzeigen.de/s-bestandsliste.html?userId=81018531", "Link")</f>
        <v/>
      </c>
      <c r="K2192" s="7" t="n">
        <v>45549.57398148148</v>
      </c>
      <c r="L2192" s="3" t="inlineStr">
        <is>
          <t>22.79</t>
        </is>
      </c>
      <c r="M2192" t="inlineStr">
        <is>
          <t>Köln</t>
        </is>
      </c>
    </row>
    <row r="2193">
      <c r="A2193" t="inlineStr">
        <is>
          <t>Fanatic Kids SUP Ripper Air Touring 10'0“ Neu -35% Test -45%</t>
        </is>
      </c>
      <c r="B2193" s="4" t="n">
        <v>329</v>
      </c>
      <c r="C2193" t="inlineStr">
        <is>
          <t>VB</t>
        </is>
      </c>
      <c r="D2193" t="inlineStr">
        <is>
          <t>18586 Mecklenburg-Vorpommern - Mönchgut, Ostseebad</t>
        </is>
      </c>
      <c r="E2193" s="5" t="n">
        <v>45544</v>
      </c>
      <c r="F2193" t="inlineStr">
        <is>
          <t>Sold</t>
        </is>
      </c>
      <c r="G2193" s="6">
        <f>HYPERLINK("https://www.kleinanzeigen.de/s-anzeige/fanatic-kids-sup-ripper-air-touring-10-0-neu-35-test-45-/1526253886-230-120", "Link")</f>
        <v/>
      </c>
      <c r="H2193" s="6">
        <f>HYPERLINK("C:\Projects\Kleinanzeigen-Scraper\offer_images\1526253886", "Link")</f>
        <v/>
      </c>
      <c r="I2193" t="inlineStr">
        <is>
          <t>No user name</t>
        </is>
      </c>
      <c r="J2193" s="6">
        <f>HYPERLINK("https://www.kleinanzeigen.deNo user link", "Link")</f>
        <v/>
      </c>
      <c r="K2193" s="7" t="n">
        <v>45549.57398148148</v>
      </c>
      <c r="L2193" s="3" t="inlineStr">
        <is>
          <t>591.22</t>
        </is>
      </c>
      <c r="M2193" t="inlineStr">
        <is>
          <t>Köln</t>
        </is>
      </c>
    </row>
    <row r="2194">
      <c r="A2194" t="inlineStr">
        <is>
          <t>VILLEROY &amp; BOCH Santas Schlitten "North Pole Express“</t>
        </is>
      </c>
      <c r="B2194" s="4" t="n">
        <v>109</v>
      </c>
      <c r="C2194" t="inlineStr"/>
      <c r="D2194" t="inlineStr">
        <is>
          <t>81247 München - Pasing-Obermenzing</t>
        </is>
      </c>
      <c r="E2194" s="5" t="n">
        <v>45538</v>
      </c>
      <c r="F2194" t="inlineStr">
        <is>
          <t>Sold</t>
        </is>
      </c>
      <c r="G2194" s="6">
        <f>HYPERLINK("https://www.kleinanzeigen.de/s-anzeige/villeroy-boch-santas-schlitten-north-pole-express-/2853715064-234-6478", "Link")</f>
        <v/>
      </c>
      <c r="H2194" s="6">
        <f>HYPERLINK("C:\Projects\Kleinanzeigen-Scraper\offer_images\2853715064", "Link")</f>
        <v/>
      </c>
      <c r="I2194" t="inlineStr">
        <is>
          <t>Monika Keith</t>
        </is>
      </c>
      <c r="J2194" s="6">
        <f>HYPERLINK("https://www.kleinanzeigen.de/s-bestandsliste.html?userId=135562549", "Link")</f>
        <v/>
      </c>
      <c r="K2194" s="7" t="n">
        <v>45549.57395833333</v>
      </c>
      <c r="L2194" s="3" t="inlineStr">
        <is>
          <t>8.71</t>
        </is>
      </c>
      <c r="M2194" t="inlineStr">
        <is>
          <t>München</t>
        </is>
      </c>
    </row>
    <row r="2195">
      <c r="A2195" t="inlineStr">
        <is>
          <t>Neue Neopren Haube schwarz S von RRD</t>
        </is>
      </c>
      <c r="B2195" s="4" t="n">
        <v>25</v>
      </c>
      <c r="C2195" t="inlineStr">
        <is>
          <t>VB</t>
        </is>
      </c>
      <c r="D2195" t="inlineStr">
        <is>
          <t>33659 Bielefeld - Senne</t>
        </is>
      </c>
      <c r="E2195" s="5" t="n">
        <v>45368</v>
      </c>
      <c r="F2195" t="inlineStr">
        <is>
          <t>Sold</t>
        </is>
      </c>
      <c r="G2195" s="6">
        <f>HYPERLINK("https://www.kleinanzeigen.de/s-anzeige/neue-neopren-haube-schwarz-s-von-rrd/2708473601-230-1057", "Link")</f>
        <v/>
      </c>
      <c r="H2195" s="6">
        <f>HYPERLINK("C:\Projects\Kleinanzeigen-Scraper\offer_images\2708473601", "Link")</f>
        <v/>
      </c>
      <c r="I2195" t="inlineStr">
        <is>
          <t>Linda M</t>
        </is>
      </c>
      <c r="J2195" s="6">
        <f>HYPERLINK("https://www.kleinanzeigen.de/s-bestandsliste.html?userId=18669590", "Link")</f>
        <v/>
      </c>
      <c r="K2195" s="7" t="n">
        <v>45549.57395833333</v>
      </c>
      <c r="L2195" s="3" t="inlineStr">
        <is>
          <t>156.75</t>
        </is>
      </c>
      <c r="M2195" t="inlineStr">
        <is>
          <t>Köln</t>
        </is>
      </c>
    </row>
    <row r="2196">
      <c r="A2196" t="inlineStr">
        <is>
          <t>Duotone / North Kite Rebel 10 m² mit Bar, bester Freeride Kite</t>
        </is>
      </c>
      <c r="B2196" s="4" t="n">
        <v>410</v>
      </c>
      <c r="C2196" t="inlineStr">
        <is>
          <t>VB</t>
        </is>
      </c>
      <c r="D2196" t="inlineStr">
        <is>
          <t>59379 Nordrhein-Westfalen - Selm</t>
        </is>
      </c>
      <c r="E2196" s="5" t="n">
        <v>45537</v>
      </c>
      <c r="F2196" t="inlineStr">
        <is>
          <t>Sold</t>
        </is>
      </c>
      <c r="G2196" s="6">
        <f>HYPERLINK("https://www.kleinanzeigen.de/s-anzeige/duotone-north-kite-rebel-10-m-mit-bar-bester-freeride-kite/2852152895-230-1377", "Link")</f>
        <v/>
      </c>
      <c r="H2196" s="6">
        <f>HYPERLINK("C:\Projects\Kleinanzeigen-Scraper\offer_images\2852152895", "Link")</f>
        <v/>
      </c>
      <c r="I2196" t="inlineStr">
        <is>
          <t>Erich Sander</t>
        </is>
      </c>
      <c r="J2196" s="6">
        <f>HYPERLINK("https://www.kleinanzeigen.de/s-bestandsliste.html?userId=3595520", "Link")</f>
        <v/>
      </c>
      <c r="K2196" s="7" t="n">
        <v>45549.57395833333</v>
      </c>
      <c r="L2196" s="3" t="inlineStr">
        <is>
          <t>90.03</t>
        </is>
      </c>
      <c r="M2196" t="inlineStr">
        <is>
          <t>Köln</t>
        </is>
      </c>
    </row>
    <row r="2197">
      <c r="A2197" t="inlineStr">
        <is>
          <t>Kite Duotone Evo SS21 + Trust Bar SS20 12,0 mt</t>
        </is>
      </c>
      <c r="B2197" s="4" t="n">
        <v>1.55</v>
      </c>
      <c r="C2197" t="inlineStr"/>
      <c r="D2197" t="inlineStr">
        <is>
          <t>88326 Baden-Württemberg - Aulendorf</t>
        </is>
      </c>
      <c r="E2197" s="5" t="n">
        <v>45544</v>
      </c>
      <c r="F2197" t="inlineStr">
        <is>
          <t>Sold</t>
        </is>
      </c>
      <c r="G2197" s="6">
        <f>HYPERLINK("https://www.kleinanzeigen.de/s-anzeige/kite-duotone-evo-ss21-trust-bar-ss20-12-0-mt/2858487109-230-8741", "Link")</f>
        <v/>
      </c>
      <c r="H2197" s="6">
        <f>HYPERLINK("C:\Projects\Kleinanzeigen-Scraper\offer_images\2858487109", "Link")</f>
        <v/>
      </c>
      <c r="I2197" t="inlineStr">
        <is>
          <t>Rist Andreas</t>
        </is>
      </c>
      <c r="J2197" s="6">
        <f>HYPERLINK("https://www.kleinanzeigen.de/s-bestandsliste.html?userId=57148356", "Link")</f>
        <v/>
      </c>
      <c r="K2197" s="7" t="n">
        <v>45549.57395833333</v>
      </c>
      <c r="L2197" s="3" t="inlineStr">
        <is>
          <t>95.77</t>
        </is>
      </c>
      <c r="M2197" t="inlineStr">
        <is>
          <t>Böblingen</t>
        </is>
      </c>
    </row>
    <row r="2198">
      <c r="A2198" t="inlineStr">
        <is>
          <t>North Sonar HA950 – Frontwing</t>
        </is>
      </c>
      <c r="B2198" s="4" t="n">
        <v>345</v>
      </c>
      <c r="C2198" t="inlineStr">
        <is>
          <t>VB</t>
        </is>
      </c>
      <c r="D2198" t="inlineStr">
        <is>
          <t>22607 Altona - Hamburg Groß Flottbek</t>
        </is>
      </c>
      <c r="E2198" s="5" t="n">
        <v>45537</v>
      </c>
      <c r="F2198" t="inlineStr">
        <is>
          <t>Sold</t>
        </is>
      </c>
      <c r="G2198" s="6">
        <f>HYPERLINK("https://www.kleinanzeigen.de/s-anzeige/north-sonar-ha950-frontwing/2852708931-230-9500", "Link")</f>
        <v/>
      </c>
      <c r="H2198" s="6">
        <f>HYPERLINK("C:\Projects\Kleinanzeigen-Scraper\offer_images\2852708931", "Link")</f>
        <v/>
      </c>
      <c r="I2198" t="inlineStr">
        <is>
          <t>Jan</t>
        </is>
      </c>
      <c r="J2198" s="6">
        <f>HYPERLINK("https://www.kleinanzeigen.de/s-bestandsliste.html?userId=22692770", "Link")</f>
        <v/>
      </c>
      <c r="K2198" s="7" t="n">
        <v>45549.57394675926</v>
      </c>
      <c r="L2198" s="3" t="inlineStr">
        <is>
          <t>354.01</t>
        </is>
      </c>
      <c r="M2198" t="inlineStr">
        <is>
          <t>Köln</t>
        </is>
      </c>
    </row>
    <row r="2199">
      <c r="A2199" t="inlineStr">
        <is>
          <t>Laufhose Herren The North Face NEU schwarz S/M</t>
        </is>
      </c>
      <c r="B2199" s="4" t="n">
        <v>50</v>
      </c>
      <c r="C2199" t="inlineStr"/>
      <c r="D2199" t="inlineStr">
        <is>
          <t>08525 Sachsen - Plauen</t>
        </is>
      </c>
      <c r="E2199" s="5" t="n">
        <v>45549</v>
      </c>
      <c r="F2199" t="inlineStr">
        <is>
          <t>Sold</t>
        </is>
      </c>
      <c r="G2199" s="6">
        <f>HYPERLINK("https://www.kleinanzeigen.de/s-anzeige/laufhose-herren-the-north-face-neu-schwarz-s-m/2862876490-230-4223", "Link")</f>
        <v/>
      </c>
      <c r="H2199" s="6">
        <f>HYPERLINK("C:\Projects\Kleinanzeigen-Scraper\offer_images\2862876490", "Link")</f>
        <v/>
      </c>
      <c r="I2199" t="inlineStr">
        <is>
          <t>Maxi</t>
        </is>
      </c>
      <c r="J2199" s="6">
        <f>HYPERLINK("https://www.kleinanzeigen.de/s-bestandsliste.html?userId=20911615", "Link")</f>
        <v/>
      </c>
      <c r="K2199" s="7" t="n">
        <v>45549.57394675926</v>
      </c>
      <c r="L2199" s="3" t="inlineStr">
        <is>
          <t>266.78</t>
        </is>
      </c>
      <c r="M2199" t="inlineStr">
        <is>
          <t>München</t>
        </is>
      </c>
    </row>
    <row r="2200">
      <c r="A2200" t="inlineStr">
        <is>
          <t>Surfbag Surftasche 295 cm Neilpryde</t>
        </is>
      </c>
      <c r="B2200" s="4" t="n">
        <v>45</v>
      </c>
      <c r="C2200" t="inlineStr"/>
      <c r="D2200" t="inlineStr">
        <is>
          <t>07768 Thüringen - Seitenroda</t>
        </is>
      </c>
      <c r="E2200" s="5" t="n">
        <v>45495</v>
      </c>
      <c r="F2200" t="inlineStr">
        <is>
          <t>Sold</t>
        </is>
      </c>
      <c r="G2200" s="6">
        <f>HYPERLINK("https://www.kleinanzeigen.de/s-anzeige/surfbag-surftasche-295-cm-neilpryde/2818615201-242-3776", "Link")</f>
        <v/>
      </c>
      <c r="H2200" s="6">
        <f>HYPERLINK("C:\Projects\Kleinanzeigen-Scraper\offer_images\2818615201", "Link")</f>
        <v/>
      </c>
      <c r="I2200" t="inlineStr">
        <is>
          <t>Marti</t>
        </is>
      </c>
      <c r="J2200" s="6">
        <f>HYPERLINK("https://www.kleinanzeigen.de/s-bestandsliste.html?userId=20731582", "Link")</f>
        <v/>
      </c>
      <c r="K2200" s="7" t="n">
        <v>45549.57393518519</v>
      </c>
      <c r="L2200" s="3" t="inlineStr">
        <is>
          <t>296.21</t>
        </is>
      </c>
      <c r="M2200" t="inlineStr">
        <is>
          <t>München</t>
        </is>
      </c>
    </row>
    <row r="2201">
      <c r="A2201" t="inlineStr">
        <is>
          <t>Starboard Damen Trockenanzug All Star SUP Suit 3ColorBlue L</t>
        </is>
      </c>
      <c r="B2201" s="4" t="n">
        <v>350</v>
      </c>
      <c r="C2201" t="inlineStr">
        <is>
          <t>VB</t>
        </is>
      </c>
      <c r="D2201" t="inlineStr">
        <is>
          <t>88048 Baden-Württemberg - Friedrichshafen</t>
        </is>
      </c>
      <c r="E2201" s="5" t="n">
        <v>45540</v>
      </c>
      <c r="F2201" t="inlineStr"/>
      <c r="G2201" s="6">
        <f>HYPERLINK("https://www.kleinanzeigen.de/s-anzeige/starboard-damen-trockenanzug-all-star-sup-suit-3colorblue-l/2854722216-230-9212", "Link")</f>
        <v/>
      </c>
      <c r="H2201" s="6">
        <f>HYPERLINK("C:\Projects\Kleinanzeigen-Scraper\offer_images\2854722216", "Link")</f>
        <v/>
      </c>
      <c r="I2201" t="inlineStr">
        <is>
          <t>Michaela</t>
        </is>
      </c>
      <c r="J2201" s="6">
        <f>HYPERLINK("https://www.kleinanzeigen.de/s-bestandsliste.html?userId=47242338", "Link")</f>
        <v/>
      </c>
      <c r="K2201" s="7" t="n">
        <v>45549.57393518519</v>
      </c>
      <c r="L2201" s="3" t="inlineStr">
        <is>
          <t>87.69</t>
        </is>
      </c>
      <c r="M2201" t="inlineStr">
        <is>
          <t>Bonndorf</t>
        </is>
      </c>
    </row>
    <row r="2202">
      <c r="A2202" t="inlineStr">
        <is>
          <t>North Orbit 8 2022 + Navigator Bar 2024</t>
        </is>
      </c>
      <c r="B2202" s="4" t="n">
        <v>1</v>
      </c>
      <c r="C2202" t="inlineStr"/>
      <c r="D2202" t="inlineStr">
        <is>
          <t>80339 München - Schwanthalerhöhe</t>
        </is>
      </c>
      <c r="E2202" s="5" t="n">
        <v>45540</v>
      </c>
      <c r="F2202" t="inlineStr">
        <is>
          <t>Sold</t>
        </is>
      </c>
      <c r="G2202" s="6">
        <f>HYPERLINK("https://www.kleinanzeigen.de/s-anzeige/north-orbit-8-2022-navigator-bar-2024/2854857395-230-6444", "Link")</f>
        <v/>
      </c>
      <c r="H2202" s="6">
        <f>HYPERLINK("C:\Projects\Kleinanzeigen-Scraper\offer_images\2854857395", "Link")</f>
        <v/>
      </c>
      <c r="I2202" t="inlineStr">
        <is>
          <t>Fabio</t>
        </is>
      </c>
      <c r="J2202" s="6">
        <f>HYPERLINK("https://www.kleinanzeigen.de/s-bestandsliste.html?userId=29755210", "Link")</f>
        <v/>
      </c>
      <c r="K2202" s="7" t="n">
        <v>45549.57392361111</v>
      </c>
      <c r="L2202" s="3" t="inlineStr">
        <is>
          <t>2.57</t>
        </is>
      </c>
      <c r="M2202" t="inlineStr">
        <is>
          <t>München</t>
        </is>
      </c>
    </row>
    <row r="2203">
      <c r="A2203" t="inlineStr">
        <is>
          <t>The North Face ''RECOON'' Rucksack, inkl. Versand</t>
        </is>
      </c>
      <c r="B2203" s="4" t="n">
        <v>46</v>
      </c>
      <c r="C2203" t="inlineStr">
        <is>
          <t>VB</t>
        </is>
      </c>
      <c r="D2203" t="inlineStr">
        <is>
          <t>21339 Niedersachsen - Lüneburg</t>
        </is>
      </c>
      <c r="E2203" s="5" t="n">
        <v>45543</v>
      </c>
      <c r="F2203" t="inlineStr">
        <is>
          <t>Sold</t>
        </is>
      </c>
      <c r="G2203" s="6">
        <f>HYPERLINK("https://www.kleinanzeigen.de/s-anzeige/the-north-face-recoon-rucksack-inkl-versand/2858067110-187-3261", "Link")</f>
        <v/>
      </c>
      <c r="H2203" s="6">
        <f>HYPERLINK("C:\Projects\Kleinanzeigen-Scraper\offer_images\2858067110", "Link")</f>
        <v/>
      </c>
      <c r="I2203" t="inlineStr">
        <is>
          <t>NICKEL</t>
        </is>
      </c>
      <c r="J2203" s="6">
        <f>HYPERLINK("https://www.kleinanzeigen.de/s-bestandsliste.html?userId=33105969", "Link")</f>
        <v/>
      </c>
      <c r="K2203" s="7" t="n">
        <v>45549.57390046296</v>
      </c>
      <c r="L2203" s="3" t="inlineStr">
        <is>
          <t>348.22</t>
        </is>
      </c>
      <c r="M2203" t="inlineStr">
        <is>
          <t>Köln</t>
        </is>
      </c>
    </row>
    <row r="2204">
      <c r="A2204" t="inlineStr">
        <is>
          <t>SIMMS Freestone HipPack Neu</t>
        </is>
      </c>
      <c r="B2204" s="4" t="n">
        <v>125</v>
      </c>
      <c r="C2204" t="inlineStr"/>
      <c r="D2204" t="inlineStr">
        <is>
          <t>40724 Nordrhein-Westfalen - Hilden</t>
        </is>
      </c>
      <c r="E2204" s="5" t="n">
        <v>45524</v>
      </c>
      <c r="F2204" t="inlineStr"/>
      <c r="G2204" s="6">
        <f>HYPERLINK("https://www.kleinanzeigen.de/s-anzeige/simms-freestone-hippack-neu/2841967715-230-1859", "Link")</f>
        <v/>
      </c>
      <c r="H2204" s="6">
        <f>HYPERLINK("C:\Projects\Kleinanzeigen-Scraper\offer_images\2841967715", "Link")</f>
        <v/>
      </c>
      <c r="I2204" t="inlineStr">
        <is>
          <t>George</t>
        </is>
      </c>
      <c r="J2204" s="6">
        <f>HYPERLINK("https://www.kleinanzeigen.de/s-bestandsliste.html?userId=21166343", "Link")</f>
        <v/>
      </c>
      <c r="K2204" s="7" t="n">
        <v>45549.57390046296</v>
      </c>
      <c r="L2204" s="3" t="inlineStr">
        <is>
          <t>26.51</t>
        </is>
      </c>
      <c r="M2204" t="inlineStr">
        <is>
          <t>Köln</t>
        </is>
      </c>
    </row>
    <row r="2205">
      <c r="A2205" t="inlineStr">
        <is>
          <t>Naish S26 Wing Surfer Matador / Test ab Mai auf Rügen</t>
        </is>
      </c>
      <c r="B2205" s="4" t="n">
        <v>879</v>
      </c>
      <c r="C2205" t="inlineStr"/>
      <c r="D2205" t="inlineStr">
        <is>
          <t>18586 Mecklenburg-Vorpommern - Mönchgut, Ostseebad</t>
        </is>
      </c>
      <c r="E2205" s="5" t="n">
        <v>45541</v>
      </c>
      <c r="F2205" t="inlineStr">
        <is>
          <t>Sold</t>
        </is>
      </c>
      <c r="G2205" s="6">
        <f>HYPERLINK("https://www.kleinanzeigen.de/s-anzeige/naish-s26-wing-surfer-matador-test-ab-mai-auf-ruegen/2027630520-230-120", "Link")</f>
        <v/>
      </c>
      <c r="H2205" s="6">
        <f>HYPERLINK("C:\Projects\Kleinanzeigen-Scraper\offer_images\2027630520", "Link")</f>
        <v/>
      </c>
      <c r="I2205" t="inlineStr">
        <is>
          <t>No user name</t>
        </is>
      </c>
      <c r="J2205" s="6">
        <f>HYPERLINK("https://www.kleinanzeigen.deNo user link", "Link")</f>
        <v/>
      </c>
      <c r="K2205" s="7" t="n">
        <v>45549.57390046296</v>
      </c>
      <c r="L2205" s="3" t="inlineStr">
        <is>
          <t>591.22</t>
        </is>
      </c>
      <c r="M2205" t="inlineStr">
        <is>
          <t>Köln</t>
        </is>
      </c>
    </row>
    <row r="2206">
      <c r="A2206" t="inlineStr">
        <is>
          <t>Duotone Unit D/LAB Wing 3.5</t>
        </is>
      </c>
      <c r="B2206" s="4" t="n">
        <v>1</v>
      </c>
      <c r="C2206" t="inlineStr">
        <is>
          <t>VB</t>
        </is>
      </c>
      <c r="D2206" t="inlineStr">
        <is>
          <t>82041 Kr. München - Oberhaching</t>
        </is>
      </c>
      <c r="E2206" s="5" t="n">
        <v>45543</v>
      </c>
      <c r="F2206" t="inlineStr">
        <is>
          <t>Sold</t>
        </is>
      </c>
      <c r="G2206" s="6">
        <f>HYPERLINK("https://www.kleinanzeigen.de/s-anzeige/duotone-unit-d-lab-wing-3-5/2857927827-230-17092", "Link")</f>
        <v/>
      </c>
      <c r="H2206" s="6">
        <f>HYPERLINK("C:\Projects\Kleinanzeigen-Scraper\offer_images\2857927827", "Link")</f>
        <v/>
      </c>
      <c r="I2206" t="inlineStr">
        <is>
          <t>Karin Gertenbach</t>
        </is>
      </c>
      <c r="J2206" s="6">
        <f>HYPERLINK("https://www.kleinanzeigen.de/s-bestandsliste.html?userId=27384519", "Link")</f>
        <v/>
      </c>
      <c r="K2206" s="7" t="n">
        <v>45549.57390046296</v>
      </c>
      <c r="L2206" s="3" t="inlineStr">
        <is>
          <t>12.39</t>
        </is>
      </c>
      <c r="M2206" t="inlineStr">
        <is>
          <t>München</t>
        </is>
      </c>
    </row>
    <row r="2207">
      <c r="A2207" t="inlineStr">
        <is>
          <t>Neilpryde the fly 3.3qm wing</t>
        </is>
      </c>
      <c r="B2207" s="4" t="n">
        <v>420</v>
      </c>
      <c r="C2207" t="inlineStr">
        <is>
          <t>VB</t>
        </is>
      </c>
      <c r="D2207" t="inlineStr">
        <is>
          <t>81671 München - Berg-am-Laim</t>
        </is>
      </c>
      <c r="E2207" s="5" t="n">
        <v>45548</v>
      </c>
      <c r="F2207" t="inlineStr">
        <is>
          <t>Sold</t>
        </is>
      </c>
      <c r="G2207" s="6">
        <f>HYPERLINK("https://www.kleinanzeigen.de/s-anzeige/neilpryde-the-fly-3-3qm-wing/2861884683-230-6460", "Link")</f>
        <v/>
      </c>
      <c r="H2207" s="6">
        <f>HYPERLINK("C:\Projects\Kleinanzeigen-Scraper\offer_images\2861884683", "Link")</f>
        <v/>
      </c>
      <c r="I2207" t="inlineStr">
        <is>
          <t>Der Freddy</t>
        </is>
      </c>
      <c r="J2207" s="6">
        <f>HYPERLINK("https://www.kleinanzeigen.de/s-bestandsliste.html?userId=18106429", "Link")</f>
        <v/>
      </c>
      <c r="K2207" s="7" t="n">
        <v>45549.57387731481</v>
      </c>
      <c r="L2207" s="3" t="inlineStr">
        <is>
          <t>3.24</t>
        </is>
      </c>
      <c r="M2207" t="inlineStr">
        <is>
          <t>München</t>
        </is>
      </c>
    </row>
    <row r="2208">
      <c r="A2208" t="inlineStr">
        <is>
          <t>Kiterange Kites 7 9 12 north evo</t>
        </is>
      </c>
      <c r="B2208" s="4" t="inlineStr"/>
      <c r="C2208" t="inlineStr">
        <is>
          <t>VB</t>
        </is>
      </c>
      <c r="D2208" t="inlineStr">
        <is>
          <t>12683 Berlin - Biesdorf</t>
        </is>
      </c>
      <c r="E2208" s="5" t="n">
        <v>45545</v>
      </c>
      <c r="F2208" t="inlineStr">
        <is>
          <t>Sold</t>
        </is>
      </c>
      <c r="G2208" s="6">
        <f>HYPERLINK("https://www.kleinanzeigen.de/s-anzeige/kiterange-kites-7-9-12-north-evo/2859450477-230-19394", "Link")</f>
        <v/>
      </c>
      <c r="H2208" s="6">
        <f>HYPERLINK("C:\Projects\Kleinanzeigen-Scraper\offer_images\2859450477", "Link")</f>
        <v/>
      </c>
      <c r="I2208" t="inlineStr">
        <is>
          <t>WirRäumenAuf</t>
        </is>
      </c>
      <c r="J2208" s="6">
        <f>HYPERLINK("https://www.kleinanzeigen.de/s-bestandsliste.html?userId=8358509", "Link")</f>
        <v/>
      </c>
      <c r="K2208" s="7" t="n">
        <v>45549.57387731481</v>
      </c>
      <c r="L2208" s="3" t="inlineStr">
        <is>
          <t>486.67</t>
        </is>
      </c>
      <c r="M2208" t="inlineStr">
        <is>
          <t>Köln</t>
        </is>
      </c>
    </row>
    <row r="2209">
      <c r="A2209" t="inlineStr">
        <is>
          <t>Starboard IQ-Foil Frontwing 900 cm</t>
        </is>
      </c>
      <c r="B2209" s="4" t="n">
        <v>400</v>
      </c>
      <c r="C2209" t="inlineStr"/>
      <c r="D2209" t="inlineStr">
        <is>
          <t>75334 Baden-Württemberg - Straubenhardt</t>
        </is>
      </c>
      <c r="E2209" s="5" t="n">
        <v>45538</v>
      </c>
      <c r="F2209" t="inlineStr">
        <is>
          <t>Sold</t>
        </is>
      </c>
      <c r="G2209" s="6">
        <f>HYPERLINK("https://www.kleinanzeigen.de/s-anzeige/starboard-iq-foil-frontwing-900-cm/2853265082-230-8117", "Link")</f>
        <v/>
      </c>
      <c r="H2209" s="6">
        <f>HYPERLINK("C:\Projects\Kleinanzeigen-Scraper\offer_images\2853265082", "Link")</f>
        <v/>
      </c>
      <c r="I2209" t="inlineStr">
        <is>
          <t>Jonne</t>
        </is>
      </c>
      <c r="J2209" s="6">
        <f>HYPERLINK("https://www.kleinanzeigen.de/s-bestandsliste.html?userId=139390681", "Link")</f>
        <v/>
      </c>
      <c r="K2209" s="7" t="n">
        <v>45549.57387731481</v>
      </c>
      <c r="L2209" s="3" t="inlineStr">
        <is>
          <t>21.11</t>
        </is>
      </c>
      <c r="M2209" t="inlineStr">
        <is>
          <t>Karlsruhe</t>
        </is>
      </c>
    </row>
    <row r="2210">
      <c r="A2210" t="inlineStr">
        <is>
          <t>Wing Foil Duoton Carbon Aero Glide</t>
        </is>
      </c>
      <c r="B2210" s="4" t="n">
        <v>1.05</v>
      </c>
      <c r="C2210" t="inlineStr"/>
      <c r="D2210" t="inlineStr">
        <is>
          <t>83623 Bayern - Dietramszell</t>
        </is>
      </c>
      <c r="E2210" s="5" t="n">
        <v>45543</v>
      </c>
      <c r="F2210" t="inlineStr">
        <is>
          <t>Sold</t>
        </is>
      </c>
      <c r="G2210" s="6">
        <f>HYPERLINK("https://www.kleinanzeigen.de/s-anzeige/wing-foil-duoton-carbon-aero-glide/2857338552-230-6194", "Link")</f>
        <v/>
      </c>
      <c r="H2210" s="6">
        <f>HYPERLINK("C:\Projects\Kleinanzeigen-Scraper\offer_images\2857338552", "Link")</f>
        <v/>
      </c>
      <c r="I2210" t="inlineStr">
        <is>
          <t>Thalhammer</t>
        </is>
      </c>
      <c r="J2210" s="6">
        <f>HYPERLINK("https://www.kleinanzeigen.de/s-bestandsliste.html?userId=21541166", "Link")</f>
        <v/>
      </c>
      <c r="K2210" s="7" t="n">
        <v>45549.57387731481</v>
      </c>
      <c r="L2210" s="3" t="inlineStr">
        <is>
          <t>31.34</t>
        </is>
      </c>
      <c r="M2210" t="inlineStr">
        <is>
          <t>München</t>
        </is>
      </c>
    </row>
    <row r="2211">
      <c r="A2211" t="inlineStr">
        <is>
          <t>North Nova Wing 6m, wie neu</t>
        </is>
      </c>
      <c r="B2211" s="4" t="n">
        <v>180</v>
      </c>
      <c r="C2211" t="inlineStr">
        <is>
          <t>VB</t>
        </is>
      </c>
      <c r="D2211" t="inlineStr">
        <is>
          <t>53919 Nordrhein-Westfalen - Weilerswist</t>
        </is>
      </c>
      <c r="E2211" s="5" t="n">
        <v>45546</v>
      </c>
      <c r="F2211" t="inlineStr">
        <is>
          <t>Sold</t>
        </is>
      </c>
      <c r="G2211" s="6">
        <f>HYPERLINK("https://www.kleinanzeigen.de/s-anzeige/north-nova-wing-6m-wie-neu/2860392803-230-1664", "Link")</f>
        <v/>
      </c>
      <c r="H2211" s="6">
        <f>HYPERLINK("C:\Projects\Kleinanzeigen-Scraper\offer_images\2860392803", "Link")</f>
        <v/>
      </c>
      <c r="I2211" t="inlineStr">
        <is>
          <t>Kiterin</t>
        </is>
      </c>
      <c r="J2211" s="6">
        <f>HYPERLINK("https://www.kleinanzeigen.de/s-bestandsliste.html?userId=8841109", "Link")</f>
        <v/>
      </c>
      <c r="K2211" s="7" t="n">
        <v>45549.57385416667</v>
      </c>
      <c r="L2211" s="3" t="inlineStr">
        <is>
          <t>23.80</t>
        </is>
      </c>
      <c r="M2211" t="inlineStr">
        <is>
          <t>Köln</t>
        </is>
      </c>
    </row>
    <row r="2212">
      <c r="A2212" t="inlineStr">
        <is>
          <t>Neilpryde Wing 2 2024 , Größe 4,0 wenig benutzt</t>
        </is>
      </c>
      <c r="B2212" s="4" t="n">
        <v>800</v>
      </c>
      <c r="C2212" t="inlineStr">
        <is>
          <t>VB</t>
        </is>
      </c>
      <c r="D2212" t="inlineStr">
        <is>
          <t>81545 München - Untergiesing-Harlaching</t>
        </is>
      </c>
      <c r="E2212" s="5" t="n">
        <v>45502</v>
      </c>
      <c r="F2212" t="inlineStr">
        <is>
          <t>Sold</t>
        </is>
      </c>
      <c r="G2212" s="6">
        <f>HYPERLINK("https://www.kleinanzeigen.de/s-anzeige/neilpryde-wing-2-2024-groesse-4-0-wenig-benutzt/2824070684-230-6429", "Link")</f>
        <v/>
      </c>
      <c r="H2212" s="6">
        <f>HYPERLINK("C:\Projects\Kleinanzeigen-Scraper\offer_images\2824070684", "Link")</f>
        <v/>
      </c>
      <c r="I2212" t="inlineStr">
        <is>
          <t>Rita</t>
        </is>
      </c>
      <c r="J2212" s="6">
        <f>HYPERLINK("https://www.kleinanzeigen.de/s-bestandsliste.html?userId=61859690", "Link")</f>
        <v/>
      </c>
      <c r="K2212" s="7" t="n">
        <v>45549.57385416667</v>
      </c>
      <c r="L2212" s="3" t="inlineStr">
        <is>
          <t>5.65</t>
        </is>
      </c>
      <c r="M2212" t="inlineStr">
        <is>
          <t>München</t>
        </is>
      </c>
    </row>
    <row r="2213">
      <c r="A2213" t="inlineStr">
        <is>
          <t>Naish Park 8qm 2011, Kitesurfen Kite</t>
        </is>
      </c>
      <c r="B2213" s="4" t="n">
        <v>120</v>
      </c>
      <c r="C2213" t="inlineStr"/>
      <c r="D2213" t="inlineStr">
        <is>
          <t>66440 Saarland - Blieskastel</t>
        </is>
      </c>
      <c r="E2213" s="5" t="n">
        <v>45542</v>
      </c>
      <c r="F2213" t="inlineStr">
        <is>
          <t>Sold</t>
        </is>
      </c>
      <c r="G2213" s="6">
        <f>HYPERLINK("https://www.kleinanzeigen.de/s-anzeige/naish-park-8qm-2011-kitesurfen-kite/2856380732-230-289", "Link")</f>
        <v/>
      </c>
      <c r="H2213" s="6">
        <f>HYPERLINK("C:\Projects\Kleinanzeigen-Scraper\offer_images\2856380732", "Link")</f>
        <v/>
      </c>
      <c r="I2213" t="inlineStr">
        <is>
          <t>Manu</t>
        </is>
      </c>
      <c r="J2213" s="6">
        <f>HYPERLINK("https://www.kleinanzeigen.de/s-bestandsliste.html?userId=72715505", "Link")</f>
        <v/>
      </c>
      <c r="K2213" s="7" t="n">
        <v>45549.57385416667</v>
      </c>
      <c r="L2213" s="3" t="inlineStr">
        <is>
          <t>86.49</t>
        </is>
      </c>
      <c r="M2213" t="inlineStr">
        <is>
          <t>Karlsruhe</t>
        </is>
      </c>
    </row>
    <row r="2214">
      <c r="A2214" t="inlineStr">
        <is>
          <t>Kiteboard Twintipp RRD Placebo  V6</t>
        </is>
      </c>
      <c r="B2214" s="4" t="n">
        <v>250</v>
      </c>
      <c r="C2214" t="inlineStr">
        <is>
          <t>VB</t>
        </is>
      </c>
      <c r="D2214" t="inlineStr">
        <is>
          <t>66740 Saarland - Saarlouis</t>
        </is>
      </c>
      <c r="E2214" s="5" t="n">
        <v>45534</v>
      </c>
      <c r="F2214" t="inlineStr">
        <is>
          <t>Sold</t>
        </is>
      </c>
      <c r="G2214" s="6">
        <f>HYPERLINK("https://www.kleinanzeigen.de/s-anzeige/kiteboard-twintipp-rrd-placebo-v6/2850038608-230-369", "Link")</f>
        <v/>
      </c>
      <c r="H2214" s="6">
        <f>HYPERLINK("C:\Projects\Kleinanzeigen-Scraper\offer_images\2850038608", "Link")</f>
        <v/>
      </c>
      <c r="I2214" t="inlineStr">
        <is>
          <t>Peter</t>
        </is>
      </c>
      <c r="J2214" s="6">
        <f>HYPERLINK("https://www.kleinanzeigen.de/s-bestandsliste.html?userId=21245490", "Link")</f>
        <v/>
      </c>
      <c r="K2214" s="7" t="n">
        <v>45549.57385416667</v>
      </c>
      <c r="L2214" s="3" t="inlineStr">
        <is>
          <t>124.87</t>
        </is>
      </c>
      <c r="M2214" t="inlineStr">
        <is>
          <t>Karlsruhe</t>
        </is>
      </c>
    </row>
    <row r="2215">
      <c r="A2215" t="inlineStr">
        <is>
          <t>Valorant - Vandal / Jett / Mele / Spectre Cosplay Print</t>
        </is>
      </c>
      <c r="B2215" s="4" t="inlineStr"/>
      <c r="C2215" t="inlineStr">
        <is>
          <t>VB</t>
        </is>
      </c>
      <c r="D2215" t="inlineStr">
        <is>
          <t>12679 Berlin - Marzahn</t>
        </is>
      </c>
      <c r="E2215" s="5" t="n">
        <v>45195</v>
      </c>
      <c r="F2215" t="inlineStr"/>
      <c r="G2215" s="6">
        <f>HYPERLINK("https://www.kleinanzeigen.de/s-anzeige/valorant-vandal-jett-mele-spectre-cosplay-print/2555554804-249-3381", "Link")</f>
        <v/>
      </c>
      <c r="H2215" s="6">
        <f>HYPERLINK("C:\Projects\Kleinanzeigen-Scraper\offer_images\2555554804", "Link")</f>
        <v/>
      </c>
      <c r="I2215" t="inlineStr">
        <is>
          <t>DPR CUSTOMS</t>
        </is>
      </c>
      <c r="J2215" s="6">
        <f>HYPERLINK("https://www.kleinanzeigen.de/s-bestandsliste.html?userId=123065653", "Link")</f>
        <v/>
      </c>
      <c r="K2215" s="7" t="n">
        <v>45549.57385416667</v>
      </c>
      <c r="L2215" s="3" t="inlineStr">
        <is>
          <t>488.66</t>
        </is>
      </c>
      <c r="M2215" t="inlineStr">
        <is>
          <t>Köln</t>
        </is>
      </c>
    </row>
    <row r="2216">
      <c r="A2216" t="inlineStr">
        <is>
          <t>SOLO GOYA Pouring Fluid Fließmedium für Acrylfarben Kreul</t>
        </is>
      </c>
      <c r="B2216" s="4" t="n">
        <v>4</v>
      </c>
      <c r="C2216" t="inlineStr"/>
      <c r="D2216" t="inlineStr">
        <is>
          <t>84478 Bayern - Waldkraiburg</t>
        </is>
      </c>
      <c r="E2216" s="5" t="n">
        <v>45392</v>
      </c>
      <c r="F2216" t="inlineStr"/>
      <c r="G2216" s="6">
        <f>HYPERLINK("https://www.kleinanzeigen.de/s-anzeige/solo-goya-pouring-fluid-fliessmedium-fuer-acrylfarben-kreul/2731060083-240-5681", "Link")</f>
        <v/>
      </c>
      <c r="H2216" s="6">
        <f>HYPERLINK("C:\Projects\Kleinanzeigen-Scraper\offer_images\2731060083", "Link")</f>
        <v/>
      </c>
      <c r="I2216" t="inlineStr">
        <is>
          <t>S. G.</t>
        </is>
      </c>
      <c r="J2216" s="6">
        <f>HYPERLINK("https://www.kleinanzeigen.de/s-bestandsliste.html?userId=59547580", "Link")</f>
        <v/>
      </c>
      <c r="K2216" s="7" t="n">
        <v>45549.5738425926</v>
      </c>
      <c r="L2216" s="3" t="inlineStr">
        <is>
          <t>63.26</t>
        </is>
      </c>
      <c r="M2216" t="inlineStr">
        <is>
          <t>München</t>
        </is>
      </c>
    </row>
    <row r="2217">
      <c r="A2217" t="inlineStr">
        <is>
          <t>Goya, Druck, Facsimil de la Tauromaquia Num. 20</t>
        </is>
      </c>
      <c r="B2217" s="4" t="n">
        <v>10</v>
      </c>
      <c r="C2217" t="inlineStr"/>
      <c r="D2217" t="inlineStr">
        <is>
          <t>66583 Saarland - Spiesen-Elversberg</t>
        </is>
      </c>
      <c r="E2217" s="5" t="n">
        <v>45105</v>
      </c>
      <c r="F2217" t="inlineStr"/>
      <c r="G2217" s="6">
        <f>HYPERLINK("https://www.kleinanzeigen.de/s-anzeige/goya-druck-facsimil-de-la-tauromaquia-num-20/2479491920-240-403", "Link")</f>
        <v/>
      </c>
      <c r="H2217" s="6">
        <f>HYPERLINK("C:\Projects\Kleinanzeigen-Scraper\offer_images\2479491920", "Link")</f>
        <v/>
      </c>
      <c r="I2217" t="inlineStr">
        <is>
          <t>Sold</t>
        </is>
      </c>
      <c r="J2217" s="6">
        <f>HYPERLINK("https://www.kleinanzeigen.de/s-bestandsliste.html?userId=25670219", "Link")</f>
        <v/>
      </c>
      <c r="K2217" s="7" t="n">
        <v>45549.57383101852</v>
      </c>
      <c r="L2217" s="3" t="inlineStr">
        <is>
          <t>96.87</t>
        </is>
      </c>
      <c r="M2217" t="inlineStr">
        <is>
          <t>Karlsruhe</t>
        </is>
      </c>
    </row>
    <row r="2218">
      <c r="A2218" t="inlineStr">
        <is>
          <t>Naish Pivot 8qm</t>
        </is>
      </c>
      <c r="B2218" s="4" t="n">
        <v>200</v>
      </c>
      <c r="C2218" t="inlineStr"/>
      <c r="D2218" t="inlineStr">
        <is>
          <t>24242 Schleswig-Holstein - Felde</t>
        </is>
      </c>
      <c r="E2218" s="5" t="n">
        <v>45546</v>
      </c>
      <c r="F2218" t="inlineStr">
        <is>
          <t>Sold</t>
        </is>
      </c>
      <c r="G2218" s="6">
        <f>HYPERLINK("https://www.kleinanzeigen.de/s-anzeige/naish-pivot-8qm/2860278332-230-669", "Link")</f>
        <v/>
      </c>
      <c r="H2218" s="6">
        <f>HYPERLINK("C:\Projects\Kleinanzeigen-Scraper\offer_images\2860278332", "Link")</f>
        <v/>
      </c>
      <c r="I2218" t="inlineStr">
        <is>
          <t>Dr. Bodo Reck</t>
        </is>
      </c>
      <c r="J2218" s="6">
        <f>HYPERLINK("https://www.kleinanzeigen.de/s-bestandsliste.html?userId=25609779", "Link")</f>
        <v/>
      </c>
      <c r="K2218" s="7" t="n">
        <v>45549.57380787037</v>
      </c>
      <c r="L2218" s="3" t="inlineStr">
        <is>
          <t>424.49</t>
        </is>
      </c>
      <c r="M2218" t="inlineStr">
        <is>
          <t>Köln</t>
        </is>
      </c>
    </row>
    <row r="2219">
      <c r="A2219" t="inlineStr">
        <is>
          <t>Duotone Tubekite Evo C09:coral/heron 2024 8.0 qm</t>
        </is>
      </c>
      <c r="B2219" s="4" t="n">
        <v>1.039</v>
      </c>
      <c r="C2219" t="inlineStr">
        <is>
          <t>VB</t>
        </is>
      </c>
      <c r="D2219" t="inlineStr">
        <is>
          <t>26125 Niedersachsen - Oldenburg</t>
        </is>
      </c>
      <c r="E2219" s="5" t="n">
        <v>45545</v>
      </c>
      <c r="F2219" t="inlineStr">
        <is>
          <t>Sold</t>
        </is>
      </c>
      <c r="G2219" s="6">
        <f>HYPERLINK("https://www.kleinanzeigen.de/s-anzeige/duotone-tubekite-evo-c09-coral-heron-2024-8-0-qm/2859568151-230-3111", "Link")</f>
        <v/>
      </c>
      <c r="H2219" s="6">
        <f>HYPERLINK("C:\Projects\Kleinanzeigen-Scraper\offer_images\2859568151", "Link")</f>
        <v/>
      </c>
      <c r="I2219" t="inlineStr">
        <is>
          <t>No user name</t>
        </is>
      </c>
      <c r="J2219" s="6">
        <f>HYPERLINK("https://www.kleinanzeigen.deNo user link", "Link")</f>
        <v/>
      </c>
      <c r="K2219" s="7" t="n">
        <v>45549.57380787037</v>
      </c>
      <c r="L2219" s="3" t="inlineStr">
        <is>
          <t>264.10</t>
        </is>
      </c>
      <c r="M2219" t="inlineStr">
        <is>
          <t>Köln</t>
        </is>
      </c>
    </row>
    <row r="2220">
      <c r="A2220" t="inlineStr">
        <is>
          <t>Naish Pivot S26 2022  Test ab April auf Rügen</t>
        </is>
      </c>
      <c r="B2220" s="4" t="n">
        <v>1.034</v>
      </c>
      <c r="C2220" t="inlineStr">
        <is>
          <t>VB</t>
        </is>
      </c>
      <c r="D2220" t="inlineStr">
        <is>
          <t>18586 Mecklenburg-Vorpommern - Mönchgut, Ostseebad</t>
        </is>
      </c>
      <c r="E2220" s="5" t="n">
        <v>45548</v>
      </c>
      <c r="F2220" t="inlineStr"/>
      <c r="G2220" s="6">
        <f>HYPERLINK("https://www.kleinanzeigen.de/s-anzeige/naish-pivot-s26-2022-test-ab-april-auf-ruegen/1560477319-230-120", "Link")</f>
        <v/>
      </c>
      <c r="H2220" s="6">
        <f>HYPERLINK("C:\Projects\Kleinanzeigen-Scraper\offer_images\1560477319", "Link")</f>
        <v/>
      </c>
      <c r="I2220" t="inlineStr">
        <is>
          <t>No user name</t>
        </is>
      </c>
      <c r="J2220" s="6">
        <f>HYPERLINK("https://www.kleinanzeigen.deNo user link", "Link")</f>
        <v/>
      </c>
      <c r="K2220" s="7" t="n">
        <v>45549.57378472222</v>
      </c>
      <c r="L2220" s="3" t="inlineStr">
        <is>
          <t>591.22</t>
        </is>
      </c>
      <c r="M2220" t="inlineStr">
        <is>
          <t>Köln</t>
        </is>
      </c>
    </row>
    <row r="2221">
      <c r="A2221" t="inlineStr">
        <is>
          <t>Duotone Tubekite Evo D/LAB C09:dark-grey 2024 10.0 qm</t>
        </is>
      </c>
      <c r="B2221" s="4" t="n">
        <v>1.859</v>
      </c>
      <c r="C2221" t="inlineStr">
        <is>
          <t>VB</t>
        </is>
      </c>
      <c r="D2221" t="inlineStr">
        <is>
          <t>26125 Niedersachsen - Oldenburg</t>
        </is>
      </c>
      <c r="E2221" s="5" t="n">
        <v>45545</v>
      </c>
      <c r="F2221" t="inlineStr">
        <is>
          <t>Sold</t>
        </is>
      </c>
      <c r="G2221" s="6">
        <f>HYPERLINK("https://www.kleinanzeigen.de/s-anzeige/duotone-tubekite-evo-d-lab-c09-dark-grey-2024-10-0-qm/2859568893-230-3111", "Link")</f>
        <v/>
      </c>
      <c r="H2221" s="6">
        <f>HYPERLINK("C:\Projects\Kleinanzeigen-Scraper\offer_images\2859568893", "Link")</f>
        <v/>
      </c>
      <c r="I2221" t="inlineStr">
        <is>
          <t>No user name</t>
        </is>
      </c>
      <c r="J2221" s="6">
        <f>HYPERLINK("https://www.kleinanzeigen.deNo user link", "Link")</f>
        <v/>
      </c>
      <c r="K2221" s="7" t="n">
        <v>45549.57378472222</v>
      </c>
      <c r="L2221" s="3" t="inlineStr">
        <is>
          <t>264.10</t>
        </is>
      </c>
      <c r="M2221" t="inlineStr">
        <is>
          <t>Köln</t>
        </is>
      </c>
    </row>
    <row r="2222">
      <c r="A2222" t="inlineStr">
        <is>
          <t>Fanatic Foil S1</t>
        </is>
      </c>
      <c r="B2222" s="4" t="n">
        <v>199</v>
      </c>
      <c r="C2222" t="inlineStr">
        <is>
          <t>VB</t>
        </is>
      </c>
      <c r="D2222" t="inlineStr">
        <is>
          <t>65203 Hessen - Wiesbaden</t>
        </is>
      </c>
      <c r="E2222" s="5" t="n">
        <v>45519</v>
      </c>
      <c r="F2222" t="inlineStr">
        <is>
          <t>Sold</t>
        </is>
      </c>
      <c r="G2222" s="6">
        <f>HYPERLINK("https://www.kleinanzeigen.de/s-anzeige/fanatic-foil-s1/2837674368-230-4901", "Link")</f>
        <v/>
      </c>
      <c r="H2222" s="6">
        <f>HYPERLINK("C:\Projects\Kleinanzeigen-Scraper\offer_images\2837674368", "Link")</f>
        <v/>
      </c>
      <c r="I2222" t="inlineStr">
        <is>
          <t>Dirk Kolbe</t>
        </is>
      </c>
      <c r="J2222" s="6">
        <f>HYPERLINK("https://www.kleinanzeigen.de/s-bestandsliste.html?userId=474763", "Link")</f>
        <v/>
      </c>
      <c r="K2222" s="7" t="n">
        <v>45549.57378472222</v>
      </c>
      <c r="L2222" s="3" t="inlineStr">
        <is>
          <t>115.59</t>
        </is>
      </c>
      <c r="M2222" t="inlineStr">
        <is>
          <t>Karlsruhe</t>
        </is>
      </c>
    </row>
    <row r="2223">
      <c r="A2223" t="inlineStr">
        <is>
          <t>North (Duotone) Vegas Kite 10 m² (2015) Hadlow Edition inkl. Bag</t>
        </is>
      </c>
      <c r="B2223" s="4" t="n">
        <v>280</v>
      </c>
      <c r="C2223" t="inlineStr"/>
      <c r="D2223" t="inlineStr">
        <is>
          <t>70176 Stuttgart - Stuttgart-West</t>
        </is>
      </c>
      <c r="E2223" s="5" t="n">
        <v>45541</v>
      </c>
      <c r="F2223" t="inlineStr">
        <is>
          <t>Sold</t>
        </is>
      </c>
      <c r="G2223" s="6">
        <f>HYPERLINK("https://www.kleinanzeigen.de/s-anzeige/north-duotone-vegas-kite-10-m-2015-hadlow-edition-inkl-bag/2855527028-187-9284", "Link")</f>
        <v/>
      </c>
      <c r="H2223" s="6">
        <f>HYPERLINK("C:\Projects\Kleinanzeigen-Scraper\offer_images\2855527028", "Link")</f>
        <v/>
      </c>
      <c r="I2223" t="inlineStr">
        <is>
          <t>Marcel Eberbach</t>
        </is>
      </c>
      <c r="J2223" s="6">
        <f>HYPERLINK("https://www.kleinanzeigen.de/s-bestandsliste.html?userId=22418306", "Link")</f>
        <v/>
      </c>
      <c r="K2223" s="7" t="n">
        <v>45549.57378472222</v>
      </c>
      <c r="L2223" s="3" t="inlineStr">
        <is>
          <t>17.55</t>
        </is>
      </c>
      <c r="M2223" t="inlineStr">
        <is>
          <t>Böblingen</t>
        </is>
      </c>
    </row>
    <row r="2224">
      <c r="A2224" t="inlineStr">
        <is>
          <t>North Nova Pro 2024 Wings alle Größen</t>
        </is>
      </c>
      <c r="B2224" s="4" t="n">
        <v>1</v>
      </c>
      <c r="C2224" t="inlineStr">
        <is>
          <t>VB</t>
        </is>
      </c>
      <c r="D2224" t="inlineStr">
        <is>
          <t>23774 Kreis Ostholstein - Heiligenhafen</t>
        </is>
      </c>
      <c r="E2224" s="5" t="n">
        <v>45541</v>
      </c>
      <c r="F2224" t="inlineStr">
        <is>
          <t>Sold</t>
        </is>
      </c>
      <c r="G2224" s="6">
        <f>HYPERLINK("https://www.kleinanzeigen.de/s-anzeige/north-nova-pro-2024-wings-alle-groessen/2807658788-230-427", "Link")</f>
        <v/>
      </c>
      <c r="H2224" s="6">
        <f>HYPERLINK("C:\Projects\Kleinanzeigen-Scraper\offer_images\2807658788", "Link")</f>
        <v/>
      </c>
      <c r="I2224" t="inlineStr">
        <is>
          <t>No user name</t>
        </is>
      </c>
      <c r="J2224" s="6">
        <f>HYPERLINK("https://www.kleinanzeigen.deNo user link", "Link")</f>
        <v/>
      </c>
      <c r="K2224" s="7" t="n">
        <v>45549.57377314815</v>
      </c>
      <c r="L2224" s="3" t="inlineStr">
        <is>
          <t>467.75</t>
        </is>
      </c>
      <c r="M2224" t="inlineStr">
        <is>
          <t>Köln</t>
        </is>
      </c>
    </row>
    <row r="2225">
      <c r="A2225" t="inlineStr">
        <is>
          <t>Double Boardbag, Gun Sails, Air Travel, Windsurf, Surf, fast neu</t>
        </is>
      </c>
      <c r="B2225" s="4" t="n">
        <v>148</v>
      </c>
      <c r="C2225" t="inlineStr"/>
      <c r="D2225" t="inlineStr">
        <is>
          <t>31515 Niedersachsen - Wunstorf</t>
        </is>
      </c>
      <c r="E2225" s="5" t="n">
        <v>45487</v>
      </c>
      <c r="F2225" t="inlineStr"/>
      <c r="G2225" s="6">
        <f>HYPERLINK("https://www.kleinanzeigen.de/s-anzeige/double-boardbag-gun-sails-air-travel-windsurf-surf-fast-neu/2812359402-230-2930", "Link")</f>
        <v/>
      </c>
      <c r="H2225" s="6">
        <f>HYPERLINK("C:\Projects\Kleinanzeigen-Scraper\offer_images\2812359402", "Link")</f>
        <v/>
      </c>
      <c r="I2225" t="inlineStr">
        <is>
          <t>Max H.</t>
        </is>
      </c>
      <c r="J2225" s="6">
        <f>HYPERLINK("https://www.kleinanzeigen.de/s-bestandsliste.html?userId=30159639", "Link")</f>
        <v/>
      </c>
      <c r="K2225" s="7" t="n">
        <v>45549.57377314815</v>
      </c>
      <c r="L2225" s="3" t="inlineStr">
        <is>
          <t>236.47</t>
        </is>
      </c>
      <c r="M2225" t="inlineStr">
        <is>
          <t>Köln</t>
        </is>
      </c>
    </row>
    <row r="2226">
      <c r="A2226" t="inlineStr">
        <is>
          <t>Neilpryde Windsurftasche HD double board</t>
        </is>
      </c>
      <c r="B2226" s="4" t="n">
        <v>50</v>
      </c>
      <c r="C2226" t="inlineStr">
        <is>
          <t>VB</t>
        </is>
      </c>
      <c r="D2226" t="inlineStr">
        <is>
          <t>50859 Lindenthal - Köln Lövenich</t>
        </is>
      </c>
      <c r="E2226" s="5" t="n">
        <v>45529</v>
      </c>
      <c r="F2226" t="inlineStr"/>
      <c r="G2226" s="6">
        <f>HYPERLINK("https://www.kleinanzeigen.de/s-anzeige/neilpryde-windsurftasche-hd-double-board/2845413566-230-18670", "Link")</f>
        <v/>
      </c>
      <c r="H2226" s="6">
        <f>HYPERLINK("C:\Projects\Kleinanzeigen-Scraper\offer_images\2845413566", "Link")</f>
        <v/>
      </c>
      <c r="I2226" t="inlineStr">
        <is>
          <t>Jose Rodriguez</t>
        </is>
      </c>
      <c r="J2226" s="6">
        <f>HYPERLINK("https://www.kleinanzeigen.de/s-bestandsliste.html?userId=23282581", "Link")</f>
        <v/>
      </c>
      <c r="K2226" s="7" t="n">
        <v>45549.57377314815</v>
      </c>
      <c r="L2226" s="3" t="inlineStr">
        <is>
          <t>8.43</t>
        </is>
      </c>
      <c r="M2226" t="inlineStr">
        <is>
          <t>Köln</t>
        </is>
      </c>
    </row>
    <row r="2227">
      <c r="A2227" t="inlineStr">
        <is>
          <t>Fanatic Bodyboard Set Radbug Flossen Radbug Socken 45 44 Neopren</t>
        </is>
      </c>
      <c r="B2227" s="4" t="n">
        <v>49</v>
      </c>
      <c r="C2227" t="inlineStr">
        <is>
          <t>VB</t>
        </is>
      </c>
      <c r="D2227" t="inlineStr">
        <is>
          <t>60322 Frankfurt am Main - Nordend</t>
        </is>
      </c>
      <c r="E2227" s="5" t="n">
        <v>45520</v>
      </c>
      <c r="F2227" t="inlineStr">
        <is>
          <t>Sold</t>
        </is>
      </c>
      <c r="G2227" s="6">
        <f>HYPERLINK("https://www.kleinanzeigen.de/s-anzeige/fanatic-bodyboard-set-radbug-flossen-radbug-socken-45-44-neopren/2830283350-230-4302", "Link")</f>
        <v/>
      </c>
      <c r="H2227" s="6">
        <f>HYPERLINK("C:\Projects\Kleinanzeigen-Scraper\offer_images\2830283350", "Link")</f>
        <v/>
      </c>
      <c r="I2227" t="inlineStr">
        <is>
          <t>JB</t>
        </is>
      </c>
      <c r="J2227" s="6">
        <f>HYPERLINK("https://www.kleinanzeigen.de/s-bestandsliste.html?userId=3804930", "Link")</f>
        <v/>
      </c>
      <c r="K2227" s="7" t="n">
        <v>45549.57376157407</v>
      </c>
      <c r="L2227" s="3" t="inlineStr">
        <is>
          <t>125.97</t>
        </is>
      </c>
      <c r="M2227" t="inlineStr">
        <is>
          <t>Karlsruhe</t>
        </is>
      </c>
    </row>
    <row r="2228">
      <c r="A2228" t="inlineStr">
        <is>
          <t>Duotone Dice 2020 10m Mint</t>
        </is>
      </c>
      <c r="B2228" s="4" t="n">
        <v>400</v>
      </c>
      <c r="C2228" t="inlineStr">
        <is>
          <t>VB</t>
        </is>
      </c>
      <c r="D2228" t="inlineStr">
        <is>
          <t>33604 Bielefeld - Bielefeld (Innenstadt)</t>
        </is>
      </c>
      <c r="E2228" s="5" t="n">
        <v>45545</v>
      </c>
      <c r="F2228" t="inlineStr">
        <is>
          <t>Sold</t>
        </is>
      </c>
      <c r="G2228" s="6">
        <f>HYPERLINK("https://www.kleinanzeigen.de/s-anzeige/duotone-dice-2020-10m-mint/2859893864-230-1066", "Link")</f>
        <v/>
      </c>
      <c r="H2228" s="6">
        <f>HYPERLINK("C:\Projects\Kleinanzeigen-Scraper\offer_images\2859893864", "Link")</f>
        <v/>
      </c>
      <c r="I2228" t="inlineStr">
        <is>
          <t>Gordon Schücker</t>
        </is>
      </c>
      <c r="J2228" s="6">
        <f>HYPERLINK("https://www.kleinanzeigen.de/s-bestandsliste.html?userId=28414823", "Link")</f>
        <v/>
      </c>
      <c r="K2228" s="7" t="n">
        <v>45549.57375</v>
      </c>
      <c r="L2228" s="3" t="inlineStr">
        <is>
          <t>162.16</t>
        </is>
      </c>
      <c r="M2228" t="inlineStr">
        <is>
          <t>Köln</t>
        </is>
      </c>
    </row>
    <row r="2229">
      <c r="A2229" t="inlineStr">
        <is>
          <t>Kite: Naish Boxer S26 // 16qm *Sehr guter Zustand*</t>
        </is>
      </c>
      <c r="B2229" s="4" t="n">
        <v>860</v>
      </c>
      <c r="C2229" t="inlineStr">
        <is>
          <t>VB</t>
        </is>
      </c>
      <c r="D2229" t="inlineStr">
        <is>
          <t>45473 Nordrhein-Westfalen - Mülheim (Ruhr)</t>
        </is>
      </c>
      <c r="E2229" s="5" t="n">
        <v>45551</v>
      </c>
      <c r="F2229" t="inlineStr">
        <is>
          <t>Sold</t>
        </is>
      </c>
      <c r="G2229" s="6">
        <f>HYPERLINK("https://www.kleinanzeigen.de/s-anzeige/kite-naish-boxer-s26-16qm-sehr-guter-zustand-/2794370546-230-2062", "Link")</f>
        <v/>
      </c>
      <c r="H2229" s="6">
        <f>HYPERLINK("C:\Projects\Kleinanzeigen-Scraper\offer_images\2794370546", "Link")</f>
        <v/>
      </c>
      <c r="I2229" t="inlineStr">
        <is>
          <t>Simon J.</t>
        </is>
      </c>
      <c r="J2229" s="6">
        <f>HYPERLINK("https://www.kleinanzeigen.de/s-bestandsliste.html?userId=24665216", "Link")</f>
        <v/>
      </c>
      <c r="K2229" s="7" t="n">
        <v>45549.57375</v>
      </c>
      <c r="L2229" s="3" t="inlineStr">
        <is>
          <t>56.15</t>
        </is>
      </c>
      <c r="M2229" t="inlineStr">
        <is>
          <t>Köln</t>
        </is>
      </c>
    </row>
    <row r="2230">
      <c r="A2230" t="inlineStr">
        <is>
          <t>Simms Guide Watschuhe US14 EU48</t>
        </is>
      </c>
      <c r="B2230" s="4" t="n">
        <v>70</v>
      </c>
      <c r="C2230" t="inlineStr"/>
      <c r="D2230" t="inlineStr">
        <is>
          <t>48268 Nordrhein-Westfalen - Greven</t>
        </is>
      </c>
      <c r="E2230" s="5" t="n">
        <v>45533</v>
      </c>
      <c r="F2230" t="inlineStr"/>
      <c r="G2230" s="6">
        <f>HYPERLINK("https://www.kleinanzeigen.de/s-anzeige/simms-guide-watschuhe-us14-eu48/2849017121-230-1311", "Link")</f>
        <v/>
      </c>
      <c r="H2230" s="6">
        <f>HYPERLINK("C:\Projects\Kleinanzeigen-Scraper\offer_images\2849017121", "Link")</f>
        <v/>
      </c>
      <c r="I2230" t="inlineStr">
        <is>
          <t>Bernd Lütke-Wiesmann</t>
        </is>
      </c>
      <c r="J2230" s="6">
        <f>HYPERLINK("https://www.kleinanzeigen.de/s-bestandsliste.html?userId=35050288", "Link")</f>
        <v/>
      </c>
      <c r="K2230" s="7" t="n">
        <v>45549.57375</v>
      </c>
      <c r="L2230" s="3" t="inlineStr">
        <is>
          <t>137.03</t>
        </is>
      </c>
      <c r="M2230" t="inlineStr">
        <is>
          <t>Köln</t>
        </is>
      </c>
    </row>
    <row r="2231">
      <c r="A2231" t="inlineStr">
        <is>
          <t>Fanatic air Premium SUP 11"6</t>
        </is>
      </c>
      <c r="B2231" s="4" t="n">
        <v>400</v>
      </c>
      <c r="C2231" t="inlineStr">
        <is>
          <t>VB</t>
        </is>
      </c>
      <c r="D2231" t="inlineStr">
        <is>
          <t>21423 Niedersachsen - Winsen (Luhe)</t>
        </is>
      </c>
      <c r="E2231" s="5" t="n">
        <v>45508</v>
      </c>
      <c r="F2231" t="inlineStr">
        <is>
          <t>Sold</t>
        </is>
      </c>
      <c r="G2231" s="6">
        <f>HYPERLINK("https://www.kleinanzeigen.de/s-anzeige/fanatic-air-premium-sup-11-6/2828843547-230-3223", "Link")</f>
        <v/>
      </c>
      <c r="H2231" s="6">
        <f>HYPERLINK("C:\Projects\Kleinanzeigen-Scraper\offer_images\2828843547", "Link")</f>
        <v/>
      </c>
      <c r="I2231" t="inlineStr">
        <is>
          <t>Dirk Sojak</t>
        </is>
      </c>
      <c r="J2231" s="6">
        <f>HYPERLINK("https://www.kleinanzeigen.de/s-bestandsliste.html?userId=23075365", "Link")</f>
        <v/>
      </c>
      <c r="K2231" s="7" t="n">
        <v>45549.57372685185</v>
      </c>
      <c r="L2231" s="3" t="inlineStr">
        <is>
          <t>349.14</t>
        </is>
      </c>
      <c r="M2231" t="inlineStr">
        <is>
          <t>Köln</t>
        </is>
      </c>
    </row>
    <row r="2232">
      <c r="A2232" t="inlineStr">
        <is>
          <t>Naish S26 Wing  Surfer 6.0. 6,0 qm top Zustand</t>
        </is>
      </c>
      <c r="B2232" s="4" t="n">
        <v>370</v>
      </c>
      <c r="C2232" t="inlineStr"/>
      <c r="D2232" t="inlineStr">
        <is>
          <t>22926 Schleswig-Holstein - Ahrensburg</t>
        </is>
      </c>
      <c r="E2232" s="5" t="n">
        <v>45546</v>
      </c>
      <c r="F2232" t="inlineStr">
        <is>
          <t>Sold</t>
        </is>
      </c>
      <c r="G2232" s="6">
        <f>HYPERLINK("https://www.kleinanzeigen.de/s-anzeige/naish-s26-wing-surfer-6-0-6-0-qm-top-zustand/2860623431-230-922", "Link")</f>
        <v/>
      </c>
      <c r="H2232" s="6">
        <f>HYPERLINK("C:\Projects\Kleinanzeigen-Scraper\offer_images\2860623431", "Link")</f>
        <v/>
      </c>
      <c r="I2232" t="inlineStr">
        <is>
          <t>Frank</t>
        </is>
      </c>
      <c r="J2232" s="6">
        <f>HYPERLINK("https://www.kleinanzeigen.de/s-bestandsliste.html?userId=7567884", "Link")</f>
        <v/>
      </c>
      <c r="K2232" s="7" t="n">
        <v>45549.57372685185</v>
      </c>
      <c r="L2232" s="3" t="inlineStr">
        <is>
          <t>377.16</t>
        </is>
      </c>
      <c r="M2232" t="inlineStr">
        <is>
          <t>Köln</t>
        </is>
      </c>
    </row>
    <row r="2233">
      <c r="A2233" t="inlineStr">
        <is>
          <t>Naish Wingsurfer MK4 Wing  5qm Wingsurfen</t>
        </is>
      </c>
      <c r="B2233" s="4" t="n">
        <v>399</v>
      </c>
      <c r="C2233" t="inlineStr">
        <is>
          <t>VB</t>
        </is>
      </c>
      <c r="D2233" t="inlineStr">
        <is>
          <t>88142 Bayern - Wasserburg</t>
        </is>
      </c>
      <c r="E2233" s="5" t="n">
        <v>45547</v>
      </c>
      <c r="F2233" t="inlineStr">
        <is>
          <t>Sold</t>
        </is>
      </c>
      <c r="G2233" s="6">
        <f>HYPERLINK("https://www.kleinanzeigen.de/s-anzeige/naish-wingsurfer-mk4-wing-5qm-wingsurfen/2861497631-230-7708", "Link")</f>
        <v/>
      </c>
      <c r="H2233" s="6">
        <f>HYPERLINK("C:\Projects\Kleinanzeigen-Scraper\offer_images\2861497631", "Link")</f>
        <v/>
      </c>
      <c r="I2233" t="inlineStr">
        <is>
          <t>Micha</t>
        </is>
      </c>
      <c r="J2233" s="6">
        <f>HYPERLINK("https://www.kleinanzeigen.de/s-bestandsliste.html?userId=5287334", "Link")</f>
        <v/>
      </c>
      <c r="K2233" s="7" t="n">
        <v>45549.5737037037</v>
      </c>
      <c r="L2233" s="3" t="inlineStr">
        <is>
          <t>101.15</t>
        </is>
      </c>
      <c r="M2233" t="inlineStr">
        <is>
          <t>Bonndorf</t>
        </is>
      </c>
    </row>
    <row r="2234">
      <c r="A2234" t="inlineStr">
        <is>
          <t>Discgolf Rucksack Discmania Fanatic Sky Backpack</t>
        </is>
      </c>
      <c r="B2234" s="4" t="n">
        <v>70</v>
      </c>
      <c r="C2234" t="inlineStr"/>
      <c r="D2234" t="inlineStr">
        <is>
          <t>79379 Baden-Württemberg - Müllheim</t>
        </is>
      </c>
      <c r="E2234" s="5" t="n">
        <v>45507</v>
      </c>
      <c r="F2234" t="inlineStr">
        <is>
          <t>Sold</t>
        </is>
      </c>
      <c r="G2234" s="6">
        <f>HYPERLINK("https://www.kleinanzeigen.de/s-anzeige/discgolf-rucksack-discmania-fanatic-sky-backpack/2827731438-230-8031", "Link")</f>
        <v/>
      </c>
      <c r="H2234" s="6">
        <f>HYPERLINK("C:\Projects\Kleinanzeigen-Scraper\offer_images\2827731438", "Link")</f>
        <v/>
      </c>
      <c r="I2234" t="inlineStr">
        <is>
          <t>Nico Behringer</t>
        </is>
      </c>
      <c r="J2234" s="6">
        <f>HYPERLINK("https://www.kleinanzeigen.de/s-bestandsliste.html?userId=80597192", "Link")</f>
        <v/>
      </c>
      <c r="K2234" s="7" t="n">
        <v>45549.57368055556</v>
      </c>
      <c r="L2234" s="3" t="inlineStr">
        <is>
          <t>52.29</t>
        </is>
      </c>
      <c r="M2234" t="inlineStr">
        <is>
          <t>Bonndorf</t>
        </is>
      </c>
    </row>
    <row r="2235">
      <c r="A2235" t="inlineStr">
        <is>
          <t>north camp Luftpumpe</t>
        </is>
      </c>
      <c r="B2235" s="4" t="n">
        <v>3</v>
      </c>
      <c r="C2235" t="inlineStr">
        <is>
          <t>VB</t>
        </is>
      </c>
      <c r="D2235" t="inlineStr">
        <is>
          <t>13581 Berlin - Spandau</t>
        </is>
      </c>
      <c r="E2235" s="5" t="n">
        <v>45546</v>
      </c>
      <c r="F2235" t="inlineStr">
        <is>
          <t>Sold</t>
        </is>
      </c>
      <c r="G2235" s="6">
        <f>HYPERLINK("https://www.kleinanzeigen.de/s-anzeige/north-camp-luftpumpe/2860775857-230-3439", "Link")</f>
        <v/>
      </c>
      <c r="H2235" s="6">
        <f>HYPERLINK("C:\Projects\Kleinanzeigen-Scraper\offer_images\2860775857", "Link")</f>
        <v/>
      </c>
      <c r="I2235" t="inlineStr">
        <is>
          <t>Kyra</t>
        </is>
      </c>
      <c r="J2235" s="6">
        <f>HYPERLINK("https://www.kleinanzeigen.de/s-bestandsliste.html?userId=49253170", "Link")</f>
        <v/>
      </c>
      <c r="K2235" s="7" t="n">
        <v>45549.57368055556</v>
      </c>
      <c r="L2235" s="3" t="inlineStr">
        <is>
          <t>464.09</t>
        </is>
      </c>
      <c r="M2235" t="inlineStr">
        <is>
          <t>Köln</t>
        </is>
      </c>
    </row>
    <row r="2236">
      <c r="A2236" t="inlineStr">
        <is>
          <t>Fanatic SUP Tasche/Rucksack Größe L mit Fanatic Pumpe Neu</t>
        </is>
      </c>
      <c r="B2236" s="4" t="n">
        <v>50</v>
      </c>
      <c r="C2236" t="inlineStr"/>
      <c r="D2236" t="inlineStr">
        <is>
          <t>26123 Niedersachsen - Oldenburg</t>
        </is>
      </c>
      <c r="E2236" s="5" t="n">
        <v>45525</v>
      </c>
      <c r="F2236" t="inlineStr">
        <is>
          <t>Sold</t>
        </is>
      </c>
      <c r="G2236" s="6">
        <f>HYPERLINK("https://www.kleinanzeigen.de/s-anzeige/fanatic-sup-tasche-rucksack-groesse-l-mit-fanatic-pumpe-neu/2842886079-230-3115", "Link")</f>
        <v/>
      </c>
      <c r="H2236" s="6">
        <f>HYPERLINK("C:\Projects\Kleinanzeigen-Scraper\offer_images\2842886079", "Link")</f>
        <v/>
      </c>
      <c r="I2236" t="inlineStr">
        <is>
          <t>Uwe</t>
        </is>
      </c>
      <c r="J2236" s="6">
        <f>HYPERLINK("https://www.kleinanzeigen.de/s-bestandsliste.html?userId=27665310", "Link")</f>
        <v/>
      </c>
      <c r="K2236" s="7" t="n">
        <v>45549.57368055556</v>
      </c>
      <c r="L2236" s="3" t="inlineStr">
        <is>
          <t>261.16</t>
        </is>
      </c>
      <c r="M2236" t="inlineStr">
        <is>
          <t>Köln</t>
        </is>
      </c>
    </row>
    <row r="2237">
      <c r="A2237" t="inlineStr">
        <is>
          <t>North Reach 9 qm Allroundkite ideal für Einsteiger</t>
        </is>
      </c>
      <c r="B2237" s="4" t="n">
        <v>499</v>
      </c>
      <c r="C2237" t="inlineStr">
        <is>
          <t>VB</t>
        </is>
      </c>
      <c r="D2237" t="inlineStr">
        <is>
          <t>20251 Hamburg-Nord - Hamburg Eppendorf</t>
        </is>
      </c>
      <c r="E2237" s="5" t="n">
        <v>45544</v>
      </c>
      <c r="F2237" t="inlineStr">
        <is>
          <t>Sold</t>
        </is>
      </c>
      <c r="G2237" s="6">
        <f>HYPERLINK("https://www.kleinanzeigen.de/s-anzeige/north-reach-9-qm-allroundkite-ideal-fuer-einsteiger/2858188389-230-9475", "Link")</f>
        <v/>
      </c>
      <c r="H2237" s="6">
        <f>HYPERLINK("C:\Projects\Kleinanzeigen-Scraper\offer_images\2858188389", "Link")</f>
        <v/>
      </c>
      <c r="I2237" t="inlineStr">
        <is>
          <t>Michael</t>
        </is>
      </c>
      <c r="J2237" s="6">
        <f>HYPERLINK("https://www.kleinanzeigen.de/s-bestandsliste.html?userId=28639211", "Link")</f>
        <v/>
      </c>
      <c r="K2237" s="7" t="n">
        <v>45549.57365740741</v>
      </c>
      <c r="L2237" s="3" t="inlineStr">
        <is>
          <t>360.06</t>
        </is>
      </c>
      <c r="M2237" t="inlineStr">
        <is>
          <t>Köln</t>
        </is>
      </c>
    </row>
    <row r="2238">
      <c r="A2238" t="inlineStr">
        <is>
          <t>Kite Duotone Dice 7qm</t>
        </is>
      </c>
      <c r="B2238" s="4" t="n">
        <v>740</v>
      </c>
      <c r="C2238" t="inlineStr">
        <is>
          <t>VB</t>
        </is>
      </c>
      <c r="D2238" t="inlineStr">
        <is>
          <t>22335 Hamburg-Nord - Hamburg Fuhlsbüttel</t>
        </is>
      </c>
      <c r="E2238" s="5" t="n">
        <v>45538</v>
      </c>
      <c r="F2238" t="inlineStr">
        <is>
          <t>Sold</t>
        </is>
      </c>
      <c r="G2238" s="6">
        <f>HYPERLINK("https://www.kleinanzeigen.de/s-anzeige/kite-duotone-dice-7qm/2853549110-230-18262", "Link")</f>
        <v/>
      </c>
      <c r="H2238" s="6">
        <f>HYPERLINK("C:\Projects\Kleinanzeigen-Scraper\offer_images\2853549110", "Link")</f>
        <v/>
      </c>
      <c r="I2238" t="inlineStr">
        <is>
          <t>Anita</t>
        </is>
      </c>
      <c r="J2238" s="6">
        <f>HYPERLINK("https://www.kleinanzeigen.de/s-bestandsliste.html?userId=17793042", "Link")</f>
        <v/>
      </c>
      <c r="K2238" s="7" t="n">
        <v>45549.57365740741</v>
      </c>
      <c r="L2238" s="3" t="inlineStr">
        <is>
          <t>364.00</t>
        </is>
      </c>
      <c r="M2238" t="inlineStr">
        <is>
          <t>Köln</t>
        </is>
      </c>
    </row>
    <row r="2239">
      <c r="A2239" t="inlineStr">
        <is>
          <t>Turmalin auf Anhydrit - Northern Cape, Erongo</t>
        </is>
      </c>
      <c r="B2239" s="4" t="n">
        <v>20</v>
      </c>
      <c r="C2239" t="inlineStr"/>
      <c r="D2239" t="inlineStr">
        <is>
          <t>39387 Oschersleben (Bode) - Ampfurth</t>
        </is>
      </c>
      <c r="E2239" s="5" t="n">
        <v>45536</v>
      </c>
      <c r="F2239" t="inlineStr">
        <is>
          <t>Sold</t>
        </is>
      </c>
      <c r="G2239" s="6">
        <f>HYPERLINK("https://www.kleinanzeigen.de/s-anzeige/turmalin-auf-anhydrit-northern-cape-erongo/2852044868-234-26707", "Link")</f>
        <v/>
      </c>
      <c r="H2239" s="6">
        <f>HYPERLINK("C:\Projects\Kleinanzeigen-Scraper\offer_images\2852044868", "Link")</f>
        <v/>
      </c>
      <c r="I2239" t="inlineStr">
        <is>
          <t>Anastasia</t>
        </is>
      </c>
      <c r="J2239" s="6">
        <f>HYPERLINK("https://www.kleinanzeigen.de/s-bestandsliste.html?userId=87621010", "Link")</f>
        <v/>
      </c>
      <c r="K2239" s="7" t="n">
        <v>45549.57365740741</v>
      </c>
      <c r="L2239" s="3" t="inlineStr">
        <is>
          <t>318.81</t>
        </is>
      </c>
      <c r="M2239" t="inlineStr">
        <is>
          <t>Köln</t>
        </is>
      </c>
    </row>
    <row r="2240">
      <c r="A2240" t="inlineStr">
        <is>
          <t>Naish Jet Foil HA 2140 semi complete</t>
        </is>
      </c>
      <c r="B2240" s="4" t="n">
        <v>490</v>
      </c>
      <c r="C2240" t="inlineStr">
        <is>
          <t>VB</t>
        </is>
      </c>
      <c r="D2240" t="inlineStr">
        <is>
          <t>14129 Berlin - Zehlendorf</t>
        </is>
      </c>
      <c r="E2240" s="5" t="n">
        <v>45545</v>
      </c>
      <c r="F2240" t="inlineStr">
        <is>
          <t>Sold</t>
        </is>
      </c>
      <c r="G2240" s="6">
        <f>HYPERLINK("https://www.kleinanzeigen.de/s-anzeige/naish-jet-foil-ha-2140-semi-complete/2859285784-230-3530", "Link")</f>
        <v/>
      </c>
      <c r="H2240" s="6">
        <f>HYPERLINK("C:\Projects\Kleinanzeigen-Scraper\offer_images\2859285784", "Link")</f>
        <v/>
      </c>
      <c r="I2240" t="inlineStr">
        <is>
          <t>Dirk</t>
        </is>
      </c>
      <c r="J2240" s="6">
        <f>HYPERLINK("https://www.kleinanzeigen.de/s-bestandsliste.html?userId=23044675", "Link")</f>
        <v/>
      </c>
      <c r="K2240" s="7" t="n">
        <v>45549.57364583333</v>
      </c>
      <c r="L2240" s="3" t="inlineStr">
        <is>
          <t>461.31</t>
        </is>
      </c>
      <c r="M2240" t="inlineStr">
        <is>
          <t>Köln</t>
        </is>
      </c>
    </row>
    <row r="2241">
      <c r="A2241" t="inlineStr">
        <is>
          <t>The North Face Ski Snowboard Handschuhe Gore-Tex Gr. XS schwarz</t>
        </is>
      </c>
      <c r="B2241" s="4" t="n">
        <v>30</v>
      </c>
      <c r="C2241" t="inlineStr">
        <is>
          <t>VB</t>
        </is>
      </c>
      <c r="D2241" t="inlineStr">
        <is>
          <t>40627 Düsseldorf - Unterbach</t>
        </is>
      </c>
      <c r="E2241" s="5" t="n">
        <v>45546</v>
      </c>
      <c r="F2241" t="inlineStr">
        <is>
          <t>Sold</t>
        </is>
      </c>
      <c r="G2241" s="6">
        <f>HYPERLINK("https://www.kleinanzeigen.de/s-anzeige/the-north-face-ski-snowboard-handschuhe-gore-tex-gr-xs-schwarz/2860130363-230-16750", "Link")</f>
        <v/>
      </c>
      <c r="H2241" s="6">
        <f>HYPERLINK("C:\Projects\Kleinanzeigen-Scraper\offer_images\2860130363", "Link")</f>
        <v/>
      </c>
      <c r="I2241" t="inlineStr">
        <is>
          <t>Hübner</t>
        </is>
      </c>
      <c r="J2241" s="6">
        <f>HYPERLINK("https://www.kleinanzeigen.de/s-bestandsliste.html?userId=21637425", "Link")</f>
        <v/>
      </c>
      <c r="K2241" s="7" t="n">
        <v>45549.57363425926</v>
      </c>
      <c r="L2241" s="3" t="inlineStr">
        <is>
          <t>29.74</t>
        </is>
      </c>
      <c r="M2241" t="inlineStr">
        <is>
          <t>Köln</t>
        </is>
      </c>
    </row>
    <row r="2242">
      <c r="A2242" t="inlineStr">
        <is>
          <t>Simms Chest Pack Sling Pack-Angelrucksack zum verschieben.</t>
        </is>
      </c>
      <c r="B2242" s="4" t="n">
        <v>95</v>
      </c>
      <c r="C2242" t="inlineStr"/>
      <c r="D2242" t="inlineStr">
        <is>
          <t>96247 Bayern - Michelau i. OFr.</t>
        </is>
      </c>
      <c r="E2242" s="5" t="n">
        <v>45549</v>
      </c>
      <c r="F2242" t="inlineStr">
        <is>
          <t>Sold</t>
        </is>
      </c>
      <c r="G2242" s="6">
        <f>HYPERLINK("https://www.kleinanzeigen.de/s-anzeige/simms-chest-pack-sling-pack-angelrucksack-zum-verschieben-/2862797580-187-6953", "Link")</f>
        <v/>
      </c>
      <c r="H2242" s="6">
        <f>HYPERLINK("C:\Projects\Kleinanzeigen-Scraper\offer_images\2862797580", "Link")</f>
        <v/>
      </c>
      <c r="I2242" t="inlineStr">
        <is>
          <t>Manfred</t>
        </is>
      </c>
      <c r="J2242" s="6">
        <f>HYPERLINK("https://www.kleinanzeigen.de/s-bestandsliste.html?userId=15958207", "Link")</f>
        <v/>
      </c>
      <c r="K2242" s="7" t="n">
        <v>45549.57362268519</v>
      </c>
      <c r="L2242" s="3" t="inlineStr">
        <is>
          <t>227.67</t>
        </is>
      </c>
      <c r="M2242" t="inlineStr">
        <is>
          <t>Böblingen</t>
        </is>
      </c>
    </row>
    <row r="2243">
      <c r="A2243" t="inlineStr">
        <is>
          <t>NEILPRYDE Neopren Anzug 5mm Rot/ Blau XL</t>
        </is>
      </c>
      <c r="B2243" s="4" t="n">
        <v>85</v>
      </c>
      <c r="C2243" t="inlineStr"/>
      <c r="D2243" t="inlineStr">
        <is>
          <t>32423 Nordrhein-Westfalen - Minden</t>
        </is>
      </c>
      <c r="E2243" s="5" t="n">
        <v>45524</v>
      </c>
      <c r="F2243" t="inlineStr">
        <is>
          <t>Sold</t>
        </is>
      </c>
      <c r="G2243" s="6">
        <f>HYPERLINK("https://www.kleinanzeigen.de/s-anzeige/neilpryde-neopren-anzug-5mm-rot-blau-xl/2842277697-230-1764", "Link")</f>
        <v/>
      </c>
      <c r="H2243" s="6">
        <f>HYPERLINK("C:\Projects\Kleinanzeigen-Scraper\offer_images\2842277697", "Link")</f>
        <v/>
      </c>
      <c r="I2243" t="inlineStr">
        <is>
          <t>Finn</t>
        </is>
      </c>
      <c r="J2243" s="6">
        <f>HYPERLINK("https://www.kleinanzeigen.de/s-bestandsliste.html?userId=18856657", "Link")</f>
        <v/>
      </c>
      <c r="K2243" s="7" t="n">
        <v>45549.57362268519</v>
      </c>
      <c r="L2243" s="3" t="inlineStr">
        <is>
          <t>204.44</t>
        </is>
      </c>
      <c r="M2243" t="inlineStr">
        <is>
          <t>Köln</t>
        </is>
      </c>
    </row>
    <row r="2244">
      <c r="A2244" t="inlineStr">
        <is>
          <t>Duotone Evo SLS 2024 Kite Kitesurfen Neu</t>
        </is>
      </c>
      <c r="B2244" s="4" t="n">
        <v>1.919</v>
      </c>
      <c r="C2244" t="inlineStr">
        <is>
          <t>VB</t>
        </is>
      </c>
      <c r="D2244" t="inlineStr">
        <is>
          <t>22457 Eimsbüttel - Hamburg Schnelsen</t>
        </is>
      </c>
      <c r="E2244" s="5" t="n">
        <v>45543</v>
      </c>
      <c r="F2244" t="inlineStr">
        <is>
          <t>Sold</t>
        </is>
      </c>
      <c r="G2244" s="6">
        <f>HYPERLINK("https://www.kleinanzeigen.de/s-anzeige/duotone-evo-sls-2024-kite-kitesurfen-neu/2731965947-230-9492", "Link")</f>
        <v/>
      </c>
      <c r="H2244" s="6">
        <f>HYPERLINK("C:\Projects\Kleinanzeigen-Scraper\offer_images\2731965947", "Link")</f>
        <v/>
      </c>
      <c r="I2244" t="inlineStr">
        <is>
          <t>No user name</t>
        </is>
      </c>
      <c r="J2244" s="6">
        <f>HYPERLINK("https://www.kleinanzeigen.deNo user link", "Link")</f>
        <v/>
      </c>
      <c r="K2244" s="7" t="n">
        <v>45549.57362268519</v>
      </c>
      <c r="L2244" s="3" t="inlineStr">
        <is>
          <t>362.41</t>
        </is>
      </c>
      <c r="M2244" t="inlineStr">
        <is>
          <t>Köln</t>
        </is>
      </c>
    </row>
    <row r="2245">
      <c r="A2245" t="inlineStr">
        <is>
          <t>Duotone NEO 9qm</t>
        </is>
      </c>
      <c r="B2245" s="4" t="n">
        <v>300</v>
      </c>
      <c r="C2245" t="inlineStr"/>
      <c r="D2245" t="inlineStr">
        <is>
          <t>90518 Bayern - Altdorf bei Nürnberg</t>
        </is>
      </c>
      <c r="E2245" s="5" t="n">
        <v>45553</v>
      </c>
      <c r="F2245" t="inlineStr">
        <is>
          <t>Sold</t>
        </is>
      </c>
      <c r="G2245" s="6">
        <f>HYPERLINK("https://www.kleinanzeigen.de/s-anzeige/duotone-neo-9qm/2812148783-230-6092", "Link")</f>
        <v/>
      </c>
      <c r="H2245" s="6">
        <f>HYPERLINK("C:\Projects\Kleinanzeigen-Scraper\offer_images\2812148783", "Link")</f>
        <v/>
      </c>
      <c r="I2245" t="inlineStr">
        <is>
          <t>Fuchs Michael</t>
        </is>
      </c>
      <c r="J2245" s="6">
        <f>HYPERLINK("https://www.kleinanzeigen.de/s-bestandsliste.html?userId=86258991", "Link")</f>
        <v/>
      </c>
      <c r="K2245" s="7" t="n">
        <v>45549.57361111111</v>
      </c>
      <c r="L2245" s="3" t="inlineStr">
        <is>
          <t>139.72</t>
        </is>
      </c>
      <c r="M2245" t="inlineStr">
        <is>
          <t>München</t>
        </is>
      </c>
    </row>
    <row r="2246">
      <c r="A2246" t="inlineStr">
        <is>
          <t>Staffelei Marke Goya inkl. zwei Leinwände</t>
        </is>
      </c>
      <c r="B2246" s="4" t="n">
        <v>90</v>
      </c>
      <c r="C2246" t="inlineStr"/>
      <c r="D2246" t="inlineStr">
        <is>
          <t>91541 Bayern - Rothenburg o. d. Tauber</t>
        </is>
      </c>
      <c r="E2246" s="5" t="n">
        <v>45507</v>
      </c>
      <c r="F2246" t="inlineStr"/>
      <c r="G2246" s="6">
        <f>HYPERLINK("https://www.kleinanzeigen.de/s-anzeige/staffelei-marke-goya-inkl-zwei-leinwaende/2827886112-282-9139", "Link")</f>
        <v/>
      </c>
      <c r="H2246" s="6">
        <f>HYPERLINK("C:\Projects\Kleinanzeigen-Scraper\offer_images\2827886112", "Link")</f>
        <v/>
      </c>
      <c r="I2246" t="inlineStr">
        <is>
          <t>Tina Hartmann</t>
        </is>
      </c>
      <c r="J2246" s="6">
        <f>HYPERLINK("https://www.kleinanzeigen.de/s-bestandsliste.html?userId=31703293", "Link")</f>
        <v/>
      </c>
      <c r="K2246" s="7" t="n">
        <v>45549.57359953703</v>
      </c>
      <c r="L2246" s="3" t="inlineStr">
        <is>
          <t>117.81</t>
        </is>
      </c>
      <c r="M2246" t="inlineStr">
        <is>
          <t>Böblingen</t>
        </is>
      </c>
    </row>
    <row r="2247">
      <c r="A2247" t="inlineStr">
        <is>
          <t>Neilpryde Wing Fly II / 2 - 2024 - 5,4</t>
        </is>
      </c>
      <c r="B2247" s="4" t="n">
        <v>590</v>
      </c>
      <c r="C2247" t="inlineStr">
        <is>
          <t>VB</t>
        </is>
      </c>
      <c r="D2247" t="inlineStr">
        <is>
          <t>88267 Baden-Württemberg - Vogt</t>
        </is>
      </c>
      <c r="E2247" s="5" t="n">
        <v>45539</v>
      </c>
      <c r="F2247" t="inlineStr">
        <is>
          <t>Sold</t>
        </is>
      </c>
      <c r="G2247" s="6">
        <f>HYPERLINK("https://www.kleinanzeigen.de/s-anzeige/neilpryde-wing-fly-ii-2-2024-5-4/2854168912-230-9225", "Link")</f>
        <v/>
      </c>
      <c r="H2247" s="6">
        <f>HYPERLINK("C:\Projects\Kleinanzeigen-Scraper\offer_images\2854168912", "Link")</f>
        <v/>
      </c>
      <c r="I2247" t="inlineStr">
        <is>
          <t>Tobias Schrempf</t>
        </is>
      </c>
      <c r="J2247" s="6">
        <f>HYPERLINK("https://www.kleinanzeigen.de/s-bestandsliste.html?userId=9493266", "Link")</f>
        <v/>
      </c>
      <c r="K2247" s="7" t="n">
        <v>45549.57357638889</v>
      </c>
      <c r="L2247" s="3" t="inlineStr">
        <is>
          <t>106.92</t>
        </is>
      </c>
      <c r="M2247" t="inlineStr">
        <is>
          <t>Bonndorf</t>
        </is>
      </c>
    </row>
    <row r="2248">
      <c r="A2248" t="inlineStr">
        <is>
          <t>Starboard Paddel Enduro Tiki Lite Carbon 2 teilig</t>
        </is>
      </c>
      <c r="B2248" s="4" t="n">
        <v>150</v>
      </c>
      <c r="C2248" t="inlineStr">
        <is>
          <t>VB</t>
        </is>
      </c>
      <c r="D2248" t="inlineStr">
        <is>
          <t>90411 Nürnberg (Mittelfr) - Nordstadt</t>
        </is>
      </c>
      <c r="E2248" s="5" t="n">
        <v>45537</v>
      </c>
      <c r="F2248" t="inlineStr"/>
      <c r="G2248" s="6">
        <f>HYPERLINK("https://www.kleinanzeigen.de/s-anzeige/starboard-paddel-enduro-tiki-lite-carbon-2-teilig/2852793214-230-6821", "Link")</f>
        <v/>
      </c>
      <c r="H2248" s="6">
        <f>HYPERLINK("C:\Projects\Kleinanzeigen-Scraper\offer_images\2852793214", "Link")</f>
        <v/>
      </c>
      <c r="I2248" t="inlineStr">
        <is>
          <t>Dagmar</t>
        </is>
      </c>
      <c r="J2248" s="6">
        <f>HYPERLINK("https://www.kleinanzeigen.de/s-bestandsliste.html?userId=25335133", "Link")</f>
        <v/>
      </c>
      <c r="K2248" s="7" t="n">
        <v>45549.57357638889</v>
      </c>
      <c r="L2248" s="3" t="inlineStr">
        <is>
          <t>154.54</t>
        </is>
      </c>
      <c r="M2248" t="inlineStr">
        <is>
          <t>München</t>
        </is>
      </c>
    </row>
    <row r="2249">
      <c r="A2249" t="inlineStr">
        <is>
          <t>Neilpryde-Shorty,  Gr 48, ungetragen , Surfen,  SUP</t>
        </is>
      </c>
      <c r="B2249" s="4" t="n">
        <v>55</v>
      </c>
      <c r="C2249" t="inlineStr">
        <is>
          <t>VB</t>
        </is>
      </c>
      <c r="D2249" t="inlineStr">
        <is>
          <t>33615 Bielefeld - Bielefeld (Innenstadt)</t>
        </is>
      </c>
      <c r="E2249" s="5" t="n">
        <v>45494</v>
      </c>
      <c r="F2249" t="inlineStr"/>
      <c r="G2249" s="6">
        <f>HYPERLINK("https://www.kleinanzeigen.de/s-anzeige/neilpryde-shorty-gr-48-ungetragen-surfen-sup/2817223893-230-1058", "Link")</f>
        <v/>
      </c>
      <c r="H2249" s="6">
        <f>HYPERLINK("C:\Projects\Kleinanzeigen-Scraper\offer_images\2817223893", "Link")</f>
        <v/>
      </c>
      <c r="I2249" t="inlineStr">
        <is>
          <t>Carola Giller</t>
        </is>
      </c>
      <c r="J2249" s="6">
        <f>HYPERLINK("https://www.kleinanzeigen.de/s-bestandsliste.html?userId=7988525", "Link")</f>
        <v/>
      </c>
      <c r="K2249" s="7" t="n">
        <v>45549.57355324074</v>
      </c>
      <c r="L2249" s="3" t="inlineStr">
        <is>
          <t>162.21</t>
        </is>
      </c>
      <c r="M2249" t="inlineStr">
        <is>
          <t>Köln</t>
        </is>
      </c>
    </row>
    <row r="2250">
      <c r="A2250" t="inlineStr">
        <is>
          <t>Isabella Tellerset 2 Teilig north</t>
        </is>
      </c>
      <c r="B2250" s="4" t="n">
        <v>18</v>
      </c>
      <c r="C2250" t="inlineStr">
        <is>
          <t>VB</t>
        </is>
      </c>
      <c r="D2250" t="inlineStr">
        <is>
          <t>78658 Baden-Württemberg - Zimmern ob Rottweil</t>
        </is>
      </c>
      <c r="E2250" s="5" t="n">
        <v>45539</v>
      </c>
      <c r="F2250" t="inlineStr">
        <is>
          <t>Sold</t>
        </is>
      </c>
      <c r="G2250" s="6">
        <f>HYPERLINK("https://www.kleinanzeigen.de/s-anzeige/isabella-tellerset-2-teilig-north/2853996713-230-8522", "Link")</f>
        <v/>
      </c>
      <c r="H2250" s="6">
        <f>HYPERLINK("C:\Projects\Kleinanzeigen-Scraper\offer_images\2853996713", "Link")</f>
        <v/>
      </c>
      <c r="I2250" t="inlineStr">
        <is>
          <t>Kathrin</t>
        </is>
      </c>
      <c r="J2250" s="6">
        <f>HYPERLINK("https://www.kleinanzeigen.de/s-bestandsliste.html?userId=15673849", "Link")</f>
        <v/>
      </c>
      <c r="K2250" s="7" t="n">
        <v>45549.57355324074</v>
      </c>
      <c r="L2250" s="3" t="inlineStr">
        <is>
          <t>43.35</t>
        </is>
      </c>
      <c r="M2250" t="inlineStr">
        <is>
          <t>Bonndorf</t>
        </is>
      </c>
    </row>
    <row r="2251">
      <c r="A2251" t="inlineStr">
        <is>
          <t>Herren -Wanderstiefel The North Face Größe 42</t>
        </is>
      </c>
      <c r="B2251" s="4" t="n">
        <v>10</v>
      </c>
      <c r="C2251" t="inlineStr"/>
      <c r="D2251" t="inlineStr">
        <is>
          <t>38154 Niedersachsen - Königslutter am Elm</t>
        </is>
      </c>
      <c r="E2251" s="5" t="n">
        <v>45543</v>
      </c>
      <c r="F2251" t="inlineStr">
        <is>
          <t>Sold</t>
        </is>
      </c>
      <c r="G2251" s="6">
        <f>HYPERLINK("https://www.kleinanzeigen.de/s-anzeige/herren-wanderstiefel-the-north-face-groesse-42/2857487649-187-14236", "Link")</f>
        <v/>
      </c>
      <c r="H2251" s="6">
        <f>HYPERLINK("C:\Projects\Kleinanzeigen-Scraper\offer_images\2857487649", "Link")</f>
        <v/>
      </c>
      <c r="I2251" t="inlineStr">
        <is>
          <t>Heike</t>
        </is>
      </c>
      <c r="J2251" s="6">
        <f>HYPERLINK("https://www.kleinanzeigen.de/s-bestandsliste.html?userId=15612126", "Link")</f>
        <v/>
      </c>
      <c r="K2251" s="7" t="n">
        <v>45549.5735300926</v>
      </c>
      <c r="L2251" s="3" t="inlineStr">
        <is>
          <t>303.77</t>
        </is>
      </c>
      <c r="M2251" t="inlineStr">
        <is>
          <t>Köln</t>
        </is>
      </c>
    </row>
    <row r="2252">
      <c r="A2252" t="inlineStr">
        <is>
          <t>Gun Sails Langarm-Neoprenshirt Damen Größe M</t>
        </is>
      </c>
      <c r="B2252" s="4" t="inlineStr"/>
      <c r="C2252" t="inlineStr">
        <is>
          <t>VB</t>
        </is>
      </c>
      <c r="D2252" t="inlineStr">
        <is>
          <t>26121 Niedersachsen - Oldenburg</t>
        </is>
      </c>
      <c r="E2252" s="5" t="n">
        <v>45485</v>
      </c>
      <c r="F2252" t="inlineStr">
        <is>
          <t>Sold</t>
        </is>
      </c>
      <c r="G2252" s="6">
        <f>HYPERLINK("https://www.kleinanzeigen.de/s-anzeige/gun-sails-langarm-neoprenshirt-damen-groesse-m/2810721331-230-3114", "Link")</f>
        <v/>
      </c>
      <c r="H2252" s="6">
        <f>HYPERLINK("C:\Projects\Kleinanzeigen-Scraper\offer_images\2810721331", "Link")</f>
        <v/>
      </c>
      <c r="I2252" t="inlineStr">
        <is>
          <t>Strack</t>
        </is>
      </c>
      <c r="J2252" s="6">
        <f>HYPERLINK("https://www.kleinanzeigen.de/s-bestandsliste.html?userId=10375456", "Link")</f>
        <v/>
      </c>
      <c r="K2252" s="7" t="n">
        <v>45549.5735300926</v>
      </c>
      <c r="L2252" s="3" t="inlineStr">
        <is>
          <t>260.83</t>
        </is>
      </c>
      <c r="M2252" t="inlineStr">
        <is>
          <t>Köln</t>
        </is>
      </c>
    </row>
    <row r="2253">
      <c r="A2253" t="inlineStr">
        <is>
          <t>Windsurf-Set/Windsurf-Material VERKAUF&amp;VERLEIH Severne,Fanatic,..</t>
        </is>
      </c>
      <c r="B2253" s="4" t="n">
        <v>15</v>
      </c>
      <c r="C2253" t="inlineStr"/>
      <c r="D2253" t="inlineStr">
        <is>
          <t>31535 Niedersachsen - Neustadt am Rübenberge</t>
        </is>
      </c>
      <c r="E2253" s="5" t="n">
        <v>45552</v>
      </c>
      <c r="F2253" t="inlineStr"/>
      <c r="G2253" s="6">
        <f>HYPERLINK("https://www.kleinanzeigen.de/s-anzeige/windsurf-set-windsurf-material-verkauf-verleih-severne-fanatic-/1724136570-230-2912", "Link")</f>
        <v/>
      </c>
      <c r="H2253" s="6">
        <f>HYPERLINK("C:\Projects\Kleinanzeigen-Scraper\offer_images\1724136570", "Link")</f>
        <v/>
      </c>
      <c r="I2253" t="inlineStr">
        <is>
          <t>No user name</t>
        </is>
      </c>
      <c r="J2253" s="6">
        <f>HYPERLINK("https://www.kleinanzeigen.deNo user link", "Link")</f>
        <v/>
      </c>
      <c r="K2253" s="7" t="n">
        <v>45549.57350694444</v>
      </c>
      <c r="L2253" s="3" t="inlineStr">
        <is>
          <t>248.74</t>
        </is>
      </c>
      <c r="M2253" t="inlineStr">
        <is>
          <t>Köln</t>
        </is>
      </c>
    </row>
    <row r="2254">
      <c r="A2254" t="inlineStr">
        <is>
          <t>Duotone WHIZZ SLS - 1000 Set / Wingfoil Foil</t>
        </is>
      </c>
      <c r="B2254" s="4" t="n">
        <v>645</v>
      </c>
      <c r="C2254" t="inlineStr">
        <is>
          <t>VB</t>
        </is>
      </c>
      <c r="D2254" t="inlineStr">
        <is>
          <t>10707 Berlin - Wilmersdorf</t>
        </is>
      </c>
      <c r="E2254" s="5" t="n">
        <v>45538</v>
      </c>
      <c r="F2254" t="inlineStr">
        <is>
          <t>Sold</t>
        </is>
      </c>
      <c r="G2254" s="6">
        <f>HYPERLINK("https://www.kleinanzeigen.de/s-anzeige/duotone-whizz-sls-1000-set-wingfoil-foil/2853683133-230-3534", "Link")</f>
        <v/>
      </c>
      <c r="H2254" s="6">
        <f>HYPERLINK("C:\Projects\Kleinanzeigen-Scraper\offer_images\2853683133", "Link")</f>
        <v/>
      </c>
      <c r="I2254" t="inlineStr">
        <is>
          <t>California Dream</t>
        </is>
      </c>
      <c r="J2254" s="6">
        <f>HYPERLINK("https://www.kleinanzeigen.de/s-bestandsliste.html?userId=6488201", "Link")</f>
        <v/>
      </c>
      <c r="K2254" s="7" t="n">
        <v>45549.57350694444</v>
      </c>
      <c r="L2254" s="3" t="inlineStr">
        <is>
          <t>470.94</t>
        </is>
      </c>
      <c r="M2254" t="inlineStr">
        <is>
          <t>Köln</t>
        </is>
      </c>
    </row>
    <row r="2255">
      <c r="A2255" t="inlineStr">
        <is>
          <t>Simms ProDry Gore-Tex XL</t>
        </is>
      </c>
      <c r="B2255" s="4" t="n">
        <v>1.2</v>
      </c>
      <c r="C2255" t="inlineStr"/>
      <c r="D2255" t="inlineStr">
        <is>
          <t>13591 Berlin - Spandau</t>
        </is>
      </c>
      <c r="E2255" s="5" t="n">
        <v>45332</v>
      </c>
      <c r="F2255" t="inlineStr"/>
      <c r="G2255" s="6">
        <f>HYPERLINK("https://www.kleinanzeigen.de/s-anzeige/simms-prodry-gore-tex-xl/2675589609-230-3434", "Link")</f>
        <v/>
      </c>
      <c r="H2255" s="6">
        <f>HYPERLINK("C:\Projects\Kleinanzeigen-Scraper\offer_images\2675589609", "Link")</f>
        <v/>
      </c>
      <c r="I2255" t="inlineStr">
        <is>
          <t>Alex</t>
        </is>
      </c>
      <c r="J2255" s="6">
        <f>HYPERLINK("https://www.kleinanzeigen.de/s-bestandsliste.html?userId=119676087", "Link")</f>
        <v/>
      </c>
      <c r="K2255" s="7" t="n">
        <v>45549.57350694444</v>
      </c>
      <c r="L2255" s="3" t="inlineStr">
        <is>
          <t>461.49</t>
        </is>
      </c>
      <c r="M2255" t="inlineStr">
        <is>
          <t>Köln</t>
        </is>
      </c>
    </row>
    <row r="2256">
      <c r="A2256" t="inlineStr">
        <is>
          <t>RRD Roberto Ricci Design Leichtwind Kite Passion MK9 17 m2</t>
        </is>
      </c>
      <c r="B2256" s="4" t="n">
        <v>500</v>
      </c>
      <c r="C2256" t="inlineStr">
        <is>
          <t>VB</t>
        </is>
      </c>
      <c r="D2256" t="inlineStr">
        <is>
          <t>66740 Saarland - Saarlouis</t>
        </is>
      </c>
      <c r="E2256" s="5" t="n">
        <v>45534</v>
      </c>
      <c r="F2256" t="inlineStr">
        <is>
          <t>Sold</t>
        </is>
      </c>
      <c r="G2256" s="6">
        <f>HYPERLINK("https://www.kleinanzeigen.de/s-anzeige/rrd-roberto-ricci-design-leichtwind-kite-passion-mk9-17-m2/2850169844-230-369", "Link")</f>
        <v/>
      </c>
      <c r="H2256" s="6">
        <f>HYPERLINK("C:\Projects\Kleinanzeigen-Scraper\offer_images\2850169844", "Link")</f>
        <v/>
      </c>
      <c r="I2256" t="inlineStr">
        <is>
          <t>Peter</t>
        </is>
      </c>
      <c r="J2256" s="6">
        <f>HYPERLINK("https://www.kleinanzeigen.de/s-bestandsliste.html?userId=21245490", "Link")</f>
        <v/>
      </c>
      <c r="K2256" s="7" t="n">
        <v>45549.57349537037</v>
      </c>
      <c r="L2256" s="3" t="inlineStr">
        <is>
          <t>124.87</t>
        </is>
      </c>
      <c r="M2256" t="inlineStr">
        <is>
          <t>Karlsruhe</t>
        </is>
      </c>
    </row>
    <row r="2257">
      <c r="A2257" t="inlineStr">
        <is>
          <t>Mountain 25 | The North Face</t>
        </is>
      </c>
      <c r="B2257" s="4" t="n">
        <v>250</v>
      </c>
      <c r="C2257" t="inlineStr"/>
      <c r="D2257" t="inlineStr">
        <is>
          <t>04275 Leipzig - Leipzig, Südvorstadt</t>
        </is>
      </c>
      <c r="E2257" s="5" t="n">
        <v>45548</v>
      </c>
      <c r="F2257" t="inlineStr">
        <is>
          <t>Sold</t>
        </is>
      </c>
      <c r="G2257" s="6">
        <f>HYPERLINK("https://www.kleinanzeigen.de/s-anzeige/mountain-25-the-north-face/2862066191-230-4266", "Link")</f>
        <v/>
      </c>
      <c r="H2257" s="6">
        <f>HYPERLINK("C:\Projects\Kleinanzeigen-Scraper\offer_images\2862066191", "Link")</f>
        <v/>
      </c>
      <c r="I2257" t="inlineStr">
        <is>
          <t>Sophia deimer</t>
        </is>
      </c>
      <c r="J2257" s="6">
        <f>HYPERLINK("https://www.kleinanzeigen.de/s-bestandsliste.html?userId=19001601", "Link")</f>
        <v/>
      </c>
      <c r="K2257" s="7" t="n">
        <v>45549.5734837963</v>
      </c>
      <c r="L2257" s="3" t="inlineStr">
        <is>
          <t>358.81</t>
        </is>
      </c>
      <c r="M2257" t="inlineStr">
        <is>
          <t>München</t>
        </is>
      </c>
    </row>
    <row r="2258">
      <c r="A2258" t="inlineStr">
        <is>
          <t>Naish Pivot 10m 2023 Kite S27</t>
        </is>
      </c>
      <c r="B2258" s="4" t="n">
        <v>620</v>
      </c>
      <c r="C2258" t="inlineStr">
        <is>
          <t>VB</t>
        </is>
      </c>
      <c r="D2258" t="inlineStr">
        <is>
          <t>88048 Baden-Württemberg - Friedrichshafen</t>
        </is>
      </c>
      <c r="E2258" s="5" t="n">
        <v>45518</v>
      </c>
      <c r="F2258" t="inlineStr">
        <is>
          <t>Sold</t>
        </is>
      </c>
      <c r="G2258" s="6">
        <f>HYPERLINK("https://www.kleinanzeigen.de/s-anzeige/naish-pivot-10m-2023-kite-s27/2836714708-230-9212", "Link")</f>
        <v/>
      </c>
      <c r="H2258" s="6">
        <f>HYPERLINK("C:\Projects\Kleinanzeigen-Scraper\offer_images\2836714708", "Link")</f>
        <v/>
      </c>
      <c r="I2258" t="inlineStr">
        <is>
          <t>M. Thum</t>
        </is>
      </c>
      <c r="J2258" s="6">
        <f>HYPERLINK("https://www.kleinanzeigen.de/s-bestandsliste.html?userId=19761909", "Link")</f>
        <v/>
      </c>
      <c r="K2258" s="7" t="n">
        <v>45549.5734837963</v>
      </c>
      <c r="L2258" s="3" t="inlineStr">
        <is>
          <t>87.69</t>
        </is>
      </c>
      <c r="M2258" t="inlineStr">
        <is>
          <t>Bonndorf</t>
        </is>
      </c>
    </row>
    <row r="2259">
      <c r="A2259" t="inlineStr">
        <is>
          <t>NEILPRYDE Windsurfen Equipment Tasche</t>
        </is>
      </c>
      <c r="B2259" s="4" t="inlineStr">
        <is>
          <t>Zu verschenken</t>
        </is>
      </c>
      <c r="C2259" t="inlineStr"/>
      <c r="D2259" t="inlineStr">
        <is>
          <t>37073 Niedersachsen - Göttingen</t>
        </is>
      </c>
      <c r="E2259" s="5" t="n">
        <v>45476</v>
      </c>
      <c r="F2259" t="inlineStr">
        <is>
          <t>Sold</t>
        </is>
      </c>
      <c r="G2259" s="6">
        <f>HYPERLINK("https://www.kleinanzeigen.de/s-anzeige/neilpryde-windsurfen-equipment-tasche/2803285477-230-3137", "Link")</f>
        <v/>
      </c>
      <c r="H2259" s="6">
        <f>HYPERLINK("C:\Projects\Kleinanzeigen-Scraper\offer_images\2803285477", "Link")</f>
        <v/>
      </c>
      <c r="I2259" t="inlineStr">
        <is>
          <t>Lahne</t>
        </is>
      </c>
      <c r="J2259" s="6">
        <f>HYPERLINK("https://www.kleinanzeigen.de/s-bestandsliste.html?userId=26527480", "Link")</f>
        <v/>
      </c>
      <c r="K2259" s="7" t="n">
        <v>45549.57347222222</v>
      </c>
      <c r="L2259" s="3" t="inlineStr">
        <is>
          <t>217.80</t>
        </is>
      </c>
      <c r="M2259" t="inlineStr">
        <is>
          <t>Köln</t>
        </is>
      </c>
    </row>
    <row r="2260">
      <c r="A2260" t="inlineStr">
        <is>
          <t>duotone beach chair UVP 210 euro</t>
        </is>
      </c>
      <c r="B2260" s="4" t="n">
        <v>130</v>
      </c>
      <c r="C2260" t="inlineStr"/>
      <c r="D2260" t="inlineStr">
        <is>
          <t>89073 Baden-Württemberg - Ulm</t>
        </is>
      </c>
      <c r="E2260" s="5" t="n">
        <v>45548</v>
      </c>
      <c r="F2260" t="inlineStr">
        <is>
          <t>Sold</t>
        </is>
      </c>
      <c r="G2260" s="6">
        <f>HYPERLINK("https://www.kleinanzeigen.de/s-anzeige/duotone-beach-chair-uvp-210-euro/2862473915-230-9342", "Link")</f>
        <v/>
      </c>
      <c r="H2260" s="6">
        <f>HYPERLINK("C:\Projects\Kleinanzeigen-Scraper\offer_images\2862473915", "Link")</f>
        <v/>
      </c>
      <c r="I2260" t="inlineStr">
        <is>
          <t>flori</t>
        </is>
      </c>
      <c r="J2260" s="6">
        <f>HYPERLINK("https://www.kleinanzeigen.de/s-bestandsliste.html?userId=13436736", "Link")</f>
        <v/>
      </c>
      <c r="K2260" s="7" t="n">
        <v>45549.57347222222</v>
      </c>
      <c r="L2260" s="3" t="inlineStr">
        <is>
          <t>81.07</t>
        </is>
      </c>
      <c r="M2260" t="inlineStr">
        <is>
          <t>Böblingen</t>
        </is>
      </c>
    </row>
    <row r="2261">
      <c r="A2261" t="inlineStr">
        <is>
          <t>Naish Kite Dash 14 qm</t>
        </is>
      </c>
      <c r="B2261" s="4" t="n">
        <v>460</v>
      </c>
      <c r="C2261" t="inlineStr">
        <is>
          <t>VB</t>
        </is>
      </c>
      <c r="D2261" t="inlineStr">
        <is>
          <t>25980 Sylt - Westerland</t>
        </is>
      </c>
      <c r="E2261" s="5" t="n">
        <v>45457</v>
      </c>
      <c r="F2261" t="inlineStr">
        <is>
          <t>Sold</t>
        </is>
      </c>
      <c r="G2261" s="6">
        <f>HYPERLINK("https://www.kleinanzeigen.de/s-anzeige/naish-kite-dash-14-qm/2787970236-230-634", "Link")</f>
        <v/>
      </c>
      <c r="H2261" s="6">
        <f>HYPERLINK("C:\Projects\Kleinanzeigen-Scraper\offer_images\2787970236", "Link")</f>
        <v/>
      </c>
      <c r="I2261" t="inlineStr">
        <is>
          <t>Jens</t>
        </is>
      </c>
      <c r="J2261" s="6">
        <f>HYPERLINK("https://www.kleinanzeigen.de/s-bestandsliste.html?userId=10169141", "Link")</f>
        <v/>
      </c>
      <c r="K2261" s="7" t="n">
        <v>45549.57346064815</v>
      </c>
      <c r="L2261" s="3" t="inlineStr">
        <is>
          <t>448.30</t>
        </is>
      </c>
      <c r="M2261" t="inlineStr">
        <is>
          <t>Köln</t>
        </is>
      </c>
    </row>
    <row r="2262">
      <c r="A2262" t="inlineStr">
        <is>
          <t>2 Knöpfe der Kriegsmarine 1939 Simm &amp; Söhne</t>
        </is>
      </c>
      <c r="B2262" s="4" t="n">
        <v>25</v>
      </c>
      <c r="C2262" t="inlineStr"/>
      <c r="D2262" t="inlineStr">
        <is>
          <t>21781 Niedersachsen - Cadenberge</t>
        </is>
      </c>
      <c r="E2262" s="5" t="n">
        <v>44220</v>
      </c>
      <c r="F2262" t="inlineStr"/>
      <c r="G2262" s="6">
        <f>HYPERLINK("https://www.kleinanzeigen.de/s-anzeige/2-knoepfe-der-kriegsmarine-1939-simm-soehne/1644766418-234-3303", "Link")</f>
        <v/>
      </c>
      <c r="H2262" s="6">
        <f>HYPERLINK("C:\Projects\Kleinanzeigen-Scraper\offer_images\1644766418", "Link")</f>
        <v/>
      </c>
      <c r="I2262" t="inlineStr">
        <is>
          <t>Eckhard Bock</t>
        </is>
      </c>
      <c r="J2262" s="6">
        <f>HYPERLINK("https://www.kleinanzeigen.de/s-bestandsliste.html?userId=25962575", "Link")</f>
        <v/>
      </c>
      <c r="K2262" s="7" t="n">
        <v>45549.57346064815</v>
      </c>
      <c r="L2262" s="3" t="inlineStr">
        <is>
          <t>345.26</t>
        </is>
      </c>
      <c r="M2262" t="inlineStr">
        <is>
          <t>Köln</t>
        </is>
      </c>
    </row>
    <row r="2263">
      <c r="A2263" t="inlineStr">
        <is>
          <t>Lithographisches Poster Ausstellung von Goya</t>
        </is>
      </c>
      <c r="B2263" s="4" t="n">
        <v>100</v>
      </c>
      <c r="C2263" t="inlineStr"/>
      <c r="D2263" t="inlineStr">
        <is>
          <t>53909 Nordrhein-Westfalen - Zülpich</t>
        </is>
      </c>
      <c r="E2263" s="5" t="n">
        <v>45481</v>
      </c>
      <c r="F2263" t="inlineStr"/>
      <c r="G2263" s="6">
        <f>HYPERLINK("https://www.kleinanzeigen.de/s-anzeige/lithographisches-poster-ausstellung-von-goya/2807785688-240-1394", "Link")</f>
        <v/>
      </c>
      <c r="H2263" s="6">
        <f>HYPERLINK("C:\Projects\Kleinanzeigen-Scraper\offer_images\2807785688", "Link")</f>
        <v/>
      </c>
      <c r="I2263" t="inlineStr">
        <is>
          <t>MD2007</t>
        </is>
      </c>
      <c r="J2263" s="6">
        <f>HYPERLINK("https://www.kleinanzeigen.de/s-bestandsliste.html?userId=76368947", "Link")</f>
        <v/>
      </c>
      <c r="K2263" s="7" t="n">
        <v>45549.57344907407</v>
      </c>
      <c r="L2263" s="3" t="inlineStr">
        <is>
          <t>36.28</t>
        </is>
      </c>
      <c r="M2263" t="inlineStr">
        <is>
          <t>Köln</t>
        </is>
      </c>
    </row>
    <row r="2264">
      <c r="A2264" t="inlineStr">
        <is>
          <t>Boardbag / SUP Tasche Fanatic für Sky Air oder anderes</t>
        </is>
      </c>
      <c r="B2264" s="4" t="n">
        <v>25</v>
      </c>
      <c r="C2264" t="inlineStr"/>
      <c r="D2264" t="inlineStr">
        <is>
          <t>85221 Kr. Dachau - Dachau</t>
        </is>
      </c>
      <c r="E2264" s="5" t="n">
        <v>45521</v>
      </c>
      <c r="F2264" t="inlineStr">
        <is>
          <t>Sold</t>
        </is>
      </c>
      <c r="G2264" s="6">
        <f>HYPERLINK("https://www.kleinanzeigen.de/s-anzeige/boardbag-sup-tasche-fanatic-fuer-sky-air-oder-anderes/2839260987-230-5977", "Link")</f>
        <v/>
      </c>
      <c r="H2264" s="6">
        <f>HYPERLINK("C:\Projects\Kleinanzeigen-Scraper\offer_images\2839260987", "Link")</f>
        <v/>
      </c>
      <c r="I2264" t="inlineStr">
        <is>
          <t>Privater Anbieter</t>
        </is>
      </c>
      <c r="J2264" s="6">
        <f>HYPERLINK("https://www.kleinanzeigen.de/s-bestandsliste.html?userId=31251493", "Link")</f>
        <v/>
      </c>
      <c r="K2264" s="7" t="n">
        <v>45549.57344907407</v>
      </c>
      <c r="L2264" s="3" t="inlineStr">
        <is>
          <t>16.19</t>
        </is>
      </c>
      <c r="M2264" t="inlineStr">
        <is>
          <t>München</t>
        </is>
      </c>
    </row>
    <row r="2265">
      <c r="A2265" t="inlineStr">
        <is>
          <t>Isabella north Vorzelt( jetzt Isabella Capri coast)</t>
        </is>
      </c>
      <c r="B2265" s="4" t="n">
        <v>1.2</v>
      </c>
      <c r="C2265" t="inlineStr">
        <is>
          <t>VB</t>
        </is>
      </c>
      <c r="D2265" t="inlineStr">
        <is>
          <t>54595 Rheinland-Pfalz - Prüm</t>
        </is>
      </c>
      <c r="E2265" s="5" t="n">
        <v>45546</v>
      </c>
      <c r="F2265" t="inlineStr">
        <is>
          <t>Sold</t>
        </is>
      </c>
      <c r="G2265" s="6">
        <f>HYPERLINK("https://www.kleinanzeigen.de/s-anzeige/isabella-north-vorzelt-jetzt-isabella-capri-coast-/2813210150-230-5257", "Link")</f>
        <v/>
      </c>
      <c r="H2265" s="6">
        <f>HYPERLINK("C:\Projects\Kleinanzeigen-Scraper\offer_images\2813210150", "Link")</f>
        <v/>
      </c>
      <c r="I2265" t="inlineStr">
        <is>
          <t>Lliteras Daniel</t>
        </is>
      </c>
      <c r="J2265" s="6">
        <f>HYPERLINK("https://www.kleinanzeigen.de/s-bestandsliste.html?userId=19754209", "Link")</f>
        <v/>
      </c>
      <c r="K2265" s="7" t="n">
        <v>45549.57342592593</v>
      </c>
      <c r="L2265" s="3" t="inlineStr">
        <is>
          <t>88.01</t>
        </is>
      </c>
      <c r="M2265" t="inlineStr">
        <is>
          <t>Köln</t>
        </is>
      </c>
    </row>
    <row r="2266">
      <c r="A2266" t="inlineStr">
        <is>
          <t>Fanatic SUP Power Pump HP8 mit Manometer, NEU</t>
        </is>
      </c>
      <c r="B2266" s="4" t="n">
        <v>29</v>
      </c>
      <c r="C2266" t="inlineStr"/>
      <c r="D2266" t="inlineStr">
        <is>
          <t>88279 Baden-Württemberg - Amtzell</t>
        </is>
      </c>
      <c r="E2266" s="5" t="n">
        <v>45547</v>
      </c>
      <c r="F2266" t="inlineStr">
        <is>
          <t>Sold</t>
        </is>
      </c>
      <c r="G2266" s="6">
        <f>HYPERLINK("https://www.kleinanzeigen.de/s-anzeige/fanatic-sup-power-pump-hp8-mit-manometer-neu/2861362114-230-7319", "Link")</f>
        <v/>
      </c>
      <c r="H2266" s="6">
        <f>HYPERLINK("C:\Projects\Kleinanzeigen-Scraper\offer_images\2861362114", "Link")</f>
        <v/>
      </c>
      <c r="I2266" t="inlineStr">
        <is>
          <t>Felix Angerer</t>
        </is>
      </c>
      <c r="J2266" s="6">
        <f>HYPERLINK("https://www.kleinanzeigen.de/s-bestandsliste.html?userId=26154860", "Link")</f>
        <v/>
      </c>
      <c r="K2266" s="7" t="n">
        <v>45549.57342592593</v>
      </c>
      <c r="L2266" s="3" t="inlineStr">
        <is>
          <t>106.48</t>
        </is>
      </c>
      <c r="M2266" t="inlineStr">
        <is>
          <t>Bonndorf</t>
        </is>
      </c>
    </row>
    <row r="2267">
      <c r="A2267" t="inlineStr">
        <is>
          <t>Naish Jet Frontwing 2000 S26</t>
        </is>
      </c>
      <c r="B2267" s="4" t="n">
        <v>149</v>
      </c>
      <c r="C2267" t="inlineStr"/>
      <c r="D2267" t="inlineStr">
        <is>
          <t>32791 Nordrhein-Westfalen - Lage</t>
        </is>
      </c>
      <c r="E2267" s="5" t="n">
        <v>45504</v>
      </c>
      <c r="F2267" t="inlineStr">
        <is>
          <t>Sold</t>
        </is>
      </c>
      <c r="G2267" s="6">
        <f>HYPERLINK("https://www.kleinanzeigen.de/s-anzeige/naish-jet-frontwing-2000-s26/2825619683-230-1656", "Link")</f>
        <v/>
      </c>
      <c r="H2267" s="6">
        <f>HYPERLINK("C:\Projects\Kleinanzeigen-Scraper\offer_images\2825619683", "Link")</f>
        <v/>
      </c>
      <c r="I2267" t="inlineStr">
        <is>
          <t>Norbert Steinmeyer</t>
        </is>
      </c>
      <c r="J2267" s="6">
        <f>HYPERLINK("https://www.kleinanzeigen.de/s-bestandsliste.html?userId=76649541", "Link")</f>
        <v/>
      </c>
      <c r="K2267" s="7" t="n">
        <v>45549.57342592593</v>
      </c>
      <c r="L2267" s="3" t="inlineStr">
        <is>
          <t>171.42</t>
        </is>
      </c>
      <c r="M2267" t="inlineStr">
        <is>
          <t>Köln</t>
        </is>
      </c>
    </row>
    <row r="2268">
      <c r="A2268" t="inlineStr">
        <is>
          <t>JP Australia Glass PE Kunstfaser Paddel 3-teilig (SUP, Kanu)</t>
        </is>
      </c>
      <c r="B2268" s="4" t="n">
        <v>80</v>
      </c>
      <c r="C2268" t="inlineStr"/>
      <c r="D2268" t="inlineStr">
        <is>
          <t>22415 Hamburg-Nord - Hamburg Langenhorn</t>
        </is>
      </c>
      <c r="E2268" s="5" t="n">
        <v>45548</v>
      </c>
      <c r="F2268" t="inlineStr"/>
      <c r="G2268" s="6">
        <f>HYPERLINK("https://www.kleinanzeigen.de/s-anzeige/jp-australia-glass-pe-kunstfaser-paddel-3-teilig-sup-kanu-/2861764257-230-9488", "Link")</f>
        <v/>
      </c>
      <c r="H2268" s="6">
        <f>HYPERLINK("C:\Projects\Kleinanzeigen-Scraper\offer_images\2861764257", "Link")</f>
        <v/>
      </c>
      <c r="I2268" t="inlineStr">
        <is>
          <t>mchl</t>
        </is>
      </c>
      <c r="J2268" s="6">
        <f>HYPERLINK("https://www.kleinanzeigen.de/s-bestandsliste.html?userId=20424350", "Link")</f>
        <v/>
      </c>
      <c r="K2268" s="7" t="n">
        <v>45549.57340277778</v>
      </c>
      <c r="L2268" s="3" t="inlineStr">
        <is>
          <t>366.01</t>
        </is>
      </c>
      <c r="M2268" t="inlineStr">
        <is>
          <t>Köln</t>
        </is>
      </c>
    </row>
    <row r="2269">
      <c r="A2269" t="inlineStr">
        <is>
          <t>Goya Staffelei</t>
        </is>
      </c>
      <c r="B2269" s="4" t="n">
        <v>20</v>
      </c>
      <c r="C2269" t="inlineStr">
        <is>
          <t>VB</t>
        </is>
      </c>
      <c r="D2269" t="inlineStr">
        <is>
          <t>12051 Berlin - Neukölln</t>
        </is>
      </c>
      <c r="E2269" s="5" t="n">
        <v>45519</v>
      </c>
      <c r="F2269" t="inlineStr">
        <is>
          <t>Sold</t>
        </is>
      </c>
      <c r="G2269" s="6">
        <f>HYPERLINK("https://www.kleinanzeigen.de/s-anzeige/goya-staffelei/2837656169-282-3393", "Link")</f>
        <v/>
      </c>
      <c r="H2269" s="6">
        <f>HYPERLINK("C:\Projects\Kleinanzeigen-Scraper\offer_images\2837656169", "Link")</f>
        <v/>
      </c>
      <c r="I2269" t="inlineStr">
        <is>
          <t>Christina</t>
        </is>
      </c>
      <c r="J2269" s="6">
        <f>HYPERLINK("https://www.kleinanzeigen.de/s-bestandsliste.html?userId=54402724", "Link")</f>
        <v/>
      </c>
      <c r="K2269" s="7" t="n">
        <v>45549.57340277778</v>
      </c>
      <c r="L2269" s="3" t="inlineStr">
        <is>
          <t>477.35</t>
        </is>
      </c>
      <c r="M2269" t="inlineStr">
        <is>
          <t>Köln</t>
        </is>
      </c>
    </row>
    <row r="2270">
      <c r="A2270" t="inlineStr">
        <is>
          <t>RRD Wingfoil Wing Segel 6 qm</t>
        </is>
      </c>
      <c r="B2270" s="4" t="n">
        <v>300</v>
      </c>
      <c r="C2270" t="inlineStr">
        <is>
          <t>VB</t>
        </is>
      </c>
      <c r="D2270" t="inlineStr">
        <is>
          <t>95448 Bayern - Bayreuth</t>
        </is>
      </c>
      <c r="E2270" s="5" t="n">
        <v>45499</v>
      </c>
      <c r="F2270" t="inlineStr">
        <is>
          <t>Sold</t>
        </is>
      </c>
      <c r="G2270" s="6">
        <f>HYPERLINK("https://www.kleinanzeigen.de/s-anzeige/rrd-wingfoil-wing-segel-6-qm/2821694236-230-7493", "Link")</f>
        <v/>
      </c>
      <c r="H2270" s="6">
        <f>HYPERLINK("C:\Projects\Kleinanzeigen-Scraper\offer_images\2821694236", "Link")</f>
        <v/>
      </c>
      <c r="I2270" t="inlineStr">
        <is>
          <t>Laurin</t>
        </is>
      </c>
      <c r="J2270" s="6">
        <f>HYPERLINK("https://www.kleinanzeigen.de/s-bestandsliste.html?userId=88092735", "Link")</f>
        <v/>
      </c>
      <c r="K2270" s="7" t="n">
        <v>45549.57340277778</v>
      </c>
      <c r="L2270" s="3" t="inlineStr">
        <is>
          <t>200.19</t>
        </is>
      </c>
      <c r="M2270" t="inlineStr">
        <is>
          <t>München</t>
        </is>
      </c>
    </row>
    <row r="2271">
      <c r="A2271" t="inlineStr">
        <is>
          <t>6x Die Kunst-Reihe in Farben Antike Bruegel Da Vinci Goya Dürer</t>
        </is>
      </c>
      <c r="B2271" s="4" t="n">
        <v>13</v>
      </c>
      <c r="C2271" t="inlineStr"/>
      <c r="D2271" t="inlineStr">
        <is>
          <t>65812 Hessen - Bad Soden am Taunus</t>
        </is>
      </c>
      <c r="E2271" s="5" t="n">
        <v>44930</v>
      </c>
      <c r="F2271" t="inlineStr"/>
      <c r="G2271" s="6">
        <f>HYPERLINK("https://www.kleinanzeigen.de/s-anzeige/6x-die-kunst-reihe-in-farben-antike-bruegel-da-vinci-goya-duerer/2318673156-240-4544", "Link")</f>
        <v/>
      </c>
      <c r="H2271" s="6">
        <f>HYPERLINK("C:\Projects\Kleinanzeigen-Scraper\offer_images\2318673156", "Link")</f>
        <v/>
      </c>
      <c r="I2271" t="inlineStr">
        <is>
          <t>Müller</t>
        </is>
      </c>
      <c r="J2271" s="6">
        <f>HYPERLINK("https://www.kleinanzeigen.de/s-bestandsliste.html?userId=79613494", "Link")</f>
        <v/>
      </c>
      <c r="K2271" s="7" t="n">
        <v>45549.57340277778</v>
      </c>
      <c r="L2271" s="3" t="inlineStr">
        <is>
          <t>128.06</t>
        </is>
      </c>
      <c r="M2271" t="inlineStr">
        <is>
          <t>Karlsruhe</t>
        </is>
      </c>
    </row>
    <row r="2272">
      <c r="A2272" t="inlineStr">
        <is>
          <t>Neilpryde Wing 2 2024 , Größe 4,3</t>
        </is>
      </c>
      <c r="B2272" s="4" t="n">
        <v>850</v>
      </c>
      <c r="C2272" t="inlineStr">
        <is>
          <t>VB</t>
        </is>
      </c>
      <c r="D2272" t="inlineStr">
        <is>
          <t>81545 München - Untergiesing-Harlaching</t>
        </is>
      </c>
      <c r="E2272" s="5" t="n">
        <v>45502</v>
      </c>
      <c r="F2272" t="inlineStr">
        <is>
          <t>Sold</t>
        </is>
      </c>
      <c r="G2272" s="6">
        <f>HYPERLINK("https://www.kleinanzeigen.de/s-anzeige/neilpryde-wing-2-2024-groesse-4-3/2824064986-230-6429", "Link")</f>
        <v/>
      </c>
      <c r="H2272" s="6">
        <f>HYPERLINK("C:\Projects\Kleinanzeigen-Scraper\offer_images\2824064986", "Link")</f>
        <v/>
      </c>
      <c r="I2272" t="inlineStr">
        <is>
          <t>Rita</t>
        </is>
      </c>
      <c r="J2272" s="6">
        <f>HYPERLINK("https://www.kleinanzeigen.de/s-bestandsliste.html?userId=61859690", "Link")</f>
        <v/>
      </c>
      <c r="K2272" s="7" t="n">
        <v>45549.57340277778</v>
      </c>
      <c r="L2272" s="3" t="inlineStr">
        <is>
          <t>5.65</t>
        </is>
      </c>
      <c r="M2272" t="inlineStr">
        <is>
          <t>München</t>
        </is>
      </c>
    </row>
    <row r="2273">
      <c r="A2273" t="inlineStr">
        <is>
          <t>Naish Wing Foil Semi-Compl 2023 1150</t>
        </is>
      </c>
      <c r="B2273" s="4" t="n">
        <v>639</v>
      </c>
      <c r="C2273" t="inlineStr">
        <is>
          <t>VB</t>
        </is>
      </c>
      <c r="D2273" t="inlineStr">
        <is>
          <t>26125 Niedersachsen - Oldenburg</t>
        </is>
      </c>
      <c r="E2273" s="5" t="n">
        <v>45545</v>
      </c>
      <c r="F2273" t="inlineStr">
        <is>
          <t>Sold</t>
        </is>
      </c>
      <c r="G2273" s="6">
        <f>HYPERLINK("https://www.kleinanzeigen.de/s-anzeige/naish-wing-foil-semi-compl-2023-1150/2859562321-230-3111", "Link")</f>
        <v/>
      </c>
      <c r="H2273" s="6">
        <f>HYPERLINK("C:\Projects\Kleinanzeigen-Scraper\offer_images\2859562321", "Link")</f>
        <v/>
      </c>
      <c r="I2273" t="inlineStr">
        <is>
          <t>No user name</t>
        </is>
      </c>
      <c r="J2273" s="6">
        <f>HYPERLINK("https://www.kleinanzeigen.deNo user link", "Link")</f>
        <v/>
      </c>
      <c r="K2273" s="7" t="n">
        <v>45549.5733912037</v>
      </c>
      <c r="L2273" s="3" t="inlineStr">
        <is>
          <t>264.10</t>
        </is>
      </c>
      <c r="M2273" t="inlineStr">
        <is>
          <t>Köln</t>
        </is>
      </c>
    </row>
    <row r="2274">
      <c r="A2274" t="inlineStr">
        <is>
          <t>Vision Big Mama Salzwasser Hecht Zange Simms Sage Rio</t>
        </is>
      </c>
      <c r="B2274" s="4" t="n">
        <v>30</v>
      </c>
      <c r="C2274" t="inlineStr">
        <is>
          <t>VB</t>
        </is>
      </c>
      <c r="D2274" t="inlineStr">
        <is>
          <t>14770 Brandenburg - Brandenburg an der Havel</t>
        </is>
      </c>
      <c r="E2274" s="5" t="n">
        <v>45104</v>
      </c>
      <c r="F2274" t="inlineStr">
        <is>
          <t>Sold</t>
        </is>
      </c>
      <c r="G2274" s="6">
        <f>HYPERLINK("https://www.kleinanzeigen.de/s-anzeige/vision-big-mama-salzwasser-hecht-zange-simms-sage-rio/2479436808-187-7739", "Link")</f>
        <v/>
      </c>
      <c r="H2274" s="6">
        <f>HYPERLINK("C:\Projects\Kleinanzeigen-Scraper\offer_images\2479436808", "Link")</f>
        <v/>
      </c>
      <c r="I2274" t="inlineStr">
        <is>
          <t>Paul</t>
        </is>
      </c>
      <c r="J2274" s="6">
        <f>HYPERLINK("https://www.kleinanzeigen.de/s-bestandsliste.html?userId=23023096", "Link")</f>
        <v/>
      </c>
      <c r="K2274" s="7" t="n">
        <v>45549.57337962963</v>
      </c>
      <c r="L2274" s="3" t="inlineStr">
        <is>
          <t>416.86</t>
        </is>
      </c>
      <c r="M2274" t="inlineStr">
        <is>
          <t>Köln</t>
        </is>
      </c>
    </row>
    <row r="2275">
      <c r="A2275" t="inlineStr">
        <is>
          <t>North Kiteboarding Reach 12m2</t>
        </is>
      </c>
      <c r="B2275" s="4" t="n">
        <v>929</v>
      </c>
      <c r="C2275" t="inlineStr"/>
      <c r="D2275" t="inlineStr">
        <is>
          <t>26723 Niedersachsen - Emden</t>
        </is>
      </c>
      <c r="E2275" s="5" t="n">
        <v>45544</v>
      </c>
      <c r="F2275" t="inlineStr">
        <is>
          <t>Sold</t>
        </is>
      </c>
      <c r="G2275" s="6">
        <f>HYPERLINK("https://www.kleinanzeigen.de/s-anzeige/north-kiteboarding-reach-12m2/2858505419-230-3106", "Link")</f>
        <v/>
      </c>
      <c r="H2275" s="6">
        <f>HYPERLINK("C:\Projects\Kleinanzeigen-Scraper\offer_images\2858505419", "Link")</f>
        <v/>
      </c>
      <c r="I2275" t="inlineStr">
        <is>
          <t>Daniel</t>
        </is>
      </c>
      <c r="J2275" s="6">
        <f>HYPERLINK("https://www.kleinanzeigen.de/s-bestandsliste.html?userId=26003487", "Link")</f>
        <v/>
      </c>
      <c r="K2275" s="7" t="n">
        <v>45549.57337962963</v>
      </c>
      <c r="L2275" s="3" t="inlineStr">
        <is>
          <t>270.18</t>
        </is>
      </c>
      <c r="M2275" t="inlineStr">
        <is>
          <t>Köln</t>
        </is>
      </c>
    </row>
    <row r="2276">
      <c r="A2276" t="inlineStr">
        <is>
          <t>NAISH Tube kite, 14 qm</t>
        </is>
      </c>
      <c r="B2276" s="4" t="n">
        <v>45</v>
      </c>
      <c r="C2276" t="inlineStr">
        <is>
          <t>VB</t>
        </is>
      </c>
      <c r="D2276" t="inlineStr">
        <is>
          <t>79106 Baden-Württemberg - Freiburg im Breisgau</t>
        </is>
      </c>
      <c r="E2276" s="5" t="n">
        <v>45523</v>
      </c>
      <c r="F2276" t="inlineStr">
        <is>
          <t>Sold</t>
        </is>
      </c>
      <c r="G2276" s="6">
        <f>HYPERLINK("https://www.kleinanzeigen.de/s-anzeige/naish-tube-kite-14-qm/2841413877-230-9360", "Link")</f>
        <v/>
      </c>
      <c r="H2276" s="6">
        <f>HYPERLINK("C:\Projects\Kleinanzeigen-Scraper\offer_images\2841413877", "Link")</f>
        <v/>
      </c>
      <c r="I2276" t="inlineStr">
        <is>
          <t>Levi Ruthardt</t>
        </is>
      </c>
      <c r="J2276" s="6">
        <f>HYPERLINK("https://www.kleinanzeigen.de/s-bestandsliste.html?userId=32608740", "Link")</f>
        <v/>
      </c>
      <c r="K2276" s="7" t="n">
        <v>45549.57337962963</v>
      </c>
      <c r="L2276" s="3" t="inlineStr">
        <is>
          <t>42.73</t>
        </is>
      </c>
      <c r="M2276" t="inlineStr">
        <is>
          <t>Bonndorf</t>
        </is>
      </c>
    </row>
    <row r="2277">
      <c r="A2277" t="inlineStr">
        <is>
          <t>North Duotone EVO 9m²</t>
        </is>
      </c>
      <c r="B2277" s="4" t="n">
        <v>280</v>
      </c>
      <c r="C2277" t="inlineStr">
        <is>
          <t>VB</t>
        </is>
      </c>
      <c r="D2277" t="inlineStr">
        <is>
          <t>22946 Schleswig-Holstein - Trittau</t>
        </is>
      </c>
      <c r="E2277" s="5" t="n">
        <v>45536</v>
      </c>
      <c r="F2277" t="inlineStr">
        <is>
          <t>Sold</t>
        </is>
      </c>
      <c r="G2277" s="6">
        <f>HYPERLINK("https://www.kleinanzeigen.de/s-anzeige/north-duotone-evo-9m-/2851846829-230-753", "Link")</f>
        <v/>
      </c>
      <c r="H2277" s="6">
        <f>HYPERLINK("C:\Projects\Kleinanzeigen-Scraper\offer_images\2851846829", "Link")</f>
        <v/>
      </c>
      <c r="I2277" t="inlineStr">
        <is>
          <t>HENDRIK</t>
        </is>
      </c>
      <c r="J2277" s="6">
        <f>HYPERLINK("https://www.kleinanzeigen.de/s-bestandsliste.html?userId=26255706", "Link")</f>
        <v/>
      </c>
      <c r="K2277" s="7" t="n">
        <v>45549.57337962963</v>
      </c>
      <c r="L2277" s="3" t="inlineStr">
        <is>
          <t>376.36</t>
        </is>
      </c>
      <c r="M2277" t="inlineStr">
        <is>
          <t>Köln</t>
        </is>
      </c>
    </row>
    <row r="2278">
      <c r="A2278" t="inlineStr">
        <is>
          <t>7 Goya KÜNSTLER-AQUARELL-FARBEN in Metallbox *NEU &amp; OVP* C. Kreul</t>
        </is>
      </c>
      <c r="B2278" s="4" t="inlineStr"/>
      <c r="C2278" t="inlineStr">
        <is>
          <t>VB</t>
        </is>
      </c>
      <c r="D2278" t="inlineStr">
        <is>
          <t>57482 Nordrhein-Westfalen - Wenden</t>
        </is>
      </c>
      <c r="E2278" s="5" t="n">
        <v>45493</v>
      </c>
      <c r="F2278" t="inlineStr">
        <is>
          <t>Sold</t>
        </is>
      </c>
      <c r="G2278" s="6">
        <f>HYPERLINK("https://www.kleinanzeigen.de/s-anzeige/7-goya-kuenstler-aquarell-farben-in-metallbox-neu-ovp-c-kreul/2816897921-282-1540", "Link")</f>
        <v/>
      </c>
      <c r="H2278" s="6">
        <f>HYPERLINK("C:\Projects\Kleinanzeigen-Scraper\offer_images\2816897921", "Link")</f>
        <v/>
      </c>
      <c r="I2278" t="inlineStr">
        <is>
          <t>Privat</t>
        </is>
      </c>
      <c r="J2278" s="6">
        <f>HYPERLINK("https://www.kleinanzeigen.de/s-bestandsliste.html?userId=72541264", "Link")</f>
        <v/>
      </c>
      <c r="K2278" s="7" t="n">
        <v>45549.57336805556</v>
      </c>
      <c r="L2278" s="3" t="inlineStr">
        <is>
          <t>64.13</t>
        </is>
      </c>
      <c r="M2278" t="inlineStr">
        <is>
          <t>Köln</t>
        </is>
      </c>
    </row>
    <row r="2279">
      <c r="A2279" t="inlineStr">
        <is>
          <t>Kitebar RRD Global 55cm, 4 Leiner</t>
        </is>
      </c>
      <c r="B2279" s="4" t="n">
        <v>55</v>
      </c>
      <c r="C2279" t="inlineStr"/>
      <c r="D2279" t="inlineStr">
        <is>
          <t>60316 Frankfurt am Main - Nordend</t>
        </is>
      </c>
      <c r="E2279" s="5" t="n">
        <v>45482</v>
      </c>
      <c r="F2279" t="inlineStr">
        <is>
          <t>Sold</t>
        </is>
      </c>
      <c r="G2279" s="6">
        <f>HYPERLINK("https://www.kleinanzeigen.de/s-anzeige/kitebar-rrd-global-55cm-4-leiner/2808011926-230-16300", "Link")</f>
        <v/>
      </c>
      <c r="H2279" s="6">
        <f>HYPERLINK("C:\Projects\Kleinanzeigen-Scraper\offer_images\2808011926", "Link")</f>
        <v/>
      </c>
      <c r="I2279" t="inlineStr">
        <is>
          <t>Jan Baader</t>
        </is>
      </c>
      <c r="J2279" s="6">
        <f>HYPERLINK("https://www.kleinanzeigen.de/s-bestandsliste.html?userId=20708583", "Link")</f>
        <v/>
      </c>
      <c r="K2279" s="7" t="n">
        <v>45549.57335648148</v>
      </c>
      <c r="L2279" s="3" t="inlineStr">
        <is>
          <t>125.64</t>
        </is>
      </c>
      <c r="M2279" t="inlineStr">
        <is>
          <t>Karlsruhe</t>
        </is>
      </c>
    </row>
    <row r="2280">
      <c r="A2280" t="inlineStr">
        <is>
          <t>Naish Fuselage fürs Foil / Wingfoil Neu</t>
        </is>
      </c>
      <c r="B2280" s="4" t="n">
        <v>80</v>
      </c>
      <c r="C2280" t="inlineStr">
        <is>
          <t>VB</t>
        </is>
      </c>
      <c r="D2280" t="inlineStr">
        <is>
          <t>22085 Hamburg-Nord - Hamburg Uhlenhorst</t>
        </is>
      </c>
      <c r="E2280" s="5" t="n">
        <v>45526</v>
      </c>
      <c r="F2280" t="inlineStr">
        <is>
          <t>Sold</t>
        </is>
      </c>
      <c r="G2280" s="6">
        <f>HYPERLINK("https://www.kleinanzeigen.de/s-anzeige/naish-fuselage-fuers-foil-wingfoil-neu/2843230511-230-9486", "Link")</f>
        <v/>
      </c>
      <c r="H2280" s="6">
        <f>HYPERLINK("C:\Projects\Kleinanzeigen-Scraper\offer_images\2843230511", "Link")</f>
        <v/>
      </c>
      <c r="I2280" t="inlineStr">
        <is>
          <t>Thomas</t>
        </is>
      </c>
      <c r="J2280" s="6">
        <f>HYPERLINK("https://www.kleinanzeigen.de/s-bestandsliste.html?userId=56490468", "Link")</f>
        <v/>
      </c>
      <c r="K2280" s="7" t="n">
        <v>45549.57335648148</v>
      </c>
      <c r="L2280" s="3" t="inlineStr">
        <is>
          <t>359.41</t>
        </is>
      </c>
      <c r="M2280" t="inlineStr">
        <is>
          <t>Köln</t>
        </is>
      </c>
    </row>
    <row r="2281">
      <c r="A2281" t="inlineStr">
        <is>
          <t>North Orbit 2023 10m Big Air Freeride Kite</t>
        </is>
      </c>
      <c r="B2281" s="4" t="n">
        <v>850</v>
      </c>
      <c r="C2281" t="inlineStr">
        <is>
          <t>VB</t>
        </is>
      </c>
      <c r="D2281" t="inlineStr">
        <is>
          <t>23619 Schleswig-Holstein - Hamberge Holstein</t>
        </is>
      </c>
      <c r="E2281" s="5" t="n">
        <v>45538</v>
      </c>
      <c r="F2281" t="inlineStr">
        <is>
          <t>Sold</t>
        </is>
      </c>
      <c r="G2281" s="6">
        <f>HYPERLINK("https://www.kleinanzeigen.de/s-anzeige/north-orbit-2023-10m-big-air-freeride-kite/2853770961-230-21338", "Link")</f>
        <v/>
      </c>
      <c r="H2281" s="6">
        <f>HYPERLINK("C:\Projects\Kleinanzeigen-Scraper\offer_images\2853770961", "Link")</f>
        <v/>
      </c>
      <c r="I2281" t="inlineStr">
        <is>
          <t>Jörn</t>
        </is>
      </c>
      <c r="J2281" s="6">
        <f>HYPERLINK("https://www.kleinanzeigen.de/s-bestandsliste.html?userId=69274313", "Link")</f>
        <v/>
      </c>
      <c r="K2281" s="7" t="n">
        <v>45549.57334490741</v>
      </c>
      <c r="L2281" s="3" t="inlineStr">
        <is>
          <t>406.64</t>
        </is>
      </c>
      <c r="M2281" t="inlineStr">
        <is>
          <t>Köln</t>
        </is>
      </c>
    </row>
    <row r="2282">
      <c r="A2282" t="inlineStr">
        <is>
          <t>North Jacke in allen Größen NEU</t>
        </is>
      </c>
      <c r="B2282" s="4" t="n">
        <v>105</v>
      </c>
      <c r="C2282" t="inlineStr"/>
      <c r="D2282" t="inlineStr">
        <is>
          <t>44866 Bochum - Bochum-Wattenscheid</t>
        </is>
      </c>
      <c r="E2282" s="5" t="n">
        <v>45538</v>
      </c>
      <c r="F2282" t="inlineStr">
        <is>
          <t>Sold</t>
        </is>
      </c>
      <c r="G2282" s="6">
        <f>HYPERLINK("https://www.kleinanzeigen.de/s-anzeige/north-jacke-in-allen-groessen-neu/2853321711-230-1934", "Link")</f>
        <v/>
      </c>
      <c r="H2282" s="6">
        <f>HYPERLINK("C:\Projects\Kleinanzeigen-Scraper\offer_images\2853321711", "Link")</f>
        <v/>
      </c>
      <c r="I2282" t="inlineStr">
        <is>
          <t>Allerlei</t>
        </is>
      </c>
      <c r="J2282" s="6">
        <f>HYPERLINK("https://www.kleinanzeigen.de/s-bestandsliste.html?userId=125463426", "Link")</f>
        <v/>
      </c>
      <c r="K2282" s="7" t="n">
        <v>45549.57333333333</v>
      </c>
      <c r="L2282" s="3" t="inlineStr">
        <is>
          <t>61.71</t>
        </is>
      </c>
      <c r="M2282" t="inlineStr">
        <is>
          <t>Köln</t>
        </is>
      </c>
    </row>
    <row r="2283">
      <c r="A2283" t="inlineStr">
        <is>
          <t>North Trust Depower Kitebar 54 cm ohne Leinen / Kite - Bar / Holm</t>
        </is>
      </c>
      <c r="B2283" s="4" t="n">
        <v>80</v>
      </c>
      <c r="C2283" t="inlineStr">
        <is>
          <t>VB</t>
        </is>
      </c>
      <c r="D2283" t="inlineStr">
        <is>
          <t>32758 Nordrhein-Westfalen - Detmold</t>
        </is>
      </c>
      <c r="E2283" s="5" t="n">
        <v>45540</v>
      </c>
      <c r="F2283" t="inlineStr">
        <is>
          <t>Sold</t>
        </is>
      </c>
      <c r="G2283" s="6">
        <f>HYPERLINK("https://www.kleinanzeigen.de/s-anzeige/north-trust-depower-kitebar-54-cm-ohne-leinen-kite-bar-holm/2854732414-230-1793", "Link")</f>
        <v/>
      </c>
      <c r="H2283" s="6">
        <f>HYPERLINK("C:\Projects\Kleinanzeigen-Scraper\offer_images\2854732414", "Link")</f>
        <v/>
      </c>
      <c r="I2283" t="inlineStr">
        <is>
          <t>Privat</t>
        </is>
      </c>
      <c r="J2283" s="6">
        <f>HYPERLINK("https://www.kleinanzeigen.de/s-bestandsliste.html?userId=39771025", "Link")</f>
        <v/>
      </c>
      <c r="K2283" s="7" t="n">
        <v>45549.57333333333</v>
      </c>
      <c r="L2283" s="3" t="inlineStr">
        <is>
          <t>172.09</t>
        </is>
      </c>
      <c r="M2283" t="inlineStr">
        <is>
          <t>Köln</t>
        </is>
      </c>
    </row>
    <row r="2284">
      <c r="A2284" t="inlineStr">
        <is>
          <t>Simms Watschuhe in Größe 44</t>
        </is>
      </c>
      <c r="B2284" s="4" t="n">
        <v>75</v>
      </c>
      <c r="C2284" t="inlineStr"/>
      <c r="D2284" t="inlineStr">
        <is>
          <t>38228 Niedersachsen - Salzgitter</t>
        </is>
      </c>
      <c r="E2284" s="5" t="n">
        <v>45529</v>
      </c>
      <c r="F2284" t="inlineStr">
        <is>
          <t>Sold</t>
        </is>
      </c>
      <c r="G2284" s="6">
        <f>HYPERLINK("https://www.kleinanzeigen.de/s-anzeige/simms-watschuhe-in-groesse-44/2845537572-242-2433", "Link")</f>
        <v/>
      </c>
      <c r="H2284" s="6">
        <f>HYPERLINK("C:\Projects\Kleinanzeigen-Scraper\offer_images\2845537572", "Link")</f>
        <v/>
      </c>
      <c r="I2284" t="inlineStr">
        <is>
          <t>Markus</t>
        </is>
      </c>
      <c r="J2284" s="6">
        <f>HYPERLINK("https://www.kleinanzeigen.de/s-bestandsliste.html?userId=30037465", "Link")</f>
        <v/>
      </c>
      <c r="K2284" s="7" t="n">
        <v>45549.57332175926</v>
      </c>
      <c r="L2284" s="3" t="inlineStr">
        <is>
          <t>266.22</t>
        </is>
      </c>
      <c r="M2284" t="inlineStr">
        <is>
          <t>Köln</t>
        </is>
      </c>
    </row>
    <row r="2285">
      <c r="A2285" t="inlineStr">
        <is>
          <t>Naish SUP Pumpe</t>
        </is>
      </c>
      <c r="B2285" s="4" t="n">
        <v>25</v>
      </c>
      <c r="C2285" t="inlineStr">
        <is>
          <t>VB</t>
        </is>
      </c>
      <c r="D2285" t="inlineStr">
        <is>
          <t>24220 Schleswig-Holstein - Flintbek</t>
        </is>
      </c>
      <c r="E2285" s="5" t="n">
        <v>45490</v>
      </c>
      <c r="F2285" t="inlineStr">
        <is>
          <t>Sold</t>
        </is>
      </c>
      <c r="G2285" s="6">
        <f>HYPERLINK("https://www.kleinanzeigen.de/s-anzeige/naish-sup-pumpe/2814720358-187-10491", "Link")</f>
        <v/>
      </c>
      <c r="H2285" s="6">
        <f>HYPERLINK("C:\Projects\Kleinanzeigen-Scraper\offer_images\2814720358", "Link")</f>
        <v/>
      </c>
      <c r="I2285" t="inlineStr">
        <is>
          <t>Susanne Timm</t>
        </is>
      </c>
      <c r="J2285" s="6">
        <f>HYPERLINK("https://www.kleinanzeigen.de/s-bestandsliste.html?userId=9628957", "Link")</f>
        <v/>
      </c>
      <c r="K2285" s="7" t="n">
        <v>45549.57332175926</v>
      </c>
      <c r="L2285" s="3" t="inlineStr">
        <is>
          <t>423.90</t>
        </is>
      </c>
      <c r="M2285" t="inlineStr">
        <is>
          <t>Köln</t>
        </is>
      </c>
    </row>
    <row r="2286">
      <c r="A2286" t="inlineStr">
        <is>
          <t>Mr Brainwash, Vincent Vandal (Banksy/van Gogh), serielles Unikat</t>
        </is>
      </c>
      <c r="B2286" s="4" t="n">
        <v>3.75</v>
      </c>
      <c r="C2286" t="inlineStr"/>
      <c r="D2286" t="inlineStr">
        <is>
          <t>65779 Hessen - Kelkheim</t>
        </is>
      </c>
      <c r="E2286" s="5" t="n">
        <v>45537</v>
      </c>
      <c r="F2286" t="inlineStr"/>
      <c r="G2286" s="6">
        <f>HYPERLINK("https://www.kleinanzeigen.de/s-anzeige/mr-brainwash-vincent-vandal-banksy-van-gogh-serielles-unikat/2852660802-240-4813", "Link")</f>
        <v/>
      </c>
      <c r="H2286" s="6">
        <f>HYPERLINK("C:\Projects\Kleinanzeigen-Scraper\offer_images\2852660802", "Link")</f>
        <v/>
      </c>
      <c r="I2286" t="inlineStr">
        <is>
          <t>Stefan</t>
        </is>
      </c>
      <c r="J2286" s="6">
        <f>HYPERLINK("https://www.kleinanzeigen.de/s-bestandsliste.html?userId=75756811", "Link")</f>
        <v/>
      </c>
      <c r="K2286" s="7" t="n">
        <v>45549.57332175926</v>
      </c>
      <c r="L2286" s="3" t="inlineStr">
        <is>
          <t>127.81</t>
        </is>
      </c>
      <c r="M2286" t="inlineStr">
        <is>
          <t>Karlsruhe</t>
        </is>
      </c>
    </row>
    <row r="2287">
      <c r="A2287" t="inlineStr">
        <is>
          <t>Naish Boxer s25 14m</t>
        </is>
      </c>
      <c r="B2287" s="4" t="n">
        <v>535</v>
      </c>
      <c r="C2287" t="inlineStr">
        <is>
          <t>VB</t>
        </is>
      </c>
      <c r="D2287" t="inlineStr">
        <is>
          <t>40667 Nordrhein-Westfalen - Meerbusch</t>
        </is>
      </c>
      <c r="E2287" s="5" t="n">
        <v>45466</v>
      </c>
      <c r="F2287" t="inlineStr">
        <is>
          <t>Sold</t>
        </is>
      </c>
      <c r="G2287" s="6">
        <f>HYPERLINK("https://www.kleinanzeigen.de/s-anzeige/naish-boxer-s25-14m/2795399225-230-1897", "Link")</f>
        <v/>
      </c>
      <c r="H2287" s="6">
        <f>HYPERLINK("C:\Projects\Kleinanzeigen-Scraper\offer_images\2795399225", "Link")</f>
        <v/>
      </c>
      <c r="I2287" t="inlineStr">
        <is>
          <t>Joerg</t>
        </is>
      </c>
      <c r="J2287" s="6">
        <f>HYPERLINK("https://www.kleinanzeigen.de/s-bestandsliste.html?userId=15362146", "Link")</f>
        <v/>
      </c>
      <c r="K2287" s="7" t="n">
        <v>45549.57331018519</v>
      </c>
      <c r="L2287" s="3" t="inlineStr">
        <is>
          <t>39.26</t>
        </is>
      </c>
      <c r="M2287" t="inlineStr">
        <is>
          <t>Köln</t>
        </is>
      </c>
    </row>
    <row r="2288">
      <c r="A2288" t="inlineStr">
        <is>
          <t>North Face Exploration Hose - Tapered - new taupe</t>
        </is>
      </c>
      <c r="B2288" s="4" t="n">
        <v>50</v>
      </c>
      <c r="C2288" t="inlineStr"/>
      <c r="D2288" t="inlineStr">
        <is>
          <t>63165 Hessen - Mühlheim am Main</t>
        </is>
      </c>
      <c r="E2288" s="5" t="n">
        <v>45541</v>
      </c>
      <c r="F2288" t="inlineStr">
        <is>
          <t>Sold</t>
        </is>
      </c>
      <c r="G2288" s="6">
        <f>HYPERLINK("https://www.kleinanzeigen.de/s-anzeige/north-face-exploration-hose-tapered-new-taupe/2856088732-230-4533", "Link")</f>
        <v/>
      </c>
      <c r="H2288" s="6">
        <f>HYPERLINK("C:\Projects\Kleinanzeigen-Scraper\offer_images\2856088732", "Link")</f>
        <v/>
      </c>
      <c r="I2288" t="inlineStr">
        <is>
          <t>Julius</t>
        </is>
      </c>
      <c r="J2288" s="6">
        <f>HYPERLINK("https://www.kleinanzeigen.de/s-bestandsliste.html?userId=102686", "Link")</f>
        <v/>
      </c>
      <c r="K2288" s="7" t="n">
        <v>45549.57329861111</v>
      </c>
      <c r="L2288" s="3" t="inlineStr">
        <is>
          <t>126.23</t>
        </is>
      </c>
      <c r="M2288" t="inlineStr">
        <is>
          <t>Karlsruhe</t>
        </is>
      </c>
    </row>
    <row r="2289">
      <c r="A2289" t="inlineStr">
        <is>
          <t>Naish Ride Kite 14qm in sehr gutem Zustand</t>
        </is>
      </c>
      <c r="B2289" s="4" t="n">
        <v>299</v>
      </c>
      <c r="C2289" t="inlineStr"/>
      <c r="D2289" t="inlineStr">
        <is>
          <t>20251 Hamburg-Nord - Hamburg Eppendorf</t>
        </is>
      </c>
      <c r="E2289" s="5" t="n">
        <v>45491</v>
      </c>
      <c r="F2289" t="inlineStr">
        <is>
          <t>Sold</t>
        </is>
      </c>
      <c r="G2289" s="6">
        <f>HYPERLINK("https://www.kleinanzeigen.de/s-anzeige/naish-ride-kite-14qm-in-sehr-gutem-zustand/2815283689-230-9475", "Link")</f>
        <v/>
      </c>
      <c r="H2289" s="6">
        <f>HYPERLINK("C:\Projects\Kleinanzeigen-Scraper\offer_images\2815283689", "Link")</f>
        <v/>
      </c>
      <c r="I2289" t="inlineStr">
        <is>
          <t>Caspar Volquardsen</t>
        </is>
      </c>
      <c r="J2289" s="6">
        <f>HYPERLINK("https://www.kleinanzeigen.de/s-bestandsliste.html?userId=37309988", "Link")</f>
        <v/>
      </c>
      <c r="K2289" s="7" t="n">
        <v>45549.57328703703</v>
      </c>
      <c r="L2289" s="3" t="inlineStr">
        <is>
          <t>360.06</t>
        </is>
      </c>
      <c r="M2289" t="inlineStr">
        <is>
          <t>Köln</t>
        </is>
      </c>
    </row>
    <row r="2290">
      <c r="A2290" t="inlineStr">
        <is>
          <t>NAISH SUP Pumpenset NEU</t>
        </is>
      </c>
      <c r="B2290" s="4" t="n">
        <v>25</v>
      </c>
      <c r="C2290" t="inlineStr"/>
      <c r="D2290" t="inlineStr">
        <is>
          <t>65205 Wiesbaden - Nordenstadt</t>
        </is>
      </c>
      <c r="E2290" s="5" t="n">
        <v>45506</v>
      </c>
      <c r="F2290" t="inlineStr">
        <is>
          <t>Sold</t>
        </is>
      </c>
      <c r="G2290" s="6">
        <f>HYPERLINK("https://www.kleinanzeigen.de/s-anzeige/naish-sup-pumpenset-neu/2826838075-230-4913", "Link")</f>
        <v/>
      </c>
      <c r="H2290" s="6">
        <f>HYPERLINK("C:\Projects\Kleinanzeigen-Scraper\offer_images\2826838075", "Link")</f>
        <v/>
      </c>
      <c r="I2290" t="inlineStr">
        <is>
          <t>Stefan Eisenacher</t>
        </is>
      </c>
      <c r="J2290" s="6">
        <f>HYPERLINK("https://www.kleinanzeigen.de/s-bestandsliste.html?userId=2668414", "Link")</f>
        <v/>
      </c>
      <c r="K2290" s="7" t="n">
        <v>45549.57328703703</v>
      </c>
      <c r="L2290" s="3" t="inlineStr">
        <is>
          <t>116.77</t>
        </is>
      </c>
      <c r="M2290" t="inlineStr">
        <is>
          <t>Karlsruhe</t>
        </is>
      </c>
    </row>
    <row r="2291">
      <c r="A2291" t="inlineStr">
        <is>
          <t>Outwell - Goya Chair - Campingstuhl</t>
        </is>
      </c>
      <c r="B2291" s="4" t="n">
        <v>55</v>
      </c>
      <c r="C2291" t="inlineStr"/>
      <c r="D2291" t="inlineStr">
        <is>
          <t>12105 Berlin - Tempelhof</t>
        </is>
      </c>
      <c r="E2291" s="5" t="n">
        <v>45464</v>
      </c>
      <c r="F2291" t="inlineStr"/>
      <c r="G2291" s="6">
        <f>HYPERLINK("https://www.kleinanzeigen.de/s-anzeige/outwell-goya-chair-campingstuhl/2793860387-230-3408", "Link")</f>
        <v/>
      </c>
      <c r="H2291" s="6">
        <f>HYPERLINK("C:\Projects\Kleinanzeigen-Scraper\offer_images\2793860387", "Link")</f>
        <v/>
      </c>
      <c r="I2291" t="inlineStr">
        <is>
          <t>Wetzelt</t>
        </is>
      </c>
      <c r="J2291" s="6">
        <f>HYPERLINK("https://www.kleinanzeigen.de/s-bestandsliste.html?userId=9304546", "Link")</f>
        <v/>
      </c>
      <c r="K2291" s="7" t="n">
        <v>45549.57327546296</v>
      </c>
      <c r="L2291" s="3" t="inlineStr">
        <is>
          <t>473.33</t>
        </is>
      </c>
      <c r="M2291" t="inlineStr">
        <is>
          <t>Köln</t>
        </is>
      </c>
    </row>
    <row r="2292">
      <c r="A2292" t="inlineStr">
        <is>
          <t>Valorant Champion 2021, Jinx Sheriff und Chaos Vandal</t>
        </is>
      </c>
      <c r="B2292" s="4" t="n">
        <v>5</v>
      </c>
      <c r="C2292" t="inlineStr"/>
      <c r="D2292" t="inlineStr">
        <is>
          <t>31061 Niedersachsen - Alfeld (Leine)</t>
        </is>
      </c>
      <c r="E2292" s="5" t="n">
        <v>45533</v>
      </c>
      <c r="F2292" t="inlineStr">
        <is>
          <t>Sold</t>
        </is>
      </c>
      <c r="G2292" s="6">
        <f>HYPERLINK("https://www.kleinanzeigen.de/s-anzeige/valorant-champion-2021-jinx-sheriff-und-chaos-vandal/2849085441-234-2887", "Link")</f>
        <v/>
      </c>
      <c r="H2292" s="6">
        <f>HYPERLINK("C:\Projects\Kleinanzeigen-Scraper\offer_images\2849085441", "Link")</f>
        <v/>
      </c>
      <c r="I2292" t="inlineStr">
        <is>
          <t>Yasmin</t>
        </is>
      </c>
      <c r="J2292" s="6">
        <f>HYPERLINK("https://www.kleinanzeigen.de/s-bestandsliste.html?userId=123879528", "Link")</f>
        <v/>
      </c>
      <c r="K2292" s="7" t="n">
        <v>45549.57327546296</v>
      </c>
      <c r="L2292" s="3" t="inlineStr">
        <is>
          <t>230.48</t>
        </is>
      </c>
      <c r="M2292" t="inlineStr">
        <is>
          <t>Köln</t>
        </is>
      </c>
    </row>
    <row r="2293">
      <c r="A2293" t="inlineStr">
        <is>
          <t>Neoprenanzug Neilpryde 5/3 Gr. 94 MT</t>
        </is>
      </c>
      <c r="B2293" s="4" t="inlineStr">
        <is>
          <t>Zu verschenken</t>
        </is>
      </c>
      <c r="C2293" t="inlineStr"/>
      <c r="D2293" t="inlineStr">
        <is>
          <t>24238 Schleswig-Holstein - Selent</t>
        </is>
      </c>
      <c r="E2293" s="5" t="n">
        <v>45547</v>
      </c>
      <c r="F2293" t="inlineStr">
        <is>
          <t>Sold</t>
        </is>
      </c>
      <c r="G2293" s="6">
        <f>HYPERLINK("https://www.kleinanzeigen.de/s-anzeige/neoprenanzug-neilpryde-5-3-gr-94-mt/2861587441-230-470", "Link")</f>
        <v/>
      </c>
      <c r="H2293" s="6">
        <f>HYPERLINK("C:\Projects\Kleinanzeigen-Scraper\offer_images\2861587441", "Link")</f>
        <v/>
      </c>
      <c r="I2293" t="inlineStr">
        <is>
          <t>Bastian</t>
        </is>
      </c>
      <c r="J2293" s="6">
        <f>HYPERLINK("https://www.kleinanzeigen.de/s-bestandsliste.html?userId=897318", "Link")</f>
        <v/>
      </c>
      <c r="K2293" s="7" t="n">
        <v>45549.57326388889</v>
      </c>
      <c r="L2293" s="3" t="inlineStr">
        <is>
          <t>440.29</t>
        </is>
      </c>
      <c r="M2293" t="inlineStr">
        <is>
          <t>Köln</t>
        </is>
      </c>
    </row>
    <row r="2294">
      <c r="A2294" t="inlineStr">
        <is>
          <t>Naish Kiteset Board Bar Kite Ausrüstung</t>
        </is>
      </c>
      <c r="B2294" s="4" t="n">
        <v>420</v>
      </c>
      <c r="C2294" t="inlineStr"/>
      <c r="D2294" t="inlineStr">
        <is>
          <t>24937 Schleswig-Holstein - Flensburg</t>
        </is>
      </c>
      <c r="E2294" s="5" t="n">
        <v>45542</v>
      </c>
      <c r="F2294" t="inlineStr">
        <is>
          <t>Sold</t>
        </is>
      </c>
      <c r="G2294" s="6">
        <f>HYPERLINK("https://www.kleinanzeigen.de/s-anzeige/naish-kiteset-board-bar-kite-ausruestung/2856381765-230-718", "Link")</f>
        <v/>
      </c>
      <c r="H2294" s="6">
        <f>HYPERLINK("C:\Projects\Kleinanzeigen-Scraper\offer_images\2856381765", "Link")</f>
        <v/>
      </c>
      <c r="I2294" t="inlineStr">
        <is>
          <t>Mathis</t>
        </is>
      </c>
      <c r="J2294" s="6">
        <f>HYPERLINK("https://www.kleinanzeigen.de/s-bestandsliste.html?userId=13213303", "Link")</f>
        <v/>
      </c>
      <c r="K2294" s="7" t="n">
        <v>45549.57326388889</v>
      </c>
      <c r="L2294" s="3" t="inlineStr">
        <is>
          <t>458.80</t>
        </is>
      </c>
      <c r="M2294" t="inlineStr">
        <is>
          <t>Köln</t>
        </is>
      </c>
    </row>
    <row r="2295">
      <c r="A2295" t="inlineStr">
        <is>
          <t>Duotone Evo Sls 2023 12m 1x geflogen</t>
        </is>
      </c>
      <c r="B2295" s="4" t="n">
        <v>1.24</v>
      </c>
      <c r="C2295" t="inlineStr">
        <is>
          <t>VB</t>
        </is>
      </c>
      <c r="D2295" t="inlineStr">
        <is>
          <t>71522 Baden-Württemberg - Backnang</t>
        </is>
      </c>
      <c r="E2295" s="5" t="n">
        <v>45544</v>
      </c>
      <c r="F2295" t="inlineStr">
        <is>
          <t>Sold</t>
        </is>
      </c>
      <c r="G2295" s="6">
        <f>HYPERLINK("https://www.kleinanzeigen.de/s-anzeige/duotone-evo-sls-2023-12m-1x-geflogen/2858291007-230-8355", "Link")</f>
        <v/>
      </c>
      <c r="H2295" s="6">
        <f>HYPERLINK("C:\Projects\Kleinanzeigen-Scraper\offer_images\2858291007", "Link")</f>
        <v/>
      </c>
      <c r="I2295" t="inlineStr">
        <is>
          <t>Jony</t>
        </is>
      </c>
      <c r="J2295" s="6">
        <f>HYPERLINK("https://www.kleinanzeigen.de/s-bestandsliste.html?userId=129202579", "Link")</f>
        <v/>
      </c>
      <c r="K2295" s="7" t="n">
        <v>45549.57326388889</v>
      </c>
      <c r="L2295" s="3" t="inlineStr">
        <is>
          <t>45.09</t>
        </is>
      </c>
      <c r="M2295" t="inlineStr">
        <is>
          <t>Böblingen</t>
        </is>
      </c>
    </row>
    <row r="2296">
      <c r="A2296" t="inlineStr">
        <is>
          <t>Naish Wing Surfer MK4 / Test ab Mai auf Rügen</t>
        </is>
      </c>
      <c r="B2296" s="4" t="n">
        <v>849</v>
      </c>
      <c r="C2296" t="inlineStr">
        <is>
          <t>VB</t>
        </is>
      </c>
      <c r="D2296" t="inlineStr">
        <is>
          <t>18586 Mecklenburg-Vorpommern - Mönchgut, Ostseebad</t>
        </is>
      </c>
      <c r="E2296" s="5" t="n">
        <v>45533</v>
      </c>
      <c r="F2296" t="inlineStr">
        <is>
          <t>Sold</t>
        </is>
      </c>
      <c r="G2296" s="6">
        <f>HYPERLINK("https://www.kleinanzeigen.de/s-anzeige/naish-wing-surfer-mk4-test-ab-mai-auf-ruegen/1214235672-230-120", "Link")</f>
        <v/>
      </c>
      <c r="H2296" s="6">
        <f>HYPERLINK("C:\Projects\Kleinanzeigen-Scraper\offer_images\1214235672", "Link")</f>
        <v/>
      </c>
      <c r="I2296" t="inlineStr">
        <is>
          <t>No user name</t>
        </is>
      </c>
      <c r="J2296" s="6">
        <f>HYPERLINK("https://www.kleinanzeigen.deNo user link", "Link")</f>
        <v/>
      </c>
      <c r="K2296" s="7" t="n">
        <v>45549.57325231482</v>
      </c>
      <c r="L2296" s="3" t="inlineStr">
        <is>
          <t>591.22</t>
        </is>
      </c>
      <c r="M2296" t="inlineStr">
        <is>
          <t>Köln</t>
        </is>
      </c>
    </row>
    <row r="2297">
      <c r="A2297" t="inlineStr">
        <is>
          <t>Naish Kite Set Slash 9 + 6 + Bar</t>
        </is>
      </c>
      <c r="B2297" s="4" t="n">
        <v>600</v>
      </c>
      <c r="C2297" t="inlineStr"/>
      <c r="D2297" t="inlineStr">
        <is>
          <t>25884 Nordfriesland - Viöl</t>
        </is>
      </c>
      <c r="E2297" s="5" t="n">
        <v>45464</v>
      </c>
      <c r="F2297" t="inlineStr">
        <is>
          <t>Sold</t>
        </is>
      </c>
      <c r="G2297" s="6">
        <f>HYPERLINK("https://www.kleinanzeigen.de/s-anzeige/naish-kite-set-slash-9-6-bar/2636591090-230-567", "Link")</f>
        <v/>
      </c>
      <c r="H2297" s="6">
        <f>HYPERLINK("C:\Projects\Kleinanzeigen-Scraper\offer_images\2636591090", "Link")</f>
        <v/>
      </c>
      <c r="I2297" t="inlineStr">
        <is>
          <t>Jan Petersen</t>
        </is>
      </c>
      <c r="J2297" s="6">
        <f>HYPERLINK("https://www.kleinanzeigen.de/s-bestandsliste.html?userId=10928104", "Link")</f>
        <v/>
      </c>
      <c r="K2297" s="7" t="n">
        <v>45549.57325231482</v>
      </c>
      <c r="L2297" s="3" t="inlineStr">
        <is>
          <t>430.63</t>
        </is>
      </c>
      <c r="M2297" t="inlineStr">
        <is>
          <t>Köln</t>
        </is>
      </c>
    </row>
    <row r="2298">
      <c r="A2298" t="inlineStr">
        <is>
          <t>Buch Englisch :  Fall From Grace by Richard North Patterson</t>
        </is>
      </c>
      <c r="B2298" s="4" t="n">
        <v>3</v>
      </c>
      <c r="C2298" t="inlineStr">
        <is>
          <t>VB</t>
        </is>
      </c>
      <c r="D2298" t="inlineStr">
        <is>
          <t>72074 Baden-Württemberg - Tübingen</t>
        </is>
      </c>
      <c r="E2298" s="5" t="n">
        <v>45544</v>
      </c>
      <c r="F2298" t="inlineStr">
        <is>
          <t>Sold</t>
        </is>
      </c>
      <c r="G2298" s="6">
        <f>HYPERLINK("https://www.kleinanzeigen.de/s-anzeige/buch-englisch-fall-from-grace-by-richard-north-patterson/2858594490-249-9095", "Link")</f>
        <v/>
      </c>
      <c r="H2298" s="6">
        <f>HYPERLINK("C:\Projects\Kleinanzeigen-Scraper\offer_images\2858594490", "Link")</f>
        <v/>
      </c>
      <c r="I2298" t="inlineStr">
        <is>
          <t>Jane</t>
        </is>
      </c>
      <c r="J2298" s="6">
        <f>HYPERLINK("https://www.kleinanzeigen.de/s-bestandsliste.html?userId=9081439", "Link")</f>
        <v/>
      </c>
      <c r="K2298" s="7" t="n">
        <v>45549.57324074074</v>
      </c>
      <c r="L2298" s="3" t="inlineStr">
        <is>
          <t>13.72</t>
        </is>
      </c>
      <c r="M2298" t="inlineStr">
        <is>
          <t>Böblingen</t>
        </is>
      </c>
    </row>
    <row r="2299">
      <c r="A2299" t="inlineStr">
        <is>
          <t>Snowboard Rookie Duotone 133cm</t>
        </is>
      </c>
      <c r="B2299" s="4" t="n">
        <v>35</v>
      </c>
      <c r="C2299" t="inlineStr"/>
      <c r="D2299" t="inlineStr">
        <is>
          <t>92552 Bayern - Teunz</t>
        </is>
      </c>
      <c r="E2299" s="5" t="n">
        <v>45541</v>
      </c>
      <c r="F2299" t="inlineStr">
        <is>
          <t>Sold</t>
        </is>
      </c>
      <c r="G2299" s="6">
        <f>HYPERLINK("https://www.kleinanzeigen.de/s-anzeige/snowboard-rookie-duotone-133cm/2856021512-230-5758", "Link")</f>
        <v/>
      </c>
      <c r="H2299" s="6">
        <f>HYPERLINK("C:\Projects\Kleinanzeigen-Scraper\offer_images\2856021512", "Link")</f>
        <v/>
      </c>
      <c r="I2299" t="inlineStr">
        <is>
          <t>Privatanbieter</t>
        </is>
      </c>
      <c r="J2299" s="6">
        <f>HYPERLINK("https://www.kleinanzeigen.de/s-bestandsliste.html?userId=55364", "Link")</f>
        <v/>
      </c>
      <c r="K2299" s="7" t="n">
        <v>45549.57322916666</v>
      </c>
      <c r="L2299" s="3" t="inlineStr">
        <is>
          <t>163.82</t>
        </is>
      </c>
      <c r="M2299" t="inlineStr">
        <is>
          <t>München</t>
        </is>
      </c>
    </row>
    <row r="2300">
      <c r="A2300" t="inlineStr">
        <is>
          <t>RRD Passion 12 MK9 Kite orange</t>
        </is>
      </c>
      <c r="B2300" s="4" t="n">
        <v>350</v>
      </c>
      <c r="C2300" t="inlineStr"/>
      <c r="D2300" t="inlineStr">
        <is>
          <t>09423 Sachsen - Gelenau</t>
        </is>
      </c>
      <c r="E2300" s="5" t="n">
        <v>45424</v>
      </c>
      <c r="F2300" t="inlineStr">
        <is>
          <t>Sold</t>
        </is>
      </c>
      <c r="G2300" s="6">
        <f>HYPERLINK("https://www.kleinanzeigen.de/s-anzeige/rrd-passion-12-mk9-kite-orange/2760110128-230-3874", "Link")</f>
        <v/>
      </c>
      <c r="H2300" s="6">
        <f>HYPERLINK("C:\Projects\Kleinanzeigen-Scraper\offer_images\2760110128", "Link")</f>
        <v/>
      </c>
      <c r="I2300" t="inlineStr">
        <is>
          <t>ProP</t>
        </is>
      </c>
      <c r="J2300" s="6">
        <f>HYPERLINK("https://www.kleinanzeigen.de/s-bestandsliste.html?userId=4719394", "Link")</f>
        <v/>
      </c>
      <c r="K2300" s="7" t="n">
        <v>45549.57322916666</v>
      </c>
      <c r="L2300" s="3" t="inlineStr">
        <is>
          <t>303.52</t>
        </is>
      </c>
      <c r="M2300" t="inlineStr">
        <is>
          <t>München</t>
        </is>
      </c>
    </row>
    <row r="2301">
      <c r="A2301" t="inlineStr">
        <is>
          <t>Kite Ocean Rodeo Rise 7m Aluula | DLAB Dutone Evo North Orbit</t>
        </is>
      </c>
      <c r="B2301" s="4" t="n">
        <v>1</v>
      </c>
      <c r="C2301" t="inlineStr"/>
      <c r="D2301" t="inlineStr">
        <is>
          <t>22307 Hamburg-Nord - Hamburg Barmbek</t>
        </is>
      </c>
      <c r="E2301" s="5" t="n">
        <v>45538</v>
      </c>
      <c r="F2301" t="inlineStr">
        <is>
          <t>Sold</t>
        </is>
      </c>
      <c r="G2301" s="6">
        <f>HYPERLINK("https://www.kleinanzeigen.de/s-anzeige/kite-ocean-rodeo-rise-7m-aluula-dlab-dutone-evo-north-orbit/2853238711-230-9449", "Link")</f>
        <v/>
      </c>
      <c r="H2301" s="6">
        <f>HYPERLINK("C:\Projects\Kleinanzeigen-Scraper\offer_images\2853238711", "Link")</f>
        <v/>
      </c>
      <c r="I2301" t="inlineStr">
        <is>
          <t>hansekitesurfing.de</t>
        </is>
      </c>
      <c r="J2301" s="6">
        <f>HYPERLINK("https://www.kleinanzeigen.de/s-bestandsliste.html?userId=142052828", "Link")</f>
        <v/>
      </c>
      <c r="K2301" s="7" t="n">
        <v>45549.57322916666</v>
      </c>
      <c r="L2301" s="3" t="inlineStr">
        <is>
          <t>362.75</t>
        </is>
      </c>
      <c r="M2301" t="inlineStr">
        <is>
          <t>Köln</t>
        </is>
      </c>
    </row>
    <row r="2302">
      <c r="A2302" t="inlineStr">
        <is>
          <t>The North Face Rucksack orange</t>
        </is>
      </c>
      <c r="B2302" s="4" t="n">
        <v>10</v>
      </c>
      <c r="C2302" t="inlineStr">
        <is>
          <t>VB</t>
        </is>
      </c>
      <c r="D2302" t="inlineStr">
        <is>
          <t>12623 Berlin - Hellersdorf</t>
        </is>
      </c>
      <c r="E2302" s="5" t="n">
        <v>45540</v>
      </c>
      <c r="F2302" t="inlineStr">
        <is>
          <t>Sold</t>
        </is>
      </c>
      <c r="G2302" s="6">
        <f>HYPERLINK("https://www.kleinanzeigen.de/s-anzeige/the-north-face-rucksack-orange/2854900662-242-3512", "Link")</f>
        <v/>
      </c>
      <c r="H2302" s="6">
        <f>HYPERLINK("C:\Projects\Kleinanzeigen-Scraper\offer_images\2854900662", "Link")</f>
        <v/>
      </c>
      <c r="I2302" t="inlineStr">
        <is>
          <t>Mel</t>
        </is>
      </c>
      <c r="J2302" s="6">
        <f>HYPERLINK("https://www.kleinanzeigen.de/s-bestandsliste.html?userId=3011464", "Link")</f>
        <v/>
      </c>
      <c r="K2302" s="7" t="n">
        <v>45549.57320601852</v>
      </c>
      <c r="L2302" s="3" t="inlineStr">
        <is>
          <t>490.00</t>
        </is>
      </c>
      <c r="M2302" t="inlineStr">
        <is>
          <t>Köln</t>
        </is>
      </c>
    </row>
    <row r="2303">
      <c r="A2303" t="inlineStr">
        <is>
          <t>Malkarton von Goya</t>
        </is>
      </c>
      <c r="B2303" s="4" t="n">
        <v>4</v>
      </c>
      <c r="C2303" t="inlineStr"/>
      <c r="D2303" t="inlineStr">
        <is>
          <t>80995 Feldmoching-Hasenbergl - Feldmoching</t>
        </is>
      </c>
      <c r="E2303" s="5" t="n">
        <v>45516</v>
      </c>
      <c r="F2303" t="inlineStr">
        <is>
          <t>Sold</t>
        </is>
      </c>
      <c r="G2303" s="6">
        <f>HYPERLINK("https://www.kleinanzeigen.de/s-anzeige/malkarton-von-goya/2835170208-282-6448", "Link")</f>
        <v/>
      </c>
      <c r="H2303" s="6">
        <f>HYPERLINK("C:\Projects\Kleinanzeigen-Scraper\offer_images\2835170208", "Link")</f>
        <v/>
      </c>
      <c r="I2303" t="inlineStr">
        <is>
          <t>Barbara R.</t>
        </is>
      </c>
      <c r="J2303" s="6">
        <f>HYPERLINK("https://www.kleinanzeigen.de/s-bestandsliste.html?userId=56624058", "Link")</f>
        <v/>
      </c>
      <c r="K2303" s="7" t="n">
        <v>45549.57320601852</v>
      </c>
      <c r="L2303" s="3" t="inlineStr">
        <is>
          <t>9.47</t>
        </is>
      </c>
      <c r="M2303" t="inlineStr">
        <is>
          <t>München</t>
        </is>
      </c>
    </row>
    <row r="2304">
      <c r="A2304" t="inlineStr">
        <is>
          <t>Wing Foil Fanatic Aero Glide 1085 / 2024er</t>
        </is>
      </c>
      <c r="B2304" s="4" t="n">
        <v>330</v>
      </c>
      <c r="C2304" t="inlineStr"/>
      <c r="D2304" t="inlineStr">
        <is>
          <t>85435 Bayern - Erding</t>
        </is>
      </c>
      <c r="E2304" s="5" t="n">
        <v>45547</v>
      </c>
      <c r="F2304" t="inlineStr">
        <is>
          <t>Sold</t>
        </is>
      </c>
      <c r="G2304" s="6">
        <f>HYPERLINK("https://www.kleinanzeigen.de/s-anzeige/wing-foil-fanatic-aero-glide-1085-2024er/2860937575-230-6080", "Link")</f>
        <v/>
      </c>
      <c r="H2304" s="6">
        <f>HYPERLINK("C:\Projects\Kleinanzeigen-Scraper\offer_images\2860937575", "Link")</f>
        <v/>
      </c>
      <c r="I2304" t="inlineStr">
        <is>
          <t>Swen</t>
        </is>
      </c>
      <c r="J2304" s="6">
        <f>HYPERLINK("https://www.kleinanzeigen.de/s-bestandsliste.html?userId=25744411", "Link")</f>
        <v/>
      </c>
      <c r="K2304" s="7" t="n">
        <v>45549.57319444444</v>
      </c>
      <c r="L2304" s="3" t="inlineStr">
        <is>
          <t>32.53</t>
        </is>
      </c>
      <c r="M2304" t="inlineStr">
        <is>
          <t>München</t>
        </is>
      </c>
    </row>
    <row r="2305">
      <c r="A2305" t="inlineStr">
        <is>
          <t>NeilPryde Neoprenanzug 3000Serie Gr14</t>
        </is>
      </c>
      <c r="B2305" s="4" t="n">
        <v>50</v>
      </c>
      <c r="C2305" t="inlineStr"/>
      <c r="D2305" t="inlineStr">
        <is>
          <t>31234 Niedersachsen - Edemissen</t>
        </is>
      </c>
      <c r="E2305" s="5" t="n">
        <v>45511</v>
      </c>
      <c r="F2305" t="inlineStr">
        <is>
          <t>Sold</t>
        </is>
      </c>
      <c r="G2305" s="6">
        <f>HYPERLINK("https://www.kleinanzeigen.de/s-anzeige/neilpryde-neoprenanzug-3000serie-gr14/2831432136-230-2673", "Link")</f>
        <v/>
      </c>
      <c r="H2305" s="6">
        <f>HYPERLINK("C:\Projects\Kleinanzeigen-Scraper\offer_images\2831432136", "Link")</f>
        <v/>
      </c>
      <c r="I2305" t="inlineStr">
        <is>
          <t>Sascha</t>
        </is>
      </c>
      <c r="J2305" s="6">
        <f>HYPERLINK("https://www.kleinanzeigen.de/s-bestandsliste.html?userId=12871590", "Link")</f>
        <v/>
      </c>
      <c r="K2305" s="7" t="n">
        <v>45549.57318287037</v>
      </c>
      <c r="L2305" s="3" t="inlineStr">
        <is>
          <t>283.16</t>
        </is>
      </c>
      <c r="M2305" t="inlineStr">
        <is>
          <t>Köln</t>
        </is>
      </c>
    </row>
    <row r="2306">
      <c r="A2306" t="inlineStr">
        <is>
          <t>Duotone Rebel 9qm Bigair Kite 2021</t>
        </is>
      </c>
      <c r="B2306" s="4" t="n">
        <v>690</v>
      </c>
      <c r="C2306" t="inlineStr">
        <is>
          <t>VB</t>
        </is>
      </c>
      <c r="D2306" t="inlineStr">
        <is>
          <t>34560 Hessen - Fritzlar</t>
        </is>
      </c>
      <c r="E2306" s="5" t="n">
        <v>45548</v>
      </c>
      <c r="F2306" t="inlineStr">
        <is>
          <t>Sold</t>
        </is>
      </c>
      <c r="G2306" s="6">
        <f>HYPERLINK("https://www.kleinanzeigen.de/s-anzeige/duotone-rebel-9qm-bigair-kite-2021/2861956686-230-4751", "Link")</f>
        <v/>
      </c>
      <c r="H2306" s="6">
        <f>HYPERLINK("C:\Projects\Kleinanzeigen-Scraper\offer_images\2861956686", "Link")</f>
        <v/>
      </c>
      <c r="I2306" t="inlineStr">
        <is>
          <t>Malte Gottschalk</t>
        </is>
      </c>
      <c r="J2306" s="6">
        <f>HYPERLINK("https://www.kleinanzeigen.de/s-bestandsliste.html?userId=56718143", "Link")</f>
        <v/>
      </c>
      <c r="K2306" s="7" t="n">
        <v>45549.57318287037</v>
      </c>
      <c r="L2306" s="3" t="inlineStr">
        <is>
          <t>162.41</t>
        </is>
      </c>
      <c r="M2306" t="inlineStr">
        <is>
          <t>Köln</t>
        </is>
      </c>
    </row>
    <row r="2307">
      <c r="A2307" t="inlineStr">
        <is>
          <t>THE NORTH FACE Duffel Base Camp</t>
        </is>
      </c>
      <c r="B2307" s="4" t="n">
        <v>90</v>
      </c>
      <c r="C2307" t="inlineStr"/>
      <c r="D2307" t="inlineStr">
        <is>
          <t>80804 München - Schwabing-West</t>
        </is>
      </c>
      <c r="E2307" s="5" t="n">
        <v>45542</v>
      </c>
      <c r="F2307" t="inlineStr">
        <is>
          <t>Sold</t>
        </is>
      </c>
      <c r="G2307" s="6">
        <f>HYPERLINK("https://www.kleinanzeigen.de/s-anzeige/the-north-face-duffel-base-camp/2856813865-230-6465", "Link")</f>
        <v/>
      </c>
      <c r="H2307" s="6">
        <f>HYPERLINK("C:\Projects\Kleinanzeigen-Scraper\offer_images\2856813865", "Link")</f>
        <v/>
      </c>
      <c r="I2307" t="inlineStr">
        <is>
          <t>Peggy Herzog</t>
        </is>
      </c>
      <c r="J2307" s="6">
        <f>HYPERLINK("https://www.kleinanzeigen.de/s-bestandsliste.html?userId=59210491", "Link")</f>
        <v/>
      </c>
      <c r="K2307" s="7" t="n">
        <v>45549.57315972223</v>
      </c>
      <c r="L2307" s="3" t="inlineStr">
        <is>
          <t>3.78</t>
        </is>
      </c>
      <c r="M2307" t="inlineStr">
        <is>
          <t>München</t>
        </is>
      </c>
    </row>
    <row r="2308">
      <c r="A2308" t="inlineStr">
        <is>
          <t>Starboard Foil Fuselage 75 cm, Freeride, GT</t>
        </is>
      </c>
      <c r="B2308" s="4" t="n">
        <v>43</v>
      </c>
      <c r="C2308" t="inlineStr"/>
      <c r="D2308" t="inlineStr">
        <is>
          <t>39114 Sachsen-Anhalt - Magdeburg</t>
        </is>
      </c>
      <c r="E2308" s="5" t="n">
        <v>45514</v>
      </c>
      <c r="F2308" t="inlineStr">
        <is>
          <t>Sold</t>
        </is>
      </c>
      <c r="G2308" s="6">
        <f>HYPERLINK("https://www.kleinanzeigen.de/s-anzeige/starboard-foil-fuselage-75-cm-freeride-gt/2833307800-230-2233", "Link")</f>
        <v/>
      </c>
      <c r="H2308" s="6">
        <f>HYPERLINK("C:\Projects\Kleinanzeigen-Scraper\offer_images\2833307800", "Link")</f>
        <v/>
      </c>
      <c r="I2308" t="inlineStr">
        <is>
          <t>Wolfgang Hesse</t>
        </is>
      </c>
      <c r="J2308" s="6">
        <f>HYPERLINK("https://www.kleinanzeigen.de/s-bestandsliste.html?userId=2349332", "Link")</f>
        <v/>
      </c>
      <c r="K2308" s="7" t="n">
        <v>45549.57313657407</v>
      </c>
      <c r="L2308" s="3" t="inlineStr">
        <is>
          <t>352.79</t>
        </is>
      </c>
      <c r="M2308" t="inlineStr">
        <is>
          <t>Köln</t>
        </is>
      </c>
    </row>
    <row r="2309">
      <c r="A2309" t="inlineStr">
        <is>
          <t>North Kitebar 27m 4 Liner "North Trust Bar Quad"</t>
        </is>
      </c>
      <c r="B2309" s="4" t="n">
        <v>249</v>
      </c>
      <c r="C2309" t="inlineStr"/>
      <c r="D2309" t="inlineStr">
        <is>
          <t>18119 Rostock - Seebad Warnemünde</t>
        </is>
      </c>
      <c r="E2309" s="5" t="n">
        <v>45537</v>
      </c>
      <c r="F2309" t="inlineStr">
        <is>
          <t>Sold</t>
        </is>
      </c>
      <c r="G2309" s="6">
        <f>HYPERLINK("https://www.kleinanzeigen.de/s-anzeige/north-kitebar-27m-4-liner-north-trust-bar-quad-/2852242109-230-143", "Link")</f>
        <v/>
      </c>
      <c r="H2309" s="6">
        <f>HYPERLINK("C:\Projects\Kleinanzeigen-Scraper\offer_images\2852242109", "Link")</f>
        <v/>
      </c>
      <c r="I2309" t="inlineStr">
        <is>
          <t>Per</t>
        </is>
      </c>
      <c r="J2309" s="6">
        <f>HYPERLINK("https://www.kleinanzeigen.de/s-bestandsliste.html?userId=47470891", "Link")</f>
        <v/>
      </c>
      <c r="K2309" s="7" t="n">
        <v>45549.57313657407</v>
      </c>
      <c r="L2309" s="3" t="inlineStr">
        <is>
          <t>499.62</t>
        </is>
      </c>
      <c r="M2309" t="inlineStr">
        <is>
          <t>Köln</t>
        </is>
      </c>
    </row>
    <row r="2310">
      <c r="A2310" t="inlineStr">
        <is>
          <t>RRD Kite 9m² PASSION MK9 Sehr guter Zustand, keine Beschädigungen</t>
        </is>
      </c>
      <c r="B2310" s="4" t="n">
        <v>350</v>
      </c>
      <c r="C2310" t="inlineStr"/>
      <c r="D2310" t="inlineStr">
        <is>
          <t>09423 Sachsen - Gelenau</t>
        </is>
      </c>
      <c r="E2310" s="5" t="n">
        <v>45423</v>
      </c>
      <c r="F2310" t="inlineStr">
        <is>
          <t>Sold</t>
        </is>
      </c>
      <c r="G2310" s="6">
        <f>HYPERLINK("https://www.kleinanzeigen.de/s-anzeige/rrd-kite-9m-passion-mk9-sehr-guter-zustand-keine-beschaedigungen/2759203373-230-3874", "Link")</f>
        <v/>
      </c>
      <c r="H2310" s="6">
        <f>HYPERLINK("C:\Projects\Kleinanzeigen-Scraper\offer_images\2759203373", "Link")</f>
        <v/>
      </c>
      <c r="I2310" t="inlineStr">
        <is>
          <t>ProP</t>
        </is>
      </c>
      <c r="J2310" s="6">
        <f>HYPERLINK("https://www.kleinanzeigen.de/s-bestandsliste.html?userId=4719394", "Link")</f>
        <v/>
      </c>
      <c r="K2310" s="7" t="n">
        <v>45549.57313657407</v>
      </c>
      <c r="L2310" s="3" t="inlineStr">
        <is>
          <t>303.52</t>
        </is>
      </c>
      <c r="M2310" t="inlineStr">
        <is>
          <t>München</t>
        </is>
      </c>
    </row>
    <row r="2311">
      <c r="A2311" t="inlineStr">
        <is>
          <t>Nitro Vandal Snowboardschuhe Gr. 44</t>
        </is>
      </c>
      <c r="B2311" s="4" t="n">
        <v>60</v>
      </c>
      <c r="C2311" t="inlineStr">
        <is>
          <t>VB</t>
        </is>
      </c>
      <c r="D2311" t="inlineStr">
        <is>
          <t>65329 Hessen - Hohenstein</t>
        </is>
      </c>
      <c r="E2311" s="5" t="n">
        <v>45375</v>
      </c>
      <c r="F2311" t="inlineStr"/>
      <c r="G2311" s="6">
        <f>HYPERLINK("https://www.kleinanzeigen.de/s-anzeige/nitro-vandal-snowboardschuhe-gr-44/2715769185-230-4917", "Link")</f>
        <v/>
      </c>
      <c r="H2311" s="6">
        <f>HYPERLINK("C:\Projects\Kleinanzeigen-Scraper\offer_images\2715769185", "Link")</f>
        <v/>
      </c>
      <c r="I2311" t="inlineStr">
        <is>
          <t>Carina</t>
        </is>
      </c>
      <c r="J2311" s="6">
        <f>HYPERLINK("https://www.kleinanzeigen.de/s-bestandsliste.html?userId=3109538", "Link")</f>
        <v/>
      </c>
      <c r="K2311" s="7" t="n">
        <v>45549.57313657407</v>
      </c>
      <c r="L2311" s="3" t="inlineStr">
        <is>
          <t>115.32</t>
        </is>
      </c>
      <c r="M2311" t="inlineStr">
        <is>
          <t>Köln</t>
        </is>
      </c>
    </row>
    <row r="2312">
      <c r="A2312" t="inlineStr">
        <is>
          <t>VANDAL Rucksack für inflatable/aufblasbares SUP</t>
        </is>
      </c>
      <c r="B2312" s="4" t="n">
        <v>22</v>
      </c>
      <c r="C2312" t="inlineStr">
        <is>
          <t>VB</t>
        </is>
      </c>
      <c r="D2312" t="inlineStr">
        <is>
          <t>21465 Herzogtum Lauenburg - Wentorf</t>
        </is>
      </c>
      <c r="E2312" s="5" t="n">
        <v>45422</v>
      </c>
      <c r="F2312" t="inlineStr"/>
      <c r="G2312" s="6">
        <f>HYPERLINK("https://www.kleinanzeigen.de/s-anzeige/vandal-rucksack-fuer-inflatable-aufblasbares-sup/2758150454-187-766", "Link")</f>
        <v/>
      </c>
      <c r="H2312" s="6">
        <f>HYPERLINK("C:\Projects\Kleinanzeigen-Scraper\offer_images\2758150454", "Link")</f>
        <v/>
      </c>
      <c r="I2312" t="inlineStr">
        <is>
          <t>Denz</t>
        </is>
      </c>
      <c r="J2312" s="6">
        <f>HYPERLINK("https://www.kleinanzeigen.de/s-bestandsliste.html?userId=4189532", "Link")</f>
        <v/>
      </c>
      <c r="K2312" s="7" t="n">
        <v>45549.57313657407</v>
      </c>
      <c r="L2312" s="3" t="inlineStr">
        <is>
          <t>366.85</t>
        </is>
      </c>
      <c r="M2312" t="inlineStr">
        <is>
          <t>Köln</t>
        </is>
      </c>
    </row>
    <row r="2313">
      <c r="A2313" t="inlineStr">
        <is>
          <t>SUMMER SALE: JP Australia SUP Boards zum Discountpreis</t>
        </is>
      </c>
      <c r="B2313" s="4" t="n">
        <v>269</v>
      </c>
      <c r="C2313" t="inlineStr"/>
      <c r="D2313" t="inlineStr">
        <is>
          <t>57489 Nordrhein-Westfalen - Drolshagen</t>
        </is>
      </c>
      <c r="E2313" s="5" t="n">
        <v>45516</v>
      </c>
      <c r="F2313" t="inlineStr"/>
      <c r="G2313" s="6">
        <f>HYPERLINK("https://www.kleinanzeigen.de/s-anzeige/summer-sale-jp-australia-sup-boards-zum-discountpreis/2834952074-230-1530", "Link")</f>
        <v/>
      </c>
      <c r="H2313" s="6">
        <f>HYPERLINK("C:\Projects\Kleinanzeigen-Scraper\offer_images\2834952074", "Link")</f>
        <v/>
      </c>
      <c r="I2313" t="inlineStr">
        <is>
          <t>key2fun</t>
        </is>
      </c>
      <c r="J2313" s="6">
        <f>HYPERLINK("https://www.kleinanzeigen.de/s-bestandsliste.html?userId=68821592", "Link")</f>
        <v/>
      </c>
      <c r="K2313" s="7" t="n">
        <v>45549.573125</v>
      </c>
      <c r="L2313" s="3" t="inlineStr">
        <is>
          <t>58.85</t>
        </is>
      </c>
      <c r="M2313" t="inlineStr">
        <is>
          <t>Köln</t>
        </is>
      </c>
    </row>
    <row r="2314">
      <c r="A2314" t="inlineStr">
        <is>
          <t>Kite 6er, Duotone Neo SLS,  ***NEU***  Saison 2023</t>
        </is>
      </c>
      <c r="B2314" s="4" t="n">
        <v>900</v>
      </c>
      <c r="C2314" t="inlineStr"/>
      <c r="D2314" t="inlineStr">
        <is>
          <t>81249 Aubing-Lochhausen-Langwied - Aubing</t>
        </is>
      </c>
      <c r="E2314" s="5" t="n">
        <v>45545</v>
      </c>
      <c r="F2314" t="inlineStr">
        <is>
          <t>Sold</t>
        </is>
      </c>
      <c r="G2314" s="6">
        <f>HYPERLINK("https://www.kleinanzeigen.de/s-anzeige/kite-6er-duotone-neo-sls-neu-saison-2023/2859480202-230-6477", "Link")</f>
        <v/>
      </c>
      <c r="H2314" s="6">
        <f>HYPERLINK("C:\Projects\Kleinanzeigen-Scraper\offer_images\2859480202", "Link")</f>
        <v/>
      </c>
      <c r="I2314" t="inlineStr">
        <is>
          <t>Brigitte</t>
        </is>
      </c>
      <c r="J2314" s="6">
        <f>HYPERLINK("https://www.kleinanzeigen.de/s-bestandsliste.html?userId=40337970", "Link")</f>
        <v/>
      </c>
      <c r="K2314" s="7" t="n">
        <v>45549.573125</v>
      </c>
      <c r="L2314" s="3" t="inlineStr">
        <is>
          <t>13.54</t>
        </is>
      </c>
      <c r="M2314" t="inlineStr">
        <is>
          <t>München</t>
        </is>
      </c>
    </row>
    <row r="2315">
      <c r="A2315" t="inlineStr">
        <is>
          <t>North Sonar s208 Backwing</t>
        </is>
      </c>
      <c r="B2315" s="4" t="n">
        <v>120</v>
      </c>
      <c r="C2315" t="inlineStr">
        <is>
          <t>VB</t>
        </is>
      </c>
      <c r="D2315" t="inlineStr">
        <is>
          <t>23701 Kreis Ostholstein - Süsel</t>
        </is>
      </c>
      <c r="E2315" s="5" t="n">
        <v>45548</v>
      </c>
      <c r="F2315" t="inlineStr">
        <is>
          <t>Sold</t>
        </is>
      </c>
      <c r="G2315" s="6">
        <f>HYPERLINK("https://www.kleinanzeigen.de/s-anzeige/north-sonar-s208-backwing/2861819631-230-460", "Link")</f>
        <v/>
      </c>
      <c r="H2315" s="6">
        <f>HYPERLINK("C:\Projects\Kleinanzeigen-Scraper\offer_images\2861819631", "Link")</f>
        <v/>
      </c>
      <c r="I2315" t="inlineStr">
        <is>
          <t>Johann Sach</t>
        </is>
      </c>
      <c r="J2315" s="6">
        <f>HYPERLINK("https://www.kleinanzeigen.de/s-bestandsliste.html?userId=128487176", "Link")</f>
        <v/>
      </c>
      <c r="K2315" s="7" t="n">
        <v>45549.57311342593</v>
      </c>
      <c r="L2315" s="3" t="inlineStr">
        <is>
          <t>431.90</t>
        </is>
      </c>
      <c r="M2315" t="inlineStr">
        <is>
          <t>Köln</t>
        </is>
      </c>
    </row>
    <row r="2316">
      <c r="A2316" t="inlineStr">
        <is>
          <t>Verkaufe 7qm Kite "RRD Obsession MK9"</t>
        </is>
      </c>
      <c r="B2316" s="4" t="n">
        <v>300</v>
      </c>
      <c r="C2316" t="inlineStr"/>
      <c r="D2316" t="inlineStr">
        <is>
          <t>18057 Rostock - Hansaviertel</t>
        </is>
      </c>
      <c r="E2316" s="5" t="n">
        <v>45369</v>
      </c>
      <c r="F2316" t="inlineStr">
        <is>
          <t>Sold</t>
        </is>
      </c>
      <c r="G2316" s="6">
        <f>HYPERLINK("https://www.kleinanzeigen.de/s-anzeige/verkaufe-7qm-kite-rrd-obsession-mk9-/2709749088-230-9533", "Link")</f>
        <v/>
      </c>
      <c r="H2316" s="6">
        <f>HYPERLINK("C:\Projects\Kleinanzeigen-Scraper\offer_images\2709749088", "Link")</f>
        <v/>
      </c>
      <c r="I2316" t="inlineStr">
        <is>
          <t>Mathias</t>
        </is>
      </c>
      <c r="J2316" s="6">
        <f>HYPERLINK("https://www.kleinanzeigen.de/s-bestandsliste.html?userId=9319129", "Link")</f>
        <v/>
      </c>
      <c r="K2316" s="7" t="n">
        <v>45549.57311342593</v>
      </c>
      <c r="L2316" s="3" t="inlineStr">
        <is>
          <t>494.07</t>
        </is>
      </c>
      <c r="M2316" t="inlineStr">
        <is>
          <t>Köln</t>
        </is>
      </c>
    </row>
    <row r="2317">
      <c r="A2317" t="inlineStr">
        <is>
          <t>Naish Phoenix 8 2023 | Wie Neu</t>
        </is>
      </c>
      <c r="B2317" s="4" t="n">
        <v>500</v>
      </c>
      <c r="C2317" t="inlineStr">
        <is>
          <t>VB</t>
        </is>
      </c>
      <c r="D2317" t="inlineStr">
        <is>
          <t>47877 Nordrhein-Westfalen - Willich</t>
        </is>
      </c>
      <c r="E2317" s="5" t="n">
        <v>45516</v>
      </c>
      <c r="F2317" t="inlineStr"/>
      <c r="G2317" s="6">
        <f>HYPERLINK("https://www.kleinanzeigen.de/s-anzeige/naish-phoenix-8-2023-wie-neu/2834946231-230-1918", "Link")</f>
        <v/>
      </c>
      <c r="H2317" s="6">
        <f>HYPERLINK("C:\Projects\Kleinanzeigen-Scraper\offer_images\2834946231", "Link")</f>
        <v/>
      </c>
      <c r="I2317" t="inlineStr">
        <is>
          <t>Simon</t>
        </is>
      </c>
      <c r="J2317" s="6">
        <f>HYPERLINK("https://www.kleinanzeigen.de/s-bestandsliste.html?userId=69293211", "Link")</f>
        <v/>
      </c>
      <c r="K2317" s="7" t="n">
        <v>45549.57311342593</v>
      </c>
      <c r="L2317" s="3" t="inlineStr">
        <is>
          <t>47.48</t>
        </is>
      </c>
      <c r="M2317" t="inlineStr">
        <is>
          <t>Köln</t>
        </is>
      </c>
    </row>
    <row r="2318">
      <c r="A2318" t="inlineStr">
        <is>
          <t>Fuselage Fanatic AL 900</t>
        </is>
      </c>
      <c r="B2318" s="4" t="n">
        <v>60</v>
      </c>
      <c r="C2318" t="inlineStr">
        <is>
          <t>VB</t>
        </is>
      </c>
      <c r="D2318" t="inlineStr">
        <is>
          <t>01159 Dresden - Cotta</t>
        </is>
      </c>
      <c r="E2318" s="5" t="n">
        <v>45521</v>
      </c>
      <c r="F2318" t="inlineStr">
        <is>
          <t>Sold</t>
        </is>
      </c>
      <c r="G2318" s="6">
        <f>HYPERLINK("https://www.kleinanzeigen.de/s-anzeige/fuselage-fanatic-al-900/2839409255-230-3848", "Link")</f>
        <v/>
      </c>
      <c r="H2318" s="6">
        <f>HYPERLINK("C:\Projects\Kleinanzeigen-Scraper\offer_images\2839409255", "Link")</f>
        <v/>
      </c>
      <c r="I2318" t="inlineStr">
        <is>
          <t>Ke</t>
        </is>
      </c>
      <c r="J2318" s="6">
        <f>HYPERLINK("https://www.kleinanzeigen.de/s-bestandsliste.html?userId=5004533", "Link")</f>
        <v/>
      </c>
      <c r="K2318" s="7" t="n">
        <v>45549.57311342593</v>
      </c>
      <c r="L2318" s="3" t="inlineStr">
        <is>
          <t>357.46</t>
        </is>
      </c>
      <c r="M2318" t="inlineStr">
        <is>
          <t>München</t>
        </is>
      </c>
    </row>
    <row r="2319">
      <c r="A2319" t="inlineStr">
        <is>
          <t>RRD Wingfoil BLAZE 1850 qcm  komplett!</t>
        </is>
      </c>
      <c r="B2319" s="4" t="n">
        <v>850</v>
      </c>
      <c r="C2319" t="inlineStr">
        <is>
          <t>VB</t>
        </is>
      </c>
      <c r="D2319" t="inlineStr">
        <is>
          <t>55411 Rheinland-Pfalz - Bingen</t>
        </is>
      </c>
      <c r="E2319" s="5" t="n">
        <v>45531</v>
      </c>
      <c r="F2319" t="inlineStr">
        <is>
          <t>Sold</t>
        </is>
      </c>
      <c r="G2319" s="6">
        <f>HYPERLINK("https://www.kleinanzeigen.de/s-anzeige/rrd-wingfoil-blaze-1850-qcm-komplett-/2847871851-230-5119", "Link")</f>
        <v/>
      </c>
      <c r="H2319" s="6">
        <f>HYPERLINK("C:\Projects\Kleinanzeigen-Scraper\offer_images\2847871851", "Link")</f>
        <v/>
      </c>
      <c r="I2319" t="inlineStr">
        <is>
          <t>Christoph Gruber</t>
        </is>
      </c>
      <c r="J2319" s="6">
        <f>HYPERLINK("https://www.kleinanzeigen.de/s-bestandsliste.html?userId=29241772", "Link")</f>
        <v/>
      </c>
      <c r="K2319" s="7" t="n">
        <v>45549.57310185185</v>
      </c>
      <c r="L2319" s="3" t="inlineStr">
        <is>
          <t>109.61</t>
        </is>
      </c>
      <c r="M2319" t="inlineStr">
        <is>
          <t>Karlsruhe</t>
        </is>
      </c>
    </row>
    <row r="2320">
      <c r="A2320" t="inlineStr">
        <is>
          <t>Surfanzug Herren RRD Calsius 4/3 mm large gebraucht</t>
        </is>
      </c>
      <c r="B2320" s="4" t="n">
        <v>35</v>
      </c>
      <c r="C2320" t="inlineStr"/>
      <c r="D2320" t="inlineStr">
        <is>
          <t>20259 Eimsbüttel - Hamburg Eimsbüttel (Stadtteil)</t>
        </is>
      </c>
      <c r="E2320" s="5" t="n">
        <v>45320</v>
      </c>
      <c r="F2320" t="inlineStr"/>
      <c r="G2320" s="6">
        <f>HYPERLINK("https://www.kleinanzeigen.de/s-anzeige/surfanzug-herren-rrd-calsius-4-3-mm-large-gebraucht/2666034459-230-9427", "Link")</f>
        <v/>
      </c>
      <c r="H2320" s="6">
        <f>HYPERLINK("C:\Projects\Kleinanzeigen-Scraper\offer_images\2666034459", "Link")</f>
        <v/>
      </c>
      <c r="I2320" t="inlineStr">
        <is>
          <t>Hans - Peter Straub</t>
        </is>
      </c>
      <c r="J2320" s="6">
        <f>HYPERLINK("https://www.kleinanzeigen.de/s-bestandsliste.html?userId=14560239", "Link")</f>
        <v/>
      </c>
      <c r="K2320" s="7" t="n">
        <v>45549.57310185185</v>
      </c>
      <c r="L2320" s="3" t="inlineStr">
        <is>
          <t>356.92</t>
        </is>
      </c>
      <c r="M2320" t="inlineStr">
        <is>
          <t>Köln</t>
        </is>
      </c>
    </row>
    <row r="2321">
      <c r="A2321" t="inlineStr">
        <is>
          <t>Duotone unit dlab 2023</t>
        </is>
      </c>
      <c r="B2321" s="4" t="n">
        <v>900</v>
      </c>
      <c r="C2321" t="inlineStr"/>
      <c r="D2321" t="inlineStr">
        <is>
          <t>30655 Buchholz-Kleefeld - Hannover Groß Buchholz</t>
        </is>
      </c>
      <c r="E2321" s="5" t="n">
        <v>45545</v>
      </c>
      <c r="F2321" t="inlineStr">
        <is>
          <t>Sold</t>
        </is>
      </c>
      <c r="G2321" s="6">
        <f>HYPERLINK("https://www.kleinanzeigen.de/s-anzeige/duotone-unit-dlab-2023/2859106235-230-3156", "Link")</f>
        <v/>
      </c>
      <c r="H2321" s="6">
        <f>HYPERLINK("C:\Projects\Kleinanzeigen-Scraper\offer_images\2859106235", "Link")</f>
        <v/>
      </c>
      <c r="I2321" t="inlineStr">
        <is>
          <t>Guido</t>
        </is>
      </c>
      <c r="J2321" s="6">
        <f>HYPERLINK("https://www.kleinanzeigen.de/s-bestandsliste.html?userId=3994794", "Link")</f>
        <v/>
      </c>
      <c r="K2321" s="7" t="n">
        <v>45549.57310185185</v>
      </c>
      <c r="L2321" s="3" t="inlineStr">
        <is>
          <t>254.86</t>
        </is>
      </c>
      <c r="M2321" t="inlineStr">
        <is>
          <t>Köln</t>
        </is>
      </c>
    </row>
    <row r="2322">
      <c r="A2322" t="inlineStr">
        <is>
          <t>Duotone 2024 Rebel 12.0 qm</t>
        </is>
      </c>
      <c r="B2322" s="4" t="n">
        <v>1.65</v>
      </c>
      <c r="C2322" t="inlineStr"/>
      <c r="D2322" t="inlineStr">
        <is>
          <t>90451 Nürnberg (Mittelfr) - Aussenstadt-Sued</t>
        </is>
      </c>
      <c r="E2322" s="5" t="n">
        <v>45539</v>
      </c>
      <c r="F2322" t="inlineStr">
        <is>
          <t>Sold</t>
        </is>
      </c>
      <c r="G2322" s="6">
        <f>HYPERLINK("https://www.kleinanzeigen.de/s-anzeige/duotone-2024-rebel-12-0-qm/2853961742-230-6836", "Link")</f>
        <v/>
      </c>
      <c r="H2322" s="6">
        <f>HYPERLINK("C:\Projects\Kleinanzeigen-Scraper\offer_images\2853961742", "Link")</f>
        <v/>
      </c>
      <c r="I2322" t="inlineStr">
        <is>
          <t>No user name</t>
        </is>
      </c>
      <c r="J2322" s="6">
        <f>HYPERLINK("https://www.kleinanzeigen.deNo user link", "Link")</f>
        <v/>
      </c>
      <c r="K2322" s="7" t="n">
        <v>45549.5730787037</v>
      </c>
      <c r="L2322" s="3" t="inlineStr">
        <is>
          <t>145.92</t>
        </is>
      </c>
      <c r="M2322" t="inlineStr">
        <is>
          <t>München</t>
        </is>
      </c>
    </row>
    <row r="2323">
      <c r="A2323" t="inlineStr">
        <is>
          <t>IVV Medaille Schinderhannesturm in Simmern 1990</t>
        </is>
      </c>
      <c r="B2323" s="4" t="n">
        <v>5</v>
      </c>
      <c r="C2323" t="inlineStr">
        <is>
          <t>VB</t>
        </is>
      </c>
      <c r="D2323" t="inlineStr">
        <is>
          <t>56843 Rheinland-Pfalz - Irmenach</t>
        </is>
      </c>
      <c r="E2323" s="5" t="n">
        <v>42870</v>
      </c>
      <c r="F2323" t="inlineStr"/>
      <c r="G2323" s="6">
        <f>HYPERLINK("https://www.kleinanzeigen.de/s-anzeige/ivv-medaille-schinderhannesturm-in-simmern-1990/652504250-234-22663", "Link")</f>
        <v/>
      </c>
      <c r="H2323" s="6">
        <f>HYPERLINK("C:\Projects\Kleinanzeigen-Scraper\offer_images\652504250", "Link")</f>
        <v/>
      </c>
      <c r="I2323" t="inlineStr">
        <is>
          <t>HWF</t>
        </is>
      </c>
      <c r="J2323" s="6">
        <f>HYPERLINK("https://www.kleinanzeigen.de/s-bestandsliste.html?userId=879282", "Link")</f>
        <v/>
      </c>
      <c r="K2323" s="7" t="n">
        <v>45549.5730787037</v>
      </c>
      <c r="L2323" s="3" t="inlineStr">
        <is>
          <t>113.53</t>
        </is>
      </c>
      <c r="M2323" t="inlineStr">
        <is>
          <t>Köln</t>
        </is>
      </c>
    </row>
    <row r="2324">
      <c r="A2324" t="inlineStr">
        <is>
          <t>Portugal: 20 Duotone-Postkarten von Susanne Casper-Zielonka</t>
        </is>
      </c>
      <c r="B2324" s="4" t="n">
        <v>12</v>
      </c>
      <c r="C2324" t="inlineStr"/>
      <c r="D2324" t="inlineStr">
        <is>
          <t>72810 Baden-Württemberg - Gomaringen</t>
        </is>
      </c>
      <c r="E2324" s="5" t="n">
        <v>45547</v>
      </c>
      <c r="F2324" t="inlineStr">
        <is>
          <t>Sold</t>
        </is>
      </c>
      <c r="G2324" s="6">
        <f>HYPERLINK("https://www.kleinanzeigen.de/s-anzeige/portugal-20-duotone-postkarten-von-susanne-casper-zielonka/2861418230-234-8008", "Link")</f>
        <v/>
      </c>
      <c r="H2324" s="6">
        <f>HYPERLINK("C:\Projects\Kleinanzeigen-Scraper\offer_images\2861418230", "Link")</f>
        <v/>
      </c>
      <c r="I2324" t="inlineStr">
        <is>
          <t>Veronika</t>
        </is>
      </c>
      <c r="J2324" s="6">
        <f>HYPERLINK("https://www.kleinanzeigen.de/s-bestandsliste.html?userId=130240331", "Link")</f>
        <v/>
      </c>
      <c r="K2324" s="7" t="n">
        <v>45549.5730787037</v>
      </c>
      <c r="L2324" s="3" t="inlineStr">
        <is>
          <t>26.15</t>
        </is>
      </c>
      <c r="M2324" t="inlineStr">
        <is>
          <t>Böblingen</t>
        </is>
      </c>
    </row>
    <row r="2325">
      <c r="A2325" t="inlineStr">
        <is>
          <t>Gun Sails Sessionbag Segel/Gabel/Mast Transporttasche mit Rollen</t>
        </is>
      </c>
      <c r="B2325" s="4" t="n">
        <v>50</v>
      </c>
      <c r="C2325" t="inlineStr"/>
      <c r="D2325" t="inlineStr">
        <is>
          <t>71332 Baden-Württemberg - Waiblingen</t>
        </is>
      </c>
      <c r="E2325" s="5" t="n">
        <v>45380</v>
      </c>
      <c r="F2325" t="inlineStr">
        <is>
          <t>Sold</t>
        </is>
      </c>
      <c r="G2325" s="6">
        <f>HYPERLINK("https://www.kleinanzeigen.de/s-anzeige/gun-sails-sessionbag-segel-gabel-mast-transporttasche-mit-rollen/2720023802-230-9044", "Link")</f>
        <v/>
      </c>
      <c r="H2325" s="6">
        <f>HYPERLINK("C:\Projects\Kleinanzeigen-Scraper\offer_images\2720023802", "Link")</f>
        <v/>
      </c>
      <c r="I2325" t="inlineStr">
        <is>
          <t>RT</t>
        </is>
      </c>
      <c r="J2325" s="6">
        <f>HYPERLINK("https://www.kleinanzeigen.de/s-bestandsliste.html?userId=65028784", "Link")</f>
        <v/>
      </c>
      <c r="K2325" s="7" t="n">
        <v>45549.5730787037</v>
      </c>
      <c r="L2325" s="3" t="inlineStr">
        <is>
          <t>29.10</t>
        </is>
      </c>
      <c r="M2325" t="inlineStr">
        <is>
          <t>Böblingen</t>
        </is>
      </c>
    </row>
    <row r="2326">
      <c r="A2326" t="inlineStr">
        <is>
          <t>Duotone Tubekite Evo D/LAB C09:dark-grey 2024 9.0 qm</t>
        </is>
      </c>
      <c r="B2326" s="4" t="n">
        <v>1.799</v>
      </c>
      <c r="C2326" t="inlineStr">
        <is>
          <t>VB</t>
        </is>
      </c>
      <c r="D2326" t="inlineStr">
        <is>
          <t>26125 Niedersachsen - Oldenburg</t>
        </is>
      </c>
      <c r="E2326" s="5" t="n">
        <v>45545</v>
      </c>
      <c r="F2326" t="inlineStr">
        <is>
          <t>Sold</t>
        </is>
      </c>
      <c r="G2326" s="6">
        <f>HYPERLINK("https://www.kleinanzeigen.de/s-anzeige/duotone-tubekite-evo-d-lab-c09-dark-grey-2024-9-0-qm/2859568682-230-3111", "Link")</f>
        <v/>
      </c>
      <c r="H2326" s="6">
        <f>HYPERLINK("C:\Projects\Kleinanzeigen-Scraper\offer_images\2859568682", "Link")</f>
        <v/>
      </c>
      <c r="I2326" t="inlineStr">
        <is>
          <t>No user name</t>
        </is>
      </c>
      <c r="J2326" s="6">
        <f>HYPERLINK("https://www.kleinanzeigen.deNo user link", "Link")</f>
        <v/>
      </c>
      <c r="K2326" s="7" t="n">
        <v>45549.57305555556</v>
      </c>
      <c r="L2326" s="3" t="inlineStr">
        <is>
          <t>264.10</t>
        </is>
      </c>
      <c r="M2326" t="inlineStr">
        <is>
          <t>Köln</t>
        </is>
      </c>
    </row>
    <row r="2327">
      <c r="A2327" t="inlineStr">
        <is>
          <t>Windsurfboard Fanatic</t>
        </is>
      </c>
      <c r="B2327" s="4" t="n">
        <v>34</v>
      </c>
      <c r="C2327" t="inlineStr"/>
      <c r="D2327" t="inlineStr">
        <is>
          <t>99734 Thüringen - Nordhausen</t>
        </is>
      </c>
      <c r="E2327" s="5" t="n">
        <v>45516</v>
      </c>
      <c r="F2327" t="inlineStr">
        <is>
          <t>Sold</t>
        </is>
      </c>
      <c r="G2327" s="6">
        <f>HYPERLINK("https://www.kleinanzeigen.de/s-anzeige/windsurfboard-fanatic/2835444552-230-3582", "Link")</f>
        <v/>
      </c>
      <c r="H2327" s="6">
        <f>HYPERLINK("C:\Projects\Kleinanzeigen-Scraper\offer_images\2835444552", "Link")</f>
        <v/>
      </c>
      <c r="I2327" t="inlineStr">
        <is>
          <t>Thomas</t>
        </is>
      </c>
      <c r="J2327" s="6">
        <f>HYPERLINK("https://www.kleinanzeigen.de/s-bestandsliste.html?userId=10940707", "Link")</f>
        <v/>
      </c>
      <c r="K2327" s="7" t="n">
        <v>45549.57305555556</v>
      </c>
      <c r="L2327" s="3" t="inlineStr">
        <is>
          <t>277.51</t>
        </is>
      </c>
      <c r="M2327" t="inlineStr">
        <is>
          <t>Köln</t>
        </is>
      </c>
    </row>
    <row r="2328">
      <c r="A2328" t="inlineStr">
        <is>
          <t>Sailloft QUAD 4.4</t>
        </is>
      </c>
      <c r="B2328" s="4" t="n">
        <v>130</v>
      </c>
      <c r="C2328" t="inlineStr"/>
      <c r="D2328" t="inlineStr">
        <is>
          <t>18258 Bad Doberan - Landkreis - Schwaan</t>
        </is>
      </c>
      <c r="E2328" s="5" t="n">
        <v>45499</v>
      </c>
      <c r="F2328" t="inlineStr">
        <is>
          <t>Sold</t>
        </is>
      </c>
      <c r="G2328" s="6">
        <f>HYPERLINK("https://www.kleinanzeigen.de/s-anzeige/sailloft-quad-4-4/2821249141-230-16601", "Link")</f>
        <v/>
      </c>
      <c r="H2328" s="6">
        <f>HYPERLINK("C:\Projects\Kleinanzeigen-Scraper\offer_images\2821249141", "Link")</f>
        <v/>
      </c>
      <c r="I2328" t="inlineStr">
        <is>
          <t>Robert</t>
        </is>
      </c>
      <c r="J2328" s="6">
        <f>HYPERLINK("https://www.kleinanzeigen.de/s-bestandsliste.html?userId=13811233", "Link")</f>
        <v/>
      </c>
      <c r="K2328" s="7" t="n">
        <v>45549.57305555556</v>
      </c>
      <c r="L2328" s="3" t="inlineStr">
        <is>
          <t>482.14</t>
        </is>
      </c>
      <c r="M2328" t="inlineStr">
        <is>
          <t>Köln</t>
        </is>
      </c>
    </row>
    <row r="2329">
      <c r="A2329" t="inlineStr">
        <is>
          <t>North Orbit 2025</t>
        </is>
      </c>
      <c r="B2329" s="4" t="n">
        <v>1.579</v>
      </c>
      <c r="C2329" t="inlineStr">
        <is>
          <t>VB</t>
        </is>
      </c>
      <c r="D2329" t="inlineStr">
        <is>
          <t>23769 Fehmarn - Westfehmarn</t>
        </is>
      </c>
      <c r="E2329" s="5" t="n">
        <v>45544</v>
      </c>
      <c r="F2329" t="inlineStr">
        <is>
          <t>Sold</t>
        </is>
      </c>
      <c r="G2329" s="6">
        <f>HYPERLINK("https://www.kleinanzeigen.de/s-anzeige/north-orbit-2025/2858375161-230-430", "Link")</f>
        <v/>
      </c>
      <c r="H2329" s="6">
        <f>HYPERLINK("C:\Projects\Kleinanzeigen-Scraper\offer_images\2858375161", "Link")</f>
        <v/>
      </c>
      <c r="I2329" t="inlineStr">
        <is>
          <t>No user name</t>
        </is>
      </c>
      <c r="J2329" s="6">
        <f>HYPERLINK("https://www.kleinanzeigen.deNo user link", "Link")</f>
        <v/>
      </c>
      <c r="K2329" s="7" t="n">
        <v>45549.57305555556</v>
      </c>
      <c r="L2329" s="3" t="inlineStr">
        <is>
          <t>483.01</t>
        </is>
      </c>
      <c r="M2329" t="inlineStr">
        <is>
          <t>Köln</t>
        </is>
      </c>
    </row>
    <row r="2330">
      <c r="A2330" t="inlineStr">
        <is>
          <t>Franz Xaver Simm Zeichnung</t>
        </is>
      </c>
      <c r="B2330" s="4" t="n">
        <v>100</v>
      </c>
      <c r="C2330" t="inlineStr">
        <is>
          <t>VB</t>
        </is>
      </c>
      <c r="D2330" t="inlineStr">
        <is>
          <t>82110 Bayern - Germering</t>
        </is>
      </c>
      <c r="E2330" s="5" t="n">
        <v>45227</v>
      </c>
      <c r="F2330" t="inlineStr"/>
      <c r="G2330" s="6">
        <f>HYPERLINK("https://www.kleinanzeigen.de/s-anzeige/franz-xaver-simm-zeichnung/2585772318-240-6326", "Link")</f>
        <v/>
      </c>
      <c r="H2330" s="6">
        <f>HYPERLINK("C:\Projects\Kleinanzeigen-Scraper\offer_images\2585772318", "Link")</f>
        <v/>
      </c>
      <c r="I2330" t="inlineStr">
        <is>
          <t>Jörg</t>
        </is>
      </c>
      <c r="J2330" s="6">
        <f>HYPERLINK("https://www.kleinanzeigen.de/s-bestandsliste.html?userId=6930501", "Link")</f>
        <v/>
      </c>
      <c r="K2330" s="7" t="n">
        <v>45549.57305555556</v>
      </c>
      <c r="L2330" s="3" t="inlineStr">
        <is>
          <t>16.13</t>
        </is>
      </c>
      <c r="M2330" t="inlineStr">
        <is>
          <t>München</t>
        </is>
      </c>
    </row>
    <row r="2331">
      <c r="A2331" t="inlineStr">
        <is>
          <t>F2 Windsurf Board, Wave Board</t>
        </is>
      </c>
      <c r="B2331" s="4" t="inlineStr">
        <is>
          <t>Zu verschenken</t>
        </is>
      </c>
      <c r="C2331" t="inlineStr"/>
      <c r="D2331" t="inlineStr">
        <is>
          <t>87509 Bayern - Immenstadt</t>
        </is>
      </c>
      <c r="E2331" s="5" t="n">
        <v>45547</v>
      </c>
      <c r="F2331" t="inlineStr">
        <is>
          <t>Sold</t>
        </is>
      </c>
      <c r="G2331" s="6">
        <f>HYPERLINK("https://www.kleinanzeigen.de/s-anzeige/f2-windsurf-board-wave-board/2861605517-230-5538", "Link")</f>
        <v/>
      </c>
      <c r="H2331" s="6">
        <f>HYPERLINK("C:\Projects\Kleinanzeigen-Scraper\offer_images\2861605517", "Link")</f>
        <v/>
      </c>
      <c r="I2331" t="inlineStr">
        <is>
          <t>Martin Schindele</t>
        </is>
      </c>
      <c r="J2331" s="6">
        <f>HYPERLINK("https://www.kleinanzeigen.de/s-bestandsliste.html?userId=72436809", "Link")</f>
        <v/>
      </c>
      <c r="K2331" s="7" t="n">
        <v>45549.57303240741</v>
      </c>
      <c r="L2331" s="3" t="inlineStr">
        <is>
          <t>120.75</t>
        </is>
      </c>
      <c r="M2331" t="inlineStr">
        <is>
          <t>München</t>
        </is>
      </c>
    </row>
    <row r="2332">
      <c r="A2332" t="inlineStr">
        <is>
          <t>V8 7,7 qm Segel Neilpryde , Neil pryde</t>
        </is>
      </c>
      <c r="B2332" s="4" t="n">
        <v>150</v>
      </c>
      <c r="C2332" t="inlineStr">
        <is>
          <t>VB</t>
        </is>
      </c>
      <c r="D2332" t="inlineStr">
        <is>
          <t>85051 Bayern - Ingolstadt</t>
        </is>
      </c>
      <c r="E2332" s="5" t="n">
        <v>45548</v>
      </c>
      <c r="F2332" t="inlineStr"/>
      <c r="G2332" s="6">
        <f>HYPERLINK("https://www.kleinanzeigen.de/s-anzeige/v8-7-7-qm-segel-neilpryde-neil-pryde/2861949265-230-7615", "Link")</f>
        <v/>
      </c>
      <c r="H2332" s="6">
        <f>HYPERLINK("C:\Projects\Kleinanzeigen-Scraper\offer_images\2861949265", "Link")</f>
        <v/>
      </c>
      <c r="I2332" t="inlineStr">
        <is>
          <t>Armin</t>
        </is>
      </c>
      <c r="J2332" s="6">
        <f>HYPERLINK("https://www.kleinanzeigen.de/s-bestandsliste.html?userId=11078027", "Link")</f>
        <v/>
      </c>
      <c r="K2332" s="7" t="n">
        <v>45549.57303240741</v>
      </c>
      <c r="L2332" s="3" t="inlineStr">
        <is>
          <t>67.00</t>
        </is>
      </c>
      <c r="M2332" t="inlineStr">
        <is>
          <t>München</t>
        </is>
      </c>
    </row>
    <row r="2333">
      <c r="A2333" t="inlineStr">
        <is>
          <t>Gun Sails Sunray 7,5m²</t>
        </is>
      </c>
      <c r="B2333" s="4" t="n">
        <v>60</v>
      </c>
      <c r="C2333" t="inlineStr"/>
      <c r="D2333" t="inlineStr">
        <is>
          <t>26871 Niedersachsen - Papenburg</t>
        </is>
      </c>
      <c r="E2333" s="5" t="n">
        <v>45357</v>
      </c>
      <c r="F2333" t="inlineStr"/>
      <c r="G2333" s="6">
        <f>HYPERLINK("https://www.kleinanzeigen.de/s-anzeige/gun-sails-sunray-7-5m-/2698614583-230-2769", "Link")</f>
        <v/>
      </c>
      <c r="H2333" s="6">
        <f>HYPERLINK("C:\Projects\Kleinanzeigen-Scraper\offer_images\2698614583", "Link")</f>
        <v/>
      </c>
      <c r="I2333" t="inlineStr">
        <is>
          <t>R.F.</t>
        </is>
      </c>
      <c r="J2333" s="6">
        <f>HYPERLINK("https://www.kleinanzeigen.de/s-bestandsliste.html?userId=13093548", "Link")</f>
        <v/>
      </c>
      <c r="K2333" s="7" t="n">
        <v>45549.57303240741</v>
      </c>
      <c r="L2333" s="3" t="inlineStr">
        <is>
          <t>237.08</t>
        </is>
      </c>
      <c r="M2333" t="inlineStr">
        <is>
          <t>Köln</t>
        </is>
      </c>
    </row>
    <row r="2334">
      <c r="A2334" t="inlineStr">
        <is>
          <t>NAISH PARK Kite Größe 9qm und Bar + Bag</t>
        </is>
      </c>
      <c r="B2334" s="4" t="n">
        <v>350</v>
      </c>
      <c r="C2334" t="inlineStr">
        <is>
          <t>VB</t>
        </is>
      </c>
      <c r="D2334" t="inlineStr">
        <is>
          <t>13127 Pankow - Französisch Buchholz</t>
        </is>
      </c>
      <c r="E2334" s="5" t="n">
        <v>45535</v>
      </c>
      <c r="F2334" t="inlineStr">
        <is>
          <t>Sold</t>
        </is>
      </c>
      <c r="G2334" s="6">
        <f>HYPERLINK("https://www.kleinanzeigen.de/s-anzeige/naish-park-kite-groesse-9qm-und-bar-bag/2850946828-230-26775", "Link")</f>
        <v/>
      </c>
      <c r="H2334" s="6">
        <f>HYPERLINK("C:\Projects\Kleinanzeigen-Scraper\offer_images\2850946828", "Link")</f>
        <v/>
      </c>
      <c r="I2334" t="inlineStr">
        <is>
          <t>Louis Büttner</t>
        </is>
      </c>
      <c r="J2334" s="6">
        <f>HYPERLINK("https://www.kleinanzeigen.de/s-bestandsliste.html?userId=134000578", "Link")</f>
        <v/>
      </c>
      <c r="K2334" s="7" t="n">
        <v>45549.57303240741</v>
      </c>
      <c r="L2334" s="3" t="inlineStr">
        <is>
          <t>482.48</t>
        </is>
      </c>
      <c r="M2334" t="inlineStr">
        <is>
          <t>Köln</t>
        </is>
      </c>
    </row>
    <row r="2335">
      <c r="A2335" t="inlineStr">
        <is>
          <t>RRD Zero Junior B/Z 2/2 Shorty Neoprenanzug</t>
        </is>
      </c>
      <c r="B2335" s="4" t="n">
        <v>30</v>
      </c>
      <c r="C2335" t="inlineStr"/>
      <c r="D2335" t="inlineStr">
        <is>
          <t>40670 Nordrhein-Westfalen - Meerbusch</t>
        </is>
      </c>
      <c r="E2335" s="5" t="n">
        <v>45283</v>
      </c>
      <c r="F2335" t="inlineStr">
        <is>
          <t>Sold</t>
        </is>
      </c>
      <c r="G2335" s="6">
        <f>HYPERLINK("https://www.kleinanzeigen.de/s-anzeige/rrd-zero-junior-b-z-2-2-shorty-neoprenanzug/2635651753-230-1898", "Link")</f>
        <v/>
      </c>
      <c r="H2335" s="6">
        <f>HYPERLINK("C:\Projects\Kleinanzeigen-Scraper\offer_images\2635651753", "Link")</f>
        <v/>
      </c>
      <c r="I2335" t="inlineStr">
        <is>
          <t>Madmax9999</t>
        </is>
      </c>
      <c r="J2335" s="6">
        <f>HYPERLINK("https://www.kleinanzeigen.de/s-bestandsliste.html?userId=136584649", "Link")</f>
        <v/>
      </c>
      <c r="K2335" s="7" t="n">
        <v>45549.57303240741</v>
      </c>
      <c r="L2335" s="3" t="inlineStr">
        <is>
          <t>43.54</t>
        </is>
      </c>
      <c r="M2335" t="inlineStr">
        <is>
          <t>Köln</t>
        </is>
      </c>
    </row>
    <row r="2336">
      <c r="A2336" t="inlineStr">
        <is>
          <t>HY - Wing Gun Sails</t>
        </is>
      </c>
      <c r="B2336" s="4" t="n">
        <v>199</v>
      </c>
      <c r="C2336" t="inlineStr">
        <is>
          <t>VB</t>
        </is>
      </c>
      <c r="D2336" t="inlineStr">
        <is>
          <t>29410 Sachsen-Anhalt - Salzwedel</t>
        </is>
      </c>
      <c r="E2336" s="5" t="n">
        <v>45516</v>
      </c>
      <c r="F2336" t="inlineStr">
        <is>
          <t>Sold</t>
        </is>
      </c>
      <c r="G2336" s="6">
        <f>HYPERLINK("https://www.kleinanzeigen.de/s-anzeige/hy-wing-gun-sails/2835181272-230-2352", "Link")</f>
        <v/>
      </c>
      <c r="H2336" s="6">
        <f>HYPERLINK("C:\Projects\Kleinanzeigen-Scraper\offer_images\2835181272", "Link")</f>
        <v/>
      </c>
      <c r="I2336" t="inlineStr">
        <is>
          <t>Fischer</t>
        </is>
      </c>
      <c r="J2336" s="6">
        <f>HYPERLINK("https://www.kleinanzeigen.de/s-bestandsliste.html?userId=10621363", "Link")</f>
        <v/>
      </c>
      <c r="K2336" s="7" t="n">
        <v>45549.57303240741</v>
      </c>
      <c r="L2336" s="3" t="inlineStr">
        <is>
          <t>359.91</t>
        </is>
      </c>
      <c r="M2336" t="inlineStr">
        <is>
          <t>Köln</t>
        </is>
      </c>
    </row>
    <row r="2337">
      <c r="A2337" t="inlineStr">
        <is>
          <t>HY - Wing Gun Sails</t>
        </is>
      </c>
      <c r="B2337" s="4" t="n">
        <v>199</v>
      </c>
      <c r="C2337" t="inlineStr">
        <is>
          <t>VB</t>
        </is>
      </c>
      <c r="D2337" t="inlineStr">
        <is>
          <t>29410 Sachsen-Anhalt - Salzwedel</t>
        </is>
      </c>
      <c r="E2337" s="5" t="n">
        <v>45515</v>
      </c>
      <c r="F2337" t="inlineStr">
        <is>
          <t>Sold</t>
        </is>
      </c>
      <c r="G2337" s="6">
        <f>HYPERLINK("https://www.kleinanzeigen.de/s-anzeige/hy-wing-gun-sails/2834591766-230-2352", "Link")</f>
        <v/>
      </c>
      <c r="H2337" s="6">
        <f>HYPERLINK("C:\Projects\Kleinanzeigen-Scraper\offer_images\2834591766", "Link")</f>
        <v/>
      </c>
      <c r="I2337" t="inlineStr">
        <is>
          <t>Fischer</t>
        </is>
      </c>
      <c r="J2337" s="6">
        <f>HYPERLINK("https://www.kleinanzeigen.de/s-bestandsliste.html?userId=10621363", "Link")</f>
        <v/>
      </c>
      <c r="K2337" s="7" t="n">
        <v>45549.57303240741</v>
      </c>
      <c r="L2337" s="3" t="inlineStr">
        <is>
          <t>359.91</t>
        </is>
      </c>
      <c r="M2337" t="inlineStr">
        <is>
          <t>Köln</t>
        </is>
      </c>
    </row>
    <row r="2338">
      <c r="A2338" t="inlineStr">
        <is>
          <t>Duotone Wam SLS - 5.3</t>
        </is>
      </c>
      <c r="B2338" s="4" t="n">
        <v>670</v>
      </c>
      <c r="C2338" t="inlineStr"/>
      <c r="D2338" t="inlineStr">
        <is>
          <t>86899 Bayern - Landsberg (Lech)</t>
        </is>
      </c>
      <c r="E2338" s="5" t="n">
        <v>45539</v>
      </c>
      <c r="F2338" t="inlineStr">
        <is>
          <t>Sold</t>
        </is>
      </c>
      <c r="G2338" s="6">
        <f>HYPERLINK("https://www.kleinanzeigen.de/s-anzeige/duotone-wam-sls-5-3/2854399602-230-7091", "Link")</f>
        <v/>
      </c>
      <c r="H2338" s="6">
        <f>HYPERLINK("C:\Projects\Kleinanzeigen-Scraper\offer_images\2854399602", "Link")</f>
        <v/>
      </c>
      <c r="I2338" t="inlineStr">
        <is>
          <t>Chris</t>
        </is>
      </c>
      <c r="J2338" s="6">
        <f>HYPERLINK("https://www.kleinanzeigen.de/s-bestandsliste.html?userId=16182812", "Link")</f>
        <v/>
      </c>
      <c r="K2338" s="7" t="n">
        <v>45549.57300925926</v>
      </c>
      <c r="L2338" s="3" t="inlineStr">
        <is>
          <t>55.05</t>
        </is>
      </c>
      <c r="M2338" t="inlineStr">
        <is>
          <t>München</t>
        </is>
      </c>
    </row>
    <row r="2339">
      <c r="A2339" t="inlineStr">
        <is>
          <t>RRD Avant 160-220cm RDM Gabelbaum *wind* *surf*</t>
        </is>
      </c>
      <c r="B2339" s="4" t="n">
        <v>150</v>
      </c>
      <c r="C2339" t="inlineStr">
        <is>
          <t>VB</t>
        </is>
      </c>
      <c r="D2339" t="inlineStr">
        <is>
          <t>26639 Niedersachsen - Wiesmoor</t>
        </is>
      </c>
      <c r="E2339" s="5" t="n">
        <v>45535</v>
      </c>
      <c r="F2339" t="inlineStr"/>
      <c r="G2339" s="6">
        <f>HYPERLINK("https://www.kleinanzeigen.de/s-anzeige/rrd-avant-160-220cm-rdm-gabelbaum-wind-surf-/2850513758-230-3039", "Link")</f>
        <v/>
      </c>
      <c r="H2339" s="6">
        <f>HYPERLINK("C:\Projects\Kleinanzeigen-Scraper\offer_images\2850513758", "Link")</f>
        <v/>
      </c>
      <c r="I2339" t="inlineStr">
        <is>
          <t>Till Böker</t>
        </is>
      </c>
      <c r="J2339" s="6">
        <f>HYPERLINK("https://www.kleinanzeigen.de/s-bestandsliste.html?userId=67081080", "Link")</f>
        <v/>
      </c>
      <c r="K2339" s="7" t="n">
        <v>45549.57300925926</v>
      </c>
      <c r="L2339" s="3" t="inlineStr">
        <is>
          <t>279.93</t>
        </is>
      </c>
      <c r="M2339" t="inlineStr">
        <is>
          <t>Köln</t>
        </is>
      </c>
    </row>
    <row r="2340">
      <c r="A2340" t="inlineStr">
        <is>
          <t>Severne Freek Freestyle Segel 5,2qm, neuwertig kaum benutzt, MJ22</t>
        </is>
      </c>
      <c r="B2340" s="4" t="n">
        <v>459</v>
      </c>
      <c r="C2340" t="inlineStr">
        <is>
          <t>VB</t>
        </is>
      </c>
      <c r="D2340" t="inlineStr">
        <is>
          <t>80997 München - Allach-Untermenzing</t>
        </is>
      </c>
      <c r="E2340" s="5" t="n">
        <v>45535</v>
      </c>
      <c r="F2340" t="inlineStr">
        <is>
          <t>Sold</t>
        </is>
      </c>
      <c r="G2340" s="6">
        <f>HYPERLINK("https://www.kleinanzeigen.de/s-anzeige/severne-freek-freestyle-segel-5-2qm-neuwertig-kaum-benutzt-mj22/2851030263-230-6449", "Link")</f>
        <v/>
      </c>
      <c r="H2340" s="6">
        <f>HYPERLINK("C:\Projects\Kleinanzeigen-Scraper\offer_images\2851030263", "Link")</f>
        <v/>
      </c>
      <c r="I2340" t="inlineStr">
        <is>
          <t>Markus Schröder</t>
        </is>
      </c>
      <c r="J2340" s="6">
        <f>HYPERLINK("https://www.kleinanzeigen.de/s-bestandsliste.html?userId=18093815", "Link")</f>
        <v/>
      </c>
      <c r="K2340" s="7" t="n">
        <v>45549.57300925926</v>
      </c>
      <c r="L2340" s="3" t="inlineStr">
        <is>
          <t>8.83</t>
        </is>
      </c>
      <c r="M2340" t="inlineStr">
        <is>
          <t>München</t>
        </is>
      </c>
    </row>
    <row r="2341">
      <c r="A2341" t="inlineStr">
        <is>
          <t>SUP FANATIC FLY AIR 10,4 PURE MIT PADDEL</t>
        </is>
      </c>
      <c r="B2341" s="4" t="n">
        <v>370</v>
      </c>
      <c r="C2341" t="inlineStr"/>
      <c r="D2341" t="inlineStr">
        <is>
          <t>90451 Nürnberg (Mittelfr) - Aussenstadt-Sued</t>
        </is>
      </c>
      <c r="E2341" s="5" t="n">
        <v>45544</v>
      </c>
      <c r="F2341" t="inlineStr">
        <is>
          <t>Sold</t>
        </is>
      </c>
      <c r="G2341" s="6">
        <f>HYPERLINK("https://www.kleinanzeigen.de/s-anzeige/sup-fanatic-fly-air-10-4-pure-mit-paddel/2833288747-230-6836", "Link")</f>
        <v/>
      </c>
      <c r="H2341" s="6">
        <f>HYPERLINK("C:\Projects\Kleinanzeigen-Scraper\offer_images\2833288747", "Link")</f>
        <v/>
      </c>
      <c r="I2341" t="inlineStr">
        <is>
          <t>No user name</t>
        </is>
      </c>
      <c r="J2341" s="6">
        <f>HYPERLINK("https://www.kleinanzeigen.deNo user link", "Link")</f>
        <v/>
      </c>
      <c r="K2341" s="7" t="n">
        <v>45549.57300925926</v>
      </c>
      <c r="L2341" s="3" t="inlineStr">
        <is>
          <t>145.92</t>
        </is>
      </c>
      <c r="M2341" t="inlineStr">
        <is>
          <t>München</t>
        </is>
      </c>
    </row>
    <row r="2342">
      <c r="A2342" t="inlineStr">
        <is>
          <t>Loftsails Team Edition 430 100% Carbon Mast SDM</t>
        </is>
      </c>
      <c r="B2342" s="4" t="n">
        <v>290</v>
      </c>
      <c r="C2342" t="inlineStr">
        <is>
          <t>VB</t>
        </is>
      </c>
      <c r="D2342" t="inlineStr">
        <is>
          <t>84095 Kr. Landshut - Furth</t>
        </is>
      </c>
      <c r="E2342" s="5" t="n">
        <v>45537</v>
      </c>
      <c r="F2342" t="inlineStr">
        <is>
          <t>Sold</t>
        </is>
      </c>
      <c r="G2342" s="6">
        <f>HYPERLINK("https://www.kleinanzeigen.de/s-anzeige/loftsails-team-edition-430-100-carbon-mast-sdm/2772021906-230-6398", "Link")</f>
        <v/>
      </c>
      <c r="H2342" s="6">
        <f>HYPERLINK("C:\Projects\Kleinanzeigen-Scraper\offer_images\2772021906", "Link")</f>
        <v/>
      </c>
      <c r="I2342" t="inlineStr">
        <is>
          <t>Niklas</t>
        </is>
      </c>
      <c r="J2342" s="6">
        <f>HYPERLINK("https://www.kleinanzeigen.de/s-bestandsliste.html?userId=22205576", "Link")</f>
        <v/>
      </c>
      <c r="K2342" s="7" t="n">
        <v>45549.57300925926</v>
      </c>
      <c r="L2342" s="3" t="inlineStr">
        <is>
          <t>60.37</t>
        </is>
      </c>
      <c r="M2342" t="inlineStr">
        <is>
          <t>München</t>
        </is>
      </c>
    </row>
    <row r="2343">
      <c r="A2343" t="inlineStr">
        <is>
          <t>Duotone Neo SLS 9qm 2023</t>
        </is>
      </c>
      <c r="B2343" s="4" t="n">
        <v>1.02</v>
      </c>
      <c r="C2343" t="inlineStr">
        <is>
          <t>VB</t>
        </is>
      </c>
      <c r="D2343" t="inlineStr">
        <is>
          <t>21423 Niedersachsen - Winsen (Luhe)</t>
        </is>
      </c>
      <c r="E2343" s="5" t="n">
        <v>45548</v>
      </c>
      <c r="F2343" t="inlineStr">
        <is>
          <t>Sold</t>
        </is>
      </c>
      <c r="G2343" s="6">
        <f>HYPERLINK("https://www.kleinanzeigen.de/s-anzeige/duotone-neo-sls-9qm-2023/2763007603-230-3223", "Link")</f>
        <v/>
      </c>
      <c r="H2343" s="6">
        <f>HYPERLINK("C:\Projects\Kleinanzeigen-Scraper\offer_images\2763007603", "Link")</f>
        <v/>
      </c>
      <c r="I2343" t="inlineStr">
        <is>
          <t>No user name</t>
        </is>
      </c>
      <c r="J2343" s="6">
        <f>HYPERLINK("https://www.kleinanzeigen.deNo user link", "Link")</f>
        <v/>
      </c>
      <c r="K2343" s="7" t="n">
        <v>45549.57300925926</v>
      </c>
      <c r="L2343" s="3" t="inlineStr">
        <is>
          <t>349.14</t>
        </is>
      </c>
      <c r="M2343" t="inlineStr">
        <is>
          <t>Köln</t>
        </is>
      </c>
    </row>
    <row r="2344">
      <c r="A2344" t="inlineStr">
        <is>
          <t>RRD Obsession MK9 10,5 m2</t>
        </is>
      </c>
      <c r="B2344" s="4" t="n">
        <v>175</v>
      </c>
      <c r="C2344" t="inlineStr">
        <is>
          <t>VB</t>
        </is>
      </c>
      <c r="D2344" t="inlineStr">
        <is>
          <t>24955 Schleswig-Holstein - Harrislee</t>
        </is>
      </c>
      <c r="E2344" s="5" t="n">
        <v>45516</v>
      </c>
      <c r="F2344" t="inlineStr"/>
      <c r="G2344" s="6">
        <f>HYPERLINK("https://www.kleinanzeigen.de/s-anzeige/rrd-obsession-mk9-10-5-m2/2835614516-230-734", "Link")</f>
        <v/>
      </c>
      <c r="H2344" s="6">
        <f>HYPERLINK("C:\Projects\Kleinanzeigen-Scraper\offer_images\2835614516", "Link")</f>
        <v/>
      </c>
      <c r="I2344" t="inlineStr">
        <is>
          <t>M. Blanck</t>
        </is>
      </c>
      <c r="J2344" s="6">
        <f>HYPERLINK("https://www.kleinanzeigen.de/s-bestandsliste.html?userId=24400847", "Link")</f>
        <v/>
      </c>
      <c r="K2344" s="7" t="n">
        <v>45549.57300925926</v>
      </c>
      <c r="L2344" s="3" t="inlineStr">
        <is>
          <t>459.37</t>
        </is>
      </c>
      <c r="M2344" t="inlineStr">
        <is>
          <t>Köln</t>
        </is>
      </c>
    </row>
    <row r="2345">
      <c r="A2345" t="inlineStr">
        <is>
          <t>Wing Foil Board Duotone Sky Air Premium 5.9 Modell 2024 NEU</t>
        </is>
      </c>
      <c r="B2345" s="4" t="n">
        <v>850</v>
      </c>
      <c r="C2345" t="inlineStr">
        <is>
          <t>VB</t>
        </is>
      </c>
      <c r="D2345" t="inlineStr">
        <is>
          <t>45478 Nordrhein-Westfalen - Mülheim (Ruhr)</t>
        </is>
      </c>
      <c r="E2345" s="5" t="n">
        <v>45540</v>
      </c>
      <c r="F2345" t="inlineStr">
        <is>
          <t>Sold</t>
        </is>
      </c>
      <c r="G2345" s="6">
        <f>HYPERLINK("https://www.kleinanzeigen.de/s-anzeige/wing-foil-board-duotone-sky-air-premium-5-9-modell-2024-neu/2855331339-230-2064", "Link")</f>
        <v/>
      </c>
      <c r="H2345" s="6">
        <f>HYPERLINK("C:\Projects\Kleinanzeigen-Scraper\offer_images\2855331339", "Link")</f>
        <v/>
      </c>
      <c r="I2345" t="inlineStr">
        <is>
          <t>Privat</t>
        </is>
      </c>
      <c r="J2345" s="6">
        <f>HYPERLINK("https://www.kleinanzeigen.de/s-bestandsliste.html?userId=63814435", "Link")</f>
        <v/>
      </c>
      <c r="K2345" s="7" t="n">
        <v>45549.57300925926</v>
      </c>
      <c r="L2345" s="3" t="inlineStr">
        <is>
          <t>56.03</t>
        </is>
      </c>
      <c r="M2345" t="inlineStr">
        <is>
          <t>Köln</t>
        </is>
      </c>
    </row>
    <row r="2346">
      <c r="A2346" t="inlineStr">
        <is>
          <t>Duotone Entity Ergo Bindung 2024 neu Kitesurfen</t>
        </is>
      </c>
      <c r="B2346" s="4" t="n">
        <v>174</v>
      </c>
      <c r="C2346" t="inlineStr"/>
      <c r="D2346" t="inlineStr">
        <is>
          <t>22457 Eimsbüttel - Hamburg Schnelsen</t>
        </is>
      </c>
      <c r="E2346" s="5" t="n">
        <v>45541</v>
      </c>
      <c r="F2346" t="inlineStr">
        <is>
          <t>Sold</t>
        </is>
      </c>
      <c r="G2346" s="6">
        <f>HYPERLINK("https://www.kleinanzeigen.de/s-anzeige/duotone-entity-ergo-bindung-2024-neu-kitesurfen/2855652692-230-9492", "Link")</f>
        <v/>
      </c>
      <c r="H2346" s="6">
        <f>HYPERLINK("C:\Projects\Kleinanzeigen-Scraper\offer_images\2855652692", "Link")</f>
        <v/>
      </c>
      <c r="I2346" t="inlineStr">
        <is>
          <t>No user name</t>
        </is>
      </c>
      <c r="J2346" s="6">
        <f>HYPERLINK("https://www.kleinanzeigen.deNo user link", "Link")</f>
        <v/>
      </c>
      <c r="K2346" s="7" t="n">
        <v>45549.57300925926</v>
      </c>
      <c r="L2346" s="3" t="inlineStr">
        <is>
          <t>362.41</t>
        </is>
      </c>
      <c r="M2346" t="inlineStr">
        <is>
          <t>Köln</t>
        </is>
      </c>
    </row>
    <row r="2347">
      <c r="A2347" t="inlineStr">
        <is>
          <t>Fanatic Fly Air Fit SUP stand up paddel</t>
        </is>
      </c>
      <c r="B2347" s="4" t="n">
        <v>399</v>
      </c>
      <c r="C2347" t="inlineStr">
        <is>
          <t>VB</t>
        </is>
      </c>
      <c r="D2347" t="inlineStr">
        <is>
          <t>27804 Niedersachsen - Berne</t>
        </is>
      </c>
      <c r="E2347" s="5" t="n">
        <v>45506</v>
      </c>
      <c r="F2347" t="inlineStr">
        <is>
          <t>Sold</t>
        </is>
      </c>
      <c r="G2347" s="6">
        <f>HYPERLINK("https://www.kleinanzeigen.de/s-anzeige/fanatic-fly-air-fit-sup-stand-up-paddel/2826876164-230-2579", "Link")</f>
        <v/>
      </c>
      <c r="H2347" s="6">
        <f>HYPERLINK("C:\Projects\Kleinanzeigen-Scraper\offer_images\2826876164", "Link")</f>
        <v/>
      </c>
      <c r="I2347" t="inlineStr">
        <is>
          <t>Adrian Povah</t>
        </is>
      </c>
      <c r="J2347" s="6">
        <f>HYPERLINK("https://www.kleinanzeigen.de/s-bestandsliste.html?userId=53131188", "Link")</f>
        <v/>
      </c>
      <c r="K2347" s="7" t="n">
        <v>45549.57299768519</v>
      </c>
      <c r="L2347" s="3" t="inlineStr">
        <is>
          <t>268.26</t>
        </is>
      </c>
      <c r="M2347" t="inlineStr">
        <is>
          <t>Köln</t>
        </is>
      </c>
    </row>
    <row r="2348">
      <c r="A2348" t="inlineStr">
        <is>
          <t>Naish Pivot 2022 S26 Blue 5qm</t>
        </is>
      </c>
      <c r="B2348" s="4" t="n">
        <v>480</v>
      </c>
      <c r="C2348" t="inlineStr"/>
      <c r="D2348" t="inlineStr">
        <is>
          <t>24802 Schleswig-Holstein - Emkendorf</t>
        </is>
      </c>
      <c r="E2348" s="5" t="n">
        <v>45518</v>
      </c>
      <c r="F2348" t="inlineStr"/>
      <c r="G2348" s="6">
        <f>HYPERLINK("https://www.kleinanzeigen.de/s-anzeige/naish-pivot-2022-s26-blue-5qm/2836667876-230-25876", "Link")</f>
        <v/>
      </c>
      <c r="H2348" s="6">
        <f>HYPERLINK("C:\Projects\Kleinanzeigen-Scraper\offer_images\2836667876", "Link")</f>
        <v/>
      </c>
      <c r="I2348" t="inlineStr">
        <is>
          <t>Lea-Sophie</t>
        </is>
      </c>
      <c r="J2348" s="6">
        <f>HYPERLINK("https://www.kleinanzeigen.de/s-bestandsliste.html?userId=22060148", "Link")</f>
        <v/>
      </c>
      <c r="K2348" s="7" t="n">
        <v>45549.57299768519</v>
      </c>
      <c r="L2348" s="3" t="inlineStr">
        <is>
          <t>415.87</t>
        </is>
      </c>
      <c r="M2348" t="inlineStr">
        <is>
          <t>Köln</t>
        </is>
      </c>
    </row>
    <row r="2349">
      <c r="A2349" t="inlineStr">
        <is>
          <t>Goya Mast fifty 2,95 Kindersegel Jugendsegel Scion Banzai</t>
        </is>
      </c>
      <c r="B2349" s="4" t="n">
        <v>150</v>
      </c>
      <c r="C2349" t="inlineStr">
        <is>
          <t>VB</t>
        </is>
      </c>
      <c r="D2349" t="inlineStr">
        <is>
          <t>85301 Bayern - Schweitenkirchen</t>
        </is>
      </c>
      <c r="E2349" s="5" t="n">
        <v>45478</v>
      </c>
      <c r="F2349" t="inlineStr">
        <is>
          <t>Sold</t>
        </is>
      </c>
      <c r="G2349" s="6">
        <f>HYPERLINK("https://www.kleinanzeigen.de/s-anzeige/goya-mast-fifty-2-95-kindersegel-jugendsegel-scion-banzai/2804600298-230-5847", "Link")</f>
        <v/>
      </c>
      <c r="H2349" s="6">
        <f>HYPERLINK("C:\Projects\Kleinanzeigen-Scraper\offer_images\2804600298", "Link")</f>
        <v/>
      </c>
      <c r="I2349" t="inlineStr">
        <is>
          <t>Michael Laußer</t>
        </is>
      </c>
      <c r="J2349" s="6">
        <f>HYPERLINK("https://www.kleinanzeigen.de/s-bestandsliste.html?userId=6669985", "Link")</f>
        <v/>
      </c>
      <c r="K2349" s="7" t="n">
        <v>45549.57299768519</v>
      </c>
      <c r="L2349" s="3" t="inlineStr">
        <is>
          <t>43.29</t>
        </is>
      </c>
      <c r="M2349" t="inlineStr">
        <is>
          <t>München</t>
        </is>
      </c>
    </row>
    <row r="2350">
      <c r="A2350" t="inlineStr">
        <is>
          <t>Anfänger Surfbrett Fanatic BAT 325</t>
        </is>
      </c>
      <c r="B2350" s="4" t="n">
        <v>160</v>
      </c>
      <c r="C2350" t="inlineStr"/>
      <c r="D2350" t="inlineStr">
        <is>
          <t>22525 Eimsbüttel - Hamburg Stellingen</t>
        </is>
      </c>
      <c r="E2350" s="5" t="n">
        <v>45511</v>
      </c>
      <c r="F2350" t="inlineStr">
        <is>
          <t>Sold</t>
        </is>
      </c>
      <c r="G2350" s="6">
        <f>HYPERLINK("https://www.kleinanzeigen.de/s-anzeige/anfaenger-surfbrett-fanatic-bat-325/2831193111-230-9438", "Link")</f>
        <v/>
      </c>
      <c r="H2350" s="6">
        <f>HYPERLINK("C:\Projects\Kleinanzeigen-Scraper\offer_images\2831193111", "Link")</f>
        <v/>
      </c>
      <c r="I2350" t="inlineStr">
        <is>
          <t>Gabriela du Mesnil</t>
        </is>
      </c>
      <c r="J2350" s="6">
        <f>HYPERLINK("https://www.kleinanzeigen.de/s-bestandsliste.html?userId=12871613", "Link")</f>
        <v/>
      </c>
      <c r="K2350" s="7" t="n">
        <v>45549.57298611111</v>
      </c>
      <c r="L2350" s="3" t="inlineStr">
        <is>
          <t>356.19</t>
        </is>
      </c>
      <c r="M2350" t="inlineStr">
        <is>
          <t>Köln</t>
        </is>
      </c>
    </row>
    <row r="2351">
      <c r="A2351" t="inlineStr">
        <is>
          <t>Einsteiger Wingfoilboard | RRD Air Beluga 200 140L (2022) | gut</t>
        </is>
      </c>
      <c r="B2351" s="4" t="n">
        <v>490</v>
      </c>
      <c r="C2351" t="inlineStr">
        <is>
          <t>VB</t>
        </is>
      </c>
      <c r="D2351" t="inlineStr">
        <is>
          <t>71263 Baden-Württemberg - Weil der Stadt</t>
        </is>
      </c>
      <c r="E2351" s="5" t="n">
        <v>45426</v>
      </c>
      <c r="F2351" t="inlineStr">
        <is>
          <t>Sold</t>
        </is>
      </c>
      <c r="G2351" s="6">
        <f>HYPERLINK("https://www.kleinanzeigen.de/s-anzeige/einsteiger-wingfoilboard-rrd-air-beluga-200-140l-2022-gut/2761578811-230-8404", "Link")</f>
        <v/>
      </c>
      <c r="H2351" s="6">
        <f>HYPERLINK("C:\Projects\Kleinanzeigen-Scraper\offer_images\2761578811", "Link")</f>
        <v/>
      </c>
      <c r="I2351" t="inlineStr">
        <is>
          <t>Marlene Nötzold</t>
        </is>
      </c>
      <c r="J2351" s="6">
        <f>HYPERLINK("https://www.kleinanzeigen.de/s-bestandsliste.html?userId=25031491", "Link")</f>
        <v/>
      </c>
      <c r="K2351" s="7" t="n">
        <v>45549.57298611111</v>
      </c>
      <c r="L2351" s="3" t="inlineStr">
        <is>
          <t>12.30</t>
        </is>
      </c>
      <c r="M2351" t="inlineStr">
        <is>
          <t>Böblingen</t>
        </is>
      </c>
    </row>
    <row r="2352">
      <c r="A2352" t="inlineStr">
        <is>
          <t>JP Australia freestyle wave 84L</t>
        </is>
      </c>
      <c r="B2352" s="4" t="n">
        <v>250</v>
      </c>
      <c r="C2352" t="inlineStr"/>
      <c r="D2352" t="inlineStr">
        <is>
          <t>35435 Hessen - Gießen</t>
        </is>
      </c>
      <c r="E2352" s="5" t="n">
        <v>44682</v>
      </c>
      <c r="F2352" t="inlineStr"/>
      <c r="G2352" s="6">
        <f>HYPERLINK("https://www.kleinanzeigen.de/s-anzeige/jp-australia-freestyle-wave-84l/2093633791-230-4723", "Link")</f>
        <v/>
      </c>
      <c r="H2352" s="6">
        <f>HYPERLINK("C:\Projects\Kleinanzeigen-Scraper\offer_images\2093633791", "Link")</f>
        <v/>
      </c>
      <c r="I2352" t="inlineStr">
        <is>
          <t>D. Adler</t>
        </is>
      </c>
      <c r="J2352" s="6">
        <f>HYPERLINK("https://www.kleinanzeigen.de/s-bestandsliste.html?userId=7338360", "Link")</f>
        <v/>
      </c>
      <c r="K2352" s="7" t="n">
        <v>45549.57298611111</v>
      </c>
      <c r="L2352" s="3" t="inlineStr">
        <is>
          <t>124.32</t>
        </is>
      </c>
      <c r="M2352" t="inlineStr">
        <is>
          <t>Köln</t>
        </is>
      </c>
    </row>
    <row r="2353">
      <c r="A2353" t="inlineStr">
        <is>
          <t>NEILPRYDE Windsurfsegel WIZARD PRO 4,4 aus 2023</t>
        </is>
      </c>
      <c r="B2353" s="4" t="n">
        <v>349</v>
      </c>
      <c r="C2353" t="inlineStr">
        <is>
          <t>VB</t>
        </is>
      </c>
      <c r="D2353" t="inlineStr">
        <is>
          <t>47918 Nordrhein-Westfalen - Tönisvorst</t>
        </is>
      </c>
      <c r="E2353" s="5" t="n">
        <v>45518</v>
      </c>
      <c r="F2353" t="inlineStr"/>
      <c r="G2353" s="6">
        <f>HYPERLINK("https://www.kleinanzeigen.de/s-anzeige/neilpryde-windsurfsegel-wizard-pro-4-4-aus-2023/2836752344-230-1121", "Link")</f>
        <v/>
      </c>
      <c r="H2353" s="6">
        <f>HYPERLINK("C:\Projects\Kleinanzeigen-Scraper\offer_images\2836752344", "Link")</f>
        <v/>
      </c>
      <c r="I2353" t="inlineStr">
        <is>
          <t>Ulrich Lufen</t>
        </is>
      </c>
      <c r="J2353" s="6">
        <f>HYPERLINK("https://www.kleinanzeigen.de/s-bestandsliste.html?userId=28551898", "Link")</f>
        <v/>
      </c>
      <c r="K2353" s="7" t="n">
        <v>45549.57298611111</v>
      </c>
      <c r="L2353" s="3" t="inlineStr">
        <is>
          <t>56.00</t>
        </is>
      </c>
      <c r="M2353" t="inlineStr">
        <is>
          <t>Köln</t>
        </is>
      </c>
    </row>
    <row r="2354">
      <c r="A2354" t="inlineStr">
        <is>
          <t>Naish Fuselage S26</t>
        </is>
      </c>
      <c r="B2354" s="4" t="n">
        <v>45</v>
      </c>
      <c r="C2354" t="inlineStr">
        <is>
          <t>VB</t>
        </is>
      </c>
      <c r="D2354" t="inlineStr">
        <is>
          <t>20535 Hamburg-Mitte - Hamburg Hamm</t>
        </is>
      </c>
      <c r="E2354" s="5" t="n">
        <v>45504</v>
      </c>
      <c r="F2354" t="inlineStr">
        <is>
          <t>Sold</t>
        </is>
      </c>
      <c r="G2354" s="6">
        <f>HYPERLINK("https://www.kleinanzeigen.de/s-anzeige/naish-fuselage-s26/2825447590-230-9425", "Link")</f>
        <v/>
      </c>
      <c r="H2354" s="6">
        <f>HYPERLINK("C:\Projects\Kleinanzeigen-Scraper\offer_images\2825447590", "Link")</f>
        <v/>
      </c>
      <c r="I2354" t="inlineStr">
        <is>
          <t>Norbert</t>
        </is>
      </c>
      <c r="J2354" s="6">
        <f>HYPERLINK("https://www.kleinanzeigen.de/s-bestandsliste.html?userId=1104190", "Link")</f>
        <v/>
      </c>
      <c r="K2354" s="7" t="n">
        <v>45549.57298611111</v>
      </c>
      <c r="L2354" s="3" t="inlineStr">
        <is>
          <t>359.68</t>
        </is>
      </c>
      <c r="M2354" t="inlineStr">
        <is>
          <t>Köln</t>
        </is>
      </c>
    </row>
    <row r="2355">
      <c r="A2355" t="inlineStr">
        <is>
          <t>Naish Segel 6,0qm Windsurfsegel</t>
        </is>
      </c>
      <c r="B2355" s="4" t="n">
        <v>50</v>
      </c>
      <c r="C2355" t="inlineStr"/>
      <c r="D2355" t="inlineStr">
        <is>
          <t>57439 Nordrhein-Westfalen - Attendorn</t>
        </is>
      </c>
      <c r="E2355" s="5" t="n">
        <v>45481</v>
      </c>
      <c r="F2355" t="inlineStr">
        <is>
          <t>Sold</t>
        </is>
      </c>
      <c r="G2355" s="6">
        <f>HYPERLINK("https://www.kleinanzeigen.de/s-anzeige/naish-segel-6-0qm-windsurfsegel/2807620903-230-1481", "Link")</f>
        <v/>
      </c>
      <c r="H2355" s="6">
        <f>HYPERLINK("C:\Projects\Kleinanzeigen-Scraper\offer_images\2807620903", "Link")</f>
        <v/>
      </c>
      <c r="I2355" t="inlineStr">
        <is>
          <t>Andre</t>
        </is>
      </c>
      <c r="J2355" s="6">
        <f>HYPERLINK("https://www.kleinanzeigen.de/s-bestandsliste.html?userId=5728875", "Link")</f>
        <v/>
      </c>
      <c r="K2355" s="7" t="n">
        <v>45549.57298611111</v>
      </c>
      <c r="L2355" s="3" t="inlineStr">
        <is>
          <t>66.42</t>
        </is>
      </c>
      <c r="M2355" t="inlineStr">
        <is>
          <t>Köln</t>
        </is>
      </c>
    </row>
    <row r="2356">
      <c r="A2356" t="inlineStr">
        <is>
          <t>Masttasche Segeltasche GUN SAILS SAILBAG + MASTBAG</t>
        </is>
      </c>
      <c r="B2356" s="4" t="n">
        <v>100</v>
      </c>
      <c r="C2356" t="inlineStr">
        <is>
          <t>VB</t>
        </is>
      </c>
      <c r="D2356" t="inlineStr">
        <is>
          <t>22926 Schleswig-Holstein - Ahrensburg</t>
        </is>
      </c>
      <c r="E2356" s="5" t="n">
        <v>45061</v>
      </c>
      <c r="F2356" t="inlineStr"/>
      <c r="G2356" s="6">
        <f>HYPERLINK("https://www.kleinanzeigen.de/s-anzeige/masttasche-segeltasche-gun-sails-sailbag-mastbag/2442879322-230-922", "Link")</f>
        <v/>
      </c>
      <c r="H2356" s="6">
        <f>HYPERLINK("C:\Projects\Kleinanzeigen-Scraper\offer_images\2442879322", "Link")</f>
        <v/>
      </c>
      <c r="I2356" t="inlineStr">
        <is>
          <t>Henning</t>
        </is>
      </c>
      <c r="J2356" s="6">
        <f>HYPERLINK("https://www.kleinanzeigen.de/s-bestandsliste.html?userId=382624", "Link")</f>
        <v/>
      </c>
      <c r="K2356" s="7" t="n">
        <v>45549.57298611111</v>
      </c>
      <c r="L2356" s="3" t="inlineStr">
        <is>
          <t>377.16</t>
        </is>
      </c>
      <c r="M2356" t="inlineStr">
        <is>
          <t>Köln</t>
        </is>
      </c>
    </row>
    <row r="2357">
      <c r="A2357" t="inlineStr">
        <is>
          <t>Ezzy Cheetah 7,5m2 Windsurfsegel</t>
        </is>
      </c>
      <c r="B2357" s="4" t="n">
        <v>320</v>
      </c>
      <c r="C2357" t="inlineStr">
        <is>
          <t>VB</t>
        </is>
      </c>
      <c r="D2357" t="inlineStr">
        <is>
          <t>24119 Kiel - Kronshagen</t>
        </is>
      </c>
      <c r="E2357" s="5" t="n">
        <v>45543</v>
      </c>
      <c r="F2357" t="inlineStr"/>
      <c r="G2357" s="6">
        <f>HYPERLINK("https://www.kleinanzeigen.de/s-anzeige/ezzy-cheetah-7-5m2-windsurfsegel/2857176184-230-705", "Link")</f>
        <v/>
      </c>
      <c r="H2357" s="6">
        <f>HYPERLINK("C:\Projects\Kleinanzeigen-Scraper\offer_images\2857176184", "Link")</f>
        <v/>
      </c>
      <c r="I2357" t="inlineStr">
        <is>
          <t>Dominik</t>
        </is>
      </c>
      <c r="J2357" s="6">
        <f>HYPERLINK("https://www.kleinanzeigen.de/s-bestandsliste.html?userId=14610771", "Link")</f>
        <v/>
      </c>
      <c r="K2357" s="7" t="n">
        <v>45549.57297453703</v>
      </c>
      <c r="L2357" s="3" t="inlineStr">
        <is>
          <t>432.46</t>
        </is>
      </c>
      <c r="M2357" t="inlineStr">
        <is>
          <t>Köln</t>
        </is>
      </c>
    </row>
    <row r="2358">
      <c r="A2358" t="inlineStr">
        <is>
          <t>Gunsails Cross Mast SDM 490 55% Carbon Gun Sails</t>
        </is>
      </c>
      <c r="B2358" s="4" t="n">
        <v>150</v>
      </c>
      <c r="C2358" t="inlineStr">
        <is>
          <t>VB</t>
        </is>
      </c>
      <c r="D2358" t="inlineStr">
        <is>
          <t>61191 Hessen - Rosbach (v d Höhe)</t>
        </is>
      </c>
      <c r="E2358" s="5" t="n">
        <v>45506</v>
      </c>
      <c r="F2358" t="inlineStr">
        <is>
          <t>Sold</t>
        </is>
      </c>
      <c r="G2358" s="6">
        <f>HYPERLINK("https://www.kleinanzeigen.de/s-anzeige/gunsails-cross-mast-sdm-490-55-carbon-gun-sails/2827215030-230-4568", "Link")</f>
        <v/>
      </c>
      <c r="H2358" s="6">
        <f>HYPERLINK("C:\Projects\Kleinanzeigen-Scraper\offer_images\2827215030", "Link")</f>
        <v/>
      </c>
      <c r="I2358" t="inlineStr">
        <is>
          <t>Streb</t>
        </is>
      </c>
      <c r="J2358" s="6">
        <f>HYPERLINK("https://www.kleinanzeigen.de/s-bestandsliste.html?userId=19468762", "Link")</f>
        <v/>
      </c>
      <c r="K2358" s="7" t="n">
        <v>45549.57297453703</v>
      </c>
      <c r="L2358" s="3" t="inlineStr">
        <is>
          <t>143.44</t>
        </is>
      </c>
      <c r="M2358" t="inlineStr">
        <is>
          <t>Karlsruhe</t>
        </is>
      </c>
    </row>
    <row r="2359">
      <c r="A2359" t="inlineStr">
        <is>
          <t>Standup Paddel Pumpe Starboard</t>
        </is>
      </c>
      <c r="B2359" s="4" t="n">
        <v>25</v>
      </c>
      <c r="C2359" t="inlineStr"/>
      <c r="D2359" t="inlineStr">
        <is>
          <t>88178 Bayern - Heimenkirch</t>
        </is>
      </c>
      <c r="E2359" s="5" t="n">
        <v>45543</v>
      </c>
      <c r="F2359" t="inlineStr"/>
      <c r="G2359" s="6">
        <f>HYPERLINK("https://www.kleinanzeigen.de/s-anzeige/standup-paddel-pumpe-starboard/2857638283-230-8592", "Link")</f>
        <v/>
      </c>
      <c r="H2359" s="6">
        <f>HYPERLINK("C:\Projects\Kleinanzeigen-Scraper\offer_images\2857638283", "Link")</f>
        <v/>
      </c>
      <c r="I2359" t="inlineStr">
        <is>
          <t>Elmar</t>
        </is>
      </c>
      <c r="J2359" s="6">
        <f>HYPERLINK("https://www.kleinanzeigen.de/s-bestandsliste.html?userId=14425261", "Link")</f>
        <v/>
      </c>
      <c r="K2359" s="7" t="n">
        <v>45549.57297453703</v>
      </c>
      <c r="L2359" s="3" t="inlineStr">
        <is>
          <t>118.99</t>
        </is>
      </c>
      <c r="M2359" t="inlineStr">
        <is>
          <t>Bonndorf</t>
        </is>
      </c>
    </row>
    <row r="2360">
      <c r="A2360" t="inlineStr">
        <is>
          <t>Neilpryde X3 Mast 370cm</t>
        </is>
      </c>
      <c r="B2360" s="4" t="n">
        <v>70</v>
      </c>
      <c r="C2360" t="inlineStr"/>
      <c r="D2360" t="inlineStr">
        <is>
          <t>45219 Essen - Essen-Kettwig</t>
        </is>
      </c>
      <c r="E2360" s="5" t="n">
        <v>45520</v>
      </c>
      <c r="F2360" t="inlineStr"/>
      <c r="G2360" s="6">
        <f>HYPERLINK("https://www.kleinanzeigen.de/s-anzeige/neilpryde-x3-mast-370cm/2837943274-230-2040", "Link")</f>
        <v/>
      </c>
      <c r="H2360" s="6">
        <f>HYPERLINK("C:\Projects\Kleinanzeigen-Scraper\offer_images\2837943274", "Link")</f>
        <v/>
      </c>
      <c r="I2360" t="inlineStr">
        <is>
          <t>Neuse</t>
        </is>
      </c>
      <c r="J2360" s="6">
        <f>HYPERLINK("https://www.kleinanzeigen.de/s-bestandsliste.html?userId=38287071", "Link")</f>
        <v/>
      </c>
      <c r="K2360" s="7" t="n">
        <v>45549.57296296296</v>
      </c>
      <c r="L2360" s="3" t="inlineStr">
        <is>
          <t>47.62</t>
        </is>
      </c>
      <c r="M2360" t="inlineStr">
        <is>
          <t>Köln</t>
        </is>
      </c>
    </row>
    <row r="2361">
      <c r="A2361" t="inlineStr">
        <is>
          <t>Duotone clickbar Größe m (22-24m) kite</t>
        </is>
      </c>
      <c r="B2361" s="4" t="n">
        <v>245</v>
      </c>
      <c r="C2361" t="inlineStr">
        <is>
          <t>VB</t>
        </is>
      </c>
      <c r="D2361" t="inlineStr">
        <is>
          <t>38118 Niedersachsen - Braunschweig</t>
        </is>
      </c>
      <c r="E2361" s="5" t="n">
        <v>45544</v>
      </c>
      <c r="F2361" t="inlineStr">
        <is>
          <t>Sold</t>
        </is>
      </c>
      <c r="G2361" s="6">
        <f>HYPERLINK("https://www.kleinanzeigen.de/s-anzeige/duotone-clickbar-groesse-m-22-24m-kite/2858132371-230-2456", "Link")</f>
        <v/>
      </c>
      <c r="H2361" s="6">
        <f>HYPERLINK("C:\Projects\Kleinanzeigen-Scraper\offer_images\2858132371", "Link")</f>
        <v/>
      </c>
      <c r="I2361" t="inlineStr">
        <is>
          <t>Daniel</t>
        </is>
      </c>
      <c r="J2361" s="6">
        <f>HYPERLINK("https://www.kleinanzeigen.de/s-bestandsliste.html?userId=8574815", "Link")</f>
        <v/>
      </c>
      <c r="K2361" s="7" t="n">
        <v>45549.57296296296</v>
      </c>
      <c r="L2361" s="3" t="inlineStr">
        <is>
          <t>285.80</t>
        </is>
      </c>
      <c r="M2361" t="inlineStr">
        <is>
          <t>Köln</t>
        </is>
      </c>
    </row>
    <row r="2362">
      <c r="A2362" t="inlineStr">
        <is>
          <t>SUP Naish ONE Alana 12’6 x 30″ und oder Starboard 12‘6 x 30‘‘</t>
        </is>
      </c>
      <c r="B2362" s="4" t="n">
        <v>1.1</v>
      </c>
      <c r="C2362" t="inlineStr"/>
      <c r="D2362" t="inlineStr">
        <is>
          <t>53940 Nordrhein-Westfalen - Hellenthal</t>
        </is>
      </c>
      <c r="E2362" s="5" t="n">
        <v>45473</v>
      </c>
      <c r="F2362" t="inlineStr"/>
      <c r="G2362" s="6">
        <f>HYPERLINK("https://www.kleinanzeigen.de/s-anzeige/sup-naish-one-alana-12-6-x-30-und-oder-starboard-12-6-x-30-/2800266280-230-1730", "Link")</f>
        <v/>
      </c>
      <c r="H2362" s="6">
        <f>HYPERLINK("C:\Projects\Kleinanzeigen-Scraper\offer_images\2800266280", "Link")</f>
        <v/>
      </c>
      <c r="I2362" t="inlineStr">
        <is>
          <t>Liebe Grüße Brigitte M.</t>
        </is>
      </c>
      <c r="J2362" s="6">
        <f>HYPERLINK("https://www.kleinanzeigen.de/s-bestandsliste.html?userId=6369009", "Link")</f>
        <v/>
      </c>
      <c r="K2362" s="7" t="n">
        <v>45549.57296296296</v>
      </c>
      <c r="L2362" s="3" t="inlineStr">
        <is>
          <t>66.48</t>
        </is>
      </c>
      <c r="M2362" t="inlineStr">
        <is>
          <t>Köln</t>
        </is>
      </c>
    </row>
    <row r="2363">
      <c r="A2363" t="inlineStr">
        <is>
          <t>Kite Set Cabrinha 12, 9, 7 Switchblade Beginner Naish Duotone</t>
        </is>
      </c>
      <c r="B2363" s="4" t="n">
        <v>1.399</v>
      </c>
      <c r="C2363" t="inlineStr">
        <is>
          <t>VB</t>
        </is>
      </c>
      <c r="D2363" t="inlineStr">
        <is>
          <t>92245 Bayern - Kümmersbruck</t>
        </is>
      </c>
      <c r="E2363" s="5" t="n">
        <v>45528</v>
      </c>
      <c r="F2363" t="inlineStr">
        <is>
          <t>Sold</t>
        </is>
      </c>
      <c r="G2363" s="6">
        <f>HYPERLINK("https://www.kleinanzeigen.de/s-anzeige/kite-set-cabrinha-12-9-7-switchblade-beginner-naish-duotone/2845040446-230-5792", "Link")</f>
        <v/>
      </c>
      <c r="H2363" s="6">
        <f>HYPERLINK("C:\Projects\Kleinanzeigen-Scraper\offer_images\2845040446", "Link")</f>
        <v/>
      </c>
      <c r="I2363" t="inlineStr">
        <is>
          <t>Felix</t>
        </is>
      </c>
      <c r="J2363" s="6">
        <f>HYPERLINK("https://www.kleinanzeigen.de/s-bestandsliste.html?userId=49719443", "Link")</f>
        <v/>
      </c>
      <c r="K2363" s="7" t="n">
        <v>45549.57296296296</v>
      </c>
      <c r="L2363" s="3" t="inlineStr">
        <is>
          <t>144.59</t>
        </is>
      </c>
      <c r="M2363" t="inlineStr">
        <is>
          <t>München</t>
        </is>
      </c>
    </row>
    <row r="2364">
      <c r="A2364" t="inlineStr">
        <is>
          <t>❌️ Naish Aero 16 Kite Flugmatte Kitesurfing  ❌️</t>
        </is>
      </c>
      <c r="B2364" s="4" t="n">
        <v>119</v>
      </c>
      <c r="C2364" t="inlineStr"/>
      <c r="D2364" t="inlineStr">
        <is>
          <t>59174 Nordrhein-Westfalen - Kamen</t>
        </is>
      </c>
      <c r="E2364" s="5" t="n">
        <v>45533</v>
      </c>
      <c r="F2364" t="inlineStr">
        <is>
          <t>Sold</t>
        </is>
      </c>
      <c r="G2364" s="6">
        <f>HYPERLINK("https://www.kleinanzeigen.de/s-anzeige/-naish-aero-16-kite-flugmatte-kitesurfing-/2849349761-230-1369", "Link")</f>
        <v/>
      </c>
      <c r="H2364" s="6">
        <f>HYPERLINK("C:\Projects\Kleinanzeigen-Scraper\offer_images\2849349761", "Link")</f>
        <v/>
      </c>
      <c r="I2364" t="inlineStr">
        <is>
          <t>N.K.</t>
        </is>
      </c>
      <c r="J2364" s="6">
        <f>HYPERLINK("https://www.kleinanzeigen.de/s-bestandsliste.html?userId=8776002", "Link")</f>
        <v/>
      </c>
      <c r="K2364" s="7" t="n">
        <v>45549.57296296296</v>
      </c>
      <c r="L2364" s="3" t="inlineStr">
        <is>
          <t>87.85</t>
        </is>
      </c>
      <c r="M2364" t="inlineStr">
        <is>
          <t>Köln</t>
        </is>
      </c>
    </row>
    <row r="2365">
      <c r="A2365" t="inlineStr">
        <is>
          <t>North Orbit 2022 9 qm</t>
        </is>
      </c>
      <c r="B2365" s="4" t="n">
        <v>650</v>
      </c>
      <c r="C2365" t="inlineStr">
        <is>
          <t>VB</t>
        </is>
      </c>
      <c r="D2365" t="inlineStr">
        <is>
          <t>22607 Altona - Hamburg Groß Flottbek</t>
        </is>
      </c>
      <c r="E2365" s="5" t="n">
        <v>45542</v>
      </c>
      <c r="F2365" t="inlineStr">
        <is>
          <t>Sold</t>
        </is>
      </c>
      <c r="G2365" s="6">
        <f>HYPERLINK("https://www.kleinanzeigen.de/s-anzeige/north-orbit-2022-9-qm/2856572015-230-9500", "Link")</f>
        <v/>
      </c>
      <c r="H2365" s="6">
        <f>HYPERLINK("C:\Projects\Kleinanzeigen-Scraper\offer_images\2856572015", "Link")</f>
        <v/>
      </c>
      <c r="I2365" t="inlineStr">
        <is>
          <t>Arne</t>
        </is>
      </c>
      <c r="J2365" s="6">
        <f>HYPERLINK("https://www.kleinanzeigen.de/s-bestandsliste.html?userId=6960897", "Link")</f>
        <v/>
      </c>
      <c r="K2365" s="7" t="n">
        <v>45549.57296296296</v>
      </c>
      <c r="L2365" s="3" t="inlineStr">
        <is>
          <t>354.01</t>
        </is>
      </c>
      <c r="M2365" t="inlineStr">
        <is>
          <t>Köln</t>
        </is>
      </c>
    </row>
    <row r="2366">
      <c r="A2366" t="inlineStr">
        <is>
          <t>❌❌Neilpryde Neopren Shorty swim triathlon XL MPS</t>
        </is>
      </c>
      <c r="B2366" s="4" t="n">
        <v>75</v>
      </c>
      <c r="C2366" t="inlineStr"/>
      <c r="D2366" t="inlineStr">
        <is>
          <t>88138 Bayern - Weißensberg</t>
        </is>
      </c>
      <c r="E2366" s="5" t="n">
        <v>45546</v>
      </c>
      <c r="F2366" t="inlineStr">
        <is>
          <t>Sold</t>
        </is>
      </c>
      <c r="G2366" s="6">
        <f>HYPERLINK("https://www.kleinanzeigen.de/s-anzeige/-neilpryde-neopren-shorty-swim-triathlon-xl-mps/2860761242-230-7705", "Link")</f>
        <v/>
      </c>
      <c r="H2366" s="6">
        <f>HYPERLINK("C:\Projects\Kleinanzeigen-Scraper\offer_images\2860761242", "Link")</f>
        <v/>
      </c>
      <c r="I2366" t="inlineStr">
        <is>
          <t>Privat</t>
        </is>
      </c>
      <c r="J2366" s="6">
        <f>HYPERLINK("https://www.kleinanzeigen.de/s-bestandsliste.html?userId=3646501", "Link")</f>
        <v/>
      </c>
      <c r="K2366" s="7" t="n">
        <v>45549.57295138889</v>
      </c>
      <c r="L2366" s="3" t="inlineStr">
        <is>
          <t>106.94</t>
        </is>
      </c>
      <c r="M2366" t="inlineStr">
        <is>
          <t>Bonndorf</t>
        </is>
      </c>
    </row>
    <row r="2367">
      <c r="A2367" t="inlineStr">
        <is>
          <t>North Rebel 12m2 inklusive Bar (jetzt Duotone)</t>
        </is>
      </c>
      <c r="B2367" s="4" t="n">
        <v>550</v>
      </c>
      <c r="C2367" t="inlineStr"/>
      <c r="D2367" t="inlineStr">
        <is>
          <t>26655 Niedersachsen - Westerstede</t>
        </is>
      </c>
      <c r="E2367" s="5" t="n">
        <v>45537</v>
      </c>
      <c r="F2367" t="inlineStr">
        <is>
          <t>Sold</t>
        </is>
      </c>
      <c r="G2367" s="6">
        <f>HYPERLINK("https://www.kleinanzeigen.de/s-anzeige/north-rebel-12m2-inklusive-bar-jetzt-duotone-/2852457515-230-2641", "Link")</f>
        <v/>
      </c>
      <c r="H2367" s="6">
        <f>HYPERLINK("C:\Projects\Kleinanzeigen-Scraper\offer_images\2852457515", "Link")</f>
        <v/>
      </c>
      <c r="I2367" t="inlineStr">
        <is>
          <t>Enrico</t>
        </is>
      </c>
      <c r="J2367" s="6">
        <f>HYPERLINK("https://www.kleinanzeigen.de/s-bestandsliste.html?userId=37855769", "Link")</f>
        <v/>
      </c>
      <c r="K2367" s="7" t="n">
        <v>45549.57295138889</v>
      </c>
      <c r="L2367" s="3" t="inlineStr">
        <is>
          <t>268.59</t>
        </is>
      </c>
      <c r="M2367" t="inlineStr">
        <is>
          <t>Köln</t>
        </is>
      </c>
    </row>
    <row r="2368">
      <c r="A2368" t="inlineStr">
        <is>
          <t>Duotone Sky Style 4´11</t>
        </is>
      </c>
      <c r="B2368" s="4" t="n">
        <v>935</v>
      </c>
      <c r="C2368" t="inlineStr">
        <is>
          <t>VB</t>
        </is>
      </c>
      <c r="D2368" t="inlineStr">
        <is>
          <t>63075 Hessen - Offenbach</t>
        </is>
      </c>
      <c r="E2368" s="5" t="n">
        <v>45549</v>
      </c>
      <c r="F2368" t="inlineStr">
        <is>
          <t>Sold</t>
        </is>
      </c>
      <c r="G2368" s="6">
        <f>HYPERLINK("https://www.kleinanzeigen.de/s-anzeige/duotone-sky-style-4-11/2862785074-230-4356", "Link")</f>
        <v/>
      </c>
      <c r="H2368" s="6">
        <f>HYPERLINK("C:\Projects\Kleinanzeigen-Scraper\offer_images\2862785074", "Link")</f>
        <v/>
      </c>
      <c r="I2368" t="inlineStr">
        <is>
          <t>Chr. Doetsch</t>
        </is>
      </c>
      <c r="J2368" s="6">
        <f>HYPERLINK("https://www.kleinanzeigen.de/s-bestandsliste.html?userId=18166072", "Link")</f>
        <v/>
      </c>
      <c r="K2368" s="7" t="n">
        <v>45549.57295138889</v>
      </c>
      <c r="L2368" s="3" t="inlineStr">
        <is>
          <t>127.53</t>
        </is>
      </c>
      <c r="M2368" t="inlineStr">
        <is>
          <t>Karlsruhe</t>
        </is>
      </c>
    </row>
    <row r="2369">
      <c r="A2369" t="inlineStr">
        <is>
          <t>North Cross Waveboard 2022 5‘0 Kitesurfen Kiteboard Sale</t>
        </is>
      </c>
      <c r="B2369" s="4" t="n">
        <v>549</v>
      </c>
      <c r="C2369" t="inlineStr"/>
      <c r="D2369" t="inlineStr">
        <is>
          <t>22457 Eimsbüttel - Hamburg Schnelsen</t>
        </is>
      </c>
      <c r="E2369" s="5" t="n">
        <v>45538</v>
      </c>
      <c r="F2369" t="inlineStr">
        <is>
          <t>Sold</t>
        </is>
      </c>
      <c r="G2369" s="6">
        <f>HYPERLINK("https://www.kleinanzeigen.de/s-anzeige/north-cross-waveboard-2022-5-0-kitesurfen-kiteboard-sale/2211084120-230-9492", "Link")</f>
        <v/>
      </c>
      <c r="H2369" s="6">
        <f>HYPERLINK("C:\Projects\Kleinanzeigen-Scraper\offer_images\2211084120", "Link")</f>
        <v/>
      </c>
      <c r="I2369" t="inlineStr">
        <is>
          <t>No user name</t>
        </is>
      </c>
      <c r="J2369" s="6">
        <f>HYPERLINK("https://www.kleinanzeigen.deNo user link", "Link")</f>
        <v/>
      </c>
      <c r="K2369" s="7" t="n">
        <v>45549.57295138889</v>
      </c>
      <c r="L2369" s="3" t="inlineStr">
        <is>
          <t>362.41</t>
        </is>
      </c>
      <c r="M2369" t="inlineStr">
        <is>
          <t>Köln</t>
        </is>
      </c>
    </row>
    <row r="2370">
      <c r="A2370" t="inlineStr">
        <is>
          <t>Francesco de Goya</t>
        </is>
      </c>
      <c r="B2370" s="4" t="n">
        <v>80</v>
      </c>
      <c r="C2370" t="inlineStr">
        <is>
          <t>VB</t>
        </is>
      </c>
      <c r="D2370" t="inlineStr">
        <is>
          <t>64625 Hessen - Bensheim</t>
        </is>
      </c>
      <c r="E2370" s="5" t="n">
        <v>45542</v>
      </c>
      <c r="F2370" t="inlineStr"/>
      <c r="G2370" s="6">
        <f>HYPERLINK("https://www.kleinanzeigen.de/s-anzeige/francesco-de-goya/2856267382-240-4769", "Link")</f>
        <v/>
      </c>
      <c r="H2370" s="6">
        <f>HYPERLINK("C:\Projects\Kleinanzeigen-Scraper\offer_images\2856267382", "Link")</f>
        <v/>
      </c>
      <c r="I2370" t="inlineStr">
        <is>
          <t>Chris</t>
        </is>
      </c>
      <c r="J2370" s="6">
        <f>HYPERLINK("https://www.kleinanzeigen.de/s-bestandsliste.html?userId=88053173", "Link")</f>
        <v/>
      </c>
      <c r="K2370" s="7" t="n">
        <v>45549.57293981482</v>
      </c>
      <c r="L2370" s="3" t="inlineStr">
        <is>
          <t>77.54</t>
        </is>
      </c>
      <c r="M2370" t="inlineStr">
        <is>
          <t>Karlsruhe</t>
        </is>
      </c>
    </row>
    <row r="2371">
      <c r="A2371" t="inlineStr">
        <is>
          <t>Duotone Wing Set Aero Glide SLS 1085/200 Wingsurfen</t>
        </is>
      </c>
      <c r="B2371" s="4" t="n">
        <v>749</v>
      </c>
      <c r="C2371" t="inlineStr"/>
      <c r="D2371" t="inlineStr">
        <is>
          <t>22457 Eimsbüttel - Hamburg Schnelsen</t>
        </is>
      </c>
      <c r="E2371" s="5" t="n">
        <v>45543</v>
      </c>
      <c r="F2371" t="inlineStr">
        <is>
          <t>Sold</t>
        </is>
      </c>
      <c r="G2371" s="6">
        <f>HYPERLINK("https://www.kleinanzeigen.de/s-anzeige/duotone-wing-set-aero-glide-sls-1085-200-wingsurfen/2601560855-230-9492", "Link")</f>
        <v/>
      </c>
      <c r="H2371" s="6">
        <f>HYPERLINK("C:\Projects\Kleinanzeigen-Scraper\offer_images\2601560855", "Link")</f>
        <v/>
      </c>
      <c r="I2371" t="inlineStr">
        <is>
          <t>No user name</t>
        </is>
      </c>
      <c r="J2371" s="6">
        <f>HYPERLINK("https://www.kleinanzeigen.deNo user link", "Link")</f>
        <v/>
      </c>
      <c r="K2371" s="7" t="n">
        <v>45549.57293981482</v>
      </c>
      <c r="L2371" s="3" t="inlineStr">
        <is>
          <t>362.41</t>
        </is>
      </c>
      <c r="M2371" t="inlineStr">
        <is>
          <t>Köln</t>
        </is>
      </c>
    </row>
    <row r="2372">
      <c r="A2372" t="inlineStr">
        <is>
          <t>Duotone NEO Kite  8qm</t>
        </is>
      </c>
      <c r="B2372" s="4" t="n">
        <v>840</v>
      </c>
      <c r="C2372" t="inlineStr">
        <is>
          <t>VB</t>
        </is>
      </c>
      <c r="D2372" t="inlineStr">
        <is>
          <t>20253 Eimsbüttel - Hamburg Eimsbüttel (Stadtteil)</t>
        </is>
      </c>
      <c r="E2372" s="5" t="n">
        <v>45540</v>
      </c>
      <c r="F2372" t="inlineStr">
        <is>
          <t>Sold</t>
        </is>
      </c>
      <c r="G2372" s="6">
        <f>HYPERLINK("https://www.kleinanzeigen.de/s-anzeige/duotone-neo-kite-8qm/2854893800-230-9430", "Link")</f>
        <v/>
      </c>
      <c r="H2372" s="6">
        <f>HYPERLINK("C:\Projects\Kleinanzeigen-Scraper\offer_images\2854893800", "Link")</f>
        <v/>
      </c>
      <c r="I2372" t="inlineStr">
        <is>
          <t>svenja</t>
        </is>
      </c>
      <c r="J2372" s="6">
        <f>HYPERLINK("https://www.kleinanzeigen.de/s-bestandsliste.html?userId=6689983", "Link")</f>
        <v/>
      </c>
      <c r="K2372" s="7" t="n">
        <v>45549.57292824074</v>
      </c>
      <c r="L2372" s="3" t="inlineStr">
        <is>
          <t>357.98</t>
        </is>
      </c>
      <c r="M2372" t="inlineStr">
        <is>
          <t>Köln</t>
        </is>
      </c>
    </row>
    <row r="2373">
      <c r="A2373" t="inlineStr">
        <is>
          <t>Neilpryde Rs Flight Al Foil</t>
        </is>
      </c>
      <c r="B2373" s="4" t="n">
        <v>240</v>
      </c>
      <c r="C2373" t="inlineStr">
        <is>
          <t>VB</t>
        </is>
      </c>
      <c r="D2373" t="inlineStr">
        <is>
          <t>01558 Sachsen - Großenhain</t>
        </is>
      </c>
      <c r="E2373" s="5" t="n">
        <v>45501</v>
      </c>
      <c r="F2373" t="inlineStr">
        <is>
          <t>Sold</t>
        </is>
      </c>
      <c r="G2373" s="6">
        <f>HYPERLINK("https://www.kleinanzeigen.de/s-anzeige/neilpryde-rs-flight-al-foil/2823715521-230-3994", "Link")</f>
        <v/>
      </c>
      <c r="H2373" s="6">
        <f>HYPERLINK("C:\Projects\Kleinanzeigen-Scraper\offer_images\2823715521", "Link")</f>
        <v/>
      </c>
      <c r="I2373" t="inlineStr">
        <is>
          <t>Schmidt, Robert</t>
        </is>
      </c>
      <c r="J2373" s="6">
        <f>HYPERLINK("https://www.kleinanzeigen.de/s-bestandsliste.html?userId=18600490", "Link")</f>
        <v/>
      </c>
      <c r="K2373" s="7" t="n">
        <v>45549.57292824074</v>
      </c>
      <c r="L2373" s="3" t="inlineStr">
        <is>
          <t>378.05</t>
        </is>
      </c>
      <c r="M2373" t="inlineStr">
        <is>
          <t>München</t>
        </is>
      </c>
    </row>
    <row r="2374">
      <c r="A2374" t="inlineStr">
        <is>
          <t>Autogrammkarte Daniel Simmes Borussia Dortmund</t>
        </is>
      </c>
      <c r="B2374" s="4" t="n">
        <v>2</v>
      </c>
      <c r="C2374" t="inlineStr"/>
      <c r="D2374" t="inlineStr">
        <is>
          <t>42555 Nordrhein-Westfalen - Velbert</t>
        </is>
      </c>
      <c r="E2374" s="5" t="n">
        <v>45543</v>
      </c>
      <c r="F2374" t="inlineStr"/>
      <c r="G2374" s="6">
        <f>HYPERLINK("https://www.kleinanzeigen.de/s-anzeige/autogrammkarte-daniel-simmes-borussia-dortmund/2857482745-234-1748", "Link")</f>
        <v/>
      </c>
      <c r="H2374" s="6">
        <f>HYPERLINK("C:\Projects\Kleinanzeigen-Scraper\offer_images\2857482745", "Link")</f>
        <v/>
      </c>
      <c r="I2374" t="inlineStr">
        <is>
          <t>Frank Peiler</t>
        </is>
      </c>
      <c r="J2374" s="6">
        <f>HYPERLINK("https://www.kleinanzeigen.de/s-bestandsliste.html?userId=77678811", "Link")</f>
        <v/>
      </c>
      <c r="K2374" s="7" t="n">
        <v>45549.57290509259</v>
      </c>
      <c r="L2374" s="3" t="inlineStr">
        <is>
          <t>47.29</t>
        </is>
      </c>
      <c r="M2374" t="inlineStr">
        <is>
          <t>Köln</t>
        </is>
      </c>
    </row>
    <row r="2375">
      <c r="A2375" t="inlineStr">
        <is>
          <t>3 Paar Kiteboard Bindungen North Duotone Entity +Liquid Force neu</t>
        </is>
      </c>
      <c r="B2375" s="4" t="n">
        <v>65</v>
      </c>
      <c r="C2375" t="inlineStr"/>
      <c r="D2375" t="inlineStr">
        <is>
          <t>71732 Baden-Württemberg - Tamm</t>
        </is>
      </c>
      <c r="E2375" s="5" t="n">
        <v>45537</v>
      </c>
      <c r="F2375" t="inlineStr">
        <is>
          <t>Sold</t>
        </is>
      </c>
      <c r="G2375" s="6">
        <f>HYPERLINK("https://www.kleinanzeigen.de/s-anzeige/3-paar-kiteboard-bindungen-north-duotone-entity-liquid-force-neu/2852708891-230-8673", "Link")</f>
        <v/>
      </c>
      <c r="H2375" s="6">
        <f>HYPERLINK("C:\Projects\Kleinanzeigen-Scraper\offer_images\2852708891", "Link")</f>
        <v/>
      </c>
      <c r="I2375" t="inlineStr">
        <is>
          <t>TPsixtyone</t>
        </is>
      </c>
      <c r="J2375" s="6">
        <f>HYPERLINK("https://www.kleinanzeigen.de/s-bestandsliste.html?userId=137859614", "Link")</f>
        <v/>
      </c>
      <c r="K2375" s="7" t="n">
        <v>45549.57290509259</v>
      </c>
      <c r="L2375" s="3" t="inlineStr">
        <is>
          <t>28.86</t>
        </is>
      </c>
      <c r="M2375" t="inlineStr">
        <is>
          <t>Böblingen</t>
        </is>
      </c>
    </row>
    <row r="2376">
      <c r="A2376" t="inlineStr">
        <is>
          <t>Neoprenanzug Shorty für Kinder Neilpryde</t>
        </is>
      </c>
      <c r="B2376" s="4" t="n">
        <v>15</v>
      </c>
      <c r="C2376" t="inlineStr"/>
      <c r="D2376" t="inlineStr">
        <is>
          <t>13509 Berlin - Reinickendorf</t>
        </is>
      </c>
      <c r="E2376" s="5" t="n">
        <v>45493</v>
      </c>
      <c r="F2376" t="inlineStr">
        <is>
          <t>Sold</t>
        </is>
      </c>
      <c r="G2376" s="6">
        <f>HYPERLINK("https://www.kleinanzeigen.de/s-anzeige/neoprenanzug-shorty-fuer-kinder-neilpryde/2816783262-230-3452", "Link")</f>
        <v/>
      </c>
      <c r="H2376" s="6">
        <f>HYPERLINK("C:\Projects\Kleinanzeigen-Scraper\offer_images\2816783262", "Link")</f>
        <v/>
      </c>
      <c r="I2376" t="inlineStr">
        <is>
          <t>Schiller</t>
        </is>
      </c>
      <c r="J2376" s="6">
        <f>HYPERLINK("https://www.kleinanzeigen.de/s-bestandsliste.html?userId=10526377", "Link")</f>
        <v/>
      </c>
      <c r="K2376" s="7" t="n">
        <v>45549.57290509259</v>
      </c>
      <c r="L2376" s="3" t="inlineStr">
        <is>
          <t>473.73</t>
        </is>
      </c>
      <c r="M2376" t="inlineStr">
        <is>
          <t>Köln</t>
        </is>
      </c>
    </row>
    <row r="2377">
      <c r="A2377" t="inlineStr">
        <is>
          <t>Duotone Unit 3m | 2024 | grau/ blau | Wing Foil | Wingfoil</t>
        </is>
      </c>
      <c r="B2377" s="4" t="n">
        <v>560</v>
      </c>
      <c r="C2377" t="inlineStr">
        <is>
          <t>VB</t>
        </is>
      </c>
      <c r="D2377" t="inlineStr">
        <is>
          <t>46145 Nordrhein-Westfalen - Oberhausen</t>
        </is>
      </c>
      <c r="E2377" s="5" t="n">
        <v>45547</v>
      </c>
      <c r="F2377" t="inlineStr">
        <is>
          <t>Sold</t>
        </is>
      </c>
      <c r="G2377" s="6">
        <f>HYPERLINK("https://www.kleinanzeigen.de/s-anzeige/duotone-unit-3m-2024-grau-blau-wing-foil-wingfoil/2860900611-230-1292", "Link")</f>
        <v/>
      </c>
      <c r="H2377" s="6">
        <f>HYPERLINK("C:\Projects\Kleinanzeigen-Scraper\offer_images\2860900611", "Link")</f>
        <v/>
      </c>
      <c r="I2377" t="inlineStr">
        <is>
          <t>C.M.</t>
        </is>
      </c>
      <c r="J2377" s="6">
        <f>HYPERLINK("https://www.kleinanzeigen.de/s-bestandsliste.html?userId=123493943", "Link")</f>
        <v/>
      </c>
      <c r="K2377" s="7" t="n">
        <v>45549.57290509259</v>
      </c>
      <c r="L2377" s="3" t="inlineStr">
        <is>
          <t>67.30</t>
        </is>
      </c>
      <c r="M2377" t="inlineStr">
        <is>
          <t>Köln</t>
        </is>
      </c>
    </row>
    <row r="2378">
      <c r="A2378" t="inlineStr">
        <is>
          <t>North Orbit 7qm + 9qm + Navigator Bar</t>
        </is>
      </c>
      <c r="B2378" s="4" t="n">
        <v>1.65</v>
      </c>
      <c r="C2378" t="inlineStr">
        <is>
          <t>VB</t>
        </is>
      </c>
      <c r="D2378" t="inlineStr">
        <is>
          <t>32469 Nordrhein-Westfalen - Petershagen</t>
        </is>
      </c>
      <c r="E2378" s="5" t="n">
        <v>45536</v>
      </c>
      <c r="F2378" t="inlineStr">
        <is>
          <t>Sold</t>
        </is>
      </c>
      <c r="G2378" s="6">
        <f>HYPERLINK("https://www.kleinanzeigen.de/s-anzeige/north-orbit-7qm-9qm-navigator-bar/2851715265-230-1227", "Link")</f>
        <v/>
      </c>
      <c r="H2378" s="6">
        <f>HYPERLINK("C:\Projects\Kleinanzeigen-Scraper\offer_images\2851715265", "Link")</f>
        <v/>
      </c>
      <c r="I2378" t="inlineStr">
        <is>
          <t>Maic Rittmeier</t>
        </is>
      </c>
      <c r="J2378" s="6">
        <f>HYPERLINK("https://www.kleinanzeigen.de/s-bestandsliste.html?userId=18631331", "Link")</f>
        <v/>
      </c>
      <c r="K2378" s="7" t="n">
        <v>45549.57290509259</v>
      </c>
      <c r="L2378" s="3" t="inlineStr">
        <is>
          <t>212.79</t>
        </is>
      </c>
      <c r="M2378" t="inlineStr">
        <is>
          <t>Köln</t>
        </is>
      </c>
    </row>
    <row r="2379">
      <c r="A2379" t="inlineStr">
        <is>
          <t>Naish Pivot 2020 12m2</t>
        </is>
      </c>
      <c r="B2379" s="4" t="n">
        <v>350</v>
      </c>
      <c r="C2379" t="inlineStr">
        <is>
          <t>VB</t>
        </is>
      </c>
      <c r="D2379" t="inlineStr">
        <is>
          <t>81541 München - Au-Haidhausen</t>
        </is>
      </c>
      <c r="E2379" s="5" t="n">
        <v>45523</v>
      </c>
      <c r="F2379" t="inlineStr"/>
      <c r="G2379" s="6">
        <f>HYPERLINK("https://www.kleinanzeigen.de/s-anzeige/naish-pivot-2020-12m2/2841382128-230-6426", "Link")</f>
        <v/>
      </c>
      <c r="H2379" s="6">
        <f>HYPERLINK("C:\Projects\Kleinanzeigen-Scraper\offer_images\2841382128", "Link")</f>
        <v/>
      </c>
      <c r="I2379" t="inlineStr">
        <is>
          <t>Matthias H.</t>
        </is>
      </c>
      <c r="J2379" s="6">
        <f>HYPERLINK("https://www.kleinanzeigen.de/s-bestandsliste.html?userId=26009978", "Link")</f>
        <v/>
      </c>
      <c r="K2379" s="7" t="n">
        <v>45549.57288194444</v>
      </c>
      <c r="L2379" s="3" t="inlineStr">
        <is>
          <t>1.89</t>
        </is>
      </c>
      <c r="M2379" t="inlineStr">
        <is>
          <t>München</t>
        </is>
      </c>
    </row>
    <row r="2380">
      <c r="A2380" t="inlineStr">
        <is>
          <t>Fleecehoddie THE NORTH FACE, Damen, Größe M, neuwertig</t>
        </is>
      </c>
      <c r="B2380" s="4" t="n">
        <v>29</v>
      </c>
      <c r="C2380" t="inlineStr">
        <is>
          <t>VB</t>
        </is>
      </c>
      <c r="D2380" t="inlineStr">
        <is>
          <t>28844 Niedersachsen - Weyhe</t>
        </is>
      </c>
      <c r="E2380" s="5" t="n">
        <v>45543</v>
      </c>
      <c r="F2380" t="inlineStr">
        <is>
          <t>Sold</t>
        </is>
      </c>
      <c r="G2380" s="6">
        <f>HYPERLINK("https://www.kleinanzeigen.de/s-anzeige/fleecehoddie-the-north-face-damen-groesse-m-neuwertig/2857738237-230-2721", "Link")</f>
        <v/>
      </c>
      <c r="H2380" s="6">
        <f>HYPERLINK("C:\Projects\Kleinanzeigen-Scraper\offer_images\2857738237", "Link")</f>
        <v/>
      </c>
      <c r="I2380" t="inlineStr">
        <is>
          <t>Christiane Gregor</t>
        </is>
      </c>
      <c r="J2380" s="6">
        <f>HYPERLINK("https://www.kleinanzeigen.de/s-bestandsliste.html?userId=19259320", "Link")</f>
        <v/>
      </c>
      <c r="K2380" s="7" t="n">
        <v>45549.57288194444</v>
      </c>
      <c r="L2380" s="3" t="inlineStr">
        <is>
          <t>261.86</t>
        </is>
      </c>
      <c r="M2380" t="inlineStr">
        <is>
          <t>Köln</t>
        </is>
      </c>
    </row>
    <row r="2381">
      <c r="A2381" t="inlineStr">
        <is>
          <t>Doppelhub Pumpe Tikki Pump SUP Starboard</t>
        </is>
      </c>
      <c r="B2381" s="4" t="n">
        <v>45</v>
      </c>
      <c r="C2381" t="inlineStr"/>
      <c r="D2381" t="inlineStr">
        <is>
          <t>57234 Nordrhein-Westfalen - Wilnsdorf</t>
        </is>
      </c>
      <c r="E2381" s="5" t="n">
        <v>45544</v>
      </c>
      <c r="F2381" t="inlineStr"/>
      <c r="G2381" s="6">
        <f>HYPERLINK("https://www.kleinanzeigen.de/s-anzeige/doppelhub-pumpe-tikki-pump-sup-starboard/2858572875-230-1494", "Link")</f>
        <v/>
      </c>
      <c r="H2381" s="6">
        <f>HYPERLINK("C:\Projects\Kleinanzeigen-Scraper\offer_images\2858572875", "Link")</f>
        <v/>
      </c>
      <c r="I2381" t="inlineStr">
        <is>
          <t>Wolfgang</t>
        </is>
      </c>
      <c r="J2381" s="6">
        <f>HYPERLINK("https://www.kleinanzeigen.de/s-bestandsliste.html?userId=40528753", "Link")</f>
        <v/>
      </c>
      <c r="K2381" s="7" t="n">
        <v>45549.57288194444</v>
      </c>
      <c r="L2381" s="3" t="inlineStr">
        <is>
          <t>82.06</t>
        </is>
      </c>
      <c r="M2381" t="inlineStr">
        <is>
          <t>Köln</t>
        </is>
      </c>
    </row>
    <row r="2382">
      <c r="A2382" t="inlineStr">
        <is>
          <t>North-Kite 16qm</t>
        </is>
      </c>
      <c r="B2382" s="4" t="n">
        <v>110</v>
      </c>
      <c r="C2382" t="inlineStr"/>
      <c r="D2382" t="inlineStr">
        <is>
          <t>34320 Hessen - Söhrewald</t>
        </is>
      </c>
      <c r="E2382" s="5" t="n">
        <v>45537</v>
      </c>
      <c r="F2382" t="inlineStr">
        <is>
          <t>Sold</t>
        </is>
      </c>
      <c r="G2382" s="6">
        <f>HYPERLINK("https://www.kleinanzeigen.de/s-anzeige/north-kite-16qm/2852291937-187-4929", "Link")</f>
        <v/>
      </c>
      <c r="H2382" s="6">
        <f>HYPERLINK("C:\Projects\Kleinanzeigen-Scraper\offer_images\2852291937", "Link")</f>
        <v/>
      </c>
      <c r="I2382" t="inlineStr">
        <is>
          <t>privater Anbieter</t>
        </is>
      </c>
      <c r="J2382" s="6">
        <f>HYPERLINK("https://www.kleinanzeigen.de/s-bestandsliste.html?userId=26409554", "Link")</f>
        <v/>
      </c>
      <c r="K2382" s="7" t="n">
        <v>45549.57288194444</v>
      </c>
      <c r="L2382" s="3" t="inlineStr">
        <is>
          <t>186.13</t>
        </is>
      </c>
      <c r="M2382" t="inlineStr">
        <is>
          <t>Köln</t>
        </is>
      </c>
    </row>
    <row r="2383">
      <c r="A2383" t="inlineStr">
        <is>
          <t>Naish Pivot S 26 2022, 9qm</t>
        </is>
      </c>
      <c r="B2383" s="4" t="n">
        <v>650</v>
      </c>
      <c r="C2383" t="inlineStr">
        <is>
          <t>VB</t>
        </is>
      </c>
      <c r="D2383" t="inlineStr">
        <is>
          <t>22301 Hamburg-Nord - Hamburg Winterhude</t>
        </is>
      </c>
      <c r="E2383" s="5" t="n">
        <v>45529</v>
      </c>
      <c r="F2383" t="inlineStr"/>
      <c r="G2383" s="6">
        <f>HYPERLINK("https://www.kleinanzeigen.de/s-anzeige/naish-pivot-s-26-2022-9qm/2845817056-230-9483", "Link")</f>
        <v/>
      </c>
      <c r="H2383" s="6">
        <f>HYPERLINK("C:\Projects\Kleinanzeigen-Scraper\offer_images\2845817056", "Link")</f>
        <v/>
      </c>
      <c r="I2383" t="inlineStr">
        <is>
          <t>Michael Steiger</t>
        </is>
      </c>
      <c r="J2383" s="6">
        <f>HYPERLINK("https://www.kleinanzeigen.de/s-bestandsliste.html?userId=11824257", "Link")</f>
        <v/>
      </c>
      <c r="K2383" s="7" t="n">
        <v>45549.57285879629</v>
      </c>
      <c r="L2383" s="3" t="inlineStr">
        <is>
          <t>245.76</t>
        </is>
      </c>
      <c r="M2383" t="inlineStr">
        <is>
          <t>Köln</t>
        </is>
      </c>
    </row>
    <row r="2384">
      <c r="A2384" t="inlineStr">
        <is>
          <t>Neoprenanzug Kinder Neilpryde Gr. 8</t>
        </is>
      </c>
      <c r="B2384" s="4" t="n">
        <v>20</v>
      </c>
      <c r="C2384" t="inlineStr"/>
      <c r="D2384" t="inlineStr">
        <is>
          <t>26689 Niedersachsen - Apen</t>
        </is>
      </c>
      <c r="E2384" s="5" t="n">
        <v>45495</v>
      </c>
      <c r="F2384" t="inlineStr">
        <is>
          <t>Sold</t>
        </is>
      </c>
      <c r="G2384" s="6">
        <f>HYPERLINK("https://www.kleinanzeigen.de/s-anzeige/neoprenanzug-kinder-neilpryde-gr-8/2818249478-230-2642", "Link")</f>
        <v/>
      </c>
      <c r="H2384" s="6">
        <f>HYPERLINK("C:\Projects\Kleinanzeigen-Scraper\offer_images\2818249478", "Link")</f>
        <v/>
      </c>
      <c r="I2384" t="inlineStr">
        <is>
          <t>Zech</t>
        </is>
      </c>
      <c r="J2384" s="6">
        <f>HYPERLINK("https://www.kleinanzeigen.de/s-bestandsliste.html?userId=5704135", "Link")</f>
        <v/>
      </c>
      <c r="K2384" s="7" t="n">
        <v>45549.57285879629</v>
      </c>
      <c r="L2384" s="3" t="inlineStr">
        <is>
          <t>258.00</t>
        </is>
      </c>
      <c r="M2384" t="inlineStr">
        <is>
          <t>Köln</t>
        </is>
      </c>
    </row>
    <row r="2385">
      <c r="A2385" t="inlineStr">
        <is>
          <t>Duotone Rebel sls 12qm 2023</t>
        </is>
      </c>
      <c r="B2385" s="4" t="n">
        <v>1</v>
      </c>
      <c r="C2385" t="inlineStr"/>
      <c r="D2385" t="inlineStr">
        <is>
          <t>83395 Bayern - Freilassing</t>
        </is>
      </c>
      <c r="E2385" s="5" t="n">
        <v>45539</v>
      </c>
      <c r="F2385" t="inlineStr">
        <is>
          <t>Sold</t>
        </is>
      </c>
      <c r="G2385" s="6">
        <f>HYPERLINK("https://www.kleinanzeigen.de/s-anzeige/duotone-rebel-sls-12qm-2023/2854020613-230-6273", "Link")</f>
        <v/>
      </c>
      <c r="H2385" s="6">
        <f>HYPERLINK("C:\Projects\Kleinanzeigen-Scraper\offer_images\2854020613", "Link")</f>
        <v/>
      </c>
      <c r="I2385" t="inlineStr">
        <is>
          <t>Patrick Ko</t>
        </is>
      </c>
      <c r="J2385" s="6">
        <f>HYPERLINK("https://www.kleinanzeigen.de/s-bestandsliste.html?userId=51396433", "Link")</f>
        <v/>
      </c>
      <c r="K2385" s="7" t="n">
        <v>45549.57285879629</v>
      </c>
      <c r="L2385" s="3" t="inlineStr">
        <is>
          <t>108.85</t>
        </is>
      </c>
      <c r="M2385" t="inlineStr">
        <is>
          <t>München</t>
        </is>
      </c>
    </row>
    <row r="2386">
      <c r="A2386" t="inlineStr">
        <is>
          <t>Neilpryde Neoprenanzug 46</t>
        </is>
      </c>
      <c r="B2386" s="4" t="n">
        <v>35</v>
      </c>
      <c r="C2386" t="inlineStr"/>
      <c r="D2386" t="inlineStr">
        <is>
          <t>32791 Nordrhein-Westfalen - Lage</t>
        </is>
      </c>
      <c r="E2386" s="5" t="n">
        <v>45544</v>
      </c>
      <c r="F2386" t="inlineStr">
        <is>
          <t>Sold</t>
        </is>
      </c>
      <c r="G2386" s="6">
        <f>HYPERLINK("https://www.kleinanzeigen.de/s-anzeige/neilpryde-neoprenanzug-46/2858584227-230-1656", "Link")</f>
        <v/>
      </c>
      <c r="H2386" s="6">
        <f>HYPERLINK("C:\Projects\Kleinanzeigen-Scraper\offer_images\2858584227", "Link")</f>
        <v/>
      </c>
      <c r="I2386" t="inlineStr">
        <is>
          <t>Thomas</t>
        </is>
      </c>
      <c r="J2386" s="6">
        <f>HYPERLINK("https://www.kleinanzeigen.de/s-bestandsliste.html?userId=144165039", "Link")</f>
        <v/>
      </c>
      <c r="K2386" s="7" t="n">
        <v>45549.57283564815</v>
      </c>
      <c r="L2386" s="3" t="inlineStr">
        <is>
          <t>171.42</t>
        </is>
      </c>
      <c r="M2386" t="inlineStr">
        <is>
          <t>Köln</t>
        </is>
      </c>
    </row>
    <row r="2387">
      <c r="A2387" t="inlineStr">
        <is>
          <t>Duotone Evo 12m / 2020 / Rot / TOP</t>
        </is>
      </c>
      <c r="B2387" s="4" t="n">
        <v>775</v>
      </c>
      <c r="C2387" t="inlineStr"/>
      <c r="D2387" t="inlineStr">
        <is>
          <t>63179 Hessen - Obertshausen</t>
        </is>
      </c>
      <c r="E2387" s="5" t="n">
        <v>45548</v>
      </c>
      <c r="F2387" t="inlineStr">
        <is>
          <t>Sold</t>
        </is>
      </c>
      <c r="G2387" s="6">
        <f>HYPERLINK("https://www.kleinanzeigen.de/s-anzeige/duotone-evo-12m-2020-rot-top/2862498807-230-4570", "Link")</f>
        <v/>
      </c>
      <c r="H2387" s="6">
        <f>HYPERLINK("C:\Projects\Kleinanzeigen-Scraper\offer_images\2862498807", "Link")</f>
        <v/>
      </c>
      <c r="I2387" t="inlineStr">
        <is>
          <t>JC</t>
        </is>
      </c>
      <c r="J2387" s="6">
        <f>HYPERLINK("https://www.kleinanzeigen.de/s-bestandsliste.html?userId=94421", "Link")</f>
        <v/>
      </c>
      <c r="K2387" s="7" t="n">
        <v>45549.57283564815</v>
      </c>
      <c r="L2387" s="3" t="inlineStr">
        <is>
          <t>123.72</t>
        </is>
      </c>
      <c r="M2387" t="inlineStr">
        <is>
          <t>Karlsruhe</t>
        </is>
      </c>
    </row>
    <row r="2388">
      <c r="A2388" t="inlineStr">
        <is>
          <t>Wing Duotone Slick DLAB 5,0 Modell 2024</t>
        </is>
      </c>
      <c r="B2388" s="4" t="n">
        <v>1.18</v>
      </c>
      <c r="C2388" t="inlineStr"/>
      <c r="D2388" t="inlineStr">
        <is>
          <t>47058 Duisburg - Duisburg-Mitte</t>
        </is>
      </c>
      <c r="E2388" s="5" t="n">
        <v>45547</v>
      </c>
      <c r="F2388" t="inlineStr">
        <is>
          <t>Sold</t>
        </is>
      </c>
      <c r="G2388" s="6">
        <f>HYPERLINK("https://www.kleinanzeigen.de/s-anzeige/wing-duotone-slick-dlab-5-0-modell-2024/2861090619-230-2152", "Link")</f>
        <v/>
      </c>
      <c r="H2388" s="6">
        <f>HYPERLINK("C:\Projects\Kleinanzeigen-Scraper\offer_images\2861090619", "Link")</f>
        <v/>
      </c>
      <c r="I2388" t="inlineStr">
        <is>
          <t>Sebastian</t>
        </is>
      </c>
      <c r="J2388" s="6">
        <f>HYPERLINK("https://www.kleinanzeigen.de/s-bestandsliste.html?userId=14905691", "Link")</f>
        <v/>
      </c>
      <c r="K2388" s="7" t="n">
        <v>45549.57283564815</v>
      </c>
      <c r="L2388" s="3" t="inlineStr">
        <is>
          <t>56.75</t>
        </is>
      </c>
      <c r="M2388" t="inlineStr">
        <is>
          <t>Köln</t>
        </is>
      </c>
    </row>
    <row r="2389">
      <c r="A2389" t="inlineStr">
        <is>
          <t>DUOTONE Trust Bar M; Trustbar 2023; Kite</t>
        </is>
      </c>
      <c r="B2389" s="4" t="n">
        <v>370</v>
      </c>
      <c r="C2389" t="inlineStr">
        <is>
          <t>VB</t>
        </is>
      </c>
      <c r="D2389" t="inlineStr">
        <is>
          <t>83043 Bayern - Bad Aibling</t>
        </is>
      </c>
      <c r="E2389" s="5" t="n">
        <v>45540</v>
      </c>
      <c r="F2389" t="inlineStr">
        <is>
          <t>Sold</t>
        </is>
      </c>
      <c r="G2389" s="6">
        <f>HYPERLINK("https://www.kleinanzeigen.de/s-anzeige/duotone-trust-bar-m-trustbar-2023-kite/2854779228-230-6134", "Link")</f>
        <v/>
      </c>
      <c r="H2389" s="6">
        <f>HYPERLINK("C:\Projects\Kleinanzeigen-Scraper\offer_images\2854779228", "Link")</f>
        <v/>
      </c>
      <c r="I2389" t="inlineStr">
        <is>
          <t>Michael Hohmann</t>
        </is>
      </c>
      <c r="J2389" s="6">
        <f>HYPERLINK("https://www.kleinanzeigen.de/s-bestandsliste.html?userId=22739113", "Link")</f>
        <v/>
      </c>
      <c r="K2389" s="7" t="n">
        <v>45549.57282407407</v>
      </c>
      <c r="L2389" s="3" t="inlineStr">
        <is>
          <t>43.15</t>
        </is>
      </c>
      <c r="M2389" t="inlineStr">
        <is>
          <t>München</t>
        </is>
      </c>
    </row>
    <row r="2390">
      <c r="A2390" t="inlineStr">
        <is>
          <t>Naish Dash LE 9qm S25 2021 -50% Freestyle Kite</t>
        </is>
      </c>
      <c r="B2390" s="4" t="n">
        <v>714</v>
      </c>
      <c r="C2390" t="inlineStr">
        <is>
          <t>VB</t>
        </is>
      </c>
      <c r="D2390" t="inlineStr">
        <is>
          <t>18586 Mecklenburg-Vorpommern - Mönchgut, Ostseebad</t>
        </is>
      </c>
      <c r="E2390" s="5" t="n">
        <v>45526</v>
      </c>
      <c r="F2390" t="inlineStr">
        <is>
          <t>Sold</t>
        </is>
      </c>
      <c r="G2390" s="6">
        <f>HYPERLINK("https://www.kleinanzeigen.de/s-anzeige/naish-dash-le-9qm-s25-2021-50-freestyle-kite/1568463169-230-120", "Link")</f>
        <v/>
      </c>
      <c r="H2390" s="6">
        <f>HYPERLINK("C:\Projects\Kleinanzeigen-Scraper\offer_images\1568463169", "Link")</f>
        <v/>
      </c>
      <c r="I2390" t="inlineStr">
        <is>
          <t>No user name</t>
        </is>
      </c>
      <c r="J2390" s="6">
        <f>HYPERLINK("https://www.kleinanzeigen.deNo user link", "Link")</f>
        <v/>
      </c>
      <c r="K2390" s="7" t="n">
        <v>45549.57282407407</v>
      </c>
      <c r="L2390" s="3" t="inlineStr">
        <is>
          <t>591.22</t>
        </is>
      </c>
      <c r="M2390" t="inlineStr">
        <is>
          <t>Köln</t>
        </is>
      </c>
    </row>
    <row r="2391">
      <c r="A2391" t="inlineStr">
        <is>
          <t>Latten von North Ezzy Wave 3,5 zu verschenken</t>
        </is>
      </c>
      <c r="B2391" s="4" t="inlineStr">
        <is>
          <t>Zu verschenken</t>
        </is>
      </c>
      <c r="C2391" t="inlineStr"/>
      <c r="D2391" t="inlineStr">
        <is>
          <t>65479 Hessen - Raunheim</t>
        </is>
      </c>
      <c r="E2391" s="5" t="n">
        <v>45510</v>
      </c>
      <c r="F2391" t="inlineStr"/>
      <c r="G2391" s="6">
        <f>HYPERLINK("https://www.kleinanzeigen.de/s-anzeige/latten-von-north-ezzy-wave-3-5-zu-verschenken/2830772361-230-4437", "Link")</f>
        <v/>
      </c>
      <c r="H2391" s="6">
        <f>HYPERLINK("C:\Projects\Kleinanzeigen-Scraper\offer_images\2830772361", "Link")</f>
        <v/>
      </c>
      <c r="I2391" t="inlineStr">
        <is>
          <t>Peter Remane</t>
        </is>
      </c>
      <c r="J2391" s="6">
        <f>HYPERLINK("https://www.kleinanzeigen.de/s-bestandsliste.html?userId=75588174", "Link")</f>
        <v/>
      </c>
      <c r="K2391" s="7" t="n">
        <v>45549.5728125</v>
      </c>
      <c r="L2391" s="3" t="inlineStr">
        <is>
          <t>112.05</t>
        </is>
      </c>
      <c r="M2391" t="inlineStr">
        <is>
          <t>Karlsruhe</t>
        </is>
      </c>
    </row>
    <row r="2392">
      <c r="A2392" t="inlineStr">
        <is>
          <t>5 North American P-51 Mustang Konvolut 1/72, 3 gr., 1 geb., 1 ovp</t>
        </is>
      </c>
      <c r="B2392" s="4" t="n">
        <v>25</v>
      </c>
      <c r="C2392" t="inlineStr">
        <is>
          <t>VB</t>
        </is>
      </c>
      <c r="D2392" t="inlineStr">
        <is>
          <t>28816 Niedersachsen - Stuhr</t>
        </is>
      </c>
      <c r="E2392" s="5" t="n">
        <v>45541</v>
      </c>
      <c r="F2392" t="inlineStr">
        <is>
          <t>Sold</t>
        </is>
      </c>
      <c r="G2392" s="6">
        <f>HYPERLINK("https://www.kleinanzeigen.de/s-anzeige/5-north-american-p-51-mustang-konvolut-1-72-3-gr-1-geb-1-ovp/2855710666-249-2735", "Link")</f>
        <v/>
      </c>
      <c r="H2392" s="6">
        <f>HYPERLINK("C:\Projects\Kleinanzeigen-Scraper\offer_images\2855710666", "Link")</f>
        <v/>
      </c>
      <c r="I2392" t="inlineStr">
        <is>
          <t>Wolfgang Schirrmacher</t>
        </is>
      </c>
      <c r="J2392" s="6">
        <f>HYPERLINK("https://www.kleinanzeigen.de/s-bestandsliste.html?userId=16010043", "Link")</f>
        <v/>
      </c>
      <c r="K2392" s="7" t="n">
        <v>45549.5728125</v>
      </c>
      <c r="L2392" s="3" t="inlineStr">
        <is>
          <t>259.72</t>
        </is>
      </c>
      <c r="M2392" t="inlineStr">
        <is>
          <t>Köln</t>
        </is>
      </c>
    </row>
    <row r="2393">
      <c r="A2393" t="inlineStr">
        <is>
          <t>Naish S26 Wing Foil Sets Hover/Jet/Wing-Surfer -22% auf NEUware</t>
        </is>
      </c>
      <c r="B2393" s="4" t="inlineStr"/>
      <c r="C2393" t="inlineStr">
        <is>
          <t>VB</t>
        </is>
      </c>
      <c r="D2393" t="inlineStr">
        <is>
          <t>18586 Mecklenburg-Vorpommern - Mönchgut, Ostseebad</t>
        </is>
      </c>
      <c r="E2393" s="5" t="n">
        <v>45547</v>
      </c>
      <c r="F2393" t="inlineStr">
        <is>
          <t>Sold</t>
        </is>
      </c>
      <c r="G2393" s="6">
        <f>HYPERLINK("https://www.kleinanzeigen.de/s-anzeige/naish-s26-wing-foil-sets-hover-jet-wing-surfer-22-auf-neuware/1858714382-230-120", "Link")</f>
        <v/>
      </c>
      <c r="H2393" s="6">
        <f>HYPERLINK("C:\Projects\Kleinanzeigen-Scraper\offer_images\1858714382", "Link")</f>
        <v/>
      </c>
      <c r="I2393" t="inlineStr">
        <is>
          <t>No user name</t>
        </is>
      </c>
      <c r="J2393" s="6">
        <f>HYPERLINK("https://www.kleinanzeigen.deNo user link", "Link")</f>
        <v/>
      </c>
      <c r="K2393" s="7" t="n">
        <v>45549.57280092593</v>
      </c>
      <c r="L2393" s="3" t="inlineStr">
        <is>
          <t>591.22</t>
        </is>
      </c>
      <c r="M2393" t="inlineStr">
        <is>
          <t>Köln</t>
        </is>
      </c>
    </row>
    <row r="2394">
      <c r="A2394" t="inlineStr">
        <is>
          <t>Naish Frontwing 1600, Stabilizer 280</t>
        </is>
      </c>
      <c r="B2394" s="4" t="n">
        <v>250</v>
      </c>
      <c r="C2394" t="inlineStr">
        <is>
          <t>VB</t>
        </is>
      </c>
      <c r="D2394" t="inlineStr">
        <is>
          <t>24106 Kiel - Steenbek-Projensdorf</t>
        </is>
      </c>
      <c r="E2394" s="5" t="n">
        <v>45533</v>
      </c>
      <c r="F2394" t="inlineStr">
        <is>
          <t>Sold</t>
        </is>
      </c>
      <c r="G2394" s="6">
        <f>HYPERLINK("https://www.kleinanzeigen.de/s-anzeige/naish-frontwing-1600-stabilizer-280/2849405619-230-12197", "Link")</f>
        <v/>
      </c>
      <c r="H2394" s="6">
        <f>HYPERLINK("C:\Projects\Kleinanzeigen-Scraper\offer_images\2849405619", "Link")</f>
        <v/>
      </c>
      <c r="I2394" t="inlineStr">
        <is>
          <t>tine</t>
        </is>
      </c>
      <c r="J2394" s="6">
        <f>HYPERLINK("https://www.kleinanzeigen.de/s-bestandsliste.html?userId=18746134", "Link")</f>
        <v/>
      </c>
      <c r="K2394" s="7" t="n">
        <v>45549.57280092593</v>
      </c>
      <c r="L2394" s="3" t="inlineStr">
        <is>
          <t>436.03</t>
        </is>
      </c>
      <c r="M2394" t="inlineStr">
        <is>
          <t>Köln</t>
        </is>
      </c>
    </row>
    <row r="2395">
      <c r="A2395" t="inlineStr">
        <is>
          <t>Naish Torch C-Kite 10qm</t>
        </is>
      </c>
      <c r="B2395" s="4" t="n">
        <v>50</v>
      </c>
      <c r="C2395" t="inlineStr">
        <is>
          <t>VB</t>
        </is>
      </c>
      <c r="D2395" t="inlineStr">
        <is>
          <t>77974 Baden-Württemberg - Meißenheim</t>
        </is>
      </c>
      <c r="E2395" s="5" t="n">
        <v>45536</v>
      </c>
      <c r="F2395" t="inlineStr">
        <is>
          <t>Sold</t>
        </is>
      </c>
      <c r="G2395" s="6">
        <f>HYPERLINK("https://www.kleinanzeigen.de/s-anzeige/naish-torch-c-kite-10qm/2851807510-230-8043", "Link")</f>
        <v/>
      </c>
      <c r="H2395" s="6">
        <f>HYPERLINK("C:\Projects\Kleinanzeigen-Scraper\offer_images\2851807510", "Link")</f>
        <v/>
      </c>
      <c r="I2395" t="inlineStr">
        <is>
          <t>Timo B aus M</t>
        </is>
      </c>
      <c r="J2395" s="6">
        <f>HYPERLINK("https://www.kleinanzeigen.de/s-bestandsliste.html?userId=16689905", "Link")</f>
        <v/>
      </c>
      <c r="K2395" s="7" t="n">
        <v>45549.57278935185</v>
      </c>
      <c r="L2395" s="3" t="inlineStr">
        <is>
          <t>77.90</t>
        </is>
      </c>
      <c r="M2395" t="inlineStr">
        <is>
          <t>Bonndorf</t>
        </is>
      </c>
    </row>
    <row r="2396">
      <c r="A2396" t="inlineStr">
        <is>
          <t>K2 Vandal  Boa Snowboardboots Gr. 38/24 cm, gebraucht</t>
        </is>
      </c>
      <c r="B2396" s="4" t="n">
        <v>65</v>
      </c>
      <c r="C2396" t="inlineStr"/>
      <c r="D2396" t="inlineStr">
        <is>
          <t>91593 Bayern - Burgbernheim</t>
        </is>
      </c>
      <c r="E2396" s="5" t="n">
        <v>45480</v>
      </c>
      <c r="F2396" t="inlineStr"/>
      <c r="G2396" s="6">
        <f>HYPERLINK("https://www.kleinanzeigen.de/s-anzeige/k2-vandal-boa-snowboardboots-gr-38-24-cm-gebraucht/2806777836-230-6105", "Link")</f>
        <v/>
      </c>
      <c r="H2396" s="6">
        <f>HYPERLINK("C:\Projects\Kleinanzeigen-Scraper\offer_images\2806777836", "Link")</f>
        <v/>
      </c>
      <c r="I2396" t="inlineStr">
        <is>
          <t>U. Brand</t>
        </is>
      </c>
      <c r="J2396" s="6">
        <f>HYPERLINK("https://www.kleinanzeigen.de/s-bestandsliste.html?userId=19204309", "Link")</f>
        <v/>
      </c>
      <c r="K2396" s="7" t="n">
        <v>45549.57277777778</v>
      </c>
      <c r="L2396" s="3" t="inlineStr">
        <is>
          <t>130.60</t>
        </is>
      </c>
      <c r="M2396" t="inlineStr">
        <is>
          <t>Böblingen</t>
        </is>
      </c>
    </row>
    <row r="2397">
      <c r="A2397" t="inlineStr">
        <is>
          <t>SUP Paddel Fanatic CARBON PRO 100 2-teiler</t>
        </is>
      </c>
      <c r="B2397" s="4" t="n">
        <v>170</v>
      </c>
      <c r="C2397" t="inlineStr"/>
      <c r="D2397" t="inlineStr">
        <is>
          <t>13503 Berlin - Reinickendorf</t>
        </is>
      </c>
      <c r="E2397" s="5" t="n">
        <v>45540</v>
      </c>
      <c r="F2397" t="inlineStr">
        <is>
          <t>Sold</t>
        </is>
      </c>
      <c r="G2397" s="6">
        <f>HYPERLINK("https://www.kleinanzeigen.de/s-anzeige/sup-paddel-fanatic-carbon-pro-100-2-teiler/2854710361-230-3451", "Link")</f>
        <v/>
      </c>
      <c r="H2397" s="6">
        <f>HYPERLINK("C:\Projects\Kleinanzeigen-Scraper\offer_images\2854710361", "Link")</f>
        <v/>
      </c>
      <c r="I2397" t="inlineStr">
        <is>
          <t>Alexander</t>
        </is>
      </c>
      <c r="J2397" s="6">
        <f>HYPERLINK("https://www.kleinanzeigen.de/s-bestandsliste.html?userId=144049103", "Link")</f>
        <v/>
      </c>
      <c r="K2397" s="7" t="n">
        <v>45549.57277777778</v>
      </c>
      <c r="L2397" s="3" t="inlineStr">
        <is>
          <t>470.67</t>
        </is>
      </c>
      <c r="M2397" t="inlineStr">
        <is>
          <t>Köln</t>
        </is>
      </c>
    </row>
    <row r="2398">
      <c r="A2398" t="inlineStr">
        <is>
          <t>Neuer Kite RRD Passion 12 qm Kiteschirm Allrounder neu</t>
        </is>
      </c>
      <c r="B2398" s="4" t="n">
        <v>599</v>
      </c>
      <c r="C2398" t="inlineStr">
        <is>
          <t>VB</t>
        </is>
      </c>
      <c r="D2398" t="inlineStr">
        <is>
          <t>32457 Nordrhein-Westfalen - Porta Westfalica</t>
        </is>
      </c>
      <c r="E2398" s="5" t="n">
        <v>45528</v>
      </c>
      <c r="F2398" t="inlineStr">
        <is>
          <t>Sold</t>
        </is>
      </c>
      <c r="G2398" s="6">
        <f>HYPERLINK("https://www.kleinanzeigen.de/s-anzeige/neuer-kite-rrd-passion-12-qm-kiteschirm-allrounder-neu/2844717727-230-1236", "Link")</f>
        <v/>
      </c>
      <c r="H2398" s="6">
        <f>HYPERLINK("C:\Projects\Kleinanzeigen-Scraper\offer_images\2844717727", "Link")</f>
        <v/>
      </c>
      <c r="I2398" t="inlineStr">
        <is>
          <t>Thomas Jenderni</t>
        </is>
      </c>
      <c r="J2398" s="6">
        <f>HYPERLINK("https://www.kleinanzeigen.de/s-bestandsliste.html?userId=14261593", "Link")</f>
        <v/>
      </c>
      <c r="K2398" s="7" t="n">
        <v>45549.57277777778</v>
      </c>
      <c r="L2398" s="3" t="inlineStr">
        <is>
          <t>198.24</t>
        </is>
      </c>
      <c r="M2398" t="inlineStr">
        <is>
          <t>Köln</t>
        </is>
      </c>
    </row>
    <row r="2399">
      <c r="A2399" t="inlineStr">
        <is>
          <t>Duotone Unit 2024 – 3 m Wing, Foil, Unit 3</t>
        </is>
      </c>
      <c r="B2399" s="4" t="n">
        <v>555</v>
      </c>
      <c r="C2399" t="inlineStr"/>
      <c r="D2399" t="inlineStr">
        <is>
          <t>86899 Bayern - Landsberg (Lech)</t>
        </is>
      </c>
      <c r="E2399" s="5" t="n">
        <v>45548</v>
      </c>
      <c r="F2399" t="inlineStr">
        <is>
          <t>Sold</t>
        </is>
      </c>
      <c r="G2399" s="6">
        <f>HYPERLINK("https://www.kleinanzeigen.de/s-anzeige/duotone-unit-2024-3-m-wing-foil-unit-3/2862427366-230-7091", "Link")</f>
        <v/>
      </c>
      <c r="H2399" s="6">
        <f>HYPERLINK("C:\Projects\Kleinanzeigen-Scraper\offer_images\2862427366", "Link")</f>
        <v/>
      </c>
      <c r="I2399" t="inlineStr">
        <is>
          <t>Chris</t>
        </is>
      </c>
      <c r="J2399" s="6">
        <f>HYPERLINK("https://www.kleinanzeigen.de/s-bestandsliste.html?userId=16182812", "Link")</f>
        <v/>
      </c>
      <c r="K2399" s="7" t="n">
        <v>45549.57277777778</v>
      </c>
      <c r="L2399" s="3" t="inlineStr">
        <is>
          <t>55.05</t>
        </is>
      </c>
      <c r="M2399" t="inlineStr">
        <is>
          <t>München</t>
        </is>
      </c>
    </row>
    <row r="2400">
      <c r="A2400" t="inlineStr">
        <is>
          <t>Starboard Hoodie, Sweatjacke, Pulli</t>
        </is>
      </c>
      <c r="B2400" s="4" t="n">
        <v>59</v>
      </c>
      <c r="C2400" t="inlineStr">
        <is>
          <t>VB</t>
        </is>
      </c>
      <c r="D2400" t="inlineStr">
        <is>
          <t>68794 Baden-Württemberg - Oberhausen-Rheinhausen</t>
        </is>
      </c>
      <c r="E2400" s="5" t="n">
        <v>45543</v>
      </c>
      <c r="F2400" t="inlineStr"/>
      <c r="G2400" s="6">
        <f>HYPERLINK("https://www.kleinanzeigen.de/s-anzeige/starboard-hoodie-sweatjacke-pulli/2857250670-230-8338", "Link")</f>
        <v/>
      </c>
      <c r="H2400" s="6">
        <f>HYPERLINK("C:\Projects\Kleinanzeigen-Scraper\offer_images\2857250670", "Link")</f>
        <v/>
      </c>
      <c r="I2400" t="inlineStr">
        <is>
          <t>Metzler</t>
        </is>
      </c>
      <c r="J2400" s="6">
        <f>HYPERLINK("https://www.kleinanzeigen.de/s-bestandsliste.html?userId=73550942", "Link")</f>
        <v/>
      </c>
      <c r="K2400" s="7" t="n">
        <v>45549.57275462963</v>
      </c>
      <c r="L2400" s="3" t="inlineStr">
        <is>
          <t>30.38</t>
        </is>
      </c>
      <c r="M2400" t="inlineStr">
        <is>
          <t>Karlsruhe</t>
        </is>
      </c>
    </row>
    <row r="2401">
      <c r="A2401" t="inlineStr">
        <is>
          <t>Duotone Slick 3.5 inkl. Spare Bladder für Leading Edge</t>
        </is>
      </c>
      <c r="B2401" s="4" t="n">
        <v>350</v>
      </c>
      <c r="C2401" t="inlineStr">
        <is>
          <t>VB</t>
        </is>
      </c>
      <c r="D2401" t="inlineStr">
        <is>
          <t>70178 Stuttgart - Stuttgart-Süd</t>
        </is>
      </c>
      <c r="E2401" s="5" t="n">
        <v>45547</v>
      </c>
      <c r="F2401" t="inlineStr">
        <is>
          <t>Sold</t>
        </is>
      </c>
      <c r="G2401" s="6">
        <f>HYPERLINK("https://www.kleinanzeigen.de/s-anzeige/duotone-slick-3-5-inkl-spare-bladder-fuer-leading-edge/2861586071-230-9596", "Link")</f>
        <v/>
      </c>
      <c r="H2401" s="6">
        <f>HYPERLINK("C:\Projects\Kleinanzeigen-Scraper\offer_images\2861586071", "Link")</f>
        <v/>
      </c>
      <c r="I2401" t="inlineStr">
        <is>
          <t>Nadine</t>
        </is>
      </c>
      <c r="J2401" s="6">
        <f>HYPERLINK("https://www.kleinanzeigen.de/s-bestandsliste.html?userId=32811955", "Link")</f>
        <v/>
      </c>
      <c r="K2401" s="7" t="n">
        <v>45549.57275462963</v>
      </c>
      <c r="L2401" s="3" t="inlineStr">
        <is>
          <t>17.53</t>
        </is>
      </c>
      <c r="M2401" t="inlineStr">
        <is>
          <t>Böblingen</t>
        </is>
      </c>
    </row>
    <row r="2402">
      <c r="A2402" t="inlineStr">
        <is>
          <t>Duotone Evo SLS 12m - 2022 - c16 vanilla/purple - kite 12qm</t>
        </is>
      </c>
      <c r="B2402" s="4" t="n">
        <v>1.13</v>
      </c>
      <c r="C2402" t="inlineStr">
        <is>
          <t>VB</t>
        </is>
      </c>
      <c r="D2402" t="inlineStr">
        <is>
          <t>80798 München - Schwabing-West</t>
        </is>
      </c>
      <c r="E2402" s="5" t="n">
        <v>45538</v>
      </c>
      <c r="F2402" t="inlineStr">
        <is>
          <t>Sold</t>
        </is>
      </c>
      <c r="G2402" s="6">
        <f>HYPERLINK("https://www.kleinanzeigen.de/s-anzeige/duotone-evo-sls-12m-2022-c16-vanilla-purple-kite-12qm/2853770688-230-6459", "Link")</f>
        <v/>
      </c>
      <c r="H2402" s="6">
        <f>HYPERLINK("C:\Projects\Kleinanzeigen-Scraper\offer_images\2853770688", "Link")</f>
        <v/>
      </c>
      <c r="I2402" t="inlineStr">
        <is>
          <t>Michael N.</t>
        </is>
      </c>
      <c r="J2402" s="6">
        <f>HYPERLINK("https://www.kleinanzeigen.de/s-bestandsliste.html?userId=17565441", "Link")</f>
        <v/>
      </c>
      <c r="K2402" s="7" t="n">
        <v>45549.57275462963</v>
      </c>
      <c r="L2402" s="3" t="inlineStr">
        <is>
          <t>2.07</t>
        </is>
      </c>
      <c r="M2402" t="inlineStr">
        <is>
          <t>München</t>
        </is>
      </c>
    </row>
    <row r="2403">
      <c r="A2403" t="inlineStr">
        <is>
          <t>Kite Naish Torch 11qm inklusive Bar</t>
        </is>
      </c>
      <c r="B2403" s="4" t="n">
        <v>300</v>
      </c>
      <c r="C2403" t="inlineStr">
        <is>
          <t>VB</t>
        </is>
      </c>
      <c r="D2403" t="inlineStr">
        <is>
          <t>55262 Rheinland-Pfalz - Heidesheim</t>
        </is>
      </c>
      <c r="E2403" s="5" t="n">
        <v>45500</v>
      </c>
      <c r="F2403" t="inlineStr">
        <is>
          <t>Sold</t>
        </is>
      </c>
      <c r="G2403" s="6">
        <f>HYPERLINK("https://www.kleinanzeigen.de/s-anzeige/kite-naish-torch-11qm-inklusive-bar/2822374678-230-5124", "Link")</f>
        <v/>
      </c>
      <c r="H2403" s="6">
        <f>HYPERLINK("C:\Projects\Kleinanzeigen-Scraper\offer_images\2822374678", "Link")</f>
        <v/>
      </c>
      <c r="I2403" t="inlineStr">
        <is>
          <t>Dietmar Flick</t>
        </is>
      </c>
      <c r="J2403" s="6">
        <f>HYPERLINK("https://www.kleinanzeigen.de/s-bestandsliste.html?userId=85331110", "Link")</f>
        <v/>
      </c>
      <c r="K2403" s="7" t="n">
        <v>45549.57275462963</v>
      </c>
      <c r="L2403" s="3" t="inlineStr">
        <is>
          <t>111.70</t>
        </is>
      </c>
      <c r="M2403" t="inlineStr">
        <is>
          <t>Karlsruhe</t>
        </is>
      </c>
    </row>
    <row r="2404">
      <c r="A2404" t="inlineStr">
        <is>
          <t>Naish Kite Bar Torque ATB 50</t>
        </is>
      </c>
      <c r="B2404" s="4" t="n">
        <v>299</v>
      </c>
      <c r="C2404" t="inlineStr"/>
      <c r="D2404" t="inlineStr">
        <is>
          <t>24802 Schleswig-Holstein - Emkendorf</t>
        </is>
      </c>
      <c r="E2404" s="5" t="n">
        <v>45518</v>
      </c>
      <c r="F2404" t="inlineStr">
        <is>
          <t>Sold</t>
        </is>
      </c>
      <c r="G2404" s="6">
        <f>HYPERLINK("https://www.kleinanzeigen.de/s-anzeige/naish-kite-bar-torque-atb-50/2836585851-230-25876", "Link")</f>
        <v/>
      </c>
      <c r="H2404" s="6">
        <f>HYPERLINK("C:\Projects\Kleinanzeigen-Scraper\offer_images\2836585851", "Link")</f>
        <v/>
      </c>
      <c r="I2404" t="inlineStr">
        <is>
          <t>Lea-Sophie</t>
        </is>
      </c>
      <c r="J2404" s="6">
        <f>HYPERLINK("https://www.kleinanzeigen.de/s-bestandsliste.html?userId=22060148", "Link")</f>
        <v/>
      </c>
      <c r="K2404" s="7" t="n">
        <v>45549.57273148148</v>
      </c>
      <c r="L2404" s="3" t="inlineStr">
        <is>
          <t>415.87</t>
        </is>
      </c>
      <c r="M2404" t="inlineStr">
        <is>
          <t>Köln</t>
        </is>
      </c>
    </row>
    <row r="2405">
      <c r="A2405" t="inlineStr">
        <is>
          <t>F-One Strike Wing Foil V4  4,5 QM Orange FLAME / Mint Top Naish</t>
        </is>
      </c>
      <c r="B2405" s="4" t="n">
        <v>780</v>
      </c>
      <c r="C2405" t="inlineStr">
        <is>
          <t>VB</t>
        </is>
      </c>
      <c r="D2405" t="inlineStr">
        <is>
          <t>10245 Friedrichshain-Kreuzberg - Friedrichshain</t>
        </is>
      </c>
      <c r="E2405" s="5" t="n">
        <v>45548</v>
      </c>
      <c r="F2405" t="inlineStr">
        <is>
          <t>Sold</t>
        </is>
      </c>
      <c r="G2405" s="6">
        <f>HYPERLINK("https://www.kleinanzeigen.de/s-anzeige/f-one-strike-wing-foil-v4-4-5-qm-orange-flame-mint-top-naish/2861979401-230-3352", "Link")</f>
        <v/>
      </c>
      <c r="H2405" s="6">
        <f>HYPERLINK("C:\Projects\Kleinanzeigen-Scraper\offer_images\2861979401", "Link")</f>
        <v/>
      </c>
      <c r="I2405" t="inlineStr">
        <is>
          <t>Alexander Gnoyke</t>
        </is>
      </c>
      <c r="J2405" s="6">
        <f>HYPERLINK("https://www.kleinanzeigen.de/s-bestandsliste.html?userId=9640694", "Link")</f>
        <v/>
      </c>
      <c r="K2405" s="7" t="n">
        <v>45549.57273148148</v>
      </c>
      <c r="L2405" s="3" t="inlineStr">
        <is>
          <t>480.20</t>
        </is>
      </c>
      <c r="M2405" t="inlineStr">
        <is>
          <t>Köln</t>
        </is>
      </c>
    </row>
    <row r="2406">
      <c r="A2406" t="inlineStr">
        <is>
          <t>Duotone Rebel SLS 11qm 2023 kite</t>
        </is>
      </c>
      <c r="B2406" s="4" t="n">
        <v>989</v>
      </c>
      <c r="C2406" t="inlineStr">
        <is>
          <t>VB</t>
        </is>
      </c>
      <c r="D2406" t="inlineStr">
        <is>
          <t>30625 Buchholz-Kleefeld - Hannover Groß Buchholz</t>
        </is>
      </c>
      <c r="E2406" s="5" t="n">
        <v>45539</v>
      </c>
      <c r="F2406" t="inlineStr">
        <is>
          <t>Sold</t>
        </is>
      </c>
      <c r="G2406" s="6">
        <f>HYPERLINK("https://www.kleinanzeigen.de/s-anzeige/duotone-rebel-sls-11qm-2023-kite/2834063102-230-3161", "Link")</f>
        <v/>
      </c>
      <c r="H2406" s="6">
        <f>HYPERLINK("C:\Projects\Kleinanzeigen-Scraper\offer_images\2834063102", "Link")</f>
        <v/>
      </c>
      <c r="I2406" t="inlineStr">
        <is>
          <t>Bauer</t>
        </is>
      </c>
      <c r="J2406" s="6">
        <f>HYPERLINK("https://www.kleinanzeigen.de/s-bestandsliste.html?userId=8264333", "Link")</f>
        <v/>
      </c>
      <c r="K2406" s="7" t="n">
        <v>45549.57273148148</v>
      </c>
      <c r="L2406" s="3" t="inlineStr">
        <is>
          <t>253.30</t>
        </is>
      </c>
      <c r="M2406" t="inlineStr">
        <is>
          <t>Köln</t>
        </is>
      </c>
    </row>
    <row r="2407">
      <c r="A2407" t="inlineStr">
        <is>
          <t>Ausstellungsplakat Goya im Messing-Rahmen, Prado, Madrid, 2002</t>
        </is>
      </c>
      <c r="B2407" s="4" t="n">
        <v>25</v>
      </c>
      <c r="C2407" t="inlineStr"/>
      <c r="D2407" t="inlineStr">
        <is>
          <t>42929 Nordrhein-Westfalen - Wermelskirchen</t>
        </is>
      </c>
      <c r="E2407" s="5" t="n">
        <v>45290</v>
      </c>
      <c r="F2407" t="inlineStr"/>
      <c r="G2407" s="6">
        <f>HYPERLINK("https://www.kleinanzeigen.de/s-anzeige/ausstellungsplakat-goya-im-messing-rahmen-prado-madrid-2002/2639593729-240-1546", "Link")</f>
        <v/>
      </c>
      <c r="H2407" s="6">
        <f>HYPERLINK("C:\Projects\Kleinanzeigen-Scraper\offer_images\2639593729", "Link")</f>
        <v/>
      </c>
      <c r="I2407" t="inlineStr">
        <is>
          <t>Andreas</t>
        </is>
      </c>
      <c r="J2407" s="6">
        <f>HYPERLINK("https://www.kleinanzeigen.de/s-bestandsliste.html?userId=9802520", "Link")</f>
        <v/>
      </c>
      <c r="K2407" s="7" t="n">
        <v>45549.57271990741</v>
      </c>
      <c r="L2407" s="3" t="inlineStr">
        <is>
          <t>26.30</t>
        </is>
      </c>
      <c r="M2407" t="inlineStr">
        <is>
          <t>Köln</t>
        </is>
      </c>
    </row>
    <row r="2408">
      <c r="A2408" t="inlineStr">
        <is>
          <t>Orvis Sling Pack Guide 18L Fligenfischer-Spinnangler Bag, Simms</t>
        </is>
      </c>
      <c r="B2408" s="4" t="n">
        <v>100</v>
      </c>
      <c r="C2408" t="inlineStr">
        <is>
          <t>VB</t>
        </is>
      </c>
      <c r="D2408" t="inlineStr">
        <is>
          <t>59872 Nordrhein-Westfalen - Meschede</t>
        </is>
      </c>
      <c r="E2408" s="5" t="n">
        <v>45530</v>
      </c>
      <c r="F2408" t="inlineStr"/>
      <c r="G2408" s="6">
        <f>HYPERLINK("https://www.kleinanzeigen.de/s-anzeige/orvis-sling-pack-guide-18l-fligenfischer-spinnangler-bag-simms/2847125475-230-1436", "Link")</f>
        <v/>
      </c>
      <c r="H2408" s="6">
        <f>HYPERLINK("C:\Projects\Kleinanzeigen-Scraper\offer_images\2847125475", "Link")</f>
        <v/>
      </c>
      <c r="I2408" t="inlineStr">
        <is>
          <t>DiesundDas</t>
        </is>
      </c>
      <c r="J2408" s="6">
        <f>HYPERLINK("https://www.kleinanzeigen.de/s-bestandsliste.html?userId=13787749", "Link")</f>
        <v/>
      </c>
      <c r="K2408" s="7" t="n">
        <v>45549.57270833333</v>
      </c>
      <c r="L2408" s="3" t="inlineStr">
        <is>
          <t>100.80</t>
        </is>
      </c>
      <c r="M2408" t="inlineStr">
        <is>
          <t>Köln</t>
        </is>
      </c>
    </row>
    <row r="2409">
      <c r="A2409" t="inlineStr">
        <is>
          <t>2 x 14" Hardboard SUPs, Fanatic und 404</t>
        </is>
      </c>
      <c r="B2409" s="4" t="n">
        <v>350</v>
      </c>
      <c r="C2409" t="inlineStr"/>
      <c r="D2409" t="inlineStr">
        <is>
          <t>78462 Baden-Württemberg - Konstanz</t>
        </is>
      </c>
      <c r="E2409" s="5" t="n">
        <v>45521</v>
      </c>
      <c r="F2409" t="inlineStr">
        <is>
          <t>Sold</t>
        </is>
      </c>
      <c r="G2409" s="6">
        <f>HYPERLINK("https://www.kleinanzeigen.de/s-anzeige/2-x-14-hardboard-sups-fanatic-und-404/2839385085-230-9390", "Link")</f>
        <v/>
      </c>
      <c r="H2409" s="6">
        <f>HYPERLINK("C:\Projects\Kleinanzeigen-Scraper\offer_images\2839385085", "Link")</f>
        <v/>
      </c>
      <c r="I2409" t="inlineStr">
        <is>
          <t>Martin</t>
        </is>
      </c>
      <c r="J2409" s="6">
        <f>HYPERLINK("https://www.kleinanzeigen.de/s-bestandsliste.html?userId=26066458", "Link")</f>
        <v/>
      </c>
      <c r="K2409" s="7" t="n">
        <v>45549.57270833333</v>
      </c>
      <c r="L2409" s="3" t="inlineStr">
        <is>
          <t>64.75</t>
        </is>
      </c>
      <c r="M2409" t="inlineStr">
        <is>
          <t>Bonndorf</t>
        </is>
      </c>
    </row>
    <row r="2410">
      <c r="A2410" t="inlineStr">
        <is>
          <t>Duotone Kite Evo 11qm aus 2021 ++sehr guter Zustand++</t>
        </is>
      </c>
      <c r="B2410" s="4" t="n">
        <v>850</v>
      </c>
      <c r="C2410" t="inlineStr">
        <is>
          <t>VB</t>
        </is>
      </c>
      <c r="D2410" t="inlineStr">
        <is>
          <t>15370 Fredersdorf-Vogelsdorf - Vogelsdorf</t>
        </is>
      </c>
      <c r="E2410" s="5" t="n">
        <v>45541</v>
      </c>
      <c r="F2410" t="inlineStr">
        <is>
          <t>Sold</t>
        </is>
      </c>
      <c r="G2410" s="6">
        <f>HYPERLINK("https://www.kleinanzeigen.de/s-anzeige/duotone-kite-evo-11qm-aus-2021-sehr-guter-zustand-/2855580892-230-7916", "Link")</f>
        <v/>
      </c>
      <c r="H2410" s="6">
        <f>HYPERLINK("C:\Projects\Kleinanzeigen-Scraper\offer_images\2855580892", "Link")</f>
        <v/>
      </c>
      <c r="I2410" t="inlineStr">
        <is>
          <t>Dirk</t>
        </is>
      </c>
      <c r="J2410" s="6">
        <f>HYPERLINK("https://www.kleinanzeigen.de/s-bestandsliste.html?userId=15238153", "Link")</f>
        <v/>
      </c>
      <c r="K2410" s="7" t="n">
        <v>45549.57270833333</v>
      </c>
      <c r="L2410" s="3" t="inlineStr">
        <is>
          <t>501.43</t>
        </is>
      </c>
      <c r="M2410" t="inlineStr">
        <is>
          <t>Köln</t>
        </is>
      </c>
    </row>
    <row r="2411">
      <c r="A2411" t="inlineStr">
        <is>
          <t>Kite Naish Pivot 12m 2022 inkl. Bar</t>
        </is>
      </c>
      <c r="B2411" s="4" t="n">
        <v>899</v>
      </c>
      <c r="C2411" t="inlineStr">
        <is>
          <t>VB</t>
        </is>
      </c>
      <c r="D2411" t="inlineStr">
        <is>
          <t>20357 Altona - Hamburg Sternschanze</t>
        </is>
      </c>
      <c r="E2411" s="5" t="n">
        <v>45520</v>
      </c>
      <c r="F2411" t="inlineStr">
        <is>
          <t>Sold</t>
        </is>
      </c>
      <c r="G2411" s="6">
        <f>HYPERLINK("https://www.kleinanzeigen.de/s-anzeige/kite-naish-pivot-12m-2022-inkl-bar/2838443105-230-9431", "Link")</f>
        <v/>
      </c>
      <c r="H2411" s="6">
        <f>HYPERLINK("C:\Projects\Kleinanzeigen-Scraper\offer_images\2838443105", "Link")</f>
        <v/>
      </c>
      <c r="I2411" t="inlineStr">
        <is>
          <t>Hasse</t>
        </is>
      </c>
      <c r="J2411" s="6">
        <f>HYPERLINK("https://www.kleinanzeigen.de/s-bestandsliste.html?userId=133824050", "Link")</f>
        <v/>
      </c>
      <c r="K2411" s="7" t="n">
        <v>45549.57269675926</v>
      </c>
      <c r="L2411" s="3" t="inlineStr">
        <is>
          <t>356.83</t>
        </is>
      </c>
      <c r="M2411" t="inlineStr">
        <is>
          <t>Köln</t>
        </is>
      </c>
    </row>
    <row r="2412">
      <c r="A2412" t="inlineStr">
        <is>
          <t>Fanatic Fuselage 780 Carbon  2023</t>
        </is>
      </c>
      <c r="B2412" s="4" t="n">
        <v>260</v>
      </c>
      <c r="C2412" t="inlineStr"/>
      <c r="D2412" t="inlineStr">
        <is>
          <t>90451 Nürnberg (Mittelfr) - Aussenstadt-Sued</t>
        </is>
      </c>
      <c r="E2412" s="5" t="n">
        <v>45540</v>
      </c>
      <c r="F2412" t="inlineStr">
        <is>
          <t>Sold</t>
        </is>
      </c>
      <c r="G2412" s="6">
        <f>HYPERLINK("https://www.kleinanzeigen.de/s-anzeige/fanatic-fuselage-780-carbon-2023/2806175931-230-6836", "Link")</f>
        <v/>
      </c>
      <c r="H2412" s="6">
        <f>HYPERLINK("C:\Projects\Kleinanzeigen-Scraper\offer_images\2806175931", "Link")</f>
        <v/>
      </c>
      <c r="I2412" t="inlineStr">
        <is>
          <t>No user name</t>
        </is>
      </c>
      <c r="J2412" s="6">
        <f>HYPERLINK("https://www.kleinanzeigen.deNo user link", "Link")</f>
        <v/>
      </c>
      <c r="K2412" s="7" t="n">
        <v>45549.57268518519</v>
      </c>
      <c r="L2412" s="3" t="inlineStr">
        <is>
          <t>145.92</t>
        </is>
      </c>
      <c r="M2412" t="inlineStr">
        <is>
          <t>München</t>
        </is>
      </c>
    </row>
    <row r="2413">
      <c r="A2413" t="inlineStr">
        <is>
          <t>Naish Kite Bolt 9</t>
        </is>
      </c>
      <c r="B2413" s="4" t="n">
        <v>80</v>
      </c>
      <c r="C2413" t="inlineStr"/>
      <c r="D2413" t="inlineStr">
        <is>
          <t>83435 Bayern - Bad Reichenhall</t>
        </is>
      </c>
      <c r="E2413" s="5" t="n">
        <v>45510</v>
      </c>
      <c r="F2413" t="inlineStr">
        <is>
          <t>Sold</t>
        </is>
      </c>
      <c r="G2413" s="6">
        <f>HYPERLINK("https://www.kleinanzeigen.de/s-anzeige/naish-kite-bolt-9/2830696501-230-5881", "Link")</f>
        <v/>
      </c>
      <c r="H2413" s="6">
        <f>HYPERLINK("C:\Projects\Kleinanzeigen-Scraper\offer_images\2830696501", "Link")</f>
        <v/>
      </c>
      <c r="I2413" t="inlineStr">
        <is>
          <t>Nina</t>
        </is>
      </c>
      <c r="J2413" s="6">
        <f>HYPERLINK("https://www.kleinanzeigen.de/s-bestandsliste.html?userId=73276330", "Link")</f>
        <v/>
      </c>
      <c r="K2413" s="7" t="n">
        <v>45549.57268518519</v>
      </c>
      <c r="L2413" s="3" t="inlineStr">
        <is>
          <t>104.89</t>
        </is>
      </c>
      <c r="M2413" t="inlineStr">
        <is>
          <t>München</t>
        </is>
      </c>
    </row>
    <row r="2414">
      <c r="A2414" t="inlineStr">
        <is>
          <t>Duotone Slick SLS 5.5 aus 2023</t>
        </is>
      </c>
      <c r="B2414" s="4" t="n">
        <v>270</v>
      </c>
      <c r="C2414" t="inlineStr"/>
      <c r="D2414" t="inlineStr">
        <is>
          <t>13505 Berlin - Reinickendorf</t>
        </is>
      </c>
      <c r="E2414" s="5" t="n">
        <v>45541</v>
      </c>
      <c r="F2414" t="inlineStr">
        <is>
          <t>Sold</t>
        </is>
      </c>
      <c r="G2414" s="6">
        <f>HYPERLINK("https://www.kleinanzeigen.de/s-anzeige/duotone-slick-sls-5-5-aus-2023/2855510258-230-9653", "Link")</f>
        <v/>
      </c>
      <c r="H2414" s="6">
        <f>HYPERLINK("C:\Projects\Kleinanzeigen-Scraper\offer_images\2855510258", "Link")</f>
        <v/>
      </c>
      <c r="I2414" t="inlineStr">
        <is>
          <t>Christoph Huntgeburth</t>
        </is>
      </c>
      <c r="J2414" s="6">
        <f>HYPERLINK("https://www.kleinanzeigen.de/s-bestandsliste.html?userId=124463345", "Link")</f>
        <v/>
      </c>
      <c r="K2414" s="7" t="n">
        <v>45549.57268518519</v>
      </c>
      <c r="L2414" s="3" t="inlineStr">
        <is>
          <t>470.09</t>
        </is>
      </c>
      <c r="M2414" t="inlineStr">
        <is>
          <t>Köln</t>
        </is>
      </c>
    </row>
    <row r="2415">
      <c r="A2415" t="inlineStr">
        <is>
          <t>Naish Sup Weste Größe XS Prallschutzweste</t>
        </is>
      </c>
      <c r="B2415" s="4" t="n">
        <v>50</v>
      </c>
      <c r="C2415" t="inlineStr">
        <is>
          <t>VB</t>
        </is>
      </c>
      <c r="D2415" t="inlineStr">
        <is>
          <t>26919 Niedersachsen - Brake (Unterweser)</t>
        </is>
      </c>
      <c r="E2415" s="5" t="n">
        <v>45543</v>
      </c>
      <c r="F2415" t="inlineStr"/>
      <c r="G2415" s="6">
        <f>HYPERLINK("https://www.kleinanzeigen.de/s-anzeige/naish-sup-weste-groesse-xs-prallschutzweste/2857967422-230-2718", "Link")</f>
        <v/>
      </c>
      <c r="H2415" s="6">
        <f>HYPERLINK("C:\Projects\Kleinanzeigen-Scraper\offer_images\2857967422", "Link")</f>
        <v/>
      </c>
      <c r="I2415" t="inlineStr">
        <is>
          <t>Kurt K.</t>
        </is>
      </c>
      <c r="J2415" s="6">
        <f>HYPERLINK("https://www.kleinanzeigen.de/s-bestandsliste.html?userId=25452958", "Link")</f>
        <v/>
      </c>
      <c r="K2415" s="7" t="n">
        <v>45549.57268518519</v>
      </c>
      <c r="L2415" s="3" t="inlineStr">
        <is>
          <t>283.68</t>
        </is>
      </c>
      <c r="M2415" t="inlineStr">
        <is>
          <t>Köln</t>
        </is>
      </c>
    </row>
    <row r="2416">
      <c r="A2416" t="inlineStr">
        <is>
          <t>Naish Dash Kite 2017 6m</t>
        </is>
      </c>
      <c r="B2416" s="4" t="n">
        <v>200</v>
      </c>
      <c r="C2416" t="inlineStr">
        <is>
          <t>VB</t>
        </is>
      </c>
      <c r="D2416" t="inlineStr">
        <is>
          <t>50739 Köln - Nippes</t>
        </is>
      </c>
      <c r="E2416" s="5" t="n">
        <v>45532</v>
      </c>
      <c r="F2416" t="inlineStr">
        <is>
          <t>Sold</t>
        </is>
      </c>
      <c r="G2416" s="6">
        <f>HYPERLINK("https://www.kleinanzeigen.de/s-anzeige/naish-dash-kite-2017-6m/2848326436-230-991", "Link")</f>
        <v/>
      </c>
      <c r="H2416" s="6">
        <f>HYPERLINK("C:\Projects\Kleinanzeigen-Scraper\offer_images\2848326436", "Link")</f>
        <v/>
      </c>
      <c r="I2416" t="inlineStr">
        <is>
          <t>Eike</t>
        </is>
      </c>
      <c r="J2416" s="6">
        <f>HYPERLINK("https://www.kleinanzeigen.de/s-bestandsliste.html?userId=5886735", "Link")</f>
        <v/>
      </c>
      <c r="K2416" s="7" t="n">
        <v>45549.57267361111</v>
      </c>
      <c r="L2416" s="3" t="inlineStr">
        <is>
          <t>4.76</t>
        </is>
      </c>
      <c r="M2416" t="inlineStr">
        <is>
          <t>Köln</t>
        </is>
      </c>
    </row>
    <row r="2417">
      <c r="A2417" t="inlineStr">
        <is>
          <t>North Orbit 11qm optional mit Bar</t>
        </is>
      </c>
      <c r="B2417" s="4" t="n">
        <v>555</v>
      </c>
      <c r="C2417" t="inlineStr">
        <is>
          <t>VB</t>
        </is>
      </c>
      <c r="D2417" t="inlineStr">
        <is>
          <t>48683 Nordrhein-Westfalen - Ahaus</t>
        </is>
      </c>
      <c r="E2417" s="5" t="n">
        <v>45549</v>
      </c>
      <c r="F2417" t="inlineStr">
        <is>
          <t>Sold</t>
        </is>
      </c>
      <c r="G2417" s="6">
        <f>HYPERLINK("https://www.kleinanzeigen.de/s-anzeige/north-orbit-11qm-optional-mit-bar/2862613613-230-1176", "Link")</f>
        <v/>
      </c>
      <c r="H2417" s="6">
        <f>HYPERLINK("C:\Projects\Kleinanzeigen-Scraper\offer_images\2862613613", "Link")</f>
        <v/>
      </c>
      <c r="I2417" t="inlineStr">
        <is>
          <t>Andreas Wissing</t>
        </is>
      </c>
      <c r="J2417" s="6">
        <f>HYPERLINK("https://www.kleinanzeigen.de/s-bestandsliste.html?userId=27407742", "Link")</f>
        <v/>
      </c>
      <c r="K2417" s="7" t="n">
        <v>45549.57266203704</v>
      </c>
      <c r="L2417" s="3" t="inlineStr">
        <is>
          <t>126.88</t>
        </is>
      </c>
      <c r="M2417" t="inlineStr">
        <is>
          <t>Köln</t>
        </is>
      </c>
    </row>
    <row r="2418">
      <c r="A2418" t="inlineStr">
        <is>
          <t>The North Face Assault Futurelight Bivy</t>
        </is>
      </c>
      <c r="B2418" s="4" t="n">
        <v>159</v>
      </c>
      <c r="C2418" t="inlineStr">
        <is>
          <t>VB</t>
        </is>
      </c>
      <c r="D2418" t="inlineStr">
        <is>
          <t>61350 Hessen - Bad Homburg</t>
        </is>
      </c>
      <c r="E2418" s="5" t="n">
        <v>45543</v>
      </c>
      <c r="F2418" t="inlineStr">
        <is>
          <t>Sold</t>
        </is>
      </c>
      <c r="G2418" s="6">
        <f>HYPERLINK("https://www.kleinanzeigen.de/s-anzeige/the-north-face-assault-futurelight-bivy/2857690686-230-4352", "Link")</f>
        <v/>
      </c>
      <c r="H2418" s="6">
        <f>HYPERLINK("C:\Projects\Kleinanzeigen-Scraper\offer_images\2857690686", "Link")</f>
        <v/>
      </c>
      <c r="I2418" t="inlineStr">
        <is>
          <t>Leo2002</t>
        </is>
      </c>
      <c r="J2418" s="6">
        <f>HYPERLINK("https://www.kleinanzeigen.de/s-bestandsliste.html?userId=144141772", "Link")</f>
        <v/>
      </c>
      <c r="K2418" s="7" t="n">
        <v>45549.57266203704</v>
      </c>
      <c r="L2418" s="3" t="inlineStr">
        <is>
          <t>137.08</t>
        </is>
      </c>
      <c r="M2418" t="inlineStr">
        <is>
          <t>Köln</t>
        </is>
      </c>
    </row>
    <row r="2419">
      <c r="A2419" t="inlineStr">
        <is>
          <t>Simms Sage Hobie Fishing Cap Kappe</t>
        </is>
      </c>
      <c r="B2419" s="4" t="n">
        <v>35</v>
      </c>
      <c r="C2419" t="inlineStr"/>
      <c r="D2419" t="inlineStr">
        <is>
          <t>61440 Hessen - Oberursel (Taunus)</t>
        </is>
      </c>
      <c r="E2419" s="5" t="n">
        <v>45500</v>
      </c>
      <c r="F2419" t="inlineStr">
        <is>
          <t>Sold</t>
        </is>
      </c>
      <c r="G2419" s="6">
        <f>HYPERLINK("https://www.kleinanzeigen.de/s-anzeige/simms-sage-hobie-fishing-cap-kappe/2822613002-230-4578", "Link")</f>
        <v/>
      </c>
      <c r="H2419" s="6">
        <f>HYPERLINK("C:\Projects\Kleinanzeigen-Scraper\offer_images\2822613002", "Link")</f>
        <v/>
      </c>
      <c r="I2419" t="inlineStr">
        <is>
          <t>Leon</t>
        </is>
      </c>
      <c r="J2419" s="6">
        <f>HYPERLINK("https://www.kleinanzeigen.de/s-bestandsliste.html?userId=29845155", "Link")</f>
        <v/>
      </c>
      <c r="K2419" s="7" t="n">
        <v>45549.57265046296</v>
      </c>
      <c r="L2419" s="3" t="inlineStr">
        <is>
          <t>134.19</t>
        </is>
      </c>
      <c r="M2419" t="inlineStr">
        <is>
          <t>Karlsruhe</t>
        </is>
      </c>
    </row>
    <row r="2420">
      <c r="A2420" t="inlineStr">
        <is>
          <t>Neoprenschuhe Neilpryde Größe 37 Mission 5mm</t>
        </is>
      </c>
      <c r="B2420" s="4" t="n">
        <v>35</v>
      </c>
      <c r="C2420" t="inlineStr"/>
      <c r="D2420" t="inlineStr">
        <is>
          <t>38444 Niedersachsen - Wolfsburg</t>
        </is>
      </c>
      <c r="E2420" s="5" t="n">
        <v>45438</v>
      </c>
      <c r="F2420" t="inlineStr">
        <is>
          <t>Sold</t>
        </is>
      </c>
      <c r="G2420" s="6">
        <f>HYPERLINK("https://www.kleinanzeigen.de/s-anzeige/neoprenschuhe-neilpryde-groesse-37-mission-5mm/2772047798-230-3072", "Link")</f>
        <v/>
      </c>
      <c r="H2420" s="6">
        <f>HYPERLINK("C:\Projects\Kleinanzeigen-Scraper\offer_images\2772047798", "Link")</f>
        <v/>
      </c>
      <c r="I2420" t="inlineStr">
        <is>
          <t>Bastian Jann</t>
        </is>
      </c>
      <c r="J2420" s="6">
        <f>HYPERLINK("https://www.kleinanzeigen.de/s-bestandsliste.html?userId=48175498", "Link")</f>
        <v/>
      </c>
      <c r="K2420" s="7" t="n">
        <v>45549.57265046296</v>
      </c>
      <c r="L2420" s="3" t="inlineStr">
        <is>
          <t>307.09</t>
        </is>
      </c>
      <c r="M2420" t="inlineStr">
        <is>
          <t>Köln</t>
        </is>
      </c>
    </row>
    <row r="2421">
      <c r="A2421" t="inlineStr">
        <is>
          <t>NEU STARBOARD LIMA Tufskin adult Carbon Paddel 2022</t>
        </is>
      </c>
      <c r="B2421" s="4" t="n">
        <v>120</v>
      </c>
      <c r="C2421" t="inlineStr"/>
      <c r="D2421" t="inlineStr">
        <is>
          <t>83101 Bayern - Rohrdorf</t>
        </is>
      </c>
      <c r="E2421" s="5" t="n">
        <v>45533</v>
      </c>
      <c r="F2421" t="inlineStr"/>
      <c r="G2421" s="6">
        <f>HYPERLINK("https://www.kleinanzeigen.de/s-anzeige/neu-starboard-lima-tufskin-adult-carbon-paddel-2022/2849198742-230-7570", "Link")</f>
        <v/>
      </c>
      <c r="H2421" s="6">
        <f>HYPERLINK("C:\Projects\Kleinanzeigen-Scraper\offer_images\2849198742", "Link")</f>
        <v/>
      </c>
      <c r="I2421" t="inlineStr">
        <is>
          <t>Steffi</t>
        </is>
      </c>
      <c r="J2421" s="6">
        <f>HYPERLINK("https://www.kleinanzeigen.de/s-bestandsliste.html?userId=52853601", "Link")</f>
        <v/>
      </c>
      <c r="K2421" s="7" t="n">
        <v>45549.57265046296</v>
      </c>
      <c r="L2421" s="3" t="inlineStr">
        <is>
          <t>58.90</t>
        </is>
      </c>
      <c r="M2421" t="inlineStr">
        <is>
          <t>München</t>
        </is>
      </c>
    </row>
    <row r="2422">
      <c r="A2422" t="inlineStr">
        <is>
          <t>Fanatic Triple Aktion Pumpe Sup</t>
        </is>
      </c>
      <c r="B2422" s="4" t="n">
        <v>45</v>
      </c>
      <c r="C2422" t="inlineStr">
        <is>
          <t>VB</t>
        </is>
      </c>
      <c r="D2422" t="inlineStr">
        <is>
          <t>86859 Bayern - Igling</t>
        </is>
      </c>
      <c r="E2422" s="5" t="n">
        <v>45528</v>
      </c>
      <c r="F2422" t="inlineStr">
        <is>
          <t>Sold</t>
        </is>
      </c>
      <c r="G2422" s="6">
        <f>HYPERLINK("https://www.kleinanzeigen.de/s-anzeige/fanatic-triple-aktion-pumpe-sup/2845393390-230-7087", "Link")</f>
        <v/>
      </c>
      <c r="H2422" s="6">
        <f>HYPERLINK("C:\Projects\Kleinanzeigen-Scraper\offer_images\2845393390", "Link")</f>
        <v/>
      </c>
      <c r="I2422" t="inlineStr">
        <is>
          <t>CH</t>
        </is>
      </c>
      <c r="J2422" s="6">
        <f>HYPERLINK("https://www.kleinanzeigen.de/s-bestandsliste.html?userId=133103983", "Link")</f>
        <v/>
      </c>
      <c r="K2422" s="7" t="n">
        <v>45549.57265046296</v>
      </c>
      <c r="L2422" s="3" t="inlineStr">
        <is>
          <t>57.26</t>
        </is>
      </c>
      <c r="M2422" t="inlineStr">
        <is>
          <t>München</t>
        </is>
      </c>
    </row>
    <row r="2423">
      <c r="A2423" t="inlineStr">
        <is>
          <t>Suche:   North Ville Schneeanzug 140</t>
        </is>
      </c>
      <c r="B2423" s="4" t="n">
        <v>1</v>
      </c>
      <c r="C2423" t="inlineStr"/>
      <c r="D2423" t="inlineStr">
        <is>
          <t>41569 Nordrhein-Westfalen - Rommerskirchen</t>
        </is>
      </c>
      <c r="E2423" s="5" t="n">
        <v>45547</v>
      </c>
      <c r="F2423" t="inlineStr">
        <is>
          <t>Sold</t>
        </is>
      </c>
      <c r="G2423" s="6">
        <f>HYPERLINK("https://www.kleinanzeigen.de/s-anzeige/suche-north-ville-schneeanzug-140/2861348924-230-19638", "Link")</f>
        <v/>
      </c>
      <c r="H2423" s="6">
        <f>HYPERLINK("C:\Projects\Kleinanzeigen-Scraper\offer_images\2861348924", "Link")</f>
        <v/>
      </c>
      <c r="I2423" t="inlineStr">
        <is>
          <t>Beccy</t>
        </is>
      </c>
      <c r="J2423" s="6">
        <f>HYPERLINK("https://www.kleinanzeigen.de/s-bestandsliste.html?userId=13240850", "Link")</f>
        <v/>
      </c>
      <c r="K2423" s="7" t="n">
        <v>45549.57262731482</v>
      </c>
      <c r="L2423" s="3" t="inlineStr">
        <is>
          <t>22.79</t>
        </is>
      </c>
      <c r="M2423" t="inlineStr">
        <is>
          <t>Köln</t>
        </is>
      </c>
    </row>
    <row r="2424">
      <c r="A2424" t="inlineStr">
        <is>
          <t>10 x Goya Acryl 250ml</t>
        </is>
      </c>
      <c r="B2424" s="4" t="n">
        <v>19</v>
      </c>
      <c r="C2424" t="inlineStr"/>
      <c r="D2424" t="inlineStr">
        <is>
          <t>25421 Kreis Pinneberg - Pinneberg</t>
        </is>
      </c>
      <c r="E2424" s="5" t="n">
        <v>45547</v>
      </c>
      <c r="F2424" t="inlineStr"/>
      <c r="G2424" s="6">
        <f>HYPERLINK("https://www.kleinanzeigen.de/s-anzeige/10-x-goya-acryl-250ml/2861525500-282-786", "Link")</f>
        <v/>
      </c>
      <c r="H2424" s="6">
        <f>HYPERLINK("C:\Projects\Kleinanzeigen-Scraper\offer_images\2861525500", "Link")</f>
        <v/>
      </c>
      <c r="I2424" t="inlineStr">
        <is>
          <t>Lars</t>
        </is>
      </c>
      <c r="J2424" s="6">
        <f>HYPERLINK("https://www.kleinanzeigen.de/s-bestandsliste.html?userId=2163676", "Link")</f>
        <v/>
      </c>
      <c r="K2424" s="7" t="n">
        <v>45549.57262731482</v>
      </c>
      <c r="L2424" s="3" t="inlineStr">
        <is>
          <t>357.38</t>
        </is>
      </c>
      <c r="M2424" t="inlineStr">
        <is>
          <t>Köln</t>
        </is>
      </c>
    </row>
    <row r="2425">
      <c r="A2425" t="inlineStr">
        <is>
          <t>Naish Paddel</t>
        </is>
      </c>
      <c r="B2425" s="4" t="n">
        <v>90</v>
      </c>
      <c r="C2425" t="inlineStr">
        <is>
          <t>VB</t>
        </is>
      </c>
      <c r="D2425" t="inlineStr">
        <is>
          <t>78462 Baden-Württemberg - Konstanz</t>
        </is>
      </c>
      <c r="E2425" s="5" t="n">
        <v>45540</v>
      </c>
      <c r="F2425" t="inlineStr"/>
      <c r="G2425" s="6">
        <f>HYPERLINK("https://www.kleinanzeigen.de/s-anzeige/naish-paddel/2854886420-230-9390", "Link")</f>
        <v/>
      </c>
      <c r="H2425" s="6">
        <f>HYPERLINK("C:\Projects\Kleinanzeigen-Scraper\offer_images\2854886420", "Link")</f>
        <v/>
      </c>
      <c r="I2425" t="inlineStr">
        <is>
          <t>Angelika</t>
        </is>
      </c>
      <c r="J2425" s="6">
        <f>HYPERLINK("https://www.kleinanzeigen.de/s-bestandsliste.html?userId=37046202", "Link")</f>
        <v/>
      </c>
      <c r="K2425" s="7" t="n">
        <v>45549.57262731482</v>
      </c>
      <c r="L2425" s="3" t="inlineStr">
        <is>
          <t>64.75</t>
        </is>
      </c>
      <c r="M2425" t="inlineStr">
        <is>
          <t>Bonndorf</t>
        </is>
      </c>
    </row>
    <row r="2426">
      <c r="A2426" t="inlineStr">
        <is>
          <t>Goya Farben</t>
        </is>
      </c>
      <c r="B2426" s="4" t="n">
        <v>10</v>
      </c>
      <c r="C2426" t="inlineStr"/>
      <c r="D2426" t="inlineStr">
        <is>
          <t>73730 Baden-Württemberg - Esslingen</t>
        </is>
      </c>
      <c r="E2426" s="5" t="n">
        <v>45243</v>
      </c>
      <c r="F2426" t="inlineStr"/>
      <c r="G2426" s="6">
        <f>HYPERLINK("https://www.kleinanzeigen.de/s-anzeige/goya-farben/2601713407-282-9069", "Link")</f>
        <v/>
      </c>
      <c r="H2426" s="6">
        <f>HYPERLINK("C:\Projects\Kleinanzeigen-Scraper\offer_images\2601713407", "Link")</f>
        <v/>
      </c>
      <c r="I2426" t="inlineStr">
        <is>
          <t>Levi</t>
        </is>
      </c>
      <c r="J2426" s="6">
        <f>HYPERLINK("https://www.kleinanzeigen.de/s-bestandsliste.html?userId=42365929", "Link")</f>
        <v/>
      </c>
      <c r="K2426" s="7" t="n">
        <v>45549.57262731482</v>
      </c>
      <c r="L2426" s="3" t="inlineStr">
        <is>
          <t>28.12</t>
        </is>
      </c>
      <c r="M2426" t="inlineStr">
        <is>
          <t>Böblingen</t>
        </is>
      </c>
    </row>
    <row r="2427">
      <c r="A2427" t="inlineStr">
        <is>
          <t>Naish Boxer 9m Kite</t>
        </is>
      </c>
      <c r="B2427" s="4" t="n">
        <v>265</v>
      </c>
      <c r="C2427" t="inlineStr">
        <is>
          <t>VB</t>
        </is>
      </c>
      <c r="D2427" t="inlineStr">
        <is>
          <t>26757 Niedersachsen - Borkum</t>
        </is>
      </c>
      <c r="E2427" s="5" t="n">
        <v>45515</v>
      </c>
      <c r="F2427" t="inlineStr">
        <is>
          <t>Sold</t>
        </is>
      </c>
      <c r="G2427" s="6">
        <f>HYPERLINK("https://www.kleinanzeigen.de/s-anzeige/naish-boxer-9m-kite/2834523401-230-2447", "Link")</f>
        <v/>
      </c>
      <c r="H2427" s="6">
        <f>HYPERLINK("C:\Projects\Kleinanzeigen-Scraper\offer_images\2834523401", "Link")</f>
        <v/>
      </c>
      <c r="I2427" t="inlineStr">
        <is>
          <t>Tobias</t>
        </is>
      </c>
      <c r="J2427" s="6">
        <f>HYPERLINK("https://www.kleinanzeigen.de/s-bestandsliste.html?userId=33971456", "Link")</f>
        <v/>
      </c>
      <c r="K2427" s="7" t="n">
        <v>45549.57262731482</v>
      </c>
      <c r="L2427" s="3" t="inlineStr">
        <is>
          <t>295.18</t>
        </is>
      </c>
      <c r="M2427" t="inlineStr">
        <is>
          <t>Köln</t>
        </is>
      </c>
    </row>
    <row r="2428">
      <c r="A2428" t="inlineStr">
        <is>
          <t>SUP Starboard 10.8 ZEN iSUP 2019</t>
        </is>
      </c>
      <c r="B2428" s="4" t="n">
        <v>350</v>
      </c>
      <c r="C2428" t="inlineStr">
        <is>
          <t>VB</t>
        </is>
      </c>
      <c r="D2428" t="inlineStr">
        <is>
          <t>22175 Wandsbek - Hamburg Bramfeld</t>
        </is>
      </c>
      <c r="E2428" s="5" t="n">
        <v>45524</v>
      </c>
      <c r="F2428" t="inlineStr"/>
      <c r="G2428" s="6">
        <f>HYPERLINK("https://www.kleinanzeigen.de/s-anzeige/sup-starboard-10-8-zen-isup-2019/2841957186-187-9453", "Link")</f>
        <v/>
      </c>
      <c r="H2428" s="6">
        <f>HYPERLINK("C:\Projects\Kleinanzeigen-Scraper\offer_images\2841957186", "Link")</f>
        <v/>
      </c>
      <c r="I2428" t="inlineStr">
        <is>
          <t>Nadine</t>
        </is>
      </c>
      <c r="J2428" s="6">
        <f>HYPERLINK("https://www.kleinanzeigen.de/s-bestandsliste.html?userId=1385658", "Link")</f>
        <v/>
      </c>
      <c r="K2428" s="7" t="n">
        <v>45549.57260416666</v>
      </c>
      <c r="L2428" s="3" t="inlineStr">
        <is>
          <t>367.43</t>
        </is>
      </c>
      <c r="M2428" t="inlineStr">
        <is>
          <t>Köln</t>
        </is>
      </c>
    </row>
    <row r="2429">
      <c r="A2429" t="inlineStr">
        <is>
          <t>North (Duotone) Evo 12qm</t>
        </is>
      </c>
      <c r="B2429" s="4" t="n">
        <v>550</v>
      </c>
      <c r="C2429" t="inlineStr"/>
      <c r="D2429" t="inlineStr">
        <is>
          <t>26434 Niedersachsen - Wangerland</t>
        </is>
      </c>
      <c r="E2429" s="5" t="n">
        <v>45556</v>
      </c>
      <c r="F2429" t="inlineStr"/>
      <c r="G2429" s="6">
        <f>HYPERLINK("https://www.kleinanzeigen.de/s-anzeige/north-duotone-evo-12qm/2850148390-230-3003", "Link")</f>
        <v/>
      </c>
      <c r="H2429" s="6">
        <f>HYPERLINK("C:\Projects\Kleinanzeigen-Scraper\offer_images\2850148390", "Link")</f>
        <v/>
      </c>
      <c r="I2429" t="inlineStr">
        <is>
          <t>Christian Schulz</t>
        </is>
      </c>
      <c r="J2429" s="6">
        <f>HYPERLINK("https://www.kleinanzeigen.de/s-bestandsliste.html?userId=15107037", "Link")</f>
        <v/>
      </c>
      <c r="K2429" s="7" t="n">
        <v>45549.57260416666</v>
      </c>
      <c r="L2429" s="3" t="inlineStr">
        <is>
          <t>310.88</t>
        </is>
      </c>
      <c r="M2429" t="inlineStr">
        <is>
          <t>Köln</t>
        </is>
      </c>
    </row>
    <row r="2430">
      <c r="A2430" t="inlineStr">
        <is>
          <t>Naish Pivot 12</t>
        </is>
      </c>
      <c r="B2430" s="4" t="n">
        <v>660</v>
      </c>
      <c r="C2430" t="inlineStr">
        <is>
          <t>VB</t>
        </is>
      </c>
      <c r="D2430" t="inlineStr">
        <is>
          <t>21149 Harburg - Hamburg Neugraben</t>
        </is>
      </c>
      <c r="E2430" s="5" t="n">
        <v>45510</v>
      </c>
      <c r="F2430" t="inlineStr"/>
      <c r="G2430" s="6">
        <f>HYPERLINK("https://www.kleinanzeigen.de/s-anzeige/naish-pivot-12/2830232893-230-15765", "Link")</f>
        <v/>
      </c>
      <c r="H2430" s="6">
        <f>HYPERLINK("C:\Projects\Kleinanzeigen-Scraper\offer_images\2830232893", "Link")</f>
        <v/>
      </c>
      <c r="I2430" t="inlineStr">
        <is>
          <t>Sascha Hausmann</t>
        </is>
      </c>
      <c r="J2430" s="6">
        <f>HYPERLINK("https://www.kleinanzeigen.de/s-bestandsliste.html?userId=68217222", "Link")</f>
        <v/>
      </c>
      <c r="K2430" s="7" t="n">
        <v>45549.57260416666</v>
      </c>
      <c r="L2430" s="3" t="inlineStr">
        <is>
          <t>342.48</t>
        </is>
      </c>
      <c r="M2430" t="inlineStr">
        <is>
          <t>Köln</t>
        </is>
      </c>
    </row>
    <row r="2431">
      <c r="A2431" t="inlineStr">
        <is>
          <t>The North Face Weste XXl</t>
        </is>
      </c>
      <c r="B2431" s="4" t="n">
        <v>70</v>
      </c>
      <c r="C2431" t="inlineStr">
        <is>
          <t>VB</t>
        </is>
      </c>
      <c r="D2431" t="inlineStr">
        <is>
          <t>10551 Berlin - Mitte</t>
        </is>
      </c>
      <c r="E2431" s="5" t="n">
        <v>45547</v>
      </c>
      <c r="F2431" t="inlineStr">
        <is>
          <t>Sold</t>
        </is>
      </c>
      <c r="G2431" s="6">
        <f>HYPERLINK("https://www.kleinanzeigen.de/s-anzeige/the-north-face-weste-xxl/2860824948-230-9669", "Link")</f>
        <v/>
      </c>
      <c r="H2431" s="6">
        <f>HYPERLINK("C:\Projects\Kleinanzeigen-Scraper\offer_images\2860824948", "Link")</f>
        <v/>
      </c>
      <c r="I2431" t="inlineStr">
        <is>
          <t>Nils</t>
        </is>
      </c>
      <c r="J2431" s="6">
        <f>HYPERLINK("https://www.kleinanzeigen.de/s-bestandsliste.html?userId=140117327", "Link")</f>
        <v/>
      </c>
      <c r="K2431" s="7" t="n">
        <v>45549.57258101852</v>
      </c>
      <c r="L2431" s="3" t="inlineStr">
        <is>
          <t>473.80</t>
        </is>
      </c>
      <c r="M2431" t="inlineStr">
        <is>
          <t>Köln</t>
        </is>
      </c>
    </row>
    <row r="2432">
      <c r="A2432" t="inlineStr">
        <is>
          <t>Naish Wing Surfer S26 4.6 qm</t>
        </is>
      </c>
      <c r="B2432" s="4" t="n">
        <v>280</v>
      </c>
      <c r="C2432" t="inlineStr">
        <is>
          <t>VB</t>
        </is>
      </c>
      <c r="D2432" t="inlineStr">
        <is>
          <t>24118 Kiel - Ravensberg-Brunswik-Düsternbrook</t>
        </is>
      </c>
      <c r="E2432" s="5" t="n">
        <v>45489</v>
      </c>
      <c r="F2432" t="inlineStr">
        <is>
          <t>Sold</t>
        </is>
      </c>
      <c r="G2432" s="6">
        <f>HYPERLINK("https://www.kleinanzeigen.de/s-anzeige/naish-wing-surfer-s26-4-6-qm/2813753912-230-704", "Link")</f>
        <v/>
      </c>
      <c r="H2432" s="6">
        <f>HYPERLINK("C:\Projects\Kleinanzeigen-Scraper\offer_images\2813753912", "Link")</f>
        <v/>
      </c>
      <c r="I2432" t="inlineStr">
        <is>
          <t>Marten Rogalski</t>
        </is>
      </c>
      <c r="J2432" s="6">
        <f>HYPERLINK("https://www.kleinanzeigen.de/s-bestandsliste.html?userId=45248714", "Link")</f>
        <v/>
      </c>
      <c r="K2432" s="7" t="n">
        <v>45549.57258101852</v>
      </c>
      <c r="L2432" s="3" t="inlineStr">
        <is>
          <t>434.29</t>
        </is>
      </c>
      <c r="M2432" t="inlineStr">
        <is>
          <t>Köln</t>
        </is>
      </c>
    </row>
    <row r="2433">
      <c r="A2433" t="inlineStr">
        <is>
          <t>14 qm Naish 5 Leinerkite</t>
        </is>
      </c>
      <c r="B2433" s="4" t="n">
        <v>100</v>
      </c>
      <c r="C2433" t="inlineStr"/>
      <c r="D2433" t="inlineStr">
        <is>
          <t>58540 Nordrhein-Westfalen - Meinerzhagen</t>
        </is>
      </c>
      <c r="E2433" s="5" t="n">
        <v>45470</v>
      </c>
      <c r="F2433" t="inlineStr">
        <is>
          <t>Sold</t>
        </is>
      </c>
      <c r="G2433" s="6">
        <f>HYPERLINK("https://www.kleinanzeigen.de/s-anzeige/14-qm-naish-5-leinerkite/2798550761-230-1428", "Link")</f>
        <v/>
      </c>
      <c r="H2433" s="6">
        <f>HYPERLINK("C:\Projects\Kleinanzeigen-Scraper\offer_images\2798550761", "Link")</f>
        <v/>
      </c>
      <c r="I2433" t="inlineStr">
        <is>
          <t>Viktor</t>
        </is>
      </c>
      <c r="J2433" s="6">
        <f>HYPERLINK("https://www.kleinanzeigen.de/s-bestandsliste.html?userId=34464273", "Link")</f>
        <v/>
      </c>
      <c r="K2433" s="7" t="n">
        <v>45549.57258101852</v>
      </c>
      <c r="L2433" s="3" t="inlineStr">
        <is>
          <t>56.25</t>
        </is>
      </c>
      <c r="M2433" t="inlineStr">
        <is>
          <t>Köln</t>
        </is>
      </c>
    </row>
    <row r="2434">
      <c r="A2434" t="inlineStr">
        <is>
          <t>Fanatic Diomond 35 adj.</t>
        </is>
      </c>
      <c r="B2434" s="4" t="n">
        <v>160</v>
      </c>
      <c r="C2434" t="inlineStr">
        <is>
          <t>VB</t>
        </is>
      </c>
      <c r="D2434" t="inlineStr">
        <is>
          <t>18586 Mecklenburg-Vorpommern - Mönchgut, Ostseebad</t>
        </is>
      </c>
      <c r="E2434" s="5" t="n">
        <v>45544</v>
      </c>
      <c r="F2434" t="inlineStr">
        <is>
          <t>Sold</t>
        </is>
      </c>
      <c r="G2434" s="6">
        <f>HYPERLINK("https://www.kleinanzeigen.de/s-anzeige/fanatic-diomond-35-adj-/1526379937-230-120", "Link")</f>
        <v/>
      </c>
      <c r="H2434" s="6">
        <f>HYPERLINK("C:\Projects\Kleinanzeigen-Scraper\offer_images\1526379937", "Link")</f>
        <v/>
      </c>
      <c r="I2434" t="inlineStr">
        <is>
          <t>No user name</t>
        </is>
      </c>
      <c r="J2434" s="6">
        <f>HYPERLINK("https://www.kleinanzeigen.deNo user link", "Link")</f>
        <v/>
      </c>
      <c r="K2434" s="7" t="n">
        <v>45549.57256944444</v>
      </c>
      <c r="L2434" s="3" t="inlineStr">
        <is>
          <t>591.22</t>
        </is>
      </c>
      <c r="M2434" t="inlineStr">
        <is>
          <t>Köln</t>
        </is>
      </c>
    </row>
    <row r="2435">
      <c r="A2435" t="inlineStr">
        <is>
          <t>Coleman Benzin Starklichtlampe NORTH STAR</t>
        </is>
      </c>
      <c r="B2435" s="4" t="n">
        <v>100</v>
      </c>
      <c r="C2435" t="inlineStr"/>
      <c r="D2435" t="inlineStr">
        <is>
          <t>52379 Nordrhein-Westfalen - Langerwehe</t>
        </is>
      </c>
      <c r="E2435" s="5" t="n">
        <v>45536</v>
      </c>
      <c r="F2435" t="inlineStr">
        <is>
          <t>Sold</t>
        </is>
      </c>
      <c r="G2435" s="6">
        <f>HYPERLINK("https://www.kleinanzeigen.de/s-anzeige/coleman-benzin-starklichtlampe-north-star/2851880309-230-1907", "Link")</f>
        <v/>
      </c>
      <c r="H2435" s="6">
        <f>HYPERLINK("C:\Projects\Kleinanzeigen-Scraper\offer_images\2851880309", "Link")</f>
        <v/>
      </c>
      <c r="I2435" t="inlineStr">
        <is>
          <t>Andreas</t>
        </is>
      </c>
      <c r="J2435" s="6">
        <f>HYPERLINK("https://www.kleinanzeigen.de/s-bestandsliste.html?userId=57530984", "Link")</f>
        <v/>
      </c>
      <c r="K2435" s="7" t="n">
        <v>45549.57255787037</v>
      </c>
      <c r="L2435" s="3" t="inlineStr">
        <is>
          <t>43.07</t>
        </is>
      </c>
      <c r="M2435" t="inlineStr">
        <is>
          <t>Köln</t>
        </is>
      </c>
    </row>
    <row r="2436">
      <c r="A2436" t="inlineStr">
        <is>
          <t>North/duotone Vegas 13qm 2018</t>
        </is>
      </c>
      <c r="B2436" s="4" t="n">
        <v>500</v>
      </c>
      <c r="C2436" t="inlineStr">
        <is>
          <t>VB</t>
        </is>
      </c>
      <c r="D2436" t="inlineStr">
        <is>
          <t>70190 Stuttgart - Stuttgart-Ost</t>
        </is>
      </c>
      <c r="E2436" s="5" t="n">
        <v>45537</v>
      </c>
      <c r="F2436" t="inlineStr">
        <is>
          <t>Sold</t>
        </is>
      </c>
      <c r="G2436" s="6">
        <f>HYPERLINK("https://www.kleinanzeigen.de/s-anzeige/north-duotone-vegas-13qm-2018/2852362919-230-9291", "Link")</f>
        <v/>
      </c>
      <c r="H2436" s="6">
        <f>HYPERLINK("C:\Projects\Kleinanzeigen-Scraper\offer_images\2852362919", "Link")</f>
        <v/>
      </c>
      <c r="I2436" t="inlineStr">
        <is>
          <t>Daniel</t>
        </is>
      </c>
      <c r="J2436" s="6">
        <f>HYPERLINK("https://www.kleinanzeigen.de/s-bestandsliste.html?userId=29090462", "Link")</f>
        <v/>
      </c>
      <c r="K2436" s="7" t="n">
        <v>45549.57255787037</v>
      </c>
      <c r="L2436" s="3" t="inlineStr">
        <is>
          <t>20.40</t>
        </is>
      </c>
      <c r="M2436" t="inlineStr">
        <is>
          <t>Böblingen</t>
        </is>
      </c>
    </row>
    <row r="2437">
      <c r="A2437" t="inlineStr">
        <is>
          <t>Kite Bar RRD Global 48 cm Y26</t>
        </is>
      </c>
      <c r="B2437" s="4" t="n">
        <v>300</v>
      </c>
      <c r="C2437" t="inlineStr">
        <is>
          <t>VB</t>
        </is>
      </c>
      <c r="D2437" t="inlineStr">
        <is>
          <t>40591 Düsseldorf - Holthausen</t>
        </is>
      </c>
      <c r="E2437" s="5" t="n">
        <v>45316</v>
      </c>
      <c r="F2437" t="inlineStr">
        <is>
          <t>Sold</t>
        </is>
      </c>
      <c r="G2437" s="6">
        <f>HYPERLINK("https://www.kleinanzeigen.de/s-anzeige/kite-bar-rrd-global-48-cm-y26/2662245125-230-2075", "Link")</f>
        <v/>
      </c>
      <c r="H2437" s="6">
        <f>HYPERLINK("C:\Projects\Kleinanzeigen-Scraper\offer_images\2662245125", "Link")</f>
        <v/>
      </c>
      <c r="I2437" t="inlineStr">
        <is>
          <t>Willi</t>
        </is>
      </c>
      <c r="J2437" s="6">
        <f>HYPERLINK("https://www.kleinanzeigen.de/s-bestandsliste.html?userId=119273850", "Link")</f>
        <v/>
      </c>
      <c r="K2437" s="7" t="n">
        <v>45549.57255787037</v>
      </c>
      <c r="L2437" s="3" t="inlineStr">
        <is>
          <t>29.32</t>
        </is>
      </c>
      <c r="M2437" t="inlineStr">
        <is>
          <t>Köln</t>
        </is>
      </c>
    </row>
    <row r="2438">
      <c r="A2438" t="inlineStr">
        <is>
          <t>Duotone Slick SLS 3.5, 4.5</t>
        </is>
      </c>
      <c r="B2438" s="4" t="n">
        <v>440</v>
      </c>
      <c r="C2438" t="inlineStr">
        <is>
          <t>VB</t>
        </is>
      </c>
      <c r="D2438" t="inlineStr">
        <is>
          <t>24226 Schleswig-Holstein - Heikendorf</t>
        </is>
      </c>
      <c r="E2438" s="5" t="n">
        <v>45542</v>
      </c>
      <c r="F2438" t="inlineStr">
        <is>
          <t>Sold</t>
        </is>
      </c>
      <c r="G2438" s="6">
        <f>HYPERLINK("https://www.kleinanzeigen.de/s-anzeige/duotone-slick-sls-3-5-4-5/2856523227-230-672", "Link")</f>
        <v/>
      </c>
      <c r="H2438" s="6">
        <f>HYPERLINK("C:\Projects\Kleinanzeigen-Scraper\offer_images\2856523227", "Link")</f>
        <v/>
      </c>
      <c r="I2438" t="inlineStr">
        <is>
          <t>Lars</t>
        </is>
      </c>
      <c r="J2438" s="6">
        <f>HYPERLINK("https://www.kleinanzeigen.de/s-bestandsliste.html?userId=80055399", "Link")</f>
        <v/>
      </c>
      <c r="K2438" s="7" t="n">
        <v>45549.57254629629</v>
      </c>
      <c r="L2438" s="3" t="inlineStr">
        <is>
          <t>441.08</t>
        </is>
      </c>
      <c r="M2438" t="inlineStr">
        <is>
          <t>Köln</t>
        </is>
      </c>
    </row>
    <row r="2439">
      <c r="A2439" t="inlineStr">
        <is>
          <t>Duotone Neo SLS 7 2022 Kite Top-Zustand kaum genutzt</t>
        </is>
      </c>
      <c r="B2439" s="4" t="n">
        <v>700</v>
      </c>
      <c r="C2439" t="inlineStr">
        <is>
          <t>VB</t>
        </is>
      </c>
      <c r="D2439" t="inlineStr">
        <is>
          <t>81379 München - Thalk.Obersendl.-Forsten-Fürstenr.-Solln</t>
        </is>
      </c>
      <c r="E2439" s="5" t="n">
        <v>45544</v>
      </c>
      <c r="F2439" t="inlineStr">
        <is>
          <t>Sold</t>
        </is>
      </c>
      <c r="G2439" s="6">
        <f>HYPERLINK("https://www.kleinanzeigen.de/s-anzeige/duotone-neo-sls-7-2022-kite-top-zustand-kaum-genutzt/2858985785-230-6415", "Link")</f>
        <v/>
      </c>
      <c r="H2439" s="6">
        <f>HYPERLINK("C:\Projects\Kleinanzeigen-Scraper\offer_images\2858985785", "Link")</f>
        <v/>
      </c>
      <c r="I2439" t="inlineStr">
        <is>
          <t>Georg</t>
        </is>
      </c>
      <c r="J2439" s="6">
        <f>HYPERLINK("https://www.kleinanzeigen.de/s-bestandsliste.html?userId=11294907", "Link")</f>
        <v/>
      </c>
      <c r="K2439" s="7" t="n">
        <v>45549.57254629629</v>
      </c>
      <c r="L2439" s="3" t="inlineStr">
        <is>
          <t>5.49</t>
        </is>
      </c>
      <c r="M2439" t="inlineStr">
        <is>
          <t>München</t>
        </is>
      </c>
    </row>
    <row r="2440">
      <c r="A2440" t="inlineStr">
        <is>
          <t>North (jetzt Duotone) Neo 9m</t>
        </is>
      </c>
      <c r="B2440" s="4" t="n">
        <v>300</v>
      </c>
      <c r="C2440" t="inlineStr"/>
      <c r="D2440" t="inlineStr">
        <is>
          <t>12103 Berlin - Tempelhof</t>
        </is>
      </c>
      <c r="E2440" s="5" t="n">
        <v>45537</v>
      </c>
      <c r="F2440" t="inlineStr">
        <is>
          <t>Sold</t>
        </is>
      </c>
      <c r="G2440" s="6">
        <f>HYPERLINK("https://www.kleinanzeigen.de/s-anzeige/north-jetzt-duotone-neo-9m/2852960317-230-3405", "Link")</f>
        <v/>
      </c>
      <c r="H2440" s="6">
        <f>HYPERLINK("C:\Projects\Kleinanzeigen-Scraper\offer_images\2852960317", "Link")</f>
        <v/>
      </c>
      <c r="I2440" t="inlineStr">
        <is>
          <t>Michael</t>
        </is>
      </c>
      <c r="J2440" s="6">
        <f>HYPERLINK("https://www.kleinanzeigen.de/s-bestandsliste.html?userId=49728127", "Link")</f>
        <v/>
      </c>
      <c r="K2440" s="7" t="n">
        <v>45549.57254629629</v>
      </c>
      <c r="L2440" s="3" t="inlineStr">
        <is>
          <t>473.56</t>
        </is>
      </c>
      <c r="M2440" t="inlineStr">
        <is>
          <t>Köln</t>
        </is>
      </c>
    </row>
    <row r="2441">
      <c r="A2441" t="inlineStr">
        <is>
          <t>Poster Mistral Surfing mit original Unterschriften Robby Naish</t>
        </is>
      </c>
      <c r="B2441" s="4" t="inlineStr"/>
      <c r="C2441" t="inlineStr">
        <is>
          <t>VB</t>
        </is>
      </c>
      <c r="D2441" t="inlineStr">
        <is>
          <t>66280 Saarland - Sulzbach (Saar)</t>
        </is>
      </c>
      <c r="E2441" s="5" t="n">
        <v>45502</v>
      </c>
      <c r="F2441" t="inlineStr"/>
      <c r="G2441" s="6">
        <f>HYPERLINK("https://www.kleinanzeigen.de/s-anzeige/poster-mistral-surfing-mit-original-unterschriften-robby-naish/2824088017-230-331", "Link")</f>
        <v/>
      </c>
      <c r="H2441" s="6">
        <f>HYPERLINK("C:\Projects\Kleinanzeigen-Scraper\offer_images\2824088017", "Link")</f>
        <v/>
      </c>
      <c r="I2441" t="inlineStr">
        <is>
          <t>M. K.</t>
        </is>
      </c>
      <c r="J2441" s="6">
        <f>HYPERLINK("https://www.kleinanzeigen.de/s-bestandsliste.html?userId=15837054", "Link")</f>
        <v/>
      </c>
      <c r="K2441" s="7" t="n">
        <v>45549.57254629629</v>
      </c>
      <c r="L2441" s="3" t="inlineStr">
        <is>
          <t>102.26</t>
        </is>
      </c>
      <c r="M2441" t="inlineStr">
        <is>
          <t>Karlsruhe</t>
        </is>
      </c>
    </row>
    <row r="2442">
      <c r="A2442" t="inlineStr">
        <is>
          <t>4qm Neilpryde Fly Pro Wing, Wingfoiling</t>
        </is>
      </c>
      <c r="B2442" s="4" t="n">
        <v>1.5</v>
      </c>
      <c r="C2442" t="inlineStr"/>
      <c r="D2442" t="inlineStr">
        <is>
          <t>80798 München - Maxvorstadt</t>
        </is>
      </c>
      <c r="E2442" s="5" t="n">
        <v>45508</v>
      </c>
      <c r="F2442" t="inlineStr">
        <is>
          <t>Sold</t>
        </is>
      </c>
      <c r="G2442" s="6">
        <f>HYPERLINK("https://www.kleinanzeigen.de/s-anzeige/4qm-neilpryde-fly-pro-wing-wingfoiling/2828627310-230-9616", "Link")</f>
        <v/>
      </c>
      <c r="H2442" s="6">
        <f>HYPERLINK("C:\Projects\Kleinanzeigen-Scraper\offer_images\2828627310", "Link")</f>
        <v/>
      </c>
      <c r="I2442" t="inlineStr">
        <is>
          <t>Daniel D.</t>
        </is>
      </c>
      <c r="J2442" s="6">
        <f>HYPERLINK("https://www.kleinanzeigen.de/s-bestandsliste.html?userId=34572325", "Link")</f>
        <v/>
      </c>
      <c r="K2442" s="7" t="n">
        <v>45549.57253472223</v>
      </c>
      <c r="L2442" s="3" t="inlineStr">
        <is>
          <t>2.07</t>
        </is>
      </c>
      <c r="M2442" t="inlineStr">
        <is>
          <t>München</t>
        </is>
      </c>
    </row>
    <row r="2443">
      <c r="A2443" t="inlineStr">
        <is>
          <t>Fanatic Trapez</t>
        </is>
      </c>
      <c r="B2443" s="4" t="n">
        <v>17</v>
      </c>
      <c r="C2443" t="inlineStr">
        <is>
          <t>VB</t>
        </is>
      </c>
      <c r="D2443" t="inlineStr">
        <is>
          <t>30625 Buchholz-Kleefeld - Hannover Groß Buchholz</t>
        </is>
      </c>
      <c r="E2443" s="5" t="n">
        <v>45543</v>
      </c>
      <c r="F2443" t="inlineStr">
        <is>
          <t>Sold</t>
        </is>
      </c>
      <c r="G2443" s="6">
        <f>HYPERLINK("https://www.kleinanzeigen.de/s-anzeige/fanatic-trapez/2858061039-230-3161", "Link")</f>
        <v/>
      </c>
      <c r="H2443" s="6">
        <f>HYPERLINK("C:\Projects\Kleinanzeigen-Scraper\offer_images\2858061039", "Link")</f>
        <v/>
      </c>
      <c r="I2443" t="inlineStr">
        <is>
          <t>Sabine2802</t>
        </is>
      </c>
      <c r="J2443" s="6">
        <f>HYPERLINK("https://www.kleinanzeigen.de/s-bestandsliste.html?userId=139165441", "Link")</f>
        <v/>
      </c>
      <c r="K2443" s="7" t="n">
        <v>45549.57253472223</v>
      </c>
      <c r="L2443" s="3" t="inlineStr">
        <is>
          <t>253.30</t>
        </is>
      </c>
      <c r="M2443" t="inlineStr">
        <is>
          <t>Köln</t>
        </is>
      </c>
    </row>
    <row r="2444">
      <c r="A2444" t="inlineStr">
        <is>
          <t>Naish S26 Jet Foil 1800 HA Complete - STD - NEU</t>
        </is>
      </c>
      <c r="B2444" s="4" t="n">
        <v>1.19</v>
      </c>
      <c r="C2444" t="inlineStr"/>
      <c r="D2444" t="inlineStr">
        <is>
          <t>82319 Bayern - Starnberg</t>
        </is>
      </c>
      <c r="E2444" s="5" t="n">
        <v>45566</v>
      </c>
      <c r="F2444" t="inlineStr"/>
      <c r="G2444" s="6">
        <f>HYPERLINK("https://www.kleinanzeigen.de/s-anzeige/naish-s26-jet-foil-1800-ha-complete-std-neu/1740308151-230-5525", "Link")</f>
        <v/>
      </c>
      <c r="H2444" s="6">
        <f>HYPERLINK("C:\Projects\Kleinanzeigen-Scraper\offer_images\1740308151", "Link")</f>
        <v/>
      </c>
      <c r="I2444" t="inlineStr">
        <is>
          <t>No user name</t>
        </is>
      </c>
      <c r="J2444" s="6">
        <f>HYPERLINK("https://www.kleinanzeigen.deNo user link", "Link")</f>
        <v/>
      </c>
      <c r="K2444" s="7" t="n">
        <v>45549.57252314815</v>
      </c>
      <c r="L2444" s="3" t="inlineStr">
        <is>
          <t>23.17</t>
        </is>
      </c>
      <c r="M2444" t="inlineStr">
        <is>
          <t>München</t>
        </is>
      </c>
    </row>
    <row r="2445">
      <c r="A2445" t="inlineStr">
        <is>
          <t>The North Face Damen Wanderbluse, Gr. XS *wie neu*</t>
        </is>
      </c>
      <c r="B2445" s="4" t="n">
        <v>10</v>
      </c>
      <c r="C2445" t="inlineStr"/>
      <c r="D2445" t="inlineStr">
        <is>
          <t>93055 Bayern - Regensburg</t>
        </is>
      </c>
      <c r="E2445" s="5" t="n">
        <v>45540</v>
      </c>
      <c r="F2445" t="inlineStr">
        <is>
          <t>Sold</t>
        </is>
      </c>
      <c r="G2445" s="6">
        <f>HYPERLINK("https://www.kleinanzeigen.de/s-anzeige/the-north-face-damen-wanderbluse-gr-xs-wie-neu-/2854993818-230-7655", "Link")</f>
        <v/>
      </c>
      <c r="H2445" s="6">
        <f>HYPERLINK("C:\Projects\Kleinanzeigen-Scraper\offer_images\2854993818", "Link")</f>
        <v/>
      </c>
      <c r="I2445" t="inlineStr">
        <is>
          <t>Heike &amp; Marcus</t>
        </is>
      </c>
      <c r="J2445" s="6">
        <f>HYPERLINK("https://www.kleinanzeigen.de/s-bestandsliste.html?userId=1585875", "Link")</f>
        <v/>
      </c>
      <c r="K2445" s="7" t="n">
        <v>45549.57252314815</v>
      </c>
      <c r="L2445" s="3" t="inlineStr">
        <is>
          <t>105.19</t>
        </is>
      </c>
      <c r="M2445" t="inlineStr">
        <is>
          <t>München</t>
        </is>
      </c>
    </row>
    <row r="2446">
      <c r="A2446" t="inlineStr">
        <is>
          <t>NeilPryde Foil HP Glide Surf 19</t>
        </is>
      </c>
      <c r="B2446" s="4" t="n">
        <v>500</v>
      </c>
      <c r="C2446" t="inlineStr"/>
      <c r="D2446" t="inlineStr">
        <is>
          <t>24159 Kiel - Schilksee</t>
        </is>
      </c>
      <c r="E2446" s="5" t="n">
        <v>45525</v>
      </c>
      <c r="F2446" t="inlineStr"/>
      <c r="G2446" s="6">
        <f>HYPERLINK("https://www.kleinanzeigen.de/s-anzeige/neilpryde-foil-hp-glide-surf-19/2842522562-230-9543", "Link")</f>
        <v/>
      </c>
      <c r="H2446" s="6">
        <f>HYPERLINK("C:\Projects\Kleinanzeigen-Scraper\offer_images\2842522562", "Link")</f>
        <v/>
      </c>
      <c r="I2446" t="inlineStr">
        <is>
          <t>Jensen</t>
        </is>
      </c>
      <c r="J2446" s="6">
        <f>HYPERLINK("https://www.kleinanzeigen.de/s-bestandsliste.html?userId=5146396", "Link")</f>
        <v/>
      </c>
      <c r="K2446" s="7" t="n">
        <v>45549.57251157407</v>
      </c>
      <c r="L2446" s="3" t="inlineStr">
        <is>
          <t>440.84</t>
        </is>
      </c>
      <c r="M2446" t="inlineStr">
        <is>
          <t>Köln</t>
        </is>
      </c>
    </row>
    <row r="2447">
      <c r="A2447" t="inlineStr">
        <is>
          <t>Duotone Juice 14 qm 2023</t>
        </is>
      </c>
      <c r="B2447" s="4" t="n">
        <v>1.3</v>
      </c>
      <c r="C2447" t="inlineStr"/>
      <c r="D2447" t="inlineStr">
        <is>
          <t>90451 Nürnberg (Mittelfr) - Aussenstadt-Sued</t>
        </is>
      </c>
      <c r="E2447" s="5" t="n">
        <v>45540</v>
      </c>
      <c r="F2447" t="inlineStr">
        <is>
          <t>Sold</t>
        </is>
      </c>
      <c r="G2447" s="6">
        <f>HYPERLINK("https://www.kleinanzeigen.de/s-anzeige/duotone-juice-14-qm-2023/2854737522-230-6836", "Link")</f>
        <v/>
      </c>
      <c r="H2447" s="6">
        <f>HYPERLINK("C:\Projects\Kleinanzeigen-Scraper\offer_images\2854737522", "Link")</f>
        <v/>
      </c>
      <c r="I2447" t="inlineStr">
        <is>
          <t>No user name</t>
        </is>
      </c>
      <c r="J2447" s="6">
        <f>HYPERLINK("https://www.kleinanzeigen.deNo user link", "Link")</f>
        <v/>
      </c>
      <c r="K2447" s="7" t="n">
        <v>45549.5725</v>
      </c>
      <c r="L2447" s="3" t="inlineStr">
        <is>
          <t>145.92</t>
        </is>
      </c>
      <c r="M2447" t="inlineStr">
        <is>
          <t>München</t>
        </is>
      </c>
    </row>
    <row r="2448">
      <c r="A2448" t="inlineStr">
        <is>
          <t>Naish S27 Matador Wingsurfer 4 + 5 m2 Gelb Neu &amp; OVP</t>
        </is>
      </c>
      <c r="B2448" s="4" t="n">
        <v>340</v>
      </c>
      <c r="C2448" t="inlineStr"/>
      <c r="D2448" t="inlineStr">
        <is>
          <t>23775 Kreis Ostholstein - Großenbrode</t>
        </is>
      </c>
      <c r="E2448" s="5" t="n">
        <v>45539</v>
      </c>
      <c r="F2448" t="inlineStr">
        <is>
          <t>Sold</t>
        </is>
      </c>
      <c r="G2448" s="6">
        <f>HYPERLINK("https://www.kleinanzeigen.de/s-anzeige/naish-s27-matador-wingsurfer-4-5-m2-gelb-neu-ovp/2854357763-230-429", "Link")</f>
        <v/>
      </c>
      <c r="H2448" s="6">
        <f>HYPERLINK("C:\Projects\Kleinanzeigen-Scraper\offer_images\2854357763", "Link")</f>
        <v/>
      </c>
      <c r="I2448" t="inlineStr">
        <is>
          <t>Tobias Michelsen</t>
        </is>
      </c>
      <c r="J2448" s="6">
        <f>HYPERLINK("https://www.kleinanzeigen.de/s-bestandsliste.html?userId=47501726", "Link")</f>
        <v/>
      </c>
      <c r="K2448" s="7" t="n">
        <v>45549.5725</v>
      </c>
      <c r="L2448" s="3" t="inlineStr">
        <is>
          <t>471.97</t>
        </is>
      </c>
      <c r="M2448" t="inlineStr">
        <is>
          <t>Köln</t>
        </is>
      </c>
    </row>
    <row r="2449">
      <c r="A2449" t="inlineStr">
        <is>
          <t>Naish Pivot 10qm (exkl. Naish Fusion Bar)</t>
        </is>
      </c>
      <c r="B2449" s="4" t="n">
        <v>259</v>
      </c>
      <c r="C2449" t="inlineStr"/>
      <c r="D2449" t="inlineStr">
        <is>
          <t>33613 Bielefeld - Bielefeld (Innenstadt)</t>
        </is>
      </c>
      <c r="E2449" s="5" t="n">
        <v>45526</v>
      </c>
      <c r="F2449" t="inlineStr"/>
      <c r="G2449" s="6">
        <f>HYPERLINK("https://www.kleinanzeigen.de/s-anzeige/naish-pivot-10qm-exkl-naish-fusion-bar-/2843727164-230-1060", "Link")</f>
        <v/>
      </c>
      <c r="H2449" s="6">
        <f>HYPERLINK("C:\Projects\Kleinanzeigen-Scraper\offer_images\2843727164", "Link")</f>
        <v/>
      </c>
      <c r="I2449" t="inlineStr">
        <is>
          <t>Maurice</t>
        </is>
      </c>
      <c r="J2449" s="6">
        <f>HYPERLINK("https://www.kleinanzeigen.de/s-bestandsliste.html?userId=19956148", "Link")</f>
        <v/>
      </c>
      <c r="K2449" s="7" t="n">
        <v>45549.5725</v>
      </c>
      <c r="L2449" s="3" t="inlineStr">
        <is>
          <t>164.45</t>
        </is>
      </c>
      <c r="M2449" t="inlineStr">
        <is>
          <t>Köln</t>
        </is>
      </c>
    </row>
    <row r="2450">
      <c r="A2450" t="inlineStr">
        <is>
          <t>Duotone 2024 Rebel 10.0 qm</t>
        </is>
      </c>
      <c r="B2450" s="4" t="n">
        <v>1.55</v>
      </c>
      <c r="C2450" t="inlineStr"/>
      <c r="D2450" t="inlineStr">
        <is>
          <t>90451 Nürnberg (Mittelfr) - Aussenstadt-Sued</t>
        </is>
      </c>
      <c r="E2450" s="5" t="n">
        <v>45539</v>
      </c>
      <c r="F2450" t="inlineStr">
        <is>
          <t>Sold</t>
        </is>
      </c>
      <c r="G2450" s="6">
        <f>HYPERLINK("https://www.kleinanzeigen.de/s-anzeige/duotone-2024-rebel-10-0-qm/2853963503-230-6836", "Link")</f>
        <v/>
      </c>
      <c r="H2450" s="6">
        <f>HYPERLINK("C:\Projects\Kleinanzeigen-Scraper\offer_images\2853963503", "Link")</f>
        <v/>
      </c>
      <c r="I2450" t="inlineStr">
        <is>
          <t>No user name</t>
        </is>
      </c>
      <c r="J2450" s="6">
        <f>HYPERLINK("https://www.kleinanzeigen.deNo user link", "Link")</f>
        <v/>
      </c>
      <c r="K2450" s="7" t="n">
        <v>45549.57247685185</v>
      </c>
      <c r="L2450" s="3" t="inlineStr">
        <is>
          <t>145.92</t>
        </is>
      </c>
      <c r="M2450" t="inlineStr">
        <is>
          <t>München</t>
        </is>
      </c>
    </row>
    <row r="2451">
      <c r="A2451" t="inlineStr">
        <is>
          <t>Duotone Evo 13qm 2023</t>
        </is>
      </c>
      <c r="B2451" s="4" t="n">
        <v>915</v>
      </c>
      <c r="C2451" t="inlineStr">
        <is>
          <t>VB</t>
        </is>
      </c>
      <c r="D2451" t="inlineStr">
        <is>
          <t>21423 Niedersachsen - Winsen (Luhe)</t>
        </is>
      </c>
      <c r="E2451" s="5" t="n">
        <v>45548</v>
      </c>
      <c r="F2451" t="inlineStr">
        <is>
          <t>Sold</t>
        </is>
      </c>
      <c r="G2451" s="6">
        <f>HYPERLINK("https://www.kleinanzeigen.de/s-anzeige/duotone-evo-13qm-2023/2763166802-230-3223", "Link")</f>
        <v/>
      </c>
      <c r="H2451" s="6">
        <f>HYPERLINK("C:\Projects\Kleinanzeigen-Scraper\offer_images\2763166802", "Link")</f>
        <v/>
      </c>
      <c r="I2451" t="inlineStr">
        <is>
          <t>No user name</t>
        </is>
      </c>
      <c r="J2451" s="6">
        <f>HYPERLINK("https://www.kleinanzeigen.deNo user link", "Link")</f>
        <v/>
      </c>
      <c r="K2451" s="7" t="n">
        <v>45549.57247685185</v>
      </c>
      <c r="L2451" s="3" t="inlineStr">
        <is>
          <t>349.14</t>
        </is>
      </c>
      <c r="M2451" t="inlineStr">
        <is>
          <t>Köln</t>
        </is>
      </c>
    </row>
    <row r="2452">
      <c r="A2452" t="inlineStr">
        <is>
          <t>Rrd obsession 7m kite</t>
        </is>
      </c>
      <c r="B2452" s="4" t="n">
        <v>40</v>
      </c>
      <c r="C2452" t="inlineStr"/>
      <c r="D2452" t="inlineStr">
        <is>
          <t>71229 Baden-Württemberg - Leonberg</t>
        </is>
      </c>
      <c r="E2452" s="5" t="n">
        <v>45536</v>
      </c>
      <c r="F2452" t="inlineStr">
        <is>
          <t>Sold</t>
        </is>
      </c>
      <c r="G2452" s="6">
        <f>HYPERLINK("https://www.kleinanzeigen.de/s-anzeige/rrd-obsession-7m-kite/2852051698-230-8441", "Link")</f>
        <v/>
      </c>
      <c r="H2452" s="6">
        <f>HYPERLINK("C:\Projects\Kleinanzeigen-Scraper\offer_images\2852051698", "Link")</f>
        <v/>
      </c>
      <c r="I2452" t="inlineStr">
        <is>
          <t>Julian</t>
        </is>
      </c>
      <c r="J2452" s="6">
        <f>HYPERLINK("https://www.kleinanzeigen.de/s-bestandsliste.html?userId=6325339", "Link")</f>
        <v/>
      </c>
      <c r="K2452" s="7" t="n">
        <v>45549.57247685185</v>
      </c>
      <c r="L2452" s="3" t="inlineStr">
        <is>
          <t>13.97</t>
        </is>
      </c>
      <c r="M2452" t="inlineStr">
        <is>
          <t>Böblingen</t>
        </is>
      </c>
    </row>
    <row r="2453">
      <c r="A2453" t="inlineStr">
        <is>
          <t>Naish X2 Kite 14qm</t>
        </is>
      </c>
      <c r="B2453" s="4" t="n">
        <v>160</v>
      </c>
      <c r="C2453" t="inlineStr">
        <is>
          <t>VB</t>
        </is>
      </c>
      <c r="D2453" t="inlineStr">
        <is>
          <t>22049 Hamburg-Nord - Hamburg Dulsberg</t>
        </is>
      </c>
      <c r="E2453" s="5" t="n">
        <v>45491</v>
      </c>
      <c r="F2453" t="inlineStr">
        <is>
          <t>Sold</t>
        </is>
      </c>
      <c r="G2453" s="6">
        <f>HYPERLINK("https://www.kleinanzeigen.de/s-anzeige/naish-x2-kite-14qm/2815651788-230-16442", "Link")</f>
        <v/>
      </c>
      <c r="H2453" s="6">
        <f>HYPERLINK("C:\Projects\Kleinanzeigen-Scraper\offer_images\2815651788", "Link")</f>
        <v/>
      </c>
      <c r="I2453" t="inlineStr">
        <is>
          <t>Andre</t>
        </is>
      </c>
      <c r="J2453" s="6">
        <f>HYPERLINK("https://www.kleinanzeigen.de/s-bestandsliste.html?userId=46678425", "Link")</f>
        <v/>
      </c>
      <c r="K2453" s="7" t="n">
        <v>45549.57247685185</v>
      </c>
      <c r="L2453" s="3" t="inlineStr">
        <is>
          <t>362.49</t>
        </is>
      </c>
      <c r="M2453" t="inlineStr">
        <is>
          <t>Köln</t>
        </is>
      </c>
    </row>
    <row r="2454">
      <c r="A2454" t="inlineStr">
        <is>
          <t>Airfix 02083 1:72 North American P-51B Mustang</t>
        </is>
      </c>
      <c r="B2454" s="4" t="n">
        <v>7</v>
      </c>
      <c r="C2454" t="inlineStr">
        <is>
          <t>VB</t>
        </is>
      </c>
      <c r="D2454" t="inlineStr">
        <is>
          <t>47169 Duisburg - Röttgersbach</t>
        </is>
      </c>
      <c r="E2454" s="5" t="n">
        <v>45542</v>
      </c>
      <c r="F2454" t="inlineStr">
        <is>
          <t>Sold</t>
        </is>
      </c>
      <c r="G2454" s="6">
        <f>HYPERLINK("https://www.kleinanzeigen.de/s-anzeige/airfix-02083-1-72-north-american-p-51b-mustang/2856621646-249-23951", "Link")</f>
        <v/>
      </c>
      <c r="H2454" s="6">
        <f>HYPERLINK("C:\Projects\Kleinanzeigen-Scraper\offer_images\2856621646", "Link")</f>
        <v/>
      </c>
      <c r="I2454" t="inlineStr">
        <is>
          <t>Haeffs/Hlobik</t>
        </is>
      </c>
      <c r="J2454" s="6">
        <f>HYPERLINK("https://www.kleinanzeigen.de/s-bestandsliste.html?userId=43501739", "Link")</f>
        <v/>
      </c>
      <c r="K2454" s="7" t="n">
        <v>45549.5724537037</v>
      </c>
      <c r="L2454" s="3" t="inlineStr">
        <is>
          <t>65.16</t>
        </is>
      </c>
      <c r="M2454" t="inlineStr">
        <is>
          <t>Köln</t>
        </is>
      </c>
    </row>
    <row r="2455">
      <c r="A2455" t="inlineStr">
        <is>
          <t>Konvolut Acrylfarben Solo Goya / Set für Acrylic Pouring / Malen</t>
        </is>
      </c>
      <c r="B2455" s="4" t="n">
        <v>49</v>
      </c>
      <c r="C2455" t="inlineStr">
        <is>
          <t>VB</t>
        </is>
      </c>
      <c r="D2455" t="inlineStr">
        <is>
          <t>91207 Bayern - Lauf a.d. Pegnitz</t>
        </is>
      </c>
      <c r="E2455" s="5" t="n">
        <v>45522</v>
      </c>
      <c r="F2455" t="inlineStr">
        <is>
          <t>Sold</t>
        </is>
      </c>
      <c r="G2455" s="6">
        <f>HYPERLINK("https://www.kleinanzeigen.de/s-anzeige/konvolut-acrylfarben-solo-goya-set-fuer-acrylic-pouring-malen/2839803361-282-6362", "Link")</f>
        <v/>
      </c>
      <c r="H2455" s="6">
        <f>HYPERLINK("C:\Projects\Kleinanzeigen-Scraper\offer_images\2839803361", "Link")</f>
        <v/>
      </c>
      <c r="I2455" t="inlineStr">
        <is>
          <t>S.U.</t>
        </is>
      </c>
      <c r="J2455" s="6">
        <f>HYPERLINK("https://www.kleinanzeigen.de/s-bestandsliste.html?userId=48824052", "Link")</f>
        <v/>
      </c>
      <c r="K2455" s="7" t="n">
        <v>45549.5724537037</v>
      </c>
      <c r="L2455" s="3" t="inlineStr">
        <is>
          <t>157.63</t>
        </is>
      </c>
      <c r="M2455" t="inlineStr">
        <is>
          <t>München</t>
        </is>
      </c>
    </row>
    <row r="2456">
      <c r="A2456" t="inlineStr">
        <is>
          <t>Naish Pivot 12qm S27 2023 neuwertig Allround Kite</t>
        </is>
      </c>
      <c r="B2456" s="4" t="n">
        <v>695</v>
      </c>
      <c r="C2456" t="inlineStr"/>
      <c r="D2456" t="inlineStr">
        <is>
          <t>22767 Hamburg - Altona</t>
        </is>
      </c>
      <c r="E2456" s="5" t="n">
        <v>45534</v>
      </c>
      <c r="F2456" t="inlineStr">
        <is>
          <t>Sold</t>
        </is>
      </c>
      <c r="G2456" s="6">
        <f>HYPERLINK("https://www.kleinanzeigen.de/s-anzeige/naish-pivot-12qm-s27-2023-neuwertig-allround-kite/2849619890-230-9506", "Link")</f>
        <v/>
      </c>
      <c r="H2456" s="6">
        <f>HYPERLINK("C:\Projects\Kleinanzeigen-Scraper\offer_images\2849619890", "Link")</f>
        <v/>
      </c>
      <c r="I2456" t="inlineStr">
        <is>
          <t>Max</t>
        </is>
      </c>
      <c r="J2456" s="6">
        <f>HYPERLINK("https://www.kleinanzeigen.de/s-bestandsliste.html?userId=15666689", "Link")</f>
        <v/>
      </c>
      <c r="K2456" s="7" t="n">
        <v>45549.5724537037</v>
      </c>
      <c r="L2456" s="3" t="inlineStr">
        <is>
          <t>354.40</t>
        </is>
      </c>
      <c r="M2456" t="inlineStr">
        <is>
          <t>Köln</t>
        </is>
      </c>
    </row>
    <row r="2457">
      <c r="A2457" t="inlineStr">
        <is>
          <t>Wing Naish ADX 4.0m (nur 3 Monate alt!)</t>
        </is>
      </c>
      <c r="B2457" s="4" t="n">
        <v>549</v>
      </c>
      <c r="C2457" t="inlineStr"/>
      <c r="D2457" t="inlineStr">
        <is>
          <t>26129 Niedersachsen - Oldenburg</t>
        </is>
      </c>
      <c r="E2457" s="5" t="n">
        <v>45546</v>
      </c>
      <c r="F2457" t="inlineStr">
        <is>
          <t>Sold</t>
        </is>
      </c>
      <c r="G2457" s="6">
        <f>HYPERLINK("https://www.kleinanzeigen.de/s-anzeige/wing-naish-adx-4-0m-nur-3-monate-alt-/2860081965-230-3113", "Link")</f>
        <v/>
      </c>
      <c r="H2457" s="6">
        <f>HYPERLINK("C:\Projects\Kleinanzeigen-Scraper\offer_images\2860081965", "Link")</f>
        <v/>
      </c>
      <c r="I2457" t="inlineStr">
        <is>
          <t>Siljan Schröder</t>
        </is>
      </c>
      <c r="J2457" s="6">
        <f>HYPERLINK("https://www.kleinanzeigen.de/s-bestandsliste.html?userId=49277330", "Link")</f>
        <v/>
      </c>
      <c r="K2457" s="7" t="n">
        <v>45549.5724537037</v>
      </c>
      <c r="L2457" s="3" t="inlineStr">
        <is>
          <t>259.47</t>
        </is>
      </c>
      <c r="M2457" t="inlineStr">
        <is>
          <t>Köln</t>
        </is>
      </c>
    </row>
    <row r="2458">
      <c r="A2458" t="inlineStr">
        <is>
          <t>Snowboardhelm Skihelm Größe XL/60cm Leedom Vandal</t>
        </is>
      </c>
      <c r="B2458" s="4" t="n">
        <v>12</v>
      </c>
      <c r="C2458" t="inlineStr">
        <is>
          <t>VB</t>
        </is>
      </c>
      <c r="D2458" t="inlineStr">
        <is>
          <t>99846 Thüringen - Seebach</t>
        </is>
      </c>
      <c r="E2458" s="5" t="n">
        <v>45245</v>
      </c>
      <c r="F2458" t="inlineStr"/>
      <c r="G2458" s="6">
        <f>HYPERLINK("https://www.kleinanzeigen.de/s-anzeige/snowboardhelm-skihelm-groesse-xl-60cm-leedom-vandal/2603502285-230-3712", "Link")</f>
        <v/>
      </c>
      <c r="H2458" s="6">
        <f>HYPERLINK("C:\Projects\Kleinanzeigen-Scraper\offer_images\2603502285", "Link")</f>
        <v/>
      </c>
      <c r="I2458" t="inlineStr">
        <is>
          <t>Mirko</t>
        </is>
      </c>
      <c r="J2458" s="6">
        <f>HYPERLINK("https://www.kleinanzeigen.de/s-bestandsliste.html?userId=40378431", "Link")</f>
        <v/>
      </c>
      <c r="K2458" s="7" t="n">
        <v>45549.57243055556</v>
      </c>
      <c r="L2458" s="3" t="inlineStr">
        <is>
          <t>243.26</t>
        </is>
      </c>
      <c r="M2458" t="inlineStr">
        <is>
          <t>Köln</t>
        </is>
      </c>
    </row>
    <row r="2459">
      <c r="A2459" t="inlineStr">
        <is>
          <t>The North Face Hard Shell Jacke Gr. L mit Gore Tex</t>
        </is>
      </c>
      <c r="B2459" s="4" t="n">
        <v>49</v>
      </c>
      <c r="C2459" t="inlineStr"/>
      <c r="D2459" t="inlineStr">
        <is>
          <t>82216 Bayern - Maisach</t>
        </is>
      </c>
      <c r="E2459" s="5" t="n">
        <v>45548</v>
      </c>
      <c r="F2459" t="inlineStr">
        <is>
          <t>Sold</t>
        </is>
      </c>
      <c r="G2459" s="6">
        <f>HYPERLINK("https://www.kleinanzeigen.de/s-anzeige/the-north-face-hard-shell-jacke-gr-l-mit-gore-tex/2861716134-230-19374", "Link")</f>
        <v/>
      </c>
      <c r="H2459" s="6">
        <f>HYPERLINK("C:\Projects\Kleinanzeigen-Scraper\offer_images\2861716134", "Link")</f>
        <v/>
      </c>
      <c r="I2459" t="inlineStr">
        <is>
          <t>Markus</t>
        </is>
      </c>
      <c r="J2459" s="6">
        <f>HYPERLINK("https://www.kleinanzeigen.de/s-bestandsliste.html?userId=45076382", "Link")</f>
        <v/>
      </c>
      <c r="K2459" s="7" t="n">
        <v>45549.57243055556</v>
      </c>
      <c r="L2459" s="3" t="inlineStr">
        <is>
          <t>26.48</t>
        </is>
      </c>
      <c r="M2459" t="inlineStr">
        <is>
          <t>München</t>
        </is>
      </c>
    </row>
    <row r="2460">
      <c r="A2460" t="inlineStr">
        <is>
          <t>***Preissenkung*** Naish Ride 9qm + Bar 24m Leine + Pumpe</t>
        </is>
      </c>
      <c r="B2460" s="4" t="n">
        <v>220</v>
      </c>
      <c r="C2460" t="inlineStr">
        <is>
          <t>VB</t>
        </is>
      </c>
      <c r="D2460" t="inlineStr">
        <is>
          <t>87527 Bayern - Sonthofen</t>
        </is>
      </c>
      <c r="E2460" s="5" t="n">
        <v>45515</v>
      </c>
      <c r="F2460" t="inlineStr"/>
      <c r="G2460" s="6">
        <f>HYPERLINK("https://www.kleinanzeigen.de/s-anzeige/-preissenkung-naish-ride-9qm-bar-24m-leine-pumpe/2834686671-230-5537", "Link")</f>
        <v/>
      </c>
      <c r="H2460" s="6">
        <f>HYPERLINK("C:\Projects\Kleinanzeigen-Scraper\offer_images\2834686671", "Link")</f>
        <v/>
      </c>
      <c r="I2460" t="inlineStr">
        <is>
          <t>E. Wagner</t>
        </is>
      </c>
      <c r="J2460" s="6">
        <f>HYPERLINK("https://www.kleinanzeigen.de/s-bestandsliste.html?userId=36306397", "Link")</f>
        <v/>
      </c>
      <c r="K2460" s="7" t="n">
        <v>45549.57243055556</v>
      </c>
      <c r="L2460" s="3" t="inlineStr">
        <is>
          <t>118.69</t>
        </is>
      </c>
      <c r="M2460" t="inlineStr">
        <is>
          <t>München</t>
        </is>
      </c>
    </row>
    <row r="2461">
      <c r="A2461" t="inlineStr">
        <is>
          <t>Duotone Rebel 11m SLS 2022 Kite</t>
        </is>
      </c>
      <c r="B2461" s="4" t="n">
        <v>1.049</v>
      </c>
      <c r="C2461" t="inlineStr"/>
      <c r="D2461" t="inlineStr">
        <is>
          <t>59597 Nordrhein-Westfalen - Erwitte</t>
        </is>
      </c>
      <c r="E2461" s="5" t="n">
        <v>45546</v>
      </c>
      <c r="F2461" t="inlineStr">
        <is>
          <t>Sold</t>
        </is>
      </c>
      <c r="G2461" s="6">
        <f>HYPERLINK("https://www.kleinanzeigen.de/s-anzeige/duotone-rebel-11m-sls-2022-kite/2860055631-230-1266", "Link")</f>
        <v/>
      </c>
      <c r="H2461" s="6">
        <f>HYPERLINK("C:\Projects\Kleinanzeigen-Scraper\offer_images\2860055631", "Link")</f>
        <v/>
      </c>
      <c r="I2461" t="inlineStr">
        <is>
          <t>Leferink</t>
        </is>
      </c>
      <c r="J2461" s="6">
        <f>HYPERLINK("https://www.kleinanzeigen.de/s-bestandsliste.html?userId=58053516", "Link")</f>
        <v/>
      </c>
      <c r="K2461" s="7" t="n">
        <v>45549.57243055556</v>
      </c>
      <c r="L2461" s="3" t="inlineStr">
        <is>
          <t>119.91</t>
        </is>
      </c>
      <c r="M2461" t="inlineStr">
        <is>
          <t>Köln</t>
        </is>
      </c>
    </row>
    <row r="2462">
      <c r="A2462" t="inlineStr">
        <is>
          <t>Neilpryde SLR Foil Set tuned by MS-Fins</t>
        </is>
      </c>
      <c r="B2462" s="4" t="n">
        <v>1</v>
      </c>
      <c r="C2462" t="inlineStr">
        <is>
          <t>VB</t>
        </is>
      </c>
      <c r="D2462" t="inlineStr">
        <is>
          <t>82008 Kr. München - Unterhaching</t>
        </is>
      </c>
      <c r="E2462" s="5" t="n">
        <v>45512</v>
      </c>
      <c r="F2462" t="inlineStr"/>
      <c r="G2462" s="6">
        <f>HYPERLINK("https://www.kleinanzeigen.de/s-anzeige/neilpryde-slr-foil-set-tuned-by-ms-fins/2831796133-230-5591", "Link")</f>
        <v/>
      </c>
      <c r="H2462" s="6">
        <f>HYPERLINK("C:\Projects\Kleinanzeigen-Scraper\offer_images\2831796133", "Link")</f>
        <v/>
      </c>
      <c r="I2462" t="inlineStr">
        <is>
          <t>Still Marco</t>
        </is>
      </c>
      <c r="J2462" s="6">
        <f>HYPERLINK("https://www.kleinanzeigen.de/s-bestandsliste.html?userId=58508359", "Link")</f>
        <v/>
      </c>
      <c r="K2462" s="7" t="n">
        <v>45549.57240740741</v>
      </c>
      <c r="L2462" s="3" t="inlineStr">
        <is>
          <t>8.58</t>
        </is>
      </c>
      <c r="M2462" t="inlineStr">
        <is>
          <t>München</t>
        </is>
      </c>
    </row>
    <row r="2463">
      <c r="A2463" t="inlineStr">
        <is>
          <t>Finne für SUP FIREFLY  Powered by Starboard</t>
        </is>
      </c>
      <c r="B2463" s="4" t="n">
        <v>10</v>
      </c>
      <c r="C2463" t="inlineStr"/>
      <c r="D2463" t="inlineStr">
        <is>
          <t>78476 Baden-Württemberg - Allensbach</t>
        </is>
      </c>
      <c r="E2463" s="5" t="n">
        <v>45531</v>
      </c>
      <c r="F2463" t="inlineStr"/>
      <c r="G2463" s="6">
        <f>HYPERLINK("https://www.kleinanzeigen.de/s-anzeige/finne-fuer-sup-firefly-powered-by-starboard/2847364990-230-8192", "Link")</f>
        <v/>
      </c>
      <c r="H2463" s="6">
        <f>HYPERLINK("C:\Projects\Kleinanzeigen-Scraper\offer_images\2847364990", "Link")</f>
        <v/>
      </c>
      <c r="I2463" t="inlineStr">
        <is>
          <t>Sylvia Maurer</t>
        </is>
      </c>
      <c r="J2463" s="6">
        <f>HYPERLINK("https://www.kleinanzeigen.de/s-bestandsliste.html?userId=2134992", "Link")</f>
        <v/>
      </c>
      <c r="K2463" s="7" t="n">
        <v>45549.57240740741</v>
      </c>
      <c r="L2463" s="3" t="inlineStr">
        <is>
          <t>55.85</t>
        </is>
      </c>
      <c r="M2463" t="inlineStr">
        <is>
          <t>Bonndorf</t>
        </is>
      </c>
    </row>
    <row r="2464">
      <c r="A2464" t="inlineStr">
        <is>
          <t>Th North Face Base Camp Voyager 32L</t>
        </is>
      </c>
      <c r="B2464" s="4" t="n">
        <v>80</v>
      </c>
      <c r="C2464" t="inlineStr"/>
      <c r="D2464" t="inlineStr">
        <is>
          <t>30451 Hannover - Linden-Limmer</t>
        </is>
      </c>
      <c r="E2464" s="5" t="n">
        <v>45543</v>
      </c>
      <c r="F2464" t="inlineStr">
        <is>
          <t>Sold</t>
        </is>
      </c>
      <c r="G2464" s="6">
        <f>HYPERLINK("https://www.kleinanzeigen.de/s-anzeige/th-north-face-base-camp-voyager-32l/2857178514-230-3196", "Link")</f>
        <v/>
      </c>
      <c r="H2464" s="6">
        <f>HYPERLINK("C:\Projects\Kleinanzeigen-Scraper\offer_images\2857178514", "Link")</f>
        <v/>
      </c>
      <c r="I2464" t="inlineStr">
        <is>
          <t>Kevin</t>
        </is>
      </c>
      <c r="J2464" s="6">
        <f>HYPERLINK("https://www.kleinanzeigen.de/s-bestandsliste.html?userId=4985451", "Link")</f>
        <v/>
      </c>
      <c r="K2464" s="7" t="n">
        <v>45549.57238425926</v>
      </c>
      <c r="L2464" s="3" t="inlineStr">
        <is>
          <t>248.08</t>
        </is>
      </c>
      <c r="M2464" t="inlineStr">
        <is>
          <t>Köln</t>
        </is>
      </c>
    </row>
    <row r="2465">
      <c r="A2465" t="inlineStr">
        <is>
          <t>Fliegenfischen - Simms Chest Pack Sling Pack-Angelrucksack.</t>
        </is>
      </c>
      <c r="B2465" s="4" t="n">
        <v>95</v>
      </c>
      <c r="C2465" t="inlineStr"/>
      <c r="D2465" t="inlineStr">
        <is>
          <t>96247 Bayern - Michelau i. OFr.</t>
        </is>
      </c>
      <c r="E2465" s="5" t="n">
        <v>45442</v>
      </c>
      <c r="F2465" t="inlineStr">
        <is>
          <t>Sold</t>
        </is>
      </c>
      <c r="G2465" s="6">
        <f>HYPERLINK("https://www.kleinanzeigen.de/s-anzeige/fliegenfischen-simms-chest-pack-sling-pack-angelrucksack-/2774728901-242-6953", "Link")</f>
        <v/>
      </c>
      <c r="H2465" s="6">
        <f>HYPERLINK("C:\Projects\Kleinanzeigen-Scraper\offer_images\2774728901", "Link")</f>
        <v/>
      </c>
      <c r="I2465" t="inlineStr">
        <is>
          <t>Manfred</t>
        </is>
      </c>
      <c r="J2465" s="6">
        <f>HYPERLINK("https://www.kleinanzeigen.de/s-bestandsliste.html?userId=15958207", "Link")</f>
        <v/>
      </c>
      <c r="K2465" s="7" t="n">
        <v>45549.57238425926</v>
      </c>
      <c r="L2465" s="3" t="inlineStr">
        <is>
          <t>227.67</t>
        </is>
      </c>
      <c r="M2465" t="inlineStr">
        <is>
          <t>Böblingen</t>
        </is>
      </c>
    </row>
    <row r="2466">
      <c r="A2466" t="inlineStr">
        <is>
          <t>Mastverlängerungen Neil Pryde North Sails</t>
        </is>
      </c>
      <c r="B2466" s="4" t="n">
        <v>20</v>
      </c>
      <c r="C2466" t="inlineStr">
        <is>
          <t>VB</t>
        </is>
      </c>
      <c r="D2466" t="inlineStr">
        <is>
          <t>66117 Saarbrücken-Mitte - Alt-Saarbrücken</t>
        </is>
      </c>
      <c r="E2466" s="5" t="n">
        <v>45536</v>
      </c>
      <c r="F2466" t="inlineStr">
        <is>
          <t>Sold</t>
        </is>
      </c>
      <c r="G2466" s="6">
        <f>HYPERLINK("https://www.kleinanzeigen.de/s-anzeige/mastverlaengerungen-neil-pryde-north-sails/2851810096-230-383", "Link")</f>
        <v/>
      </c>
      <c r="H2466" s="6">
        <f>HYPERLINK("C:\Projects\Kleinanzeigen-Scraper\offer_images\2851810096", "Link")</f>
        <v/>
      </c>
      <c r="I2466" t="inlineStr">
        <is>
          <t>Uwe Habel</t>
        </is>
      </c>
      <c r="J2466" s="6">
        <f>HYPERLINK("https://www.kleinanzeigen.de/s-bestandsliste.html?userId=10658418", "Link")</f>
        <v/>
      </c>
      <c r="K2466" s="7" t="n">
        <v>45549.57236111111</v>
      </c>
      <c r="L2466" s="3" t="inlineStr">
        <is>
          <t>107.00</t>
        </is>
      </c>
      <c r="M2466" t="inlineStr">
        <is>
          <t>Karlsruhe</t>
        </is>
      </c>
    </row>
    <row r="2467">
      <c r="A2467" t="inlineStr">
        <is>
          <t>1 Paar  Vandal MMA-  Freefight - Gloves, Gr. L= 20 €</t>
        </is>
      </c>
      <c r="B2467" s="4" t="n">
        <v>20</v>
      </c>
      <c r="C2467" t="inlineStr"/>
      <c r="D2467" t="inlineStr">
        <is>
          <t>63454 Hessen - Hanau</t>
        </is>
      </c>
      <c r="E2467" s="5" t="n">
        <v>44588</v>
      </c>
      <c r="F2467" t="inlineStr"/>
      <c r="G2467" s="6">
        <f>HYPERLINK("https://www.kleinanzeigen.de/s-anzeige/1-paar-vandal-mma-freefight-gloves-gr-l-20-/2003723524-230-4284", "Link")</f>
        <v/>
      </c>
      <c r="H2467" s="6">
        <f>HYPERLINK("C:\Projects\Kleinanzeigen-Scraper\offer_images\2003723524", "Link")</f>
        <v/>
      </c>
      <c r="I2467" t="inlineStr">
        <is>
          <t>Peter Caeners</t>
        </is>
      </c>
      <c r="J2467" s="6">
        <f>HYPERLINK("https://www.kleinanzeigen.de/s-bestandsliste.html?userId=45445698", "Link")</f>
        <v/>
      </c>
      <c r="K2467" s="7" t="n">
        <v>45549.57236111111</v>
      </c>
      <c r="L2467" s="3" t="inlineStr">
        <is>
          <t>130.13</t>
        </is>
      </c>
      <c r="M2467" t="inlineStr">
        <is>
          <t>Karlsruhe</t>
        </is>
      </c>
    </row>
    <row r="2468">
      <c r="A2468" t="inlineStr">
        <is>
          <t>Fanatic SUP Paddel Carbon 80 Adjustable 3-Piece Größe 7.25''</t>
        </is>
      </c>
      <c r="B2468" s="4" t="n">
        <v>220</v>
      </c>
      <c r="C2468" t="inlineStr"/>
      <c r="D2468" t="inlineStr">
        <is>
          <t>47051 Duisburg - Duisburg-Mitte</t>
        </is>
      </c>
      <c r="E2468" s="5" t="n">
        <v>45506</v>
      </c>
      <c r="F2468" t="inlineStr">
        <is>
          <t>Sold</t>
        </is>
      </c>
      <c r="G2468" s="6">
        <f>HYPERLINK("https://www.kleinanzeigen.de/s-anzeige/fanatic-sup-paddel-carbon-80-adjustable-3-piece-groesse-7-25-/2827548194-230-2151", "Link")</f>
        <v/>
      </c>
      <c r="H2468" s="6">
        <f>HYPERLINK("C:\Projects\Kleinanzeigen-Scraper\offer_images\2827548194", "Link")</f>
        <v/>
      </c>
      <c r="I2468" t="inlineStr">
        <is>
          <t>Mario B.</t>
        </is>
      </c>
      <c r="J2468" s="6">
        <f>HYPERLINK("https://www.kleinanzeigen.de/s-bestandsliste.html?userId=19877186", "Link")</f>
        <v/>
      </c>
      <c r="K2468" s="7" t="n">
        <v>45549.57236111111</v>
      </c>
      <c r="L2468" s="3" t="inlineStr">
        <is>
          <t>56.41</t>
        </is>
      </c>
      <c r="M2468" t="inlineStr">
        <is>
          <t>Köln</t>
        </is>
      </c>
    </row>
    <row r="2469">
      <c r="A2469" t="inlineStr">
        <is>
          <t>Duotone Rebel SLS 2025 Kite Kitesurfen neu</t>
        </is>
      </c>
      <c r="B2469" s="4" t="n">
        <v>2.289</v>
      </c>
      <c r="C2469" t="inlineStr">
        <is>
          <t>VB</t>
        </is>
      </c>
      <c r="D2469" t="inlineStr">
        <is>
          <t>22457 Eimsbüttel - Hamburg Schnelsen</t>
        </is>
      </c>
      <c r="E2469" s="5" t="n">
        <v>45547</v>
      </c>
      <c r="F2469" t="inlineStr">
        <is>
          <t>Sold</t>
        </is>
      </c>
      <c r="G2469" s="6">
        <f>HYPERLINK("https://www.kleinanzeigen.de/s-anzeige/duotone-rebel-sls-2025-kite-kitesurfen-neu/2861128585-230-9492", "Link")</f>
        <v/>
      </c>
      <c r="H2469" s="6">
        <f>HYPERLINK("C:\Projects\Kleinanzeigen-Scraper\offer_images\2861128585", "Link")</f>
        <v/>
      </c>
      <c r="I2469" t="inlineStr">
        <is>
          <t>No user name</t>
        </is>
      </c>
      <c r="J2469" s="6">
        <f>HYPERLINK("https://www.kleinanzeigen.deNo user link", "Link")</f>
        <v/>
      </c>
      <c r="K2469" s="7" t="n">
        <v>45549.57236111111</v>
      </c>
      <c r="L2469" s="3" t="inlineStr">
        <is>
          <t>362.41</t>
        </is>
      </c>
      <c r="M2469" t="inlineStr">
        <is>
          <t>Köln</t>
        </is>
      </c>
    </row>
    <row r="2470">
      <c r="A2470" t="inlineStr">
        <is>
          <t>Naish Foilset komplett HA 1240 (neuwertig) + Mast Carbon 85cm</t>
        </is>
      </c>
      <c r="B2470" s="4" t="n">
        <v>950</v>
      </c>
      <c r="C2470" t="inlineStr">
        <is>
          <t>VB</t>
        </is>
      </c>
      <c r="D2470" t="inlineStr">
        <is>
          <t>24229 Schleswig-Holstein - Strande</t>
        </is>
      </c>
      <c r="E2470" s="5" t="n">
        <v>45506</v>
      </c>
      <c r="F2470" t="inlineStr">
        <is>
          <t>Sold</t>
        </is>
      </c>
      <c r="G2470" s="6">
        <f>HYPERLINK("https://www.kleinanzeigen.de/s-anzeige/naish-foilset-komplett-ha-1240-neuwertig-mast-carbon-85cm/2827165479-230-671", "Link")</f>
        <v/>
      </c>
      <c r="H2470" s="6">
        <f>HYPERLINK("C:\Projects\Kleinanzeigen-Scraper\offer_images\2827165479", "Link")</f>
        <v/>
      </c>
      <c r="I2470" t="inlineStr">
        <is>
          <t>Christoph</t>
        </is>
      </c>
      <c r="J2470" s="6">
        <f>HYPERLINK("https://www.kleinanzeigen.de/s-bestandsliste.html?userId=4419612", "Link")</f>
        <v/>
      </c>
      <c r="K2470" s="7" t="n">
        <v>45549.57236111111</v>
      </c>
      <c r="L2470" s="3" t="inlineStr">
        <is>
          <t>445.58</t>
        </is>
      </c>
      <c r="M2470" t="inlineStr">
        <is>
          <t>Köln</t>
        </is>
      </c>
    </row>
    <row r="2471">
      <c r="A2471" t="inlineStr">
        <is>
          <t>North Kite Orbit 2024 11qm Sunset Yellow</t>
        </is>
      </c>
      <c r="B2471" s="4" t="n">
        <v>1.125</v>
      </c>
      <c r="C2471" t="inlineStr">
        <is>
          <t>VB</t>
        </is>
      </c>
      <c r="D2471" t="inlineStr">
        <is>
          <t>26465 Niedersachsen - Langeoog</t>
        </is>
      </c>
      <c r="E2471" s="5" t="n">
        <v>45538</v>
      </c>
      <c r="F2471" t="inlineStr">
        <is>
          <t>Sold</t>
        </is>
      </c>
      <c r="G2471" s="6">
        <f>HYPERLINK("https://www.kleinanzeigen.de/s-anzeige/north-kite-orbit-2024-11qm-sunset-yellow/2853356843-230-2480", "Link")</f>
        <v/>
      </c>
      <c r="H2471" s="6">
        <f>HYPERLINK("C:\Projects\Kleinanzeigen-Scraper\offer_images\2853356843", "Link")</f>
        <v/>
      </c>
      <c r="I2471" t="inlineStr">
        <is>
          <t>Tidens Surfhuus</t>
        </is>
      </c>
      <c r="J2471" s="6">
        <f>HYPERLINK("https://www.kleinanzeigen.de/s-bestandsliste.html?userId=122521264", "Link")</f>
        <v/>
      </c>
      <c r="K2471" s="7" t="n">
        <v>45549.57234953704</v>
      </c>
      <c r="L2471" s="3" t="inlineStr">
        <is>
          <t>314.45</t>
        </is>
      </c>
      <c r="M2471" t="inlineStr">
        <is>
          <t>Köln</t>
        </is>
      </c>
    </row>
    <row r="2472">
      <c r="A2472" t="inlineStr">
        <is>
          <t>Gedenkmünze Kreisstadt Simmern Hunsrück – Hallenbad 1969 - RAR</t>
        </is>
      </c>
      <c r="B2472" s="4" t="n">
        <v>10</v>
      </c>
      <c r="C2472" t="inlineStr">
        <is>
          <t>VB</t>
        </is>
      </c>
      <c r="D2472" t="inlineStr">
        <is>
          <t>56843 Rheinland-Pfalz - Starkenburg</t>
        </is>
      </c>
      <c r="E2472" s="5" t="n">
        <v>45523</v>
      </c>
      <c r="F2472" t="inlineStr"/>
      <c r="G2472" s="6">
        <f>HYPERLINK("https://www.kleinanzeigen.de/s-anzeige/gedenkmuenze-kreisstadt-simmern-hunsrueck-hallenbad-1969-rar/2841228212-234-5288", "Link")</f>
        <v/>
      </c>
      <c r="H2472" s="6">
        <f>HYPERLINK("C:\Projects\Kleinanzeigen-Scraper\offer_images\2841228212", "Link")</f>
        <v/>
      </c>
      <c r="I2472" t="inlineStr">
        <is>
          <t>ds</t>
        </is>
      </c>
      <c r="J2472" s="6">
        <f>HYPERLINK("https://www.kleinanzeigen.de/s-bestandsliste.html?userId=18692929", "Link")</f>
        <v/>
      </c>
      <c r="K2472" s="7" t="n">
        <v>45549.57234953704</v>
      </c>
      <c r="L2472" s="3" t="inlineStr">
        <is>
          <t>113.53</t>
        </is>
      </c>
      <c r="M2472" t="inlineStr">
        <is>
          <t>Köln</t>
        </is>
      </c>
    </row>
    <row r="2473">
      <c r="A2473" t="inlineStr">
        <is>
          <t>Isabella Air Cirrus North 400 Wohnwagenvorzelt,</t>
        </is>
      </c>
      <c r="B2473" s="4" t="n">
        <v>1.599</v>
      </c>
      <c r="C2473" t="inlineStr">
        <is>
          <t>VB</t>
        </is>
      </c>
      <c r="D2473" t="inlineStr">
        <is>
          <t>07646 Thüringen - Stadtroda</t>
        </is>
      </c>
      <c r="E2473" s="5" t="n">
        <v>45541</v>
      </c>
      <c r="F2473" t="inlineStr">
        <is>
          <t>Sold</t>
        </is>
      </c>
      <c r="G2473" s="6">
        <f>HYPERLINK("https://www.kleinanzeigen.de/s-anzeige/isabella-air-cirrus-north-400-wohnwagenvorzelt-/2855559358-230-12171", "Link")</f>
        <v/>
      </c>
      <c r="H2473" s="6">
        <f>HYPERLINK("C:\Projects\Kleinanzeigen-Scraper\offer_images\2855559358", "Link")</f>
        <v/>
      </c>
      <c r="I2473" t="inlineStr">
        <is>
          <t>Christian</t>
        </is>
      </c>
      <c r="J2473" s="6">
        <f>HYPERLINK("https://www.kleinanzeigen.de/s-bestandsliste.html?userId=10503754", "Link")</f>
        <v/>
      </c>
      <c r="K2473" s="7" t="n">
        <v>45549.57234953704</v>
      </c>
      <c r="L2473" s="3" t="inlineStr">
        <is>
          <t>302.82</t>
        </is>
      </c>
      <c r="M2473" t="inlineStr">
        <is>
          <t>München</t>
        </is>
      </c>
    </row>
    <row r="2474">
      <c r="A2474" t="inlineStr">
        <is>
          <t>Naish S26 Wingsurfer 4.6m Black</t>
        </is>
      </c>
      <c r="B2474" s="4" t="n">
        <v>250</v>
      </c>
      <c r="C2474" t="inlineStr"/>
      <c r="D2474" t="inlineStr">
        <is>
          <t>52074 Aachen - Laurensberg</t>
        </is>
      </c>
      <c r="E2474" s="5" t="n">
        <v>45504</v>
      </c>
      <c r="F2474" t="inlineStr">
        <is>
          <t>Sold</t>
        </is>
      </c>
      <c r="G2474" s="6">
        <f>HYPERLINK("https://www.kleinanzeigen.de/s-anzeige/naish-s26-wingsurfer-4-6m-black/2825493975-230-1928", "Link")</f>
        <v/>
      </c>
      <c r="H2474" s="6">
        <f>HYPERLINK("C:\Projects\Kleinanzeigen-Scraper\offer_images\2825493975", "Link")</f>
        <v/>
      </c>
      <c r="I2474" t="inlineStr">
        <is>
          <t>Irwin</t>
        </is>
      </c>
      <c r="J2474" s="6">
        <f>HYPERLINK("https://www.kleinanzeigen.de/s-bestandsliste.html?userId=34751380", "Link")</f>
        <v/>
      </c>
      <c r="K2474" s="7" t="n">
        <v>45549.57234953704</v>
      </c>
      <c r="L2474" s="3" t="inlineStr">
        <is>
          <t>66.56</t>
        </is>
      </c>
      <c r="M2474" t="inlineStr">
        <is>
          <t>Köln</t>
        </is>
      </c>
    </row>
    <row r="2475">
      <c r="A2475" t="inlineStr">
        <is>
          <t>Board Bag /Gun Sail</t>
        </is>
      </c>
      <c r="B2475" s="4" t="n">
        <v>50</v>
      </c>
      <c r="C2475" t="inlineStr">
        <is>
          <t>VB</t>
        </is>
      </c>
      <c r="D2475" t="inlineStr">
        <is>
          <t>37154 Niedersachsen - Northeim</t>
        </is>
      </c>
      <c r="E2475" s="5" t="n">
        <v>45548</v>
      </c>
      <c r="F2475" t="inlineStr"/>
      <c r="G2475" s="6">
        <f>HYPERLINK("https://www.kleinanzeigen.de/s-anzeige/board-bag-gun-sail/2861768152-230-2790", "Link")</f>
        <v/>
      </c>
      <c r="H2475" s="6">
        <f>HYPERLINK("C:\Projects\Kleinanzeigen-Scraper\offer_images\2861768152", "Link")</f>
        <v/>
      </c>
      <c r="I2475" t="inlineStr">
        <is>
          <t>Günther</t>
        </is>
      </c>
      <c r="J2475" s="6">
        <f>HYPERLINK("https://www.kleinanzeigen.de/s-bestandsliste.html?userId=8990969", "Link")</f>
        <v/>
      </c>
      <c r="K2475" s="7" t="n">
        <v>45549.57234953704</v>
      </c>
      <c r="L2475" s="3" t="inlineStr">
        <is>
          <t>227.92</t>
        </is>
      </c>
      <c r="M2475" t="inlineStr">
        <is>
          <t>Köln</t>
        </is>
      </c>
    </row>
    <row r="2476">
      <c r="A2476" t="inlineStr">
        <is>
          <t>Fanatic Wing Set Aero Carve 750/216 Carbon 2023</t>
        </is>
      </c>
      <c r="B2476" s="4" t="n">
        <v>300</v>
      </c>
      <c r="C2476" t="inlineStr"/>
      <c r="D2476" t="inlineStr">
        <is>
          <t>90451 Nürnberg (Mittelfr) - Aussenstadt-Sued</t>
        </is>
      </c>
      <c r="E2476" s="5" t="n">
        <v>45555</v>
      </c>
      <c r="F2476" t="inlineStr">
        <is>
          <t>Sold</t>
        </is>
      </c>
      <c r="G2476" s="6">
        <f>HYPERLINK("https://www.kleinanzeigen.de/s-anzeige/fanatic-wing-set-aero-carve-750-216-carbon-2023/2769416788-230-6836", "Link")</f>
        <v/>
      </c>
      <c r="H2476" s="6">
        <f>HYPERLINK("C:\Projects\Kleinanzeigen-Scraper\offer_images\2769416788", "Link")</f>
        <v/>
      </c>
      <c r="I2476" t="inlineStr">
        <is>
          <t>No user name</t>
        </is>
      </c>
      <c r="J2476" s="6">
        <f>HYPERLINK("https://www.kleinanzeigen.deNo user link", "Link")</f>
        <v/>
      </c>
      <c r="K2476" s="7" t="n">
        <v>45549.57233796296</v>
      </c>
      <c r="L2476" s="3" t="inlineStr">
        <is>
          <t>145.92</t>
        </is>
      </c>
      <c r="M2476" t="inlineStr">
        <is>
          <t>München</t>
        </is>
      </c>
    </row>
    <row r="2477">
      <c r="A2477" t="inlineStr">
        <is>
          <t>Duotone Juice 15 m2 aus 2021</t>
        </is>
      </c>
      <c r="B2477" s="4" t="n">
        <v>999</v>
      </c>
      <c r="C2477" t="inlineStr">
        <is>
          <t>VB</t>
        </is>
      </c>
      <c r="D2477" t="inlineStr">
        <is>
          <t>13127 Berlin - Pankow</t>
        </is>
      </c>
      <c r="E2477" s="5" t="n">
        <v>45545</v>
      </c>
      <c r="F2477" t="inlineStr">
        <is>
          <t>Sold</t>
        </is>
      </c>
      <c r="G2477" s="6">
        <f>HYPERLINK("https://www.kleinanzeigen.de/s-anzeige/duotone-juice-15-m2-aus-2021/2859106582-230-3465", "Link")</f>
        <v/>
      </c>
      <c r="H2477" s="6">
        <f>HYPERLINK("C:\Projects\Kleinanzeigen-Scraper\offer_images\2859106582", "Link")</f>
        <v/>
      </c>
      <c r="I2477" t="inlineStr">
        <is>
          <t>Gebhardt</t>
        </is>
      </c>
      <c r="J2477" s="6">
        <f>HYPERLINK("https://www.kleinanzeigen.de/s-bestandsliste.html?userId=3127953", "Link")</f>
        <v/>
      </c>
      <c r="K2477" s="7" t="n">
        <v>45549.57232638889</v>
      </c>
      <c r="L2477" s="3" t="inlineStr">
        <is>
          <t>482.48</t>
        </is>
      </c>
      <c r="M2477" t="inlineStr">
        <is>
          <t>Köln</t>
        </is>
      </c>
    </row>
    <row r="2478">
      <c r="A2478" t="inlineStr">
        <is>
          <t>Sage Z-Axis Zweihand (no Simms,Guideline,Loop)</t>
        </is>
      </c>
      <c r="B2478" s="4" t="n">
        <v>340</v>
      </c>
      <c r="C2478" t="inlineStr">
        <is>
          <t>VB</t>
        </is>
      </c>
      <c r="D2478" t="inlineStr">
        <is>
          <t>24969 Schleswig-Holstein - Großenwiehe</t>
        </is>
      </c>
      <c r="E2478" s="5" t="n">
        <v>45536</v>
      </c>
      <c r="F2478" t="inlineStr"/>
      <c r="G2478" s="6">
        <f>HYPERLINK("https://www.kleinanzeigen.de/s-anzeige/sage-z-axis-zweihand-no-simms-guideline-loop-/2851281727-230-20374", "Link")</f>
        <v/>
      </c>
      <c r="H2478" s="6">
        <f>HYPERLINK("C:\Projects\Kleinanzeigen-Scraper\offer_images\2851281727", "Link")</f>
        <v/>
      </c>
      <c r="I2478" t="inlineStr">
        <is>
          <t>Björn Queisner</t>
        </is>
      </c>
      <c r="J2478" s="6">
        <f>HYPERLINK("https://www.kleinanzeigen.de/s-bestandsliste.html?userId=28533142", "Link")</f>
        <v/>
      </c>
      <c r="K2478" s="7" t="n">
        <v>45549.57232638889</v>
      </c>
      <c r="L2478" s="3" t="inlineStr">
        <is>
          <t>443.46</t>
        </is>
      </c>
      <c r="M2478" t="inlineStr">
        <is>
          <t>Köln</t>
        </is>
      </c>
    </row>
    <row r="2479">
      <c r="A2479" t="inlineStr">
        <is>
          <t>Fanatic Ray Air Premium 11,6“ SUP</t>
        </is>
      </c>
      <c r="B2479" s="4" t="n">
        <v>500</v>
      </c>
      <c r="C2479" t="inlineStr"/>
      <c r="D2479" t="inlineStr">
        <is>
          <t>23714 Kreis Ostholstein - Malente</t>
        </is>
      </c>
      <c r="E2479" s="5" t="n">
        <v>45521</v>
      </c>
      <c r="F2479" t="inlineStr">
        <is>
          <t>Sold</t>
        </is>
      </c>
      <c r="G2479" s="6">
        <f>HYPERLINK("https://www.kleinanzeigen.de/s-anzeige/fanatic-ray-air-premium-11-6-sup/2839099929-230-455", "Link")</f>
        <v/>
      </c>
      <c r="H2479" s="6">
        <f>HYPERLINK("C:\Projects\Kleinanzeigen-Scraper\offer_images\2839099929", "Link")</f>
        <v/>
      </c>
      <c r="I2479" t="inlineStr">
        <is>
          <t>Blacky</t>
        </is>
      </c>
      <c r="J2479" s="6">
        <f>HYPERLINK("https://www.kleinanzeigen.de/s-bestandsliste.html?userId=15730337", "Link")</f>
        <v/>
      </c>
      <c r="K2479" s="7" t="n">
        <v>45549.57232638889</v>
      </c>
      <c r="L2479" s="3" t="inlineStr">
        <is>
          <t>438.09</t>
        </is>
      </c>
      <c r="M2479" t="inlineStr">
        <is>
          <t>Köln</t>
        </is>
      </c>
    </row>
    <row r="2480">
      <c r="A2480" t="inlineStr">
        <is>
          <t>JP Australia SUP im Set</t>
        </is>
      </c>
      <c r="B2480" s="4" t="n">
        <v>160</v>
      </c>
      <c r="C2480" t="inlineStr">
        <is>
          <t>VB</t>
        </is>
      </c>
      <c r="D2480" t="inlineStr">
        <is>
          <t>86932 Bayern - Pürgen</t>
        </is>
      </c>
      <c r="E2480" s="5" t="n">
        <v>45546</v>
      </c>
      <c r="F2480" t="inlineStr"/>
      <c r="G2480" s="6">
        <f>HYPERLINK("https://www.kleinanzeigen.de/s-anzeige/jp-australia-sup-im-set/2860705168-230-20348", "Link")</f>
        <v/>
      </c>
      <c r="H2480" s="6">
        <f>HYPERLINK("C:\Projects\Kleinanzeigen-Scraper\offer_images\2860705168", "Link")</f>
        <v/>
      </c>
      <c r="I2480" t="inlineStr">
        <is>
          <t>Thomas</t>
        </is>
      </c>
      <c r="J2480" s="6">
        <f>HYPERLINK("https://www.kleinanzeigen.de/s-bestandsliste.html?userId=124726719", "Link")</f>
        <v/>
      </c>
      <c r="K2480" s="7" t="n">
        <v>45549.57230324074</v>
      </c>
      <c r="L2480" s="3" t="inlineStr">
        <is>
          <t>51.26</t>
        </is>
      </c>
      <c r="M2480" t="inlineStr">
        <is>
          <t>München</t>
        </is>
      </c>
    </row>
    <row r="2481">
      <c r="A2481" t="inlineStr">
        <is>
          <t>Heller 80277 1:72 North American F-86F Sabre</t>
        </is>
      </c>
      <c r="B2481" s="4" t="n">
        <v>9</v>
      </c>
      <c r="C2481" t="inlineStr">
        <is>
          <t>VB</t>
        </is>
      </c>
      <c r="D2481" t="inlineStr">
        <is>
          <t>47169 Duisburg - Röttgersbach</t>
        </is>
      </c>
      <c r="E2481" s="5" t="n">
        <v>45541</v>
      </c>
      <c r="F2481" t="inlineStr">
        <is>
          <t>Sold</t>
        </is>
      </c>
      <c r="G2481" s="6">
        <f>HYPERLINK("https://www.kleinanzeigen.de/s-anzeige/heller-80277-1-72-north-american-f-86f-sabre/2855566953-249-23951", "Link")</f>
        <v/>
      </c>
      <c r="H2481" s="6">
        <f>HYPERLINK("C:\Projects\Kleinanzeigen-Scraper\offer_images\2855566953", "Link")</f>
        <v/>
      </c>
      <c r="I2481" t="inlineStr">
        <is>
          <t>Haeffs/Hlobik</t>
        </is>
      </c>
      <c r="J2481" s="6">
        <f>HYPERLINK("https://www.kleinanzeigen.de/s-bestandsliste.html?userId=43501739", "Link")</f>
        <v/>
      </c>
      <c r="K2481" s="7" t="n">
        <v>45549.57230324074</v>
      </c>
      <c r="L2481" s="3" t="inlineStr">
        <is>
          <t>65.16</t>
        </is>
      </c>
      <c r="M2481" t="inlineStr">
        <is>
          <t>Köln</t>
        </is>
      </c>
    </row>
    <row r="2482">
      <c r="A2482" t="inlineStr">
        <is>
          <t>RRD Religion kite 7m</t>
        </is>
      </c>
      <c r="B2482" s="4" t="n">
        <v>210</v>
      </c>
      <c r="C2482" t="inlineStr"/>
      <c r="D2482" t="inlineStr">
        <is>
          <t>24107 Kiel - Suchsdorf</t>
        </is>
      </c>
      <c r="E2482" s="5" t="n">
        <v>44716</v>
      </c>
      <c r="F2482" t="inlineStr">
        <is>
          <t>Sold</t>
        </is>
      </c>
      <c r="G2482" s="6">
        <f>HYPERLINK("https://www.kleinanzeigen.de/s-anzeige/rrd-religion-kite-7m/2123651028-230-11840", "Link")</f>
        <v/>
      </c>
      <c r="H2482" s="6">
        <f>HYPERLINK("C:\Projects\Kleinanzeigen-Scraper\offer_images\2123651028", "Link")</f>
        <v/>
      </c>
      <c r="I2482" t="inlineStr">
        <is>
          <t>Nic</t>
        </is>
      </c>
      <c r="J2482" s="6">
        <f>HYPERLINK("https://www.kleinanzeigen.de/s-bestandsliste.html?userId=6668288", "Link")</f>
        <v/>
      </c>
      <c r="K2482" s="7" t="n">
        <v>45549.57230324074</v>
      </c>
      <c r="L2482" s="3" t="inlineStr">
        <is>
          <t>432.01</t>
        </is>
      </c>
      <c r="M2482" t="inlineStr">
        <is>
          <t>Köln</t>
        </is>
      </c>
    </row>
    <row r="2483">
      <c r="A2483" t="inlineStr">
        <is>
          <t>SUP Fanatic  Ray air pure Edition 11,6</t>
        </is>
      </c>
      <c r="B2483" s="4" t="n">
        <v>380</v>
      </c>
      <c r="C2483" t="inlineStr"/>
      <c r="D2483" t="inlineStr">
        <is>
          <t>45964 Nordrhein-Westfalen - Gladbeck</t>
        </is>
      </c>
      <c r="E2483" s="5" t="n">
        <v>45529</v>
      </c>
      <c r="F2483" t="inlineStr">
        <is>
          <t>Sold</t>
        </is>
      </c>
      <c r="G2483" s="6">
        <f>HYPERLINK("https://www.kleinanzeigen.de/s-anzeige/sup-fanatic-ray-air-pure-edition-11-6/2846312976-230-1803", "Link")</f>
        <v/>
      </c>
      <c r="H2483" s="6">
        <f>HYPERLINK("C:\Projects\Kleinanzeigen-Scraper\offer_images\2846312976", "Link")</f>
        <v/>
      </c>
      <c r="I2483" t="inlineStr">
        <is>
          <t>Johanna</t>
        </is>
      </c>
      <c r="J2483" s="6">
        <f>HYPERLINK("https://www.kleinanzeigen.de/s-bestandsliste.html?userId=22780623", "Link")</f>
        <v/>
      </c>
      <c r="K2483" s="7" t="n">
        <v>45549.57228009259</v>
      </c>
      <c r="L2483" s="3" t="inlineStr">
        <is>
          <t>70.88</t>
        </is>
      </c>
      <c r="M2483" t="inlineStr">
        <is>
          <t>Köln</t>
        </is>
      </c>
    </row>
    <row r="2484">
      <c r="A2484" t="inlineStr">
        <is>
          <t>THOMAS BRAUT Autogramm signiert Rüdel Straßenfeger Derrick Goya</t>
        </is>
      </c>
      <c r="B2484" s="4" t="n">
        <v>2</v>
      </c>
      <c r="C2484" t="inlineStr"/>
      <c r="D2484" t="inlineStr">
        <is>
          <t>70173 Stuttgart - Stuttgart-Mitte</t>
        </is>
      </c>
      <c r="E2484" s="5" t="n">
        <v>45401</v>
      </c>
      <c r="F2484" t="inlineStr"/>
      <c r="G2484" s="6">
        <f>HYPERLINK("https://www.kleinanzeigen.de/s-anzeige/thomas-braut-autogramm-signiert-ruedel-strassenfeger-derrick-goya/2739115554-234-9283", "Link")</f>
        <v/>
      </c>
      <c r="H2484" s="6">
        <f>HYPERLINK("C:\Projects\Kleinanzeigen-Scraper\offer_images\2739115554", "Link")</f>
        <v/>
      </c>
      <c r="I2484" t="inlineStr">
        <is>
          <t>RARES FÜR BARES</t>
        </is>
      </c>
      <c r="J2484" s="6">
        <f>HYPERLINK("https://www.kleinanzeigen.de/s-bestandsliste.html?userId=10803687", "Link")</f>
        <v/>
      </c>
      <c r="K2484" s="7" t="n">
        <v>45549.57228009259</v>
      </c>
      <c r="L2484" s="3" t="inlineStr">
        <is>
          <t>19.17</t>
        </is>
      </c>
      <c r="M2484" t="inlineStr">
        <is>
          <t>Böblingen</t>
        </is>
      </c>
    </row>
    <row r="2485">
      <c r="A2485" t="inlineStr">
        <is>
          <t>Wing Duotone 8qm</t>
        </is>
      </c>
      <c r="B2485" s="4" t="n">
        <v>1.199</v>
      </c>
      <c r="C2485" t="inlineStr"/>
      <c r="D2485" t="inlineStr">
        <is>
          <t>81371 München - Sendling</t>
        </is>
      </c>
      <c r="E2485" s="5" t="n">
        <v>45548</v>
      </c>
      <c r="F2485" t="inlineStr">
        <is>
          <t>Sold</t>
        </is>
      </c>
      <c r="G2485" s="6">
        <f>HYPERLINK("https://www.kleinanzeigen.de/s-anzeige/wing-duotone-8qm/2862023160-230-6416", "Link")</f>
        <v/>
      </c>
      <c r="H2485" s="6">
        <f>HYPERLINK("C:\Projects\Kleinanzeigen-Scraper\offer_images\2862023160", "Link")</f>
        <v/>
      </c>
      <c r="I2485" t="inlineStr">
        <is>
          <t>Tom</t>
        </is>
      </c>
      <c r="J2485" s="6">
        <f>HYPERLINK("https://www.kleinanzeigen.de/s-bestandsliste.html?userId=11530078", "Link")</f>
        <v/>
      </c>
      <c r="K2485" s="7" t="n">
        <v>45549.57228009259</v>
      </c>
      <c r="L2485" s="3" t="inlineStr">
        <is>
          <t>2.76</t>
        </is>
      </c>
      <c r="M2485" t="inlineStr">
        <is>
          <t>München</t>
        </is>
      </c>
    </row>
    <row r="2486">
      <c r="A2486" t="inlineStr">
        <is>
          <t>Duotone Pumpe Multi Duotone 5.2 für Kite und SUP</t>
        </is>
      </c>
      <c r="B2486" s="4" t="n">
        <v>45</v>
      </c>
      <c r="C2486" t="inlineStr"/>
      <c r="D2486" t="inlineStr">
        <is>
          <t>97070 Bayern - Würzburg</t>
        </is>
      </c>
      <c r="E2486" s="5" t="n">
        <v>45544</v>
      </c>
      <c r="F2486" t="inlineStr">
        <is>
          <t>Sold</t>
        </is>
      </c>
      <c r="G2486" s="6">
        <f>HYPERLINK("https://www.kleinanzeigen.de/s-anzeige/duotone-pumpe-multi-duotone-5-2-fuer-kite-und-sup/2858995001-230-7700", "Link")</f>
        <v/>
      </c>
      <c r="H2486" s="6">
        <f>HYPERLINK("C:\Projects\Kleinanzeigen-Scraper\offer_images\2858995001", "Link")</f>
        <v/>
      </c>
      <c r="I2486" t="inlineStr">
        <is>
          <t>Frederik</t>
        </is>
      </c>
      <c r="J2486" s="6">
        <f>HYPERLINK("https://www.kleinanzeigen.de/s-bestandsliste.html?userId=33846879", "Link")</f>
        <v/>
      </c>
      <c r="K2486" s="7" t="n">
        <v>45549.57228009259</v>
      </c>
      <c r="L2486" s="3" t="inlineStr">
        <is>
          <t>141.80</t>
        </is>
      </c>
      <c r="M2486" t="inlineStr">
        <is>
          <t>Karlsruhe</t>
        </is>
      </c>
    </row>
    <row r="2487">
      <c r="A2487" t="inlineStr">
        <is>
          <t>Vorzelt Isabella Air Circus North 300</t>
        </is>
      </c>
      <c r="B2487" s="4" t="n">
        <v>1.4</v>
      </c>
      <c r="C2487" t="inlineStr">
        <is>
          <t>VB</t>
        </is>
      </c>
      <c r="D2487" t="inlineStr">
        <is>
          <t>47249 Duisburg - Duisburg-Süd</t>
        </is>
      </c>
      <c r="E2487" s="5" t="n">
        <v>45540</v>
      </c>
      <c r="F2487" t="inlineStr">
        <is>
          <t>Sold</t>
        </is>
      </c>
      <c r="G2487" s="6">
        <f>HYPERLINK("https://www.kleinanzeigen.de/s-anzeige/vorzelt-isabella-air-circus-north-300/2855027275-230-2138", "Link")</f>
        <v/>
      </c>
      <c r="H2487" s="6">
        <f>HYPERLINK("C:\Projects\Kleinanzeigen-Scraper\offer_images\2855027275", "Link")</f>
        <v/>
      </c>
      <c r="I2487" t="inlineStr">
        <is>
          <t>Lilly</t>
        </is>
      </c>
      <c r="J2487" s="6">
        <f>HYPERLINK("https://www.kleinanzeigen.de/s-bestandsliste.html?userId=6967543", "Link")</f>
        <v/>
      </c>
      <c r="K2487" s="7" t="n">
        <v>45549.57228009259</v>
      </c>
      <c r="L2487" s="3" t="inlineStr">
        <is>
          <t>51.56</t>
        </is>
      </c>
      <c r="M2487" t="inlineStr">
        <is>
          <t>Köln</t>
        </is>
      </c>
    </row>
    <row r="2488">
      <c r="A2488" t="inlineStr">
        <is>
          <t>Buch „Windsurfing mit Robby Naish“, 1982, 2. Auflage</t>
        </is>
      </c>
      <c r="B2488" s="4" t="n">
        <v>10</v>
      </c>
      <c r="C2488" t="inlineStr"/>
      <c r="D2488" t="inlineStr">
        <is>
          <t>78244 Baden-Württemberg - Gottmadingen</t>
        </is>
      </c>
      <c r="E2488" s="5" t="n">
        <v>45521</v>
      </c>
      <c r="F2488" t="inlineStr"/>
      <c r="G2488" s="6">
        <f>HYPERLINK("https://www.kleinanzeigen.de/s-anzeige/buch-windsurfing-mit-robby-naish-1982-2-auflage/2839149971-242-9399", "Link")</f>
        <v/>
      </c>
      <c r="H2488" s="6">
        <f>HYPERLINK("C:\Projects\Kleinanzeigen-Scraper\offer_images\2839149971", "Link")</f>
        <v/>
      </c>
      <c r="I2488" t="inlineStr">
        <is>
          <t>Norbert T.</t>
        </is>
      </c>
      <c r="J2488" s="6">
        <f>HYPERLINK("https://www.kleinanzeigen.de/s-bestandsliste.html?userId=26978997", "Link")</f>
        <v/>
      </c>
      <c r="K2488" s="7" t="n">
        <v>45549.57228009259</v>
      </c>
      <c r="L2488" s="3" t="inlineStr">
        <is>
          <t>33.08</t>
        </is>
      </c>
      <c r="M2488" t="inlineStr">
        <is>
          <t>Bonndorf</t>
        </is>
      </c>
    </row>
    <row r="2489">
      <c r="A2489" t="inlineStr">
        <is>
          <t>Severne Redwing 1000 + Stabilizer  NEU</t>
        </is>
      </c>
      <c r="B2489" s="4" t="n">
        <v>399</v>
      </c>
      <c r="C2489" t="inlineStr">
        <is>
          <t>VB</t>
        </is>
      </c>
      <c r="D2489" t="inlineStr">
        <is>
          <t>82481 Bayern - Mittenwald</t>
        </is>
      </c>
      <c r="E2489" s="5" t="n">
        <v>45534</v>
      </c>
      <c r="F2489" t="inlineStr">
        <is>
          <t>Sold</t>
        </is>
      </c>
      <c r="G2489" s="6">
        <f>HYPERLINK("https://www.kleinanzeigen.de/s-anzeige/severne-redwing-1000-stabilizer-neu/2849622732-230-6340", "Link")</f>
        <v/>
      </c>
      <c r="H2489" s="6">
        <f>HYPERLINK("C:\Projects\Kleinanzeigen-Scraper\offer_images\2849622732", "Link")</f>
        <v/>
      </c>
      <c r="I2489" t="inlineStr">
        <is>
          <t>Florian</t>
        </is>
      </c>
      <c r="J2489" s="6">
        <f>HYPERLINK("https://www.kleinanzeigen.de/s-bestandsliste.html?userId=61919776", "Link")</f>
        <v/>
      </c>
      <c r="K2489" s="7" t="n">
        <v>45549.57225694445</v>
      </c>
      <c r="L2489" s="3" t="inlineStr">
        <is>
          <t>80.64</t>
        </is>
      </c>
      <c r="M2489" t="inlineStr">
        <is>
          <t>München</t>
        </is>
      </c>
    </row>
    <row r="2490">
      <c r="A2490" t="inlineStr">
        <is>
          <t>Watschuhe Simms Freestone Größe 38 - Gummisohle</t>
        </is>
      </c>
      <c r="B2490" s="4" t="n">
        <v>75</v>
      </c>
      <c r="C2490" t="inlineStr"/>
      <c r="D2490" t="inlineStr">
        <is>
          <t>82223 Bayern - Eichenau</t>
        </is>
      </c>
      <c r="E2490" s="5" t="n">
        <v>45466</v>
      </c>
      <c r="F2490" t="inlineStr"/>
      <c r="G2490" s="6">
        <f>HYPERLINK("https://www.kleinanzeigen.de/s-anzeige/watschuhe-simms-freestone-groesse-38-gummisohle/2795732810-230-16921", "Link")</f>
        <v/>
      </c>
      <c r="H2490" s="6">
        <f>HYPERLINK("C:\Projects\Kleinanzeigen-Scraper\offer_images\2795732810", "Link")</f>
        <v/>
      </c>
      <c r="I2490" t="inlineStr">
        <is>
          <t>Dominik Träger</t>
        </is>
      </c>
      <c r="J2490" s="6">
        <f>HYPERLINK("https://www.kleinanzeigen.de/s-bestandsliste.html?userId=19227530", "Link")</f>
        <v/>
      </c>
      <c r="K2490" s="7" t="n">
        <v>45549.57223379629</v>
      </c>
      <c r="L2490" s="3" t="inlineStr">
        <is>
          <t>19.02</t>
        </is>
      </c>
      <c r="M2490" t="inlineStr">
        <is>
          <t>München</t>
        </is>
      </c>
    </row>
    <row r="2491">
      <c r="A2491" t="inlineStr">
        <is>
          <t>Duotone Evo Dlab 10m Kite</t>
        </is>
      </c>
      <c r="B2491" s="4" t="n">
        <v>1.595</v>
      </c>
      <c r="C2491" t="inlineStr">
        <is>
          <t>VB</t>
        </is>
      </c>
      <c r="D2491" t="inlineStr">
        <is>
          <t>47829 Nordrhein-Westfalen - Krefeld</t>
        </is>
      </c>
      <c r="E2491" s="5" t="n">
        <v>45548</v>
      </c>
      <c r="F2491" t="inlineStr">
        <is>
          <t>Sold</t>
        </is>
      </c>
      <c r="G2491" s="6">
        <f>HYPERLINK("https://www.kleinanzeigen.de/s-anzeige/duotone-evo-dlab-10m-kite/2862474468-230-1972", "Link")</f>
        <v/>
      </c>
      <c r="H2491" s="6">
        <f>HYPERLINK("C:\Projects\Kleinanzeigen-Scraper\offer_images\2862474468", "Link")</f>
        <v/>
      </c>
      <c r="I2491" t="inlineStr">
        <is>
          <t>Steffen</t>
        </is>
      </c>
      <c r="J2491" s="6">
        <f>HYPERLINK("https://www.kleinanzeigen.de/s-bestandsliste.html?userId=7392946", "Link")</f>
        <v/>
      </c>
      <c r="K2491" s="7" t="n">
        <v>45549.57221064815</v>
      </c>
      <c r="L2491" s="3" t="inlineStr">
        <is>
          <t>52.94</t>
        </is>
      </c>
      <c r="M2491" t="inlineStr">
        <is>
          <t>Köln</t>
        </is>
      </c>
    </row>
    <row r="2492">
      <c r="A2492" t="inlineStr">
        <is>
          <t>Naish Fuselage</t>
        </is>
      </c>
      <c r="B2492" s="4" t="n">
        <v>99</v>
      </c>
      <c r="C2492" t="inlineStr"/>
      <c r="D2492" t="inlineStr">
        <is>
          <t>22457 Eimsbüttel - Hamburg Schnelsen</t>
        </is>
      </c>
      <c r="E2492" s="5" t="n">
        <v>45557</v>
      </c>
      <c r="F2492" t="inlineStr"/>
      <c r="G2492" s="6">
        <f>HYPERLINK("https://www.kleinanzeigen.de/s-anzeige/naish-fuselage/2820121126-230-9492", "Link")</f>
        <v/>
      </c>
      <c r="H2492" s="6">
        <f>HYPERLINK("C:\Projects\Kleinanzeigen-Scraper\offer_images\2820121126", "Link")</f>
        <v/>
      </c>
      <c r="I2492" t="inlineStr">
        <is>
          <t>No user name</t>
        </is>
      </c>
      <c r="J2492" s="6">
        <f>HYPERLINK("https://www.kleinanzeigen.deNo user link", "Link")</f>
        <v/>
      </c>
      <c r="K2492" s="7" t="n">
        <v>45549.57221064815</v>
      </c>
      <c r="L2492" s="3" t="inlineStr">
        <is>
          <t>362.41</t>
        </is>
      </c>
      <c r="M2492" t="inlineStr">
        <is>
          <t>Köln</t>
        </is>
      </c>
    </row>
    <row r="2493">
      <c r="A2493" t="inlineStr">
        <is>
          <t>Duotone 2024 Foil Wing Set Aero Carve 2.0 SLS 1100/200</t>
        </is>
      </c>
      <c r="B2493" s="4" t="n">
        <v>700</v>
      </c>
      <c r="C2493" t="inlineStr"/>
      <c r="D2493" t="inlineStr">
        <is>
          <t>90451 Nürnberg (Mittelfr) - Aussenstadt-Sued</t>
        </is>
      </c>
      <c r="E2493" s="5" t="n">
        <v>45547</v>
      </c>
      <c r="F2493" t="inlineStr">
        <is>
          <t>Sold</t>
        </is>
      </c>
      <c r="G2493" s="6">
        <f>HYPERLINK("https://www.kleinanzeigen.de/s-anzeige/duotone-2024-foil-wing-set-aero-carve-2-0-sls-1100-200/2761770831-230-6836", "Link")</f>
        <v/>
      </c>
      <c r="H2493" s="6">
        <f>HYPERLINK("C:\Projects\Kleinanzeigen-Scraper\offer_images\2761770831", "Link")</f>
        <v/>
      </c>
      <c r="I2493" t="inlineStr">
        <is>
          <t>No user name</t>
        </is>
      </c>
      <c r="J2493" s="6">
        <f>HYPERLINK("https://www.kleinanzeigen.deNo user link", "Link")</f>
        <v/>
      </c>
      <c r="K2493" s="7" t="n">
        <v>45549.57221064815</v>
      </c>
      <c r="L2493" s="3" t="inlineStr">
        <is>
          <t>145.92</t>
        </is>
      </c>
      <c r="M2493" t="inlineStr">
        <is>
          <t>München</t>
        </is>
      </c>
    </row>
    <row r="2494">
      <c r="A2494" t="inlineStr">
        <is>
          <t>Duotone Evo 10 qm</t>
        </is>
      </c>
      <c r="B2494" s="4" t="n">
        <v>350</v>
      </c>
      <c r="C2494" t="inlineStr"/>
      <c r="D2494" t="inlineStr">
        <is>
          <t>82131 Bayern - Gauting</t>
        </is>
      </c>
      <c r="E2494" s="5" t="n">
        <v>45543</v>
      </c>
      <c r="F2494" t="inlineStr">
        <is>
          <t>Sold</t>
        </is>
      </c>
      <c r="G2494" s="6">
        <f>HYPERLINK("https://www.kleinanzeigen.de/s-anzeige/duotone-evo-10-qm/2857839807-230-6334", "Link")</f>
        <v/>
      </c>
      <c r="H2494" s="6">
        <f>HYPERLINK("C:\Projects\Kleinanzeigen-Scraper\offer_images\2857839807", "Link")</f>
        <v/>
      </c>
      <c r="I2494" t="inlineStr">
        <is>
          <t>Christian Göggelmann</t>
        </is>
      </c>
      <c r="J2494" s="6">
        <f>HYPERLINK("https://www.kleinanzeigen.de/s-bestandsliste.html?userId=15621484", "Link")</f>
        <v/>
      </c>
      <c r="K2494" s="7" t="n">
        <v>45549.57221064815</v>
      </c>
      <c r="L2494" s="3" t="inlineStr">
        <is>
          <t>16.76</t>
        </is>
      </c>
      <c r="M2494" t="inlineStr">
        <is>
          <t>München</t>
        </is>
      </c>
    </row>
    <row r="2495">
      <c r="A2495" t="inlineStr">
        <is>
          <t>Naish Dash in 9m² S25</t>
        </is>
      </c>
      <c r="B2495" s="4" t="n">
        <v>450</v>
      </c>
      <c r="C2495" t="inlineStr"/>
      <c r="D2495" t="inlineStr">
        <is>
          <t>73479 Baden-Württemberg - Ellwangen (Jagst)</t>
        </is>
      </c>
      <c r="E2495" s="5" t="n">
        <v>45544</v>
      </c>
      <c r="F2495" t="inlineStr"/>
      <c r="G2495" s="6">
        <f>HYPERLINK("https://www.kleinanzeigen.de/s-anzeige/naish-dash-in-9m-s25/2735721704-230-8830", "Link")</f>
        <v/>
      </c>
      <c r="H2495" s="6">
        <f>HYPERLINK("C:\Projects\Kleinanzeigen-Scraper\offer_images\2735721704", "Link")</f>
        <v/>
      </c>
      <c r="I2495" t="inlineStr">
        <is>
          <t>Denis Pröll</t>
        </is>
      </c>
      <c r="J2495" s="6">
        <f>HYPERLINK("https://www.kleinanzeigen.de/s-bestandsliste.html?userId=34630628", "Link")</f>
        <v/>
      </c>
      <c r="K2495" s="7" t="n">
        <v>45549.57219907407</v>
      </c>
      <c r="L2495" s="3" t="inlineStr">
        <is>
          <t>93.19</t>
        </is>
      </c>
      <c r="M2495" t="inlineStr">
        <is>
          <t>Böblingen</t>
        </is>
      </c>
    </row>
    <row r="2496">
      <c r="A2496" t="inlineStr">
        <is>
          <t>Duotone Foil Wing Set Aero Glide SLS 2024 1305/200</t>
        </is>
      </c>
      <c r="B2496" s="4" t="n">
        <v>480</v>
      </c>
      <c r="C2496" t="inlineStr">
        <is>
          <t>VB</t>
        </is>
      </c>
      <c r="D2496" t="inlineStr">
        <is>
          <t>03096 Brandenburg - Werben (Spreewald)</t>
        </is>
      </c>
      <c r="E2496" s="5" t="n">
        <v>45545</v>
      </c>
      <c r="F2496" t="inlineStr">
        <is>
          <t>Sold</t>
        </is>
      </c>
      <c r="G2496" s="6">
        <f>HYPERLINK("https://www.kleinanzeigen.de/s-anzeige/duotone-foil-wing-set-aero-glide-sls-2024-1305-200/2859342872-230-7758", "Link")</f>
        <v/>
      </c>
      <c r="H2496" s="6">
        <f>HYPERLINK("C:\Projects\Kleinanzeigen-Scraper\offer_images\2859342872", "Link")</f>
        <v/>
      </c>
      <c r="I2496" t="inlineStr">
        <is>
          <t>Martin</t>
        </is>
      </c>
      <c r="J2496" s="6">
        <f>HYPERLINK("https://www.kleinanzeigen.de/s-bestandsliste.html?userId=3383629", "Link")</f>
        <v/>
      </c>
      <c r="K2496" s="7" t="n">
        <v>45549.57219907407</v>
      </c>
      <c r="L2496" s="3" t="inlineStr">
        <is>
          <t>449.49</t>
        </is>
      </c>
      <c r="M2496" t="inlineStr">
        <is>
          <t>München</t>
        </is>
      </c>
    </row>
    <row r="2497">
      <c r="A2497" t="inlineStr">
        <is>
          <t>Orvis Gürtelschnalle alt wie simms scott sage Hardy</t>
        </is>
      </c>
      <c r="B2497" s="4" t="n">
        <v>90</v>
      </c>
      <c r="C2497" t="inlineStr"/>
      <c r="D2497" t="inlineStr">
        <is>
          <t>74589 Baden-Württemberg - Satteldorf</t>
        </is>
      </c>
      <c r="E2497" s="5" t="n">
        <v>45520</v>
      </c>
      <c r="F2497" t="inlineStr"/>
      <c r="G2497" s="6">
        <f>HYPERLINK("https://www.kleinanzeigen.de/s-anzeige/orvis-guertelschnalle-alt-wie-simms-scott-sage-hardy/2838535339-230-9132", "Link")</f>
        <v/>
      </c>
      <c r="H2497" s="6">
        <f>HYPERLINK("C:\Projects\Kleinanzeigen-Scraper\offer_images\2838535339", "Link")</f>
        <v/>
      </c>
      <c r="I2497" t="inlineStr">
        <is>
          <t>Bm.</t>
        </is>
      </c>
      <c r="J2497" s="6">
        <f>HYPERLINK("https://www.kleinanzeigen.de/s-bestandsliste.html?userId=8464883", "Link")</f>
        <v/>
      </c>
      <c r="K2497" s="7" t="n">
        <v>45549.5721875</v>
      </c>
      <c r="L2497" s="3" t="inlineStr">
        <is>
          <t>98.57</t>
        </is>
      </c>
      <c r="M2497" t="inlineStr">
        <is>
          <t>Böblingen</t>
        </is>
      </c>
    </row>
    <row r="2498">
      <c r="A2498" t="inlineStr">
        <is>
          <t>Duotone Entity Ergo 2023 Bindung Twintip S oder L</t>
        </is>
      </c>
      <c r="B2498" s="4" t="n">
        <v>200</v>
      </c>
      <c r="C2498" t="inlineStr"/>
      <c r="D2498" t="inlineStr">
        <is>
          <t>90451 Nürnberg (Mittelfr) - Aussenstadt-Sued</t>
        </is>
      </c>
      <c r="E2498" s="5" t="n">
        <v>45538</v>
      </c>
      <c r="F2498" t="inlineStr">
        <is>
          <t>Sold</t>
        </is>
      </c>
      <c r="G2498" s="6">
        <f>HYPERLINK("https://www.kleinanzeigen.de/s-anzeige/duotone-entity-ergo-2023-bindung-twintip-s-oder-l/2646514693-230-6836", "Link")</f>
        <v/>
      </c>
      <c r="H2498" s="6">
        <f>HYPERLINK("C:\Projects\Kleinanzeigen-Scraper\offer_images\2646514693", "Link")</f>
        <v/>
      </c>
      <c r="I2498" t="inlineStr">
        <is>
          <t>No user name</t>
        </is>
      </c>
      <c r="J2498" s="6">
        <f>HYPERLINK("https://www.kleinanzeigen.deNo user link", "Link")</f>
        <v/>
      </c>
      <c r="K2498" s="7" t="n">
        <v>45549.5721875</v>
      </c>
      <c r="L2498" s="3" t="inlineStr">
        <is>
          <t>145.92</t>
        </is>
      </c>
      <c r="M2498" t="inlineStr">
        <is>
          <t>München</t>
        </is>
      </c>
    </row>
    <row r="2499">
      <c r="A2499" t="inlineStr">
        <is>
          <t>Duotone 2024 Wing Foil Set Aero Lift SLS 2400/300</t>
        </is>
      </c>
      <c r="B2499" s="4" t="n">
        <v>750</v>
      </c>
      <c r="C2499" t="inlineStr"/>
      <c r="D2499" t="inlineStr">
        <is>
          <t>90451 Nürnberg (Mittelfr) - Aussenstadt-Sued</t>
        </is>
      </c>
      <c r="E2499" s="5" t="n">
        <v>45545</v>
      </c>
      <c r="F2499" t="inlineStr">
        <is>
          <t>Sold</t>
        </is>
      </c>
      <c r="G2499" s="6">
        <f>HYPERLINK("https://www.kleinanzeigen.de/s-anzeige/duotone-2024-wing-foil-set-aero-lift-sls-2400-300/2760435697-230-6836", "Link")</f>
        <v/>
      </c>
      <c r="H2499" s="6">
        <f>HYPERLINK("C:\Projects\Kleinanzeigen-Scraper\offer_images\2760435697", "Link")</f>
        <v/>
      </c>
      <c r="I2499" t="inlineStr">
        <is>
          <t>No user name</t>
        </is>
      </c>
      <c r="J2499" s="6">
        <f>HYPERLINK("https://www.kleinanzeigen.deNo user link", "Link")</f>
        <v/>
      </c>
      <c r="K2499" s="7" t="n">
        <v>45549.57217592592</v>
      </c>
      <c r="L2499" s="3" t="inlineStr">
        <is>
          <t>145.92</t>
        </is>
      </c>
      <c r="M2499" t="inlineStr">
        <is>
          <t>München</t>
        </is>
      </c>
    </row>
    <row r="2500">
      <c r="A2500" t="inlineStr">
        <is>
          <t>Neilpryde Neopren lang - Mädchen - Gr. 36 - 38 - S</t>
        </is>
      </c>
      <c r="B2500" s="4" t="n">
        <v>39</v>
      </c>
      <c r="C2500" t="inlineStr"/>
      <c r="D2500" t="inlineStr">
        <is>
          <t>22589 Altona - Hamburg Iserbrook</t>
        </is>
      </c>
      <c r="E2500" s="5" t="n">
        <v>45490</v>
      </c>
      <c r="F2500" t="inlineStr">
        <is>
          <t>Sold</t>
        </is>
      </c>
      <c r="G2500" s="6">
        <f>HYPERLINK("https://www.kleinanzeigen.de/s-anzeige/neilpryde-neopren-lang-maedchen-gr-36-38-s/2814676288-187-9510", "Link")</f>
        <v/>
      </c>
      <c r="H2500" s="6">
        <f>HYPERLINK("C:\Projects\Kleinanzeigen-Scraper\offer_images\2814676288", "Link")</f>
        <v/>
      </c>
      <c r="I2500" t="inlineStr">
        <is>
          <t>Hanna</t>
        </is>
      </c>
      <c r="J2500" s="6">
        <f>HYPERLINK("https://www.kleinanzeigen.de/s-bestandsliste.html?userId=256966", "Link")</f>
        <v/>
      </c>
      <c r="K2500" s="7" t="n">
        <v>45549.57217592592</v>
      </c>
      <c r="L2500" s="3" t="inlineStr">
        <is>
          <t>352.31</t>
        </is>
      </c>
      <c r="M2500" t="inlineStr">
        <is>
          <t>Köln</t>
        </is>
      </c>
    </row>
    <row r="2501">
      <c r="A2501" t="inlineStr">
        <is>
          <t>Duotone Tubekite Evo SLS C16:coral/blue 2024 12.0 qm</t>
        </is>
      </c>
      <c r="B2501" s="4" t="n">
        <v>1.469</v>
      </c>
      <c r="C2501" t="inlineStr">
        <is>
          <t>VB</t>
        </is>
      </c>
      <c r="D2501" t="inlineStr">
        <is>
          <t>26125 Niedersachsen - Oldenburg</t>
        </is>
      </c>
      <c r="E2501" s="5" t="n">
        <v>45545</v>
      </c>
      <c r="F2501" t="inlineStr">
        <is>
          <t>Sold</t>
        </is>
      </c>
      <c r="G2501" s="6">
        <f>HYPERLINK("https://www.kleinanzeigen.de/s-anzeige/duotone-tubekite-evo-sls-c16-coral-blue-2024-12-0-qm/2859568348-230-3111", "Link")</f>
        <v/>
      </c>
      <c r="H2501" s="6">
        <f>HYPERLINK("C:\Projects\Kleinanzeigen-Scraper\offer_images\2859568348", "Link")</f>
        <v/>
      </c>
      <c r="I2501" t="inlineStr">
        <is>
          <t>No user name</t>
        </is>
      </c>
      <c r="J2501" s="6">
        <f>HYPERLINK("https://www.kleinanzeigen.deNo user link", "Link")</f>
        <v/>
      </c>
      <c r="K2501" s="7" t="n">
        <v>45549.57217592592</v>
      </c>
      <c r="L2501" s="3" t="inlineStr">
        <is>
          <t>264.10</t>
        </is>
      </c>
      <c r="M2501" t="inlineStr">
        <is>
          <t>Köln</t>
        </is>
      </c>
    </row>
    <row r="2502">
      <c r="A2502" t="inlineStr">
        <is>
          <t>Neilpryde-Long John,  Langarm,  Gr.  94, ungetragen, Surfen, SUP</t>
        </is>
      </c>
      <c r="B2502" s="4" t="n">
        <v>65</v>
      </c>
      <c r="C2502" t="inlineStr">
        <is>
          <t>VB</t>
        </is>
      </c>
      <c r="D2502" t="inlineStr">
        <is>
          <t>33615 Bielefeld - Bielefeld (Innenstadt)</t>
        </is>
      </c>
      <c r="E2502" s="5" t="n">
        <v>45548</v>
      </c>
      <c r="F2502" t="inlineStr"/>
      <c r="G2502" s="6">
        <f>HYPERLINK("https://www.kleinanzeigen.de/s-anzeige/neilpryde-long-john-langarm-gr-94-ungetragen-surfen-sup/2862300778-230-1058", "Link")</f>
        <v/>
      </c>
      <c r="H2502" s="6">
        <f>HYPERLINK("C:\Projects\Kleinanzeigen-Scraper\offer_images\2862300778", "Link")</f>
        <v/>
      </c>
      <c r="I2502" t="inlineStr">
        <is>
          <t>Carola Giller</t>
        </is>
      </c>
      <c r="J2502" s="6">
        <f>HYPERLINK("https://www.kleinanzeigen.de/s-bestandsliste.html?userId=7988525", "Link")</f>
        <v/>
      </c>
      <c r="K2502" s="7" t="n">
        <v>45549.57216435186</v>
      </c>
      <c r="L2502" s="3" t="inlineStr">
        <is>
          <t>162.21</t>
        </is>
      </c>
      <c r="M2502" t="inlineStr">
        <is>
          <t>Köln</t>
        </is>
      </c>
    </row>
    <row r="2503">
      <c r="A2503" t="inlineStr">
        <is>
          <t>Neoprenanzug, Surfanzug von Neilpryde in Gr. 50 bzw. M</t>
        </is>
      </c>
      <c r="B2503" s="4" t="n">
        <v>85</v>
      </c>
      <c r="C2503" t="inlineStr"/>
      <c r="D2503" t="inlineStr">
        <is>
          <t>23970 Mecklenburg-Vorpommern - Wismar</t>
        </is>
      </c>
      <c r="E2503" s="5" t="n">
        <v>45528</v>
      </c>
      <c r="F2503" t="inlineStr">
        <is>
          <t>Sold</t>
        </is>
      </c>
      <c r="G2503" s="6">
        <f>HYPERLINK("https://www.kleinanzeigen.de/s-anzeige/neoprenanzug-surfanzug-von-neilpryde-in-gr-50-bzw-m/2845005710-230-224", "Link")</f>
        <v/>
      </c>
      <c r="H2503" s="6">
        <f>HYPERLINK("C:\Projects\Kleinanzeigen-Scraper\offer_images\2845005710", "Link")</f>
        <v/>
      </c>
      <c r="I2503" t="inlineStr">
        <is>
          <t>Doris M.</t>
        </is>
      </c>
      <c r="J2503" s="6">
        <f>HYPERLINK("https://www.kleinanzeigen.de/s-bestandsliste.html?userId=14002520", "Link")</f>
        <v/>
      </c>
      <c r="K2503" s="7" t="n">
        <v>45549.57216435186</v>
      </c>
      <c r="L2503" s="3" t="inlineStr">
        <is>
          <t>450.33</t>
        </is>
      </c>
      <c r="M2503" t="inlineStr">
        <is>
          <t>Köln</t>
        </is>
      </c>
    </row>
    <row r="2504">
      <c r="A2504" t="inlineStr">
        <is>
          <t>JP Australia Vision Windsurf Segel Set 1,5 m</t>
        </is>
      </c>
      <c r="B2504" s="4" t="n">
        <v>299</v>
      </c>
      <c r="C2504" t="inlineStr"/>
      <c r="D2504" t="inlineStr">
        <is>
          <t>80809 München - Milbertshofen - Am Hart</t>
        </is>
      </c>
      <c r="E2504" s="5" t="n">
        <v>45064</v>
      </c>
      <c r="F2504" t="inlineStr"/>
      <c r="G2504" s="6">
        <f>HYPERLINK("https://www.kleinanzeigen.de/s-anzeige/jp-australia-vision-windsurf-segel-set-1-5-m/2445017859-230-6471", "Link")</f>
        <v/>
      </c>
      <c r="H2504" s="6">
        <f>HYPERLINK("C:\Projects\Kleinanzeigen-Scraper\offer_images\2445017859", "Link")</f>
        <v/>
      </c>
      <c r="I2504" t="inlineStr">
        <is>
          <t>Dmitry</t>
        </is>
      </c>
      <c r="J2504" s="6">
        <f>HYPERLINK("https://www.kleinanzeigen.de/s-bestandsliste.html?userId=51595780", "Link")</f>
        <v/>
      </c>
      <c r="K2504" s="7" t="n">
        <v>45549.57215277778</v>
      </c>
      <c r="L2504" s="3" t="inlineStr">
        <is>
          <t>5.17</t>
        </is>
      </c>
      <c r="M2504" t="inlineStr">
        <is>
          <t>München</t>
        </is>
      </c>
    </row>
    <row r="2505">
      <c r="A2505" t="inlineStr">
        <is>
          <t>Duotone Unit 2024 - 5 m Wing, Foil, Unit 3</t>
        </is>
      </c>
      <c r="B2505" s="4" t="n">
        <v>615</v>
      </c>
      <c r="C2505" t="inlineStr"/>
      <c r="D2505" t="inlineStr">
        <is>
          <t>86899 Bayern - Landsberg (Lech)</t>
        </is>
      </c>
      <c r="E2505" s="5" t="n">
        <v>45548</v>
      </c>
      <c r="F2505" t="inlineStr">
        <is>
          <t>Sold</t>
        </is>
      </c>
      <c r="G2505" s="6">
        <f>HYPERLINK("https://www.kleinanzeigen.de/s-anzeige/duotone-unit-2024-5-m-wing-foil-unit-3/2862414169-230-7091", "Link")</f>
        <v/>
      </c>
      <c r="H2505" s="6">
        <f>HYPERLINK("C:\Projects\Kleinanzeigen-Scraper\offer_images\2862414169", "Link")</f>
        <v/>
      </c>
      <c r="I2505" t="inlineStr">
        <is>
          <t>Chris</t>
        </is>
      </c>
      <c r="J2505" s="6">
        <f>HYPERLINK("https://www.kleinanzeigen.de/s-bestandsliste.html?userId=16182812", "Link")</f>
        <v/>
      </c>
      <c r="K2505" s="7" t="n">
        <v>45549.57215277778</v>
      </c>
      <c r="L2505" s="3" t="inlineStr">
        <is>
          <t>55.05</t>
        </is>
      </c>
      <c r="M2505" t="inlineStr">
        <is>
          <t>München</t>
        </is>
      </c>
    </row>
    <row r="2506">
      <c r="A2506" t="inlineStr">
        <is>
          <t>Neilpryde NP Spark Shorty Neoprenanzug 2/2 Gr.36 Backzip NEU</t>
        </is>
      </c>
      <c r="B2506" s="4" t="n">
        <v>59</v>
      </c>
      <c r="C2506" t="inlineStr"/>
      <c r="D2506" t="inlineStr">
        <is>
          <t>50733 Köln - Nippes</t>
        </is>
      </c>
      <c r="E2506" s="5" t="n">
        <v>45513</v>
      </c>
      <c r="F2506" t="inlineStr">
        <is>
          <t>Sold</t>
        </is>
      </c>
      <c r="G2506" s="6">
        <f>HYPERLINK("https://www.kleinanzeigen.de/s-anzeige/neilpryde-np-spark-shorty-neoprenanzug-2-2-gr-36-backzip-neu/2832857488-230-993", "Link")</f>
        <v/>
      </c>
      <c r="H2506" s="6">
        <f>HYPERLINK("C:\Projects\Kleinanzeigen-Scraper\offer_images\2832857488", "Link")</f>
        <v/>
      </c>
      <c r="I2506" t="inlineStr">
        <is>
          <t>Bea</t>
        </is>
      </c>
      <c r="J2506" s="6">
        <f>HYPERLINK("https://www.kleinanzeigen.de/s-bestandsliste.html?userId=5100550", "Link")</f>
        <v/>
      </c>
      <c r="K2506" s="7" t="n">
        <v>45549.57215277778</v>
      </c>
      <c r="L2506" s="3" t="inlineStr">
        <is>
          <t>2.91</t>
        </is>
      </c>
      <c r="M2506" t="inlineStr">
        <is>
          <t>Köln</t>
        </is>
      </c>
    </row>
    <row r="2507">
      <c r="A2507" t="inlineStr">
        <is>
          <t>Duotone Dice 2022/23 SLS 10qm + Trust Bar 2020</t>
        </is>
      </c>
      <c r="B2507" s="4" t="n">
        <v>1</v>
      </c>
      <c r="C2507" t="inlineStr"/>
      <c r="D2507" t="inlineStr">
        <is>
          <t>01819 Sachsen - Bahretal</t>
        </is>
      </c>
      <c r="E2507" s="5" t="n">
        <v>45540</v>
      </c>
      <c r="F2507" t="inlineStr">
        <is>
          <t>Sold</t>
        </is>
      </c>
      <c r="G2507" s="6">
        <f>HYPERLINK("https://www.kleinanzeigen.de/s-anzeige/duotone-dice-2022-23-sls-10qm-trust-bar-2020/2855054325-230-18906", "Link")</f>
        <v/>
      </c>
      <c r="H2507" s="6">
        <f>HYPERLINK("C:\Projects\Kleinanzeigen-Scraper\offer_images\2855054325", "Link")</f>
        <v/>
      </c>
      <c r="I2507" t="inlineStr">
        <is>
          <t>Herr Kesch</t>
        </is>
      </c>
      <c r="J2507" s="6">
        <f>HYPERLINK("https://www.kleinanzeigen.de/s-bestandsliste.html?userId=44868613", "Link")</f>
        <v/>
      </c>
      <c r="K2507" s="7" t="n">
        <v>45549.57215277778</v>
      </c>
      <c r="L2507" s="3" t="inlineStr">
        <is>
          <t>349.46</t>
        </is>
      </c>
      <c r="M2507" t="inlineStr">
        <is>
          <t>München</t>
        </is>
      </c>
    </row>
    <row r="2508">
      <c r="A2508" t="inlineStr">
        <is>
          <t>Neilpryde sufanzug S Männer Neopren</t>
        </is>
      </c>
      <c r="B2508" s="4" t="n">
        <v>30</v>
      </c>
      <c r="C2508" t="inlineStr"/>
      <c r="D2508" t="inlineStr">
        <is>
          <t>21029 Hamburg - Bergedorf</t>
        </is>
      </c>
      <c r="E2508" s="5" t="n">
        <v>45541</v>
      </c>
      <c r="F2508" t="inlineStr">
        <is>
          <t>Sold</t>
        </is>
      </c>
      <c r="G2508" s="6">
        <f>HYPERLINK("https://www.kleinanzeigen.de/s-anzeige/neilpryde-sufanzug-s-maenner-neopren/2855450286-230-9519", "Link")</f>
        <v/>
      </c>
      <c r="H2508" s="6">
        <f>HYPERLINK("C:\Projects\Kleinanzeigen-Scraper\offer_images\2855450286", "Link")</f>
        <v/>
      </c>
      <c r="I2508" t="inlineStr">
        <is>
          <t>Sebastian</t>
        </is>
      </c>
      <c r="J2508" s="6">
        <f>HYPERLINK("https://www.kleinanzeigen.de/s-bestandsliste.html?userId=14694147", "Link")</f>
        <v/>
      </c>
      <c r="K2508" s="7" t="n">
        <v>45549.57215277778</v>
      </c>
      <c r="L2508" s="3" t="inlineStr">
        <is>
          <t>360.67</t>
        </is>
      </c>
      <c r="M2508" t="inlineStr">
        <is>
          <t>Köln</t>
        </is>
      </c>
    </row>
    <row r="2509">
      <c r="A2509" t="inlineStr">
        <is>
          <t>Blechdose North State Reklame Werbung DELIKAT Zigaretten</t>
        </is>
      </c>
      <c r="B2509" s="4" t="n">
        <v>12</v>
      </c>
      <c r="C2509" t="inlineStr">
        <is>
          <t>VB</t>
        </is>
      </c>
      <c r="D2509" t="inlineStr">
        <is>
          <t>84359 Bayern - Simbach</t>
        </is>
      </c>
      <c r="E2509" s="5" t="n">
        <v>45548</v>
      </c>
      <c r="F2509" t="inlineStr">
        <is>
          <t>Sold</t>
        </is>
      </c>
      <c r="G2509" s="6">
        <f>HYPERLINK("https://www.kleinanzeigen.de/s-anzeige/blechdose-north-state-reklame-werbung-delikat-zigaretten/2862052954-234-5919", "Link")</f>
        <v/>
      </c>
      <c r="H2509" s="6">
        <f>HYPERLINK("C:\Projects\Kleinanzeigen-Scraper\offer_images\2862052954", "Link")</f>
        <v/>
      </c>
      <c r="I2509" t="inlineStr">
        <is>
          <t>Günter</t>
        </is>
      </c>
      <c r="J2509" s="6">
        <f>HYPERLINK("https://www.kleinanzeigen.de/s-bestandsliste.html?userId=59000210", "Link")</f>
        <v/>
      </c>
      <c r="K2509" s="7" t="n">
        <v>45549.57215277778</v>
      </c>
      <c r="L2509" s="3" t="inlineStr">
        <is>
          <t>108.68</t>
        </is>
      </c>
      <c r="M2509" t="inlineStr">
        <is>
          <t>München</t>
        </is>
      </c>
    </row>
    <row r="2510">
      <c r="A2510" t="inlineStr">
        <is>
          <t>Neilpryde-Long John,  Halbarm, Gr. 106, ungetragen, Surfen, SUP</t>
        </is>
      </c>
      <c r="B2510" s="4" t="n">
        <v>60</v>
      </c>
      <c r="C2510" t="inlineStr">
        <is>
          <t>VB</t>
        </is>
      </c>
      <c r="D2510" t="inlineStr">
        <is>
          <t>33615 Bielefeld - Bielefeld (Innenstadt)</t>
        </is>
      </c>
      <c r="E2510" s="5" t="n">
        <v>45548</v>
      </c>
      <c r="F2510" t="inlineStr"/>
      <c r="G2510" s="6">
        <f>HYPERLINK("https://www.kleinanzeigen.de/s-anzeige/neilpryde-long-john-halbarm-gr-106-ungetragen-surfen-sup/2862269957-230-1058", "Link")</f>
        <v/>
      </c>
      <c r="H2510" s="6">
        <f>HYPERLINK("C:\Projects\Kleinanzeigen-Scraper\offer_images\2862269957", "Link")</f>
        <v/>
      </c>
      <c r="I2510" t="inlineStr">
        <is>
          <t>Carola Giller</t>
        </is>
      </c>
      <c r="J2510" s="6">
        <f>HYPERLINK("https://www.kleinanzeigen.de/s-bestandsliste.html?userId=7988525", "Link")</f>
        <v/>
      </c>
      <c r="K2510" s="7" t="n">
        <v>45549.5721412037</v>
      </c>
      <c r="L2510" s="3" t="inlineStr">
        <is>
          <t>162.21</t>
        </is>
      </c>
      <c r="M2510" t="inlineStr">
        <is>
          <t>Köln</t>
        </is>
      </c>
    </row>
    <row r="2511">
      <c r="A2511" t="inlineStr">
        <is>
          <t>Duotone Kite Rebel sls 9 m Neu 2024</t>
        </is>
      </c>
      <c r="B2511" s="4" t="n">
        <v>1.39</v>
      </c>
      <c r="C2511" t="inlineStr">
        <is>
          <t>VB</t>
        </is>
      </c>
      <c r="D2511" t="inlineStr">
        <is>
          <t>83629 Bayern - Weyarn</t>
        </is>
      </c>
      <c r="E2511" s="5" t="n">
        <v>45541</v>
      </c>
      <c r="F2511" t="inlineStr">
        <is>
          <t>Sold</t>
        </is>
      </c>
      <c r="G2511" s="6">
        <f>HYPERLINK("https://www.kleinanzeigen.de/s-anzeige/duotone-kite-rebel-sls-9-m-neu-2024/2855808085-230-5899", "Link")</f>
        <v/>
      </c>
      <c r="H2511" s="6">
        <f>HYPERLINK("C:\Projects\Kleinanzeigen-Scraper\offer_images\2855808085", "Link")</f>
        <v/>
      </c>
      <c r="I2511" t="inlineStr">
        <is>
          <t>Christian Duffield</t>
        </is>
      </c>
      <c r="J2511" s="6">
        <f>HYPERLINK("https://www.kleinanzeigen.de/s-bestandsliste.html?userId=89636753", "Link")</f>
        <v/>
      </c>
      <c r="K2511" s="7" t="n">
        <v>45549.57212962963</v>
      </c>
      <c r="L2511" s="3" t="inlineStr">
        <is>
          <t>36.36</t>
        </is>
      </c>
      <c r="M2511" t="inlineStr">
        <is>
          <t>München</t>
        </is>
      </c>
    </row>
    <row r="2512">
      <c r="A2512" t="inlineStr">
        <is>
          <t>Gauguin Goya Bücher</t>
        </is>
      </c>
      <c r="B2512" s="4" t="inlineStr"/>
      <c r="C2512" t="inlineStr">
        <is>
          <t>VB</t>
        </is>
      </c>
      <c r="D2512" t="inlineStr">
        <is>
          <t>52078 Aachen - Aachen-Brand</t>
        </is>
      </c>
      <c r="E2512" s="5" t="n">
        <v>44867</v>
      </c>
      <c r="F2512" t="inlineStr"/>
      <c r="G2512" s="6">
        <f>HYPERLINK("https://www.kleinanzeigen.de/s-anzeige/gauguin-goya-buecher/2260924360-191-1926", "Link")</f>
        <v/>
      </c>
      <c r="H2512" s="6">
        <f>HYPERLINK("C:\Projects\Kleinanzeigen-Scraper\offer_images\2260924360", "Link")</f>
        <v/>
      </c>
      <c r="I2512" t="inlineStr">
        <is>
          <t>Scherer</t>
        </is>
      </c>
      <c r="J2512" s="6">
        <f>HYPERLINK("https://www.kleinanzeigen.de/s-bestandsliste.html?userId=15671542", "Link")</f>
        <v/>
      </c>
      <c r="K2512" s="7" t="n">
        <v>45549.57212962963</v>
      </c>
      <c r="L2512" s="3" t="inlineStr">
        <is>
          <t>59.31</t>
        </is>
      </c>
      <c r="M2512" t="inlineStr">
        <is>
          <t>Köln</t>
        </is>
      </c>
    </row>
    <row r="2513">
      <c r="A2513" t="inlineStr">
        <is>
          <t>RS Flight F4 Foil Neilpryde</t>
        </is>
      </c>
      <c r="B2513" s="4" t="n">
        <v>500</v>
      </c>
      <c r="C2513" t="inlineStr">
        <is>
          <t>VB</t>
        </is>
      </c>
      <c r="D2513" t="inlineStr">
        <is>
          <t>82362 Bayern - Weilheim</t>
        </is>
      </c>
      <c r="E2513" s="5" t="n">
        <v>45537</v>
      </c>
      <c r="F2513" t="inlineStr"/>
      <c r="G2513" s="6">
        <f>HYPERLINK("https://www.kleinanzeigen.de/s-anzeige/rs-flight-f4-foil-neilpryde/2852677200-230-5562", "Link")</f>
        <v/>
      </c>
      <c r="H2513" s="6">
        <f>HYPERLINK("C:\Projects\Kleinanzeigen-Scraper\offer_images\2852677200", "Link")</f>
        <v/>
      </c>
      <c r="I2513" t="inlineStr">
        <is>
          <t>Stefan Ehrenberger</t>
        </is>
      </c>
      <c r="J2513" s="6">
        <f>HYPERLINK("https://www.kleinanzeigen.de/s-bestandsliste.html?userId=88714253", "Link")</f>
        <v/>
      </c>
      <c r="K2513" s="7" t="n">
        <v>45549.57210648148</v>
      </c>
      <c r="L2513" s="3" t="inlineStr">
        <is>
          <t>44.78</t>
        </is>
      </c>
      <c r="M2513" t="inlineStr">
        <is>
          <t>München</t>
        </is>
      </c>
    </row>
    <row r="2514">
      <c r="A2514" t="inlineStr">
        <is>
          <t>Naish Alana Sup Paddel 80% 3 teilig Neu</t>
        </is>
      </c>
      <c r="B2514" s="4" t="n">
        <v>149</v>
      </c>
      <c r="C2514" t="inlineStr"/>
      <c r="D2514" t="inlineStr">
        <is>
          <t>22457 Eimsbüttel - Hamburg Schnelsen</t>
        </is>
      </c>
      <c r="E2514" s="5" t="n">
        <v>45539</v>
      </c>
      <c r="F2514" t="inlineStr"/>
      <c r="G2514" s="6">
        <f>HYPERLINK("https://www.kleinanzeigen.de/s-anzeige/naish-alana-sup-paddel-80-3-teilig-neu/2212398553-230-9492", "Link")</f>
        <v/>
      </c>
      <c r="H2514" s="6">
        <f>HYPERLINK("C:\Projects\Kleinanzeigen-Scraper\offer_images\2212398553", "Link")</f>
        <v/>
      </c>
      <c r="I2514" t="inlineStr">
        <is>
          <t>No user name</t>
        </is>
      </c>
      <c r="J2514" s="6">
        <f>HYPERLINK("https://www.kleinanzeigen.deNo user link", "Link")</f>
        <v/>
      </c>
      <c r="K2514" s="7" t="n">
        <v>45549.57208333333</v>
      </c>
      <c r="L2514" s="3" t="inlineStr">
        <is>
          <t>362.41</t>
        </is>
      </c>
      <c r="M2514" t="inlineStr">
        <is>
          <t>Köln</t>
        </is>
      </c>
    </row>
    <row r="2515">
      <c r="A2515" t="inlineStr">
        <is>
          <t>Starboard Zen I Go 12`6 x 30 Setpreis</t>
        </is>
      </c>
      <c r="B2515" s="4" t="n">
        <v>450</v>
      </c>
      <c r="C2515" t="inlineStr"/>
      <c r="D2515" t="inlineStr">
        <is>
          <t>68723 Baden-Württemberg - Schwetzingen</t>
        </is>
      </c>
      <c r="E2515" s="5" t="n">
        <v>45556</v>
      </c>
      <c r="F2515" t="inlineStr"/>
      <c r="G2515" s="6">
        <f>HYPERLINK("https://www.kleinanzeigen.de/s-anzeige/starboard-zen-i-go-12-6-x-30-setpreis/2198922441-230-8123", "Link")</f>
        <v/>
      </c>
      <c r="H2515" s="6">
        <f>HYPERLINK("C:\Projects\Kleinanzeigen-Scraper\offer_images\2198922441", "Link")</f>
        <v/>
      </c>
      <c r="I2515" t="inlineStr">
        <is>
          <t>No user name</t>
        </is>
      </c>
      <c r="J2515" s="6">
        <f>HYPERLINK("https://www.kleinanzeigen.deNo user link", "Link")</f>
        <v/>
      </c>
      <c r="K2515" s="7" t="n">
        <v>45549.57208333333</v>
      </c>
      <c r="L2515" s="3" t="inlineStr">
        <is>
          <t>44.08</t>
        </is>
      </c>
      <c r="M2515" t="inlineStr">
        <is>
          <t>Karlsruhe</t>
        </is>
      </c>
    </row>
    <row r="2516">
      <c r="A2516" t="inlineStr">
        <is>
          <t>Starboard Touring M  Deluxe Double Chamber 12.6 x 30 SUP 2023</t>
        </is>
      </c>
      <c r="B2516" s="4" t="n">
        <v>690</v>
      </c>
      <c r="C2516" t="inlineStr"/>
      <c r="D2516" t="inlineStr">
        <is>
          <t>47259 Duisburg - Duisburg-Süd</t>
        </is>
      </c>
      <c r="E2516" s="5" t="n">
        <v>45544</v>
      </c>
      <c r="F2516" t="inlineStr">
        <is>
          <t>Sold</t>
        </is>
      </c>
      <c r="G2516" s="6">
        <f>HYPERLINK("https://www.kleinanzeigen.de/s-anzeige/starboard-touring-m-deluxe-double-chamber-12-6-x-30-sup-2023/2858648865-230-2139", "Link")</f>
        <v/>
      </c>
      <c r="H2516" s="6">
        <f>HYPERLINK("C:\Projects\Kleinanzeigen-Scraper\offer_images\2858648865", "Link")</f>
        <v/>
      </c>
      <c r="I2516" t="inlineStr">
        <is>
          <t>Markus</t>
        </is>
      </c>
      <c r="J2516" s="6">
        <f>HYPERLINK("https://www.kleinanzeigen.de/s-bestandsliste.html?userId=46284775", "Link")</f>
        <v/>
      </c>
      <c r="K2516" s="7" t="n">
        <v>45549.57208333333</v>
      </c>
      <c r="L2516" s="3" t="inlineStr">
        <is>
          <t>49.13</t>
        </is>
      </c>
      <c r="M2516" t="inlineStr">
        <is>
          <t>Köln</t>
        </is>
      </c>
    </row>
    <row r="2517">
      <c r="A2517" t="inlineStr">
        <is>
          <t>LENZ OPTICS LITZA TITAN-CARBON /ZEISS -POLBRILLE-KÜSTE-MEER-SIMMS</t>
        </is>
      </c>
      <c r="B2517" s="4" t="n">
        <v>175</v>
      </c>
      <c r="C2517" t="inlineStr"/>
      <c r="D2517" t="inlineStr">
        <is>
          <t>28816 Niedersachsen - Stuhr</t>
        </is>
      </c>
      <c r="E2517" s="5" t="n">
        <v>45526</v>
      </c>
      <c r="F2517" t="inlineStr"/>
      <c r="G2517" s="6">
        <f>HYPERLINK("https://www.kleinanzeigen.de/s-anzeige/lenz-optics-litza-titan-carbon-zeiss-polbrille-kueste-meer-simms/2843732458-187-2735", "Link")</f>
        <v/>
      </c>
      <c r="H2517" s="6">
        <f>HYPERLINK("C:\Projects\Kleinanzeigen-Scraper\offer_images\2843732458", "Link")</f>
        <v/>
      </c>
      <c r="I2517" t="inlineStr">
        <is>
          <t>Jörg</t>
        </is>
      </c>
      <c r="J2517" s="6">
        <f>HYPERLINK("https://www.kleinanzeigen.de/s-bestandsliste.html?userId=13899147", "Link")</f>
        <v/>
      </c>
      <c r="K2517" s="7" t="n">
        <v>45549.57208333333</v>
      </c>
      <c r="L2517" s="3" t="inlineStr">
        <is>
          <t>259.72</t>
        </is>
      </c>
      <c r="M2517" t="inlineStr">
        <is>
          <t>Köln</t>
        </is>
      </c>
    </row>
    <row r="2518">
      <c r="A2518" t="inlineStr">
        <is>
          <t>Kite Naish 10 mts 2020</t>
        </is>
      </c>
      <c r="B2518" s="4" t="n">
        <v>350</v>
      </c>
      <c r="C2518" t="inlineStr"/>
      <c r="D2518" t="inlineStr">
        <is>
          <t>10707 Berlin - Wilmersdorf</t>
        </is>
      </c>
      <c r="E2518" s="5" t="n">
        <v>45535</v>
      </c>
      <c r="F2518" t="inlineStr">
        <is>
          <t>Sold</t>
        </is>
      </c>
      <c r="G2518" s="6">
        <f>HYPERLINK("https://www.kleinanzeigen.de/s-anzeige/kite-naish-10-mts-2020/2850358750-230-3534", "Link")</f>
        <v/>
      </c>
      <c r="H2518" s="6">
        <f>HYPERLINK("C:\Projects\Kleinanzeigen-Scraper\offer_images\2850358750", "Link")</f>
        <v/>
      </c>
      <c r="I2518" t="inlineStr">
        <is>
          <t>Pablo Pavon</t>
        </is>
      </c>
      <c r="J2518" s="6">
        <f>HYPERLINK("https://www.kleinanzeigen.de/s-bestandsliste.html?userId=71015701", "Link")</f>
        <v/>
      </c>
      <c r="K2518" s="7" t="n">
        <v>45549.57208333333</v>
      </c>
      <c r="L2518" s="3" t="inlineStr">
        <is>
          <t>470.94</t>
        </is>
      </c>
      <c r="M2518" t="inlineStr">
        <is>
          <t>Köln</t>
        </is>
      </c>
    </row>
    <row r="2519">
      <c r="A2519" t="inlineStr">
        <is>
          <t>Duotone / north click Bar M</t>
        </is>
      </c>
      <c r="B2519" s="4" t="n">
        <v>200</v>
      </c>
      <c r="C2519" t="inlineStr">
        <is>
          <t>VB</t>
        </is>
      </c>
      <c r="D2519" t="inlineStr">
        <is>
          <t>81371 München - Sendling</t>
        </is>
      </c>
      <c r="E2519" s="5" t="n">
        <v>45548</v>
      </c>
      <c r="F2519" t="inlineStr">
        <is>
          <t>Sold</t>
        </is>
      </c>
      <c r="G2519" s="6">
        <f>HYPERLINK("https://www.kleinanzeigen.de/s-anzeige/duotone-north-click-bar-m/2861975460-230-6416", "Link")</f>
        <v/>
      </c>
      <c r="H2519" s="6">
        <f>HYPERLINK("C:\Projects\Kleinanzeigen-Scraper\offer_images\2861975460", "Link")</f>
        <v/>
      </c>
      <c r="I2519" t="inlineStr">
        <is>
          <t>Max</t>
        </is>
      </c>
      <c r="J2519" s="6">
        <f>HYPERLINK("https://www.kleinanzeigen.de/s-bestandsliste.html?userId=35412952", "Link")</f>
        <v/>
      </c>
      <c r="K2519" s="7" t="n">
        <v>45549.57207175926</v>
      </c>
      <c r="L2519" s="3" t="inlineStr">
        <is>
          <t>2.76</t>
        </is>
      </c>
      <c r="M2519" t="inlineStr">
        <is>
          <t>München</t>
        </is>
      </c>
    </row>
    <row r="2520">
      <c r="A2520" t="inlineStr">
        <is>
          <t>Acryl Malfarben 250 ml Solo Goya ungebraucht</t>
        </is>
      </c>
      <c r="B2520" s="4" t="n">
        <v>4</v>
      </c>
      <c r="C2520" t="inlineStr"/>
      <c r="D2520" t="inlineStr">
        <is>
          <t>64807 Hessen - Dieburg</t>
        </is>
      </c>
      <c r="E2520" s="5" t="n">
        <v>45514</v>
      </c>
      <c r="F2520" t="inlineStr">
        <is>
          <t>Sold</t>
        </is>
      </c>
      <c r="G2520" s="6">
        <f>HYPERLINK("https://www.kleinanzeigen.de/s-anzeige/acryl-malfarben-250-ml-solo-goya-ungebraucht/2833927420-282-4499", "Link")</f>
        <v/>
      </c>
      <c r="H2520" s="6">
        <f>HYPERLINK("C:\Projects\Kleinanzeigen-Scraper\offer_images\2833927420", "Link")</f>
        <v/>
      </c>
      <c r="I2520" t="inlineStr">
        <is>
          <t>Privat</t>
        </is>
      </c>
      <c r="J2520" s="6">
        <f>HYPERLINK("https://www.kleinanzeigen.de/s-bestandsliste.html?userId=6983520", "Link")</f>
        <v/>
      </c>
      <c r="K2520" s="7" t="n">
        <v>45549.57206018519</v>
      </c>
      <c r="L2520" s="3" t="inlineStr">
        <is>
          <t>104.48</t>
        </is>
      </c>
      <c r="M2520" t="inlineStr">
        <is>
          <t>Karlsruhe</t>
        </is>
      </c>
    </row>
    <row r="2521">
      <c r="A2521" t="inlineStr">
        <is>
          <t>Fanatic Ray Air Pure 11’6 Package Neu Supboard</t>
        </is>
      </c>
      <c r="B2521" s="4" t="n">
        <v>399</v>
      </c>
      <c r="C2521" t="inlineStr"/>
      <c r="D2521" t="inlineStr">
        <is>
          <t>22457 Eimsbüttel - Hamburg Schnelsen</t>
        </is>
      </c>
      <c r="E2521" s="5" t="n">
        <v>45547</v>
      </c>
      <c r="F2521" t="inlineStr">
        <is>
          <t>Sold</t>
        </is>
      </c>
      <c r="G2521" s="6">
        <f>HYPERLINK("https://www.kleinanzeigen.de/s-anzeige/fanatic-ray-air-pure-11-6-package-neu-supboard/2281490645-230-9492", "Link")</f>
        <v/>
      </c>
      <c r="H2521" s="6">
        <f>HYPERLINK("C:\Projects\Kleinanzeigen-Scraper\offer_images\2281490645", "Link")</f>
        <v/>
      </c>
      <c r="I2521" t="inlineStr">
        <is>
          <t>No user name</t>
        </is>
      </c>
      <c r="J2521" s="6">
        <f>HYPERLINK("https://www.kleinanzeigen.deNo user link", "Link")</f>
        <v/>
      </c>
      <c r="K2521" s="7" t="n">
        <v>45549.57206018519</v>
      </c>
      <c r="L2521" s="3" t="inlineStr">
        <is>
          <t>362.41</t>
        </is>
      </c>
      <c r="M2521" t="inlineStr">
        <is>
          <t>Köln</t>
        </is>
      </c>
    </row>
    <row r="2522">
      <c r="A2522" t="inlineStr">
        <is>
          <t>Isabella Capri North G19 (1001-1025) mit Carbon-X, Plane, Teppich</t>
        </is>
      </c>
      <c r="B2522" s="4" t="n">
        <v>2.5</v>
      </c>
      <c r="C2522" t="inlineStr"/>
      <c r="D2522" t="inlineStr">
        <is>
          <t>33378 Nordrhein-Westfalen - Rheda-Wiedenbrück</t>
        </is>
      </c>
      <c r="E2522" s="5" t="n">
        <v>45543</v>
      </c>
      <c r="F2522" t="inlineStr">
        <is>
          <t>Sold</t>
        </is>
      </c>
      <c r="G2522" s="6">
        <f>HYPERLINK("https://www.kleinanzeigen.de/s-anzeige/isabella-capri-north-g19-1001-1025-mit-carbon-x-plane-teppich/2858058950-230-1649", "Link")</f>
        <v/>
      </c>
      <c r="H2522" s="6">
        <f>HYPERLINK("C:\Projects\Kleinanzeigen-Scraper\offer_images\2858058950", "Link")</f>
        <v/>
      </c>
      <c r="I2522" t="inlineStr">
        <is>
          <t>V. Steinwand</t>
        </is>
      </c>
      <c r="J2522" s="6">
        <f>HYPERLINK("https://www.kleinanzeigen.de/s-bestandsliste.html?userId=42952847", "Link")</f>
        <v/>
      </c>
      <c r="K2522" s="7" t="n">
        <v>45549.57206018519</v>
      </c>
      <c r="L2522" s="3" t="inlineStr">
        <is>
          <t>136.52</t>
        </is>
      </c>
      <c r="M2522" t="inlineStr">
        <is>
          <t>Köln</t>
        </is>
      </c>
    </row>
    <row r="2523">
      <c r="A2523" t="inlineStr">
        <is>
          <t>Duotone Dice SLS Kite 2024 in 13 qm</t>
        </is>
      </c>
      <c r="B2523" s="4" t="n">
        <v>1.26</v>
      </c>
      <c r="C2523" t="inlineStr">
        <is>
          <t>VB</t>
        </is>
      </c>
      <c r="D2523" t="inlineStr">
        <is>
          <t>22765 Altona - Hamburg Ottensen</t>
        </is>
      </c>
      <c r="E2523" s="5" t="n">
        <v>45547</v>
      </c>
      <c r="F2523" t="inlineStr">
        <is>
          <t>Sold</t>
        </is>
      </c>
      <c r="G2523" s="6">
        <f>HYPERLINK("https://www.kleinanzeigen.de/s-anzeige/duotone-dice-sls-kite-2024-in-13-qm/2860835448-230-9504", "Link")</f>
        <v/>
      </c>
      <c r="H2523" s="6">
        <f>HYPERLINK("C:\Projects\Kleinanzeigen-Scraper\offer_images\2860835448", "Link")</f>
        <v/>
      </c>
      <c r="I2523" t="inlineStr">
        <is>
          <t>Basti</t>
        </is>
      </c>
      <c r="J2523" s="6">
        <f>HYPERLINK("https://www.kleinanzeigen.de/s-bestandsliste.html?userId=6345680", "Link")</f>
        <v/>
      </c>
      <c r="K2523" s="7" t="n">
        <v>45549.57206018519</v>
      </c>
      <c r="L2523" s="3" t="inlineStr">
        <is>
          <t>354.49</t>
        </is>
      </c>
      <c r="M2523" t="inlineStr">
        <is>
          <t>Köln</t>
        </is>
      </c>
    </row>
    <row r="2524">
      <c r="A2524" t="inlineStr">
        <is>
          <t>Isabella Vorzelt Cirrus Air North 400+ Boden</t>
        </is>
      </c>
      <c r="B2524" s="4" t="n">
        <v>1.9</v>
      </c>
      <c r="C2524" t="inlineStr"/>
      <c r="D2524" t="inlineStr">
        <is>
          <t>58256 Nordrhein-Westfalen - Ennepetal</t>
        </is>
      </c>
      <c r="E2524" s="5" t="n">
        <v>45538</v>
      </c>
      <c r="F2524" t="inlineStr">
        <is>
          <t>Sold</t>
        </is>
      </c>
      <c r="G2524" s="6">
        <f>HYPERLINK("https://www.kleinanzeigen.de/s-anzeige/isabella-vorzelt-cirrus-air-north-400-boden/2853357095-230-1548", "Link")</f>
        <v/>
      </c>
      <c r="H2524" s="6">
        <f>HYPERLINK("C:\Projects\Kleinanzeigen-Scraper\offer_images\2853357095", "Link")</f>
        <v/>
      </c>
      <c r="I2524" t="inlineStr">
        <is>
          <t>Km.</t>
        </is>
      </c>
      <c r="J2524" s="6">
        <f>HYPERLINK("https://www.kleinanzeigen.de/s-bestandsliste.html?userId=22641806", "Link")</f>
        <v/>
      </c>
      <c r="K2524" s="7" t="n">
        <v>45549.57204861111</v>
      </c>
      <c r="L2524" s="3" t="inlineStr">
        <is>
          <t>46.87</t>
        </is>
      </c>
      <c r="M2524" t="inlineStr">
        <is>
          <t>Köln</t>
        </is>
      </c>
    </row>
    <row r="2525">
      <c r="A2525" t="inlineStr">
        <is>
          <t>RRD Sup 12,0 Air Tourer mit Rucksack und Pumpe - verliert Luft</t>
        </is>
      </c>
      <c r="B2525" s="4" t="n">
        <v>99</v>
      </c>
      <c r="C2525" t="inlineStr"/>
      <c r="D2525" t="inlineStr">
        <is>
          <t>82237 Bayern - Wörthsee</t>
        </is>
      </c>
      <c r="E2525" s="5" t="n">
        <v>45482</v>
      </c>
      <c r="F2525" t="inlineStr"/>
      <c r="G2525" s="6">
        <f>HYPERLINK("https://www.kleinanzeigen.de/s-anzeige/rrd-sup-12-0-air-tourer-mit-rucksack-und-pumpe-verliert-luft/2808434932-230-6355", "Link")</f>
        <v/>
      </c>
      <c r="H2525" s="6">
        <f>HYPERLINK("C:\Projects\Kleinanzeigen-Scraper\offer_images\2808434932", "Link")</f>
        <v/>
      </c>
      <c r="I2525" t="inlineStr">
        <is>
          <t>Familie J</t>
        </is>
      </c>
      <c r="J2525" s="6">
        <f>HYPERLINK("https://www.kleinanzeigen.de/s-bestandsliste.html?userId=8520100", "Link")</f>
        <v/>
      </c>
      <c r="K2525" s="7" t="n">
        <v>45549.57203703704</v>
      </c>
      <c r="L2525" s="3" t="inlineStr">
        <is>
          <t>28.59</t>
        </is>
      </c>
      <c r="M2525" t="inlineStr">
        <is>
          <t>München</t>
        </is>
      </c>
    </row>
    <row r="2526">
      <c r="A2526" t="inlineStr">
        <is>
          <t>RRD Neopren Gr L Wind Kite Wing Surf Wetsuit 3-4mm</t>
        </is>
      </c>
      <c r="B2526" s="4" t="n">
        <v>130</v>
      </c>
      <c r="C2526" t="inlineStr"/>
      <c r="D2526" t="inlineStr">
        <is>
          <t>79106 Baden-Württemberg - Freiburg im Breisgau</t>
        </is>
      </c>
      <c r="E2526" s="5" t="n">
        <v>45506</v>
      </c>
      <c r="F2526" t="inlineStr">
        <is>
          <t>Sold</t>
        </is>
      </c>
      <c r="G2526" s="6">
        <f>HYPERLINK("https://www.kleinanzeigen.de/s-anzeige/rrd-neopren-gr-l-wind-kite-wing-surf-wetsuit-3-4mm/2827110027-230-9360", "Link")</f>
        <v/>
      </c>
      <c r="H2526" s="6">
        <f>HYPERLINK("C:\Projects\Kleinanzeigen-Scraper\offer_images\2827110027", "Link")</f>
        <v/>
      </c>
      <c r="I2526" t="inlineStr">
        <is>
          <t>Ben</t>
        </is>
      </c>
      <c r="J2526" s="6">
        <f>HYPERLINK("https://www.kleinanzeigen.de/s-bestandsliste.html?userId=13374726", "Link")</f>
        <v/>
      </c>
      <c r="K2526" s="7" t="n">
        <v>45549.57203703704</v>
      </c>
      <c r="L2526" s="3" t="inlineStr">
        <is>
          <t>42.73</t>
        </is>
      </c>
      <c r="M2526" t="inlineStr">
        <is>
          <t>Bonndorf</t>
        </is>
      </c>
    </row>
    <row r="2527">
      <c r="A2527" t="inlineStr">
        <is>
          <t>Simms Challenger Windblock Hoody L</t>
        </is>
      </c>
      <c r="B2527" s="4" t="n">
        <v>180</v>
      </c>
      <c r="C2527" t="inlineStr">
        <is>
          <t>VB</t>
        </is>
      </c>
      <c r="D2527" t="inlineStr">
        <is>
          <t>56269 Rheinland-Pfalz - Dierdorf</t>
        </is>
      </c>
      <c r="E2527" s="5" t="n">
        <v>45221</v>
      </c>
      <c r="F2527" t="inlineStr"/>
      <c r="G2527" s="6">
        <f>HYPERLINK("https://www.kleinanzeigen.de/s-anzeige/simms-challenger-windblock-hoody-l/2580613333-230-19438", "Link")</f>
        <v/>
      </c>
      <c r="H2527" s="6">
        <f>HYPERLINK("C:\Projects\Kleinanzeigen-Scraper\offer_images\2580613333", "Link")</f>
        <v/>
      </c>
      <c r="I2527" t="inlineStr">
        <is>
          <t>Sergei Kurash</t>
        </is>
      </c>
      <c r="J2527" s="6">
        <f>HYPERLINK("https://www.kleinanzeigen.de/s-bestandsliste.html?userId=121500478", "Link")</f>
        <v/>
      </c>
      <c r="K2527" s="7" t="n">
        <v>45549.57197916666</v>
      </c>
      <c r="L2527" s="3" t="inlineStr">
        <is>
          <t>67.03</t>
        </is>
      </c>
      <c r="M2527" t="inlineStr">
        <is>
          <t>Köln</t>
        </is>
      </c>
    </row>
    <row r="2528">
      <c r="A2528" t="inlineStr">
        <is>
          <t>Starboard Enduro-L Tiki Tech Paddle SUP</t>
        </is>
      </c>
      <c r="B2528" s="4" t="n">
        <v>175</v>
      </c>
      <c r="C2528" t="inlineStr">
        <is>
          <t>VB</t>
        </is>
      </c>
      <c r="D2528" t="inlineStr">
        <is>
          <t>91186 Bayern - Büchenbach</t>
        </is>
      </c>
      <c r="E2528" s="5" t="n">
        <v>45546</v>
      </c>
      <c r="F2528" t="inlineStr"/>
      <c r="G2528" s="6">
        <f>HYPERLINK("https://www.kleinanzeigen.de/s-anzeige/starboard-enduro-l-tiki-tech-paddle-sup/2860063469-230-5628", "Link")</f>
        <v/>
      </c>
      <c r="H2528" s="6">
        <f>HYPERLINK("C:\Projects\Kleinanzeigen-Scraper\offer_images\2860063469", "Link")</f>
        <v/>
      </c>
      <c r="I2528" t="inlineStr">
        <is>
          <t>Dominik</t>
        </is>
      </c>
      <c r="J2528" s="6">
        <f>HYPERLINK("https://www.kleinanzeigen.de/s-bestandsliste.html?userId=19298420", "Link")</f>
        <v/>
      </c>
      <c r="K2528" s="7" t="n">
        <v>45549.57197916666</v>
      </c>
      <c r="L2528" s="3" t="inlineStr">
        <is>
          <t>131.12</t>
        </is>
      </c>
      <c r="M2528" t="inlineStr">
        <is>
          <t>München</t>
        </is>
      </c>
    </row>
    <row r="2529">
      <c r="A2529" t="inlineStr">
        <is>
          <t>2x Kites North Duotone Vegas Hadlow 9qm + Switch Combat 11qm +Bar</t>
        </is>
      </c>
      <c r="B2529" s="4" t="n">
        <v>250</v>
      </c>
      <c r="C2529" t="inlineStr">
        <is>
          <t>VB</t>
        </is>
      </c>
      <c r="D2529" t="inlineStr">
        <is>
          <t>21075 Harburg - Hamburg Heimfeld</t>
        </is>
      </c>
      <c r="E2529" s="5" t="n">
        <v>45546</v>
      </c>
      <c r="F2529" t="inlineStr">
        <is>
          <t>Sold</t>
        </is>
      </c>
      <c r="G2529" s="6">
        <f>HYPERLINK("https://www.kleinanzeigen.de/s-anzeige/2x-kites-north-duotone-vegas-hadlow-9qm-switch-combat-11qm-bar/2860231857-230-16405", "Link")</f>
        <v/>
      </c>
      <c r="H2529" s="6">
        <f>HYPERLINK("C:\Projects\Kleinanzeigen-Scraper\offer_images\2860231857", "Link")</f>
        <v/>
      </c>
      <c r="I2529" t="inlineStr">
        <is>
          <t>Hartmann</t>
        </is>
      </c>
      <c r="J2529" s="6">
        <f>HYPERLINK("https://www.kleinanzeigen.de/s-bestandsliste.html?userId=17377406", "Link")</f>
        <v/>
      </c>
      <c r="K2529" s="7" t="n">
        <v>45549.57197916666</v>
      </c>
      <c r="L2529" s="3" t="inlineStr">
        <is>
          <t>345.92</t>
        </is>
      </c>
      <c r="M2529" t="inlineStr">
        <is>
          <t>Köln</t>
        </is>
      </c>
    </row>
    <row r="2530">
      <c r="A2530" t="inlineStr">
        <is>
          <t>Naish Wing Surfer MK4 5.0m2 Grey, Neu &amp; OVP</t>
        </is>
      </c>
      <c r="B2530" s="4" t="n">
        <v>459</v>
      </c>
      <c r="C2530" t="inlineStr"/>
      <c r="D2530" t="inlineStr">
        <is>
          <t>23775 Kreis Ostholstein - Großenbrode</t>
        </is>
      </c>
      <c r="E2530" s="5" t="n">
        <v>45539</v>
      </c>
      <c r="F2530" t="inlineStr">
        <is>
          <t>Sold</t>
        </is>
      </c>
      <c r="G2530" s="6">
        <f>HYPERLINK("https://www.kleinanzeigen.de/s-anzeige/naish-wing-surfer-mk4-5-0m2-grey-neu-ovp/2854412437-230-429", "Link")</f>
        <v/>
      </c>
      <c r="H2530" s="6">
        <f>HYPERLINK("C:\Projects\Kleinanzeigen-Scraper\offer_images\2854412437", "Link")</f>
        <v/>
      </c>
      <c r="I2530" t="inlineStr">
        <is>
          <t>Tobias Michelsen</t>
        </is>
      </c>
      <c r="J2530" s="6">
        <f>HYPERLINK("https://www.kleinanzeigen.de/s-bestandsliste.html?userId=47501726", "Link")</f>
        <v/>
      </c>
      <c r="K2530" s="7" t="n">
        <v>45549.57195601852</v>
      </c>
      <c r="L2530" s="3" t="inlineStr">
        <is>
          <t>471.97</t>
        </is>
      </c>
      <c r="M2530" t="inlineStr">
        <is>
          <t>Köln</t>
        </is>
      </c>
    </row>
    <row r="2531">
      <c r="A2531" t="inlineStr">
        <is>
          <t>Mehano 17859 American Hobby 2 x BOX CAR 50' Northern Pacific LED</t>
        </is>
      </c>
      <c r="B2531" s="4" t="n">
        <v>25</v>
      </c>
      <c r="C2531" t="inlineStr"/>
      <c r="D2531" t="inlineStr">
        <is>
          <t>06712 Sachsen-Anhalt - Zeitz</t>
        </is>
      </c>
      <c r="E2531" s="5" t="n">
        <v>45547</v>
      </c>
      <c r="F2531" t="inlineStr">
        <is>
          <t>Sold</t>
        </is>
      </c>
      <c r="G2531" s="6">
        <f>HYPERLINK("https://www.kleinanzeigen.de/s-anzeige/mehano-17859-american-hobby-2-x-box-car-50-northern-pacific-led/2861662477-249-2324", "Link")</f>
        <v/>
      </c>
      <c r="H2531" s="6">
        <f>HYPERLINK("C:\Projects\Kleinanzeigen-Scraper\offer_images\2861662477", "Link")</f>
        <v/>
      </c>
      <c r="I2531" t="inlineStr">
        <is>
          <t>Privarer Anbieter Gerry</t>
        </is>
      </c>
      <c r="J2531" s="6">
        <f>HYPERLINK("https://www.kleinanzeigen.de/s-bestandsliste.html?userId=15332467", "Link")</f>
        <v/>
      </c>
      <c r="K2531" s="7" t="n">
        <v>45549.57195601852</v>
      </c>
      <c r="L2531" s="3" t="inlineStr">
        <is>
          <t>323.19</t>
        </is>
      </c>
      <c r="M2531" t="inlineStr">
        <is>
          <t>München</t>
        </is>
      </c>
    </row>
    <row r="2532">
      <c r="A2532" t="inlineStr">
        <is>
          <t>North Kite Bar Navigator in S aus 2024</t>
        </is>
      </c>
      <c r="B2532" s="4" t="n">
        <v>325</v>
      </c>
      <c r="C2532" t="inlineStr"/>
      <c r="D2532" t="inlineStr">
        <is>
          <t>25792 Schleswig-Holstein - Neuenkirchen</t>
        </is>
      </c>
      <c r="E2532" s="5" t="n">
        <v>45538</v>
      </c>
      <c r="F2532" t="inlineStr">
        <is>
          <t>Sold</t>
        </is>
      </c>
      <c r="G2532" s="6">
        <f>HYPERLINK("https://www.kleinanzeigen.de/s-anzeige/north-kite-bar-navigator-in-s-aus-2024/2853019245-230-12618", "Link")</f>
        <v/>
      </c>
      <c r="H2532" s="6">
        <f>HYPERLINK("C:\Projects\Kleinanzeigen-Scraper\offer_images\2853019245", "Link")</f>
        <v/>
      </c>
      <c r="I2532" t="inlineStr">
        <is>
          <t>Arne</t>
        </is>
      </c>
      <c r="J2532" s="6">
        <f>HYPERLINK("https://www.kleinanzeigen.de/s-bestandsliste.html?userId=31115458", "Link")</f>
        <v/>
      </c>
      <c r="K2532" s="7" t="n">
        <v>45549.57195601852</v>
      </c>
      <c r="L2532" s="3" t="inlineStr">
        <is>
          <t>392.08</t>
        </is>
      </c>
      <c r="M2532" t="inlineStr">
        <is>
          <t>Köln</t>
        </is>
      </c>
    </row>
    <row r="2533">
      <c r="A2533" t="inlineStr">
        <is>
          <t>Naish Kite Bars 5 Leiner</t>
        </is>
      </c>
      <c r="B2533" s="4" t="n">
        <v>30</v>
      </c>
      <c r="C2533" t="inlineStr"/>
      <c r="D2533" t="inlineStr">
        <is>
          <t>12103 Berlin - Tempelhof</t>
        </is>
      </c>
      <c r="E2533" s="5" t="n">
        <v>45513</v>
      </c>
      <c r="F2533" t="inlineStr">
        <is>
          <t>Sold</t>
        </is>
      </c>
      <c r="G2533" s="6">
        <f>HYPERLINK("https://www.kleinanzeigen.de/s-anzeige/naish-kite-bars-5-leiner/2832559881-230-3405", "Link")</f>
        <v/>
      </c>
      <c r="H2533" s="6">
        <f>HYPERLINK("C:\Projects\Kleinanzeigen-Scraper\offer_images\2832559881", "Link")</f>
        <v/>
      </c>
      <c r="I2533" t="inlineStr">
        <is>
          <t>Michael</t>
        </is>
      </c>
      <c r="J2533" s="6">
        <f>HYPERLINK("https://www.kleinanzeigen.de/s-bestandsliste.html?userId=49728127", "Link")</f>
        <v/>
      </c>
      <c r="K2533" s="7" t="n">
        <v>45549.57195601852</v>
      </c>
      <c r="L2533" s="3" t="inlineStr">
        <is>
          <t>473.56</t>
        </is>
      </c>
      <c r="M2533" t="inlineStr">
        <is>
          <t>Köln</t>
        </is>
      </c>
    </row>
    <row r="2534">
      <c r="A2534" t="inlineStr">
        <is>
          <t>SUP Paddel von TABOU, NEU</t>
        </is>
      </c>
      <c r="B2534" s="4" t="n">
        <v>45</v>
      </c>
      <c r="C2534" t="inlineStr"/>
      <c r="D2534" t="inlineStr">
        <is>
          <t>80809 München - Schwabing-West</t>
        </is>
      </c>
      <c r="E2534" s="5" t="n">
        <v>45053</v>
      </c>
      <c r="F2534" t="inlineStr"/>
      <c r="G2534" s="6">
        <f>HYPERLINK("https://www.kleinanzeigen.de/s-anzeige/sup-paddel-von-tabou-neu/2435154356-230-16373", "Link")</f>
        <v/>
      </c>
      <c r="H2534" s="6">
        <f>HYPERLINK("C:\Projects\Kleinanzeigen-Scraper\offer_images\2435154356", "Link")</f>
        <v/>
      </c>
      <c r="I2534" t="inlineStr">
        <is>
          <t>AB</t>
        </is>
      </c>
      <c r="J2534" s="6">
        <f>HYPERLINK("https://www.kleinanzeigen.de/s-bestandsliste.html?userId=29961748", "Link")</f>
        <v/>
      </c>
      <c r="K2534" s="7" t="n">
        <v>45549.57195601852</v>
      </c>
      <c r="L2534" s="3" t="inlineStr">
        <is>
          <t>5.17</t>
        </is>
      </c>
      <c r="M2534" t="inlineStr">
        <is>
          <t>München</t>
        </is>
      </c>
    </row>
    <row r="2535">
      <c r="A2535" t="inlineStr">
        <is>
          <t>Goya Malkoffer mit Palette ca. 29 x 38 x 5 cm</t>
        </is>
      </c>
      <c r="B2535" s="4" t="n">
        <v>33</v>
      </c>
      <c r="C2535" t="inlineStr"/>
      <c r="D2535" t="inlineStr">
        <is>
          <t>47574 Nordrhein-Westfalen - Goch</t>
        </is>
      </c>
      <c r="E2535" s="5" t="n">
        <v>45448</v>
      </c>
      <c r="F2535" t="inlineStr"/>
      <c r="G2535" s="6">
        <f>HYPERLINK("https://www.kleinanzeigen.de/s-anzeige/goya-malkoffer-mit-palette-ca-29-x-38-x-5-cm/2780498057-282-1147", "Link")</f>
        <v/>
      </c>
      <c r="H2535" s="6">
        <f>HYPERLINK("C:\Projects\Kleinanzeigen-Scraper\offer_images\2780498057", "Link")</f>
        <v/>
      </c>
      <c r="I2535" t="inlineStr">
        <is>
          <t>Privat</t>
        </is>
      </c>
      <c r="J2535" s="6">
        <f>HYPERLINK("https://www.kleinanzeigen.de/s-bestandsliste.html?userId=8220647", "Link")</f>
        <v/>
      </c>
      <c r="K2535" s="7" t="n">
        <v>45549.57193287037</v>
      </c>
      <c r="L2535" s="3" t="inlineStr">
        <is>
          <t>102.44</t>
        </is>
      </c>
      <c r="M2535" t="inlineStr">
        <is>
          <t>Köln</t>
        </is>
      </c>
    </row>
    <row r="2536">
      <c r="A2536" t="inlineStr">
        <is>
          <t>Watschuhe Simms Freestone, Filzsohle und Spikes, Größe 12 (43/44)</t>
        </is>
      </c>
      <c r="B2536" s="4" t="n">
        <v>79</v>
      </c>
      <c r="C2536" t="inlineStr">
        <is>
          <t>VB</t>
        </is>
      </c>
      <c r="D2536" t="inlineStr">
        <is>
          <t>24943 Schleswig-Holstein - Flensburg</t>
        </is>
      </c>
      <c r="E2536" s="5" t="n">
        <v>45543</v>
      </c>
      <c r="F2536" t="inlineStr">
        <is>
          <t>Sold</t>
        </is>
      </c>
      <c r="G2536" s="6">
        <f>HYPERLINK("https://www.kleinanzeigen.de/s-anzeige/watschuhe-simms-freestone-filzsohle-und-spikes-groesse-12-43-44-/2858092612-230-17392", "Link")</f>
        <v/>
      </c>
      <c r="H2536" s="6">
        <f>HYPERLINK("C:\Projects\Kleinanzeigen-Scraper\offer_images\2858092612", "Link")</f>
        <v/>
      </c>
      <c r="I2536" t="inlineStr">
        <is>
          <t>Torsten</t>
        </is>
      </c>
      <c r="J2536" s="6">
        <f>HYPERLINK("https://www.kleinanzeigen.de/s-bestandsliste.html?userId=132229792", "Link")</f>
        <v/>
      </c>
      <c r="K2536" s="7" t="n">
        <v>45549.57193287037</v>
      </c>
      <c r="L2536" s="3" t="inlineStr">
        <is>
          <t>459.78</t>
        </is>
      </c>
      <c r="M2536" t="inlineStr">
        <is>
          <t>Köln</t>
        </is>
      </c>
    </row>
    <row r="2537">
      <c r="A2537" t="inlineStr">
        <is>
          <t>Fanatic Diamond Air SUP 10.6</t>
        </is>
      </c>
      <c r="B2537" s="4" t="n">
        <v>299</v>
      </c>
      <c r="C2537" t="inlineStr"/>
      <c r="D2537" t="inlineStr">
        <is>
          <t>91785 Bayern - Pleinfeld</t>
        </is>
      </c>
      <c r="E2537" s="5" t="n">
        <v>45536</v>
      </c>
      <c r="F2537" t="inlineStr">
        <is>
          <t>Sold</t>
        </is>
      </c>
      <c r="G2537" s="6">
        <f>HYPERLINK("https://www.kleinanzeigen.de/s-anzeige/fanatic-diamond-air-sup-10-6/2851169827-230-5863", "Link")</f>
        <v/>
      </c>
      <c r="H2537" s="6">
        <f>HYPERLINK("C:\Projects\Kleinanzeigen-Scraper\offer_images\2851169827", "Link")</f>
        <v/>
      </c>
      <c r="I2537" t="inlineStr">
        <is>
          <t>RS</t>
        </is>
      </c>
      <c r="J2537" s="6">
        <f>HYPERLINK("https://www.kleinanzeigen.de/s-bestandsliste.html?userId=2453505", "Link")</f>
        <v/>
      </c>
      <c r="K2537" s="7" t="n">
        <v>45549.57193287037</v>
      </c>
      <c r="L2537" s="3" t="inlineStr">
        <is>
          <t>116.79</t>
        </is>
      </c>
      <c r="M2537" t="inlineStr">
        <is>
          <t>München</t>
        </is>
      </c>
    </row>
    <row r="2538">
      <c r="A2538" t="inlineStr">
        <is>
          <t>Wie NEU - Naish 7 qm Dash S25</t>
        </is>
      </c>
      <c r="B2538" s="4" t="n">
        <v>540</v>
      </c>
      <c r="C2538" t="inlineStr"/>
      <c r="D2538" t="inlineStr">
        <is>
          <t>81377 München - Hadern</t>
        </is>
      </c>
      <c r="E2538" s="5" t="n">
        <v>45510</v>
      </c>
      <c r="F2538" t="inlineStr"/>
      <c r="G2538" s="6">
        <f>HYPERLINK("https://www.kleinanzeigen.de/s-anzeige/wie-neu-naish-7-qm-dash-s25/2830623873-230-6413", "Link")</f>
        <v/>
      </c>
      <c r="H2538" s="6">
        <f>HYPERLINK("C:\Projects\Kleinanzeigen-Scraper\offer_images\2830623873", "Link")</f>
        <v/>
      </c>
      <c r="I2538" t="inlineStr">
        <is>
          <t>Paul A.</t>
        </is>
      </c>
      <c r="J2538" s="6">
        <f>HYPERLINK("https://www.kleinanzeigen.de/s-bestandsliste.html?userId=55339396", "Link")</f>
        <v/>
      </c>
      <c r="K2538" s="7" t="n">
        <v>45549.57193287037</v>
      </c>
      <c r="L2538" s="3" t="inlineStr">
        <is>
          <t>7.24</t>
        </is>
      </c>
      <c r="M2538" t="inlineStr">
        <is>
          <t>München</t>
        </is>
      </c>
    </row>
    <row r="2539">
      <c r="A2539" t="inlineStr">
        <is>
          <t>Snowboard K2 Vandal 145 W</t>
        </is>
      </c>
      <c r="B2539" s="4" t="n">
        <v>80</v>
      </c>
      <c r="C2539" t="inlineStr"/>
      <c r="D2539" t="inlineStr">
        <is>
          <t>85653 Kr. München - Aying</t>
        </is>
      </c>
      <c r="E2539" s="5" t="n">
        <v>45442</v>
      </c>
      <c r="F2539" t="inlineStr">
        <is>
          <t>Sold</t>
        </is>
      </c>
      <c r="G2539" s="6">
        <f>HYPERLINK("https://www.kleinanzeigen.de/s-anzeige/snowboard-k2-vandal-145-w/2775452962-230-6197", "Link")</f>
        <v/>
      </c>
      <c r="H2539" s="6">
        <f>HYPERLINK("C:\Projects\Kleinanzeigen-Scraper\offer_images\2775452962", "Link")</f>
        <v/>
      </c>
      <c r="I2539" t="inlineStr">
        <is>
          <t>Julia J.</t>
        </is>
      </c>
      <c r="J2539" s="6">
        <f>HYPERLINK("https://www.kleinanzeigen.de/s-bestandsliste.html?userId=38515553", "Link")</f>
        <v/>
      </c>
      <c r="K2539" s="7" t="n">
        <v>45549.57192129629</v>
      </c>
      <c r="L2539" s="3" t="inlineStr">
        <is>
          <t>23.26</t>
        </is>
      </c>
      <c r="M2539" t="inlineStr">
        <is>
          <t>München</t>
        </is>
      </c>
    </row>
    <row r="2540">
      <c r="A2540" t="inlineStr">
        <is>
          <t>NORTH Sonar Foil Wingen Set Alu Hydrofoil Carbon.</t>
        </is>
      </c>
      <c r="B2540" s="4" t="n">
        <v>540</v>
      </c>
      <c r="C2540" t="inlineStr">
        <is>
          <t>VB</t>
        </is>
      </c>
      <c r="D2540" t="inlineStr">
        <is>
          <t>58300 Nordrhein-Westfalen - Wetter (Ruhr)</t>
        </is>
      </c>
      <c r="E2540" s="5" t="n">
        <v>45540</v>
      </c>
      <c r="F2540" t="inlineStr">
        <is>
          <t>Sold</t>
        </is>
      </c>
      <c r="G2540" s="6">
        <f>HYPERLINK("https://www.kleinanzeigen.de/s-anzeige/north-sonar-foil-wingen-set-alu-hydrofoil-carbon-/2855186435-230-1418", "Link")</f>
        <v/>
      </c>
      <c r="H2540" s="6">
        <f>HYPERLINK("C:\Projects\Kleinanzeigen-Scraper\offer_images\2855186435", "Link")</f>
        <v/>
      </c>
      <c r="I2540" t="inlineStr">
        <is>
          <t>Patrick Messingfeld</t>
        </is>
      </c>
      <c r="J2540" s="6">
        <f>HYPERLINK("https://www.kleinanzeigen.de/s-bestandsliste.html?userId=74153005", "Link")</f>
        <v/>
      </c>
      <c r="K2540" s="7" t="n">
        <v>45549.57190972222</v>
      </c>
      <c r="L2540" s="3" t="inlineStr">
        <is>
          <t>56.63</t>
        </is>
      </c>
      <c r="M2540" t="inlineStr">
        <is>
          <t>Köln</t>
        </is>
      </c>
    </row>
    <row r="2541">
      <c r="A2541" t="inlineStr">
        <is>
          <t>SUP Starboard Touring ZEN SC (12.6 x 30 x 6)</t>
        </is>
      </c>
      <c r="B2541" s="4" t="n">
        <v>499</v>
      </c>
      <c r="C2541" t="inlineStr">
        <is>
          <t>VB</t>
        </is>
      </c>
      <c r="D2541" t="inlineStr">
        <is>
          <t>42499 Nordrhein-Westfalen - Hückeswagen</t>
        </is>
      </c>
      <c r="E2541" s="5" t="n">
        <v>45519</v>
      </c>
      <c r="F2541" t="inlineStr"/>
      <c r="G2541" s="6">
        <f>HYPERLINK("https://www.kleinanzeigen.de/s-anzeige/sup-starboard-touring-zen-sc-12-6-x-30-x-6-/2837307341-230-1550", "Link")</f>
        <v/>
      </c>
      <c r="H2541" s="6">
        <f>HYPERLINK("C:\Projects\Kleinanzeigen-Scraper\offer_images\2837307341", "Link")</f>
        <v/>
      </c>
      <c r="I2541" t="inlineStr">
        <is>
          <t>Frank Noack</t>
        </is>
      </c>
      <c r="J2541" s="6">
        <f>HYPERLINK("https://www.kleinanzeigen.de/s-bestandsliste.html?userId=89866219", "Link")</f>
        <v/>
      </c>
      <c r="K2541" s="7" t="n">
        <v>45549.57190972222</v>
      </c>
      <c r="L2541" s="3" t="inlineStr">
        <is>
          <t>35.16</t>
        </is>
      </c>
      <c r="M2541" t="inlineStr">
        <is>
          <t>Köln</t>
        </is>
      </c>
    </row>
    <row r="2542">
      <c r="A2542" t="inlineStr">
        <is>
          <t>Duotone Neo SLS 2023 10qm</t>
        </is>
      </c>
      <c r="B2542" s="4" t="n">
        <v>1</v>
      </c>
      <c r="C2542" t="inlineStr">
        <is>
          <t>VB</t>
        </is>
      </c>
      <c r="D2542" t="inlineStr">
        <is>
          <t>21423 Niedersachsen - Winsen (Luhe)</t>
        </is>
      </c>
      <c r="E2542" s="5" t="n">
        <v>45546</v>
      </c>
      <c r="F2542" t="inlineStr">
        <is>
          <t>Sold</t>
        </is>
      </c>
      <c r="G2542" s="6">
        <f>HYPERLINK("https://www.kleinanzeigen.de/s-anzeige/duotone-neo-sls-2023-10qm/2761608011-230-3223", "Link")</f>
        <v/>
      </c>
      <c r="H2542" s="6">
        <f>HYPERLINK("C:\Projects\Kleinanzeigen-Scraper\offer_images\2761608011", "Link")</f>
        <v/>
      </c>
      <c r="I2542" t="inlineStr">
        <is>
          <t>No user name</t>
        </is>
      </c>
      <c r="J2542" s="6">
        <f>HYPERLINK("https://www.kleinanzeigen.deNo user link", "Link")</f>
        <v/>
      </c>
      <c r="K2542" s="7" t="n">
        <v>45549.57190972222</v>
      </c>
      <c r="L2542" s="3" t="inlineStr">
        <is>
          <t>349.14</t>
        </is>
      </c>
      <c r="M2542" t="inlineStr">
        <is>
          <t>Köln</t>
        </is>
      </c>
    </row>
    <row r="2543">
      <c r="A2543" t="inlineStr">
        <is>
          <t>The North Face Gore- Tex Pants Ladies</t>
        </is>
      </c>
      <c r="B2543" s="4" t="n">
        <v>120</v>
      </c>
      <c r="C2543" t="inlineStr">
        <is>
          <t>VB</t>
        </is>
      </c>
      <c r="D2543" t="inlineStr">
        <is>
          <t>47533 Nordrhein-Westfalen - Kleve</t>
        </is>
      </c>
      <c r="E2543" s="5" t="n">
        <v>45549</v>
      </c>
      <c r="F2543" t="inlineStr">
        <is>
          <t>Sold</t>
        </is>
      </c>
      <c r="G2543" s="6">
        <f>HYPERLINK("https://www.kleinanzeigen.de/s-anzeige/the-north-face-gore-tex-pants-ladies/2862995931-230-1125", "Link")</f>
        <v/>
      </c>
      <c r="H2543" s="6">
        <f>HYPERLINK("C:\Projects\Kleinanzeigen-Scraper\offer_images\2862995931", "Link")</f>
        <v/>
      </c>
      <c r="I2543" t="inlineStr">
        <is>
          <t>wessel van der donk</t>
        </is>
      </c>
      <c r="J2543" s="6">
        <f>HYPERLINK("https://www.kleinanzeigen.de/s-bestandsliste.html?userId=76327916", "Link")</f>
        <v/>
      </c>
      <c r="K2543" s="7" t="n">
        <v>45549.57189814815</v>
      </c>
      <c r="L2543" s="3" t="inlineStr">
        <is>
          <t>112.50</t>
        </is>
      </c>
      <c r="M2543" t="inlineStr">
        <is>
          <t>Köln</t>
        </is>
      </c>
    </row>
    <row r="2544">
      <c r="A2544" t="inlineStr">
        <is>
          <t>Watjacke Simms Freestone, kaum getragen Gröse L</t>
        </is>
      </c>
      <c r="B2544" s="4" t="n">
        <v>185</v>
      </c>
      <c r="C2544" t="inlineStr">
        <is>
          <t>VB</t>
        </is>
      </c>
      <c r="D2544" t="inlineStr">
        <is>
          <t>37345 Am Ohmberg - Bischofferode</t>
        </is>
      </c>
      <c r="E2544" s="5" t="n">
        <v>45524</v>
      </c>
      <c r="F2544" t="inlineStr"/>
      <c r="G2544" s="6">
        <f>HYPERLINK("https://www.kleinanzeigen.de/s-anzeige/watjacke-simms-freestone-kaum-getragen-groese-l/2841770462-230-19179", "Link")</f>
        <v/>
      </c>
      <c r="H2544" s="6">
        <f>HYPERLINK("C:\Projects\Kleinanzeigen-Scraper\offer_images\2841770462", "Link")</f>
        <v/>
      </c>
      <c r="I2544" t="inlineStr">
        <is>
          <t>Gunnar Glimm</t>
        </is>
      </c>
      <c r="J2544" s="6">
        <f>HYPERLINK("https://www.kleinanzeigen.de/s-bestandsliste.html?userId=30848165", "Link")</f>
        <v/>
      </c>
      <c r="K2544" s="7" t="n">
        <v>45549.57189814815</v>
      </c>
      <c r="L2544" s="3" t="inlineStr">
        <is>
          <t>250.78</t>
        </is>
      </c>
      <c r="M2544" t="inlineStr">
        <is>
          <t>Köln</t>
        </is>
      </c>
    </row>
    <row r="2545">
      <c r="A2545" t="inlineStr">
        <is>
          <t>Naish Pivot 10qm Kite Only</t>
        </is>
      </c>
      <c r="B2545" s="4" t="n">
        <v>650</v>
      </c>
      <c r="C2545" t="inlineStr"/>
      <c r="D2545" t="inlineStr">
        <is>
          <t>31515 Niedersachsen - Wunstorf</t>
        </is>
      </c>
      <c r="E2545" s="5" t="n">
        <v>45530</v>
      </c>
      <c r="F2545" t="inlineStr">
        <is>
          <t>Sold</t>
        </is>
      </c>
      <c r="G2545" s="6">
        <f>HYPERLINK("https://www.kleinanzeigen.de/s-anzeige/naish-pivot-10qm-kite-only/2846665687-230-2930", "Link")</f>
        <v/>
      </c>
      <c r="H2545" s="6">
        <f>HYPERLINK("C:\Projects\Kleinanzeigen-Scraper\offer_images\2846665687", "Link")</f>
        <v/>
      </c>
      <c r="I2545" t="inlineStr">
        <is>
          <t>Lukas</t>
        </is>
      </c>
      <c r="J2545" s="6">
        <f>HYPERLINK("https://www.kleinanzeigen.de/s-bestandsliste.html?userId=71821290", "Link")</f>
        <v/>
      </c>
      <c r="K2545" s="7" t="n">
        <v>45549.57189814815</v>
      </c>
      <c r="L2545" s="3" t="inlineStr">
        <is>
          <t>236.47</t>
        </is>
      </c>
      <c r="M2545" t="inlineStr">
        <is>
          <t>Köln</t>
        </is>
      </c>
    </row>
    <row r="2546">
      <c r="A2546" t="inlineStr">
        <is>
          <t>Neilpryde Steamer Neopren Kurzarm Anzug Gr. M  50 Windsurfen</t>
        </is>
      </c>
      <c r="B2546" s="4" t="n">
        <v>50</v>
      </c>
      <c r="C2546" t="inlineStr"/>
      <c r="D2546" t="inlineStr">
        <is>
          <t>85617 Bayern - Aßling</t>
        </is>
      </c>
      <c r="E2546" s="5" t="n">
        <v>45465</v>
      </c>
      <c r="F2546" t="inlineStr">
        <is>
          <t>Sold</t>
        </is>
      </c>
      <c r="G2546" s="6">
        <f>HYPERLINK("https://www.kleinanzeigen.de/s-anzeige/neilpryde-steamer-neopren-kurzarm-anzug-gr-m-50-windsurfen/2794248175-230-5901", "Link")</f>
        <v/>
      </c>
      <c r="H2546" s="6">
        <f>HYPERLINK("C:\Projects\Kleinanzeigen-Scraper\offer_images\2794248175", "Link")</f>
        <v/>
      </c>
      <c r="I2546" t="inlineStr">
        <is>
          <t>Philipp</t>
        </is>
      </c>
      <c r="J2546" s="6">
        <f>HYPERLINK("https://www.kleinanzeigen.de/s-bestandsliste.html?userId=11454471", "Link")</f>
        <v/>
      </c>
      <c r="K2546" s="7" t="n">
        <v>45549.57188657407</v>
      </c>
      <c r="L2546" s="3" t="inlineStr">
        <is>
          <t>35.91</t>
        </is>
      </c>
      <c r="M2546" t="inlineStr">
        <is>
          <t>München</t>
        </is>
      </c>
    </row>
    <row r="2547">
      <c r="A2547" t="inlineStr">
        <is>
          <t>Naish X4 14 qm Kite</t>
        </is>
      </c>
      <c r="B2547" s="4" t="n">
        <v>55</v>
      </c>
      <c r="C2547" t="inlineStr">
        <is>
          <t>VB</t>
        </is>
      </c>
      <c r="D2547" t="inlineStr">
        <is>
          <t>04315 Leipzig - Sellerhausen-Stünz</t>
        </is>
      </c>
      <c r="E2547" s="5" t="n">
        <v>45494</v>
      </c>
      <c r="F2547" t="inlineStr">
        <is>
          <t>Sold</t>
        </is>
      </c>
      <c r="G2547" s="6">
        <f>HYPERLINK("https://www.kleinanzeigen.de/s-anzeige/naish-x4-14-qm-kite/2817845805-230-4248", "Link")</f>
        <v/>
      </c>
      <c r="H2547" s="6">
        <f>HYPERLINK("C:\Projects\Kleinanzeigen-Scraper\offer_images\2817845805", "Link")</f>
        <v/>
      </c>
      <c r="I2547" t="inlineStr">
        <is>
          <t>Vehlow, Daniel</t>
        </is>
      </c>
      <c r="J2547" s="6">
        <f>HYPERLINK("https://www.kleinanzeigen.de/s-bestandsliste.html?userId=23008212", "Link")</f>
        <v/>
      </c>
      <c r="K2547" s="7" t="n">
        <v>45549.571875</v>
      </c>
      <c r="L2547" s="3" t="inlineStr">
        <is>
          <t>361.72</t>
        </is>
      </c>
      <c r="M2547" t="inlineStr">
        <is>
          <t>München</t>
        </is>
      </c>
    </row>
    <row r="2548">
      <c r="A2548" t="inlineStr">
        <is>
          <t>The North Face Polartec Damen Freizeitjacke  "" TOP Zustand ""</t>
        </is>
      </c>
      <c r="B2548" s="4" t="n">
        <v>28</v>
      </c>
      <c r="C2548" t="inlineStr"/>
      <c r="D2548" t="inlineStr">
        <is>
          <t>57555 Rheinland-Pfalz - Mudersbach</t>
        </is>
      </c>
      <c r="E2548" s="5" t="n">
        <v>45543</v>
      </c>
      <c r="F2548" t="inlineStr">
        <is>
          <t>Sold</t>
        </is>
      </c>
      <c r="G2548" s="6">
        <f>HYPERLINK("https://www.kleinanzeigen.de/s-anzeige/the-north-face-polartec-damen-freizeitjacke-top-zustand-/2857271247-230-1025", "Link")</f>
        <v/>
      </c>
      <c r="H2548" s="6">
        <f>HYPERLINK("C:\Projects\Kleinanzeigen-Scraper\offer_images\2857271247", "Link")</f>
        <v/>
      </c>
      <c r="I2548" t="inlineStr">
        <is>
          <t>KDS</t>
        </is>
      </c>
      <c r="J2548" s="6">
        <f>HYPERLINK("https://www.kleinanzeigen.de/s-bestandsliste.html?userId=9413104", "Link")</f>
        <v/>
      </c>
      <c r="K2548" s="7" t="n">
        <v>45549.571875</v>
      </c>
      <c r="L2548" s="3" t="inlineStr">
        <is>
          <t>70.55</t>
        </is>
      </c>
      <c r="M2548" t="inlineStr">
        <is>
          <t>Köln</t>
        </is>
      </c>
    </row>
    <row r="2549">
      <c r="A2549" t="inlineStr">
        <is>
          <t>Duotone Rebel SLS 13qm 2023</t>
        </is>
      </c>
      <c r="B2549" s="4" t="n">
        <v>1.2</v>
      </c>
      <c r="C2549" t="inlineStr">
        <is>
          <t>VB</t>
        </is>
      </c>
      <c r="D2549" t="inlineStr">
        <is>
          <t>21423 Niedersachsen - Winsen (Luhe)</t>
        </is>
      </c>
      <c r="E2549" s="5" t="n">
        <v>45548</v>
      </c>
      <c r="F2549" t="inlineStr">
        <is>
          <t>Sold</t>
        </is>
      </c>
      <c r="G2549" s="6">
        <f>HYPERLINK("https://www.kleinanzeigen.de/s-anzeige/duotone-rebel-sls-13qm-2023/2763169916-230-3223", "Link")</f>
        <v/>
      </c>
      <c r="H2549" s="6">
        <f>HYPERLINK("C:\Projects\Kleinanzeigen-Scraper\offer_images\2763169916", "Link")</f>
        <v/>
      </c>
      <c r="I2549" t="inlineStr">
        <is>
          <t>No user name</t>
        </is>
      </c>
      <c r="J2549" s="6">
        <f>HYPERLINK("https://www.kleinanzeigen.deNo user link", "Link")</f>
        <v/>
      </c>
      <c r="K2549" s="7" t="n">
        <v>45549.571875</v>
      </c>
      <c r="L2549" s="3" t="inlineStr">
        <is>
          <t>349.14</t>
        </is>
      </c>
      <c r="M2549" t="inlineStr">
        <is>
          <t>Köln</t>
        </is>
      </c>
    </row>
    <row r="2550">
      <c r="A2550" t="inlineStr">
        <is>
          <t>North Rebel 10m2 ( Jetzt Duotone)</t>
        </is>
      </c>
      <c r="B2550" s="4" t="n">
        <v>400</v>
      </c>
      <c r="C2550" t="inlineStr"/>
      <c r="D2550" t="inlineStr">
        <is>
          <t>26655 Niedersachsen - Westerstede</t>
        </is>
      </c>
      <c r="E2550" s="5" t="n">
        <v>45537</v>
      </c>
      <c r="F2550" t="inlineStr">
        <is>
          <t>Sold</t>
        </is>
      </c>
      <c r="G2550" s="6">
        <f>HYPERLINK("https://www.kleinanzeigen.de/s-anzeige/north-rebel-10m2-jetzt-duotone-/2852455238-230-2641", "Link")</f>
        <v/>
      </c>
      <c r="H2550" s="6">
        <f>HYPERLINK("C:\Projects\Kleinanzeigen-Scraper\offer_images\2852455238", "Link")</f>
        <v/>
      </c>
      <c r="I2550" t="inlineStr">
        <is>
          <t>Enrico</t>
        </is>
      </c>
      <c r="J2550" s="6">
        <f>HYPERLINK("https://www.kleinanzeigen.de/s-bestandsliste.html?userId=37855769", "Link")</f>
        <v/>
      </c>
      <c r="K2550" s="7" t="n">
        <v>45549.571875</v>
      </c>
      <c r="L2550" s="3" t="inlineStr">
        <is>
          <t>268.59</t>
        </is>
      </c>
      <c r="M2550" t="inlineStr">
        <is>
          <t>Köln</t>
        </is>
      </c>
    </row>
    <row r="2551">
      <c r="A2551" t="inlineStr">
        <is>
          <t>North Sails Trapez in Größe M in grau</t>
        </is>
      </c>
      <c r="B2551" s="4" t="n">
        <v>30</v>
      </c>
      <c r="C2551" t="inlineStr">
        <is>
          <t>VB</t>
        </is>
      </c>
      <c r="D2551" t="inlineStr">
        <is>
          <t>87463 Bayern - Dietmannsried</t>
        </is>
      </c>
      <c r="E2551" s="5" t="n">
        <v>45538</v>
      </c>
      <c r="F2551" t="inlineStr">
        <is>
          <t>Sold</t>
        </is>
      </c>
      <c r="G2551" s="6">
        <f>HYPERLINK("https://www.kleinanzeigen.de/s-anzeige/north-sails-trapez-in-groesse-m-in-grau/2853639996-230-7623", "Link")</f>
        <v/>
      </c>
      <c r="H2551" s="6">
        <f>HYPERLINK("C:\Projects\Kleinanzeigen-Scraper\offer_images\2853639996", "Link")</f>
        <v/>
      </c>
      <c r="I2551" t="inlineStr">
        <is>
          <t>Jasmin</t>
        </is>
      </c>
      <c r="J2551" s="6">
        <f>HYPERLINK("https://www.kleinanzeigen.de/s-bestandsliste.html?userId=17169396", "Link")</f>
        <v/>
      </c>
      <c r="K2551" s="7" t="n">
        <v>45549.57186342592</v>
      </c>
      <c r="L2551" s="3" t="inlineStr">
        <is>
          <t>102.25</t>
        </is>
      </c>
      <c r="M2551" t="inlineStr">
        <is>
          <t>München</t>
        </is>
      </c>
    </row>
    <row r="2552">
      <c r="A2552" t="inlineStr">
        <is>
          <t>THE NORTH FACE Laufweste Summit Series</t>
        </is>
      </c>
      <c r="B2552" s="4" t="n">
        <v>80</v>
      </c>
      <c r="C2552" t="inlineStr"/>
      <c r="D2552" t="inlineStr">
        <is>
          <t>66459 Saarland - Kirkel</t>
        </is>
      </c>
      <c r="E2552" s="5" t="n">
        <v>45543</v>
      </c>
      <c r="F2552" t="inlineStr">
        <is>
          <t>Sold</t>
        </is>
      </c>
      <c r="G2552" s="6">
        <f>HYPERLINK("https://www.kleinanzeigen.de/s-anzeige/the-north-face-laufweste-summit-series/2857136684-230-299", "Link")</f>
        <v/>
      </c>
      <c r="H2552" s="6">
        <f>HYPERLINK("C:\Projects\Kleinanzeigen-Scraper\offer_images\2857136684", "Link")</f>
        <v/>
      </c>
      <c r="I2552" t="inlineStr">
        <is>
          <t>Markus Kiefer</t>
        </is>
      </c>
      <c r="J2552" s="6">
        <f>HYPERLINK("https://www.kleinanzeigen.de/s-bestandsliste.html?userId=56213831", "Link")</f>
        <v/>
      </c>
      <c r="K2552" s="7" t="n">
        <v>45549.57186342592</v>
      </c>
      <c r="L2552" s="3" t="inlineStr">
        <is>
          <t>88.82</t>
        </is>
      </c>
      <c r="M2552" t="inlineStr">
        <is>
          <t>Karlsruhe</t>
        </is>
      </c>
    </row>
    <row r="2553">
      <c r="A2553" t="inlineStr">
        <is>
          <t>Kiteboard Bindung Pads und Straps von North</t>
        </is>
      </c>
      <c r="B2553" s="4" t="n">
        <v>50</v>
      </c>
      <c r="C2553" t="inlineStr"/>
      <c r="D2553" t="inlineStr">
        <is>
          <t>69120 Baden-Württemberg - Heidelberg</t>
        </is>
      </c>
      <c r="E2553" s="5" t="n">
        <v>45537</v>
      </c>
      <c r="F2553" t="inlineStr">
        <is>
          <t>Sold</t>
        </is>
      </c>
      <c r="G2553" s="6">
        <f>HYPERLINK("https://www.kleinanzeigen.de/s-anzeige/kiteboard-bindung-pads-und-straps-von-north/2852187344-230-9179", "Link")</f>
        <v/>
      </c>
      <c r="H2553" s="6">
        <f>HYPERLINK("C:\Projects\Kleinanzeigen-Scraper\offer_images\2852187344", "Link")</f>
        <v/>
      </c>
      <c r="I2553" t="inlineStr">
        <is>
          <t>René</t>
        </is>
      </c>
      <c r="J2553" s="6">
        <f>HYPERLINK("https://www.kleinanzeigen.de/s-bestandsliste.html?userId=5554909", "Link")</f>
        <v/>
      </c>
      <c r="K2553" s="7" t="n">
        <v>45549.57185185186</v>
      </c>
      <c r="L2553" s="3" t="inlineStr">
        <is>
          <t>49.91</t>
        </is>
      </c>
      <c r="M2553" t="inlineStr">
        <is>
          <t>Karlsruhe</t>
        </is>
      </c>
    </row>
    <row r="2554">
      <c r="A2554" t="inlineStr">
        <is>
          <t>Schöner Top Kite Duotone 2019/20  EVO 12 qm mit Bag Leichwind</t>
        </is>
      </c>
      <c r="B2554" s="4" t="n">
        <v>425</v>
      </c>
      <c r="C2554" t="inlineStr">
        <is>
          <t>VB</t>
        </is>
      </c>
      <c r="D2554" t="inlineStr">
        <is>
          <t>01445 Sachsen - Radebeul</t>
        </is>
      </c>
      <c r="E2554" s="5" t="n">
        <v>45548</v>
      </c>
      <c r="F2554" t="inlineStr">
        <is>
          <t>Sold</t>
        </is>
      </c>
      <c r="G2554" s="6">
        <f>HYPERLINK("https://www.kleinanzeigen.de/s-anzeige/schoener-top-kite-duotone-2019-20-evo-12-qm-mit-bag-leichwind/2862351738-230-4057", "Link")</f>
        <v/>
      </c>
      <c r="H2554" s="6">
        <f>HYPERLINK("C:\Projects\Kleinanzeigen-Scraper\offer_images\2862351738", "Link")</f>
        <v/>
      </c>
      <c r="I2554" t="inlineStr">
        <is>
          <t>D. GRUND</t>
        </is>
      </c>
      <c r="J2554" s="6">
        <f>HYPERLINK("https://www.kleinanzeigen.de/s-bestandsliste.html?userId=135298129", "Link")</f>
        <v/>
      </c>
      <c r="K2554" s="7" t="n">
        <v>45549.57185185186</v>
      </c>
      <c r="L2554" s="3" t="inlineStr">
        <is>
          <t>362.87</t>
        </is>
      </c>
      <c r="M2554" t="inlineStr">
        <is>
          <t>München</t>
        </is>
      </c>
    </row>
    <row r="2555">
      <c r="A2555" t="inlineStr">
        <is>
          <t>Simms Fjord Pant Hose, grau XXL Thermoschutz</t>
        </is>
      </c>
      <c r="B2555" s="4" t="n">
        <v>100</v>
      </c>
      <c r="C2555" t="inlineStr"/>
      <c r="D2555" t="inlineStr">
        <is>
          <t>45892 Nordrhein-Westfalen - Gelsenkirchen</t>
        </is>
      </c>
      <c r="E2555" s="5" t="n">
        <v>45475</v>
      </c>
      <c r="F2555" t="inlineStr"/>
      <c r="G2555" s="6">
        <f>HYPERLINK("https://www.kleinanzeigen.de/s-anzeige/simms-fjord-pant-hose-grau-xxl-thermoschutz/2802454977-230-1011", "Link")</f>
        <v/>
      </c>
      <c r="H2555" s="6">
        <f>HYPERLINK("C:\Projects\Kleinanzeigen-Scraper\offer_images\2802454977", "Link")</f>
        <v/>
      </c>
      <c r="I2555" t="inlineStr">
        <is>
          <t>M.N.</t>
        </is>
      </c>
      <c r="J2555" s="6">
        <f>HYPERLINK("https://www.kleinanzeigen.de/s-bestandsliste.html?userId=40899356", "Link")</f>
        <v/>
      </c>
      <c r="K2555" s="7" t="n">
        <v>45549.57185185186</v>
      </c>
      <c r="L2555" s="3" t="inlineStr">
        <is>
          <t>70.87</t>
        </is>
      </c>
      <c r="M2555" t="inlineStr">
        <is>
          <t>Köln</t>
        </is>
      </c>
    </row>
    <row r="2556">
      <c r="A2556" t="inlineStr">
        <is>
          <t>Duotone / Fanatic Fuselage Carbon 68 680</t>
        </is>
      </c>
      <c r="B2556" s="4" t="n">
        <v>219</v>
      </c>
      <c r="C2556" t="inlineStr"/>
      <c r="D2556" t="inlineStr">
        <is>
          <t>85080 Bayern - Gaimersheim</t>
        </is>
      </c>
      <c r="E2556" s="5" t="n">
        <v>45543</v>
      </c>
      <c r="F2556" t="inlineStr">
        <is>
          <t>Sold</t>
        </is>
      </c>
      <c r="G2556" s="6">
        <f>HYPERLINK("https://www.kleinanzeigen.de/s-anzeige/duotone-fanatic-fuselage-carbon-68-680/2857041707-230-7607", "Link")</f>
        <v/>
      </c>
      <c r="H2556" s="6">
        <f>HYPERLINK("C:\Projects\Kleinanzeigen-Scraper\offer_images\2857041707", "Link")</f>
        <v/>
      </c>
      <c r="I2556" t="inlineStr">
        <is>
          <t>Florian</t>
        </is>
      </c>
      <c r="J2556" s="6">
        <f>HYPERLINK("https://www.kleinanzeigen.de/s-bestandsliste.html?userId=19610498", "Link")</f>
        <v/>
      </c>
      <c r="K2556" s="7" t="n">
        <v>45549.57185185186</v>
      </c>
      <c r="L2556" s="3" t="inlineStr">
        <is>
          <t>77.03</t>
        </is>
      </c>
      <c r="M2556" t="inlineStr">
        <is>
          <t>München</t>
        </is>
      </c>
    </row>
    <row r="2557">
      <c r="A2557" t="inlineStr">
        <is>
          <t>SUP Diamond Fanatic Air 213 L 9'8" 294,6 cm</t>
        </is>
      </c>
      <c r="B2557" s="4" t="n">
        <v>490</v>
      </c>
      <c r="C2557" t="inlineStr">
        <is>
          <t>VB</t>
        </is>
      </c>
      <c r="D2557" t="inlineStr">
        <is>
          <t>22880 Kreis Pinneberg - Wedel</t>
        </is>
      </c>
      <c r="E2557" s="5" t="n">
        <v>45543</v>
      </c>
      <c r="F2557" t="inlineStr">
        <is>
          <t>Sold</t>
        </is>
      </c>
      <c r="G2557" s="6">
        <f>HYPERLINK("https://www.kleinanzeigen.de/s-anzeige/sup-diamond-fanatic-air-213-l-9-8-294-6-cm/2857398418-230-756", "Link")</f>
        <v/>
      </c>
      <c r="H2557" s="6">
        <f>HYPERLINK("C:\Projects\Kleinanzeigen-Scraper\offer_images\2857398418", "Link")</f>
        <v/>
      </c>
      <c r="I2557" t="inlineStr">
        <is>
          <t>Anne</t>
        </is>
      </c>
      <c r="J2557" s="6">
        <f>HYPERLINK("https://www.kleinanzeigen.de/s-bestandsliste.html?userId=3448835", "Link")</f>
        <v/>
      </c>
      <c r="K2557" s="7" t="n">
        <v>45549.57185185186</v>
      </c>
      <c r="L2557" s="3" t="inlineStr">
        <is>
          <t>349.30</t>
        </is>
      </c>
      <c r="M2557" t="inlineStr">
        <is>
          <t>Köln</t>
        </is>
      </c>
    </row>
    <row r="2558">
      <c r="A2558" t="inlineStr">
        <is>
          <t>surfanzug herren 44 herren nws north wetsuit herren</t>
        </is>
      </c>
      <c r="B2558" s="4" t="n">
        <v>50</v>
      </c>
      <c r="C2558" t="inlineStr">
        <is>
          <t>VB</t>
        </is>
      </c>
      <c r="D2558" t="inlineStr">
        <is>
          <t>10179 Berlin - Mitte</t>
        </is>
      </c>
      <c r="E2558" s="5" t="n">
        <v>45543</v>
      </c>
      <c r="F2558" t="inlineStr">
        <is>
          <t>Sold</t>
        </is>
      </c>
      <c r="G2558" s="6">
        <f>HYPERLINK("https://www.kleinanzeigen.de/s-anzeige/surfanzug-herren-44-herren-nws-north-wetsuit-herren/2857629114-230-3521", "Link")</f>
        <v/>
      </c>
      <c r="H2558" s="6">
        <f>HYPERLINK("C:\Projects\Kleinanzeigen-Scraper\offer_images\2857629114", "Link")</f>
        <v/>
      </c>
      <c r="I2558" t="inlineStr">
        <is>
          <t>Gracious</t>
        </is>
      </c>
      <c r="J2558" s="6">
        <f>HYPERLINK("https://www.kleinanzeigen.de/s-bestandsliste.html?userId=8930337", "Link")</f>
        <v/>
      </c>
      <c r="K2558" s="7" t="n">
        <v>45549.57184027778</v>
      </c>
      <c r="L2558" s="3" t="inlineStr">
        <is>
          <t>477.91</t>
        </is>
      </c>
      <c r="M2558" t="inlineStr">
        <is>
          <t>Köln</t>
        </is>
      </c>
    </row>
    <row r="2559">
      <c r="A2559" t="inlineStr">
        <is>
          <t>Naish Torch 7qm Kite</t>
        </is>
      </c>
      <c r="B2559" s="4" t="n">
        <v>180</v>
      </c>
      <c r="C2559" t="inlineStr"/>
      <c r="D2559" t="inlineStr">
        <is>
          <t>80336 München - Ludwigsvorstadt-Isarvorstadt</t>
        </is>
      </c>
      <c r="E2559" s="5" t="n">
        <v>45478</v>
      </c>
      <c r="F2559" t="inlineStr">
        <is>
          <t>Sold</t>
        </is>
      </c>
      <c r="G2559" s="6">
        <f>HYPERLINK("https://www.kleinanzeigen.de/s-anzeige/naish-torch-7qm-kite/2804629750-230-6440", "Link")</f>
        <v/>
      </c>
      <c r="H2559" s="6">
        <f>HYPERLINK("C:\Projects\Kleinanzeigen-Scraper\offer_images\2804629750", "Link")</f>
        <v/>
      </c>
      <c r="I2559" t="inlineStr">
        <is>
          <t>Sammy</t>
        </is>
      </c>
      <c r="J2559" s="6">
        <f>HYPERLINK("https://www.kleinanzeigen.de/s-bestandsliste.html?userId=49994176", "Link")</f>
        <v/>
      </c>
      <c r="K2559" s="7" t="n">
        <v>45549.57184027778</v>
      </c>
      <c r="L2559" s="3" t="inlineStr">
        <is>
          <t>1.19</t>
        </is>
      </c>
      <c r="M2559" t="inlineStr">
        <is>
          <t>München</t>
        </is>
      </c>
    </row>
    <row r="2560">
      <c r="A2560" t="inlineStr">
        <is>
          <t>Bild Wintersturm von Goya, auf Holz</t>
        </is>
      </c>
      <c r="B2560" s="4" t="n">
        <v>40</v>
      </c>
      <c r="C2560" t="inlineStr">
        <is>
          <t>VB</t>
        </is>
      </c>
      <c r="D2560" t="inlineStr">
        <is>
          <t>22455 Eimsbüttel - Hamburg Niendorf</t>
        </is>
      </c>
      <c r="E2560" s="5" t="n">
        <v>43529</v>
      </c>
      <c r="F2560" t="inlineStr"/>
      <c r="G2560" s="6">
        <f>HYPERLINK("https://www.kleinanzeigen.de/s-anzeige/bild-wintersturm-von-goya-auf-holz/1069192726-242-9491", "Link")</f>
        <v/>
      </c>
      <c r="H2560" s="6">
        <f>HYPERLINK("C:\Projects\Kleinanzeigen-Scraper\offer_images\1069192726", "Link")</f>
        <v/>
      </c>
      <c r="I2560" t="inlineStr">
        <is>
          <t>Uwe Siehring</t>
        </is>
      </c>
      <c r="J2560" s="6">
        <f>HYPERLINK("https://www.kleinanzeigen.de/s-bestandsliste.html?userId=6666539", "Link")</f>
        <v/>
      </c>
      <c r="K2560" s="7" t="n">
        <v>45549.5718287037</v>
      </c>
      <c r="L2560" s="3" t="inlineStr">
        <is>
          <t>363.13</t>
        </is>
      </c>
      <c r="M2560" t="inlineStr">
        <is>
          <t>Köln</t>
        </is>
      </c>
    </row>
    <row r="2561">
      <c r="A2561" t="inlineStr">
        <is>
          <t>2024 NeilPryde Fly 2 PRO 4,5qm *NEU* Wing Wingfoilen</t>
        </is>
      </c>
      <c r="B2561" s="4" t="n">
        <v>1.679</v>
      </c>
      <c r="C2561" t="inlineStr"/>
      <c r="D2561" t="inlineStr">
        <is>
          <t>82319 Bayern - Starnberg</t>
        </is>
      </c>
      <c r="E2561" s="5" t="n">
        <v>45532</v>
      </c>
      <c r="F2561" t="inlineStr">
        <is>
          <t>Sold</t>
        </is>
      </c>
      <c r="G2561" s="6">
        <f>HYPERLINK("https://www.kleinanzeigen.de/s-anzeige/2024-neilpryde-fly-2-pro-4-5qm-neu-wing-wingfoilen/2848687473-230-5525", "Link")</f>
        <v/>
      </c>
      <c r="H2561" s="6">
        <f>HYPERLINK("C:\Projects\Kleinanzeigen-Scraper\offer_images\2848687473", "Link")</f>
        <v/>
      </c>
      <c r="I2561" t="inlineStr">
        <is>
          <t>No user name</t>
        </is>
      </c>
      <c r="J2561" s="6">
        <f>HYPERLINK("https://www.kleinanzeigen.deNo user link", "Link")</f>
        <v/>
      </c>
      <c r="K2561" s="7" t="n">
        <v>45549.5718287037</v>
      </c>
      <c r="L2561" s="3" t="inlineStr">
        <is>
          <t>23.17</t>
        </is>
      </c>
      <c r="M2561" t="inlineStr">
        <is>
          <t>München</t>
        </is>
      </c>
    </row>
    <row r="2562">
      <c r="A2562" t="inlineStr">
        <is>
          <t>Wing Wingfoil 2024 Starboard/Airush Freewing Go V2 in 4.5</t>
        </is>
      </c>
      <c r="B2562" s="4" t="n">
        <v>250</v>
      </c>
      <c r="C2562" t="inlineStr">
        <is>
          <t>VB</t>
        </is>
      </c>
      <c r="D2562" t="inlineStr">
        <is>
          <t>14532 Brandenburg - Kleinmachnow</t>
        </is>
      </c>
      <c r="E2562" s="5" t="n">
        <v>45542</v>
      </c>
      <c r="F2562" t="inlineStr">
        <is>
          <t>Sold</t>
        </is>
      </c>
      <c r="G2562" s="6">
        <f>HYPERLINK("https://www.kleinanzeigen.de/s-anzeige/wing-wingfoil-2024-starboard-airush-freewing-go-v2-in-4-5/2856226740-230-7775", "Link")</f>
        <v/>
      </c>
      <c r="H2562" s="6">
        <f>HYPERLINK("C:\Projects\Kleinanzeigen-Scraper\offer_images\2856226740", "Link")</f>
        <v/>
      </c>
      <c r="I2562" t="inlineStr">
        <is>
          <t>Anja Schilling</t>
        </is>
      </c>
      <c r="J2562" s="6">
        <f>HYPERLINK("https://www.kleinanzeigen.de/s-bestandsliste.html?userId=11607853", "Link")</f>
        <v/>
      </c>
      <c r="K2562" s="7" t="n">
        <v>45549.57180555556</v>
      </c>
      <c r="L2562" s="3" t="inlineStr">
        <is>
          <t>458.23</t>
        </is>
      </c>
      <c r="M2562" t="inlineStr">
        <is>
          <t>Köln</t>
        </is>
      </c>
    </row>
    <row r="2563">
      <c r="A2563" t="inlineStr">
        <is>
          <t>Duotone Dice 2024, neuwertig 8+10qm</t>
        </is>
      </c>
      <c r="B2563" s="4" t="n">
        <v>490</v>
      </c>
      <c r="C2563" t="inlineStr"/>
      <c r="D2563" t="inlineStr">
        <is>
          <t>26427 Niedersachsen - Neuharlingersiel</t>
        </is>
      </c>
      <c r="E2563" s="5" t="n">
        <v>45539</v>
      </c>
      <c r="F2563" t="inlineStr">
        <is>
          <t>Sold</t>
        </is>
      </c>
      <c r="G2563" s="6">
        <f>HYPERLINK("https://www.kleinanzeigen.de/s-anzeige/duotone-dice-2024-neuwertig-8-10qm/2854415946-230-17528", "Link")</f>
        <v/>
      </c>
      <c r="H2563" s="6">
        <f>HYPERLINK("C:\Projects\Kleinanzeigen-Scraper\offer_images\2854415946", "Link")</f>
        <v/>
      </c>
      <c r="I2563" t="inlineStr">
        <is>
          <t>Surfschule Windloop</t>
        </is>
      </c>
      <c r="J2563" s="6">
        <f>HYPERLINK("https://www.kleinanzeigen.de/s-bestandsliste.html?userId=66736229", "Link")</f>
        <v/>
      </c>
      <c r="K2563" s="7" t="n">
        <v>45549.57180555556</v>
      </c>
      <c r="L2563" s="3" t="inlineStr">
        <is>
          <t>304.19</t>
        </is>
      </c>
      <c r="M2563" t="inlineStr">
        <is>
          <t>Köln</t>
        </is>
      </c>
    </row>
    <row r="2564">
      <c r="A2564" t="inlineStr">
        <is>
          <t>Goya Bastei Galerie der grossen Maler Nr. 4 Buch 1966</t>
        </is>
      </c>
      <c r="B2564" s="4" t="n">
        <v>10</v>
      </c>
      <c r="C2564" t="inlineStr">
        <is>
          <t>VB</t>
        </is>
      </c>
      <c r="D2564" t="inlineStr">
        <is>
          <t>47877 Nordrhein-Westfalen - Willich</t>
        </is>
      </c>
      <c r="E2564" s="5" t="n">
        <v>43560</v>
      </c>
      <c r="F2564" t="inlineStr"/>
      <c r="G2564" s="6">
        <f>HYPERLINK("https://www.kleinanzeigen.de/s-anzeige/goya-bastei-galerie-der-grossen-maler-nr-4-buch-1966/1092676335-191-1918", "Link")</f>
        <v/>
      </c>
      <c r="H2564" s="6">
        <f>HYPERLINK("C:\Projects\Kleinanzeigen-Scraper\offer_images\1092676335", "Link")</f>
        <v/>
      </c>
      <c r="I2564" t="inlineStr">
        <is>
          <t>Rudolf</t>
        </is>
      </c>
      <c r="J2564" s="6">
        <f>HYPERLINK("https://www.kleinanzeigen.de/s-bestandsliste.html?userId=36030734", "Link")</f>
        <v/>
      </c>
      <c r="K2564" s="7" t="n">
        <v>45549.57180555556</v>
      </c>
      <c r="L2564" s="3" t="inlineStr">
        <is>
          <t>47.48</t>
        </is>
      </c>
      <c r="M2564" t="inlineStr">
        <is>
          <t>Köln</t>
        </is>
      </c>
    </row>
    <row r="2565">
      <c r="A2565" t="inlineStr">
        <is>
          <t>Medicom Toy Bearbrick Artist Fist of North Star Series 47 100%</t>
        </is>
      </c>
      <c r="B2565" s="4" t="n">
        <v>6</v>
      </c>
      <c r="C2565" t="inlineStr"/>
      <c r="D2565" t="inlineStr">
        <is>
          <t>91567 Bayern - Herrieden</t>
        </is>
      </c>
      <c r="E2565" s="5" t="n">
        <v>45535</v>
      </c>
      <c r="F2565" t="inlineStr">
        <is>
          <t>Sold</t>
        </is>
      </c>
      <c r="G2565" s="6">
        <f>HYPERLINK("https://www.kleinanzeigen.de/s-anzeige/medicom-toy-bearbrick-artist-fist-of-north-star-series-47-100-/2851085070-234-6108", "Link")</f>
        <v/>
      </c>
      <c r="H2565" s="6">
        <f>HYPERLINK("C:\Projects\Kleinanzeigen-Scraper\offer_images\2851085070", "Link")</f>
        <v/>
      </c>
      <c r="I2565" t="inlineStr">
        <is>
          <t>K.R.</t>
        </is>
      </c>
      <c r="J2565" s="6">
        <f>HYPERLINK("https://www.kleinanzeigen.de/s-bestandsliste.html?userId=20145064", "Link")</f>
        <v/>
      </c>
      <c r="K2565" s="7" t="n">
        <v>45549.57180555556</v>
      </c>
      <c r="L2565" s="3" t="inlineStr">
        <is>
          <t>127.05</t>
        </is>
      </c>
      <c r="M2565" t="inlineStr">
        <is>
          <t>Böblingen</t>
        </is>
      </c>
    </row>
    <row r="2566">
      <c r="A2566" t="inlineStr">
        <is>
          <t>Fanatic Wing Foil Aero High Aspect 2000/300</t>
        </is>
      </c>
      <c r="B2566" s="4" t="n">
        <v>369</v>
      </c>
      <c r="C2566" t="inlineStr">
        <is>
          <t>VB</t>
        </is>
      </c>
      <c r="D2566" t="inlineStr">
        <is>
          <t>10245 Friedrichshain-Kreuzberg - Friedrichshain</t>
        </is>
      </c>
      <c r="E2566" s="5" t="n">
        <v>45531</v>
      </c>
      <c r="F2566" t="inlineStr">
        <is>
          <t>Sold</t>
        </is>
      </c>
      <c r="G2566" s="6">
        <f>HYPERLINK("https://www.kleinanzeigen.de/s-anzeige/fanatic-wing-foil-aero-high-aspect-2000-300/2847985197-230-3352", "Link")</f>
        <v/>
      </c>
      <c r="H2566" s="6">
        <f>HYPERLINK("C:\Projects\Kleinanzeigen-Scraper\offer_images\2847985197", "Link")</f>
        <v/>
      </c>
      <c r="I2566" t="inlineStr">
        <is>
          <t>Andrej</t>
        </is>
      </c>
      <c r="J2566" s="6">
        <f>HYPERLINK("https://www.kleinanzeigen.de/s-bestandsliste.html?userId=7418705", "Link")</f>
        <v/>
      </c>
      <c r="K2566" s="7" t="n">
        <v>45549.57180555556</v>
      </c>
      <c r="L2566" s="3" t="inlineStr">
        <is>
          <t>480.20</t>
        </is>
      </c>
      <c r="M2566" t="inlineStr">
        <is>
          <t>Köln</t>
        </is>
      </c>
    </row>
    <row r="2567">
      <c r="A2567" t="inlineStr">
        <is>
          <t>North Orbit 9 m² (2023)</t>
        </is>
      </c>
      <c r="B2567" s="4" t="n">
        <v>800</v>
      </c>
      <c r="C2567" t="inlineStr"/>
      <c r="D2567" t="inlineStr">
        <is>
          <t>01979 Brandenburg - Lauchhammer</t>
        </is>
      </c>
      <c r="E2567" s="5" t="n">
        <v>45536</v>
      </c>
      <c r="F2567" t="inlineStr">
        <is>
          <t>Sold</t>
        </is>
      </c>
      <c r="G2567" s="6">
        <f>HYPERLINK("https://www.kleinanzeigen.de/s-anzeige/north-orbit-9-m-2023-/2851598492-230-7801", "Link")</f>
        <v/>
      </c>
      <c r="H2567" s="6">
        <f>HYPERLINK("C:\Projects\Kleinanzeigen-Scraper\offer_images\2851598492", "Link")</f>
        <v/>
      </c>
      <c r="I2567" t="inlineStr">
        <is>
          <t>Christopher Goll</t>
        </is>
      </c>
      <c r="J2567" s="6">
        <f>HYPERLINK("https://www.kleinanzeigen.de/s-bestandsliste.html?userId=67578265", "Link")</f>
        <v/>
      </c>
      <c r="K2567" s="7" t="n">
        <v>45549.57180555556</v>
      </c>
      <c r="L2567" s="3" t="inlineStr">
        <is>
          <t>405.06</t>
        </is>
      </c>
      <c r="M2567" t="inlineStr">
        <is>
          <t>München</t>
        </is>
      </c>
    </row>
    <row r="2568">
      <c r="A2568" t="inlineStr">
        <is>
          <t>Duotone Tubekite Rebel SLS C04: lime/dark-grey 2024 7.0 qm</t>
        </is>
      </c>
      <c r="B2568" s="4" t="n">
        <v>1.349</v>
      </c>
      <c r="C2568" t="inlineStr">
        <is>
          <t>VB</t>
        </is>
      </c>
      <c r="D2568" t="inlineStr">
        <is>
          <t>26125 Niedersachsen - Oldenburg</t>
        </is>
      </c>
      <c r="E2568" s="5" t="n">
        <v>45545</v>
      </c>
      <c r="F2568" t="inlineStr">
        <is>
          <t>Sold</t>
        </is>
      </c>
      <c r="G2568" s="6">
        <f>HYPERLINK("https://www.kleinanzeigen.de/s-anzeige/duotone-tubekite-rebel-sls-c04-lime-dark-grey-2024-7-0-qm/2859571395-230-3111", "Link")</f>
        <v/>
      </c>
      <c r="H2568" s="6">
        <f>HYPERLINK("C:\Projects\Kleinanzeigen-Scraper\offer_images\2859571395", "Link")</f>
        <v/>
      </c>
      <c r="I2568" t="inlineStr">
        <is>
          <t>No user name</t>
        </is>
      </c>
      <c r="J2568" s="6">
        <f>HYPERLINK("https://www.kleinanzeigen.deNo user link", "Link")</f>
        <v/>
      </c>
      <c r="K2568" s="7" t="n">
        <v>45549.57180555556</v>
      </c>
      <c r="L2568" s="3" t="inlineStr">
        <is>
          <t>264.10</t>
        </is>
      </c>
      <c r="M2568" t="inlineStr">
        <is>
          <t>Köln</t>
        </is>
      </c>
    </row>
    <row r="2569">
      <c r="A2569" t="inlineStr">
        <is>
          <t>Jett / Mele / Valorant / Spectre  Vandal - Cosplay</t>
        </is>
      </c>
      <c r="B2569" s="4" t="inlineStr"/>
      <c r="C2569" t="inlineStr">
        <is>
          <t>VB</t>
        </is>
      </c>
      <c r="D2569" t="inlineStr">
        <is>
          <t>12679 Berlin - Marzahn</t>
        </is>
      </c>
      <c r="E2569" s="5" t="n">
        <v>45208</v>
      </c>
      <c r="F2569" t="inlineStr"/>
      <c r="G2569" s="6">
        <f>HYPERLINK("https://www.kleinanzeigen.de/s-anzeige/jett-mele-valorant-spectre-vandal-cosplay/2567757880-282-3381", "Link")</f>
        <v/>
      </c>
      <c r="H2569" s="6">
        <f>HYPERLINK("C:\Projects\Kleinanzeigen-Scraper\offer_images\2567757880", "Link")</f>
        <v/>
      </c>
      <c r="I2569" t="inlineStr">
        <is>
          <t>DPR CUSTOMS</t>
        </is>
      </c>
      <c r="J2569" s="6">
        <f>HYPERLINK("https://www.kleinanzeigen.de/s-bestandsliste.html?userId=123065653", "Link")</f>
        <v/>
      </c>
      <c r="K2569" s="7" t="n">
        <v>45549.57178240741</v>
      </c>
      <c r="L2569" s="3" t="inlineStr">
        <is>
          <t>488.66</t>
        </is>
      </c>
      <c r="M2569" t="inlineStr">
        <is>
          <t>Köln</t>
        </is>
      </c>
    </row>
    <row r="2570">
      <c r="A2570" t="inlineStr">
        <is>
          <t>Duotone Juice 15qm 2023</t>
        </is>
      </c>
      <c r="B2570" s="4" t="n">
        <v>1.1</v>
      </c>
      <c r="C2570" t="inlineStr">
        <is>
          <t>VB</t>
        </is>
      </c>
      <c r="D2570" t="inlineStr">
        <is>
          <t>21423 Niedersachsen - Winsen (Luhe)</t>
        </is>
      </c>
      <c r="E2570" s="5" t="n">
        <v>45548</v>
      </c>
      <c r="F2570" t="inlineStr">
        <is>
          <t>Sold</t>
        </is>
      </c>
      <c r="G2570" s="6">
        <f>HYPERLINK("https://www.kleinanzeigen.de/s-anzeige/duotone-juice-15qm-2023/2763016303-230-3223", "Link")</f>
        <v/>
      </c>
      <c r="H2570" s="6">
        <f>HYPERLINK("C:\Projects\Kleinanzeigen-Scraper\offer_images\2763016303", "Link")</f>
        <v/>
      </c>
      <c r="I2570" t="inlineStr">
        <is>
          <t>No user name</t>
        </is>
      </c>
      <c r="J2570" s="6">
        <f>HYPERLINK("https://www.kleinanzeigen.deNo user link", "Link")</f>
        <v/>
      </c>
      <c r="K2570" s="7" t="n">
        <v>45549.57178240741</v>
      </c>
      <c r="L2570" s="3" t="inlineStr">
        <is>
          <t>349.14</t>
        </is>
      </c>
      <c r="M2570" t="inlineStr">
        <is>
          <t>Köln</t>
        </is>
      </c>
    </row>
    <row r="2571">
      <c r="A2571" t="inlineStr">
        <is>
          <t>Naish Dash 8 qm Kite Top Zustand - Allround Wave Kiteloop Foil</t>
        </is>
      </c>
      <c r="B2571" s="4" t="n">
        <v>289</v>
      </c>
      <c r="C2571" t="inlineStr">
        <is>
          <t>VB</t>
        </is>
      </c>
      <c r="D2571" t="inlineStr">
        <is>
          <t>32758 Nordrhein-Westfalen - Detmold</t>
        </is>
      </c>
      <c r="E2571" s="5" t="n">
        <v>45549</v>
      </c>
      <c r="F2571" t="inlineStr">
        <is>
          <t>Sold</t>
        </is>
      </c>
      <c r="G2571" s="6">
        <f>HYPERLINK("https://www.kleinanzeigen.de/s-anzeige/naish-dash-8-qm-kite-top-zustand-allround-wave-kiteloop-foil/2862634036-230-1793", "Link")</f>
        <v/>
      </c>
      <c r="H2571" s="6">
        <f>HYPERLINK("C:\Projects\Kleinanzeigen-Scraper\offer_images\2862634036", "Link")</f>
        <v/>
      </c>
      <c r="I2571" t="inlineStr">
        <is>
          <t>Privat</t>
        </is>
      </c>
      <c r="J2571" s="6">
        <f>HYPERLINK("https://www.kleinanzeigen.de/s-bestandsliste.html?userId=39771025", "Link")</f>
        <v/>
      </c>
      <c r="K2571" s="7" t="n">
        <v>45549.57177083333</v>
      </c>
      <c r="L2571" s="3" t="inlineStr">
        <is>
          <t>172.09</t>
        </is>
      </c>
      <c r="M2571" t="inlineStr">
        <is>
          <t>Köln</t>
        </is>
      </c>
    </row>
    <row r="2572">
      <c r="A2572" t="inlineStr">
        <is>
          <t>GOYA Triton Acrylfarbe, 2,5-Liter-Eimer, Echtgelb hell, NEU!</t>
        </is>
      </c>
      <c r="B2572" s="4" t="n">
        <v>12</v>
      </c>
      <c r="C2572" t="inlineStr"/>
      <c r="D2572" t="inlineStr">
        <is>
          <t>64297 Hessen - Darmstadt</t>
        </is>
      </c>
      <c r="E2572" s="5" t="n">
        <v>45547</v>
      </c>
      <c r="F2572" t="inlineStr">
        <is>
          <t>Sold</t>
        </is>
      </c>
      <c r="G2572" s="6">
        <f>HYPERLINK("https://www.kleinanzeigen.de/s-anzeige/goya-triton-acrylfarbe-2-5-liter-eimer-echtgelb-hell-neu-/2861263191-282-4890", "Link")</f>
        <v/>
      </c>
      <c r="H2572" s="6">
        <f>HYPERLINK("C:\Projects\Kleinanzeigen-Scraper\offer_images\2861263191", "Link")</f>
        <v/>
      </c>
      <c r="I2572" t="inlineStr">
        <is>
          <t>N.S.</t>
        </is>
      </c>
      <c r="J2572" s="6">
        <f>HYPERLINK("https://www.kleinanzeigen.de/s-bestandsliste.html?userId=80042538", "Link")</f>
        <v/>
      </c>
      <c r="K2572" s="7" t="n">
        <v>45549.57175925926</v>
      </c>
      <c r="L2572" s="3" t="inlineStr">
        <is>
          <t>92.80</t>
        </is>
      </c>
      <c r="M2572" t="inlineStr">
        <is>
          <t>Karlsruhe</t>
        </is>
      </c>
    </row>
    <row r="2573">
      <c r="A2573" t="inlineStr">
        <is>
          <t>Neilpryde Glide Foil</t>
        </is>
      </c>
      <c r="B2573" s="4" t="n">
        <v>300</v>
      </c>
      <c r="C2573" t="inlineStr"/>
      <c r="D2573" t="inlineStr">
        <is>
          <t>86859 Bayern - Igling</t>
        </is>
      </c>
      <c r="E2573" s="5" t="n">
        <v>45524</v>
      </c>
      <c r="F2573" t="inlineStr"/>
      <c r="G2573" s="6">
        <f>HYPERLINK("https://www.kleinanzeigen.de/s-anzeige/neilpryde-glide-foil/2841974446-230-7087", "Link")</f>
        <v/>
      </c>
      <c r="H2573" s="6">
        <f>HYPERLINK("C:\Projects\Kleinanzeigen-Scraper\offer_images\2841974446", "Link")</f>
        <v/>
      </c>
      <c r="I2573" t="inlineStr">
        <is>
          <t>Jakob</t>
        </is>
      </c>
      <c r="J2573" s="6">
        <f>HYPERLINK("https://www.kleinanzeigen.de/s-bestandsliste.html?userId=54219500", "Link")</f>
        <v/>
      </c>
      <c r="K2573" s="7" t="n">
        <v>45549.57175925926</v>
      </c>
      <c r="L2573" s="3" t="inlineStr">
        <is>
          <t>57.26</t>
        </is>
      </c>
      <c r="M2573" t="inlineStr">
        <is>
          <t>München</t>
        </is>
      </c>
    </row>
    <row r="2574">
      <c r="A2574" t="inlineStr">
        <is>
          <t>Neilpryde-Long John, Women, Gr 42, ungetragen,  Surfen,  SUP</t>
        </is>
      </c>
      <c r="B2574" s="4" t="n">
        <v>60</v>
      </c>
      <c r="C2574" t="inlineStr">
        <is>
          <t>VB</t>
        </is>
      </c>
      <c r="D2574" t="inlineStr">
        <is>
          <t>33615 Bielefeld - Bielefeld (Innenstadt)</t>
        </is>
      </c>
      <c r="E2574" s="5" t="n">
        <v>45494</v>
      </c>
      <c r="F2574" t="inlineStr"/>
      <c r="G2574" s="6">
        <f>HYPERLINK("https://www.kleinanzeigen.de/s-anzeige/neilpryde-long-john-women-gr-42-ungetragen-surfen-sup/2817235564-230-1058", "Link")</f>
        <v/>
      </c>
      <c r="H2574" s="6">
        <f>HYPERLINK("C:\Projects\Kleinanzeigen-Scraper\offer_images\2817235564", "Link")</f>
        <v/>
      </c>
      <c r="I2574" t="inlineStr">
        <is>
          <t>Carola Giller</t>
        </is>
      </c>
      <c r="J2574" s="6">
        <f>HYPERLINK("https://www.kleinanzeigen.de/s-bestandsliste.html?userId=7988525", "Link")</f>
        <v/>
      </c>
      <c r="K2574" s="7" t="n">
        <v>45549.57175925926</v>
      </c>
      <c r="L2574" s="3" t="inlineStr">
        <is>
          <t>162.21</t>
        </is>
      </c>
      <c r="M2574" t="inlineStr">
        <is>
          <t>Köln</t>
        </is>
      </c>
    </row>
    <row r="2575">
      <c r="A2575" t="inlineStr">
        <is>
          <t>Duotone Bar</t>
        </is>
      </c>
      <c r="B2575" s="4" t="n">
        <v>199</v>
      </c>
      <c r="C2575" t="inlineStr"/>
      <c r="D2575" t="inlineStr">
        <is>
          <t>27777 Niedersachsen - Ganderkesee</t>
        </is>
      </c>
      <c r="E2575" s="5" t="n">
        <v>45539</v>
      </c>
      <c r="F2575" t="inlineStr">
        <is>
          <t>Sold</t>
        </is>
      </c>
      <c r="G2575" s="6">
        <f>HYPERLINK("https://www.kleinanzeigen.de/s-anzeige/duotone-bar/2854063737-230-2472", "Link")</f>
        <v/>
      </c>
      <c r="H2575" s="6">
        <f>HYPERLINK("C:\Projects\Kleinanzeigen-Scraper\offer_images\2854063737", "Link")</f>
        <v/>
      </c>
      <c r="I2575" t="inlineStr">
        <is>
          <t>Blume Pauly Gbr</t>
        </is>
      </c>
      <c r="J2575" s="6">
        <f>HYPERLINK("https://www.kleinanzeigen.de/s-bestandsliste.html?userId=83509711", "Link")</f>
        <v/>
      </c>
      <c r="K2575" s="7" t="n">
        <v>45549.57174768519</v>
      </c>
      <c r="L2575" s="3" t="inlineStr">
        <is>
          <t>258.92</t>
        </is>
      </c>
      <c r="M2575" t="inlineStr">
        <is>
          <t>Köln</t>
        </is>
      </c>
    </row>
    <row r="2576">
      <c r="A2576" t="inlineStr">
        <is>
          <t>Naish Boxer 12m, Modell 2020</t>
        </is>
      </c>
      <c r="B2576" s="4" t="n">
        <v>299</v>
      </c>
      <c r="C2576" t="inlineStr"/>
      <c r="D2576" t="inlineStr">
        <is>
          <t>83395 Bayern - Freilassing</t>
        </is>
      </c>
      <c r="E2576" s="5" t="n">
        <v>45543</v>
      </c>
      <c r="F2576" t="inlineStr">
        <is>
          <t>Sold</t>
        </is>
      </c>
      <c r="G2576" s="6">
        <f>HYPERLINK("https://www.kleinanzeigen.de/s-anzeige/naish-boxer-12m-modell-2020/2857071757-249-6273", "Link")</f>
        <v/>
      </c>
      <c r="H2576" s="6">
        <f>HYPERLINK("C:\Projects\Kleinanzeigen-Scraper\offer_images\2857071757", "Link")</f>
        <v/>
      </c>
      <c r="I2576" t="inlineStr">
        <is>
          <t>Harald</t>
        </is>
      </c>
      <c r="J2576" s="6">
        <f>HYPERLINK("https://www.kleinanzeigen.de/s-bestandsliste.html?userId=48509048", "Link")</f>
        <v/>
      </c>
      <c r="K2576" s="7" t="n">
        <v>45549.57174768519</v>
      </c>
      <c r="L2576" s="3" t="inlineStr">
        <is>
          <t>108.85</t>
        </is>
      </c>
      <c r="M2576" t="inlineStr">
        <is>
          <t>München</t>
        </is>
      </c>
    </row>
    <row r="2577">
      <c r="A2577" t="inlineStr">
        <is>
          <t>OMAS Goya Füller - 18 Karat M Limited Celliloid</t>
        </is>
      </c>
      <c r="B2577" s="4" t="n">
        <v>599</v>
      </c>
      <c r="C2577" t="inlineStr"/>
      <c r="D2577" t="inlineStr">
        <is>
          <t>34560 Hessen - Fritzlar</t>
        </is>
      </c>
      <c r="E2577" s="5" t="n">
        <v>45464</v>
      </c>
      <c r="F2577" t="inlineStr"/>
      <c r="G2577" s="6">
        <f>HYPERLINK("https://www.kleinanzeigen.de/s-anzeige/omas-goya-fueller-18-karat-m-limited-celliloid/2793425662-234-4751", "Link")</f>
        <v/>
      </c>
      <c r="H2577" s="6">
        <f>HYPERLINK("C:\Projects\Kleinanzeigen-Scraper\offer_images\2793425662", "Link")</f>
        <v/>
      </c>
      <c r="I2577" t="inlineStr">
        <is>
          <t>Privat</t>
        </is>
      </c>
      <c r="J2577" s="6">
        <f>HYPERLINK("https://www.kleinanzeigen.de/s-bestandsliste.html?userId=141829022", "Link")</f>
        <v/>
      </c>
      <c r="K2577" s="7" t="n">
        <v>45549.57173611111</v>
      </c>
      <c r="L2577" s="3" t="inlineStr">
        <is>
          <t>162.41</t>
        </is>
      </c>
      <c r="M2577" t="inlineStr">
        <is>
          <t>Köln</t>
        </is>
      </c>
    </row>
    <row r="2578">
      <c r="A2578" t="inlineStr">
        <is>
          <t>Postkarten Japan Hokusai Boot Goya Romantik Kunstpostkarten</t>
        </is>
      </c>
      <c r="B2578" s="4" t="n">
        <v>4</v>
      </c>
      <c r="C2578" t="inlineStr"/>
      <c r="D2578" t="inlineStr">
        <is>
          <t>06366 Sachsen-Anhalt - Köthen (Anhalt)</t>
        </is>
      </c>
      <c r="E2578" s="5" t="n">
        <v>45545</v>
      </c>
      <c r="F2578" t="inlineStr"/>
      <c r="G2578" s="6">
        <f>HYPERLINK("https://www.kleinanzeigen.de/s-anzeige/postkarten-japan-hokusai-boot-goya-romantik-kunstpostkarten/2859307175-234-2260", "Link")</f>
        <v/>
      </c>
      <c r="H2578" s="6">
        <f>HYPERLINK("C:\Projects\Kleinanzeigen-Scraper\offer_images\2859307175", "Link")</f>
        <v/>
      </c>
      <c r="I2578" t="inlineStr">
        <is>
          <t>Toni</t>
        </is>
      </c>
      <c r="J2578" s="6">
        <f>HYPERLINK("https://www.kleinanzeigen.de/s-bestandsliste.html?userId=133062097", "Link")</f>
        <v/>
      </c>
      <c r="K2578" s="7" t="n">
        <v>45549.57172453704</v>
      </c>
      <c r="L2578" s="3" t="inlineStr">
        <is>
          <t>359.62</t>
        </is>
      </c>
      <c r="M2578" t="inlineStr">
        <is>
          <t>Köln</t>
        </is>
      </c>
    </row>
    <row r="2579">
      <c r="A2579" t="inlineStr">
        <is>
          <t>Boxsack Vandal</t>
        </is>
      </c>
      <c r="B2579" s="4" t="n">
        <v>70</v>
      </c>
      <c r="C2579" t="inlineStr"/>
      <c r="D2579" t="inlineStr">
        <is>
          <t>29410 Sachsen-Anhalt - Salzwedel</t>
        </is>
      </c>
      <c r="E2579" s="5" t="n">
        <v>45504</v>
      </c>
      <c r="F2579" t="inlineStr">
        <is>
          <t>Sold</t>
        </is>
      </c>
      <c r="G2579" s="6">
        <f>HYPERLINK("https://www.kleinanzeigen.de/s-anzeige/boxsack-vandal/2825938068-230-2352", "Link")</f>
        <v/>
      </c>
      <c r="H2579" s="6">
        <f>HYPERLINK("C:\Projects\Kleinanzeigen-Scraper\offer_images\2825938068", "Link")</f>
        <v/>
      </c>
      <c r="I2579" t="inlineStr">
        <is>
          <t>Dave</t>
        </is>
      </c>
      <c r="J2579" s="6">
        <f>HYPERLINK("https://www.kleinanzeigen.de/s-bestandsliste.html?userId=33639112", "Link")</f>
        <v/>
      </c>
      <c r="K2579" s="7" t="n">
        <v>45549.57172453704</v>
      </c>
      <c r="L2579" s="3" t="inlineStr">
        <is>
          <t>359.91</t>
        </is>
      </c>
      <c r="M2579" t="inlineStr">
        <is>
          <t>Köln</t>
        </is>
      </c>
    </row>
    <row r="2580">
      <c r="A2580" t="inlineStr">
        <is>
          <t>Duotone Unit 2024 3 qm</t>
        </is>
      </c>
      <c r="B2580" s="4" t="n">
        <v>580</v>
      </c>
      <c r="C2580" t="inlineStr">
        <is>
          <t>VB</t>
        </is>
      </c>
      <c r="D2580" t="inlineStr">
        <is>
          <t>24116 Kiel - Schreventeich-Hasseldieksdamm</t>
        </is>
      </c>
      <c r="E2580" s="5" t="n">
        <v>45539</v>
      </c>
      <c r="F2580" t="inlineStr">
        <is>
          <t>Sold</t>
        </is>
      </c>
      <c r="G2580" s="6">
        <f>HYPERLINK("https://www.kleinanzeigen.de/s-anzeige/duotone-unit-2024-3-qm/2854574660-230-703", "Link")</f>
        <v/>
      </c>
      <c r="H2580" s="6">
        <f>HYPERLINK("C:\Projects\Kleinanzeigen-Scraper\offer_images\2854574660", "Link")</f>
        <v/>
      </c>
      <c r="I2580" t="inlineStr">
        <is>
          <t>Linus Pünder</t>
        </is>
      </c>
      <c r="J2580" s="6">
        <f>HYPERLINK("https://www.kleinanzeigen.de/s-bestandsliste.html?userId=48701671", "Link")</f>
        <v/>
      </c>
      <c r="K2580" s="7" t="n">
        <v>45549.57171296296</v>
      </c>
      <c r="L2580" s="3" t="inlineStr">
        <is>
          <t>432.62</t>
        </is>
      </c>
      <c r="M2580" t="inlineStr">
        <is>
          <t>Köln</t>
        </is>
      </c>
    </row>
    <row r="2581">
      <c r="A2581" t="inlineStr">
        <is>
          <t>Duotone Dice SLS 9 qm 2023 Kite Kiten</t>
        </is>
      </c>
      <c r="B2581" s="4" t="n">
        <v>850</v>
      </c>
      <c r="C2581" t="inlineStr"/>
      <c r="D2581" t="inlineStr">
        <is>
          <t>31558 Niedersachsen - Hagenburg</t>
        </is>
      </c>
      <c r="E2581" s="5" t="n">
        <v>45548</v>
      </c>
      <c r="F2581" t="inlineStr">
        <is>
          <t>Sold</t>
        </is>
      </c>
      <c r="G2581" s="6">
        <f>HYPERLINK("https://www.kleinanzeigen.de/s-anzeige/duotone-dice-sls-9-qm-2023-kite-kiten/2861905685-230-2928", "Link")</f>
        <v/>
      </c>
      <c r="H2581" s="6">
        <f>HYPERLINK("C:\Projects\Kleinanzeigen-Scraper\offer_images\2861905685", "Link")</f>
        <v/>
      </c>
      <c r="I2581" t="inlineStr">
        <is>
          <t>Schulz</t>
        </is>
      </c>
      <c r="J2581" s="6">
        <f>HYPERLINK("https://www.kleinanzeigen.de/s-bestandsliste.html?userId=383910", "Link")</f>
        <v/>
      </c>
      <c r="K2581" s="7" t="n">
        <v>45549.57171296296</v>
      </c>
      <c r="L2581" s="3" t="inlineStr">
        <is>
          <t>232.68</t>
        </is>
      </c>
      <c r="M2581" t="inlineStr">
        <is>
          <t>Köln</t>
        </is>
      </c>
    </row>
    <row r="2582">
      <c r="A2582" t="inlineStr">
        <is>
          <t>Duotone clickbait 2024 m 22-24m Leinen</t>
        </is>
      </c>
      <c r="B2582" s="4" t="n">
        <v>500</v>
      </c>
      <c r="C2582" t="inlineStr"/>
      <c r="D2582" t="inlineStr">
        <is>
          <t>25980 Sylt - Westerland</t>
        </is>
      </c>
      <c r="E2582" s="5" t="n">
        <v>45545</v>
      </c>
      <c r="F2582" t="inlineStr">
        <is>
          <t>Sold</t>
        </is>
      </c>
      <c r="G2582" s="6">
        <f>HYPERLINK("https://www.kleinanzeigen.de/s-anzeige/duotone-clickbait-2024-m-22-24m-leinen/2859326617-230-634", "Link")</f>
        <v/>
      </c>
      <c r="H2582" s="6">
        <f>HYPERLINK("C:\Projects\Kleinanzeigen-Scraper\offer_images\2859326617", "Link")</f>
        <v/>
      </c>
      <c r="I2582" t="inlineStr">
        <is>
          <t>Lenny kite</t>
        </is>
      </c>
      <c r="J2582" s="6">
        <f>HYPERLINK("https://www.kleinanzeigen.de/s-bestandsliste.html?userId=14530034", "Link")</f>
        <v/>
      </c>
      <c r="K2582" s="7" t="n">
        <v>45549.57171296296</v>
      </c>
      <c r="L2582" s="3" t="inlineStr">
        <is>
          <t>448.30</t>
        </is>
      </c>
      <c r="M2582" t="inlineStr">
        <is>
          <t>Köln</t>
        </is>
      </c>
    </row>
    <row r="2583">
      <c r="A2583" t="inlineStr">
        <is>
          <t>Messerkopf 115mm Gigacut Rrd 16125</t>
        </is>
      </c>
      <c r="B2583" s="4" t="n">
        <v>85</v>
      </c>
      <c r="C2583" t="inlineStr">
        <is>
          <t>VB</t>
        </is>
      </c>
      <c r="D2583" t="inlineStr">
        <is>
          <t>24568 Schleswig-Holstein - Kaltenkirchen</t>
        </is>
      </c>
      <c r="E2583" s="5" t="n">
        <v>45130</v>
      </c>
      <c r="F2583" t="inlineStr"/>
      <c r="G2583" s="6">
        <f>HYPERLINK("https://www.kleinanzeigen.de/s-anzeige/messerkopf-115mm-gigacut-rrd-16125/2500568055-242-12984", "Link")</f>
        <v/>
      </c>
      <c r="H2583" s="6">
        <f>HYPERLINK("C:\Projects\Kleinanzeigen-Scraper\offer_images\2500568055", "Link")</f>
        <v/>
      </c>
      <c r="I2583" t="inlineStr">
        <is>
          <t>Jörn</t>
        </is>
      </c>
      <c r="J2583" s="6">
        <f>HYPERLINK("https://www.kleinanzeigen.de/s-bestandsliste.html?userId=19581604", "Link")</f>
        <v/>
      </c>
      <c r="K2583" s="7" t="n">
        <v>45549.57170138889</v>
      </c>
      <c r="L2583" s="3" t="inlineStr">
        <is>
          <t>380.54</t>
        </is>
      </c>
      <c r="M2583" t="inlineStr">
        <is>
          <t>Köln</t>
        </is>
      </c>
    </row>
    <row r="2584">
      <c r="A2584" t="inlineStr">
        <is>
          <t>Wathose Simms XXl Meerforelle</t>
        </is>
      </c>
      <c r="B2584" s="4" t="n">
        <v>220</v>
      </c>
      <c r="C2584" t="inlineStr">
        <is>
          <t>VB</t>
        </is>
      </c>
      <c r="D2584" t="inlineStr">
        <is>
          <t>19258 Mecklenburg-Vorpommern - Boizenburg/Elbe</t>
        </is>
      </c>
      <c r="E2584" s="5" t="n">
        <v>45549</v>
      </c>
      <c r="F2584" t="inlineStr">
        <is>
          <t>Sold</t>
        </is>
      </c>
      <c r="G2584" s="6">
        <f>HYPERLINK("https://www.kleinanzeigen.de/s-anzeige/wathose-simms-xxl-meerforelle/2862612948-230-16624", "Link")</f>
        <v/>
      </c>
      <c r="H2584" s="6">
        <f>HYPERLINK("C:\Projects\Kleinanzeigen-Scraper\offer_images\2862612948", "Link")</f>
        <v/>
      </c>
      <c r="I2584" t="inlineStr">
        <is>
          <t>Lion</t>
        </is>
      </c>
      <c r="J2584" s="6">
        <f>HYPERLINK("https://www.kleinanzeigen.de/s-bestandsliste.html?userId=75080739", "Link")</f>
        <v/>
      </c>
      <c r="K2584" s="7" t="n">
        <v>45549.57170138889</v>
      </c>
      <c r="L2584" s="3" t="inlineStr">
        <is>
          <t>377.46</t>
        </is>
      </c>
      <c r="M2584" t="inlineStr">
        <is>
          <t>Köln</t>
        </is>
      </c>
    </row>
    <row r="2585">
      <c r="A2585" t="inlineStr">
        <is>
          <t>Naish Wing 6.8</t>
        </is>
      </c>
      <c r="B2585" s="4" t="n">
        <v>350</v>
      </c>
      <c r="C2585" t="inlineStr">
        <is>
          <t>VB</t>
        </is>
      </c>
      <c r="D2585" t="inlineStr">
        <is>
          <t>78256 Baden-Württemberg - Steißlingen</t>
        </is>
      </c>
      <c r="E2585" s="5" t="n">
        <v>45529</v>
      </c>
      <c r="F2585" t="inlineStr">
        <is>
          <t>Sold</t>
        </is>
      </c>
      <c r="G2585" s="6">
        <f>HYPERLINK("https://www.kleinanzeigen.de/s-anzeige/naish-wing-6-8/2846156971-230-9406", "Link")</f>
        <v/>
      </c>
      <c r="H2585" s="6">
        <f>HYPERLINK("C:\Projects\Kleinanzeigen-Scraper\offer_images\2846156971", "Link")</f>
        <v/>
      </c>
      <c r="I2585" t="inlineStr">
        <is>
          <t>michael lohr</t>
        </is>
      </c>
      <c r="J2585" s="6">
        <f>HYPERLINK("https://www.kleinanzeigen.de/s-bestandsliste.html?userId=88592299", "Link")</f>
        <v/>
      </c>
      <c r="K2585" s="7" t="n">
        <v>45549.57170138889</v>
      </c>
      <c r="L2585" s="3" t="inlineStr">
        <is>
          <t>42.68</t>
        </is>
      </c>
      <c r="M2585" t="inlineStr">
        <is>
          <t>Bonndorf</t>
        </is>
      </c>
    </row>
    <row r="2586">
      <c r="A2586" t="inlineStr">
        <is>
          <t>NEILPRYDE Neoprenanzug, GR. 50, NEU!</t>
        </is>
      </c>
      <c r="B2586" s="4" t="n">
        <v>150</v>
      </c>
      <c r="C2586" t="inlineStr"/>
      <c r="D2586" t="inlineStr">
        <is>
          <t>83677 Bayern - Reichersbeuern</t>
        </is>
      </c>
      <c r="E2586" s="5" t="n">
        <v>45475</v>
      </c>
      <c r="F2586" t="inlineStr">
        <is>
          <t>Sold</t>
        </is>
      </c>
      <c r="G2586" s="6">
        <f>HYPERLINK("https://www.kleinanzeigen.de/s-anzeige/neilpryde-neoprenanzug-gr-50-neu-/2802527344-230-5889", "Link")</f>
        <v/>
      </c>
      <c r="H2586" s="6">
        <f>HYPERLINK("C:\Projects\Kleinanzeigen-Scraper\offer_images\2802527344", "Link")</f>
        <v/>
      </c>
      <c r="I2586" t="inlineStr">
        <is>
          <t>Privat</t>
        </is>
      </c>
      <c r="J2586" s="6">
        <f>HYPERLINK("https://www.kleinanzeigen.de/s-bestandsliste.html?userId=22182138", "Link")</f>
        <v/>
      </c>
      <c r="K2586" s="7" t="n">
        <v>45549.57168981482</v>
      </c>
      <c r="L2586" s="3" t="inlineStr">
        <is>
          <t>41.34</t>
        </is>
      </c>
      <c r="M2586" t="inlineStr">
        <is>
          <t>München</t>
        </is>
      </c>
    </row>
    <row r="2587">
      <c r="A2587" t="inlineStr">
        <is>
          <t>Fliegenfischen Watschuhe Simms Größe 37 Filzsohle</t>
        </is>
      </c>
      <c r="B2587" s="4" t="n">
        <v>99</v>
      </c>
      <c r="C2587" t="inlineStr">
        <is>
          <t>VB</t>
        </is>
      </c>
      <c r="D2587" t="inlineStr">
        <is>
          <t>59846 Nordrhein-Westfalen - Sundern (Sauerland)</t>
        </is>
      </c>
      <c r="E2587" s="5" t="n">
        <v>45533</v>
      </c>
      <c r="F2587" t="inlineStr">
        <is>
          <t>Sold</t>
        </is>
      </c>
      <c r="G2587" s="6">
        <f>HYPERLINK("https://www.kleinanzeigen.de/s-anzeige/fliegenfischen-watschuhe-simms-groesse-37-filzsohle/2849176511-230-1413", "Link")</f>
        <v/>
      </c>
      <c r="H2587" s="6">
        <f>HYPERLINK("C:\Projects\Kleinanzeigen-Scraper\offer_images\2849176511", "Link")</f>
        <v/>
      </c>
      <c r="I2587" t="inlineStr">
        <is>
          <t>Leif vom Lehn</t>
        </is>
      </c>
      <c r="J2587" s="6">
        <f>HYPERLINK("https://www.kleinanzeigen.de/s-bestandsliste.html?userId=10147905", "Link")</f>
        <v/>
      </c>
      <c r="K2587" s="7" t="n">
        <v>45549.57167824074</v>
      </c>
      <c r="L2587" s="3" t="inlineStr">
        <is>
          <t>82.38</t>
        </is>
      </c>
      <c r="M2587" t="inlineStr">
        <is>
          <t>Köln</t>
        </is>
      </c>
    </row>
    <row r="2588">
      <c r="A2588" t="inlineStr">
        <is>
          <t>Fanatic Wing Set Aero High Aspect foil Wingsurfen Neu Sale</t>
        </is>
      </c>
      <c r="B2588" s="4" t="n">
        <v>467</v>
      </c>
      <c r="C2588" t="inlineStr"/>
      <c r="D2588" t="inlineStr">
        <is>
          <t>22457 Eimsbüttel - Hamburg Schnelsen</t>
        </is>
      </c>
      <c r="E2588" s="5" t="n">
        <v>45546</v>
      </c>
      <c r="F2588" t="inlineStr">
        <is>
          <t>Sold</t>
        </is>
      </c>
      <c r="G2588" s="6">
        <f>HYPERLINK("https://www.kleinanzeigen.de/s-anzeige/fanatic-wing-set-aero-high-aspect-foil-wingsurfen-neu-sale/2032464292-230-9492", "Link")</f>
        <v/>
      </c>
      <c r="H2588" s="6">
        <f>HYPERLINK("C:\Projects\Kleinanzeigen-Scraper\offer_images\2032464292", "Link")</f>
        <v/>
      </c>
      <c r="I2588" t="inlineStr">
        <is>
          <t>No user name</t>
        </is>
      </c>
      <c r="J2588" s="6">
        <f>HYPERLINK("https://www.kleinanzeigen.deNo user link", "Link")</f>
        <v/>
      </c>
      <c r="K2588" s="7" t="n">
        <v>45549.57165509259</v>
      </c>
      <c r="L2588" s="3" t="inlineStr">
        <is>
          <t>362.41</t>
        </is>
      </c>
      <c r="M2588" t="inlineStr">
        <is>
          <t>Köln</t>
        </is>
      </c>
    </row>
    <row r="2589">
      <c r="A2589" t="inlineStr">
        <is>
          <t>Duotone Click Bar Quad Control 2024 M 22-24m TOP</t>
        </is>
      </c>
      <c r="B2589" s="4" t="n">
        <v>399</v>
      </c>
      <c r="C2589" t="inlineStr"/>
      <c r="D2589" t="inlineStr">
        <is>
          <t>86899 Bayern - Landsberg (Lech)</t>
        </is>
      </c>
      <c r="E2589" s="5" t="n">
        <v>45539</v>
      </c>
      <c r="F2589" t="inlineStr">
        <is>
          <t>Sold</t>
        </is>
      </c>
      <c r="G2589" s="6">
        <f>HYPERLINK("https://www.kleinanzeigen.de/s-anzeige/duotone-click-bar-quad-control-2024-m-22-24m-top/2854391328-230-7091", "Link")</f>
        <v/>
      </c>
      <c r="H2589" s="6">
        <f>HYPERLINK("C:\Projects\Kleinanzeigen-Scraper\offer_images\2854391328", "Link")</f>
        <v/>
      </c>
      <c r="I2589" t="inlineStr">
        <is>
          <t>Chris</t>
        </is>
      </c>
      <c r="J2589" s="6">
        <f>HYPERLINK("https://www.kleinanzeigen.de/s-bestandsliste.html?userId=16182812", "Link")</f>
        <v/>
      </c>
      <c r="K2589" s="7" t="n">
        <v>45549.57165509259</v>
      </c>
      <c r="L2589" s="3" t="inlineStr">
        <is>
          <t>55.05</t>
        </is>
      </c>
      <c r="M2589" t="inlineStr">
        <is>
          <t>München</t>
        </is>
      </c>
    </row>
    <row r="2590">
      <c r="A2590" t="inlineStr">
        <is>
          <t>GOYA Triton Acrylfarbe 2,5-Liter, Primärblau, NEU!</t>
        </is>
      </c>
      <c r="B2590" s="4" t="n">
        <v>12</v>
      </c>
      <c r="C2590" t="inlineStr"/>
      <c r="D2590" t="inlineStr">
        <is>
          <t>64297 Hessen - Darmstadt</t>
        </is>
      </c>
      <c r="E2590" s="5" t="n">
        <v>45547</v>
      </c>
      <c r="F2590" t="inlineStr">
        <is>
          <t>Sold</t>
        </is>
      </c>
      <c r="G2590" s="6">
        <f>HYPERLINK("https://www.kleinanzeigen.de/s-anzeige/goya-triton-acrylfarbe-2-5-liter-primaerblau-neu-/2861268971-282-4890", "Link")</f>
        <v/>
      </c>
      <c r="H2590" s="6">
        <f>HYPERLINK("C:\Projects\Kleinanzeigen-Scraper\offer_images\2861268971", "Link")</f>
        <v/>
      </c>
      <c r="I2590" t="inlineStr">
        <is>
          <t>N.S.</t>
        </is>
      </c>
      <c r="J2590" s="6">
        <f>HYPERLINK("https://www.kleinanzeigen.de/s-bestandsliste.html?userId=80042538", "Link")</f>
        <v/>
      </c>
      <c r="K2590" s="7" t="n">
        <v>45549.57165509259</v>
      </c>
      <c r="L2590" s="3" t="inlineStr">
        <is>
          <t>92.80</t>
        </is>
      </c>
      <c r="M2590" t="inlineStr">
        <is>
          <t>Karlsruhe</t>
        </is>
      </c>
    </row>
    <row r="2591">
      <c r="A2591" t="inlineStr">
        <is>
          <t>Duotone Wing Unit 4m 2023</t>
        </is>
      </c>
      <c r="B2591" s="4" t="n">
        <v>500</v>
      </c>
      <c r="C2591" t="inlineStr"/>
      <c r="D2591" t="inlineStr">
        <is>
          <t>88131 Bayern - Lindau</t>
        </is>
      </c>
      <c r="E2591" s="5" t="n">
        <v>45542</v>
      </c>
      <c r="F2591" t="inlineStr">
        <is>
          <t>Sold</t>
        </is>
      </c>
      <c r="G2591" s="6">
        <f>HYPERLINK("https://www.kleinanzeigen.de/s-anzeige/duotone-wing-unit-4m-2023/2856386068-230-7707", "Link")</f>
        <v/>
      </c>
      <c r="H2591" s="6">
        <f>HYPERLINK("C:\Projects\Kleinanzeigen-Scraper\offer_images\2856386068", "Link")</f>
        <v/>
      </c>
      <c r="I2591" t="inlineStr">
        <is>
          <t>dietmar stiplovsek</t>
        </is>
      </c>
      <c r="J2591" s="6">
        <f>HYPERLINK("https://www.kleinanzeigen.de/s-bestandsliste.html?userId=50665163", "Link")</f>
        <v/>
      </c>
      <c r="K2591" s="7" t="n">
        <v>45549.57164351852</v>
      </c>
      <c r="L2591" s="3" t="inlineStr">
        <is>
          <t>104.13</t>
        </is>
      </c>
      <c r="M2591" t="inlineStr">
        <is>
          <t>Bonndorf</t>
        </is>
      </c>
    </row>
    <row r="2592">
      <c r="A2592" t="inlineStr">
        <is>
          <t>North Juice 15 qm (heute Duotone) - kite only</t>
        </is>
      </c>
      <c r="B2592" s="4" t="n">
        <v>700</v>
      </c>
      <c r="C2592" t="inlineStr">
        <is>
          <t>VB</t>
        </is>
      </c>
      <c r="D2592" t="inlineStr">
        <is>
          <t>22143 Wandsbek - Hamburg Rahlstedt</t>
        </is>
      </c>
      <c r="E2592" s="5" t="n">
        <v>45543</v>
      </c>
      <c r="F2592" t="inlineStr">
        <is>
          <t>Sold</t>
        </is>
      </c>
      <c r="G2592" s="6">
        <f>HYPERLINK("https://www.kleinanzeigen.de/s-anzeige/north-juice-15-qm-heute-duotone-kite-only/2857748961-230-9455", "Link")</f>
        <v/>
      </c>
      <c r="H2592" s="6">
        <f>HYPERLINK("C:\Projects\Kleinanzeigen-Scraper\offer_images\2857748961", "Link")</f>
        <v/>
      </c>
      <c r="I2592" t="inlineStr">
        <is>
          <t>Sebastian</t>
        </is>
      </c>
      <c r="J2592" s="6">
        <f>HYPERLINK("https://www.kleinanzeigen.de/s-bestandsliste.html?userId=9628886", "Link")</f>
        <v/>
      </c>
      <c r="K2592" s="7" t="n">
        <v>45549.57164351852</v>
      </c>
      <c r="L2592" s="3" t="inlineStr">
        <is>
          <t>368.45</t>
        </is>
      </c>
      <c r="M2592" t="inlineStr">
        <is>
          <t>Köln</t>
        </is>
      </c>
    </row>
    <row r="2593">
      <c r="A2593" t="inlineStr">
        <is>
          <t>Wasserschutzweste/Wakeboardweste Damen Naish XS - neu</t>
        </is>
      </c>
      <c r="B2593" s="4" t="n">
        <v>35</v>
      </c>
      <c r="C2593" t="inlineStr">
        <is>
          <t>VB</t>
        </is>
      </c>
      <c r="D2593" t="inlineStr">
        <is>
          <t>26125 Niedersachsen - Oldenburg</t>
        </is>
      </c>
      <c r="E2593" s="5" t="n">
        <v>45460</v>
      </c>
      <c r="F2593" t="inlineStr">
        <is>
          <t>Sold</t>
        </is>
      </c>
      <c r="G2593" s="6">
        <f>HYPERLINK("https://www.kleinanzeigen.de/s-anzeige/wasserschutzweste-wakeboardweste-damen-naish-xs-neu/2790369000-230-3111", "Link")</f>
        <v/>
      </c>
      <c r="H2593" s="6">
        <f>HYPERLINK("C:\Projects\Kleinanzeigen-Scraper\offer_images\2790369000", "Link")</f>
        <v/>
      </c>
      <c r="I2593" t="inlineStr">
        <is>
          <t>Nina</t>
        </is>
      </c>
      <c r="J2593" s="6">
        <f>HYPERLINK("https://www.kleinanzeigen.de/s-bestandsliste.html?userId=17168699", "Link")</f>
        <v/>
      </c>
      <c r="K2593" s="7" t="n">
        <v>45549.57163194445</v>
      </c>
      <c r="L2593" s="3" t="inlineStr">
        <is>
          <t>264.10</t>
        </is>
      </c>
      <c r="M2593" t="inlineStr">
        <is>
          <t>Köln</t>
        </is>
      </c>
    </row>
    <row r="2594">
      <c r="A2594" t="inlineStr">
        <is>
          <t>Duotone Juice 17m2 Top Zustand</t>
        </is>
      </c>
      <c r="B2594" s="4" t="n">
        <v>750</v>
      </c>
      <c r="C2594" t="inlineStr">
        <is>
          <t>VB</t>
        </is>
      </c>
      <c r="D2594" t="inlineStr">
        <is>
          <t>41751 Nordrhein-Westfalen - Viersen</t>
        </is>
      </c>
      <c r="E2594" s="5" t="n">
        <v>45549</v>
      </c>
      <c r="F2594" t="inlineStr">
        <is>
          <t>Sold</t>
        </is>
      </c>
      <c r="G2594" s="6">
        <f>HYPERLINK("https://www.kleinanzeigen.de/s-anzeige/duotone-juice-17m2-top-zustand/2862723320-230-1788", "Link")</f>
        <v/>
      </c>
      <c r="H2594" s="6">
        <f>HYPERLINK("C:\Projects\Kleinanzeigen-Scraper\offer_images\2862723320", "Link")</f>
        <v/>
      </c>
      <c r="I2594" t="inlineStr">
        <is>
          <t>Dieter</t>
        </is>
      </c>
      <c r="J2594" s="6">
        <f>HYPERLINK("https://www.kleinanzeigen.de/s-bestandsliste.html?userId=6084320", "Link")</f>
        <v/>
      </c>
      <c r="K2594" s="7" t="n">
        <v>45549.57163194445</v>
      </c>
      <c r="L2594" s="3" t="inlineStr">
        <is>
          <t>56.16</t>
        </is>
      </c>
      <c r="M2594" t="inlineStr">
        <is>
          <t>Köln</t>
        </is>
      </c>
    </row>
    <row r="2595">
      <c r="A2595" t="inlineStr">
        <is>
          <t>The North Face Skijacke Größe M</t>
        </is>
      </c>
      <c r="B2595" s="4" t="n">
        <v>250</v>
      </c>
      <c r="C2595" t="inlineStr">
        <is>
          <t>VB</t>
        </is>
      </c>
      <c r="D2595" t="inlineStr">
        <is>
          <t>92256 Bayern - Hahnbach</t>
        </is>
      </c>
      <c r="E2595" s="5" t="n">
        <v>45549</v>
      </c>
      <c r="F2595" t="inlineStr">
        <is>
          <t>Sold</t>
        </is>
      </c>
      <c r="G2595" s="6">
        <f>HYPERLINK("https://www.kleinanzeigen.de/s-anzeige/the-north-face-skijacke-groesse-m/2862628295-230-5638", "Link")</f>
        <v/>
      </c>
      <c r="H2595" s="6">
        <f>HYPERLINK("C:\Projects\Kleinanzeigen-Scraper\offer_images\2862628295", "Link")</f>
        <v/>
      </c>
      <c r="I2595" t="inlineStr">
        <is>
          <t>Matthias</t>
        </is>
      </c>
      <c r="J2595" s="6">
        <f>HYPERLINK("https://www.kleinanzeigen.de/s-bestandsliste.html?userId=35789264", "Link")</f>
        <v/>
      </c>
      <c r="K2595" s="7" t="n">
        <v>45549.57160879629</v>
      </c>
      <c r="L2595" s="3" t="inlineStr">
        <is>
          <t>155.66</t>
        </is>
      </c>
      <c r="M2595" t="inlineStr">
        <is>
          <t>München</t>
        </is>
      </c>
    </row>
    <row r="2596">
      <c r="A2596" t="inlineStr">
        <is>
          <t>Naish Jet Foil MA Semi-Complete  1200 (no mast)  2022</t>
        </is>
      </c>
      <c r="B2596" s="4" t="n">
        <v>1.199</v>
      </c>
      <c r="C2596" t="inlineStr">
        <is>
          <t>VB</t>
        </is>
      </c>
      <c r="D2596" t="inlineStr">
        <is>
          <t>82319 Bayern - Starnberg</t>
        </is>
      </c>
      <c r="E2596" s="5" t="n">
        <v>45562</v>
      </c>
      <c r="F2596" t="inlineStr"/>
      <c r="G2596" s="6">
        <f>HYPERLINK("https://www.kleinanzeigen.de/s-anzeige/naish-jet-foil-ma-semi-complete-1200-no-mast-2022/2076161342-230-5525", "Link")</f>
        <v/>
      </c>
      <c r="H2596" s="6">
        <f>HYPERLINK("C:\Projects\Kleinanzeigen-Scraper\offer_images\2076161342", "Link")</f>
        <v/>
      </c>
      <c r="I2596" t="inlineStr">
        <is>
          <t>No user name</t>
        </is>
      </c>
      <c r="J2596" s="6">
        <f>HYPERLINK("https://www.kleinanzeigen.deNo user link", "Link")</f>
        <v/>
      </c>
      <c r="K2596" s="7" t="n">
        <v>45549.57160879629</v>
      </c>
      <c r="L2596" s="3" t="inlineStr">
        <is>
          <t>23.17</t>
        </is>
      </c>
      <c r="M2596" t="inlineStr">
        <is>
          <t>München</t>
        </is>
      </c>
    </row>
    <row r="2597">
      <c r="A2597" t="inlineStr">
        <is>
          <t>North Camp Schlafsack grün Top Neuwertig</t>
        </is>
      </c>
      <c r="B2597" s="4" t="n">
        <v>10</v>
      </c>
      <c r="C2597" t="inlineStr"/>
      <c r="D2597" t="inlineStr">
        <is>
          <t>48249 Nordrhein-Westfalen - Dülmen</t>
        </is>
      </c>
      <c r="E2597" s="5" t="n">
        <v>45547</v>
      </c>
      <c r="F2597" t="inlineStr">
        <is>
          <t>Sold</t>
        </is>
      </c>
      <c r="G2597" s="6">
        <f>HYPERLINK("https://www.kleinanzeigen.de/s-anzeige/north-camp-schlafsack-gruen-top-neuwertig/2861511873-230-1331", "Link")</f>
        <v/>
      </c>
      <c r="H2597" s="6">
        <f>HYPERLINK("C:\Projects\Kleinanzeigen-Scraper\offer_images\2861511873", "Link")</f>
        <v/>
      </c>
      <c r="I2597" t="inlineStr">
        <is>
          <t>Christoph</t>
        </is>
      </c>
      <c r="J2597" s="6">
        <f>HYPERLINK("https://www.kleinanzeigen.de/s-bestandsliste.html?userId=12175965", "Link")</f>
        <v/>
      </c>
      <c r="K2597" s="7" t="n">
        <v>45549.57160879629</v>
      </c>
      <c r="L2597" s="3" t="inlineStr">
        <is>
          <t>105.23</t>
        </is>
      </c>
      <c r="M2597" t="inlineStr">
        <is>
          <t>Köln</t>
        </is>
      </c>
    </row>
    <row r="2598">
      <c r="A2598" t="inlineStr">
        <is>
          <t>antike Münze der Vandalen in Nordafrika 5,Jh.</t>
        </is>
      </c>
      <c r="B2598" s="4" t="n">
        <v>36</v>
      </c>
      <c r="C2598" t="inlineStr"/>
      <c r="D2598" t="inlineStr">
        <is>
          <t>44357 Dortmund - Westerfilde</t>
        </is>
      </c>
      <c r="E2598" s="5" t="n">
        <v>44981</v>
      </c>
      <c r="F2598" t="inlineStr"/>
      <c r="G2598" s="6">
        <f>HYPERLINK("https://www.kleinanzeigen.de/s-anzeige/antike-muenze-der-vandalen-in-nordafrika-5-jh-/2367696505-234-20672", "Link")</f>
        <v/>
      </c>
      <c r="H2598" s="6">
        <f>HYPERLINK("C:\Projects\Kleinanzeigen-Scraper\offer_images\2367696505", "Link")</f>
        <v/>
      </c>
      <c r="I2598" t="inlineStr">
        <is>
          <t>Dortmunder Boy</t>
        </is>
      </c>
      <c r="J2598" s="6">
        <f>HYPERLINK("https://www.kleinanzeigen.de/s-bestandsliste.html?userId=41322115", "Link")</f>
        <v/>
      </c>
      <c r="K2598" s="7" t="n">
        <v>45549.57160879629</v>
      </c>
      <c r="L2598" s="3" t="inlineStr">
        <is>
          <t>74.02</t>
        </is>
      </c>
      <c r="M2598" t="inlineStr">
        <is>
          <t>Köln</t>
        </is>
      </c>
    </row>
    <row r="2599">
      <c r="A2599" t="inlineStr">
        <is>
          <t>Fanatic Wing Aero Lift Komplettset // Wingfoil Foil Set</t>
        </is>
      </c>
      <c r="B2599" s="4" t="n">
        <v>550</v>
      </c>
      <c r="C2599" t="inlineStr"/>
      <c r="D2599" t="inlineStr">
        <is>
          <t>24235 Schleswig-Holstein - Stein (Probstei)</t>
        </is>
      </c>
      <c r="E2599" s="5" t="n">
        <v>45547</v>
      </c>
      <c r="F2599" t="inlineStr">
        <is>
          <t>Sold</t>
        </is>
      </c>
      <c r="G2599" s="6">
        <f>HYPERLINK("https://www.kleinanzeigen.de/s-anzeige/fanatic-wing-aero-lift-komplettset-wingfoil-foil-set/2861198502-230-19456", "Link")</f>
        <v/>
      </c>
      <c r="H2599" s="6">
        <f>HYPERLINK("C:\Projects\Kleinanzeigen-Scraper\offer_images\2861198502", "Link")</f>
        <v/>
      </c>
      <c r="I2599" t="inlineStr">
        <is>
          <t>Tatort-Hawaii</t>
        </is>
      </c>
      <c r="J2599" s="6">
        <f>HYPERLINK("https://www.kleinanzeigen.de/s-bestandsliste.html?userId=65290662", "Link")</f>
        <v/>
      </c>
      <c r="K2599" s="7" t="n">
        <v>45549.57160879629</v>
      </c>
      <c r="L2599" s="3" t="inlineStr">
        <is>
          <t>443.73</t>
        </is>
      </c>
      <c r="M2599" t="inlineStr">
        <is>
          <t>Köln</t>
        </is>
      </c>
    </row>
    <row r="2600">
      <c r="A2600" t="inlineStr">
        <is>
          <t>Fanatic Fly Air SUP Set</t>
        </is>
      </c>
      <c r="B2600" s="4" t="n">
        <v>250</v>
      </c>
      <c r="C2600" t="inlineStr"/>
      <c r="D2600" t="inlineStr">
        <is>
          <t>78465 Baden-Württemberg - Konstanz</t>
        </is>
      </c>
      <c r="E2600" s="5" t="n">
        <v>45512</v>
      </c>
      <c r="F2600" t="inlineStr">
        <is>
          <t>Sold</t>
        </is>
      </c>
      <c r="G2600" s="6">
        <f>HYPERLINK("https://www.kleinanzeigen.de/s-anzeige/fanatic-fly-air-sup-set/2831941672-230-9388", "Link")</f>
        <v/>
      </c>
      <c r="H2600" s="6">
        <f>HYPERLINK("C:\Projects\Kleinanzeigen-Scraper\offer_images\2831941672", "Link")</f>
        <v/>
      </c>
      <c r="I2600" t="inlineStr">
        <is>
          <t>BS</t>
        </is>
      </c>
      <c r="J2600" s="6">
        <f>HYPERLINK("https://www.kleinanzeigen.de/s-bestandsliste.html?userId=25961129", "Link")</f>
        <v/>
      </c>
      <c r="K2600" s="7" t="n">
        <v>45549.57158564815</v>
      </c>
      <c r="L2600" s="3" t="inlineStr">
        <is>
          <t>62.07</t>
        </is>
      </c>
      <c r="M2600" t="inlineStr">
        <is>
          <t>Bonndorf</t>
        </is>
      </c>
    </row>
    <row r="2601">
      <c r="A2601" t="inlineStr">
        <is>
          <t>North-Ireland 5 pounds 1959 XF/AU</t>
        </is>
      </c>
      <c r="B2601" s="4" t="inlineStr"/>
      <c r="C2601" t="inlineStr">
        <is>
          <t>VB</t>
        </is>
      </c>
      <c r="D2601" t="inlineStr">
        <is>
          <t>13353 Mitte - Wedding</t>
        </is>
      </c>
      <c r="E2601" s="5" t="n">
        <v>45536</v>
      </c>
      <c r="F2601" t="inlineStr">
        <is>
          <t>Sold</t>
        </is>
      </c>
      <c r="G2601" s="6">
        <f>HYPERLINK("https://www.kleinanzeigen.de/s-anzeige/north-ireland-5-pounds-1959-xf-au/2852097171-234-3507", "Link")</f>
        <v/>
      </c>
      <c r="H2601" s="6">
        <f>HYPERLINK("C:\Projects\Kleinanzeigen-Scraper\offer_images\2852097171", "Link")</f>
        <v/>
      </c>
      <c r="I2601" t="inlineStr">
        <is>
          <t>Victorius</t>
        </is>
      </c>
      <c r="J2601" s="6">
        <f>HYPERLINK("https://www.kleinanzeigen.de/s-bestandsliste.html?userId=132519113", "Link")</f>
        <v/>
      </c>
      <c r="K2601" s="7" t="n">
        <v>45549.57158564815</v>
      </c>
      <c r="L2601" s="3" t="inlineStr">
        <is>
          <t>474.94</t>
        </is>
      </c>
      <c r="M2601" t="inlineStr">
        <is>
          <t>Köln</t>
        </is>
      </c>
    </row>
    <row r="2602">
      <c r="A2602" t="inlineStr">
        <is>
          <t>NEU A.Jensen Pena Fliegenrolle Klasse 2/4 Sage Click Simms</t>
        </is>
      </c>
      <c r="B2602" s="4" t="n">
        <v>210</v>
      </c>
      <c r="C2602" t="inlineStr">
        <is>
          <t>VB</t>
        </is>
      </c>
      <c r="D2602" t="inlineStr">
        <is>
          <t>14770 Brandenburg - Brandenburg an der Havel</t>
        </is>
      </c>
      <c r="E2602" s="5" t="n">
        <v>45101</v>
      </c>
      <c r="F2602" t="inlineStr"/>
      <c r="G2602" s="6">
        <f>HYPERLINK("https://www.kleinanzeigen.de/s-anzeige/neu-a-jensen-pena-fliegenrolle-klasse-2-4-sage-click-simms/2476668634-187-7739", "Link")</f>
        <v/>
      </c>
      <c r="H2602" s="6">
        <f>HYPERLINK("C:\Projects\Kleinanzeigen-Scraper\offer_images\2476668634", "Link")</f>
        <v/>
      </c>
      <c r="I2602" t="inlineStr">
        <is>
          <t>Paul</t>
        </is>
      </c>
      <c r="J2602" s="6">
        <f>HYPERLINK("https://www.kleinanzeigen.de/s-bestandsliste.html?userId=23023096", "Link")</f>
        <v/>
      </c>
      <c r="K2602" s="7" t="n">
        <v>45549.5715625</v>
      </c>
      <c r="L2602" s="3" t="inlineStr">
        <is>
          <t>416.86</t>
        </is>
      </c>
      <c r="M2602" t="inlineStr">
        <is>
          <t>Köln</t>
        </is>
      </c>
    </row>
    <row r="2603">
      <c r="A2603" t="inlineStr">
        <is>
          <t>Neilpryde-Damen-Shorty, Surfen, Kiten, SUP, ungetragen, Gr. 36</t>
        </is>
      </c>
      <c r="B2603" s="4" t="n">
        <v>45</v>
      </c>
      <c r="C2603" t="inlineStr">
        <is>
          <t>VB</t>
        </is>
      </c>
      <c r="D2603" t="inlineStr">
        <is>
          <t>33615 Bielefeld - Bielefeld (Innenstadt)</t>
        </is>
      </c>
      <c r="E2603" s="5" t="n">
        <v>45438</v>
      </c>
      <c r="F2603" t="inlineStr">
        <is>
          <t>Sold</t>
        </is>
      </c>
      <c r="G2603" s="6">
        <f>HYPERLINK("https://www.kleinanzeigen.de/s-anzeige/neilpryde-damen-shorty-surfen-kiten-sup-ungetragen-gr-36/2771904647-230-1058", "Link")</f>
        <v/>
      </c>
      <c r="H2603" s="6">
        <f>HYPERLINK("C:\Projects\Kleinanzeigen-Scraper\offer_images\2771904647", "Link")</f>
        <v/>
      </c>
      <c r="I2603" t="inlineStr">
        <is>
          <t>Carola Giller</t>
        </is>
      </c>
      <c r="J2603" s="6">
        <f>HYPERLINK("https://www.kleinanzeigen.de/s-bestandsliste.html?userId=7988525", "Link")</f>
        <v/>
      </c>
      <c r="K2603" s="7" t="n">
        <v>45549.5715625</v>
      </c>
      <c r="L2603" s="3" t="inlineStr">
        <is>
          <t>162.21</t>
        </is>
      </c>
      <c r="M2603" t="inlineStr">
        <is>
          <t>Köln</t>
        </is>
      </c>
    </row>
    <row r="2604">
      <c r="A2604" t="inlineStr">
        <is>
          <t>Simms Watschuhe Damen 38</t>
        </is>
      </c>
      <c r="B2604" s="4" t="n">
        <v>155</v>
      </c>
      <c r="C2604" t="inlineStr"/>
      <c r="D2604" t="inlineStr">
        <is>
          <t>65549 Hessen - Limburg</t>
        </is>
      </c>
      <c r="E2604" s="5" t="n">
        <v>45433</v>
      </c>
      <c r="F2604" t="inlineStr">
        <is>
          <t>Sold</t>
        </is>
      </c>
      <c r="G2604" s="6">
        <f>HYPERLINK("https://www.kleinanzeigen.de/s-anzeige/simms-watschuhe-damen-38/2767815712-242-4376", "Link")</f>
        <v/>
      </c>
      <c r="H2604" s="6">
        <f>HYPERLINK("C:\Projects\Kleinanzeigen-Scraper\offer_images\2767815712", "Link")</f>
        <v/>
      </c>
      <c r="I2604" t="inlineStr">
        <is>
          <t>Privat</t>
        </is>
      </c>
      <c r="J2604" s="6">
        <f>HYPERLINK("https://www.kleinanzeigen.de/s-bestandsliste.html?userId=9276536", "Link")</f>
        <v/>
      </c>
      <c r="K2604" s="7" t="n">
        <v>45549.5715625</v>
      </c>
      <c r="L2604" s="3" t="inlineStr">
        <is>
          <t>99.84</t>
        </is>
      </c>
      <c r="M2604" t="inlineStr">
        <is>
          <t>Köln</t>
        </is>
      </c>
    </row>
    <row r="2605">
      <c r="A2605" t="inlineStr">
        <is>
          <t>AT43 Rackham Cogs Vandal, C-Naps, Massband</t>
        </is>
      </c>
      <c r="B2605" s="4" t="n">
        <v>5</v>
      </c>
      <c r="C2605" t="inlineStr"/>
      <c r="D2605" t="inlineStr">
        <is>
          <t>89231 Bayern - Neu Ulm</t>
        </is>
      </c>
      <c r="E2605" s="5" t="n">
        <v>44888</v>
      </c>
      <c r="F2605" t="inlineStr"/>
      <c r="G2605" s="6">
        <f>HYPERLINK("https://www.kleinanzeigen.de/s-anzeige/at43-rackham-cogs-vandal-c-naps-massband/2282529276-249-6681", "Link")</f>
        <v/>
      </c>
      <c r="H2605" s="6">
        <f>HYPERLINK("C:\Projects\Kleinanzeigen-Scraper\offer_images\2282529276", "Link")</f>
        <v/>
      </c>
      <c r="I2605" t="inlineStr">
        <is>
          <t>Crow</t>
        </is>
      </c>
      <c r="J2605" s="6">
        <f>HYPERLINK("https://www.kleinanzeigen.de/s-bestandsliste.html?userId=4397138", "Link")</f>
        <v/>
      </c>
      <c r="K2605" s="7" t="n">
        <v>45549.57155092592</v>
      </c>
      <c r="L2605" s="3" t="inlineStr">
        <is>
          <t>83.18</t>
        </is>
      </c>
      <c r="M2605" t="inlineStr">
        <is>
          <t>Böblingen</t>
        </is>
      </c>
    </row>
    <row r="2606">
      <c r="A2606" t="inlineStr">
        <is>
          <t>4 Kreul Keilrahmen - Solo Goya - Basic Line 10x10cm</t>
        </is>
      </c>
      <c r="B2606" s="4" t="n">
        <v>5</v>
      </c>
      <c r="C2606" t="inlineStr">
        <is>
          <t>VB</t>
        </is>
      </c>
      <c r="D2606" t="inlineStr">
        <is>
          <t>99085 Thüringen - Erfurt</t>
        </is>
      </c>
      <c r="E2606" s="5" t="n">
        <v>45490</v>
      </c>
      <c r="F2606" t="inlineStr">
        <is>
          <t>Sold</t>
        </is>
      </c>
      <c r="G2606" s="6">
        <f>HYPERLINK("https://www.kleinanzeigen.de/s-anzeige/4-kreul-keilrahmen-solo-goya-basic-line-10x10cm/2814324592-282-3749", "Link")</f>
        <v/>
      </c>
      <c r="H2606" s="6">
        <f>HYPERLINK("C:\Projects\Kleinanzeigen-Scraper\offer_images\2814324592", "Link")</f>
        <v/>
      </c>
      <c r="I2606" t="inlineStr">
        <is>
          <t>Petra</t>
        </is>
      </c>
      <c r="J2606" s="6">
        <f>HYPERLINK("https://www.kleinanzeigen.de/s-bestandsliste.html?userId=79705943", "Link")</f>
        <v/>
      </c>
      <c r="K2606" s="7" t="n">
        <v>45549.57153935185</v>
      </c>
      <c r="L2606" s="3" t="inlineStr">
        <is>
          <t>287.24</t>
        </is>
      </c>
      <c r="M2606" t="inlineStr">
        <is>
          <t>Köln</t>
        </is>
      </c>
    </row>
    <row r="2607">
      <c r="A2607" t="inlineStr">
        <is>
          <t>Kitesurf NORTH ORBIT 12  NEU NEW</t>
        </is>
      </c>
      <c r="B2607" s="4" t="n">
        <v>990</v>
      </c>
      <c r="C2607" t="inlineStr"/>
      <c r="D2607" t="inlineStr">
        <is>
          <t>87629 Bayern - Füssen</t>
        </is>
      </c>
      <c r="E2607" s="5" t="n">
        <v>45548</v>
      </c>
      <c r="F2607" t="inlineStr">
        <is>
          <t>Sold</t>
        </is>
      </c>
      <c r="G2607" s="6">
        <f>HYPERLINK("https://www.kleinanzeigen.de/s-anzeige/kitesurf-north-orbit-12-neu-new/2861934236-230-6564", "Link")</f>
        <v/>
      </c>
      <c r="H2607" s="6">
        <f>HYPERLINK("C:\Projects\Kleinanzeigen-Scraper\offer_images\2861934236", "Link")</f>
        <v/>
      </c>
      <c r="I2607" t="inlineStr">
        <is>
          <t>Claus</t>
        </is>
      </c>
      <c r="J2607" s="6">
        <f>HYPERLINK("https://www.kleinanzeigen.de/s-bestandsliste.html?userId=82330438", "Link")</f>
        <v/>
      </c>
      <c r="K2607" s="7" t="n">
        <v>45549.5715162037</v>
      </c>
      <c r="L2607" s="3" t="inlineStr">
        <is>
          <t>92.19</t>
        </is>
      </c>
      <c r="M2607" t="inlineStr">
        <is>
          <t>München</t>
        </is>
      </c>
    </row>
    <row r="2608">
      <c r="A2608" t="inlineStr">
        <is>
          <t>Naish Wing Surfer S26 Handheld Wing &amp; Foilwing Blue 4.6m</t>
        </is>
      </c>
      <c r="B2608" s="4" t="n">
        <v>350</v>
      </c>
      <c r="C2608" t="inlineStr">
        <is>
          <t>VB</t>
        </is>
      </c>
      <c r="D2608" t="inlineStr">
        <is>
          <t>85551 Kr. München - Kirchheim bei München</t>
        </is>
      </c>
      <c r="E2608" s="5" t="n">
        <v>45482</v>
      </c>
      <c r="F2608" t="inlineStr">
        <is>
          <t>Sold</t>
        </is>
      </c>
      <c r="G2608" s="6">
        <f>HYPERLINK("https://www.kleinanzeigen.de/s-anzeige/naish-wing-surfer-s26-handheld-wing-foilwing-blue-4-6m/2808211410-230-5578", "Link")</f>
        <v/>
      </c>
      <c r="H2608" s="6">
        <f>HYPERLINK("C:\Projects\Kleinanzeigen-Scraper\offer_images\2808211410", "Link")</f>
        <v/>
      </c>
      <c r="I2608" t="inlineStr">
        <is>
          <t>Eva S.</t>
        </is>
      </c>
      <c r="J2608" s="6">
        <f>HYPERLINK("https://www.kleinanzeigen.de/s-bestandsliste.html?userId=28237366", "Link")</f>
        <v/>
      </c>
      <c r="K2608" s="7" t="n">
        <v>45549.5715162037</v>
      </c>
      <c r="L2608" s="3" t="inlineStr">
        <is>
          <t>13.82</t>
        </is>
      </c>
      <c r="M2608" t="inlineStr">
        <is>
          <t>München</t>
        </is>
      </c>
    </row>
    <row r="2609">
      <c r="A2609" t="inlineStr">
        <is>
          <t>Naish Wing 4.0 qm</t>
        </is>
      </c>
      <c r="B2609" s="4" t="n">
        <v>280</v>
      </c>
      <c r="C2609" t="inlineStr"/>
      <c r="D2609" t="inlineStr">
        <is>
          <t>76135 Baden-Württemberg - Karlsruhe</t>
        </is>
      </c>
      <c r="E2609" s="5" t="n">
        <v>45490</v>
      </c>
      <c r="F2609" t="inlineStr">
        <is>
          <t>Sold</t>
        </is>
      </c>
      <c r="G2609" s="6">
        <f>HYPERLINK("https://www.kleinanzeigen.de/s-anzeige/naish-wing-4-0-qm/2814362033-230-9193", "Link")</f>
        <v/>
      </c>
      <c r="H2609" s="6">
        <f>HYPERLINK("C:\Projects\Kleinanzeigen-Scraper\offer_images\2814362033", "Link")</f>
        <v/>
      </c>
      <c r="I2609" t="inlineStr">
        <is>
          <t>Jule G.</t>
        </is>
      </c>
      <c r="J2609" s="6">
        <f>HYPERLINK("https://www.kleinanzeigen.de/s-bestandsliste.html?userId=59994447", "Link")</f>
        <v/>
      </c>
      <c r="K2609" s="7" t="n">
        <v>45549.57150462963</v>
      </c>
      <c r="L2609" s="3" t="inlineStr">
        <is>
          <t>1.79</t>
        </is>
      </c>
      <c r="M2609" t="inlineStr">
        <is>
          <t>Karlsruhe</t>
        </is>
      </c>
    </row>
    <row r="2610">
      <c r="A2610" t="inlineStr">
        <is>
          <t>Duotone Unit Dlab 5.0 5,0 qm Wing Wingfoil</t>
        </is>
      </c>
      <c r="B2610" s="4" t="n">
        <v>550</v>
      </c>
      <c r="C2610" t="inlineStr">
        <is>
          <t>VB</t>
        </is>
      </c>
      <c r="D2610" t="inlineStr">
        <is>
          <t>86972 Bayern - Altenstadt</t>
        </is>
      </c>
      <c r="E2610" s="5" t="n">
        <v>45545</v>
      </c>
      <c r="F2610" t="inlineStr">
        <is>
          <t>Sold</t>
        </is>
      </c>
      <c r="G2610" s="6">
        <f>HYPERLINK("https://www.kleinanzeigen.de/s-anzeige/duotone-unit-dlab-5-0-5-0-qm-wing-wingfoil/2859173235-230-6557", "Link")</f>
        <v/>
      </c>
      <c r="H2610" s="6">
        <f>HYPERLINK("C:\Projects\Kleinanzeigen-Scraper\offer_images\2859173235", "Link")</f>
        <v/>
      </c>
      <c r="I2610" t="inlineStr">
        <is>
          <t>Johannes</t>
        </is>
      </c>
      <c r="J2610" s="6">
        <f>HYPERLINK("https://www.kleinanzeigen.de/s-bestandsliste.html?userId=43847253", "Link")</f>
        <v/>
      </c>
      <c r="K2610" s="7" t="n">
        <v>45549.57149305556</v>
      </c>
      <c r="L2610" s="3" t="inlineStr">
        <is>
          <t>62.44</t>
        </is>
      </c>
      <c r="M2610" t="inlineStr">
        <is>
          <t>München</t>
        </is>
      </c>
    </row>
    <row r="2611">
      <c r="A2611" t="inlineStr">
        <is>
          <t>Vorzelt Isabella Capri Coast North G18 975 - 10% Aktionsrabatt</t>
        </is>
      </c>
      <c r="B2611" s="4" t="n">
        <v>2.555</v>
      </c>
      <c r="C2611" t="inlineStr"/>
      <c r="D2611" t="inlineStr">
        <is>
          <t>48432 Nordrhein-Westfalen - Rheine</t>
        </is>
      </c>
      <c r="E2611" s="5" t="n">
        <v>45542</v>
      </c>
      <c r="F2611" t="inlineStr">
        <is>
          <t>Sold</t>
        </is>
      </c>
      <c r="G2611" s="6">
        <f>HYPERLINK("https://www.kleinanzeigen.de/s-anzeige/vorzelt-isabella-capri-coast-north-g18-975-10-aktionsrabatt/2246188617-230-1783", "Link")</f>
        <v/>
      </c>
      <c r="H2611" s="6">
        <f>HYPERLINK("C:\Projects\Kleinanzeigen-Scraper\offer_images\2246188617", "Link")</f>
        <v/>
      </c>
      <c r="I2611" t="inlineStr">
        <is>
          <t>No user name</t>
        </is>
      </c>
      <c r="J2611" s="6">
        <f>HYPERLINK("https://www.kleinanzeigen.deNo user link", "Link")</f>
        <v/>
      </c>
      <c r="K2611" s="7" t="n">
        <v>45549.57149305556</v>
      </c>
      <c r="L2611" s="3" t="inlineStr">
        <is>
          <t>148.12</t>
        </is>
      </c>
      <c r="M2611" t="inlineStr">
        <is>
          <t>Köln</t>
        </is>
      </c>
    </row>
    <row r="2612">
      <c r="A2612" t="inlineStr">
        <is>
          <t>Naish wing matador lt 5 qm</t>
        </is>
      </c>
      <c r="B2612" s="4" t="n">
        <v>300</v>
      </c>
      <c r="C2612" t="inlineStr"/>
      <c r="D2612" t="inlineStr">
        <is>
          <t>40223 Düsseldorf - Bilk</t>
        </is>
      </c>
      <c r="E2612" s="5" t="n">
        <v>45460</v>
      </c>
      <c r="F2612" t="inlineStr">
        <is>
          <t>Sold</t>
        </is>
      </c>
      <c r="G2612" s="6">
        <f>HYPERLINK("https://www.kleinanzeigen.de/s-anzeige/naish-wing-matador-lt-5-qm/2790633735-230-2095", "Link")</f>
        <v/>
      </c>
      <c r="H2612" s="6">
        <f>HYPERLINK("C:\Projects\Kleinanzeigen-Scraper\offer_images\2790633735", "Link")</f>
        <v/>
      </c>
      <c r="I2612" t="inlineStr">
        <is>
          <t>Michael</t>
        </is>
      </c>
      <c r="J2612" s="6">
        <f>HYPERLINK("https://www.kleinanzeigen.de/s-bestandsliste.html?userId=46815803", "Link")</f>
        <v/>
      </c>
      <c r="K2612" s="7" t="n">
        <v>45549.57149305556</v>
      </c>
      <c r="L2612" s="3" t="inlineStr">
        <is>
          <t>31.69</t>
        </is>
      </c>
      <c r="M2612" t="inlineStr">
        <is>
          <t>Köln</t>
        </is>
      </c>
    </row>
    <row r="2613">
      <c r="A2613" t="inlineStr">
        <is>
          <t>Naish Slash WaveKite 7,9m 2020 TestKites -40% &amp; Slash S26</t>
        </is>
      </c>
      <c r="B2613" s="4" t="n">
        <v>749</v>
      </c>
      <c r="C2613" t="inlineStr">
        <is>
          <t>VB</t>
        </is>
      </c>
      <c r="D2613" t="inlineStr">
        <is>
          <t>18586 Mecklenburg-Vorpommern - Mönchgut, Ostseebad</t>
        </is>
      </c>
      <c r="E2613" s="5" t="n">
        <v>45554</v>
      </c>
      <c r="F2613" t="inlineStr">
        <is>
          <t>Sold</t>
        </is>
      </c>
      <c r="G2613" s="6">
        <f>HYPERLINK("https://www.kleinanzeigen.de/s-anzeige/naish-slash-wavekite-7-9m-2020-testkites-40-slash-s26/1567290172-230-120", "Link")</f>
        <v/>
      </c>
      <c r="H2613" s="6">
        <f>HYPERLINK("C:\Projects\Kleinanzeigen-Scraper\offer_images\1567290172", "Link")</f>
        <v/>
      </c>
      <c r="I2613" t="inlineStr">
        <is>
          <t>No user name</t>
        </is>
      </c>
      <c r="J2613" s="6">
        <f>HYPERLINK("https://www.kleinanzeigen.deNo user link", "Link")</f>
        <v/>
      </c>
      <c r="K2613" s="7" t="n">
        <v>45549.57149305556</v>
      </c>
      <c r="L2613" s="3" t="inlineStr">
        <is>
          <t>591.22</t>
        </is>
      </c>
      <c r="M2613" t="inlineStr">
        <is>
          <t>Köln</t>
        </is>
      </c>
    </row>
    <row r="2614">
      <c r="A2614" t="inlineStr">
        <is>
          <t>Gun Sails * Neopren Top Short * Unterzieher * Metalite * Gr. XL</t>
        </is>
      </c>
      <c r="B2614" s="4" t="n">
        <v>30</v>
      </c>
      <c r="C2614" t="inlineStr"/>
      <c r="D2614" t="inlineStr">
        <is>
          <t>04416 Sachsen - Markkleeberg</t>
        </is>
      </c>
      <c r="E2614" s="5" t="n">
        <v>45508</v>
      </c>
      <c r="F2614" t="inlineStr">
        <is>
          <t>Sold</t>
        </is>
      </c>
      <c r="G2614" s="6">
        <f>HYPERLINK("https://www.kleinanzeigen.de/s-anzeige/gun-sails-neopren-top-short-unterzieher-metalite-gr-xl/2828838175-230-3911", "Link")</f>
        <v/>
      </c>
      <c r="H2614" s="6">
        <f>HYPERLINK("C:\Projects\Kleinanzeigen-Scraper\offer_images\2828838175", "Link")</f>
        <v/>
      </c>
      <c r="I2614" t="inlineStr">
        <is>
          <t>MaHa</t>
        </is>
      </c>
      <c r="J2614" s="6">
        <f>HYPERLINK("https://www.kleinanzeigen.de/s-bestandsliste.html?userId=23935325", "Link")</f>
        <v/>
      </c>
      <c r="K2614" s="7" t="n">
        <v>45549.57149305556</v>
      </c>
      <c r="L2614" s="3" t="inlineStr">
        <is>
          <t>353.27</t>
        </is>
      </c>
      <c r="M2614" t="inlineStr">
        <is>
          <t>München</t>
        </is>
      </c>
    </row>
    <row r="2615">
      <c r="A2615" t="inlineStr">
        <is>
          <t>Starboard iSonic 67</t>
        </is>
      </c>
      <c r="B2615" s="4" t="inlineStr"/>
      <c r="C2615" t="inlineStr">
        <is>
          <t>VB</t>
        </is>
      </c>
      <c r="D2615" t="inlineStr">
        <is>
          <t>52072 Aachen - Aachen-Laurensberg</t>
        </is>
      </c>
      <c r="E2615" s="5" t="n">
        <v>45540</v>
      </c>
      <c r="F2615" t="inlineStr"/>
      <c r="G2615" s="6">
        <f>HYPERLINK("https://www.kleinanzeigen.de/s-anzeige/starboard-isonic-67/2854638144-230-24596", "Link")</f>
        <v/>
      </c>
      <c r="H2615" s="6">
        <f>HYPERLINK("C:\Projects\Kleinanzeigen-Scraper\offer_images\2854638144", "Link")</f>
        <v/>
      </c>
      <c r="I2615" t="inlineStr">
        <is>
          <t>Krishan Hohage</t>
        </is>
      </c>
      <c r="J2615" s="6">
        <f>HYPERLINK("https://www.kleinanzeigen.de/s-bestandsliste.html?userId=45348967", "Link")</f>
        <v/>
      </c>
      <c r="K2615" s="7" t="n">
        <v>45549.57146990741</v>
      </c>
      <c r="L2615" s="3" t="inlineStr">
        <is>
          <t>65.07</t>
        </is>
      </c>
      <c r="M2615" t="inlineStr">
        <is>
          <t>Köln</t>
        </is>
      </c>
    </row>
    <row r="2616">
      <c r="A2616" t="inlineStr">
        <is>
          <t>Naish Curfboard Wave Limited Edition neu Skateboard</t>
        </is>
      </c>
      <c r="B2616" s="4" t="n">
        <v>179</v>
      </c>
      <c r="C2616" t="inlineStr"/>
      <c r="D2616" t="inlineStr">
        <is>
          <t>22457 Eimsbüttel - Hamburg Schnelsen</t>
        </is>
      </c>
      <c r="E2616" s="5" t="n">
        <v>45541</v>
      </c>
      <c r="F2616" t="inlineStr"/>
      <c r="G2616" s="6">
        <f>HYPERLINK("https://www.kleinanzeigen.de/s-anzeige/naish-curfboard-wave-limited-edition-neu-skateboard/2831389616-230-9492", "Link")</f>
        <v/>
      </c>
      <c r="H2616" s="6">
        <f>HYPERLINK("C:\Projects\Kleinanzeigen-Scraper\offer_images\2831389616", "Link")</f>
        <v/>
      </c>
      <c r="I2616" t="inlineStr">
        <is>
          <t>No user name</t>
        </is>
      </c>
      <c r="J2616" s="6">
        <f>HYPERLINK("https://www.kleinanzeigen.deNo user link", "Link")</f>
        <v/>
      </c>
      <c r="K2616" s="7" t="n">
        <v>45549.57146990741</v>
      </c>
      <c r="L2616" s="3" t="inlineStr">
        <is>
          <t>362.41</t>
        </is>
      </c>
      <c r="M2616" t="inlineStr">
        <is>
          <t>Köln</t>
        </is>
      </c>
    </row>
    <row r="2617">
      <c r="A2617" t="inlineStr">
        <is>
          <t>Duotone Wing Foil Set Mast Aero AL 90 &amp; Fuselage Aero AL 66</t>
        </is>
      </c>
      <c r="B2617" s="4" t="n">
        <v>450</v>
      </c>
      <c r="C2617" t="inlineStr"/>
      <c r="D2617" t="inlineStr">
        <is>
          <t>83131 Bayern - Nußdorf am Inn</t>
        </is>
      </c>
      <c r="E2617" s="5" t="n">
        <v>45549</v>
      </c>
      <c r="F2617" t="inlineStr">
        <is>
          <t>Sold</t>
        </is>
      </c>
      <c r="G2617" s="6">
        <f>HYPERLINK("https://www.kleinanzeigen.de/s-anzeige/duotone-wing-foil-set-mast-aero-al-90-fuselage-aero-al-66/2862867902-230-7568", "Link")</f>
        <v/>
      </c>
      <c r="H2617" s="6">
        <f>HYPERLINK("C:\Projects\Kleinanzeigen-Scraper\offer_images\2862867902", "Link")</f>
        <v/>
      </c>
      <c r="I2617" t="inlineStr">
        <is>
          <t>Thomas Kamm</t>
        </is>
      </c>
      <c r="J2617" s="6">
        <f>HYPERLINK("https://www.kleinanzeigen.de/s-bestandsliste.html?userId=93473431", "Link")</f>
        <v/>
      </c>
      <c r="K2617" s="7" t="n">
        <v>45549.57146990741</v>
      </c>
      <c r="L2617" s="3" t="inlineStr">
        <is>
          <t>61.67</t>
        </is>
      </c>
      <c r="M2617" t="inlineStr">
        <is>
          <t>München</t>
        </is>
      </c>
    </row>
    <row r="2618">
      <c r="A2618" t="inlineStr">
        <is>
          <t>Naish Fly Kite 15qm Leichtwind</t>
        </is>
      </c>
      <c r="B2618" s="4" t="n">
        <v>240</v>
      </c>
      <c r="C2618" t="inlineStr"/>
      <c r="D2618" t="inlineStr">
        <is>
          <t>24937 Schleswig-Holstein - Flensburg</t>
        </is>
      </c>
      <c r="E2618" s="5" t="n">
        <v>45542</v>
      </c>
      <c r="F2618" t="inlineStr">
        <is>
          <t>Sold</t>
        </is>
      </c>
      <c r="G2618" s="6">
        <f>HYPERLINK("https://www.kleinanzeigen.de/s-anzeige/naish-fly-kite-15qm-leichtwind/2856383622-230-718", "Link")</f>
        <v/>
      </c>
      <c r="H2618" s="6">
        <f>HYPERLINK("C:\Projects\Kleinanzeigen-Scraper\offer_images\2856383622", "Link")</f>
        <v/>
      </c>
      <c r="I2618" t="inlineStr">
        <is>
          <t>Mathis</t>
        </is>
      </c>
      <c r="J2618" s="6">
        <f>HYPERLINK("https://www.kleinanzeigen.de/s-bestandsliste.html?userId=13213303", "Link")</f>
        <v/>
      </c>
      <c r="K2618" s="7" t="n">
        <v>45549.57145833333</v>
      </c>
      <c r="L2618" s="3" t="inlineStr">
        <is>
          <t>458.80</t>
        </is>
      </c>
      <c r="M2618" t="inlineStr">
        <is>
          <t>Köln</t>
        </is>
      </c>
    </row>
    <row r="2619">
      <c r="A2619" t="inlineStr">
        <is>
          <t>400 euro 2010 PP Spanien Goya Museumsschätze 27g Gold 999er</t>
        </is>
      </c>
      <c r="B2619" s="4" t="n">
        <v>2.299</v>
      </c>
      <c r="C2619" t="inlineStr">
        <is>
          <t>VB</t>
        </is>
      </c>
      <c r="D2619" t="inlineStr">
        <is>
          <t>81549 Obergiesing-Fasangarten - Obergiesing</t>
        </is>
      </c>
      <c r="E2619" s="5" t="n">
        <v>45191</v>
      </c>
      <c r="F2619" t="inlineStr"/>
      <c r="G2619" s="6">
        <f>HYPERLINK("https://www.kleinanzeigen.de/s-anzeige/400-euro-2010-pp-spanien-goya-museumsschaetze-27g-gold-999er/2551794808-234-16363", "Link")</f>
        <v/>
      </c>
      <c r="H2619" s="6">
        <f>HYPERLINK("C:\Projects\Kleinanzeigen-Scraper\offer_images\2551794808", "Link")</f>
        <v/>
      </c>
      <c r="I2619" t="inlineStr">
        <is>
          <t>Dr. Matthias Zulauf</t>
        </is>
      </c>
      <c r="J2619" s="6">
        <f>HYPERLINK("https://www.kleinanzeigen.de/s-bestandsliste.html?userId=27365210", "Link")</f>
        <v/>
      </c>
      <c r="K2619" s="7" t="n">
        <v>45549.57144675926</v>
      </c>
      <c r="L2619" s="3" t="inlineStr">
        <is>
          <t>4.99</t>
        </is>
      </c>
      <c r="M2619" t="inlineStr">
        <is>
          <t>München</t>
        </is>
      </c>
    </row>
    <row r="2620">
      <c r="A2620" t="inlineStr">
        <is>
          <t>Neilpryde Eclipse Neoprenanzug Größe 52</t>
        </is>
      </c>
      <c r="B2620" s="4" t="n">
        <v>70</v>
      </c>
      <c r="C2620" t="inlineStr"/>
      <c r="D2620" t="inlineStr">
        <is>
          <t>28213 Schwachhausen - Riensberg</t>
        </is>
      </c>
      <c r="E2620" s="5" t="n">
        <v>45471</v>
      </c>
      <c r="F2620" t="inlineStr">
        <is>
          <t>Sold</t>
        </is>
      </c>
      <c r="G2620" s="6">
        <f>HYPERLINK("https://www.kleinanzeigen.de/s-anzeige/neilpryde-eclipse-neoprenanzug-groesse-52/2799429326-230-27648", "Link")</f>
        <v/>
      </c>
      <c r="H2620" s="6">
        <f>HYPERLINK("C:\Projects\Kleinanzeigen-Scraper\offer_images\2799429326", "Link")</f>
        <v/>
      </c>
      <c r="I2620" t="inlineStr">
        <is>
          <t>J M</t>
        </is>
      </c>
      <c r="J2620" s="6">
        <f>HYPERLINK("https://www.kleinanzeigen.de/s-bestandsliste.html?userId=139028700", "Link")</f>
        <v/>
      </c>
      <c r="K2620" s="7" t="n">
        <v>45549.57144675926</v>
      </c>
      <c r="L2620" s="3" t="inlineStr">
        <is>
          <t>272.28</t>
        </is>
      </c>
      <c r="M2620" t="inlineStr">
        <is>
          <t>Köln</t>
        </is>
      </c>
    </row>
    <row r="2621">
      <c r="A2621" t="inlineStr">
        <is>
          <t>Isabella Capri North CarbonX G18 A989 neuwertig + UNBENUTZT</t>
        </is>
      </c>
      <c r="B2621" s="4" t="n">
        <v>2</v>
      </c>
      <c r="C2621" t="inlineStr"/>
      <c r="D2621" t="inlineStr">
        <is>
          <t>84335 Bayern - Mitterskirchen</t>
        </is>
      </c>
      <c r="E2621" s="5" t="n">
        <v>45543</v>
      </c>
      <c r="F2621" t="inlineStr">
        <is>
          <t>Sold</t>
        </is>
      </c>
      <c r="G2621" s="6">
        <f>HYPERLINK("https://www.kleinanzeigen.de/s-anzeige/isabella-capri-north-carbonx-g18-a989-neuwertig-unbenutzt/2857799319-230-6641", "Link")</f>
        <v/>
      </c>
      <c r="H2621" s="6">
        <f>HYPERLINK("C:\Projects\Kleinanzeigen-Scraper\offer_images\2857799319", "Link")</f>
        <v/>
      </c>
      <c r="I2621" t="inlineStr">
        <is>
          <t>Bernd Seidel</t>
        </is>
      </c>
      <c r="J2621" s="6">
        <f>HYPERLINK("https://www.kleinanzeigen.de/s-bestandsliste.html?userId=16845643", "Link")</f>
        <v/>
      </c>
      <c r="K2621" s="7" t="n">
        <v>45549.57142361111</v>
      </c>
      <c r="L2621" s="3" t="inlineStr">
        <is>
          <t>88.12</t>
        </is>
      </c>
      <c r="M2621" t="inlineStr">
        <is>
          <t>München</t>
        </is>
      </c>
    </row>
    <row r="2622">
      <c r="A2622" t="inlineStr">
        <is>
          <t>Snowboard (Duotone ca. 140 cm) und Boots (Gr. 38) inkl. Bindung</t>
        </is>
      </c>
      <c r="B2622" s="4" t="n">
        <v>30</v>
      </c>
      <c r="C2622" t="inlineStr">
        <is>
          <t>VB</t>
        </is>
      </c>
      <c r="D2622" t="inlineStr">
        <is>
          <t>77963 Baden-Württemberg - Schwanau</t>
        </is>
      </c>
      <c r="E2622" s="5" t="n">
        <v>45544</v>
      </c>
      <c r="F2622" t="inlineStr">
        <is>
          <t>Sold</t>
        </is>
      </c>
      <c r="G2622" s="6">
        <f>HYPERLINK("https://www.kleinanzeigen.de/s-anzeige/snowboard-duotone-ca-140-cm-und-boots-gr-38-inkl-bindung/2858160629-230-8038", "Link")</f>
        <v/>
      </c>
      <c r="H2622" s="6">
        <f>HYPERLINK("C:\Projects\Kleinanzeigen-Scraper\offer_images\2858160629", "Link")</f>
        <v/>
      </c>
      <c r="I2622" t="inlineStr">
        <is>
          <t>Lisa</t>
        </is>
      </c>
      <c r="J2622" s="6">
        <f>HYPERLINK("https://www.kleinanzeigen.de/s-bestandsliste.html?userId=41474538", "Link")</f>
        <v/>
      </c>
      <c r="K2622" s="7" t="n">
        <v>45549.57140046296</v>
      </c>
      <c r="L2622" s="3" t="inlineStr">
        <is>
          <t>74.66</t>
        </is>
      </c>
      <c r="M2622" t="inlineStr">
        <is>
          <t>Bonndorf</t>
        </is>
      </c>
    </row>
    <row r="2623">
      <c r="A2623" t="inlineStr">
        <is>
          <t>Kite Naish Pivot 10m</t>
        </is>
      </c>
      <c r="B2623" s="4" t="n">
        <v>330</v>
      </c>
      <c r="C2623" t="inlineStr"/>
      <c r="D2623" t="inlineStr">
        <is>
          <t>80997 München - Moosach</t>
        </is>
      </c>
      <c r="E2623" s="5" t="n">
        <v>45546</v>
      </c>
      <c r="F2623" t="inlineStr">
        <is>
          <t>Sold</t>
        </is>
      </c>
      <c r="G2623" s="6">
        <f>HYPERLINK("https://www.kleinanzeigen.de/s-anzeige/kite-naish-pivot-10m/2860809667-230-9615", "Link")</f>
        <v/>
      </c>
      <c r="H2623" s="6">
        <f>HYPERLINK("C:\Projects\Kleinanzeigen-Scraper\offer_images\2860809667", "Link")</f>
        <v/>
      </c>
      <c r="I2623" t="inlineStr">
        <is>
          <t>Andreas</t>
        </is>
      </c>
      <c r="J2623" s="6">
        <f>HYPERLINK("https://www.kleinanzeigen.de/s-bestandsliste.html?userId=17394099", "Link")</f>
        <v/>
      </c>
      <c r="K2623" s="7" t="n">
        <v>45549.57140046296</v>
      </c>
      <c r="L2623" s="3" t="inlineStr">
        <is>
          <t>8.83</t>
        </is>
      </c>
      <c r="M2623" t="inlineStr">
        <is>
          <t>München</t>
        </is>
      </c>
    </row>
    <row r="2624">
      <c r="A2624" t="inlineStr">
        <is>
          <t>North Rebel 10 qm</t>
        </is>
      </c>
      <c r="B2624" s="4" t="n">
        <v>200</v>
      </c>
      <c r="C2624" t="inlineStr">
        <is>
          <t>VB</t>
        </is>
      </c>
      <c r="D2624" t="inlineStr">
        <is>
          <t>31582 Niedersachsen - Nienburg (Weser)</t>
        </is>
      </c>
      <c r="E2624" s="5" t="n">
        <v>45548</v>
      </c>
      <c r="F2624" t="inlineStr">
        <is>
          <t>Sold</t>
        </is>
      </c>
      <c r="G2624" s="6">
        <f>HYPERLINK("https://www.kleinanzeigen.de/s-anzeige/north-rebel-10-qm/2861834927-230-2534", "Link")</f>
        <v/>
      </c>
      <c r="H2624" s="6">
        <f>HYPERLINK("C:\Projects\Kleinanzeigen-Scraper\offer_images\2861834927", "Link")</f>
        <v/>
      </c>
      <c r="I2624" t="inlineStr">
        <is>
          <t>Sonni</t>
        </is>
      </c>
      <c r="J2624" s="6">
        <f>HYPERLINK("https://www.kleinanzeigen.de/s-bestandsliste.html?userId=4195630", "Link")</f>
        <v/>
      </c>
      <c r="K2624" s="7" t="n">
        <v>45549.57136574074</v>
      </c>
      <c r="L2624" s="3" t="inlineStr">
        <is>
          <t>244.43</t>
        </is>
      </c>
      <c r="M2624" t="inlineStr">
        <is>
          <t>Köln</t>
        </is>
      </c>
    </row>
    <row r="2625">
      <c r="A2625" t="inlineStr">
        <is>
          <t>Duotone Rebel 7m 2019</t>
        </is>
      </c>
      <c r="B2625" s="4" t="n">
        <v>410</v>
      </c>
      <c r="C2625" t="inlineStr">
        <is>
          <t>VB</t>
        </is>
      </c>
      <c r="D2625" t="inlineStr">
        <is>
          <t>81369 München - Sendling</t>
        </is>
      </c>
      <c r="E2625" s="5" t="n">
        <v>45545</v>
      </c>
      <c r="F2625" t="inlineStr">
        <is>
          <t>Sold</t>
        </is>
      </c>
      <c r="G2625" s="6">
        <f>HYPERLINK("https://www.kleinanzeigen.de/s-anzeige/duotone-rebel-7m-2019/2859122482-230-16382", "Link")</f>
        <v/>
      </c>
      <c r="H2625" s="6">
        <f>HYPERLINK("C:\Projects\Kleinanzeigen-Scraper\offer_images\2859122482", "Link")</f>
        <v/>
      </c>
      <c r="I2625" t="inlineStr">
        <is>
          <t>Ralph</t>
        </is>
      </c>
      <c r="J2625" s="6">
        <f>HYPERLINK("https://www.kleinanzeigen.de/s-bestandsliste.html?userId=15260666", "Link")</f>
        <v/>
      </c>
      <c r="K2625" s="7" t="n">
        <v>45549.57135416667</v>
      </c>
      <c r="L2625" s="3" t="inlineStr">
        <is>
          <t>4.53</t>
        </is>
      </c>
      <c r="M2625" t="inlineStr">
        <is>
          <t>München</t>
        </is>
      </c>
    </row>
    <row r="2626">
      <c r="A2626" t="inlineStr">
        <is>
          <t>Tischstaffelei Goya Solo Staffelei</t>
        </is>
      </c>
      <c r="B2626" s="4" t="n">
        <v>20</v>
      </c>
      <c r="C2626" t="inlineStr">
        <is>
          <t>VB</t>
        </is>
      </c>
      <c r="D2626" t="inlineStr">
        <is>
          <t>45772 Nordrhein-Westfalen - Marl</t>
        </is>
      </c>
      <c r="E2626" s="5" t="n">
        <v>45534</v>
      </c>
      <c r="F2626" t="inlineStr"/>
      <c r="G2626" s="6">
        <f>HYPERLINK("https://www.kleinanzeigen.de/s-anzeige/tischstaffelei-goya-solo-staffelei/2849692476-191-1772", "Link")</f>
        <v/>
      </c>
      <c r="H2626" s="6">
        <f>HYPERLINK("C:\Projects\Kleinanzeigen-Scraper\offer_images\2849692476", "Link")</f>
        <v/>
      </c>
      <c r="I2626" t="inlineStr">
        <is>
          <t>Privat</t>
        </is>
      </c>
      <c r="J2626" s="6">
        <f>HYPERLINK("https://www.kleinanzeigen.de/s-bestandsliste.html?userId=23190472", "Link")</f>
        <v/>
      </c>
      <c r="K2626" s="7" t="n">
        <v>45549.57135416667</v>
      </c>
      <c r="L2626" s="3" t="inlineStr">
        <is>
          <t>84.29</t>
        </is>
      </c>
      <c r="M2626" t="inlineStr">
        <is>
          <t>Köln</t>
        </is>
      </c>
    </row>
    <row r="2627">
      <c r="A2627" t="inlineStr">
        <is>
          <t>North Reach Kite 2024 12m</t>
        </is>
      </c>
      <c r="B2627" s="4" t="n">
        <v>800</v>
      </c>
      <c r="C2627" t="inlineStr"/>
      <c r="D2627" t="inlineStr">
        <is>
          <t>80638 Neuhausen-Nymphenburg - Nymphenburg</t>
        </is>
      </c>
      <c r="E2627" s="5" t="n">
        <v>45543</v>
      </c>
      <c r="F2627" t="inlineStr">
        <is>
          <t>Sold</t>
        </is>
      </c>
      <c r="G2627" s="6">
        <f>HYPERLINK("https://www.kleinanzeigen.de/s-anzeige/north-reach-kite-2024-12m/2857121469-230-6421", "Link")</f>
        <v/>
      </c>
      <c r="H2627" s="6">
        <f>HYPERLINK("C:\Projects\Kleinanzeigen-Scraper\offer_images\2857121469", "Link")</f>
        <v/>
      </c>
      <c r="I2627" t="inlineStr">
        <is>
          <t>Loui</t>
        </is>
      </c>
      <c r="J2627" s="6">
        <f>HYPERLINK("https://www.kleinanzeigen.de/s-bestandsliste.html?userId=67174608", "Link")</f>
        <v/>
      </c>
      <c r="K2627" s="7" t="n">
        <v>45549.57135416667</v>
      </c>
      <c r="L2627" s="3" t="inlineStr">
        <is>
          <t>5.88</t>
        </is>
      </c>
      <c r="M2627" t="inlineStr">
        <is>
          <t>München</t>
        </is>
      </c>
    </row>
    <row r="2628">
      <c r="A2628" t="inlineStr">
        <is>
          <t>DUOTONE Neo SLS SS23 06m² C04:mint/blue *Testkite*</t>
        </is>
      </c>
      <c r="B2628" s="4" t="n">
        <v>999</v>
      </c>
      <c r="C2628" t="inlineStr"/>
      <c r="D2628" t="inlineStr">
        <is>
          <t>17509 Mecklenburg-Vorpommern - Loissin</t>
        </is>
      </c>
      <c r="E2628" s="5" t="n">
        <v>45547</v>
      </c>
      <c r="F2628" t="inlineStr">
        <is>
          <t>Sold</t>
        </is>
      </c>
      <c r="G2628" s="6">
        <f>HYPERLINK("https://www.kleinanzeigen.de/s-anzeige/duotone-neo-sls-ss23-06m-c04-mint-blue-testkite-/2735356342-230-21340", "Link")</f>
        <v/>
      </c>
      <c r="H2628" s="6">
        <f>HYPERLINK("C:\Projects\Kleinanzeigen-Scraper\offer_images\2735356342", "Link")</f>
        <v/>
      </c>
      <c r="I2628" t="inlineStr">
        <is>
          <t>No user name</t>
        </is>
      </c>
      <c r="J2628" s="6">
        <f>HYPERLINK("https://www.kleinanzeigen.deNo user link", "Link")</f>
        <v/>
      </c>
      <c r="K2628" s="7" t="n">
        <v>45549.57134259259</v>
      </c>
      <c r="L2628" s="3" t="inlineStr">
        <is>
          <t>568.47</t>
        </is>
      </c>
      <c r="M2628" t="inlineStr">
        <is>
          <t>Köln</t>
        </is>
      </c>
    </row>
    <row r="2629">
      <c r="A2629" t="inlineStr">
        <is>
          <t>2 alte Aquarell Bilder aus den 20ger und 30ger Jahren Goya</t>
        </is>
      </c>
      <c r="B2629" s="4" t="n">
        <v>90</v>
      </c>
      <c r="C2629" t="inlineStr">
        <is>
          <t>VB</t>
        </is>
      </c>
      <c r="D2629" t="inlineStr">
        <is>
          <t>35102 Hessen - Lohra</t>
        </is>
      </c>
      <c r="E2629" s="5" t="n">
        <v>42441</v>
      </c>
      <c r="F2629" t="inlineStr"/>
      <c r="G2629" s="6">
        <f>HYPERLINK("https://www.kleinanzeigen.de/s-anzeige/2-alte-aquarell-bilder-aus-den-20ger-und-30ger-jahren-goya/437587630-240-4835", "Link")</f>
        <v/>
      </c>
      <c r="H2629" s="6">
        <f>HYPERLINK("C:\Projects\Kleinanzeigen-Scraper\offer_images\437587630", "Link")</f>
        <v/>
      </c>
      <c r="I2629" t="inlineStr">
        <is>
          <t>Alex</t>
        </is>
      </c>
      <c r="J2629" s="6">
        <f>HYPERLINK("https://www.kleinanzeigen.de/s-bestandsliste.html?userId=10193195", "Link")</f>
        <v/>
      </c>
      <c r="K2629" s="7" t="n">
        <v>45549.57134259259</v>
      </c>
      <c r="L2629" s="3" t="inlineStr">
        <is>
          <t>120.12</t>
        </is>
      </c>
      <c r="M2629" t="inlineStr">
        <is>
          <t>Köln</t>
        </is>
      </c>
    </row>
    <row r="2630">
      <c r="A2630" t="inlineStr">
        <is>
          <t>Duotone Kiteboard Soleil SLS inkl. NTT Bindung S/M 2024 132</t>
        </is>
      </c>
      <c r="B2630" s="4" t="n">
        <v>919</v>
      </c>
      <c r="C2630" t="inlineStr">
        <is>
          <t>VB</t>
        </is>
      </c>
      <c r="D2630" t="inlineStr">
        <is>
          <t>26125 Niedersachsen - Oldenburg</t>
        </is>
      </c>
      <c r="E2630" s="5" t="n">
        <v>45545</v>
      </c>
      <c r="F2630" t="inlineStr">
        <is>
          <t>Sold</t>
        </is>
      </c>
      <c r="G2630" s="6">
        <f>HYPERLINK("https://www.kleinanzeigen.de/s-anzeige/duotone-kiteboard-soleil-sls-inkl-ntt-bindung-s-m-2024-132/2859567139-230-3111", "Link")</f>
        <v/>
      </c>
      <c r="H2630" s="6">
        <f>HYPERLINK("C:\Projects\Kleinanzeigen-Scraper\offer_images\2859567139", "Link")</f>
        <v/>
      </c>
      <c r="I2630" t="inlineStr">
        <is>
          <t>No user name</t>
        </is>
      </c>
      <c r="J2630" s="6">
        <f>HYPERLINK("https://www.kleinanzeigen.deNo user link", "Link")</f>
        <v/>
      </c>
      <c r="K2630" s="7" t="n">
        <v>45549.57134259259</v>
      </c>
      <c r="L2630" s="3" t="inlineStr">
        <is>
          <t>264.10</t>
        </is>
      </c>
      <c r="M2630" t="inlineStr">
        <is>
          <t>Köln</t>
        </is>
      </c>
    </row>
    <row r="2631">
      <c r="A2631" t="inlineStr">
        <is>
          <t>2 Aufkleber JP Australia  Windsurfing * Surfen * Surfsport neu</t>
        </is>
      </c>
      <c r="B2631" s="4" t="n">
        <v>6</v>
      </c>
      <c r="C2631" t="inlineStr"/>
      <c r="D2631" t="inlineStr">
        <is>
          <t>42855 Nordrhein-Westfalen - Remscheid</t>
        </is>
      </c>
      <c r="E2631" s="5" t="n">
        <v>45411</v>
      </c>
      <c r="F2631" t="inlineStr"/>
      <c r="G2631" s="6">
        <f>HYPERLINK("https://www.kleinanzeigen.de/s-anzeige/2-aufkleber-jp-australia-windsurfing-surfen-surfsport-neu/2748927768-234-1033", "Link")</f>
        <v/>
      </c>
      <c r="H2631" s="6">
        <f>HYPERLINK("C:\Projects\Kleinanzeigen-Scraper\offer_images\2748927768", "Link")</f>
        <v/>
      </c>
      <c r="I2631" t="inlineStr">
        <is>
          <t>Jurem</t>
        </is>
      </c>
      <c r="J2631" s="6">
        <f>HYPERLINK("https://www.kleinanzeigen.de/s-bestandsliste.html?userId=134302560", "Link")</f>
        <v/>
      </c>
      <c r="K2631" s="7" t="n">
        <v>45549.57133101852</v>
      </c>
      <c r="L2631" s="3" t="inlineStr">
        <is>
          <t>33.21</t>
        </is>
      </c>
      <c r="M2631" t="inlineStr">
        <is>
          <t>Köln</t>
        </is>
      </c>
    </row>
    <row r="2632">
      <c r="A2632" t="inlineStr">
        <is>
          <t>SIMMS G4 Pro waathose</t>
        </is>
      </c>
      <c r="B2632" s="4" t="n">
        <v>750</v>
      </c>
      <c r="C2632" t="inlineStr">
        <is>
          <t>VB</t>
        </is>
      </c>
      <c r="D2632" t="inlineStr">
        <is>
          <t>24937 Schleswig-Holstein - Flensburg</t>
        </is>
      </c>
      <c r="E2632" s="5" t="n">
        <v>45543</v>
      </c>
      <c r="F2632" t="inlineStr"/>
      <c r="G2632" s="6">
        <f>HYPERLINK("https://www.kleinanzeigen.de/s-anzeige/simms-g4-pro-waathose/2857325142-230-718", "Link")</f>
        <v/>
      </c>
      <c r="H2632" s="6">
        <f>HYPERLINK("C:\Projects\Kleinanzeigen-Scraper\offer_images\2857325142", "Link")</f>
        <v/>
      </c>
      <c r="I2632" t="inlineStr">
        <is>
          <t>Mo Lammert</t>
        </is>
      </c>
      <c r="J2632" s="6">
        <f>HYPERLINK("https://www.kleinanzeigen.de/s-bestandsliste.html?userId=58883032", "Link")</f>
        <v/>
      </c>
      <c r="K2632" s="7" t="n">
        <v>45549.57133101852</v>
      </c>
      <c r="L2632" s="3" t="inlineStr">
        <is>
          <t>458.80</t>
        </is>
      </c>
      <c r="M2632" t="inlineStr">
        <is>
          <t>Köln</t>
        </is>
      </c>
    </row>
    <row r="2633">
      <c r="A2633" t="inlineStr">
        <is>
          <t>SUP SALE 2022 Fanatic Naish STX Balance SurfStar SALE bis -50%</t>
        </is>
      </c>
      <c r="B2633" s="4" t="n">
        <v>250</v>
      </c>
      <c r="C2633" t="inlineStr">
        <is>
          <t>VB</t>
        </is>
      </c>
      <c r="D2633" t="inlineStr">
        <is>
          <t>18586 Mecklenburg-Vorpommern - Mönchgut, Ostseebad</t>
        </is>
      </c>
      <c r="E2633" s="5" t="n">
        <v>45540</v>
      </c>
      <c r="F2633" t="inlineStr"/>
      <c r="G2633" s="6">
        <f>HYPERLINK("https://www.kleinanzeigen.de/s-anzeige/sup-sale-2022-fanatic-naish-stx-balance-surfstar-sale-bis-50-/1268984371-230-120", "Link")</f>
        <v/>
      </c>
      <c r="H2633" s="6">
        <f>HYPERLINK("C:\Projects\Kleinanzeigen-Scraper\offer_images\1268984371", "Link")</f>
        <v/>
      </c>
      <c r="I2633" t="inlineStr">
        <is>
          <t>No user name</t>
        </is>
      </c>
      <c r="J2633" s="6">
        <f>HYPERLINK("https://www.kleinanzeigen.deNo user link", "Link")</f>
        <v/>
      </c>
      <c r="K2633" s="7" t="n">
        <v>45549.57133101852</v>
      </c>
      <c r="L2633" s="3" t="inlineStr">
        <is>
          <t>591.22</t>
        </is>
      </c>
      <c r="M2633" t="inlineStr">
        <is>
          <t>Köln</t>
        </is>
      </c>
    </row>
    <row r="2634">
      <c r="A2634" t="inlineStr">
        <is>
          <t>Orig.CAT Tourniquet - North American Rescue Traumakit Neu</t>
        </is>
      </c>
      <c r="B2634" s="4" t="n">
        <v>25</v>
      </c>
      <c r="C2634" t="inlineStr"/>
      <c r="D2634" t="inlineStr">
        <is>
          <t>52134 Nordrhein-Westfalen - Herzogenrath</t>
        </is>
      </c>
      <c r="E2634" s="5" t="n">
        <v>45566</v>
      </c>
      <c r="F2634" t="inlineStr"/>
      <c r="G2634" s="6">
        <f>HYPERLINK("https://www.kleinanzeigen.de/s-anzeige/orig-cat-tourniquet-north-american-rescue-traumakit-neu/1578870368-230-1712", "Link")</f>
        <v/>
      </c>
      <c r="H2634" s="6">
        <f>HYPERLINK("C:\Projects\Kleinanzeigen-Scraper\offer_images\1578870368", "Link")</f>
        <v/>
      </c>
      <c r="I2634" t="inlineStr">
        <is>
          <t>No user name</t>
        </is>
      </c>
      <c r="J2634" s="6">
        <f>HYPERLINK("https://www.kleinanzeigen.deNo user link", "Link")</f>
        <v/>
      </c>
      <c r="K2634" s="7" t="n">
        <v>45549.57131944445</v>
      </c>
      <c r="L2634" s="3" t="inlineStr">
        <is>
          <t>59.57</t>
        </is>
      </c>
      <c r="M2634" t="inlineStr">
        <is>
          <t>Köln</t>
        </is>
      </c>
    </row>
    <row r="2635">
      <c r="A2635" t="inlineStr">
        <is>
          <t>Starboard FreeWing Airush in Red/Dark Teal 4 qm m. Tasche Kleinte</t>
        </is>
      </c>
      <c r="B2635" s="4" t="n">
        <v>280</v>
      </c>
      <c r="C2635" t="inlineStr"/>
      <c r="D2635" t="inlineStr">
        <is>
          <t>24340 Schleswig-Holstein - Eckernförde</t>
        </is>
      </c>
      <c r="E2635" s="5" t="n">
        <v>45531</v>
      </c>
      <c r="F2635" t="inlineStr">
        <is>
          <t>Sold</t>
        </is>
      </c>
      <c r="G2635" s="6">
        <f>HYPERLINK("https://www.kleinanzeigen.de/s-anzeige/starboard-freewing-airush-in-red-dark-teal-4-qm-m-tasche-kleinte/2847741545-230-13234", "Link")</f>
        <v/>
      </c>
      <c r="H2635" s="6">
        <f>HYPERLINK("C:\Projects\Kleinanzeigen-Scraper\offer_images\2847741545", "Link")</f>
        <v/>
      </c>
      <c r="I2635" t="inlineStr">
        <is>
          <t>Burfeind</t>
        </is>
      </c>
      <c r="J2635" s="6">
        <f>HYPERLINK("https://www.kleinanzeigen.de/s-bestandsliste.html?userId=9864906", "Link")</f>
        <v/>
      </c>
      <c r="K2635" s="7" t="n">
        <v>45549.57131944445</v>
      </c>
      <c r="L2635" s="3" t="inlineStr">
        <is>
          <t>434.69</t>
        </is>
      </c>
      <c r="M2635" t="inlineStr">
        <is>
          <t>Köln</t>
        </is>
      </c>
    </row>
    <row r="2636">
      <c r="A2636" t="inlineStr">
        <is>
          <t>NeilPryde Thermabase Vest Neopren Weste</t>
        </is>
      </c>
      <c r="B2636" s="4" t="n">
        <v>45</v>
      </c>
      <c r="C2636" t="inlineStr">
        <is>
          <t>VB</t>
        </is>
      </c>
      <c r="D2636" t="inlineStr">
        <is>
          <t>82319 Bayern - Starnberg</t>
        </is>
      </c>
      <c r="E2636" s="5" t="n">
        <v>45530</v>
      </c>
      <c r="F2636" t="inlineStr">
        <is>
          <t>Sold</t>
        </is>
      </c>
      <c r="G2636" s="6">
        <f>HYPERLINK("https://www.kleinanzeigen.de/s-anzeige/neilpryde-thermabase-vest-neopren-weste/1328313774-230-5525", "Link")</f>
        <v/>
      </c>
      <c r="H2636" s="6">
        <f>HYPERLINK("C:\Projects\Kleinanzeigen-Scraper\offer_images\1328313774", "Link")</f>
        <v/>
      </c>
      <c r="I2636" t="inlineStr">
        <is>
          <t>No user name</t>
        </is>
      </c>
      <c r="J2636" s="6">
        <f>HYPERLINK("https://www.kleinanzeigen.deNo user link", "Link")</f>
        <v/>
      </c>
      <c r="K2636" s="7" t="n">
        <v>45549.57130787037</v>
      </c>
      <c r="L2636" s="3" t="inlineStr">
        <is>
          <t>23.17</t>
        </is>
      </c>
      <c r="M2636" t="inlineStr">
        <is>
          <t>München</t>
        </is>
      </c>
    </row>
    <row r="2637">
      <c r="A2637" t="inlineStr">
        <is>
          <t>Neilpryde glide hp 11 foil front wing</t>
        </is>
      </c>
      <c r="B2637" s="4" t="n">
        <v>230</v>
      </c>
      <c r="C2637" t="inlineStr">
        <is>
          <t>VB</t>
        </is>
      </c>
      <c r="D2637" t="inlineStr">
        <is>
          <t>18375 Darß - Prerow</t>
        </is>
      </c>
      <c r="E2637" s="5" t="n">
        <v>45542</v>
      </c>
      <c r="F2637" t="inlineStr">
        <is>
          <t>Sold</t>
        </is>
      </c>
      <c r="G2637" s="6">
        <f>HYPERLINK("https://www.kleinanzeigen.de/s-anzeige/neilpryde-glide-hp-11-foil-front-wing/2856912481-230-214", "Link")</f>
        <v/>
      </c>
      <c r="H2637" s="6">
        <f>HYPERLINK("C:\Projects\Kleinanzeigen-Scraper\offer_images\2856912481", "Link")</f>
        <v/>
      </c>
      <c r="I2637" t="inlineStr">
        <is>
          <t>Tom</t>
        </is>
      </c>
      <c r="J2637" s="6">
        <f>HYPERLINK("https://www.kleinanzeigen.de/s-bestandsliste.html?userId=67405583", "Link")</f>
        <v/>
      </c>
      <c r="K2637" s="7" t="n">
        <v>45549.57130787037</v>
      </c>
      <c r="L2637" s="3" t="inlineStr">
        <is>
          <t>538.88</t>
        </is>
      </c>
      <c r="M2637" t="inlineStr">
        <is>
          <t>Köln</t>
        </is>
      </c>
    </row>
    <row r="2638">
      <c r="A2638" t="inlineStr">
        <is>
          <t>Fanatic Flow S1  Foil - Mid-/ High Aspect Kitefoil, Wingfoil, SUP</t>
        </is>
      </c>
      <c r="B2638" s="4" t="n">
        <v>290</v>
      </c>
      <c r="C2638" t="inlineStr"/>
      <c r="D2638" t="inlineStr">
        <is>
          <t>20251 Hamburg-Nord - Hamburg Eppendorf</t>
        </is>
      </c>
      <c r="E2638" s="5" t="n">
        <v>45554</v>
      </c>
      <c r="F2638" t="inlineStr">
        <is>
          <t>Sold</t>
        </is>
      </c>
      <c r="G2638" s="6">
        <f>HYPERLINK("https://www.kleinanzeigen.de/s-anzeige/fanatic-flow-s1-foil-mid-high-aspect-kitefoil-wingfoil-sup/2781475279-230-9475", "Link")</f>
        <v/>
      </c>
      <c r="H2638" s="6">
        <f>HYPERLINK("C:\Projects\Kleinanzeigen-Scraper\offer_images\2781475279", "Link")</f>
        <v/>
      </c>
      <c r="I2638" t="inlineStr">
        <is>
          <t>Joe</t>
        </is>
      </c>
      <c r="J2638" s="6">
        <f>HYPERLINK("https://www.kleinanzeigen.de/s-bestandsliste.html?userId=2904230", "Link")</f>
        <v/>
      </c>
      <c r="K2638" s="7" t="n">
        <v>45549.57130787037</v>
      </c>
      <c r="L2638" s="3" t="inlineStr">
        <is>
          <t>360.06</t>
        </is>
      </c>
      <c r="M2638" t="inlineStr">
        <is>
          <t>Köln</t>
        </is>
      </c>
    </row>
    <row r="2639">
      <c r="A2639" t="inlineStr">
        <is>
          <t>Trampolin Legend (Firma North) 420 x 290 oval schwarz</t>
        </is>
      </c>
      <c r="B2639" s="4" t="n">
        <v>499</v>
      </c>
      <c r="C2639" t="inlineStr">
        <is>
          <t>VB</t>
        </is>
      </c>
      <c r="D2639" t="inlineStr">
        <is>
          <t>65201 Hessen - Wiesbaden</t>
        </is>
      </c>
      <c r="E2639" s="5" t="n">
        <v>45543</v>
      </c>
      <c r="F2639" t="inlineStr">
        <is>
          <t>Sold</t>
        </is>
      </c>
      <c r="G2639" s="6">
        <f>HYPERLINK("https://www.kleinanzeigen.de/s-anzeige/trampolin-legend-firma-north-420-x-290-oval-schwarz/2857005559-230-4902", "Link")</f>
        <v/>
      </c>
      <c r="H2639" s="6">
        <f>HYPERLINK("C:\Projects\Kleinanzeigen-Scraper\offer_images\2857005559", "Link")</f>
        <v/>
      </c>
      <c r="I2639" t="inlineStr">
        <is>
          <t>Fabian Debus</t>
        </is>
      </c>
      <c r="J2639" s="6">
        <f>HYPERLINK("https://www.kleinanzeigen.de/s-bestandsliste.html?userId=15603399", "Link")</f>
        <v/>
      </c>
      <c r="K2639" s="7" t="n">
        <v>45549.57130787037</v>
      </c>
      <c r="L2639" s="3" t="inlineStr">
        <is>
          <t>116.86</t>
        </is>
      </c>
      <c r="M2639" t="inlineStr">
        <is>
          <t>Karlsruhe</t>
        </is>
      </c>
    </row>
    <row r="2640">
      <c r="A2640" t="inlineStr">
        <is>
          <t>Matratze selbstaufblasbar. North Camp</t>
        </is>
      </c>
      <c r="B2640" s="4" t="n">
        <v>25</v>
      </c>
      <c r="C2640" t="inlineStr"/>
      <c r="D2640" t="inlineStr">
        <is>
          <t>33161 Nordrhein-Westfalen - Hövelhof</t>
        </is>
      </c>
      <c r="E2640" s="5" t="n">
        <v>45542</v>
      </c>
      <c r="F2640" t="inlineStr">
        <is>
          <t>Sold</t>
        </is>
      </c>
      <c r="G2640" s="6">
        <f>HYPERLINK("https://www.kleinanzeigen.de/s-anzeige/matratze-selbstaufblasbar-north-camp/2856772648-230-1353", "Link")</f>
        <v/>
      </c>
      <c r="H2640" s="6">
        <f>HYPERLINK("C:\Projects\Kleinanzeigen-Scraper\offer_images\2856772648", "Link")</f>
        <v/>
      </c>
      <c r="I2640" t="inlineStr">
        <is>
          <t>P T</t>
        </is>
      </c>
      <c r="J2640" s="6">
        <f>HYPERLINK("https://www.kleinanzeigen.de/s-bestandsliste.html?userId=94249580", "Link")</f>
        <v/>
      </c>
      <c r="K2640" s="7" t="n">
        <v>45549.57127314815</v>
      </c>
      <c r="L2640" s="3" t="inlineStr">
        <is>
          <t>155.92</t>
        </is>
      </c>
      <c r="M2640" t="inlineStr">
        <is>
          <t>Köln</t>
        </is>
      </c>
    </row>
    <row r="2641">
      <c r="A2641" t="inlineStr">
        <is>
          <t>Goya Staffelei Malerei Leinwand</t>
        </is>
      </c>
      <c r="B2641" s="4" t="n">
        <v>35</v>
      </c>
      <c r="C2641" t="inlineStr">
        <is>
          <t>VB</t>
        </is>
      </c>
      <c r="D2641" t="inlineStr">
        <is>
          <t>26506 Niedersachsen - Norden</t>
        </is>
      </c>
      <c r="E2641" s="5" t="n">
        <v>45424</v>
      </c>
      <c r="F2641" t="inlineStr"/>
      <c r="G2641" s="6">
        <f>HYPERLINK("https://www.kleinanzeigen.de/s-anzeige/goya-staffelei-malerei-leinwand/2759799187-282-2777", "Link")</f>
        <v/>
      </c>
      <c r="H2641" s="6">
        <f>HYPERLINK("C:\Projects\Kleinanzeigen-Scraper\offer_images\2759799187", "Link")</f>
        <v/>
      </c>
      <c r="I2641" t="inlineStr">
        <is>
          <t>Lara D</t>
        </is>
      </c>
      <c r="J2641" s="6">
        <f>HYPERLINK("https://www.kleinanzeigen.de/s-bestandsliste.html?userId=87050886", "Link")</f>
        <v/>
      </c>
      <c r="K2641" s="7" t="n">
        <v>45549.57127314815</v>
      </c>
      <c r="L2641" s="3" t="inlineStr">
        <is>
          <t>293.71</t>
        </is>
      </c>
      <c r="M2641" t="inlineStr">
        <is>
          <t>Köln</t>
        </is>
      </c>
    </row>
    <row r="2642">
      <c r="A2642" t="inlineStr">
        <is>
          <t>NeilPryde 3K 3/3mm Neoprenanzug Surfanzug Gr.38 = 170-175cm Größe</t>
        </is>
      </c>
      <c r="B2642" s="4" t="n">
        <v>77</v>
      </c>
      <c r="C2642" t="inlineStr">
        <is>
          <t>VB</t>
        </is>
      </c>
      <c r="D2642" t="inlineStr">
        <is>
          <t>12623 Berlin - Mahlsdorf</t>
        </is>
      </c>
      <c r="E2642" s="5" t="n">
        <v>45544</v>
      </c>
      <c r="F2642" t="inlineStr">
        <is>
          <t>Sold</t>
        </is>
      </c>
      <c r="G2642" s="6">
        <f>HYPERLINK("https://www.kleinanzeigen.de/s-anzeige/neilpryde-3k-3-3mm-neoprenanzug-surfanzug-gr-38-170-175cm-groesse/2858193682-230-27141", "Link")</f>
        <v/>
      </c>
      <c r="H2642" s="6">
        <f>HYPERLINK("C:\Projects\Kleinanzeigen-Scraper\offer_images\2858193682", "Link")</f>
        <v/>
      </c>
      <c r="I2642" t="inlineStr">
        <is>
          <t>S.Y.</t>
        </is>
      </c>
      <c r="J2642" s="6">
        <f>HYPERLINK("https://www.kleinanzeigen.de/s-bestandsliste.html?userId=597337", "Link")</f>
        <v/>
      </c>
      <c r="K2642" s="7" t="n">
        <v>45549.57127314815</v>
      </c>
      <c r="L2642" s="3" t="inlineStr">
        <is>
          <t>490.00</t>
        </is>
      </c>
      <c r="M2642" t="inlineStr">
        <is>
          <t>Köln</t>
        </is>
      </c>
    </row>
    <row r="2643">
      <c r="A2643" t="inlineStr">
        <is>
          <t>Fanatic SUP Tasche Rucksack</t>
        </is>
      </c>
      <c r="B2643" s="4" t="n">
        <v>40</v>
      </c>
      <c r="C2643" t="inlineStr"/>
      <c r="D2643" t="inlineStr">
        <is>
          <t>73329 Baden-Württemberg - Kuchen</t>
        </is>
      </c>
      <c r="E2643" s="5" t="n">
        <v>45529</v>
      </c>
      <c r="F2643" t="inlineStr">
        <is>
          <t>Sold</t>
        </is>
      </c>
      <c r="G2643" s="6">
        <f>HYPERLINK("https://www.kleinanzeigen.de/s-anzeige/fanatic-sup-tasche-rucksack/2845989645-230-8939", "Link")</f>
        <v/>
      </c>
      <c r="H2643" s="6">
        <f>HYPERLINK("C:\Projects\Kleinanzeigen-Scraper\offer_images\2845989645", "Link")</f>
        <v/>
      </c>
      <c r="I2643" t="inlineStr">
        <is>
          <t>Kyle</t>
        </is>
      </c>
      <c r="J2643" s="6">
        <f>HYPERLINK("https://www.kleinanzeigen.de/s-bestandsliste.html?userId=3564265", "Link")</f>
        <v/>
      </c>
      <c r="K2643" s="7" t="n">
        <v>45549.57127314815</v>
      </c>
      <c r="L2643" s="3" t="inlineStr">
        <is>
          <t>60.58</t>
        </is>
      </c>
      <c r="M2643" t="inlineStr">
        <is>
          <t>Böblingen</t>
        </is>
      </c>
    </row>
    <row r="2644">
      <c r="A2644" t="inlineStr">
        <is>
          <t>Feuerwehr Ärmelabzeichen Fire Dept.North Lindlnhurst Commissioner</t>
        </is>
      </c>
      <c r="B2644" s="4" t="n">
        <v>20</v>
      </c>
      <c r="C2644" t="inlineStr">
        <is>
          <t>VB</t>
        </is>
      </c>
      <c r="D2644" t="inlineStr">
        <is>
          <t>45329 Essen - Altenessen</t>
        </is>
      </c>
      <c r="E2644" s="5" t="n">
        <v>45547</v>
      </c>
      <c r="F2644" t="inlineStr">
        <is>
          <t>Sold</t>
        </is>
      </c>
      <c r="G2644" s="6">
        <f>HYPERLINK("https://www.kleinanzeigen.de/s-anzeige/feuerwehr-aermelabzeichen-fire-dept-north-lindlnhurst-commissioner/2860997503-234-2031", "Link")</f>
        <v/>
      </c>
      <c r="H2644" s="6">
        <f>HYPERLINK("C:\Projects\Kleinanzeigen-Scraper\offer_images\2860997503", "Link")</f>
        <v/>
      </c>
      <c r="I2644" t="inlineStr">
        <is>
          <t>J.-M. Holz</t>
        </is>
      </c>
      <c r="J2644" s="6">
        <f>HYPERLINK("https://www.kleinanzeigen.de/s-bestandsliste.html?userId=2632038", "Link")</f>
        <v/>
      </c>
      <c r="K2644" s="7" t="n">
        <v>45549.57125</v>
      </c>
      <c r="L2644" s="3" t="inlineStr">
        <is>
          <t>63.76</t>
        </is>
      </c>
      <c r="M2644" t="inlineStr">
        <is>
          <t>Köln</t>
        </is>
      </c>
    </row>
    <row r="2645">
      <c r="A2645" t="inlineStr">
        <is>
          <t>SUP Paddel J.P. Australia superleicht</t>
        </is>
      </c>
      <c r="B2645" s="4" t="n">
        <v>59</v>
      </c>
      <c r="C2645" t="inlineStr"/>
      <c r="D2645" t="inlineStr">
        <is>
          <t>14770 Brandenburg - Brandenburg an der Havel</t>
        </is>
      </c>
      <c r="E2645" s="5" t="n">
        <v>45522</v>
      </c>
      <c r="F2645" t="inlineStr"/>
      <c r="G2645" s="6">
        <f>HYPERLINK("https://www.kleinanzeigen.de/s-anzeige/sup-paddel-j-p-australia-superleicht/2840362095-230-7739", "Link")</f>
        <v/>
      </c>
      <c r="H2645" s="6">
        <f>HYPERLINK("C:\Projects\Kleinanzeigen-Scraper\offer_images\2840362095", "Link")</f>
        <v/>
      </c>
      <c r="I2645" t="inlineStr">
        <is>
          <t>Tina</t>
        </is>
      </c>
      <c r="J2645" s="6">
        <f>HYPERLINK("https://www.kleinanzeigen.de/s-bestandsliste.html?userId=124673996", "Link")</f>
        <v/>
      </c>
      <c r="K2645" s="7" t="n">
        <v>45549.57125</v>
      </c>
      <c r="L2645" s="3" t="inlineStr">
        <is>
          <t>416.86</t>
        </is>
      </c>
      <c r="M2645" t="inlineStr">
        <is>
          <t>Köln</t>
        </is>
      </c>
    </row>
    <row r="2646">
      <c r="A2646" t="inlineStr">
        <is>
          <t>Starboard INFLATABLE SUP 10.8x33x6 iGO DELUxE SC</t>
        </is>
      </c>
      <c r="B2646" s="4" t="n">
        <v>720</v>
      </c>
      <c r="C2646" t="inlineStr"/>
      <c r="D2646" t="inlineStr">
        <is>
          <t>82319 Bayern - Starnberg</t>
        </is>
      </c>
      <c r="E2646" s="5" t="n">
        <v>45547</v>
      </c>
      <c r="F2646" t="inlineStr"/>
      <c r="G2646" s="6">
        <f>HYPERLINK("https://www.kleinanzeigen.de/s-anzeige/starboard-inflatable-sup-10-8x33x6-igo-deluxe-sc/2836185018-230-5525", "Link")</f>
        <v/>
      </c>
      <c r="H2646" s="6">
        <f>HYPERLINK("C:\Projects\Kleinanzeigen-Scraper\offer_images\2836185018", "Link")</f>
        <v/>
      </c>
      <c r="I2646" t="inlineStr">
        <is>
          <t>No user name</t>
        </is>
      </c>
      <c r="J2646" s="6">
        <f>HYPERLINK("https://www.kleinanzeigen.deNo user link", "Link")</f>
        <v/>
      </c>
      <c r="K2646" s="7" t="n">
        <v>45549.57122685185</v>
      </c>
      <c r="L2646" s="3" t="inlineStr">
        <is>
          <t>23.17</t>
        </is>
      </c>
      <c r="M2646" t="inlineStr">
        <is>
          <t>München</t>
        </is>
      </c>
    </row>
    <row r="2647">
      <c r="A2647" t="inlineStr">
        <is>
          <t>Kitesurf, Kiteschirm North Dice 10 m</t>
        </is>
      </c>
      <c r="B2647" s="4" t="n">
        <v>300</v>
      </c>
      <c r="C2647" t="inlineStr"/>
      <c r="D2647" t="inlineStr">
        <is>
          <t>71549 Baden-Württemberg - Auenwald</t>
        </is>
      </c>
      <c r="E2647" s="5" t="n">
        <v>45543</v>
      </c>
      <c r="F2647" t="inlineStr">
        <is>
          <t>Sold</t>
        </is>
      </c>
      <c r="G2647" s="6">
        <f>HYPERLINK("https://www.kleinanzeigen.de/s-anzeige/kitesurf-kiteschirm-north-dice-10-m/2857527934-230-20234", "Link")</f>
        <v/>
      </c>
      <c r="H2647" s="6">
        <f>HYPERLINK("C:\Projects\Kleinanzeigen-Scraper\offer_images\2857527934", "Link")</f>
        <v/>
      </c>
      <c r="I2647" t="inlineStr">
        <is>
          <t>Sam</t>
        </is>
      </c>
      <c r="J2647" s="6">
        <f>HYPERLINK("https://www.kleinanzeigen.de/s-bestandsliste.html?userId=91227219", "Link")</f>
        <v/>
      </c>
      <c r="K2647" s="7" t="n">
        <v>45549.57122685185</v>
      </c>
      <c r="L2647" s="3" t="inlineStr">
        <is>
          <t>49.16</t>
        </is>
      </c>
      <c r="M2647" t="inlineStr">
        <is>
          <t>Böblingen</t>
        </is>
      </c>
    </row>
    <row r="2648">
      <c r="A2648" t="inlineStr">
        <is>
          <t>North Reach Kite 10m2 grün, 2022</t>
        </is>
      </c>
      <c r="B2648" s="4" t="n">
        <v>700</v>
      </c>
      <c r="C2648" t="inlineStr">
        <is>
          <t>VB</t>
        </is>
      </c>
      <c r="D2648" t="inlineStr">
        <is>
          <t>78315 Baden-Württemberg - Radolfzell am Bodensee</t>
        </is>
      </c>
      <c r="E2648" s="5" t="n">
        <v>45544</v>
      </c>
      <c r="F2648" t="inlineStr">
        <is>
          <t>Sold</t>
        </is>
      </c>
      <c r="G2648" s="6">
        <f>HYPERLINK("https://www.kleinanzeigen.de/s-anzeige/north-reach-kite-10m2-gruen-2022/2858644611-230-8190", "Link")</f>
        <v/>
      </c>
      <c r="H2648" s="6">
        <f>HYPERLINK("C:\Projects\Kleinanzeigen-Scraper\offer_images\2858644611", "Link")</f>
        <v/>
      </c>
      <c r="I2648" t="inlineStr">
        <is>
          <t>Simon Hautmann</t>
        </is>
      </c>
      <c r="J2648" s="6">
        <f>HYPERLINK("https://www.kleinanzeigen.de/s-bestandsliste.html?userId=76760502", "Link")</f>
        <v/>
      </c>
      <c r="K2648" s="7" t="n">
        <v>45549.57122685185</v>
      </c>
      <c r="L2648" s="3" t="inlineStr">
        <is>
          <t>48.46</t>
        </is>
      </c>
      <c r="M2648" t="inlineStr">
        <is>
          <t>Bonndorf</t>
        </is>
      </c>
    </row>
    <row r="2649">
      <c r="A2649" t="inlineStr">
        <is>
          <t>***NEU*** Naish Pivot 9qm 9m S27 2024 grau</t>
        </is>
      </c>
      <c r="B2649" s="4" t="n">
        <v>750</v>
      </c>
      <c r="C2649" t="inlineStr">
        <is>
          <t>VB</t>
        </is>
      </c>
      <c r="D2649" t="inlineStr">
        <is>
          <t>22049 Hamburg-Nord - Hamburg Dulsberg</t>
        </is>
      </c>
      <c r="E2649" s="5" t="n">
        <v>45534</v>
      </c>
      <c r="F2649" t="inlineStr"/>
      <c r="G2649" s="6">
        <f>HYPERLINK("https://www.kleinanzeigen.de/s-anzeige/-neu-naish-pivot-9qm-9m-s27-2024-grau/2850061288-230-16442", "Link")</f>
        <v/>
      </c>
      <c r="H2649" s="6">
        <f>HYPERLINK("C:\Projects\Kleinanzeigen-Scraper\offer_images\2850061288", "Link")</f>
        <v/>
      </c>
      <c r="I2649" t="inlineStr">
        <is>
          <t>Maikel B.</t>
        </is>
      </c>
      <c r="J2649" s="6">
        <f>HYPERLINK("https://www.kleinanzeigen.de/s-bestandsliste.html?userId=31955709", "Link")</f>
        <v/>
      </c>
      <c r="K2649" s="7" t="n">
        <v>45549.57122685185</v>
      </c>
      <c r="L2649" s="3" t="inlineStr">
        <is>
          <t>362.49</t>
        </is>
      </c>
      <c r="M2649" t="inlineStr">
        <is>
          <t>Köln</t>
        </is>
      </c>
    </row>
    <row r="2650">
      <c r="A2650" t="inlineStr">
        <is>
          <t>RRD Obsession 9 qm inkl Bar</t>
        </is>
      </c>
      <c r="B2650" s="4" t="n">
        <v>95</v>
      </c>
      <c r="C2650" t="inlineStr">
        <is>
          <t>VB</t>
        </is>
      </c>
      <c r="D2650" t="inlineStr">
        <is>
          <t>81927 München - Bogenhausen</t>
        </is>
      </c>
      <c r="E2650" s="5" t="n">
        <v>45535</v>
      </c>
      <c r="F2650" t="inlineStr"/>
      <c r="G2650" s="6">
        <f>HYPERLINK("https://www.kleinanzeigen.de/s-anzeige/rrd-obsession-9-qm-inkl-bar/2850551044-230-6527", "Link")</f>
        <v/>
      </c>
      <c r="H2650" s="6">
        <f>HYPERLINK("C:\Projects\Kleinanzeigen-Scraper\offer_images\2850551044", "Link")</f>
        <v/>
      </c>
      <c r="I2650" t="inlineStr">
        <is>
          <t>Christian</t>
        </is>
      </c>
      <c r="J2650" s="6">
        <f>HYPERLINK("https://www.kleinanzeigen.de/s-bestandsliste.html?userId=24096526", "Link")</f>
        <v/>
      </c>
      <c r="K2650" s="7" t="n">
        <v>45549.5712037037</v>
      </c>
      <c r="L2650" s="3" t="inlineStr">
        <is>
          <t>5.60</t>
        </is>
      </c>
      <c r="M2650" t="inlineStr">
        <is>
          <t>München</t>
        </is>
      </c>
    </row>
    <row r="2651">
      <c r="A2651" t="inlineStr">
        <is>
          <t>Kite 9er RRD</t>
        </is>
      </c>
      <c r="B2651" s="4" t="n">
        <v>125</v>
      </c>
      <c r="C2651" t="inlineStr"/>
      <c r="D2651" t="inlineStr">
        <is>
          <t>40235 Düsseldorf - Grafenberg</t>
        </is>
      </c>
      <c r="E2651" s="5" t="n">
        <v>45388</v>
      </c>
      <c r="F2651" t="inlineStr">
        <is>
          <t>Sold</t>
        </is>
      </c>
      <c r="G2651" s="6">
        <f>HYPERLINK("https://www.kleinanzeigen.de/s-anzeige/kite-9er-rrd/2727327470-230-16745", "Link")</f>
        <v/>
      </c>
      <c r="H2651" s="6">
        <f>HYPERLINK("C:\Projects\Kleinanzeigen-Scraper\offer_images\2727327470", "Link")</f>
        <v/>
      </c>
      <c r="I2651" t="inlineStr">
        <is>
          <t>Moritz Wolf</t>
        </is>
      </c>
      <c r="J2651" s="6">
        <f>HYPERLINK("https://www.kleinanzeigen.de/s-bestandsliste.html?userId=44394002", "Link")</f>
        <v/>
      </c>
      <c r="K2651" s="7" t="n">
        <v>45549.5712037037</v>
      </c>
      <c r="L2651" s="3" t="inlineStr">
        <is>
          <t>33.51</t>
        </is>
      </c>
      <c r="M2651" t="inlineStr">
        <is>
          <t>Köln</t>
        </is>
      </c>
    </row>
    <row r="2652">
      <c r="A2652" t="inlineStr">
        <is>
          <t>Duotone Kite Pumpe L</t>
        </is>
      </c>
      <c r="B2652" s="4" t="n">
        <v>22</v>
      </c>
      <c r="C2652" t="inlineStr"/>
      <c r="D2652" t="inlineStr">
        <is>
          <t>82362 Bayern - Weilheim i.OB</t>
        </is>
      </c>
      <c r="E2652" s="5" t="n">
        <v>45548</v>
      </c>
      <c r="F2652" t="inlineStr">
        <is>
          <t>Sold</t>
        </is>
      </c>
      <c r="G2652" s="6">
        <f>HYPERLINK("https://www.kleinanzeigen.de/s-anzeige/duotone-kite-pumpe-l/2861976056-230-10173", "Link")</f>
        <v/>
      </c>
      <c r="H2652" s="6">
        <f>HYPERLINK("C:\Projects\Kleinanzeigen-Scraper\offer_images\2861976056", "Link")</f>
        <v/>
      </c>
      <c r="I2652" t="inlineStr">
        <is>
          <t>Kilian</t>
        </is>
      </c>
      <c r="J2652" s="6">
        <f>HYPERLINK("https://www.kleinanzeigen.de/s-bestandsliste.html?userId=15321649", "Link")</f>
        <v/>
      </c>
      <c r="K2652" s="7" t="n">
        <v>45549.5712037037</v>
      </c>
      <c r="L2652" s="3" t="inlineStr">
        <is>
          <t>44.78</t>
        </is>
      </c>
      <c r="M2652" t="inlineStr">
        <is>
          <t>München</t>
        </is>
      </c>
    </row>
    <row r="2653">
      <c r="A2653" t="inlineStr">
        <is>
          <t>Damen Neoprenanzug Neilpryde Gr.36</t>
        </is>
      </c>
      <c r="B2653" s="4" t="n">
        <v>35</v>
      </c>
      <c r="C2653" t="inlineStr"/>
      <c r="D2653" t="inlineStr">
        <is>
          <t>31515 Niedersachsen - Wunstorf</t>
        </is>
      </c>
      <c r="E2653" s="5" t="n">
        <v>45506</v>
      </c>
      <c r="F2653" t="inlineStr">
        <is>
          <t>Sold</t>
        </is>
      </c>
      <c r="G2653" s="6">
        <f>HYPERLINK("https://www.kleinanzeigen.de/s-anzeige/damen-neoprenanzug-neilpryde-gr-36/2827125762-230-2930", "Link")</f>
        <v/>
      </c>
      <c r="H2653" s="6">
        <f>HYPERLINK("C:\Projects\Kleinanzeigen-Scraper\offer_images\2827125762", "Link")</f>
        <v/>
      </c>
      <c r="I2653" t="inlineStr">
        <is>
          <t>Familie Sieverling</t>
        </is>
      </c>
      <c r="J2653" s="6">
        <f>HYPERLINK("https://www.kleinanzeigen.de/s-bestandsliste.html?userId=23345927", "Link")</f>
        <v/>
      </c>
      <c r="K2653" s="7" t="n">
        <v>45549.5712037037</v>
      </c>
      <c r="L2653" s="3" t="inlineStr">
        <is>
          <t>236.47</t>
        </is>
      </c>
      <c r="M2653" t="inlineStr">
        <is>
          <t>Köln</t>
        </is>
      </c>
    </row>
    <row r="2654">
      <c r="A2654" t="inlineStr">
        <is>
          <t>Kite RRD Vision 13,5</t>
        </is>
      </c>
      <c r="B2654" s="4" t="n">
        <v>200</v>
      </c>
      <c r="C2654" t="inlineStr"/>
      <c r="D2654" t="inlineStr">
        <is>
          <t>12683 Berlin - Biesdorf</t>
        </is>
      </c>
      <c r="E2654" s="5" t="n">
        <v>45504</v>
      </c>
      <c r="F2654" t="inlineStr">
        <is>
          <t>Sold</t>
        </is>
      </c>
      <c r="G2654" s="6">
        <f>HYPERLINK("https://www.kleinanzeigen.de/s-anzeige/kite-rrd-vision-13-5/2825578597-230-19394", "Link")</f>
        <v/>
      </c>
      <c r="H2654" s="6">
        <f>HYPERLINK("C:\Projects\Kleinanzeigen-Scraper\offer_images\2825578597", "Link")</f>
        <v/>
      </c>
      <c r="I2654" t="inlineStr">
        <is>
          <t>Niels Falk</t>
        </is>
      </c>
      <c r="J2654" s="6">
        <f>HYPERLINK("https://www.kleinanzeigen.de/s-bestandsliste.html?userId=36426728", "Link")</f>
        <v/>
      </c>
      <c r="K2654" s="7" t="n">
        <v>45549.5712037037</v>
      </c>
      <c r="L2654" s="3" t="inlineStr">
        <is>
          <t>486.67</t>
        </is>
      </c>
      <c r="M2654" t="inlineStr">
        <is>
          <t>Köln</t>
        </is>
      </c>
    </row>
    <row r="2655">
      <c r="A2655" t="inlineStr">
        <is>
          <t>Kite Naish Torque Bar 55</t>
        </is>
      </c>
      <c r="B2655" s="4" t="n">
        <v>149</v>
      </c>
      <c r="C2655" t="inlineStr">
        <is>
          <t>VB</t>
        </is>
      </c>
      <c r="D2655" t="inlineStr">
        <is>
          <t>81377 München - Sendling-Westpark</t>
        </is>
      </c>
      <c r="E2655" s="5" t="n">
        <v>45525</v>
      </c>
      <c r="F2655" t="inlineStr">
        <is>
          <t>Sold</t>
        </is>
      </c>
      <c r="G2655" s="6">
        <f>HYPERLINK("https://www.kleinanzeigen.de/s-anzeige/kite-naish-torque-bar-55/2842719868-230-16392", "Link")</f>
        <v/>
      </c>
      <c r="H2655" s="6">
        <f>HYPERLINK("C:\Projects\Kleinanzeigen-Scraper\offer_images\2842719868", "Link")</f>
        <v/>
      </c>
      <c r="I2655" t="inlineStr">
        <is>
          <t>PhilippS</t>
        </is>
      </c>
      <c r="J2655" s="6">
        <f>HYPERLINK("https://www.kleinanzeigen.de/s-bestandsliste.html?userId=140031991", "Link")</f>
        <v/>
      </c>
      <c r="K2655" s="7" t="n">
        <v>45549.57119212963</v>
      </c>
      <c r="L2655" s="3" t="inlineStr">
        <is>
          <t>7.24</t>
        </is>
      </c>
      <c r="M2655" t="inlineStr">
        <is>
          <t>München</t>
        </is>
      </c>
    </row>
    <row r="2656">
      <c r="A2656" t="inlineStr">
        <is>
          <t>Neopren Damen Mantel ProLimit kein Neilpryde, Mystic, Billabong</t>
        </is>
      </c>
      <c r="B2656" s="4" t="n">
        <v>140</v>
      </c>
      <c r="C2656" t="inlineStr"/>
      <c r="D2656" t="inlineStr">
        <is>
          <t>73460 Baden-Württemberg - Hüttlingen</t>
        </is>
      </c>
      <c r="E2656" s="5" t="n">
        <v>45545</v>
      </c>
      <c r="F2656" t="inlineStr">
        <is>
          <t>Sold</t>
        </is>
      </c>
      <c r="G2656" s="6">
        <f>HYPERLINK("https://www.kleinanzeigen.de/s-anzeige/neopren-damen-mantel-prolimit-kein-neilpryde-mystic-billabong/2859741761-230-9079", "Link")</f>
        <v/>
      </c>
      <c r="H2656" s="6">
        <f>HYPERLINK("C:\Projects\Kleinanzeigen-Scraper\offer_images\2859741761", "Link")</f>
        <v/>
      </c>
      <c r="I2656" t="inlineStr">
        <is>
          <t>Markus H.</t>
        </is>
      </c>
      <c r="J2656" s="6">
        <f>HYPERLINK("https://www.kleinanzeigen.de/s-bestandsliste.html?userId=17348971", "Link")</f>
        <v/>
      </c>
      <c r="K2656" s="7" t="n">
        <v>45549.57118055555</v>
      </c>
      <c r="L2656" s="3" t="inlineStr">
        <is>
          <t>85.73</t>
        </is>
      </c>
      <c r="M2656" t="inlineStr">
        <is>
          <t>Böblingen</t>
        </is>
      </c>
    </row>
    <row r="2657">
      <c r="A2657" t="inlineStr">
        <is>
          <t>North Face Rucksack Wanderrucksack 75+15</t>
        </is>
      </c>
      <c r="B2657" s="4" t="n">
        <v>35</v>
      </c>
      <c r="C2657" t="inlineStr">
        <is>
          <t>VB</t>
        </is>
      </c>
      <c r="D2657" t="inlineStr">
        <is>
          <t>14193 Berlin - Wilmersdorf</t>
        </is>
      </c>
      <c r="E2657" s="5" t="n">
        <v>45546</v>
      </c>
      <c r="F2657" t="inlineStr">
        <is>
          <t>Sold</t>
        </is>
      </c>
      <c r="G2657" s="6">
        <f>HYPERLINK("https://www.kleinanzeigen.de/s-anzeige/north-face-rucksack-wanderrucksack-75-15/2860540668-230-3540", "Link")</f>
        <v/>
      </c>
      <c r="H2657" s="6">
        <f>HYPERLINK("C:\Projects\Kleinanzeigen-Scraper\offer_images\2860540668", "Link")</f>
        <v/>
      </c>
      <c r="I2657" t="inlineStr">
        <is>
          <t>goeren</t>
        </is>
      </c>
      <c r="J2657" s="6">
        <f>HYPERLINK("https://www.kleinanzeigen.de/s-bestandsliste.html?userId=17213886", "Link")</f>
        <v/>
      </c>
      <c r="K2657" s="7" t="n">
        <v>45549.57118055555</v>
      </c>
      <c r="L2657" s="3" t="inlineStr">
        <is>
          <t>463.28</t>
        </is>
      </c>
      <c r="M2657" t="inlineStr">
        <is>
          <t>Köln</t>
        </is>
      </c>
    </row>
    <row r="2658">
      <c r="A2658" t="inlineStr">
        <is>
          <t>Naish Jet Foil Set 1650/85 2022 Komplettset, wenig gefahren</t>
        </is>
      </c>
      <c r="B2658" s="4" t="n">
        <v>800</v>
      </c>
      <c r="C2658" t="inlineStr"/>
      <c r="D2658" t="inlineStr">
        <is>
          <t>12587 Berlin - Köpenick</t>
        </is>
      </c>
      <c r="E2658" s="5" t="n">
        <v>45538</v>
      </c>
      <c r="F2658" t="inlineStr"/>
      <c r="G2658" s="6">
        <f>HYPERLINK("https://www.kleinanzeigen.de/s-anzeige/naish-jet-foil-set-1650-85-2022-komplettset-wenig-gefahren/2853202270-230-3374", "Link")</f>
        <v/>
      </c>
      <c r="H2658" s="6">
        <f>HYPERLINK("C:\Projects\Kleinanzeigen-Scraper\offer_images\2853202270", "Link")</f>
        <v/>
      </c>
      <c r="I2658" t="inlineStr">
        <is>
          <t>Katrin</t>
        </is>
      </c>
      <c r="J2658" s="6">
        <f>HYPERLINK("https://www.kleinanzeigen.de/s-bestandsliste.html?userId=15951060", "Link")</f>
        <v/>
      </c>
      <c r="K2658" s="7" t="n">
        <v>45549.57118055555</v>
      </c>
      <c r="L2658" s="3" t="inlineStr">
        <is>
          <t>490.72</t>
        </is>
      </c>
      <c r="M2658" t="inlineStr">
        <is>
          <t>Köln</t>
        </is>
      </c>
    </row>
    <row r="2659">
      <c r="A2659" t="inlineStr">
        <is>
          <t>Kite Naish Pivot S27 in 12m (2023)</t>
        </is>
      </c>
      <c r="B2659" s="4" t="n">
        <v>775</v>
      </c>
      <c r="C2659" t="inlineStr">
        <is>
          <t>VB</t>
        </is>
      </c>
      <c r="D2659" t="inlineStr">
        <is>
          <t>26129 Niedersachsen - Oldenburg</t>
        </is>
      </c>
      <c r="E2659" s="5" t="n">
        <v>45506</v>
      </c>
      <c r="F2659" t="inlineStr">
        <is>
          <t>Sold</t>
        </is>
      </c>
      <c r="G2659" s="6">
        <f>HYPERLINK("https://www.kleinanzeigen.de/s-anzeige/kite-naish-pivot-s27-in-12m-2023-/2827083362-230-3113", "Link")</f>
        <v/>
      </c>
      <c r="H2659" s="6">
        <f>HYPERLINK("C:\Projects\Kleinanzeigen-Scraper\offer_images\2827083362", "Link")</f>
        <v/>
      </c>
      <c r="I2659" t="inlineStr">
        <is>
          <t>Siljan Schröder</t>
        </is>
      </c>
      <c r="J2659" s="6">
        <f>HYPERLINK("https://www.kleinanzeigen.de/s-bestandsliste.html?userId=49277330", "Link")</f>
        <v/>
      </c>
      <c r="K2659" s="7" t="n">
        <v>45549.57118055555</v>
      </c>
      <c r="L2659" s="3" t="inlineStr">
        <is>
          <t>259.47</t>
        </is>
      </c>
      <c r="M2659" t="inlineStr">
        <is>
          <t>Köln</t>
        </is>
      </c>
    </row>
    <row r="2660">
      <c r="A2660" t="inlineStr">
        <is>
          <t>North Kite Rebel 9 er unbenutzt - nochmal reduziert -</t>
        </is>
      </c>
      <c r="B2660" s="4" t="n">
        <v>480</v>
      </c>
      <c r="C2660" t="inlineStr">
        <is>
          <t>VB</t>
        </is>
      </c>
      <c r="D2660" t="inlineStr">
        <is>
          <t>21465 Schleswig-Holstein - Reinbek</t>
        </is>
      </c>
      <c r="E2660" s="5" t="n">
        <v>45547</v>
      </c>
      <c r="F2660" t="inlineStr">
        <is>
          <t>Sold</t>
        </is>
      </c>
      <c r="G2660" s="6">
        <f>HYPERLINK("https://www.kleinanzeigen.de/s-anzeige/north-kite-rebel-9-er-unbenutzt-nochmal-reduziert-/2769929450-230-13590", "Link")</f>
        <v/>
      </c>
      <c r="H2660" s="6">
        <f>HYPERLINK("C:\Projects\Kleinanzeigen-Scraper\offer_images\2769929450", "Link")</f>
        <v/>
      </c>
      <c r="I2660" t="inlineStr">
        <is>
          <t>Dorothea</t>
        </is>
      </c>
      <c r="J2660" s="6">
        <f>HYPERLINK("https://www.kleinanzeigen.de/s-bestandsliste.html?userId=17182371", "Link")</f>
        <v/>
      </c>
      <c r="K2660" s="7" t="n">
        <v>45549.57118055555</v>
      </c>
      <c r="L2660" s="3" t="inlineStr">
        <is>
          <t>366.85</t>
        </is>
      </c>
      <c r="M2660" t="inlineStr">
        <is>
          <t>Köln</t>
        </is>
      </c>
    </row>
    <row r="2661">
      <c r="A2661" t="inlineStr">
        <is>
          <t>Windsurf Neopren Schuhe 40.5</t>
        </is>
      </c>
      <c r="B2661" s="4" t="n">
        <v>40</v>
      </c>
      <c r="C2661" t="inlineStr">
        <is>
          <t>VB</t>
        </is>
      </c>
      <c r="D2661" t="inlineStr">
        <is>
          <t>13347 Mitte - Wedding</t>
        </is>
      </c>
      <c r="E2661" s="5" t="n">
        <v>45548</v>
      </c>
      <c r="F2661" t="inlineStr">
        <is>
          <t>Sold</t>
        </is>
      </c>
      <c r="G2661" s="6">
        <f>HYPERLINK("https://www.kleinanzeigen.de/s-anzeige/windsurf-neopren-schuhe-40-5/2862055660-230-3508", "Link")</f>
        <v/>
      </c>
      <c r="H2661" s="6">
        <f>HYPERLINK("C:\Projects\Kleinanzeigen-Scraper\offer_images\2862055660", "Link")</f>
        <v/>
      </c>
      <c r="I2661" t="inlineStr">
        <is>
          <t>Privat</t>
        </is>
      </c>
      <c r="J2661" s="6">
        <f>HYPERLINK("https://www.kleinanzeigen.de/s-bestandsliste.html?userId=14672016", "Link")</f>
        <v/>
      </c>
      <c r="K2661" s="7" t="n">
        <v>45549.57118055555</v>
      </c>
      <c r="L2661" s="3" t="inlineStr">
        <is>
          <t>476.11</t>
        </is>
      </c>
      <c r="M2661" t="inlineStr">
        <is>
          <t>Köln</t>
        </is>
      </c>
    </row>
    <row r="2662">
      <c r="A2662" t="inlineStr">
        <is>
          <t>North Camp Campingstuhl - blau</t>
        </is>
      </c>
      <c r="B2662" s="4" t="n">
        <v>15</v>
      </c>
      <c r="C2662" t="inlineStr"/>
      <c r="D2662" t="inlineStr">
        <is>
          <t>55286 Rheinland-Pfalz - Wörrstadt</t>
        </is>
      </c>
      <c r="E2662" s="5" t="n">
        <v>45541</v>
      </c>
      <c r="F2662" t="inlineStr">
        <is>
          <t>Sold</t>
        </is>
      </c>
      <c r="G2662" s="6">
        <f>HYPERLINK("https://www.kleinanzeigen.de/s-anzeige/north-camp-campingstuhl-blau/2856063566-230-5060", "Link")</f>
        <v/>
      </c>
      <c r="H2662" s="6">
        <f>HYPERLINK("C:\Projects\Kleinanzeigen-Scraper\offer_images\2856063566", "Link")</f>
        <v/>
      </c>
      <c r="I2662" t="inlineStr">
        <is>
          <t>AB</t>
        </is>
      </c>
      <c r="J2662" s="6">
        <f>HYPERLINK("https://www.kleinanzeigen.de/s-bestandsliste.html?userId=12979289", "Link")</f>
        <v/>
      </c>
      <c r="K2662" s="7" t="n">
        <v>45549.57115740741</v>
      </c>
      <c r="L2662" s="3" t="inlineStr">
        <is>
          <t>95.94</t>
        </is>
      </c>
      <c r="M2662" t="inlineStr">
        <is>
          <t>Karlsruhe</t>
        </is>
      </c>
    </row>
    <row r="2663">
      <c r="A2663" t="inlineStr">
        <is>
          <t>Boxhandschuhe / VANDAL /Fußschutz</t>
        </is>
      </c>
      <c r="B2663" s="4" t="n">
        <v>50</v>
      </c>
      <c r="C2663" t="inlineStr"/>
      <c r="D2663" t="inlineStr">
        <is>
          <t>38444 Niedersachsen - Wolfsburg</t>
        </is>
      </c>
      <c r="E2663" s="5" t="n">
        <v>44483</v>
      </c>
      <c r="F2663" t="inlineStr"/>
      <c r="G2663" s="6">
        <f>HYPERLINK("https://www.kleinanzeigen.de/s-anzeige/boxhandschuhe-vandal-fussschutz/1900830628-230-3072", "Link")</f>
        <v/>
      </c>
      <c r="H2663" s="6">
        <f>HYPERLINK("C:\Projects\Kleinanzeigen-Scraper\offer_images\1900830628", "Link")</f>
        <v/>
      </c>
      <c r="I2663" t="inlineStr">
        <is>
          <t>Olga</t>
        </is>
      </c>
      <c r="J2663" s="6">
        <f>HYPERLINK("https://www.kleinanzeigen.de/s-bestandsliste.html?userId=84480190", "Link")</f>
        <v/>
      </c>
      <c r="K2663" s="7" t="n">
        <v>45549.57115740741</v>
      </c>
      <c r="L2663" s="3" t="inlineStr">
        <is>
          <t>307.09</t>
        </is>
      </c>
      <c r="M2663" t="inlineStr">
        <is>
          <t>Köln</t>
        </is>
      </c>
    </row>
    <row r="2664">
      <c r="A2664" t="inlineStr">
        <is>
          <t>Bachmann HO Dampflok, Northern/ Santa Fe, neuwertig in OVP</t>
        </is>
      </c>
      <c r="B2664" s="4" t="n">
        <v>135</v>
      </c>
      <c r="C2664" t="inlineStr">
        <is>
          <t>VB</t>
        </is>
      </c>
      <c r="D2664" t="inlineStr">
        <is>
          <t>14715 Brandenburg - Havelaue</t>
        </is>
      </c>
      <c r="E2664" s="5" t="n">
        <v>45540</v>
      </c>
      <c r="F2664" t="inlineStr">
        <is>
          <t>Sold</t>
        </is>
      </c>
      <c r="G2664" s="6">
        <f>HYPERLINK("https://www.kleinanzeigen.de/s-anzeige/bachmann-ho-dampflok-northern-santa-fe-neuwertig-in-ovp-/2855257709-249-25988", "Link")</f>
        <v/>
      </c>
      <c r="H2664" s="6">
        <f>HYPERLINK("C:\Projects\Kleinanzeigen-Scraper\offer_images\2855257709", "Link")</f>
        <v/>
      </c>
      <c r="I2664" t="inlineStr">
        <is>
          <t>Reinhard Gottberg</t>
        </is>
      </c>
      <c r="J2664" s="6">
        <f>HYPERLINK("https://www.kleinanzeigen.de/s-bestandsliste.html?userId=25484810", "Link")</f>
        <v/>
      </c>
      <c r="K2664" s="7" t="n">
        <v>45549.57115740741</v>
      </c>
      <c r="L2664" s="3" t="inlineStr">
        <is>
          <t>425.01</t>
        </is>
      </c>
      <c r="M2664" t="inlineStr">
        <is>
          <t>Köln</t>
        </is>
      </c>
    </row>
    <row r="2665">
      <c r="A2665" t="inlineStr">
        <is>
          <t>Starboard GenR Stand Up Paddle Raceboard 14x23</t>
        </is>
      </c>
      <c r="B2665" s="4" t="n">
        <v>2.9</v>
      </c>
      <c r="C2665" t="inlineStr">
        <is>
          <t>VB</t>
        </is>
      </c>
      <c r="D2665" t="inlineStr">
        <is>
          <t>82229 Bayern - Seefeld</t>
        </is>
      </c>
      <c r="E2665" s="5" t="n">
        <v>45546</v>
      </c>
      <c r="F2665" t="inlineStr"/>
      <c r="G2665" s="6">
        <f>HYPERLINK("https://www.kleinanzeigen.de/s-anzeige/starboard-genr-stand-up-paddle-raceboard-14x23/2860046305-230-5519", "Link")</f>
        <v/>
      </c>
      <c r="H2665" s="6">
        <f>HYPERLINK("C:\Projects\Kleinanzeigen-Scraper\offer_images\2860046305", "Link")</f>
        <v/>
      </c>
      <c r="I2665" t="inlineStr">
        <is>
          <t>markus</t>
        </is>
      </c>
      <c r="J2665" s="6">
        <f>HYPERLINK("https://www.kleinanzeigen.de/s-bestandsliste.html?userId=18582118", "Link")</f>
        <v/>
      </c>
      <c r="K2665" s="7" t="n">
        <v>45549.57115740741</v>
      </c>
      <c r="L2665" s="3" t="inlineStr">
        <is>
          <t>27.49</t>
        </is>
      </c>
      <c r="M2665" t="inlineStr">
        <is>
          <t>München</t>
        </is>
      </c>
    </row>
    <row r="2666">
      <c r="A2666" t="inlineStr">
        <is>
          <t>North Reach 9qm 2021 wie neu</t>
        </is>
      </c>
      <c r="B2666" s="4" t="n">
        <v>740</v>
      </c>
      <c r="C2666" t="inlineStr">
        <is>
          <t>VB</t>
        </is>
      </c>
      <c r="D2666" t="inlineStr">
        <is>
          <t>22359 Wandsbek - Hamburg Bergstedt</t>
        </is>
      </c>
      <c r="E2666" s="5" t="n">
        <v>45536</v>
      </c>
      <c r="F2666" t="inlineStr">
        <is>
          <t>Sold</t>
        </is>
      </c>
      <c r="G2666" s="6">
        <f>HYPERLINK("https://www.kleinanzeigen.de/s-anzeige/north-reach-9qm-2021-wie-neu/2851552105-230-9447", "Link")</f>
        <v/>
      </c>
      <c r="H2666" s="6">
        <f>HYPERLINK("C:\Projects\Kleinanzeigen-Scraper\offer_images\2851552105", "Link")</f>
        <v/>
      </c>
      <c r="I2666" t="inlineStr">
        <is>
          <t>Daniel</t>
        </is>
      </c>
      <c r="J2666" s="6">
        <f>HYPERLINK("https://www.kleinanzeigen.de/s-bestandsliste.html?userId=133084850", "Link")</f>
        <v/>
      </c>
      <c r="K2666" s="7" t="n">
        <v>45549.57113425926</v>
      </c>
      <c r="L2666" s="3" t="inlineStr">
        <is>
          <t>371.96</t>
        </is>
      </c>
      <c r="M2666" t="inlineStr">
        <is>
          <t>Köln</t>
        </is>
      </c>
    </row>
    <row r="2667">
      <c r="A2667" t="inlineStr">
        <is>
          <t>Gun Sails Shorty Kinder Neopren</t>
        </is>
      </c>
      <c r="B2667" s="4" t="n">
        <v>20</v>
      </c>
      <c r="C2667" t="inlineStr">
        <is>
          <t>VB</t>
        </is>
      </c>
      <c r="D2667" t="inlineStr">
        <is>
          <t>90768 Bayern - Fürth</t>
        </is>
      </c>
      <c r="E2667" s="5" t="n">
        <v>45521</v>
      </c>
      <c r="F2667" t="inlineStr">
        <is>
          <t>Sold</t>
        </is>
      </c>
      <c r="G2667" s="6">
        <f>HYPERLINK("https://www.kleinanzeigen.de/s-anzeige/gun-sails-shorty-kinder-neopren/2838765613-230-6804", "Link")</f>
        <v/>
      </c>
      <c r="H2667" s="6">
        <f>HYPERLINK("C:\Projects\Kleinanzeigen-Scraper\offer_images\2838765613", "Link")</f>
        <v/>
      </c>
      <c r="I2667" t="inlineStr">
        <is>
          <t>Klaus Weinert</t>
        </is>
      </c>
      <c r="J2667" s="6">
        <f>HYPERLINK("https://www.kleinanzeigen.de/s-bestandsliste.html?userId=6824337", "Link")</f>
        <v/>
      </c>
      <c r="K2667" s="7" t="n">
        <v>45549.57113425926</v>
      </c>
      <c r="L2667" s="3" t="inlineStr">
        <is>
          <t>157.87</t>
        </is>
      </c>
      <c r="M2667" t="inlineStr">
        <is>
          <t>München</t>
        </is>
      </c>
    </row>
    <row r="2668">
      <c r="A2668" t="inlineStr">
        <is>
          <t>SIMMS waathose Freestone</t>
        </is>
      </c>
      <c r="B2668" s="4" t="n">
        <v>200</v>
      </c>
      <c r="C2668" t="inlineStr"/>
      <c r="D2668" t="inlineStr">
        <is>
          <t>24937 Schleswig-Holstein - Flensburg</t>
        </is>
      </c>
      <c r="E2668" s="5" t="n">
        <v>45543</v>
      </c>
      <c r="F2668" t="inlineStr">
        <is>
          <t>Sold</t>
        </is>
      </c>
      <c r="G2668" s="6">
        <f>HYPERLINK("https://www.kleinanzeigen.de/s-anzeige/simms-waathose-freestone/2857253034-230-718", "Link")</f>
        <v/>
      </c>
      <c r="H2668" s="6">
        <f>HYPERLINK("C:\Projects\Kleinanzeigen-Scraper\offer_images\2857253034", "Link")</f>
        <v/>
      </c>
      <c r="I2668" t="inlineStr">
        <is>
          <t>Mo Lammert</t>
        </is>
      </c>
      <c r="J2668" s="6">
        <f>HYPERLINK("https://www.kleinanzeigen.de/s-bestandsliste.html?userId=58883032", "Link")</f>
        <v/>
      </c>
      <c r="K2668" s="7" t="n">
        <v>45549.57113425926</v>
      </c>
      <c r="L2668" s="3" t="inlineStr">
        <is>
          <t>458.80</t>
        </is>
      </c>
      <c r="M2668" t="inlineStr">
        <is>
          <t>Köln</t>
        </is>
      </c>
    </row>
    <row r="2669">
      <c r="A2669" t="inlineStr">
        <is>
          <t>North Navigator Bar 2024 in M</t>
        </is>
      </c>
      <c r="B2669" s="4" t="n">
        <v>300</v>
      </c>
      <c r="C2669" t="inlineStr"/>
      <c r="D2669" t="inlineStr">
        <is>
          <t>46569 Nordrhein-Westfalen - Hünxe</t>
        </is>
      </c>
      <c r="E2669" s="5" t="n">
        <v>45542</v>
      </c>
      <c r="F2669" t="inlineStr">
        <is>
          <t>Sold</t>
        </is>
      </c>
      <c r="G2669" s="6">
        <f>HYPERLINK("https://www.kleinanzeigen.de/s-anzeige/north-navigator-bar-2024-in-m/2856206265-230-1383", "Link")</f>
        <v/>
      </c>
      <c r="H2669" s="6">
        <f>HYPERLINK("C:\Projects\Kleinanzeigen-Scraper\offer_images\2856206265", "Link")</f>
        <v/>
      </c>
      <c r="I2669" t="inlineStr">
        <is>
          <t>Andreas Wenner</t>
        </is>
      </c>
      <c r="J2669" s="6">
        <f>HYPERLINK("https://www.kleinanzeigen.de/s-bestandsliste.html?userId=29523398", "Link")</f>
        <v/>
      </c>
      <c r="K2669" s="7" t="n">
        <v>45549.57111111111</v>
      </c>
      <c r="L2669" s="3" t="inlineStr">
        <is>
          <t>78.61</t>
        </is>
      </c>
      <c r="M2669" t="inlineStr">
        <is>
          <t>Köln</t>
        </is>
      </c>
    </row>
    <row r="2670">
      <c r="A2670" t="inlineStr">
        <is>
          <t>Kitesurfen Kite Naish Cult Sigma 10,5 mit Bar</t>
        </is>
      </c>
      <c r="B2670" s="4" t="n">
        <v>75</v>
      </c>
      <c r="C2670" t="inlineStr"/>
      <c r="D2670" t="inlineStr">
        <is>
          <t>35428 Hessen - Langgöns</t>
        </is>
      </c>
      <c r="E2670" s="5" t="n">
        <v>45547</v>
      </c>
      <c r="F2670" t="inlineStr">
        <is>
          <t>Sold</t>
        </is>
      </c>
      <c r="G2670" s="6">
        <f>HYPERLINK("https://www.kleinanzeigen.de/s-anzeige/kitesurfen-kite-naish-cult-sigma-10-5-mit-bar/2861320815-230-4664", "Link")</f>
        <v/>
      </c>
      <c r="H2670" s="6">
        <f>HYPERLINK("C:\Projects\Kleinanzeigen-Scraper\offer_images\2861320815", "Link")</f>
        <v/>
      </c>
      <c r="I2670" t="inlineStr">
        <is>
          <t>Timm Straßheim</t>
        </is>
      </c>
      <c r="J2670" s="6">
        <f>HYPERLINK("https://www.kleinanzeigen.de/s-bestandsliste.html?userId=16095459", "Link")</f>
        <v/>
      </c>
      <c r="K2670" s="7" t="n">
        <v>45549.57111111111</v>
      </c>
      <c r="L2670" s="3" t="inlineStr">
        <is>
          <t>125.53</t>
        </is>
      </c>
      <c r="M2670" t="inlineStr">
        <is>
          <t>Köln</t>
        </is>
      </c>
    </row>
    <row r="2671">
      <c r="A2671" t="inlineStr">
        <is>
          <t>North Sonar Carbon Foil CF85 600 Fuselage gebraucht (NF034)</t>
        </is>
      </c>
      <c r="B2671" s="4" t="n">
        <v>944</v>
      </c>
      <c r="C2671" t="inlineStr">
        <is>
          <t>VB</t>
        </is>
      </c>
      <c r="D2671" t="inlineStr">
        <is>
          <t>23774 Kreis Ostholstein - Heiligenhafen</t>
        </is>
      </c>
      <c r="E2671" s="5" t="n">
        <v>45542</v>
      </c>
      <c r="F2671" t="inlineStr">
        <is>
          <t>Sold</t>
        </is>
      </c>
      <c r="G2671" s="6">
        <f>HYPERLINK("https://www.kleinanzeigen.de/s-anzeige/north-sonar-carbon-foil-cf85-600-fuselage-gebraucht-nf034-/2650066520-230-427", "Link")</f>
        <v/>
      </c>
      <c r="H2671" s="6">
        <f>HYPERLINK("C:\Projects\Kleinanzeigen-Scraper\offer_images\2650066520", "Link")</f>
        <v/>
      </c>
      <c r="I2671" t="inlineStr">
        <is>
          <t>No user name</t>
        </is>
      </c>
      <c r="J2671" s="6">
        <f>HYPERLINK("https://www.kleinanzeigen.deNo user link", "Link")</f>
        <v/>
      </c>
      <c r="K2671" s="7" t="n">
        <v>45549.57109953704</v>
      </c>
      <c r="L2671" s="3" t="inlineStr">
        <is>
          <t>467.75</t>
        </is>
      </c>
      <c r="M2671" t="inlineStr">
        <is>
          <t>Köln</t>
        </is>
      </c>
    </row>
    <row r="2672">
      <c r="A2672" t="inlineStr">
        <is>
          <t>Hohes Glas "Maimarkt Simmern" 0,3 l Füllstrich * sehr alt</t>
        </is>
      </c>
      <c r="B2672" s="4" t="n">
        <v>3</v>
      </c>
      <c r="C2672" t="inlineStr"/>
      <c r="D2672" t="inlineStr">
        <is>
          <t>55469 Simmern - Hunsrück</t>
        </is>
      </c>
      <c r="E2672" s="5" t="n">
        <v>45314</v>
      </c>
      <c r="F2672" t="inlineStr"/>
      <c r="G2672" s="6">
        <f>HYPERLINK("https://www.kleinanzeigen.de/s-anzeige/hohes-glas-maimarkt-simmern-0-3-l-fuellstrich-sehr-alt/2660187380-234-5111", "Link")</f>
        <v/>
      </c>
      <c r="H2672" s="6">
        <f>HYPERLINK("C:\Projects\Kleinanzeigen-Scraper\offer_images\2660187380", "Link")</f>
        <v/>
      </c>
      <c r="I2672" t="inlineStr">
        <is>
          <t>privater Anbieter</t>
        </is>
      </c>
      <c r="J2672" s="6">
        <f>HYPERLINK("https://www.kleinanzeigen.de/s-bestandsliste.html?userId=62433267", "Link")</f>
        <v/>
      </c>
      <c r="K2672" s="7" t="n">
        <v>45549.57109953704</v>
      </c>
      <c r="L2672" s="3" t="inlineStr">
        <is>
          <t>113.56</t>
        </is>
      </c>
      <c r="M2672" t="inlineStr">
        <is>
          <t>Köln</t>
        </is>
      </c>
    </row>
    <row r="2673">
      <c r="A2673" t="inlineStr">
        <is>
          <t>Duotone Dice SLS 8qm</t>
        </is>
      </c>
      <c r="B2673" s="4" t="n">
        <v>690</v>
      </c>
      <c r="C2673" t="inlineStr">
        <is>
          <t>VB</t>
        </is>
      </c>
      <c r="D2673" t="inlineStr">
        <is>
          <t>49448 Niedersachsen - Lemförde</t>
        </is>
      </c>
      <c r="E2673" s="5" t="n">
        <v>45539</v>
      </c>
      <c r="F2673" t="inlineStr">
        <is>
          <t>Sold</t>
        </is>
      </c>
      <c r="G2673" s="6">
        <f>HYPERLINK("https://www.kleinanzeigen.de/s-anzeige/duotone-dice-sls-8qm/2854433003-230-18843", "Link")</f>
        <v/>
      </c>
      <c r="H2673" s="6">
        <f>HYPERLINK("C:\Projects\Kleinanzeigen-Scraper\offer_images\2854433003", "Link")</f>
        <v/>
      </c>
      <c r="I2673" t="inlineStr">
        <is>
          <t>Sören</t>
        </is>
      </c>
      <c r="J2673" s="6">
        <f>HYPERLINK("https://www.kleinanzeigen.de/s-bestandsliste.html?userId=25994590", "Link")</f>
        <v/>
      </c>
      <c r="K2673" s="7" t="n">
        <v>45549.57109953704</v>
      </c>
      <c r="L2673" s="3" t="inlineStr">
        <is>
          <t>195.68</t>
        </is>
      </c>
      <c r="M2673" t="inlineStr">
        <is>
          <t>Köln</t>
        </is>
      </c>
    </row>
    <row r="2674">
      <c r="A2674" t="inlineStr">
        <is>
          <t>Kite Naish Pivot 5 qm 2018 Model 2018 guter Zustand für foil</t>
        </is>
      </c>
      <c r="B2674" s="4" t="n">
        <v>225</v>
      </c>
      <c r="C2674" t="inlineStr">
        <is>
          <t>VB</t>
        </is>
      </c>
      <c r="D2674" t="inlineStr">
        <is>
          <t>22043 Wandsbek - Hamburg Marienthal</t>
        </is>
      </c>
      <c r="E2674" s="5" t="n">
        <v>45497</v>
      </c>
      <c r="F2674" t="inlineStr">
        <is>
          <t>Sold</t>
        </is>
      </c>
      <c r="G2674" s="6">
        <f>HYPERLINK("https://www.kleinanzeigen.de/s-anzeige/kite-naish-pivot-5-qm-2018-model-2018-guter-zustand-fuer-foil/2819987074-230-23510", "Link")</f>
        <v/>
      </c>
      <c r="H2674" s="6">
        <f>HYPERLINK("C:\Projects\Kleinanzeigen-Scraper\offer_images\2819987074", "Link")</f>
        <v/>
      </c>
      <c r="I2674" t="inlineStr">
        <is>
          <t>FS</t>
        </is>
      </c>
      <c r="J2674" s="6">
        <f>HYPERLINK("https://www.kleinanzeigen.de/s-bestandsliste.html?userId=4219509", "Link")</f>
        <v/>
      </c>
      <c r="K2674" s="7" t="n">
        <v>45549.57109953704</v>
      </c>
      <c r="L2674" s="3" t="inlineStr">
        <is>
          <t>362.40</t>
        </is>
      </c>
      <c r="M2674" t="inlineStr">
        <is>
          <t>Köln</t>
        </is>
      </c>
    </row>
    <row r="2675">
      <c r="A2675" t="inlineStr">
        <is>
          <t>Duotone Travel Kitebag Boardbag 139cm</t>
        </is>
      </c>
      <c r="B2675" s="4" t="n">
        <v>40</v>
      </c>
      <c r="C2675" t="inlineStr">
        <is>
          <t>VB</t>
        </is>
      </c>
      <c r="D2675" t="inlineStr">
        <is>
          <t>85049 Bayern - Ingolstadt</t>
        </is>
      </c>
      <c r="E2675" s="5" t="n">
        <v>45547</v>
      </c>
      <c r="F2675" t="inlineStr">
        <is>
          <t>Sold</t>
        </is>
      </c>
      <c r="G2675" s="6">
        <f>HYPERLINK("https://www.kleinanzeigen.de/s-anzeige/duotone-travel-kitebag-boardbag-139cm/2861050790-230-7611", "Link")</f>
        <v/>
      </c>
      <c r="H2675" s="6">
        <f>HYPERLINK("C:\Projects\Kleinanzeigen-Scraper\offer_images\2861050790", "Link")</f>
        <v/>
      </c>
      <c r="I2675" t="inlineStr">
        <is>
          <t>Lauri Eicken</t>
        </is>
      </c>
      <c r="J2675" s="6">
        <f>HYPERLINK("https://www.kleinanzeigen.de/s-bestandsliste.html?userId=54400374", "Link")</f>
        <v/>
      </c>
      <c r="K2675" s="7" t="n">
        <v>45549.57108796296</v>
      </c>
      <c r="L2675" s="3" t="inlineStr">
        <is>
          <t>71.06</t>
        </is>
      </c>
      <c r="M2675" t="inlineStr">
        <is>
          <t>München</t>
        </is>
      </c>
    </row>
    <row r="2676">
      <c r="A2676" t="inlineStr">
        <is>
          <t>DUOTONE UNIT DLAB 4,5 ALUULA aus 2022</t>
        </is>
      </c>
      <c r="B2676" s="4" t="n">
        <v>560</v>
      </c>
      <c r="C2676" t="inlineStr"/>
      <c r="D2676" t="inlineStr">
        <is>
          <t>22359 Wandsbek - Hamburg Volksdorf</t>
        </is>
      </c>
      <c r="E2676" s="5" t="n">
        <v>45544</v>
      </c>
      <c r="F2676" t="inlineStr">
        <is>
          <t>Sold</t>
        </is>
      </c>
      <c r="G2676" s="6">
        <f>HYPERLINK("https://www.kleinanzeigen.de/s-anzeige/duotone-unit-dlab-4-5-aluula-aus-2022/2858592351-230-16495", "Link")</f>
        <v/>
      </c>
      <c r="H2676" s="6">
        <f>HYPERLINK("C:\Projects\Kleinanzeigen-Scraper\offer_images\2858592351", "Link")</f>
        <v/>
      </c>
      <c r="I2676" t="inlineStr">
        <is>
          <t>Jan</t>
        </is>
      </c>
      <c r="J2676" s="6">
        <f>HYPERLINK("https://www.kleinanzeigen.de/s-bestandsliste.html?userId=3513794", "Link")</f>
        <v/>
      </c>
      <c r="K2676" s="7" t="n">
        <v>45549.57108796296</v>
      </c>
      <c r="L2676" s="3" t="inlineStr">
        <is>
          <t>371.96</t>
        </is>
      </c>
      <c r="M2676" t="inlineStr">
        <is>
          <t>Köln</t>
        </is>
      </c>
    </row>
    <row r="2677">
      <c r="A2677" t="inlineStr">
        <is>
          <t>Gun Sails Wetbag Re-Shell, Umziehmatte und Tasche</t>
        </is>
      </c>
      <c r="B2677" s="4" t="n">
        <v>20</v>
      </c>
      <c r="C2677" t="inlineStr"/>
      <c r="D2677" t="inlineStr">
        <is>
          <t>22297 Hamburg-Nord - Hamburg Winterhude</t>
        </is>
      </c>
      <c r="E2677" s="5" t="n">
        <v>45428</v>
      </c>
      <c r="F2677" t="inlineStr">
        <is>
          <t>Sold</t>
        </is>
      </c>
      <c r="G2677" s="6">
        <f>HYPERLINK("https://www.kleinanzeigen.de/s-anzeige/gun-sails-wetbag-re-shell-umziehmatte-und-tasche/2762695363-230-9480", "Link")</f>
        <v/>
      </c>
      <c r="H2677" s="6">
        <f>HYPERLINK("C:\Projects\Kleinanzeigen-Scraper\offer_images\2762695363", "Link")</f>
        <v/>
      </c>
      <c r="I2677" t="inlineStr">
        <is>
          <t>Tobias Blaschke</t>
        </is>
      </c>
      <c r="J2677" s="6">
        <f>HYPERLINK("https://www.kleinanzeigen.de/s-bestandsliste.html?userId=11890118", "Link")</f>
        <v/>
      </c>
      <c r="K2677" s="7" t="n">
        <v>45549.57107638889</v>
      </c>
      <c r="L2677" s="3" t="inlineStr">
        <is>
          <t>362.41</t>
        </is>
      </c>
      <c r="M2677" t="inlineStr">
        <is>
          <t>Köln</t>
        </is>
      </c>
    </row>
    <row r="2678">
      <c r="A2678" t="inlineStr">
        <is>
          <t>Naish Wing Surfer S26 Foil Wing 3,6 neuwertig</t>
        </is>
      </c>
      <c r="B2678" s="4" t="n">
        <v>299</v>
      </c>
      <c r="C2678" t="inlineStr">
        <is>
          <t>VB</t>
        </is>
      </c>
      <c r="D2678" t="inlineStr">
        <is>
          <t>46244 Nordrhein-Westfalen - Bottrop</t>
        </is>
      </c>
      <c r="E2678" s="5" t="n">
        <v>45544</v>
      </c>
      <c r="F2678" t="inlineStr">
        <is>
          <t>Sold</t>
        </is>
      </c>
      <c r="G2678" s="6">
        <f>HYPERLINK("https://www.kleinanzeigen.de/s-anzeige/naish-wing-surfer-s26-foil-wing-3-6-neuwertig/2858912505-230-1956", "Link")</f>
        <v/>
      </c>
      <c r="H2678" s="6">
        <f>HYPERLINK("C:\Projects\Kleinanzeigen-Scraper\offer_images\2858912505", "Link")</f>
        <v/>
      </c>
      <c r="I2678" t="inlineStr">
        <is>
          <t>xxx</t>
        </is>
      </c>
      <c r="J2678" s="6">
        <f>HYPERLINK("https://www.kleinanzeigen.de/s-bestandsliste.html?userId=4621051", "Link")</f>
        <v/>
      </c>
      <c r="K2678" s="7" t="n">
        <v>45549.57107638889</v>
      </c>
      <c r="L2678" s="3" t="inlineStr">
        <is>
          <t>73.21</t>
        </is>
      </c>
      <c r="M2678" t="inlineStr">
        <is>
          <t>Köln</t>
        </is>
      </c>
    </row>
    <row r="2679">
      <c r="A2679" t="inlineStr">
        <is>
          <t>Naish Jet HA 1840 2024 Foil Semi Complete. Wingsurfen</t>
        </is>
      </c>
      <c r="B2679" s="4" t="n">
        <v>1.129</v>
      </c>
      <c r="C2679" t="inlineStr">
        <is>
          <t>VB</t>
        </is>
      </c>
      <c r="D2679" t="inlineStr">
        <is>
          <t>22457 Eimsbüttel - Hamburg Schnelsen</t>
        </is>
      </c>
      <c r="E2679" s="5" t="n">
        <v>45536</v>
      </c>
      <c r="F2679" t="inlineStr">
        <is>
          <t>Sold</t>
        </is>
      </c>
      <c r="G2679" s="6">
        <f>HYPERLINK("https://www.kleinanzeigen.de/s-anzeige/naish-jet-ha-1840-2024-foil-semi-complete-wingsurfen/2725577800-230-9492", "Link")</f>
        <v/>
      </c>
      <c r="H2679" s="6">
        <f>HYPERLINK("C:\Projects\Kleinanzeigen-Scraper\offer_images\2725577800", "Link")</f>
        <v/>
      </c>
      <c r="I2679" t="inlineStr">
        <is>
          <t>No user name</t>
        </is>
      </c>
      <c r="J2679" s="6">
        <f>HYPERLINK("https://www.kleinanzeigen.deNo user link", "Link")</f>
        <v/>
      </c>
      <c r="K2679" s="7" t="n">
        <v>45549.57105324074</v>
      </c>
      <c r="L2679" s="3" t="inlineStr">
        <is>
          <t>362.41</t>
        </is>
      </c>
      <c r="M2679" t="inlineStr">
        <is>
          <t>Köln</t>
        </is>
      </c>
    </row>
    <row r="2680">
      <c r="A2680" t="inlineStr">
        <is>
          <t>Fanatic SUP-Pumpe</t>
        </is>
      </c>
      <c r="B2680" s="4" t="n">
        <v>20</v>
      </c>
      <c r="C2680" t="inlineStr"/>
      <c r="D2680" t="inlineStr">
        <is>
          <t>58540 Nordrhein-Westfalen - Meinerzhagen</t>
        </is>
      </c>
      <c r="E2680" s="5" t="n">
        <v>45543</v>
      </c>
      <c r="F2680" t="inlineStr">
        <is>
          <t>Sold</t>
        </is>
      </c>
      <c r="G2680" s="6">
        <f>HYPERLINK("https://www.kleinanzeigen.de/s-anzeige/fanatic-sup-pumpe/2857436927-230-1428", "Link")</f>
        <v/>
      </c>
      <c r="H2680" s="6">
        <f>HYPERLINK("C:\Projects\Kleinanzeigen-Scraper\offer_images\2857436927", "Link")</f>
        <v/>
      </c>
      <c r="I2680" t="inlineStr">
        <is>
          <t>Tanja</t>
        </is>
      </c>
      <c r="J2680" s="6">
        <f>HYPERLINK("https://www.kleinanzeigen.de/s-bestandsliste.html?userId=12449697", "Link")</f>
        <v/>
      </c>
      <c r="K2680" s="7" t="n">
        <v>45549.57104166667</v>
      </c>
      <c r="L2680" s="3" t="inlineStr">
        <is>
          <t>56.25</t>
        </is>
      </c>
      <c r="M2680" t="inlineStr">
        <is>
          <t>Köln</t>
        </is>
      </c>
    </row>
    <row r="2681">
      <c r="A2681" t="inlineStr">
        <is>
          <t>Francisco de Goya: Bobalicón -  Lithographie</t>
        </is>
      </c>
      <c r="B2681" s="4" t="n">
        <v>900</v>
      </c>
      <c r="C2681" t="inlineStr">
        <is>
          <t>VB</t>
        </is>
      </c>
      <c r="D2681" t="inlineStr">
        <is>
          <t>80337 Ludwigsvorstadt-Isarvorstadt - Isarvorstadt</t>
        </is>
      </c>
      <c r="E2681" s="5" t="n">
        <v>45003</v>
      </c>
      <c r="F2681" t="inlineStr"/>
      <c r="G2681" s="6">
        <f>HYPERLINK("https://www.kleinanzeigen.de/s-anzeige/francisco-de-goya-bobalic-n-lithographie/1399472548-240-6439", "Link")</f>
        <v/>
      </c>
      <c r="H2681" s="6">
        <f>HYPERLINK("C:\Projects\Kleinanzeigen-Scraper\offer_images\1399472548", "Link")</f>
        <v/>
      </c>
      <c r="I2681" t="inlineStr">
        <is>
          <t>Stefan Hahn</t>
        </is>
      </c>
      <c r="J2681" s="6">
        <f>HYPERLINK("https://www.kleinanzeigen.de/s-bestandsliste.html?userId=42308658", "Link")</f>
        <v/>
      </c>
      <c r="K2681" s="7" t="n">
        <v>45549.57104166667</v>
      </c>
      <c r="L2681" s="3" t="inlineStr">
        <is>
          <t>1.64</t>
        </is>
      </c>
      <c r="M2681" t="inlineStr">
        <is>
          <t>München</t>
        </is>
      </c>
    </row>
    <row r="2682">
      <c r="A2682" t="inlineStr">
        <is>
          <t>Gun Sails Shorty - Back ZIP - Gr.50 2/2 - Top</t>
        </is>
      </c>
      <c r="B2682" s="4" t="n">
        <v>25</v>
      </c>
      <c r="C2682" t="inlineStr">
        <is>
          <t>VB</t>
        </is>
      </c>
      <c r="D2682" t="inlineStr">
        <is>
          <t>82239 Bayern - Alling</t>
        </is>
      </c>
      <c r="E2682" s="5" t="n">
        <v>45489</v>
      </c>
      <c r="F2682" t="inlineStr"/>
      <c r="G2682" s="6">
        <f>HYPERLINK("https://www.kleinanzeigen.de/s-anzeige/gun-sails-shorty-back-zip-gr-50-2-2-top/2814034542-230-6354", "Link")</f>
        <v/>
      </c>
      <c r="H2682" s="6">
        <f>HYPERLINK("C:\Projects\Kleinanzeigen-Scraper\offer_images\2814034542", "Link")</f>
        <v/>
      </c>
      <c r="I2682" t="inlineStr">
        <is>
          <t>MO</t>
        </is>
      </c>
      <c r="J2682" s="6">
        <f>HYPERLINK("https://www.kleinanzeigen.de/s-bestandsliste.html?userId=16696145", "Link")</f>
        <v/>
      </c>
      <c r="K2682" s="7" t="n">
        <v>45549.57104166667</v>
      </c>
      <c r="L2682" s="3" t="inlineStr">
        <is>
          <t>20.29</t>
        </is>
      </c>
      <c r="M2682" t="inlineStr">
        <is>
          <t>München</t>
        </is>
      </c>
    </row>
    <row r="2683">
      <c r="A2683" t="inlineStr">
        <is>
          <t>Camping Stuhl blau - North Camp</t>
        </is>
      </c>
      <c r="B2683" s="4" t="n">
        <v>29</v>
      </c>
      <c r="C2683" t="inlineStr">
        <is>
          <t>VB</t>
        </is>
      </c>
      <c r="D2683" t="inlineStr">
        <is>
          <t>15366 Brandenburg - Neuenhagen</t>
        </is>
      </c>
      <c r="E2683" s="5" t="n">
        <v>45536</v>
      </c>
      <c r="F2683" t="inlineStr">
        <is>
          <t>Sold</t>
        </is>
      </c>
      <c r="G2683" s="6">
        <f>HYPERLINK("https://www.kleinanzeigen.de/s-anzeige/camping-stuhl-blau-north-camp/2851641913-230-7915", "Link")</f>
        <v/>
      </c>
      <c r="H2683" s="6">
        <f>HYPERLINK("C:\Projects\Kleinanzeigen-Scraper\offer_images\2851641913", "Link")</f>
        <v/>
      </c>
      <c r="I2683" t="inlineStr">
        <is>
          <t>Marcus Funk</t>
        </is>
      </c>
      <c r="J2683" s="6">
        <f>HYPERLINK("https://www.kleinanzeigen.de/s-bestandsliste.html?userId=43896050", "Link")</f>
        <v/>
      </c>
      <c r="K2683" s="7" t="n">
        <v>45549.57103009259</v>
      </c>
      <c r="L2683" s="3" t="inlineStr">
        <is>
          <t>493.44</t>
        </is>
      </c>
      <c r="M2683" t="inlineStr">
        <is>
          <t>Köln</t>
        </is>
      </c>
    </row>
    <row r="2684">
      <c r="A2684" t="inlineStr">
        <is>
          <t>Kite bar RRD Global Y27 48cm Breite 21m Leinen</t>
        </is>
      </c>
      <c r="B2684" s="4" t="n">
        <v>349</v>
      </c>
      <c r="C2684" t="inlineStr"/>
      <c r="D2684" t="inlineStr">
        <is>
          <t>80798 München - Schwabing-West</t>
        </is>
      </c>
      <c r="E2684" s="5" t="n">
        <v>45513</v>
      </c>
      <c r="F2684" t="inlineStr">
        <is>
          <t>Sold</t>
        </is>
      </c>
      <c r="G2684" s="6">
        <f>HYPERLINK("https://www.kleinanzeigen.de/s-anzeige/kite-bar-rrd-global-y27-48cm-breite-21m-leinen/2833131292-230-6459", "Link")</f>
        <v/>
      </c>
      <c r="H2684" s="6">
        <f>HYPERLINK("C:\Projects\Kleinanzeigen-Scraper\offer_images\2833131292", "Link")</f>
        <v/>
      </c>
      <c r="I2684" t="inlineStr">
        <is>
          <t>Marc Lammel</t>
        </is>
      </c>
      <c r="J2684" s="6">
        <f>HYPERLINK("https://www.kleinanzeigen.de/s-bestandsliste.html?userId=17286790", "Link")</f>
        <v/>
      </c>
      <c r="K2684" s="7" t="n">
        <v>45549.57103009259</v>
      </c>
      <c r="L2684" s="3" t="inlineStr">
        <is>
          <t>2.07</t>
        </is>
      </c>
      <c r="M2684" t="inlineStr">
        <is>
          <t>München</t>
        </is>
      </c>
    </row>
    <row r="2685">
      <c r="A2685" t="inlineStr">
        <is>
          <t>Duotone EVO D/LAB 8qm 2024 NEUWERTIG Kite Kitesurf Aluula</t>
        </is>
      </c>
      <c r="B2685" s="4" t="n">
        <v>1.699</v>
      </c>
      <c r="C2685" t="inlineStr">
        <is>
          <t>VB</t>
        </is>
      </c>
      <c r="D2685" t="inlineStr">
        <is>
          <t>14469 Brandenburg - Potsdam</t>
        </is>
      </c>
      <c r="E2685" s="5" t="n">
        <v>45543</v>
      </c>
      <c r="F2685" t="inlineStr">
        <is>
          <t>Sold</t>
        </is>
      </c>
      <c r="G2685" s="6">
        <f>HYPERLINK("https://www.kleinanzeigen.de/s-anzeige/duotone-evo-d-lab-8qm-2024-neuwertig-kite-kitesurf-aluula/2857171468-230-7963", "Link")</f>
        <v/>
      </c>
      <c r="H2685" s="6">
        <f>HYPERLINK("C:\Projects\Kleinanzeigen-Scraper\offer_images\2857171468", "Link")</f>
        <v/>
      </c>
      <c r="I2685" t="inlineStr">
        <is>
          <t>DJW</t>
        </is>
      </c>
      <c r="J2685" s="6">
        <f>HYPERLINK("https://www.kleinanzeigen.de/s-bestandsliste.html?userId=87610914", "Link")</f>
        <v/>
      </c>
      <c r="K2685" s="7" t="n">
        <v>45549.57103009259</v>
      </c>
      <c r="L2685" s="3" t="inlineStr">
        <is>
          <t>450.30</t>
        </is>
      </c>
      <c r="M2685" t="inlineStr">
        <is>
          <t>Köln</t>
        </is>
      </c>
    </row>
    <row r="2686">
      <c r="A2686" t="inlineStr">
        <is>
          <t>Snowboard Fanatic mit Flow Bindung 150 cm</t>
        </is>
      </c>
      <c r="B2686" s="4" t="n">
        <v>100</v>
      </c>
      <c r="C2686" t="inlineStr"/>
      <c r="D2686" t="inlineStr">
        <is>
          <t>77656 Baden-Württemberg - Offenburg</t>
        </is>
      </c>
      <c r="E2686" s="5" t="n">
        <v>45528</v>
      </c>
      <c r="F2686" t="inlineStr">
        <is>
          <t>Sold</t>
        </is>
      </c>
      <c r="G2686" s="6">
        <f>HYPERLINK("https://www.kleinanzeigen.de/s-anzeige/snowboard-fanatic-mit-flow-bindung-150-cm/2844832383-230-9039", "Link")</f>
        <v/>
      </c>
      <c r="H2686" s="6">
        <f>HYPERLINK("C:\Projects\Kleinanzeigen-Scraper\offer_images\2844832383", "Link")</f>
        <v/>
      </c>
      <c r="I2686" t="inlineStr">
        <is>
          <t>Heinrich Pfeifer</t>
        </is>
      </c>
      <c r="J2686" s="6">
        <f>HYPERLINK("https://www.kleinanzeigen.de/s-bestandsliste.html?userId=18936909", "Link")</f>
        <v/>
      </c>
      <c r="K2686" s="7" t="n">
        <v>45549.57100694445</v>
      </c>
      <c r="L2686" s="3" t="inlineStr">
        <is>
          <t>68.84</t>
        </is>
      </c>
      <c r="M2686" t="inlineStr">
        <is>
          <t>Karlsruhe</t>
        </is>
      </c>
    </row>
    <row r="2687">
      <c r="A2687" t="inlineStr">
        <is>
          <t>Duotone EVO D/LAB DLAB 9m² Kite Big-Air Kiteloop Aluula</t>
        </is>
      </c>
      <c r="B2687" s="4" t="n">
        <v>1.65</v>
      </c>
      <c r="C2687" t="inlineStr"/>
      <c r="D2687" t="inlineStr">
        <is>
          <t>49835 Niedersachsen - Wietmarschen</t>
        </is>
      </c>
      <c r="E2687" s="5" t="n">
        <v>45539</v>
      </c>
      <c r="F2687" t="inlineStr">
        <is>
          <t>Sold</t>
        </is>
      </c>
      <c r="G2687" s="6">
        <f>HYPERLINK("https://www.kleinanzeigen.de/s-anzeige/duotone-evo-d-lab-dlab-9m-kite-big-air-kiteloop-aluula/2854600135-230-2561", "Link")</f>
        <v/>
      </c>
      <c r="H2687" s="6">
        <f>HYPERLINK("C:\Projects\Kleinanzeigen-Scraper\offer_images\2854600135", "Link")</f>
        <v/>
      </c>
      <c r="I2687" t="inlineStr">
        <is>
          <t>Jeno</t>
        </is>
      </c>
      <c r="J2687" s="6">
        <f>HYPERLINK("https://www.kleinanzeigen.de/s-bestandsliste.html?userId=22906807", "Link")</f>
        <v/>
      </c>
      <c r="K2687" s="7" t="n">
        <v>45549.57100694445</v>
      </c>
      <c r="L2687" s="3" t="inlineStr">
        <is>
          <t>175.03</t>
        </is>
      </c>
      <c r="M2687" t="inlineStr">
        <is>
          <t>Köln</t>
        </is>
      </c>
    </row>
    <row r="2688">
      <c r="A2688" t="inlineStr">
        <is>
          <t>Trockenanzug Starboard All Star Sup Suit</t>
        </is>
      </c>
      <c r="B2688" s="4" t="n">
        <v>350</v>
      </c>
      <c r="C2688" t="inlineStr">
        <is>
          <t>VB</t>
        </is>
      </c>
      <c r="D2688" t="inlineStr">
        <is>
          <t>21073 Hamburg - Harburg</t>
        </is>
      </c>
      <c r="E2688" s="5" t="n">
        <v>45517</v>
      </c>
      <c r="F2688" t="inlineStr"/>
      <c r="G2688" s="6">
        <f>HYPERLINK("https://www.kleinanzeigen.de/s-anzeige/trockenanzug-starboard-all-star-sup-suit/2836262579-230-9445", "Link")</f>
        <v/>
      </c>
      <c r="H2688" s="6">
        <f>HYPERLINK("C:\Projects\Kleinanzeigen-Scraper\offer_images\2836262579", "Link")</f>
        <v/>
      </c>
      <c r="I2688" t="inlineStr">
        <is>
          <t>Paul M.</t>
        </is>
      </c>
      <c r="J2688" s="6">
        <f>HYPERLINK("https://www.kleinanzeigen.de/s-bestandsliste.html?userId=73126444", "Link")</f>
        <v/>
      </c>
      <c r="K2688" s="7" t="n">
        <v>45549.57100694445</v>
      </c>
      <c r="L2688" s="3" t="inlineStr">
        <is>
          <t>347.50</t>
        </is>
      </c>
      <c r="M2688" t="inlineStr">
        <is>
          <t>Köln</t>
        </is>
      </c>
    </row>
    <row r="2689">
      <c r="A2689" t="inlineStr">
        <is>
          <t>JP-Australia Super Light 10‘6“32“x6 SUP</t>
        </is>
      </c>
      <c r="B2689" s="4" t="n">
        <v>220</v>
      </c>
      <c r="C2689" t="inlineStr">
        <is>
          <t>VB</t>
        </is>
      </c>
      <c r="D2689" t="inlineStr">
        <is>
          <t>24943 Schleswig-Holstein - Flensburg</t>
        </is>
      </c>
      <c r="E2689" s="5" t="n">
        <v>45498</v>
      </c>
      <c r="F2689" t="inlineStr">
        <is>
          <t>Sold</t>
        </is>
      </c>
      <c r="G2689" s="6">
        <f>HYPERLINK("https://www.kleinanzeigen.de/s-anzeige/jp-australia-super-light-10-6-32-x6-sup/2820845789-230-17392", "Link")</f>
        <v/>
      </c>
      <c r="H2689" s="6">
        <f>HYPERLINK("C:\Projects\Kleinanzeigen-Scraper\offer_images\2820845789", "Link")</f>
        <v/>
      </c>
      <c r="I2689" t="inlineStr">
        <is>
          <t>Tom</t>
        </is>
      </c>
      <c r="J2689" s="6">
        <f>HYPERLINK("https://www.kleinanzeigen.de/s-bestandsliste.html?userId=27667799", "Link")</f>
        <v/>
      </c>
      <c r="K2689" s="7" t="n">
        <v>45549.57098379629</v>
      </c>
      <c r="L2689" s="3" t="inlineStr">
        <is>
          <t>459.78</t>
        </is>
      </c>
      <c r="M2689" t="inlineStr">
        <is>
          <t>Köln</t>
        </is>
      </c>
    </row>
    <row r="2690">
      <c r="A2690" t="inlineStr">
        <is>
          <t>Neilpryde Neopren Hoodie | Kite Surfing | Surfing | XL</t>
        </is>
      </c>
      <c r="B2690" s="4" t="n">
        <v>60</v>
      </c>
      <c r="C2690" t="inlineStr">
        <is>
          <t>VB</t>
        </is>
      </c>
      <c r="D2690" t="inlineStr">
        <is>
          <t>27367 Niedersachsen - Sottrum</t>
        </is>
      </c>
      <c r="E2690" s="5" t="n">
        <v>45535</v>
      </c>
      <c r="F2690" t="inlineStr">
        <is>
          <t>Sold</t>
        </is>
      </c>
      <c r="G2690" s="6">
        <f>HYPERLINK("https://www.kleinanzeigen.de/s-anzeige/neilpryde-neopren-hoodie-kite-surfing-surfing-xl/2851067987-230-2938", "Link")</f>
        <v/>
      </c>
      <c r="H2690" s="6">
        <f>HYPERLINK("C:\Projects\Kleinanzeigen-Scraper\offer_images\2851067987", "Link")</f>
        <v/>
      </c>
      <c r="I2690" t="inlineStr">
        <is>
          <t>Alex P</t>
        </is>
      </c>
      <c r="J2690" s="6">
        <f>HYPERLINK("https://www.kleinanzeigen.de/s-bestandsliste.html?userId=9800821", "Link")</f>
        <v/>
      </c>
      <c r="K2690" s="7" t="n">
        <v>45549.57098379629</v>
      </c>
      <c r="L2690" s="3" t="inlineStr">
        <is>
          <t>285.68</t>
        </is>
      </c>
      <c r="M2690" t="inlineStr">
        <is>
          <t>Köln</t>
        </is>
      </c>
    </row>
    <row r="2691">
      <c r="A2691" t="inlineStr">
        <is>
          <t>Snowboard K2 Vandal 137cm gebraucht mit Bindung</t>
        </is>
      </c>
      <c r="B2691" s="4" t="n">
        <v>135</v>
      </c>
      <c r="C2691" t="inlineStr">
        <is>
          <t>VB</t>
        </is>
      </c>
      <c r="D2691" t="inlineStr">
        <is>
          <t>82515 Bayern - Wolfratshausen</t>
        </is>
      </c>
      <c r="E2691" s="5" t="n">
        <v>45538</v>
      </c>
      <c r="F2691" t="inlineStr"/>
      <c r="G2691" s="6">
        <f>HYPERLINK("https://www.kleinanzeigen.de/s-anzeige/snowboard-k2-vandal-137cm-gebraucht-mit-bindung/2853116962-230-5540", "Link")</f>
        <v/>
      </c>
      <c r="H2691" s="6">
        <f>HYPERLINK("C:\Projects\Kleinanzeigen-Scraper\offer_images\2853116962", "Link")</f>
        <v/>
      </c>
      <c r="I2691" t="inlineStr">
        <is>
          <t>Juri Gäbler</t>
        </is>
      </c>
      <c r="J2691" s="6">
        <f>HYPERLINK("https://www.kleinanzeigen.de/s-bestandsliste.html?userId=61883475", "Link")</f>
        <v/>
      </c>
      <c r="K2691" s="7" t="n">
        <v>45549.57098379629</v>
      </c>
      <c r="L2691" s="3" t="inlineStr">
        <is>
          <t>27.06</t>
        </is>
      </c>
      <c r="M2691" t="inlineStr">
        <is>
          <t>München</t>
        </is>
      </c>
    </row>
    <row r="2692">
      <c r="A2692" t="inlineStr">
        <is>
          <t>Francisco Goya La Merienda A Orillas Del Manzanares Bild.</t>
        </is>
      </c>
      <c r="B2692" s="4" t="n">
        <v>55</v>
      </c>
      <c r="C2692" t="inlineStr">
        <is>
          <t>VB</t>
        </is>
      </c>
      <c r="D2692" t="inlineStr">
        <is>
          <t>79189 Baden-Württemberg - Bad Krozingen</t>
        </is>
      </c>
      <c r="E2692" s="5" t="n">
        <v>44892</v>
      </c>
      <c r="F2692" t="inlineStr"/>
      <c r="G2692" s="6">
        <f>HYPERLINK("https://www.kleinanzeigen.de/s-anzeige/francisco-goya-la-merienda-a-orillas-del-manzanares-bild-/2286436262-191-8618", "Link")</f>
        <v/>
      </c>
      <c r="H2692" s="6">
        <f>HYPERLINK("C:\Projects\Kleinanzeigen-Scraper\offer_images\2286436262", "Link")</f>
        <v/>
      </c>
      <c r="I2692" t="inlineStr">
        <is>
          <t>Stanca</t>
        </is>
      </c>
      <c r="J2692" s="6">
        <f>HYPERLINK("https://www.kleinanzeigen.de/s-bestandsliste.html?userId=27096836", "Link")</f>
        <v/>
      </c>
      <c r="K2692" s="7" t="n">
        <v>45549.57098379629</v>
      </c>
      <c r="L2692" s="3" t="inlineStr">
        <is>
          <t>49.66</t>
        </is>
      </c>
      <c r="M2692" t="inlineStr">
        <is>
          <t>Bonndorf</t>
        </is>
      </c>
    </row>
    <row r="2693">
      <c r="A2693" t="inlineStr">
        <is>
          <t>Isabella Air Cirrus North 300</t>
        </is>
      </c>
      <c r="B2693" s="4" t="n">
        <v>1.399</v>
      </c>
      <c r="C2693" t="inlineStr">
        <is>
          <t>VB</t>
        </is>
      </c>
      <c r="D2693" t="inlineStr">
        <is>
          <t>58239 Nordrhein-Westfalen - Schwerte</t>
        </is>
      </c>
      <c r="E2693" s="5" t="n">
        <v>45548</v>
      </c>
      <c r="F2693" t="inlineStr">
        <is>
          <t>Sold</t>
        </is>
      </c>
      <c r="G2693" s="6">
        <f>HYPERLINK("https://www.kleinanzeigen.de/s-anzeige/isabella-air-cirrus-north-300/2775874534-230-1916", "Link")</f>
        <v/>
      </c>
      <c r="H2693" s="6">
        <f>HYPERLINK("C:\Projects\Kleinanzeigen-Scraper\offer_images\2775874534", "Link")</f>
        <v/>
      </c>
      <c r="I2693" t="inlineStr">
        <is>
          <t>Kümper</t>
        </is>
      </c>
      <c r="J2693" s="6">
        <f>HYPERLINK("https://www.kleinanzeigen.de/s-bestandsliste.html?userId=5591831", "Link")</f>
        <v/>
      </c>
      <c r="K2693" s="7" t="n">
        <v>45549.57096064815</v>
      </c>
      <c r="L2693" s="3" t="inlineStr">
        <is>
          <t>69.21</t>
        </is>
      </c>
      <c r="M2693" t="inlineStr">
        <is>
          <t>Köln</t>
        </is>
      </c>
    </row>
    <row r="2694">
      <c r="A2694" t="inlineStr">
        <is>
          <t>Duotone Unit 2023 3m</t>
        </is>
      </c>
      <c r="B2694" s="4" t="n">
        <v>500</v>
      </c>
      <c r="C2694" t="inlineStr"/>
      <c r="D2694" t="inlineStr">
        <is>
          <t>33604 Bielefeld - Bielefeld (Innenstadt)</t>
        </is>
      </c>
      <c r="E2694" s="5" t="n">
        <v>45541</v>
      </c>
      <c r="F2694" t="inlineStr">
        <is>
          <t>Sold</t>
        </is>
      </c>
      <c r="G2694" s="6">
        <f>HYPERLINK("https://www.kleinanzeigen.de/s-anzeige/duotone-unit-2023-3m/2855373650-230-1066", "Link")</f>
        <v/>
      </c>
      <c r="H2694" s="6">
        <f>HYPERLINK("C:\Projects\Kleinanzeigen-Scraper\offer_images\2855373650", "Link")</f>
        <v/>
      </c>
      <c r="I2694" t="inlineStr">
        <is>
          <t>Gordon Schücker</t>
        </is>
      </c>
      <c r="J2694" s="6">
        <f>HYPERLINK("https://www.kleinanzeigen.de/s-bestandsliste.html?userId=28414823", "Link")</f>
        <v/>
      </c>
      <c r="K2694" s="7" t="n">
        <v>45549.57096064815</v>
      </c>
      <c r="L2694" s="3" t="inlineStr">
        <is>
          <t>162.16</t>
        </is>
      </c>
      <c r="M2694" t="inlineStr">
        <is>
          <t>Köln</t>
        </is>
      </c>
    </row>
    <row r="2695">
      <c r="A2695" t="inlineStr">
        <is>
          <t>Isabella Vorzelt Capri North CarbonX 925 Umlauf 911-935 cm</t>
        </is>
      </c>
      <c r="B2695" s="4" t="n">
        <v>1.2</v>
      </c>
      <c r="C2695" t="inlineStr"/>
      <c r="D2695" t="inlineStr">
        <is>
          <t>57080 Nordrhein-Westfalen - Siegen</t>
        </is>
      </c>
      <c r="E2695" s="5" t="n">
        <v>45543</v>
      </c>
      <c r="F2695" t="inlineStr">
        <is>
          <t>Sold</t>
        </is>
      </c>
      <c r="G2695" s="6">
        <f>HYPERLINK("https://www.kleinanzeigen.de/s-anzeige/isabella-vorzelt-capri-north-carbonx-925-umlauf-911-935-cm/2857146278-230-1026", "Link")</f>
        <v/>
      </c>
      <c r="H2695" s="6">
        <f>HYPERLINK("C:\Projects\Kleinanzeigen-Scraper\offer_images\2857146278", "Link")</f>
        <v/>
      </c>
      <c r="I2695" t="inlineStr">
        <is>
          <t>Christiane</t>
        </is>
      </c>
      <c r="J2695" s="6">
        <f>HYPERLINK("https://www.kleinanzeigen.de/s-bestandsliste.html?userId=60589131", "Link")</f>
        <v/>
      </c>
      <c r="K2695" s="7" t="n">
        <v>45549.57096064815</v>
      </c>
      <c r="L2695" s="3" t="inlineStr">
        <is>
          <t>75.54</t>
        </is>
      </c>
      <c r="M2695" t="inlineStr">
        <is>
          <t>Köln</t>
        </is>
      </c>
    </row>
    <row r="2696">
      <c r="A2696" t="inlineStr">
        <is>
          <t>Kite North reach 13 2022/2023</t>
        </is>
      </c>
      <c r="B2696" s="4" t="n">
        <v>799</v>
      </c>
      <c r="C2696" t="inlineStr"/>
      <c r="D2696" t="inlineStr">
        <is>
          <t>81477 München - Thalk.Obersendl.-Forsten-Fürstenr.-Solln</t>
        </is>
      </c>
      <c r="E2696" s="5" t="n">
        <v>45535</v>
      </c>
      <c r="F2696" t="inlineStr">
        <is>
          <t>Sold</t>
        </is>
      </c>
      <c r="G2696" s="6">
        <f>HYPERLINK("https://www.kleinanzeigen.de/s-anzeige/kite-north-reach-13-2022-2023/2850985658-230-6435", "Link")</f>
        <v/>
      </c>
      <c r="H2696" s="6">
        <f>HYPERLINK("C:\Projects\Kleinanzeigen-Scraper\offer_images\2850985658", "Link")</f>
        <v/>
      </c>
      <c r="I2696" t="inlineStr">
        <is>
          <t>Alex</t>
        </is>
      </c>
      <c r="J2696" s="6">
        <f>HYPERLINK("https://www.kleinanzeigen.de/s-bestandsliste.html?userId=22411281", "Link")</f>
        <v/>
      </c>
      <c r="K2696" s="7" t="n">
        <v>45549.57096064815</v>
      </c>
      <c r="L2696" s="3" t="inlineStr">
        <is>
          <t>7.49</t>
        </is>
      </c>
      <c r="M2696" t="inlineStr">
        <is>
          <t>München</t>
        </is>
      </c>
    </row>
    <row r="2697">
      <c r="A2697" t="inlineStr">
        <is>
          <t>Struck Gold at Simmer and Jack Werbeartikel Sack Rucksack Seesack</t>
        </is>
      </c>
      <c r="B2697" s="4" t="n">
        <v>10</v>
      </c>
      <c r="C2697" t="inlineStr"/>
      <c r="D2697" t="inlineStr">
        <is>
          <t>38642 Niedersachsen - Goslar</t>
        </is>
      </c>
      <c r="E2697" s="5" t="n">
        <v>45502</v>
      </c>
      <c r="F2697" t="inlineStr">
        <is>
          <t>Sold</t>
        </is>
      </c>
      <c r="G2697" s="6">
        <f>HYPERLINK("https://www.kleinanzeigen.de/s-anzeige/struck-gold-at-simmer-and-jack-werbeartikel-sack-rucksack-seesack/2823830057-234-2693", "Link")</f>
        <v/>
      </c>
      <c r="H2697" s="6">
        <f>HYPERLINK("C:\Projects\Kleinanzeigen-Scraper\offer_images\2823830057", "Link")</f>
        <v/>
      </c>
      <c r="I2697" t="inlineStr">
        <is>
          <t>Fam. K.</t>
        </is>
      </c>
      <c r="J2697" s="6">
        <f>HYPERLINK("https://www.kleinanzeigen.de/s-bestandsliste.html?userId=5708487", "Link")</f>
        <v/>
      </c>
      <c r="K2697" s="7" t="n">
        <v>45549.57096064815</v>
      </c>
      <c r="L2697" s="3" t="inlineStr">
        <is>
          <t>266.66</t>
        </is>
      </c>
      <c r="M2697" t="inlineStr">
        <is>
          <t>Köln</t>
        </is>
      </c>
    </row>
    <row r="2698">
      <c r="A2698" t="inlineStr">
        <is>
          <t>Board Bag NeilPryde</t>
        </is>
      </c>
      <c r="B2698" s="4" t="n">
        <v>39</v>
      </c>
      <c r="C2698" t="inlineStr"/>
      <c r="D2698" t="inlineStr">
        <is>
          <t>48351 Nordrhein-Westfalen - Everswinkel</t>
        </is>
      </c>
      <c r="E2698" s="5" t="n">
        <v>45503</v>
      </c>
      <c r="F2698" t="inlineStr"/>
      <c r="G2698" s="6">
        <f>HYPERLINK("https://www.kleinanzeigen.de/s-anzeige/board-bag-neilpryde/2824844982-230-1306", "Link")</f>
        <v/>
      </c>
      <c r="H2698" s="6">
        <f>HYPERLINK("C:\Projects\Kleinanzeigen-Scraper\offer_images\2824844982", "Link")</f>
        <v/>
      </c>
      <c r="I2698" t="inlineStr">
        <is>
          <t>Matthias</t>
        </is>
      </c>
      <c r="J2698" s="6">
        <f>HYPERLINK("https://www.kleinanzeigen.de/s-bestandsliste.html?userId=31755530", "Link")</f>
        <v/>
      </c>
      <c r="K2698" s="7" t="n">
        <v>45549.57094907408</v>
      </c>
      <c r="L2698" s="3" t="inlineStr">
        <is>
          <t>123.68</t>
        </is>
      </c>
      <c r="M2698" t="inlineStr">
        <is>
          <t>Köln</t>
        </is>
      </c>
    </row>
    <row r="2699">
      <c r="A2699" t="inlineStr">
        <is>
          <t>13 Solo Goya Künstler-Acrylfarben je 100 ml, neu</t>
        </is>
      </c>
      <c r="B2699" s="4" t="n">
        <v>24</v>
      </c>
      <c r="C2699" t="inlineStr"/>
      <c r="D2699" t="inlineStr">
        <is>
          <t>56321 Rheinland-Pfalz - Rhens</t>
        </is>
      </c>
      <c r="E2699" s="5" t="n">
        <v>45329</v>
      </c>
      <c r="F2699" t="inlineStr"/>
      <c r="G2699" s="6">
        <f>HYPERLINK("https://www.kleinanzeigen.de/s-anzeige/13-solo-goya-kuenstler-acrylfarben-je-100-ml-neu/2673142125-282-4971", "Link")</f>
        <v/>
      </c>
      <c r="H2699" s="6">
        <f>HYPERLINK("C:\Projects\Kleinanzeigen-Scraper\offer_images\2673142125", "Link")</f>
        <v/>
      </c>
      <c r="I2699" t="inlineStr">
        <is>
          <t>J. Hansmann</t>
        </is>
      </c>
      <c r="J2699" s="6">
        <f>HYPERLINK("https://www.kleinanzeigen.de/s-bestandsliste.html?userId=36581804", "Link")</f>
        <v/>
      </c>
      <c r="K2699" s="7" t="n">
        <v>45549.5709375</v>
      </c>
      <c r="L2699" s="3" t="inlineStr">
        <is>
          <t>86.89</t>
        </is>
      </c>
      <c r="M2699" t="inlineStr">
        <is>
          <t>Köln</t>
        </is>
      </c>
    </row>
    <row r="2700">
      <c r="A2700" t="inlineStr">
        <is>
          <t>Duotone Wing UNIT 2023 5.0</t>
        </is>
      </c>
      <c r="B2700" s="4" t="n">
        <v>540</v>
      </c>
      <c r="C2700" t="inlineStr">
        <is>
          <t>VB</t>
        </is>
      </c>
      <c r="D2700" t="inlineStr">
        <is>
          <t>29471 Niedersachsen - Gartow</t>
        </is>
      </c>
      <c r="E2700" s="5" t="n">
        <v>45543</v>
      </c>
      <c r="F2700" t="inlineStr">
        <is>
          <t>Sold</t>
        </is>
      </c>
      <c r="G2700" s="6">
        <f>HYPERLINK("https://www.kleinanzeigen.de/s-anzeige/duotone-wing-unit-2023-5-0/2857773693-230-7866", "Link")</f>
        <v/>
      </c>
      <c r="H2700" s="6">
        <f>HYPERLINK("C:\Projects\Kleinanzeigen-Scraper\offer_images\2857773693", "Link")</f>
        <v/>
      </c>
      <c r="I2700" t="inlineStr">
        <is>
          <t>Günther</t>
        </is>
      </c>
      <c r="J2700" s="6">
        <f>HYPERLINK("https://www.kleinanzeigen.de/s-bestandsliste.html?userId=11198957", "Link")</f>
        <v/>
      </c>
      <c r="K2700" s="7" t="n">
        <v>45549.5709375</v>
      </c>
      <c r="L2700" s="3" t="inlineStr">
        <is>
          <t>385.45</t>
        </is>
      </c>
      <c r="M2700" t="inlineStr">
        <is>
          <t>Köln</t>
        </is>
      </c>
    </row>
    <row r="2701">
      <c r="A2701" t="inlineStr">
        <is>
          <t>Watjacke Simms XL</t>
        </is>
      </c>
      <c r="B2701" s="4" t="n">
        <v>89</v>
      </c>
      <c r="C2701" t="inlineStr"/>
      <c r="D2701" t="inlineStr">
        <is>
          <t>51109 Köln - Köln Brück</t>
        </is>
      </c>
      <c r="E2701" s="5" t="n">
        <v>45544</v>
      </c>
      <c r="F2701" t="inlineStr">
        <is>
          <t>Sold</t>
        </is>
      </c>
      <c r="G2701" s="6">
        <f>HYPERLINK("https://www.kleinanzeigen.de/s-anzeige/watjacke-simms-xl/2858772978-230-966", "Link")</f>
        <v/>
      </c>
      <c r="H2701" s="6">
        <f>HYPERLINK("C:\Projects\Kleinanzeigen-Scraper\offer_images\2858772978", "Link")</f>
        <v/>
      </c>
      <c r="I2701" t="inlineStr">
        <is>
          <t>Bojan</t>
        </is>
      </c>
      <c r="J2701" s="6">
        <f>HYPERLINK("https://www.kleinanzeigen.de/s-bestandsliste.html?userId=11551031", "Link")</f>
        <v/>
      </c>
      <c r="K2701" s="7" t="n">
        <v>45549.57091435185</v>
      </c>
      <c r="L2701" s="3" t="inlineStr">
        <is>
          <t>9.01</t>
        </is>
      </c>
      <c r="M2701" t="inlineStr">
        <is>
          <t>Köln</t>
        </is>
      </c>
    </row>
    <row r="2702">
      <c r="A2702" t="inlineStr">
        <is>
          <t>Duotone Evo D LAB Kite 9 qm Demo Kitesurfen</t>
        </is>
      </c>
      <c r="B2702" s="4" t="n">
        <v>2.099</v>
      </c>
      <c r="C2702" t="inlineStr">
        <is>
          <t>VB</t>
        </is>
      </c>
      <c r="D2702" t="inlineStr">
        <is>
          <t>22457 Eimsbüttel - Hamburg Schnelsen</t>
        </is>
      </c>
      <c r="E2702" s="5" t="n">
        <v>45539</v>
      </c>
      <c r="F2702" t="inlineStr">
        <is>
          <t>Sold</t>
        </is>
      </c>
      <c r="G2702" s="6">
        <f>HYPERLINK("https://www.kleinanzeigen.de/s-anzeige/duotone-evo-d-lab-kite-9-qm-demo-kitesurfen/2700117117-230-9492", "Link")</f>
        <v/>
      </c>
      <c r="H2702" s="6">
        <f>HYPERLINK("C:\Projects\Kleinanzeigen-Scraper\offer_images\2700117117", "Link")</f>
        <v/>
      </c>
      <c r="I2702" t="inlineStr">
        <is>
          <t>No user name</t>
        </is>
      </c>
      <c r="J2702" s="6">
        <f>HYPERLINK("https://www.kleinanzeigen.deNo user link", "Link")</f>
        <v/>
      </c>
      <c r="K2702" s="7" t="n">
        <v>45549.57091435185</v>
      </c>
      <c r="L2702" s="3" t="inlineStr">
        <is>
          <t>362.41</t>
        </is>
      </c>
      <c r="M2702" t="inlineStr">
        <is>
          <t>Köln</t>
        </is>
      </c>
    </row>
    <row r="2703">
      <c r="A2703" t="inlineStr">
        <is>
          <t>Kiteboard Bindung Pads und Straps von North</t>
        </is>
      </c>
      <c r="B2703" s="4" t="n">
        <v>80</v>
      </c>
      <c r="C2703" t="inlineStr"/>
      <c r="D2703" t="inlineStr">
        <is>
          <t>69120 Baden-Württemberg - Heidelberg</t>
        </is>
      </c>
      <c r="E2703" s="5" t="n">
        <v>45537</v>
      </c>
      <c r="F2703" t="inlineStr">
        <is>
          <t>Sold</t>
        </is>
      </c>
      <c r="G2703" s="6">
        <f>HYPERLINK("https://www.kleinanzeigen.de/s-anzeige/kiteboard-bindung-pads-und-straps-von-north/2852186678-230-9179", "Link")</f>
        <v/>
      </c>
      <c r="H2703" s="6">
        <f>HYPERLINK("C:\Projects\Kleinanzeigen-Scraper\offer_images\2852186678", "Link")</f>
        <v/>
      </c>
      <c r="I2703" t="inlineStr">
        <is>
          <t>René</t>
        </is>
      </c>
      <c r="J2703" s="6">
        <f>HYPERLINK("https://www.kleinanzeigen.de/s-bestandsliste.html?userId=5554909", "Link")</f>
        <v/>
      </c>
      <c r="K2703" s="7" t="n">
        <v>45549.57090277778</v>
      </c>
      <c r="L2703" s="3" t="inlineStr">
        <is>
          <t>49.91</t>
        </is>
      </c>
      <c r="M2703" t="inlineStr">
        <is>
          <t>Karlsruhe</t>
        </is>
      </c>
    </row>
    <row r="2704">
      <c r="A2704" t="inlineStr">
        <is>
          <t>NeilPryde Damen Neoprenanzug Short Thermobase Gr 38 neu</t>
        </is>
      </c>
      <c r="B2704" s="4" t="n">
        <v>55</v>
      </c>
      <c r="C2704" t="inlineStr"/>
      <c r="D2704" t="inlineStr">
        <is>
          <t>85609 Kr. München - Aschheim</t>
        </is>
      </c>
      <c r="E2704" s="5" t="n">
        <v>45504</v>
      </c>
      <c r="F2704" t="inlineStr">
        <is>
          <t>Sold</t>
        </is>
      </c>
      <c r="G2704" s="6">
        <f>HYPERLINK("https://www.kleinanzeigen.de/s-anzeige/neilpryde-damen-neoprenanzug-short-thermobase-gr-38-neu/2825620397-230-5575", "Link")</f>
        <v/>
      </c>
      <c r="H2704" s="6">
        <f>HYPERLINK("C:\Projects\Kleinanzeigen-Scraper\offer_images\2825620397", "Link")</f>
        <v/>
      </c>
      <c r="I2704" t="inlineStr">
        <is>
          <t>Sabine</t>
        </is>
      </c>
      <c r="J2704" s="6">
        <f>HYPERLINK("https://www.kleinanzeigen.de/s-bestandsliste.html?userId=38603736", "Link")</f>
        <v/>
      </c>
      <c r="K2704" s="7" t="n">
        <v>45549.5708912037</v>
      </c>
      <c r="L2704" s="3" t="inlineStr">
        <is>
          <t>12.22</t>
        </is>
      </c>
      <c r="M2704" t="inlineStr">
        <is>
          <t>München</t>
        </is>
      </c>
    </row>
    <row r="2705">
      <c r="A2705" t="inlineStr">
        <is>
          <t>Neilpryde-Damen-Shorty, Surfen, Kiten, SUP, ungetragen, Gr. 42</t>
        </is>
      </c>
      <c r="B2705" s="4" t="n">
        <v>45</v>
      </c>
      <c r="C2705" t="inlineStr">
        <is>
          <t>VB</t>
        </is>
      </c>
      <c r="D2705" t="inlineStr">
        <is>
          <t>33615 Bielefeld - Bielefeld (Innenstadt)</t>
        </is>
      </c>
      <c r="E2705" s="5" t="n">
        <v>45467</v>
      </c>
      <c r="F2705" t="inlineStr">
        <is>
          <t>Sold</t>
        </is>
      </c>
      <c r="G2705" s="6">
        <f>HYPERLINK("https://www.kleinanzeigen.de/s-anzeige/neilpryde-damen-shorty-surfen-kiten-sup-ungetragen-gr-42/2796453588-230-1058", "Link")</f>
        <v/>
      </c>
      <c r="H2705" s="6">
        <f>HYPERLINK("C:\Projects\Kleinanzeigen-Scraper\offer_images\2796453588", "Link")</f>
        <v/>
      </c>
      <c r="I2705" t="inlineStr">
        <is>
          <t>Carola Giller</t>
        </is>
      </c>
      <c r="J2705" s="6">
        <f>HYPERLINK("https://www.kleinanzeigen.de/s-bestandsliste.html?userId=7988525", "Link")</f>
        <v/>
      </c>
      <c r="K2705" s="7" t="n">
        <v>45549.57087962963</v>
      </c>
      <c r="L2705" s="3" t="inlineStr">
        <is>
          <t>162.21</t>
        </is>
      </c>
      <c r="M2705" t="inlineStr">
        <is>
          <t>Köln</t>
        </is>
      </c>
    </row>
    <row r="2706">
      <c r="A2706" t="inlineStr">
        <is>
          <t>Hybrid Carbon SUP Paddel starboard</t>
        </is>
      </c>
      <c r="B2706" s="4" t="n">
        <v>85</v>
      </c>
      <c r="C2706" t="inlineStr">
        <is>
          <t>VB</t>
        </is>
      </c>
      <c r="D2706" t="inlineStr">
        <is>
          <t>04564 Sachsen - Böhlen</t>
        </is>
      </c>
      <c r="E2706" s="5" t="n">
        <v>45548</v>
      </c>
      <c r="F2706" t="inlineStr"/>
      <c r="G2706" s="6">
        <f>HYPERLINK("https://www.kleinanzeigen.de/s-anzeige/hybrid-carbon-sup-paddel-starboard/2862244546-230-3915", "Link")</f>
        <v/>
      </c>
      <c r="H2706" s="6">
        <f>HYPERLINK("C:\Projects\Kleinanzeigen-Scraper\offer_images\2862244546", "Link")</f>
        <v/>
      </c>
      <c r="I2706" t="inlineStr">
        <is>
          <t>Verkäufer</t>
        </is>
      </c>
      <c r="J2706" s="6">
        <f>HYPERLINK("https://www.kleinanzeigen.de/s-bestandsliste.html?userId=4630391", "Link")</f>
        <v/>
      </c>
      <c r="K2706" s="7" t="n">
        <v>45549.57086805555</v>
      </c>
      <c r="L2706" s="3" t="inlineStr">
        <is>
          <t>345.83</t>
        </is>
      </c>
      <c r="M2706" t="inlineStr">
        <is>
          <t>München</t>
        </is>
      </c>
    </row>
    <row r="2707">
      <c r="A2707" t="inlineStr">
        <is>
          <t>Fanatic Wing Foil Front Wing Aero Carve 750</t>
        </is>
      </c>
      <c r="B2707" s="4" t="n">
        <v>209</v>
      </c>
      <c r="C2707" t="inlineStr">
        <is>
          <t>VB</t>
        </is>
      </c>
      <c r="D2707" t="inlineStr">
        <is>
          <t>23714 Kreis Ostholstein - Malente</t>
        </is>
      </c>
      <c r="E2707" s="5" t="n">
        <v>45518</v>
      </c>
      <c r="F2707" t="inlineStr">
        <is>
          <t>Sold</t>
        </is>
      </c>
      <c r="G2707" s="6">
        <f>HYPERLINK("https://www.kleinanzeigen.de/s-anzeige/fanatic-wing-foil-front-wing-aero-carve-750/2836784181-230-455", "Link")</f>
        <v/>
      </c>
      <c r="H2707" s="6">
        <f>HYPERLINK("C:\Projects\Kleinanzeigen-Scraper\offer_images\2836784181", "Link")</f>
        <v/>
      </c>
      <c r="I2707" t="inlineStr">
        <is>
          <t>A.Langer</t>
        </is>
      </c>
      <c r="J2707" s="6">
        <f>HYPERLINK("https://www.kleinanzeigen.de/s-bestandsliste.html?userId=16220077", "Link")</f>
        <v/>
      </c>
      <c r="K2707" s="7" t="n">
        <v>45549.57086805555</v>
      </c>
      <c r="L2707" s="3" t="inlineStr">
        <is>
          <t>438.09</t>
        </is>
      </c>
      <c r="M2707" t="inlineStr">
        <is>
          <t>Köln</t>
        </is>
      </c>
    </row>
    <row r="2708">
      <c r="A2708" t="inlineStr">
        <is>
          <t>DUOTONE Mono 2021 11m²  CC15:blue  *Testkite*</t>
        </is>
      </c>
      <c r="B2708" s="4" t="n">
        <v>820</v>
      </c>
      <c r="C2708" t="inlineStr"/>
      <c r="D2708" t="inlineStr">
        <is>
          <t>17509 Mecklenburg-Vorpommern - Loissin</t>
        </is>
      </c>
      <c r="E2708" s="5" t="n">
        <v>45547</v>
      </c>
      <c r="F2708" t="inlineStr">
        <is>
          <t>Sold</t>
        </is>
      </c>
      <c r="G2708" s="6">
        <f>HYPERLINK("https://www.kleinanzeigen.de/s-anzeige/duotone-mono-2021-11m-cc15-blue-testkite-/2735356066-230-21340", "Link")</f>
        <v/>
      </c>
      <c r="H2708" s="6">
        <f>HYPERLINK("C:\Projects\Kleinanzeigen-Scraper\offer_images\2735356066", "Link")</f>
        <v/>
      </c>
      <c r="I2708" t="inlineStr">
        <is>
          <t>No user name</t>
        </is>
      </c>
      <c r="J2708" s="6">
        <f>HYPERLINK("https://www.kleinanzeigen.deNo user link", "Link")</f>
        <v/>
      </c>
      <c r="K2708" s="7" t="n">
        <v>45549.57086805555</v>
      </c>
      <c r="L2708" s="3" t="inlineStr">
        <is>
          <t>568.47</t>
        </is>
      </c>
      <c r="M2708" t="inlineStr">
        <is>
          <t>Köln</t>
        </is>
      </c>
    </row>
    <row r="2709">
      <c r="A2709" t="inlineStr">
        <is>
          <t>Simms ProDry Gore - Tex Jacke, Watjacke</t>
        </is>
      </c>
      <c r="B2709" s="4" t="n">
        <v>350</v>
      </c>
      <c r="C2709" t="inlineStr"/>
      <c r="D2709" t="inlineStr">
        <is>
          <t>47546 Nordrhein-Westfalen - Kalkar</t>
        </is>
      </c>
      <c r="E2709" s="5" t="n">
        <v>45493</v>
      </c>
      <c r="F2709" t="inlineStr">
        <is>
          <t>Sold</t>
        </is>
      </c>
      <c r="G2709" s="6">
        <f>HYPERLINK("https://www.kleinanzeigen.de/s-anzeige/simms-prodry-gore-tex-jacke-watjacke/2816805327-230-1388", "Link")</f>
        <v/>
      </c>
      <c r="H2709" s="6">
        <f>HYPERLINK("C:\Projects\Kleinanzeigen-Scraper\offer_images\2816805327", "Link")</f>
        <v/>
      </c>
      <c r="I2709" t="inlineStr">
        <is>
          <t>Holger</t>
        </is>
      </c>
      <c r="J2709" s="6">
        <f>HYPERLINK("https://www.kleinanzeigen.de/s-bestandsliste.html?userId=9611144", "Link")</f>
        <v/>
      </c>
      <c r="K2709" s="7" t="n">
        <v>45549.57085648148</v>
      </c>
      <c r="L2709" s="3" t="inlineStr">
        <is>
          <t>101.64</t>
        </is>
      </c>
      <c r="M2709" t="inlineStr">
        <is>
          <t>Köln</t>
        </is>
      </c>
    </row>
    <row r="2710">
      <c r="A2710" t="inlineStr">
        <is>
          <t>Duotone Evo SLS 10m - 2022 - c08 coral-red/blue - kite - Garantie</t>
        </is>
      </c>
      <c r="B2710" s="4" t="n">
        <v>1.1</v>
      </c>
      <c r="C2710" t="inlineStr">
        <is>
          <t>VB</t>
        </is>
      </c>
      <c r="D2710" t="inlineStr">
        <is>
          <t>80798 München - Schwabing-West</t>
        </is>
      </c>
      <c r="E2710" s="5" t="n">
        <v>45538</v>
      </c>
      <c r="F2710" t="inlineStr">
        <is>
          <t>Sold</t>
        </is>
      </c>
      <c r="G2710" s="6">
        <f>HYPERLINK("https://www.kleinanzeigen.de/s-anzeige/duotone-evo-sls-10m-2022-c08-coral-red-blue-kite-garantie/2853775408-230-6459", "Link")</f>
        <v/>
      </c>
      <c r="H2710" s="6">
        <f>HYPERLINK("C:\Projects\Kleinanzeigen-Scraper\offer_images\2853775408", "Link")</f>
        <v/>
      </c>
      <c r="I2710" t="inlineStr">
        <is>
          <t>Michael N.</t>
        </is>
      </c>
      <c r="J2710" s="6">
        <f>HYPERLINK("https://www.kleinanzeigen.de/s-bestandsliste.html?userId=17565441", "Link")</f>
        <v/>
      </c>
      <c r="K2710" s="7" t="n">
        <v>45549.57083333333</v>
      </c>
      <c r="L2710" s="3" t="inlineStr">
        <is>
          <t>2.07</t>
        </is>
      </c>
      <c r="M2710" t="inlineStr">
        <is>
          <t>München</t>
        </is>
      </c>
    </row>
    <row r="2711">
      <c r="A2711" t="inlineStr">
        <is>
          <t>Neilpryde Neopren Anzug shorty, 40, S/M</t>
        </is>
      </c>
      <c r="B2711" s="4" t="n">
        <v>45</v>
      </c>
      <c r="C2711" t="inlineStr"/>
      <c r="D2711" t="inlineStr">
        <is>
          <t>24113 Kiel - Hassee-Vieburg</t>
        </is>
      </c>
      <c r="E2711" s="5" t="n">
        <v>45457</v>
      </c>
      <c r="F2711" t="inlineStr">
        <is>
          <t>Sold</t>
        </is>
      </c>
      <c r="G2711" s="6">
        <f>HYPERLINK("https://www.kleinanzeigen.de/s-anzeige/neilpryde-neopren-anzug-shorty-40-s-m/2787636073-230-698", "Link")</f>
        <v/>
      </c>
      <c r="H2711" s="6">
        <f>HYPERLINK("C:\Projects\Kleinanzeigen-Scraper\offer_images\2787636073", "Link")</f>
        <v/>
      </c>
      <c r="I2711" t="inlineStr">
        <is>
          <t>HS</t>
        </is>
      </c>
      <c r="J2711" s="6">
        <f>HYPERLINK("https://www.kleinanzeigen.de/s-bestandsliste.html?userId=91180761", "Link")</f>
        <v/>
      </c>
      <c r="K2711" s="7" t="n">
        <v>45549.57083333333</v>
      </c>
      <c r="L2711" s="3" t="inlineStr">
        <is>
          <t>427.37</t>
        </is>
      </c>
      <c r="M2711" t="inlineStr">
        <is>
          <t>Köln</t>
        </is>
      </c>
    </row>
    <row r="2712">
      <c r="A2712" t="inlineStr">
        <is>
          <t>Duotone Foil Aero Free 1250 QM komplett mit zwei Masten</t>
        </is>
      </c>
      <c r="B2712" s="4" t="n">
        <v>1.15</v>
      </c>
      <c r="C2712" t="inlineStr">
        <is>
          <t>VB</t>
        </is>
      </c>
      <c r="D2712" t="inlineStr">
        <is>
          <t>49459 Niedersachsen - Lembruch</t>
        </is>
      </c>
      <c r="E2712" s="5" t="n">
        <v>45547</v>
      </c>
      <c r="F2712" t="inlineStr">
        <is>
          <t>Sold</t>
        </is>
      </c>
      <c r="G2712" s="6">
        <f>HYPERLINK("https://www.kleinanzeigen.de/s-anzeige/duotone-foil-aero-free-1250-qm-komplett-mit-zwei-masten/2861513570-230-20676", "Link")</f>
        <v/>
      </c>
      <c r="H2712" s="6">
        <f>HYPERLINK("C:\Projects\Kleinanzeigen-Scraper\offer_images\2861513570", "Link")</f>
        <v/>
      </c>
      <c r="I2712" t="inlineStr">
        <is>
          <t>Mathias</t>
        </is>
      </c>
      <c r="J2712" s="6">
        <f>HYPERLINK("https://www.kleinanzeigen.de/s-bestandsliste.html?userId=11459789", "Link")</f>
        <v/>
      </c>
      <c r="K2712" s="7" t="n">
        <v>45549.57082175926</v>
      </c>
      <c r="L2712" s="3" t="inlineStr">
        <is>
          <t>201.54</t>
        </is>
      </c>
      <c r="M2712" t="inlineStr">
        <is>
          <t>Köln</t>
        </is>
      </c>
    </row>
    <row r="2713">
      <c r="A2713" t="inlineStr">
        <is>
          <t>Simms Damenbluse Fliegenfischen</t>
        </is>
      </c>
      <c r="B2713" s="4" t="n">
        <v>35</v>
      </c>
      <c r="C2713" t="inlineStr"/>
      <c r="D2713" t="inlineStr">
        <is>
          <t>82319 Bayern - Starnberg</t>
        </is>
      </c>
      <c r="E2713" s="5" t="n">
        <v>45389</v>
      </c>
      <c r="F2713" t="inlineStr"/>
      <c r="G2713" s="6">
        <f>HYPERLINK("https://www.kleinanzeigen.de/s-anzeige/simms-damenbluse-fliegenfischen/2728088049-230-5525", "Link")</f>
        <v/>
      </c>
      <c r="H2713" s="6">
        <f>HYPERLINK("C:\Projects\Kleinanzeigen-Scraper\offer_images\2728088049", "Link")</f>
        <v/>
      </c>
      <c r="I2713" t="inlineStr">
        <is>
          <t>Christine Zwick</t>
        </is>
      </c>
      <c r="J2713" s="6">
        <f>HYPERLINK("https://www.kleinanzeigen.de/s-bestandsliste.html?userId=13991668", "Link")</f>
        <v/>
      </c>
      <c r="K2713" s="7" t="n">
        <v>45549.57081018519</v>
      </c>
      <c r="L2713" s="3" t="inlineStr">
        <is>
          <t>23.17</t>
        </is>
      </c>
      <c r="M2713" t="inlineStr">
        <is>
          <t>München</t>
        </is>
      </c>
    </row>
    <row r="2714">
      <c r="A2714" t="inlineStr">
        <is>
          <t>SIMMS Fliegenfischen Fly Fishing Rucksack</t>
        </is>
      </c>
      <c r="B2714" s="4" t="n">
        <v>165</v>
      </c>
      <c r="C2714" t="inlineStr"/>
      <c r="D2714" t="inlineStr">
        <is>
          <t>50667 Innenstadt - Köln Altstadt</t>
        </is>
      </c>
      <c r="E2714" s="5" t="n">
        <v>45538</v>
      </c>
      <c r="F2714" t="inlineStr"/>
      <c r="G2714" s="6">
        <f>HYPERLINK("https://www.kleinanzeigen.de/s-anzeige/simms-fliegenfischen-fly-fishing-rucksack/2853459475-230-983", "Link")</f>
        <v/>
      </c>
      <c r="H2714" s="6">
        <f>HYPERLINK("C:\Projects\Kleinanzeigen-Scraper\offer_images\2853459475", "Link")</f>
        <v/>
      </c>
      <c r="I2714" t="inlineStr">
        <is>
          <t>D_K</t>
        </is>
      </c>
      <c r="J2714" s="6">
        <f>HYPERLINK("https://www.kleinanzeigen.de/s-bestandsliste.html?userId=984683", "Link")</f>
        <v/>
      </c>
      <c r="K2714" s="7" t="n">
        <v>45549.57081018519</v>
      </c>
      <c r="L2714" s="3" t="inlineStr">
        <is>
          <t>0.00</t>
        </is>
      </c>
      <c r="M2714" t="inlineStr">
        <is>
          <t>Köln</t>
        </is>
      </c>
    </row>
    <row r="2715">
      <c r="A2715" t="inlineStr">
        <is>
          <t>Kitesurf NORTH REACH 12 Neu mod 2024</t>
        </is>
      </c>
      <c r="B2715" s="4" t="n">
        <v>1.15</v>
      </c>
      <c r="C2715" t="inlineStr"/>
      <c r="D2715" t="inlineStr">
        <is>
          <t>87629 Bayern - Füssen</t>
        </is>
      </c>
      <c r="E2715" s="5" t="n">
        <v>45548</v>
      </c>
      <c r="F2715" t="inlineStr">
        <is>
          <t>Sold</t>
        </is>
      </c>
      <c r="G2715" s="6">
        <f>HYPERLINK("https://www.kleinanzeigen.de/s-anzeige/kitesurf-north-reach-12-neu-mod-2024/2862082439-230-6564", "Link")</f>
        <v/>
      </c>
      <c r="H2715" s="6">
        <f>HYPERLINK("C:\Projects\Kleinanzeigen-Scraper\offer_images\2862082439", "Link")</f>
        <v/>
      </c>
      <c r="I2715" t="inlineStr">
        <is>
          <t>Claus</t>
        </is>
      </c>
      <c r="J2715" s="6">
        <f>HYPERLINK("https://www.kleinanzeigen.de/s-bestandsliste.html?userId=82330438", "Link")</f>
        <v/>
      </c>
      <c r="K2715" s="7" t="n">
        <v>45549.57078703704</v>
      </c>
      <c r="L2715" s="3" t="inlineStr">
        <is>
          <t>92.19</t>
        </is>
      </c>
      <c r="M2715" t="inlineStr">
        <is>
          <t>München</t>
        </is>
      </c>
    </row>
    <row r="2716">
      <c r="A2716" t="inlineStr">
        <is>
          <t>SUP Starboard Touring M ZEN SC 12´6 2023 *wie neu</t>
        </is>
      </c>
      <c r="B2716" s="4" t="n">
        <v>410</v>
      </c>
      <c r="C2716" t="inlineStr"/>
      <c r="D2716" t="inlineStr">
        <is>
          <t>09126 Chemnitz - Lutherviertel</t>
        </is>
      </c>
      <c r="E2716" s="5" t="n">
        <v>45524</v>
      </c>
      <c r="F2716" t="inlineStr">
        <is>
          <t>Sold</t>
        </is>
      </c>
      <c r="G2716" s="6">
        <f>HYPERLINK("https://www.kleinanzeigen.de/s-anzeige/sup-starboard-touring-m-zen-sc-12-6-2023-wie-neu/2841724217-230-26106", "Link")</f>
        <v/>
      </c>
      <c r="H2716" s="6">
        <f>HYPERLINK("C:\Projects\Kleinanzeigen-Scraper\offer_images\2841724217", "Link")</f>
        <v/>
      </c>
      <c r="I2716" t="inlineStr">
        <is>
          <t>Steffen</t>
        </is>
      </c>
      <c r="J2716" s="6">
        <f>HYPERLINK("https://www.kleinanzeigen.de/s-bestandsliste.html?userId=20015328", "Link")</f>
        <v/>
      </c>
      <c r="K2716" s="7" t="n">
        <v>45549.57078703704</v>
      </c>
      <c r="L2716" s="3" t="inlineStr">
        <is>
          <t>314.18</t>
        </is>
      </c>
      <c r="M2716" t="inlineStr">
        <is>
          <t>München</t>
        </is>
      </c>
    </row>
    <row r="2717">
      <c r="A2717" t="inlineStr">
        <is>
          <t>Neoprenschuhe Surfschuhe NEU 36 37 38 39 Camaro Ascan Neilpryde</t>
        </is>
      </c>
      <c r="B2717" s="4" t="n">
        <v>12</v>
      </c>
      <c r="C2717" t="inlineStr"/>
      <c r="D2717" t="inlineStr">
        <is>
          <t>71069 Baden-Württemberg - Sindelfingen</t>
        </is>
      </c>
      <c r="E2717" s="5" t="n">
        <v>45505</v>
      </c>
      <c r="F2717" t="inlineStr">
        <is>
          <t>Sold</t>
        </is>
      </c>
      <c r="G2717" s="6">
        <f>HYPERLINK("https://www.kleinanzeigen.de/s-anzeige/neoprenschuhe-surfschuhe-neu-36-37-38-39-camaro-ascan-neilpryde/2826397453-230-8993", "Link")</f>
        <v/>
      </c>
      <c r="H2717" s="6">
        <f>HYPERLINK("C:\Projects\Kleinanzeigen-Scraper\offer_images\2826397453", "Link")</f>
        <v/>
      </c>
      <c r="I2717" t="inlineStr">
        <is>
          <t>Familie Wagner</t>
        </is>
      </c>
      <c r="J2717" s="6">
        <f>HYPERLINK("https://www.kleinanzeigen.de/s-bestandsliste.html?userId=74276639", "Link")</f>
        <v/>
      </c>
      <c r="K2717" s="7" t="n">
        <v>45549.57076388889</v>
      </c>
      <c r="L2717" s="3" t="inlineStr">
        <is>
          <t>3.69</t>
        </is>
      </c>
      <c r="M2717" t="inlineStr">
        <is>
          <t>Böblingen</t>
        </is>
      </c>
    </row>
    <row r="2718">
      <c r="A2718" t="inlineStr">
        <is>
          <t>Simms Fishing Polo Shirt XXL</t>
        </is>
      </c>
      <c r="B2718" s="4" t="n">
        <v>19</v>
      </c>
      <c r="C2718" t="inlineStr"/>
      <c r="D2718" t="inlineStr">
        <is>
          <t>61440 Hessen - Oberursel (Taunus)</t>
        </is>
      </c>
      <c r="E2718" s="5" t="n">
        <v>45500</v>
      </c>
      <c r="F2718" t="inlineStr">
        <is>
          <t>Sold</t>
        </is>
      </c>
      <c r="G2718" s="6">
        <f>HYPERLINK("https://www.kleinanzeigen.de/s-anzeige/simms-fishing-polo-shirt-xxl/2822565067-230-4578", "Link")</f>
        <v/>
      </c>
      <c r="H2718" s="6">
        <f>HYPERLINK("C:\Projects\Kleinanzeigen-Scraper\offer_images\2822565067", "Link")</f>
        <v/>
      </c>
      <c r="I2718" t="inlineStr">
        <is>
          <t>Leon</t>
        </is>
      </c>
      <c r="J2718" s="6">
        <f>HYPERLINK("https://www.kleinanzeigen.de/s-bestandsliste.html?userId=29845155", "Link")</f>
        <v/>
      </c>
      <c r="K2718" s="7" t="n">
        <v>45549.57076388889</v>
      </c>
      <c r="L2718" s="3" t="inlineStr">
        <is>
          <t>134.19</t>
        </is>
      </c>
      <c r="M2718" t="inlineStr">
        <is>
          <t>Karlsruhe</t>
        </is>
      </c>
    </row>
    <row r="2719">
      <c r="A2719" t="inlineStr">
        <is>
          <t>Kitebar  NORTH 5th element  25m</t>
        </is>
      </c>
      <c r="B2719" s="4" t="n">
        <v>70</v>
      </c>
      <c r="C2719" t="inlineStr"/>
      <c r="D2719" t="inlineStr">
        <is>
          <t>88085 Baden-Württemberg - Langenargen</t>
        </is>
      </c>
      <c r="E2719" s="5" t="n">
        <v>45547</v>
      </c>
      <c r="F2719" t="inlineStr">
        <is>
          <t>Sold</t>
        </is>
      </c>
      <c r="G2719" s="6">
        <f>HYPERLINK("https://www.kleinanzeigen.de/s-anzeige/kitebar-north-5th-element-25m/2861633547-230-8350", "Link")</f>
        <v/>
      </c>
      <c r="H2719" s="6">
        <f>HYPERLINK("C:\Projects\Kleinanzeigen-Scraper\offer_images\2861633547", "Link")</f>
        <v/>
      </c>
      <c r="I2719" t="inlineStr">
        <is>
          <t>A.Daiber</t>
        </is>
      </c>
      <c r="J2719" s="6">
        <f>HYPERLINK("https://www.kleinanzeigen.de/s-bestandsliste.html?userId=6568405", "Link")</f>
        <v/>
      </c>
      <c r="K2719" s="7" t="n">
        <v>45549.57076388889</v>
      </c>
      <c r="L2719" s="3" t="inlineStr">
        <is>
          <t>93.32</t>
        </is>
      </c>
      <c r="M2719" t="inlineStr">
        <is>
          <t>Bonndorf</t>
        </is>
      </c>
    </row>
    <row r="2720">
      <c r="A2720" t="inlineStr">
        <is>
          <t>Naish S25 Jet Foil Set 1250cm²</t>
        </is>
      </c>
      <c r="B2720" s="4" t="n">
        <v>400</v>
      </c>
      <c r="C2720" t="inlineStr">
        <is>
          <t>VB</t>
        </is>
      </c>
      <c r="D2720" t="inlineStr">
        <is>
          <t>23552 Schleswig-Holstein - Lübeck</t>
        </is>
      </c>
      <c r="E2720" s="5" t="n">
        <v>45511</v>
      </c>
      <c r="F2720" t="inlineStr">
        <is>
          <t>Sold</t>
        </is>
      </c>
      <c r="G2720" s="6">
        <f>HYPERLINK("https://www.kleinanzeigen.de/s-anzeige/naish-s25-jet-foil-set-1250cm-/2831726437-230-415", "Link")</f>
        <v/>
      </c>
      <c r="H2720" s="6">
        <f>HYPERLINK("C:\Projects\Kleinanzeigen-Scraper\offer_images\2831726437", "Link")</f>
        <v/>
      </c>
      <c r="I2720" t="inlineStr">
        <is>
          <t>Nico</t>
        </is>
      </c>
      <c r="J2720" s="6">
        <f>HYPERLINK("https://www.kleinanzeigen.de/s-bestandsliste.html?userId=18794667", "Link")</f>
        <v/>
      </c>
      <c r="K2720" s="7" t="n">
        <v>45549.57076388889</v>
      </c>
      <c r="L2720" s="3" t="inlineStr">
        <is>
          <t>412.54</t>
        </is>
      </c>
      <c r="M2720" t="inlineStr">
        <is>
          <t>Köln</t>
        </is>
      </c>
    </row>
    <row r="2721">
      <c r="A2721" t="inlineStr">
        <is>
          <t>The Gun Segeltasche Windsurfer 2,0 bis 2,6 m</t>
        </is>
      </c>
      <c r="B2721" s="4" t="n">
        <v>60</v>
      </c>
      <c r="C2721" t="inlineStr"/>
      <c r="D2721" t="inlineStr">
        <is>
          <t>50126 Nordrhein-Westfalen - Bergheim</t>
        </is>
      </c>
      <c r="E2721" s="5" t="n">
        <v>45547</v>
      </c>
      <c r="F2721" t="inlineStr">
        <is>
          <t>Sold</t>
        </is>
      </c>
      <c r="G2721" s="6">
        <f>HYPERLINK("https://www.kleinanzeigen.de/s-anzeige/the-gun-segeltasche-windsurfer-2-0-bis-2-6-m/2860928800-230-1875", "Link")</f>
        <v/>
      </c>
      <c r="H2721" s="6">
        <f>HYPERLINK("C:\Projects\Kleinanzeigen-Scraper\offer_images\2860928800", "Link")</f>
        <v/>
      </c>
      <c r="I2721" t="inlineStr">
        <is>
          <t>Ralf Richartz</t>
        </is>
      </c>
      <c r="J2721" s="6">
        <f>HYPERLINK("https://www.kleinanzeigen.de/s-bestandsliste.html?userId=35940416", "Link")</f>
        <v/>
      </c>
      <c r="K2721" s="7" t="n">
        <v>45548.54957175926</v>
      </c>
      <c r="L2721" s="3" t="inlineStr">
        <is>
          <t>23.45</t>
        </is>
      </c>
      <c r="M2721" t="inlineStr">
        <is>
          <t>Köln</t>
        </is>
      </c>
    </row>
    <row r="2722">
      <c r="A2722" t="inlineStr">
        <is>
          <t>F2 CRUISE TEAM WINDSURF HFT INFLATABLE SUP SET 10,6 - TESTBOARD</t>
        </is>
      </c>
      <c r="B2722" s="4" t="n">
        <v>375</v>
      </c>
      <c r="C2722" t="inlineStr"/>
      <c r="D2722" t="inlineStr">
        <is>
          <t>95028 Bayern - Hof (Saale)</t>
        </is>
      </c>
      <c r="E2722" s="5" t="n">
        <v>45547</v>
      </c>
      <c r="F2722" t="inlineStr">
        <is>
          <t>Sold</t>
        </is>
      </c>
      <c r="G2722" s="6">
        <f>HYPERLINK("https://www.kleinanzeigen.de/s-anzeige/f2-cruise-team-windsurf-hft-inflatable-sup-set-10-6-testboard/2835809214-230-7244", "Link")</f>
        <v/>
      </c>
      <c r="H2722" s="6">
        <f>HYPERLINK("C:\Projects\Kleinanzeigen-Scraper\offer_images\2835809214", "Link")</f>
        <v/>
      </c>
      <c r="I2722" t="inlineStr">
        <is>
          <t>No user name</t>
        </is>
      </c>
      <c r="J2722" s="6">
        <f>HYPERLINK("https://www.kleinanzeigen.deNo user link", "Link")</f>
        <v/>
      </c>
      <c r="K2722" s="7" t="n">
        <v>45548.54949074074</v>
      </c>
      <c r="L2722" s="3" t="inlineStr">
        <is>
          <t>244.83</t>
        </is>
      </c>
      <c r="M2722" t="inlineStr">
        <is>
          <t>München</t>
        </is>
      </c>
    </row>
    <row r="2723">
      <c r="A2723" t="inlineStr">
        <is>
          <t>ION Windsurf Double Boardbag</t>
        </is>
      </c>
      <c r="B2723" s="4" t="n">
        <v>115</v>
      </c>
      <c r="C2723" t="inlineStr">
        <is>
          <t>VB</t>
        </is>
      </c>
      <c r="D2723" t="inlineStr">
        <is>
          <t>82061 Kr. München - Neuried Kr München</t>
        </is>
      </c>
      <c r="E2723" s="5" t="n">
        <v>45542</v>
      </c>
      <c r="F2723" t="inlineStr">
        <is>
          <t>Sold</t>
        </is>
      </c>
      <c r="G2723" s="6">
        <f>HYPERLINK("https://www.kleinanzeigen.de/s-anzeige/ion-windsurf-double-boardbag/2856402537-230-6336", "Link")</f>
        <v/>
      </c>
      <c r="H2723" s="6">
        <f>HYPERLINK("C:\Projects\Kleinanzeigen-Scraper\offer_images\2856402537", "Link")</f>
        <v/>
      </c>
      <c r="I2723" t="inlineStr">
        <is>
          <t>Vanessa</t>
        </is>
      </c>
      <c r="J2723" s="6">
        <f>HYPERLINK("https://www.kleinanzeigen.de/s-bestandsliste.html?userId=26497688", "Link")</f>
        <v/>
      </c>
      <c r="K2723" s="7" t="n">
        <v>45548.549375</v>
      </c>
      <c r="L2723" s="3" t="inlineStr">
        <is>
          <t>9.29</t>
        </is>
      </c>
      <c r="M2723" t="inlineStr">
        <is>
          <t>München</t>
        </is>
      </c>
    </row>
    <row r="2724">
      <c r="A2724" t="inlineStr">
        <is>
          <t>Fanatic Windsurfen Fahne Werbung</t>
        </is>
      </c>
      <c r="B2724" s="4" t="n">
        <v>25</v>
      </c>
      <c r="C2724" t="inlineStr">
        <is>
          <t>VB</t>
        </is>
      </c>
      <c r="D2724" t="inlineStr">
        <is>
          <t>26122 Niedersachsen - Oldenburg</t>
        </is>
      </c>
      <c r="E2724" s="5" t="n">
        <v>45547</v>
      </c>
      <c r="F2724" t="inlineStr">
        <is>
          <t>Sold</t>
        </is>
      </c>
      <c r="G2724" s="6">
        <f>HYPERLINK("https://www.kleinanzeigen.de/s-anzeige/fanatic-windsurfen-fahne-werbung/2861176954-230-3116", "Link")</f>
        <v/>
      </c>
      <c r="H2724" s="6">
        <f>HYPERLINK("C:\Projects\Kleinanzeigen-Scraper\offer_images\2861176954", "Link")</f>
        <v/>
      </c>
      <c r="I2724" t="inlineStr">
        <is>
          <t>Kunert</t>
        </is>
      </c>
      <c r="J2724" s="6">
        <f>HYPERLINK("https://www.kleinanzeigen.de/s-bestandsliste.html?userId=49200799", "Link")</f>
        <v/>
      </c>
      <c r="K2724" s="7" t="n">
        <v>45548.54918981482</v>
      </c>
      <c r="L2724" s="3" t="inlineStr">
        <is>
          <t>259.06</t>
        </is>
      </c>
      <c r="M2724" t="inlineStr">
        <is>
          <t>Köln</t>
        </is>
      </c>
    </row>
    <row r="2725">
      <c r="A2725" t="inlineStr">
        <is>
          <t>Wochenendkurs Surfen lernen, Surfschule, Windsurfen</t>
        </is>
      </c>
      <c r="B2725" s="4" t="n">
        <v>220</v>
      </c>
      <c r="C2725" t="inlineStr"/>
      <c r="D2725" t="inlineStr">
        <is>
          <t>14471 Brandenburg - Potsdam</t>
        </is>
      </c>
      <c r="E2725" s="5" t="n">
        <v>45547</v>
      </c>
      <c r="F2725" t="inlineStr">
        <is>
          <t>Sold</t>
        </is>
      </c>
      <c r="G2725" s="6">
        <f>HYPERLINK("https://www.kleinanzeigen.de/s-anzeige/wochenendkurs-surfen-lernen-surfschule-windsurfen/2860929855-211-7968", "Link")</f>
        <v/>
      </c>
      <c r="H2725" s="6">
        <f>HYPERLINK("C:\Projects\Kleinanzeigen-Scraper\offer_images\2860929855", "Link")</f>
        <v/>
      </c>
      <c r="I2725" t="inlineStr">
        <is>
          <t>WS Potsdam, Inh. Martin Klintz</t>
        </is>
      </c>
      <c r="J2725" s="6">
        <f>HYPERLINK("https://www.kleinanzeigen.de/s-bestandsliste.html?userId=4588266", "Link")</f>
        <v/>
      </c>
      <c r="K2725" s="7" t="n">
        <v>45548.5490625</v>
      </c>
      <c r="L2725" s="3" t="inlineStr">
        <is>
          <t>446.87</t>
        </is>
      </c>
      <c r="M2725" t="inlineStr">
        <is>
          <t>Köln</t>
        </is>
      </c>
    </row>
    <row r="2726">
      <c r="A2726" t="inlineStr">
        <is>
          <t>Windsurf Tasche Roofrack / Boardbag/ Unifiber 260x80 groß</t>
        </is>
      </c>
      <c r="B2726" s="4" t="n">
        <v>179</v>
      </c>
      <c r="C2726" t="inlineStr">
        <is>
          <t>VB</t>
        </is>
      </c>
      <c r="D2726" t="inlineStr">
        <is>
          <t>60326 Frankfurt am Main - Gallusviertel</t>
        </is>
      </c>
      <c r="E2726" s="5" t="n">
        <v>45547</v>
      </c>
      <c r="F2726" t="inlineStr">
        <is>
          <t>Sold</t>
        </is>
      </c>
      <c r="G2726" s="6">
        <f>HYPERLINK("https://www.kleinanzeigen.de/s-anzeige/windsurf-tasche-roofrack-boardbag-unifiber-260x80-gross/2861170138-230-4306", "Link")</f>
        <v/>
      </c>
      <c r="H2726" s="6">
        <f>HYPERLINK("C:\Projects\Kleinanzeigen-Scraper\offer_images\2861170138", "Link")</f>
        <v/>
      </c>
      <c r="I2726" t="inlineStr">
        <is>
          <t>Jonas</t>
        </is>
      </c>
      <c r="J2726" s="6">
        <f>HYPERLINK("https://www.kleinanzeigen.de/s-bestandsliste.html?userId=663765", "Link")</f>
        <v/>
      </c>
      <c r="K2726" s="7" t="n">
        <v>45548.54885416666</v>
      </c>
      <c r="L2726" s="3" t="inlineStr">
        <is>
          <t>122.86</t>
        </is>
      </c>
      <c r="M2726" t="inlineStr">
        <is>
          <t>Karlsruhe</t>
        </is>
      </c>
    </row>
    <row r="2727">
      <c r="A2727" t="inlineStr">
        <is>
          <t>Naish Hover 125L 2020</t>
        </is>
      </c>
      <c r="B2727" s="4" t="n">
        <v>450</v>
      </c>
      <c r="C2727" t="inlineStr"/>
      <c r="D2727" t="inlineStr">
        <is>
          <t>23669</t>
        </is>
      </c>
      <c r="E2727" s="5" t="n">
        <v>45546</v>
      </c>
      <c r="F2727" t="inlineStr">
        <is>
          <t>Sold</t>
        </is>
      </c>
      <c r="G2727" s="6">
        <f>HYPERLINK("https://www.dailydose.de/kleinanzeigen/detail.htm?ai=422430&amp;cf=kk&amp;pg=2&amp;ci=11", "Link")</f>
        <v/>
      </c>
      <c r="H2727" s="6">
        <f>HYPERLINK("C:\Projects\Kleinanzeigen-Scraper\offer_images\422430", "Link")</f>
        <v/>
      </c>
      <c r="I2727" t="inlineStr">
        <is>
          <t>nclkth</t>
        </is>
      </c>
      <c r="J2727" s="6">
        <f>HYPERLINK("https://www.dailydose.de/kleinanzeigen/user/17621", "Link")</f>
        <v/>
      </c>
      <c r="K2727" s="7" t="n">
        <v>45547.55320601852</v>
      </c>
      <c r="L2727" s="3" t="inlineStr">
        <is>
          <t>425.88</t>
        </is>
      </c>
      <c r="M2727" t="inlineStr">
        <is>
          <t>Köln</t>
        </is>
      </c>
    </row>
    <row r="2728">
      <c r="A2728" t="inlineStr">
        <is>
          <t>Windsurfer, Kiter, Wingfoiler Nähe Lübben/Lübbenau/Vetschau</t>
        </is>
      </c>
      <c r="B2728" s="4" t="inlineStr">
        <is>
          <t>Zu verschenken</t>
        </is>
      </c>
      <c r="C2728" t="inlineStr"/>
      <c r="D2728" t="inlineStr">
        <is>
          <t>15907 Brandenburg - Lübben</t>
        </is>
      </c>
      <c r="E2728" s="5" t="n">
        <v>45546</v>
      </c>
      <c r="F2728" t="inlineStr">
        <is>
          <t>Sold</t>
        </is>
      </c>
      <c r="G2728" s="6">
        <f>HYPERLINK("https://www.kleinanzeigen.de/s-anzeige/windsurfer-kiter-wingfoiler-naehe-luebben-luebbenau-vetschau/2860093935-187-7806", "Link")</f>
        <v/>
      </c>
      <c r="H2728" s="6">
        <f>HYPERLINK("C:\Projects\Kleinanzeigen-Scraper\offer_images\2860093935", "Link")</f>
        <v/>
      </c>
      <c r="I2728" t="inlineStr">
        <is>
          <t>Phil</t>
        </is>
      </c>
      <c r="J2728" s="6">
        <f>HYPERLINK("https://www.kleinanzeigen.de/s-bestandsliste.html?userId=142788933", "Link")</f>
        <v/>
      </c>
      <c r="K2728" s="7" t="n">
        <v>45547.55197916667</v>
      </c>
      <c r="L2728" s="3" t="inlineStr">
        <is>
          <t>454.59</t>
        </is>
      </c>
      <c r="M2728" t="inlineStr">
        <is>
          <t>München</t>
        </is>
      </c>
    </row>
    <row r="2729">
      <c r="A2729" t="inlineStr">
        <is>
          <t>Fanatic flow h9 Foil Windsurfen</t>
        </is>
      </c>
      <c r="B2729" s="4" t="n">
        <v>220</v>
      </c>
      <c r="C2729" t="inlineStr">
        <is>
          <t>VB</t>
        </is>
      </c>
      <c r="D2729" t="inlineStr">
        <is>
          <t>31241 Niedersachsen - Ilsede</t>
        </is>
      </c>
      <c r="E2729" s="5" t="n">
        <v>45546</v>
      </c>
      <c r="F2729" t="inlineStr">
        <is>
          <t>Sold</t>
        </is>
      </c>
      <c r="G2729" s="6">
        <f>HYPERLINK("https://www.kleinanzeigen.de/s-anzeige/fanatic-flow-h9-foil-windsurfen/2860187340-230-2678", "Link")</f>
        <v/>
      </c>
      <c r="H2729" s="6">
        <f>HYPERLINK("C:\Projects\Kleinanzeigen-Scraper\offer_images\2860187340", "Link")</f>
        <v/>
      </c>
      <c r="I2729" t="inlineStr">
        <is>
          <t>Andre</t>
        </is>
      </c>
      <c r="J2729" s="6">
        <f>HYPERLINK("https://www.kleinanzeigen.de/s-bestandsliste.html?userId=15978922", "Link")</f>
        <v/>
      </c>
      <c r="K2729" s="7" t="n">
        <v>45547.55184027777</v>
      </c>
      <c r="L2729" s="3" t="inlineStr">
        <is>
          <t>267.79</t>
        </is>
      </c>
      <c r="M2729" t="inlineStr">
        <is>
          <t>Köln</t>
        </is>
      </c>
    </row>
    <row r="2730">
      <c r="A2730" t="inlineStr">
        <is>
          <t>Tricktionary - Die ultimative Windsurf Bibel</t>
        </is>
      </c>
      <c r="B2730" s="4" t="n">
        <v>18</v>
      </c>
      <c r="C2730" t="inlineStr">
        <is>
          <t>VB</t>
        </is>
      </c>
      <c r="D2730" t="inlineStr">
        <is>
          <t>65203 Hessen - Wiesbaden</t>
        </is>
      </c>
      <c r="E2730" s="5" t="n">
        <v>45546</v>
      </c>
      <c r="F2730" t="inlineStr">
        <is>
          <t>Sold</t>
        </is>
      </c>
      <c r="G2730" s="6">
        <f>HYPERLINK("https://www.kleinanzeigen.de/s-anzeige/tricktionary-die-ultimative-windsurf-bibel/2860223274-230-4901", "Link")</f>
        <v/>
      </c>
      <c r="H2730" s="6">
        <f>HYPERLINK("C:\Projects\Kleinanzeigen-Scraper\offer_images\2860223274", "Link")</f>
        <v/>
      </c>
      <c r="I2730" t="inlineStr">
        <is>
          <t>Dirk Kolbe</t>
        </is>
      </c>
      <c r="J2730" s="6">
        <f>HYPERLINK("https://www.kleinanzeigen.de/s-bestandsliste.html?userId=474763", "Link")</f>
        <v/>
      </c>
      <c r="K2730" s="7" t="n">
        <v>45547.55181712963</v>
      </c>
      <c r="L2730" s="3" t="inlineStr">
        <is>
          <t>115.59</t>
        </is>
      </c>
      <c r="M2730" t="inlineStr">
        <is>
          <t>Karlsruhe</t>
        </is>
      </c>
    </row>
    <row r="2731">
      <c r="A2731" t="inlineStr">
        <is>
          <t>Windsurf Kamera Halterung Go Pro Neopren, neue, grosses Set Kite</t>
        </is>
      </c>
      <c r="B2731" s="4" t="n">
        <v>45</v>
      </c>
      <c r="C2731" t="inlineStr"/>
      <c r="D2731" t="inlineStr">
        <is>
          <t>40221 Düsseldorf - Unterbilk</t>
        </is>
      </c>
      <c r="E2731" s="5" t="n">
        <v>45546</v>
      </c>
      <c r="F2731" t="inlineStr">
        <is>
          <t>Sold</t>
        </is>
      </c>
      <c r="G2731" s="6">
        <f>HYPERLINK("https://www.kleinanzeigen.de/s-anzeige/windsurf-kamera-halterung-go-pro-neopren-neue-grosses-set-kite/2860225434-230-29950", "Link")</f>
        <v/>
      </c>
      <c r="H2731" s="6">
        <f>HYPERLINK("C:\Projects\Kleinanzeigen-Scraper\offer_images\2860225434", "Link")</f>
        <v/>
      </c>
      <c r="I2731" t="inlineStr">
        <is>
          <t>So_oder_So</t>
        </is>
      </c>
      <c r="J2731" s="6">
        <f>HYPERLINK("https://www.kleinanzeigen.de/s-bestandsliste.html?userId=62512814", "Link")</f>
        <v/>
      </c>
      <c r="K2731" s="7" t="n">
        <v>45547.55165509259</v>
      </c>
      <c r="L2731" s="3" t="inlineStr">
        <is>
          <t>32.31</t>
        </is>
      </c>
      <c r="M2731" t="inlineStr">
        <is>
          <t>Köln</t>
        </is>
      </c>
    </row>
    <row r="2732">
      <c r="A2732" t="inlineStr">
        <is>
          <t>Dachboden Ski und windsurf</t>
        </is>
      </c>
      <c r="B2732" s="4" t="n">
        <v>299</v>
      </c>
      <c r="C2732" t="inlineStr">
        <is>
          <t>VB</t>
        </is>
      </c>
      <c r="D2732" t="inlineStr">
        <is>
          <t>64569 Hessen - Nauheim</t>
        </is>
      </c>
      <c r="E2732" s="5" t="n">
        <v>45546</v>
      </c>
      <c r="F2732" t="inlineStr">
        <is>
          <t>Sold</t>
        </is>
      </c>
      <c r="G2732" s="6">
        <f>HYPERLINK("https://www.kleinanzeigen.de/s-anzeige/dachboden-ski-und-windsurf/2860204959-230-4504", "Link")</f>
        <v/>
      </c>
      <c r="H2732" s="6">
        <f>HYPERLINK("C:\Projects\Kleinanzeigen-Scraper\offer_images\2860204959", "Link")</f>
        <v/>
      </c>
      <c r="I2732" t="inlineStr">
        <is>
          <t>Mario Schmitt</t>
        </is>
      </c>
      <c r="J2732" s="6">
        <f>HYPERLINK("https://www.kleinanzeigen.de/s-bestandsliste.html?userId=48794824", "Link")</f>
        <v/>
      </c>
      <c r="K2732" s="7" t="n">
        <v>45547.55163194444</v>
      </c>
      <c r="L2732" s="3" t="inlineStr">
        <is>
          <t>104.12</t>
        </is>
      </c>
      <c r="M2732" t="inlineStr">
        <is>
          <t>Karlsruhe</t>
        </is>
      </c>
    </row>
    <row r="2733">
      <c r="A2733" t="inlineStr">
        <is>
          <t>3010 A Playmobil windsurfer</t>
        </is>
      </c>
      <c r="B2733" s="4" t="n">
        <v>8</v>
      </c>
      <c r="C2733" t="inlineStr"/>
      <c r="D2733" t="inlineStr">
        <is>
          <t>91052 Bayern - Erlangen</t>
        </is>
      </c>
      <c r="E2733" s="5" t="n">
        <v>45545</v>
      </c>
      <c r="F2733" t="inlineStr">
        <is>
          <t>Sold</t>
        </is>
      </c>
      <c r="G2733" s="6">
        <f>HYPERLINK("https://www.kleinanzeigen.de/s-anzeige/3010-a-playmobil-windsurfer/2859036104-23-6799", "Link")</f>
        <v/>
      </c>
      <c r="H2733" s="6">
        <f>HYPERLINK("C:\Projects\Kleinanzeigen-Scraper\offer_images\2859036104", "Link")</f>
        <v/>
      </c>
      <c r="I2733" t="inlineStr">
        <is>
          <t>Leoni Mayer</t>
        </is>
      </c>
      <c r="J2733" s="6">
        <f>HYPERLINK("https://www.kleinanzeigen.de/s-bestandsliste.html?userId=9940808", "Link")</f>
        <v/>
      </c>
      <c r="K2733" s="7" t="n">
        <v>45546.57605324074</v>
      </c>
      <c r="L2733" s="3" t="inlineStr">
        <is>
          <t>166.68</t>
        </is>
      </c>
      <c r="M2733" t="inlineStr">
        <is>
          <t>München</t>
        </is>
      </c>
    </row>
    <row r="2734">
      <c r="A2734" t="inlineStr">
        <is>
          <t>Neilpryde Flight AL Windsurf Foil</t>
        </is>
      </c>
      <c r="B2734" s="4" t="n">
        <v>350</v>
      </c>
      <c r="C2734" t="inlineStr">
        <is>
          <t>VB</t>
        </is>
      </c>
      <c r="D2734" t="inlineStr">
        <is>
          <t>78315 Baden-Württemberg - Radolfzell am Bodensee</t>
        </is>
      </c>
      <c r="E2734" s="5" t="n">
        <v>45545</v>
      </c>
      <c r="F2734" t="inlineStr"/>
      <c r="G2734" s="6">
        <f>HYPERLINK("https://www.kleinanzeigen.de/s-anzeige/neilpryde-flight-al-windsurf-foil/2859871146-230-8190", "Link")</f>
        <v/>
      </c>
      <c r="H2734" s="6">
        <f>HYPERLINK("C:\Projects\Kleinanzeigen-Scraper\offer_images\2859871146", "Link")</f>
        <v/>
      </c>
      <c r="I2734" t="inlineStr">
        <is>
          <t>Matze</t>
        </is>
      </c>
      <c r="J2734" s="6">
        <f>HYPERLINK("https://www.kleinanzeigen.de/s-bestandsliste.html?userId=32267890", "Link")</f>
        <v/>
      </c>
      <c r="K2734" s="7" t="n">
        <v>45546.57603009259</v>
      </c>
      <c r="L2734" s="3" t="inlineStr">
        <is>
          <t>48.46</t>
        </is>
      </c>
      <c r="M2734" t="inlineStr">
        <is>
          <t>Bonndorf</t>
        </is>
      </c>
    </row>
    <row r="2735">
      <c r="A2735" t="inlineStr">
        <is>
          <t>Unifiber Windsurf &amp; Wing Foil Boardbag 70 X 170 CM</t>
        </is>
      </c>
      <c r="B2735" s="4" t="n">
        <v>80</v>
      </c>
      <c r="C2735" t="inlineStr">
        <is>
          <t>VB</t>
        </is>
      </c>
      <c r="D2735" t="inlineStr">
        <is>
          <t>50999 Rodenkirchen - Sürth</t>
        </is>
      </c>
      <c r="E2735" s="5" t="n">
        <v>45544</v>
      </c>
      <c r="F2735" t="inlineStr">
        <is>
          <t>Sold</t>
        </is>
      </c>
      <c r="G2735" s="6">
        <f>HYPERLINK("https://www.kleinanzeigen.de/s-anzeige/unifiber-windsurf-wing-foil-boardbag-70-x-170-cm/2858987780-230-957", "Link")</f>
        <v/>
      </c>
      <c r="H2735" s="6">
        <f>HYPERLINK("C:\Projects\Kleinanzeigen-Scraper\offer_images\2858987780", "Link")</f>
        <v/>
      </c>
      <c r="I2735" t="inlineStr">
        <is>
          <t>Katja Petersen</t>
        </is>
      </c>
      <c r="J2735" s="6">
        <f>HYPERLINK("https://www.kleinanzeigen.de/s-bestandsliste.html?userId=28967129", "Link")</f>
        <v/>
      </c>
      <c r="K2735" s="7" t="n">
        <v>45546.57579861111</v>
      </c>
      <c r="L2735" s="3" t="inlineStr">
        <is>
          <t>7.80</t>
        </is>
      </c>
      <c r="M2735" t="inlineStr">
        <is>
          <t>Köln</t>
        </is>
      </c>
    </row>
    <row r="2736">
      <c r="A2736" t="inlineStr">
        <is>
          <t>Windsurf Boardbag Pro Limit flugtauglich ca 285/65 (flacher:75cm)</t>
        </is>
      </c>
      <c r="B2736" s="4" t="n">
        <v>45</v>
      </c>
      <c r="C2736" t="inlineStr"/>
      <c r="D2736" t="inlineStr">
        <is>
          <t>40221 Düsseldorf - Unterbilk</t>
        </is>
      </c>
      <c r="E2736" s="5" t="n">
        <v>45545</v>
      </c>
      <c r="F2736" t="inlineStr">
        <is>
          <t>Sold</t>
        </is>
      </c>
      <c r="G2736" s="6">
        <f>HYPERLINK("https://www.kleinanzeigen.de/s-anzeige/windsurf-boardbag-pro-limit-flugtauglich-ca-285-65-flacher-75cm-/2859140407-230-29950", "Link")</f>
        <v/>
      </c>
      <c r="H2736" s="6">
        <f>HYPERLINK("C:\Projects\Kleinanzeigen-Scraper\offer_images\2859140407", "Link")</f>
        <v/>
      </c>
      <c r="I2736" t="inlineStr">
        <is>
          <t>So_oder_So</t>
        </is>
      </c>
      <c r="J2736" s="6">
        <f>HYPERLINK("https://www.kleinanzeigen.de/s-bestandsliste.html?userId=62512814", "Link")</f>
        <v/>
      </c>
      <c r="K2736" s="7" t="n">
        <v>45546.57570601852</v>
      </c>
      <c r="L2736" s="3" t="inlineStr">
        <is>
          <t>32.31</t>
        </is>
      </c>
      <c r="M2736" t="inlineStr">
        <is>
          <t>Köln</t>
        </is>
      </c>
    </row>
    <row r="2737">
      <c r="A2737" t="inlineStr">
        <is>
          <t>Schild Vintage "California Fanatic Windsurfing" / Windsurfer</t>
        </is>
      </c>
      <c r="B2737" s="4" t="n">
        <v>13</v>
      </c>
      <c r="C2737" t="inlineStr">
        <is>
          <t>VB</t>
        </is>
      </c>
      <c r="D2737" t="inlineStr">
        <is>
          <t>71638 Baden-Württemberg - Ludwigsburg</t>
        </is>
      </c>
      <c r="E2737" s="5" t="n">
        <v>45545</v>
      </c>
      <c r="F2737" t="inlineStr">
        <is>
          <t>Sold</t>
        </is>
      </c>
      <c r="G2737" s="6">
        <f>HYPERLINK("https://www.kleinanzeigen.de/s-anzeige/schild-vintage-california-fanatic-windsurfing-windsurfer/2859701072-230-9062", "Link")</f>
        <v/>
      </c>
      <c r="H2737" s="6">
        <f>HYPERLINK("C:\Projects\Kleinanzeigen-Scraper\offer_images\2859701072", "Link")</f>
        <v/>
      </c>
      <c r="I2737" t="inlineStr">
        <is>
          <t>CL</t>
        </is>
      </c>
      <c r="J2737" s="6">
        <f>HYPERLINK("https://www.kleinanzeigen.de/s-bestandsliste.html?userId=70355273", "Link")</f>
        <v/>
      </c>
      <c r="K2737" s="7" t="n">
        <v>45546.57556712963</v>
      </c>
      <c r="L2737" s="3" t="inlineStr">
        <is>
          <t>29.07</t>
        </is>
      </c>
      <c r="M2737" t="inlineStr">
        <is>
          <t>Böblingen</t>
        </is>
      </c>
    </row>
    <row r="2738">
      <c r="A2738" t="inlineStr">
        <is>
          <t>Windsurf-Foilflügel</t>
        </is>
      </c>
      <c r="B2738" s="4" t="n">
        <v>450</v>
      </c>
      <c r="C2738" t="inlineStr"/>
      <c r="D2738" t="inlineStr">
        <is>
          <t>80937 München - Milbertshofen - Am Hart</t>
        </is>
      </c>
      <c r="E2738" s="5" t="n">
        <v>45543</v>
      </c>
      <c r="F2738" t="inlineStr">
        <is>
          <t>Sold</t>
        </is>
      </c>
      <c r="G2738" s="6">
        <f>HYPERLINK("https://www.kleinanzeigen.de/s-anzeige/windsurf-foilfluegel/2857840710-230-6451", "Link")</f>
        <v/>
      </c>
      <c r="H2738" s="6">
        <f>HYPERLINK("C:\Projects\Kleinanzeigen-Scraper\offer_images\2857840710", "Link")</f>
        <v/>
      </c>
      <c r="I2738" t="inlineStr">
        <is>
          <t>B. Rösler</t>
        </is>
      </c>
      <c r="J2738" s="6">
        <f>HYPERLINK("https://www.kleinanzeigen.de/s-bestandsliste.html?userId=36741632", "Link")</f>
        <v/>
      </c>
      <c r="K2738" s="7" t="n">
        <v>45546.57537037037</v>
      </c>
      <c r="L2738" s="3" t="inlineStr">
        <is>
          <t>9.35</t>
        </is>
      </c>
      <c r="M2738" t="inlineStr">
        <is>
          <t>München</t>
        </is>
      </c>
    </row>
    <row r="2739">
      <c r="A2739" t="inlineStr">
        <is>
          <t>Strand-Liegestuhl Fanatic, Holz (Windsurfen, Kiten, Beach chair))</t>
        </is>
      </c>
      <c r="B2739" s="4" t="n">
        <v>60</v>
      </c>
      <c r="C2739" t="inlineStr">
        <is>
          <t>VB</t>
        </is>
      </c>
      <c r="D2739" t="inlineStr">
        <is>
          <t>41812 Nordrhein-Westfalen - Erkelenz</t>
        </is>
      </c>
      <c r="E2739" s="5" t="n">
        <v>45543</v>
      </c>
      <c r="F2739" t="inlineStr">
        <is>
          <t>Sold</t>
        </is>
      </c>
      <c r="G2739" s="6">
        <f>HYPERLINK("https://www.kleinanzeigen.de/s-anzeige/strand-liegestuhl-fanatic-holz-windsurfen-kiten-beach-chair-/2857713035-230-1202", "Link")</f>
        <v/>
      </c>
      <c r="H2739" s="6">
        <f>HYPERLINK("C:\Projects\Kleinanzeigen-Scraper\offer_images\2857713035", "Link")</f>
        <v/>
      </c>
      <c r="I2739" t="inlineStr">
        <is>
          <t>Friedrich</t>
        </is>
      </c>
      <c r="J2739" s="6">
        <f>HYPERLINK("https://www.kleinanzeigen.de/s-bestandsliste.html?userId=14596063", "Link")</f>
        <v/>
      </c>
      <c r="K2739" s="7" t="n">
        <v>45545.86165509259</v>
      </c>
      <c r="L2739" s="3" t="inlineStr">
        <is>
          <t>46.78</t>
        </is>
      </c>
      <c r="M2739" t="inlineStr">
        <is>
          <t>Köln</t>
        </is>
      </c>
    </row>
    <row r="2740">
      <c r="A2740" t="inlineStr">
        <is>
          <t>Prolimit Doppel Boardbag Windsurfen</t>
        </is>
      </c>
      <c r="B2740" s="4" t="n">
        <v>100</v>
      </c>
      <c r="C2740" t="inlineStr"/>
      <c r="D2740" t="inlineStr">
        <is>
          <t>14513 Brandenburg - Teltow</t>
        </is>
      </c>
      <c r="E2740" s="5" t="n">
        <v>45543</v>
      </c>
      <c r="F2740" t="inlineStr">
        <is>
          <t>Sold</t>
        </is>
      </c>
      <c r="G2740" s="6">
        <f>HYPERLINK("https://www.kleinanzeigen.de/s-anzeige/prolimit-doppel-boardbag-windsurfen/2857658701-230-7939", "Link")</f>
        <v/>
      </c>
      <c r="H2740" s="6">
        <f>HYPERLINK("C:\Projects\Kleinanzeigen-Scraper\offer_images\2857658701", "Link")</f>
        <v/>
      </c>
      <c r="I2740" t="inlineStr">
        <is>
          <t>Thomas</t>
        </is>
      </c>
      <c r="J2740" s="6">
        <f>HYPERLINK("https://www.kleinanzeigen.de/s-bestandsliste.html?userId=25517038", "Link")</f>
        <v/>
      </c>
      <c r="K2740" s="7" t="n">
        <v>45545.86152777778</v>
      </c>
      <c r="L2740" s="3" t="inlineStr">
        <is>
          <t>464.56</t>
        </is>
      </c>
      <c r="M2740" t="inlineStr">
        <is>
          <t>Köln</t>
        </is>
      </c>
    </row>
    <row r="2741">
      <c r="A2741" t="inlineStr">
        <is>
          <t>Playmobil Surfbrett von Set Windsurfer 3010   Ersatzteile</t>
        </is>
      </c>
      <c r="B2741" s="4" t="n">
        <v>5</v>
      </c>
      <c r="C2741" t="inlineStr"/>
      <c r="D2741" t="inlineStr">
        <is>
          <t>96472 Bayern - Rödental</t>
        </is>
      </c>
      <c r="E2741" s="5" t="n">
        <v>45542</v>
      </c>
      <c r="F2741" t="inlineStr">
        <is>
          <t>Sold</t>
        </is>
      </c>
      <c r="G2741" s="6">
        <f>HYPERLINK("https://www.kleinanzeigen.de/s-anzeige/playmobil-surfbrett-von-set-windsurfer-3010-ersatzteile/2856318622-23-6648", "Link")</f>
        <v/>
      </c>
      <c r="H2741" s="6">
        <f>HYPERLINK("C:\Projects\Kleinanzeigen-Scraper\offer_images\2856318622", "Link")</f>
        <v/>
      </c>
      <c r="I2741" t="inlineStr">
        <is>
          <t>privat</t>
        </is>
      </c>
      <c r="J2741" s="6">
        <f>HYPERLINK("https://www.kleinanzeigen.de/s-bestandsliste.html?userId=6417651", "Link")</f>
        <v/>
      </c>
      <c r="K2741" s="7" t="n">
        <v>45545.86128472222</v>
      </c>
      <c r="L2741" s="3" t="inlineStr">
        <is>
          <t>234.65</t>
        </is>
      </c>
      <c r="M2741" t="inlineStr">
        <is>
          <t>Böblingen</t>
        </is>
      </c>
    </row>
    <row r="2742">
      <c r="A2742" t="inlineStr">
        <is>
          <t>Neil Pryde Combat Pro 3,7 - 4,2 - 4,7 - 5,3</t>
        </is>
      </c>
      <c r="B2742" s="4" t="n">
        <v>1130</v>
      </c>
      <c r="C2742" t="inlineStr"/>
      <c r="D2742" t="inlineStr">
        <is>
          <t>6000 Kolding, Denmark</t>
        </is>
      </c>
      <c r="E2742" s="5" t="n">
        <v>45544</v>
      </c>
      <c r="F2742" t="inlineStr">
        <is>
          <t>Sold</t>
        </is>
      </c>
      <c r="G2742" s="6">
        <f>HYPERLINK("https://www.dailydose.de/kleinanzeigen/detail.htm?ai=422259&amp;cf=kk&amp;pg=1&amp;ci=5", "Link")</f>
        <v/>
      </c>
      <c r="H2742" s="6">
        <f>HYPERLINK("C:\Projects\Kleinanzeigen-Scraper\offer_images\422259", "Link")</f>
        <v/>
      </c>
      <c r="I2742" t="inlineStr">
        <is>
          <t>Esben Kjaer-Lauridsen</t>
        </is>
      </c>
      <c r="J2742" s="6">
        <f>HYPERLINK("https://www.dailydose.de/kleinanzeigen/user/7785", "Link")</f>
        <v/>
      </c>
      <c r="K2742" s="7" t="n">
        <v>45544.75020833333</v>
      </c>
      <c r="L2742" s="3" t="inlineStr">
        <is>
          <t>533.14</t>
        </is>
      </c>
      <c r="M2742" t="inlineStr">
        <is>
          <t>Köln</t>
        </is>
      </c>
    </row>
    <row r="2743">
      <c r="A2743" t="inlineStr">
        <is>
          <t>Boardbag Windsurfen Surfboardtasche Bag Boardtasche</t>
        </is>
      </c>
      <c r="B2743" s="4" t="n">
        <v>35</v>
      </c>
      <c r="C2743" t="inlineStr"/>
      <c r="D2743" t="inlineStr">
        <is>
          <t>45772 Nordrhein-Westfalen - Marl</t>
        </is>
      </c>
      <c r="E2743" s="5" t="n">
        <v>45544</v>
      </c>
      <c r="F2743" t="inlineStr">
        <is>
          <t>Sold</t>
        </is>
      </c>
      <c r="G2743" s="6">
        <f>HYPERLINK("https://www.kleinanzeigen.de/s-anzeige/boardbag-windsurfen-surfboardtasche-bag-boardtasche/2858342985-230-1772", "Link")</f>
        <v/>
      </c>
      <c r="H2743" s="6">
        <f>HYPERLINK("C:\Projects\Kleinanzeigen-Scraper\offer_images\2858342985", "Link")</f>
        <v/>
      </c>
      <c r="I2743" t="inlineStr">
        <is>
          <t>Matrix</t>
        </is>
      </c>
      <c r="J2743" s="6">
        <f>HYPERLINK("https://www.kleinanzeigen.de/s-bestandsliste.html?userId=89106594", "Link")</f>
        <v/>
      </c>
      <c r="K2743" s="7" t="n">
        <v>45544.74890046296</v>
      </c>
      <c r="L2743" s="3" t="inlineStr">
        <is>
          <t>84.29</t>
        </is>
      </c>
      <c r="M2743" t="inlineStr">
        <is>
          <t>Köln</t>
        </is>
      </c>
    </row>
    <row r="2744">
      <c r="A2744" t="inlineStr">
        <is>
          <t>Windsurf Sessionbag 520 von Prolimit, Race Size</t>
        </is>
      </c>
      <c r="B2744" s="4" t="n">
        <v>120</v>
      </c>
      <c r="C2744" t="inlineStr"/>
      <c r="D2744" t="inlineStr">
        <is>
          <t>80797 München - Schwabing-West</t>
        </is>
      </c>
      <c r="E2744" s="5" t="n">
        <v>45557</v>
      </c>
      <c r="F2744" t="inlineStr"/>
      <c r="G2744" s="6">
        <f>HYPERLINK("https://www.kleinanzeigen.de/s-anzeige/windsurf-sessionbag-520-von-prolimit-race-size/2852515623-230-6464", "Link")</f>
        <v/>
      </c>
      <c r="H2744" s="6">
        <f>HYPERLINK("C:\Projects\Kleinanzeigen-Scraper\offer_images\2852515623", "Link")</f>
        <v/>
      </c>
      <c r="I2744" t="inlineStr">
        <is>
          <t>Friedrich Roitzsch</t>
        </is>
      </c>
      <c r="J2744" s="6">
        <f>HYPERLINK("https://www.kleinanzeigen.de/s-bestandsliste.html?userId=12926333", "Link")</f>
        <v/>
      </c>
      <c r="K2744" s="7" t="n">
        <v>45544.74872685185</v>
      </c>
      <c r="L2744" s="3" t="inlineStr">
        <is>
          <t>3.18</t>
        </is>
      </c>
      <c r="M2744" t="inlineStr">
        <is>
          <t>München</t>
        </is>
      </c>
    </row>
    <row r="2745">
      <c r="A2745" t="inlineStr">
        <is>
          <t>Neopren Schuhe fürs Surfen/Windsurfen - gr. 44</t>
        </is>
      </c>
      <c r="B2745" s="4" t="n">
        <v>20</v>
      </c>
      <c r="C2745" t="inlineStr">
        <is>
          <t>VB</t>
        </is>
      </c>
      <c r="D2745" t="inlineStr">
        <is>
          <t>21107 Hamburg-Mitte - Hamburg Wilhelmsburg</t>
        </is>
      </c>
      <c r="E2745" s="5" t="n">
        <v>45544</v>
      </c>
      <c r="F2745" t="inlineStr">
        <is>
          <t>Sold</t>
        </is>
      </c>
      <c r="G2745" s="6">
        <f>HYPERLINK("https://www.kleinanzeigen.de/s-anzeige/neopren-schuhe-fuers-surfen-windsurfen-gr-44/2858277187-158-9441", "Link")</f>
        <v/>
      </c>
      <c r="H2745" s="6">
        <f>HYPERLINK("C:\Projects\Kleinanzeigen-Scraper\offer_images\2858277187", "Link")</f>
        <v/>
      </c>
      <c r="I2745" t="inlineStr">
        <is>
          <t>Sebastian</t>
        </is>
      </c>
      <c r="J2745" s="6">
        <f>HYPERLINK("https://www.kleinanzeigen.de/s-bestandsliste.html?userId=49923547", "Link")</f>
        <v/>
      </c>
      <c r="K2745" s="7" t="n">
        <v>45544.74871527778</v>
      </c>
      <c r="L2745" s="3" t="inlineStr">
        <is>
          <t>351.25</t>
        </is>
      </c>
      <c r="M2745" t="inlineStr">
        <is>
          <t>Köln</t>
        </is>
      </c>
    </row>
    <row r="2746">
      <c r="A2746" t="inlineStr">
        <is>
          <t>Boardbag Windsurfen 275 Techno Sport</t>
        </is>
      </c>
      <c r="B2746" s="4" t="n">
        <v>65</v>
      </c>
      <c r="C2746" t="inlineStr">
        <is>
          <t>VB</t>
        </is>
      </c>
      <c r="D2746" t="inlineStr">
        <is>
          <t>42107 Wuppertal - Elberfeld</t>
        </is>
      </c>
      <c r="E2746" s="5" t="n">
        <v>45544</v>
      </c>
      <c r="F2746" t="inlineStr">
        <is>
          <t>Sold</t>
        </is>
      </c>
      <c r="G2746" s="6">
        <f>HYPERLINK("https://www.kleinanzeigen.de/s-anzeige/boardbag-windsurfen-275-techno-sport/2858228720-230-1562", "Link")</f>
        <v/>
      </c>
      <c r="H2746" s="6">
        <f>HYPERLINK("C:\Projects\Kleinanzeigen-Scraper\offer_images\2858228720", "Link")</f>
        <v/>
      </c>
      <c r="I2746" t="inlineStr">
        <is>
          <t>Eschenbeek</t>
        </is>
      </c>
      <c r="J2746" s="6">
        <f>HYPERLINK("https://www.kleinanzeigen.de/s-bestandsliste.html?userId=13567665", "Link")</f>
        <v/>
      </c>
      <c r="K2746" s="7" t="n">
        <v>45544.74870370371</v>
      </c>
      <c r="L2746" s="3" t="inlineStr">
        <is>
          <t>38.65</t>
        </is>
      </c>
      <c r="M2746" t="inlineStr">
        <is>
          <t>Köln</t>
        </is>
      </c>
    </row>
    <row r="2747">
      <c r="A2747" t="inlineStr">
        <is>
          <t>Playmobil Surfer Windsurfer mit Motor 3584. ca. 1980</t>
        </is>
      </c>
      <c r="B2747" s="4" t="n">
        <v>10</v>
      </c>
      <c r="C2747" t="inlineStr"/>
      <c r="D2747" t="inlineStr">
        <is>
          <t>29352 Niedersachsen - Adelheidsdorf</t>
        </is>
      </c>
      <c r="E2747" s="5" t="n">
        <v>45537</v>
      </c>
      <c r="F2747" t="inlineStr">
        <is>
          <t>Sold</t>
        </is>
      </c>
      <c r="G2747" s="6">
        <f>HYPERLINK("https://www.kleinanzeigen.de/s-anzeige/playmobil-surfer-windsurfer-mit-motor-3584-ca-1980/2852533992-234-3207", "Link")</f>
        <v/>
      </c>
      <c r="H2747" s="6">
        <f>HYPERLINK("C:\Projects\Kleinanzeigen-Scraper\offer_images\2852533992", "Link")</f>
        <v/>
      </c>
      <c r="I2747" t="inlineStr">
        <is>
          <t>Frank</t>
        </is>
      </c>
      <c r="J2747" s="6">
        <f>HYPERLINK("https://www.kleinanzeigen.de/s-bestandsliste.html?userId=79250814", "Link")</f>
        <v/>
      </c>
      <c r="K2747" s="7" t="n">
        <v>45544.74842592593</v>
      </c>
      <c r="L2747" s="3" t="inlineStr">
        <is>
          <t>279.90</t>
        </is>
      </c>
      <c r="M2747" t="inlineStr">
        <is>
          <t>Köln</t>
        </is>
      </c>
    </row>
    <row r="2748">
      <c r="A2748" t="inlineStr">
        <is>
          <t>Equipment-Bag, Surftasche - Windsurfern</t>
        </is>
      </c>
      <c r="B2748" s="4" t="n">
        <v>7</v>
      </c>
      <c r="C2748" t="inlineStr"/>
      <c r="D2748" t="inlineStr">
        <is>
          <t>10557 Mitte - Tiergarten</t>
        </is>
      </c>
      <c r="E2748" s="5" t="n">
        <v>45543</v>
      </c>
      <c r="F2748" t="inlineStr">
        <is>
          <t>Sold</t>
        </is>
      </c>
      <c r="G2748" s="6">
        <f>HYPERLINK("https://www.kleinanzeigen.de/s-anzeige/equipment-bag-surftasche-windsurfern/2858104791-230-3502", "Link")</f>
        <v/>
      </c>
      <c r="H2748" s="6">
        <f>HYPERLINK("C:\Projects\Kleinanzeigen-Scraper\offer_images\2858104791", "Link")</f>
        <v/>
      </c>
      <c r="I2748" t="inlineStr">
        <is>
          <t>Fabian Becher</t>
        </is>
      </c>
      <c r="J2748" s="6">
        <f>HYPERLINK("https://www.kleinanzeigen.de/s-bestandsliste.html?userId=14821328", "Link")</f>
        <v/>
      </c>
      <c r="K2748" s="7" t="n">
        <v>45544.74836805555</v>
      </c>
      <c r="L2748" s="3" t="inlineStr">
        <is>
          <t>475.20</t>
        </is>
      </c>
      <c r="M2748" t="inlineStr">
        <is>
          <t>Köln</t>
        </is>
      </c>
    </row>
    <row r="2749">
      <c r="A2749" t="inlineStr">
        <is>
          <t>Windsurf Bag Prolimit. Max Länge 235</t>
        </is>
      </c>
      <c r="B2749" s="4" t="n">
        <v>100</v>
      </c>
      <c r="C2749" t="inlineStr">
        <is>
          <t>VB</t>
        </is>
      </c>
      <c r="D2749" t="inlineStr">
        <is>
          <t>85737 Kr. München - Ismaning</t>
        </is>
      </c>
      <c r="E2749" s="5" t="n">
        <v>45543</v>
      </c>
      <c r="F2749" t="inlineStr">
        <is>
          <t>Sold</t>
        </is>
      </c>
      <c r="G2749" s="6">
        <f>HYPERLINK("https://www.kleinanzeigen.de/s-anzeige/windsurf-bag-prolimit-max-laenge-235/2857988299-230-17192", "Link")</f>
        <v/>
      </c>
      <c r="H2749" s="6">
        <f>HYPERLINK("C:\Projects\Kleinanzeigen-Scraper\offer_images\2857988299", "Link")</f>
        <v/>
      </c>
      <c r="I2749" t="inlineStr">
        <is>
          <t>Dimitri</t>
        </is>
      </c>
      <c r="J2749" s="6">
        <f>HYPERLINK("https://www.kleinanzeigen.de/s-bestandsliste.html?userId=25455657", "Link")</f>
        <v/>
      </c>
      <c r="K2749" s="7" t="n">
        <v>45544.74826388889</v>
      </c>
      <c r="L2749" s="3" t="inlineStr">
        <is>
          <t>14.56</t>
        </is>
      </c>
      <c r="M2749" t="inlineStr">
        <is>
          <t>München</t>
        </is>
      </c>
    </row>
    <row r="2750">
      <c r="A2750" t="inlineStr">
        <is>
          <t>PAT LOVE Quiver Bag Windsurf Rigg Tasche</t>
        </is>
      </c>
      <c r="B2750" s="4" t="n">
        <v>50</v>
      </c>
      <c r="C2750" t="inlineStr"/>
      <c r="D2750" t="inlineStr">
        <is>
          <t>80802 München - Schwabing-Freimann</t>
        </is>
      </c>
      <c r="E2750" s="5" t="n">
        <v>45544</v>
      </c>
      <c r="F2750" t="inlineStr">
        <is>
          <t>Sold</t>
        </is>
      </c>
      <c r="G2750" s="6">
        <f>HYPERLINK("https://www.kleinanzeigen.de/s-anzeige/pat-love-quiver-bag-windsurf-rigg-tasche/2858666038-230-6469", "Link")</f>
        <v/>
      </c>
      <c r="H2750" s="6">
        <f>HYPERLINK("C:\Projects\Kleinanzeigen-Scraper\offer_images\2858666038", "Link")</f>
        <v/>
      </c>
      <c r="I2750" t="inlineStr">
        <is>
          <t>Michael</t>
        </is>
      </c>
      <c r="J2750" s="6">
        <f>HYPERLINK("https://www.kleinanzeigen.de/s-bestandsliste.html?userId=74666256", "Link")</f>
        <v/>
      </c>
      <c r="K2750" s="7" t="n">
        <v>45544.74818287037</v>
      </c>
      <c r="L2750" s="3" t="inlineStr">
        <is>
          <t>2.95</t>
        </is>
      </c>
      <c r="M2750" t="inlineStr">
        <is>
          <t>München</t>
        </is>
      </c>
    </row>
    <row r="2751">
      <c r="A2751" t="inlineStr">
        <is>
          <t>universal Segelbag 1,90 x 0,30</t>
        </is>
      </c>
      <c r="B2751" s="4" t="inlineStr"/>
      <c r="C2751" t="inlineStr">
        <is>
          <t>VB</t>
        </is>
      </c>
      <c r="D2751" t="inlineStr">
        <is>
          <t>Nähe Bielefeld</t>
        </is>
      </c>
      <c r="E2751" s="5" t="n">
        <v>45543</v>
      </c>
      <c r="F2751" t="inlineStr">
        <is>
          <t>Sold</t>
        </is>
      </c>
      <c r="G2751" s="6">
        <f>HYPERLINK("https://www.dailydose.de/kleinanzeigen/detail.htm?ai=422195&amp;cf=kk&amp;pg=5&amp;ci=5", "Link")</f>
        <v/>
      </c>
      <c r="H2751" s="6">
        <f>HYPERLINK("C:\Projects\Kleinanzeigen-Scraper\offer_images\422195", "Link")</f>
        <v/>
      </c>
      <c r="I2751" t="inlineStr">
        <is>
          <t>AR</t>
        </is>
      </c>
      <c r="J2751" s="6">
        <f>HYPERLINK("https://www.dailydose.de/kleinanzeigen/user/4186", "Link")</f>
        <v/>
      </c>
      <c r="K2751" s="7" t="n">
        <v>45543.5503125</v>
      </c>
      <c r="L2751" s="3" t="inlineStr">
        <is>
          <t>159.54</t>
        </is>
      </c>
      <c r="M2751" t="inlineStr">
        <is>
          <t>Köln</t>
        </is>
      </c>
    </row>
    <row r="2752">
      <c r="A2752" t="inlineStr">
        <is>
          <t>Four Dimensions DVD + Below the Surface (Bluray) - Windsurf Filme</t>
        </is>
      </c>
      <c r="B2752" s="4" t="n">
        <v>10</v>
      </c>
      <c r="C2752" t="inlineStr"/>
      <c r="D2752" t="inlineStr">
        <is>
          <t>25980 Sylt - Westerland</t>
        </is>
      </c>
      <c r="E2752" s="5" t="n">
        <v>45543</v>
      </c>
      <c r="F2752" t="inlineStr">
        <is>
          <t>Sold</t>
        </is>
      </c>
      <c r="G2752" s="6">
        <f>HYPERLINK("https://www.kleinanzeigen.de/s-anzeige/four-dimensions-dvd-below-the-surface-bluray-windsurf-filme/2857339796-79-634", "Link")</f>
        <v/>
      </c>
      <c r="H2752" s="6">
        <f>HYPERLINK("C:\Projects\Kleinanzeigen-Scraper\offer_images\2857339796", "Link")</f>
        <v/>
      </c>
      <c r="I2752" t="inlineStr">
        <is>
          <t>Jan</t>
        </is>
      </c>
      <c r="J2752" s="6">
        <f>HYPERLINK("https://www.kleinanzeigen.de/s-bestandsliste.html?userId=25803133", "Link")</f>
        <v/>
      </c>
      <c r="K2752" s="7" t="n">
        <v>45543.54925925926</v>
      </c>
      <c r="L2752" s="3" t="inlineStr">
        <is>
          <t>448.30</t>
        </is>
      </c>
      <c r="M2752" t="inlineStr">
        <is>
          <t>Köln</t>
        </is>
      </c>
    </row>
    <row r="2753">
      <c r="A2753" t="inlineStr">
        <is>
          <t>Mietwohnwagen wulfener hals Fehmarn Urlaub windsurf Ferienwohnung</t>
        </is>
      </c>
      <c r="B2753" s="4" t="n">
        <v>139</v>
      </c>
      <c r="C2753" t="inlineStr"/>
      <c r="D2753" t="inlineStr">
        <is>
          <t>23769 Kreis Ostholstein - Fehmarn</t>
        </is>
      </c>
      <c r="E2753" s="5" t="n">
        <v>45541</v>
      </c>
      <c r="F2753" t="inlineStr">
        <is>
          <t>Sold</t>
        </is>
      </c>
      <c r="G2753" s="6">
        <f>HYPERLINK("https://www.kleinanzeigen.de/s-anzeige/mietwohnwagen-wulfener-hals-fehmarn-urlaub-windsurf-ferienwohnung/2782795645-275-19951", "Link")</f>
        <v/>
      </c>
      <c r="H2753" s="6">
        <f>HYPERLINK("C:\Projects\Kleinanzeigen-Scraper\offer_images\2782795645", "Link")</f>
        <v/>
      </c>
      <c r="I2753" t="inlineStr">
        <is>
          <t>No user name</t>
        </is>
      </c>
      <c r="J2753" s="6">
        <f>HYPERLINK("https://www.kleinanzeigen.deNo user link", "Link")</f>
        <v/>
      </c>
      <c r="K2753" s="7" t="n">
        <v>45543.54913194444</v>
      </c>
      <c r="L2753" s="3" t="inlineStr">
        <is>
          <t>483.01</t>
        </is>
      </c>
      <c r="M2753" t="inlineStr">
        <is>
          <t>Köln</t>
        </is>
      </c>
    </row>
    <row r="2754">
      <c r="A2754" t="inlineStr">
        <is>
          <t>Windsurf Foil Neilpryde</t>
        </is>
      </c>
      <c r="B2754" s="4" t="n">
        <v>150</v>
      </c>
      <c r="C2754" t="inlineStr"/>
      <c r="D2754" t="inlineStr">
        <is>
          <t>24105 Schleswig-Holstein - Kiel</t>
        </is>
      </c>
      <c r="E2754" s="5" t="n">
        <v>45543</v>
      </c>
      <c r="F2754" t="inlineStr"/>
      <c r="G2754" s="6">
        <f>HYPERLINK("https://www.kleinanzeigen.de/s-anzeige/windsurf-foil-neilpryde/2857026110-230-708", "Link")</f>
        <v/>
      </c>
      <c r="H2754" s="6">
        <f>HYPERLINK("C:\Projects\Kleinanzeigen-Scraper\offer_images\2857026110", "Link")</f>
        <v/>
      </c>
      <c r="I2754" t="inlineStr">
        <is>
          <t>Daniel</t>
        </is>
      </c>
      <c r="J2754" s="6">
        <f>HYPERLINK("https://www.kleinanzeigen.de/s-bestandsliste.html?userId=68041566", "Link")</f>
        <v/>
      </c>
      <c r="K2754" s="7" t="n">
        <v>45543.54873842592</v>
      </c>
      <c r="L2754" s="3" t="inlineStr">
        <is>
          <t>435.05</t>
        </is>
      </c>
      <c r="M2754" t="inlineStr">
        <is>
          <t>Köln</t>
        </is>
      </c>
    </row>
    <row r="2755">
      <c r="A2755" t="inlineStr">
        <is>
          <t>Windsurf, Wingfoil</t>
        </is>
      </c>
      <c r="B2755" s="4" t="inlineStr"/>
      <c r="C2755" t="inlineStr">
        <is>
          <t>VB</t>
        </is>
      </c>
      <c r="D2755" t="inlineStr">
        <is>
          <t>87561 Bayern - Oberstdorf</t>
        </is>
      </c>
      <c r="E2755" s="5" t="n">
        <v>45541</v>
      </c>
      <c r="F2755" t="inlineStr">
        <is>
          <t>Sold</t>
        </is>
      </c>
      <c r="G2755" s="6">
        <f>HYPERLINK("https://www.kleinanzeigen.de/s-anzeige/windsurf-wingfoil/2855886364-230-5529", "Link")</f>
        <v/>
      </c>
      <c r="H2755" s="6">
        <f>HYPERLINK("C:\Projects\Kleinanzeigen-Scraper\offer_images\2855886364", "Link")</f>
        <v/>
      </c>
      <c r="I2755" t="inlineStr">
        <is>
          <t>Sina Vogler</t>
        </is>
      </c>
      <c r="J2755" s="6">
        <f>HYPERLINK("https://www.kleinanzeigen.de/s-bestandsliste.html?userId=66897733", "Link")</f>
        <v/>
      </c>
      <c r="K2755" s="7" t="n">
        <v>45543.54850694445</v>
      </c>
      <c r="L2755" s="3" t="inlineStr">
        <is>
          <t>128.77</t>
        </is>
      </c>
      <c r="M2755" t="inlineStr">
        <is>
          <t>München</t>
        </is>
      </c>
    </row>
    <row r="2756">
      <c r="A2756" t="inlineStr">
        <is>
          <t>Sport DVD Blu Ray Windsurfen Storm Chase Steif  Snowboard</t>
        </is>
      </c>
      <c r="B2756" s="4" t="n">
        <v>5</v>
      </c>
      <c r="C2756" t="inlineStr"/>
      <c r="D2756" t="inlineStr">
        <is>
          <t>86316 Bayern - Friedberg</t>
        </is>
      </c>
      <c r="E2756" s="5" t="n">
        <v>45539</v>
      </c>
      <c r="F2756" t="inlineStr">
        <is>
          <t>Sold</t>
        </is>
      </c>
      <c r="G2756" s="6">
        <f>HYPERLINK("https://www.kleinanzeigen.de/s-anzeige/sport-dvd-blu-ray-windsurfen-storm-chase-steif-snowboard/2854602926-79-7138", "Link")</f>
        <v/>
      </c>
      <c r="H2756" s="6">
        <f>HYPERLINK("C:\Projects\Kleinanzeigen-Scraper\offer_images\2854602926", "Link")</f>
        <v/>
      </c>
      <c r="I2756" t="inlineStr">
        <is>
          <t>Familie</t>
        </is>
      </c>
      <c r="J2756" s="6">
        <f>HYPERLINK("https://www.kleinanzeigen.de/s-bestandsliste.html?userId=143697575", "Link")</f>
        <v/>
      </c>
      <c r="K2756" s="7" t="n">
        <v>45542.77979166667</v>
      </c>
      <c r="L2756" s="3" t="inlineStr">
        <is>
          <t>47.95</t>
        </is>
      </c>
      <c r="M2756" t="inlineStr">
        <is>
          <t>München</t>
        </is>
      </c>
    </row>
    <row r="2757">
      <c r="A2757" t="inlineStr">
        <is>
          <t>Bücher Surfen Surfing Windsurfen Funboard Lernen Tricks Technik..</t>
        </is>
      </c>
      <c r="B2757" s="4" t="n">
        <v>15</v>
      </c>
      <c r="C2757" t="inlineStr">
        <is>
          <t>VB</t>
        </is>
      </c>
      <c r="D2757" t="inlineStr">
        <is>
          <t>72406 Baden-Württemberg - Bisingen</t>
        </is>
      </c>
      <c r="E2757" s="5" t="n">
        <v>45538</v>
      </c>
      <c r="F2757" t="inlineStr">
        <is>
          <t>Sold</t>
        </is>
      </c>
      <c r="G2757" s="6">
        <f>HYPERLINK("https://www.kleinanzeigen.de/s-anzeige/buecher-surfen-surfing-windsurfen-funboard-lernen-tricks-technik-/2853660404-76-8094", "Link")</f>
        <v/>
      </c>
      <c r="H2757" s="6">
        <f>HYPERLINK("C:\Projects\Kleinanzeigen-Scraper\offer_images\2853660404", "Link")</f>
        <v/>
      </c>
      <c r="I2757" t="inlineStr">
        <is>
          <t>Dr. Onjak</t>
        </is>
      </c>
      <c r="J2757" s="6">
        <f>HYPERLINK("https://www.kleinanzeigen.de/s-bestandsliste.html?userId=28978021", "Link")</f>
        <v/>
      </c>
      <c r="K2757" s="7" t="n">
        <v>45542.77931712963</v>
      </c>
      <c r="L2757" s="3" t="inlineStr">
        <is>
          <t>41.78</t>
        </is>
      </c>
      <c r="M2757" t="inlineStr">
        <is>
          <t>Böblingen</t>
        </is>
      </c>
    </row>
    <row r="2758">
      <c r="A2758" t="inlineStr">
        <is>
          <t>Surftasche Masttasche Windsurfen</t>
        </is>
      </c>
      <c r="B2758" s="4" t="n">
        <v>30</v>
      </c>
      <c r="C2758" t="inlineStr"/>
      <c r="D2758" t="inlineStr">
        <is>
          <t>69190 Baden-Württemberg - Walldorf</t>
        </is>
      </c>
      <c r="E2758" s="5" t="n">
        <v>45541</v>
      </c>
      <c r="F2758" t="inlineStr">
        <is>
          <t>Sold</t>
        </is>
      </c>
      <c r="G2758" s="6">
        <f>HYPERLINK("https://www.kleinanzeigen.de/s-anzeige/surftasche-masttasche-windsurfen/2855618535-230-8260", "Link")</f>
        <v/>
      </c>
      <c r="H2758" s="6">
        <f>HYPERLINK("C:\Projects\Kleinanzeigen-Scraper\offer_images\2855618535", "Link")</f>
        <v/>
      </c>
      <c r="I2758" t="inlineStr">
        <is>
          <t>Alex</t>
        </is>
      </c>
      <c r="J2758" s="6">
        <f>HYPERLINK("https://www.kleinanzeigen.de/s-bestandsliste.html?userId=22525906", "Link")</f>
        <v/>
      </c>
      <c r="K2758" s="7" t="n">
        <v>45541.56715277778</v>
      </c>
      <c r="L2758" s="3" t="inlineStr">
        <is>
          <t>36.84</t>
        </is>
      </c>
      <c r="M2758" t="inlineStr">
        <is>
          <t>Karlsruhe</t>
        </is>
      </c>
    </row>
    <row r="2759">
      <c r="A2759" t="inlineStr">
        <is>
          <t>Kitehelm Helm Kite Windsurfen Schutzhelm</t>
        </is>
      </c>
      <c r="B2759" s="4" t="n">
        <v>12</v>
      </c>
      <c r="C2759" t="inlineStr">
        <is>
          <t>VB</t>
        </is>
      </c>
      <c r="D2759" t="inlineStr">
        <is>
          <t>24105 Schleswig-Holstein - Kiel</t>
        </is>
      </c>
      <c r="E2759" s="5" t="n">
        <v>45540</v>
      </c>
      <c r="F2759" t="inlineStr">
        <is>
          <t>Sold</t>
        </is>
      </c>
      <c r="G2759" s="6">
        <f>HYPERLINK("https://www.kleinanzeigen.de/s-anzeige/kitehelm-helm-kite-windsurfen-schutzhelm/2854947487-230-708", "Link")</f>
        <v/>
      </c>
      <c r="H2759" s="6">
        <f>HYPERLINK("C:\Projects\Kleinanzeigen-Scraper\offer_images\2854947487", "Link")</f>
        <v/>
      </c>
      <c r="I2759" t="inlineStr">
        <is>
          <t>Inka</t>
        </is>
      </c>
      <c r="J2759" s="6">
        <f>HYPERLINK("https://www.kleinanzeigen.de/s-bestandsliste.html?userId=3901718", "Link")</f>
        <v/>
      </c>
      <c r="K2759" s="7" t="n">
        <v>45541.56653935185</v>
      </c>
      <c r="L2759" s="3" t="inlineStr">
        <is>
          <t>435.05</t>
        </is>
      </c>
      <c r="M2759" t="inlineStr">
        <is>
          <t>Köln</t>
        </is>
      </c>
    </row>
    <row r="2760">
      <c r="A2760" t="inlineStr">
        <is>
          <t>JP Freestyle Wave 104 ES</t>
        </is>
      </c>
      <c r="B2760" s="4" t="n">
        <v>599</v>
      </c>
      <c r="C2760" t="inlineStr">
        <is>
          <t>VB</t>
        </is>
      </c>
      <c r="D2760" t="inlineStr">
        <is>
          <t>21640 Horneburg</t>
        </is>
      </c>
      <c r="E2760" s="5" t="n">
        <v>45539</v>
      </c>
      <c r="F2760" t="inlineStr">
        <is>
          <t>Sold</t>
        </is>
      </c>
      <c r="G2760" s="6">
        <f>HYPERLINK("https://www.dailydose.de/kleinanzeigen/detail.htm?ai=422045&amp;cf=kk&amp;pg=5&amp;ci=11", "Link")</f>
        <v/>
      </c>
      <c r="H2760" s="6">
        <f>HYPERLINK("C:\Projects\Kleinanzeigen-Scraper\offer_images\422045", "Link")</f>
        <v/>
      </c>
      <c r="I2760" t="inlineStr">
        <is>
          <t>Ken_38</t>
        </is>
      </c>
      <c r="J2760" s="6">
        <f>HYPERLINK("https://www.dailydose.de/kleinanzeigen/user/13303", "Link")</f>
        <v/>
      </c>
      <c r="K2760" s="7" t="n">
        <v>45540.5684375</v>
      </c>
      <c r="L2760" s="3" t="inlineStr">
        <is>
          <t>337.05</t>
        </is>
      </c>
      <c r="M2760" t="inlineStr">
        <is>
          <t>Köln</t>
        </is>
      </c>
    </row>
    <row r="2761">
      <c r="A2761" t="inlineStr">
        <is>
          <t>RRD Freestyle Wave LTD Y25 2020  114l</t>
        </is>
      </c>
      <c r="B2761" s="4" t="n">
        <v>500</v>
      </c>
      <c r="C2761" t="inlineStr">
        <is>
          <t>VB</t>
        </is>
      </c>
      <c r="D2761" t="inlineStr">
        <is>
          <t>85617 Aßling</t>
        </is>
      </c>
      <c r="E2761" s="5" t="n">
        <v>45539</v>
      </c>
      <c r="F2761" t="inlineStr">
        <is>
          <t>Sold</t>
        </is>
      </c>
      <c r="G2761" s="6">
        <f>HYPERLINK("https://www.dailydose.de/kleinanzeigen/detail.htm?ai=422030&amp;cf=kk&amp;pg=1&amp;ci=11", "Link")</f>
        <v/>
      </c>
      <c r="H2761" s="6">
        <f>HYPERLINK("C:\Projects\Kleinanzeigen-Scraper\offer_images\422030", "Link")</f>
        <v/>
      </c>
      <c r="I2761" t="inlineStr">
        <is>
          <t>Peter_60</t>
        </is>
      </c>
      <c r="J2761" s="6">
        <f>HYPERLINK("https://www.dailydose.de/kleinanzeigen/user/18982", "Link")</f>
        <v/>
      </c>
      <c r="K2761" s="7" t="n">
        <v>45540.56842592593</v>
      </c>
      <c r="L2761" s="3" t="inlineStr">
        <is>
          <t>35.91</t>
        </is>
      </c>
      <c r="M2761" t="inlineStr">
        <is>
          <t>München</t>
        </is>
      </c>
    </row>
    <row r="2762">
      <c r="A2762" t="inlineStr">
        <is>
          <t>RRD Hardcore Wave in 76 l - Singlefin - US BOX</t>
        </is>
      </c>
      <c r="B2762" s="4" t="n">
        <v>350</v>
      </c>
      <c r="C2762" t="inlineStr">
        <is>
          <t>VB</t>
        </is>
      </c>
      <c r="D2762" t="inlineStr">
        <is>
          <t>23568 Lübeck</t>
        </is>
      </c>
      <c r="E2762" s="5" t="n">
        <v>45539</v>
      </c>
      <c r="F2762" t="inlineStr">
        <is>
          <t>Sold</t>
        </is>
      </c>
      <c r="G2762" s="6">
        <f>HYPERLINK("https://www.dailydose.de/kleinanzeigen/detail.htm?ai=422042&amp;cf=kk&amp;pg=5&amp;ci=11", "Link")</f>
        <v/>
      </c>
      <c r="H2762" s="6">
        <f>HYPERLINK("C:\Projects\Kleinanzeigen-Scraper\offer_images\422042", "Link")</f>
        <v/>
      </c>
      <c r="I2762" t="inlineStr">
        <is>
          <t>Lasse_130</t>
        </is>
      </c>
      <c r="J2762" s="6">
        <f>HYPERLINK("https://www.dailydose.de/kleinanzeigen/user/14114", "Link")</f>
        <v/>
      </c>
      <c r="K2762" s="7" t="n">
        <v>45540.56833333334</v>
      </c>
      <c r="L2762" s="3" t="inlineStr">
        <is>
          <t>418.25</t>
        </is>
      </c>
      <c r="M2762" t="inlineStr">
        <is>
          <t>Köln</t>
        </is>
      </c>
    </row>
    <row r="2763">
      <c r="A2763" t="inlineStr">
        <is>
          <t>117L Future Fly Dark Horse 2023 (GEBRAUCHT)</t>
        </is>
      </c>
      <c r="B2763" s="4" t="n">
        <v>1600</v>
      </c>
      <c r="C2763" t="inlineStr"/>
      <c r="D2763" t="inlineStr">
        <is>
          <t>04416 Markkleeberg</t>
        </is>
      </c>
      <c r="E2763" s="5" t="n">
        <v>45539</v>
      </c>
      <c r="F2763" t="inlineStr">
        <is>
          <t>Sold</t>
        </is>
      </c>
      <c r="G2763" s="6">
        <f>HYPERLINK("https://www.dailydose.de/kleinanzeigen/detail.htm?ai=422035&amp;cf=kk&amp;pg=5&amp;ci=11", "Link")</f>
        <v/>
      </c>
      <c r="H2763" s="6">
        <f>HYPERLINK("C:\Projects\Kleinanzeigen-Scraper\offer_images\422035", "Link")</f>
        <v/>
      </c>
      <c r="I2763" t="inlineStr">
        <is>
          <t>Mario K</t>
        </is>
      </c>
      <c r="J2763" s="6">
        <f>HYPERLINK("https://www.dailydose.de/kleinanzeigen/user/15582", "Link")</f>
        <v/>
      </c>
      <c r="K2763" s="7" t="n">
        <v>45540.56826388889</v>
      </c>
      <c r="L2763" s="3" t="inlineStr">
        <is>
          <t>353.27</t>
        </is>
      </c>
      <c r="M2763" t="inlineStr">
        <is>
          <t>München</t>
        </is>
      </c>
    </row>
    <row r="2764">
      <c r="A2764" t="inlineStr">
        <is>
          <t>JP Freek 95</t>
        </is>
      </c>
      <c r="B2764" s="4" t="n">
        <v>690</v>
      </c>
      <c r="C2764" t="inlineStr"/>
      <c r="D2764" t="inlineStr">
        <is>
          <t>63843 Niedernberg</t>
        </is>
      </c>
      <c r="E2764" s="5" t="n">
        <v>45539</v>
      </c>
      <c r="F2764" t="inlineStr">
        <is>
          <t>Sold</t>
        </is>
      </c>
      <c r="G2764" s="6">
        <f>HYPERLINK("https://www.dailydose.de/kleinanzeigen/detail.htm?ai=422048&amp;cf=kk&amp;pg=5&amp;ci=11", "Link")</f>
        <v/>
      </c>
      <c r="H2764" s="6">
        <f>HYPERLINK("C:\Projects\Kleinanzeigen-Scraper\offer_images\422048", "Link")</f>
        <v/>
      </c>
      <c r="I2764" t="inlineStr">
        <is>
          <t>Jan_61</t>
        </is>
      </c>
      <c r="J2764" s="6">
        <f>HYPERLINK("https://www.dailydose.de/kleinanzeigen/user/19223", "Link")</f>
        <v/>
      </c>
      <c r="K2764" s="7" t="n">
        <v>45540.56759259259</v>
      </c>
      <c r="L2764" s="3" t="inlineStr">
        <is>
          <t>112.64</t>
        </is>
      </c>
      <c r="M2764" t="inlineStr">
        <is>
          <t>Karlsruhe</t>
        </is>
      </c>
    </row>
    <row r="2765">
      <c r="A2765" t="inlineStr">
        <is>
          <t>Ezzy Infinity 7,5</t>
        </is>
      </c>
      <c r="B2765" s="4" t="n">
        <v>250</v>
      </c>
      <c r="C2765" t="inlineStr">
        <is>
          <t>VB</t>
        </is>
      </c>
      <c r="D2765" t="inlineStr">
        <is>
          <t>25364 Westerhorn  oder Meldorf</t>
        </is>
      </c>
      <c r="E2765" s="5" t="n">
        <v>45539</v>
      </c>
      <c r="F2765" t="inlineStr">
        <is>
          <t>Sold</t>
        </is>
      </c>
      <c r="G2765" s="6">
        <f>HYPERLINK("https://www.dailydose.de/kleinanzeigen/detail.htm?ai=422043&amp;cf=kk&amp;pg=5&amp;ci=5", "Link")</f>
        <v/>
      </c>
      <c r="H2765" s="6">
        <f>HYPERLINK("C:\Projects\Kleinanzeigen-Scraper\offer_images\422043", "Link")</f>
        <v/>
      </c>
      <c r="I2765" t="inlineStr">
        <is>
          <t>jeppy2007</t>
        </is>
      </c>
      <c r="J2765" s="6">
        <f>HYPERLINK("https://www.dailydose.de/kleinanzeigen/user/26357", "Link")</f>
        <v/>
      </c>
      <c r="K2765" s="7" t="n">
        <v>45540.56708333334</v>
      </c>
      <c r="L2765" s="3" t="inlineStr">
        <is>
          <t>374.13</t>
        </is>
      </c>
      <c r="M2765" t="inlineStr">
        <is>
          <t>Köln</t>
        </is>
      </c>
    </row>
    <row r="2766">
      <c r="A2766" t="inlineStr">
        <is>
          <t>F2 Spice 106 Freewave</t>
        </is>
      </c>
      <c r="B2766" s="4" t="n">
        <v>190</v>
      </c>
      <c r="C2766" t="inlineStr"/>
      <c r="D2766" t="inlineStr">
        <is>
          <t>78467 / 73630 Konstanz / Remshalden</t>
        </is>
      </c>
      <c r="E2766" s="5" t="n">
        <v>45540</v>
      </c>
      <c r="F2766" t="inlineStr">
        <is>
          <t>Sold</t>
        </is>
      </c>
      <c r="G2766" s="6">
        <f>HYPERLINK("https://www.dailydose.de/kleinanzeigen/detail.htm?ai=422059&amp;cf=kk&amp;pg=5&amp;ci=11", "Link")</f>
        <v/>
      </c>
      <c r="H2766" s="6">
        <f>HYPERLINK("C:\Projects\Kleinanzeigen-Scraper\offer_images\422059", "Link")</f>
        <v/>
      </c>
      <c r="I2766" t="inlineStr">
        <is>
          <t>Janis_143</t>
        </is>
      </c>
      <c r="J2766" s="6">
        <f>HYPERLINK("https://www.dailydose.de/kleinanzeigen/user/11735", "Link")</f>
        <v/>
      </c>
      <c r="K2766" s="7" t="n">
        <v>45540.56708333334</v>
      </c>
      <c r="L2766" s="3" t="inlineStr">
        <is>
          <t>62.51</t>
        </is>
      </c>
      <c r="M2766" t="inlineStr">
        <is>
          <t>Bonndorf</t>
        </is>
      </c>
    </row>
    <row r="2767">
      <c r="A2767" t="inlineStr">
        <is>
          <t>UNIFIBER RDM C60 4.00 Hard Top</t>
        </is>
      </c>
      <c r="B2767" s="4" t="n">
        <v>135</v>
      </c>
      <c r="C2767" t="inlineStr">
        <is>
          <t>VB</t>
        </is>
      </c>
      <c r="D2767" t="inlineStr">
        <is>
          <t>82549 Königsdorf</t>
        </is>
      </c>
      <c r="E2767" s="5" t="n">
        <v>45540</v>
      </c>
      <c r="F2767" t="inlineStr"/>
      <c r="G2767" s="6">
        <f>HYPERLINK("https://www.dailydose.de/kleinanzeigen/detail.htm?ai=422068&amp;cf=kk&amp;pg=3&amp;ci=2", "Link")</f>
        <v/>
      </c>
      <c r="H2767" s="6">
        <f>HYPERLINK("C:\Projects\Kleinanzeigen-Scraper\offer_images\422068", "Link")</f>
        <v/>
      </c>
      <c r="I2767" t="inlineStr">
        <is>
          <t>Tom_64</t>
        </is>
      </c>
      <c r="J2767" s="6">
        <f>HYPERLINK("https://www.dailydose.de/kleinanzeigen/user/23955", "Link")</f>
        <v/>
      </c>
      <c r="K2767" s="7" t="n">
        <v>45540.56697916667</v>
      </c>
      <c r="L2767" s="3" t="inlineStr">
        <is>
          <t>36.23</t>
        </is>
      </c>
      <c r="M2767" t="inlineStr">
        <is>
          <t>München</t>
        </is>
      </c>
    </row>
    <row r="2768">
      <c r="A2768" t="inlineStr">
        <is>
          <t>Neilpryde X6 140-190 und 180-230 Hybrid Carbon Gabelbäume</t>
        </is>
      </c>
      <c r="B2768" s="4" t="n">
        <v>135</v>
      </c>
      <c r="C2768" t="inlineStr">
        <is>
          <t>VB</t>
        </is>
      </c>
      <c r="D2768" t="inlineStr">
        <is>
          <t>82549 Königsdorf</t>
        </is>
      </c>
      <c r="E2768" s="5" t="n">
        <v>45539</v>
      </c>
      <c r="F2768" t="inlineStr"/>
      <c r="G2768" s="6">
        <f>HYPERLINK("https://www.dailydose.de/kleinanzeigen/detail.htm?ai=422053&amp;cf=kk&amp;pg=2&amp;ci=13", "Link")</f>
        <v/>
      </c>
      <c r="H2768" s="6">
        <f>HYPERLINK("C:\Projects\Kleinanzeigen-Scraper\offer_images\422053", "Link")</f>
        <v/>
      </c>
      <c r="I2768" t="inlineStr">
        <is>
          <t>Tom_64</t>
        </is>
      </c>
      <c r="J2768" s="6">
        <f>HYPERLINK("https://www.dailydose.de/kleinanzeigen/user/23955", "Link")</f>
        <v/>
      </c>
      <c r="K2768" s="7" t="n">
        <v>45540.56680555556</v>
      </c>
      <c r="L2768" s="3" t="inlineStr">
        <is>
          <t>36.23</t>
        </is>
      </c>
      <c r="M2768" t="inlineStr">
        <is>
          <t>München</t>
        </is>
      </c>
    </row>
    <row r="2769">
      <c r="A2769" t="inlineStr">
        <is>
          <t>JP Freestyle Wave 104 ES</t>
        </is>
      </c>
      <c r="B2769" s="4" t="n">
        <v>599</v>
      </c>
      <c r="C2769" t="inlineStr">
        <is>
          <t>VB</t>
        </is>
      </c>
      <c r="D2769" t="inlineStr">
        <is>
          <t>21640 Horneburg</t>
        </is>
      </c>
      <c r="E2769" s="5" t="n">
        <v>45539</v>
      </c>
      <c r="F2769" t="inlineStr">
        <is>
          <t>Sold</t>
        </is>
      </c>
      <c r="G2769" s="6">
        <f>HYPERLINK("https://www.dailydose.de/kleinanzeigen/detail.htm?ai=422046&amp;cf=kk&amp;pg=5&amp;ci=11", "Link")</f>
        <v/>
      </c>
      <c r="H2769" s="6">
        <f>HYPERLINK("C:\Projects\Kleinanzeigen-Scraper\offer_images\422046", "Link")</f>
        <v/>
      </c>
      <c r="I2769" t="inlineStr">
        <is>
          <t>Ken_38</t>
        </is>
      </c>
      <c r="J2769" s="6">
        <f>HYPERLINK("https://www.dailydose.de/kleinanzeigen/user/13303", "Link")</f>
        <v/>
      </c>
      <c r="K2769" s="7" t="n">
        <v>45540.5667824074</v>
      </c>
      <c r="L2769" s="3" t="inlineStr">
        <is>
          <t>337.05</t>
        </is>
      </c>
      <c r="M2769" t="inlineStr">
        <is>
          <t>Köln</t>
        </is>
      </c>
    </row>
    <row r="2770">
      <c r="A2770" t="inlineStr">
        <is>
          <t>Naish  Hookipa Quad 2024, 88 Liter</t>
        </is>
      </c>
      <c r="B2770" s="4" t="n">
        <v>1999</v>
      </c>
      <c r="C2770" t="inlineStr"/>
      <c r="D2770" t="inlineStr">
        <is>
          <t>18435 Stralsund</t>
        </is>
      </c>
      <c r="E2770" s="5" t="n">
        <v>45539</v>
      </c>
      <c r="F2770" t="inlineStr">
        <is>
          <t>Sold</t>
        </is>
      </c>
      <c r="G2770" s="6">
        <f>HYPERLINK("https://www.dailydose.de/kleinanzeigen/detail.htm?ai=422031&amp;cf=kk&amp;pg=5&amp;ci=11", "Link")</f>
        <v/>
      </c>
      <c r="H2770" s="6">
        <f>HYPERLINK("C:\Projects\Kleinanzeigen-Scraper\offer_images\422031", "Link")</f>
        <v/>
      </c>
      <c r="I2770" t="inlineStr">
        <is>
          <t>stephan_31</t>
        </is>
      </c>
      <c r="J2770" s="6">
        <f>HYPERLINK("https://www.dailydose.de/kleinanzeigen/user/22409", "Link")</f>
        <v/>
      </c>
      <c r="K2770" s="7" t="n">
        <v>45540.56671296297</v>
      </c>
      <c r="L2770" s="3" t="inlineStr">
        <is>
          <t>558.68</t>
        </is>
      </c>
      <c r="M2770" t="inlineStr">
        <is>
          <t>Köln</t>
        </is>
      </c>
    </row>
    <row r="2771">
      <c r="A2771" t="inlineStr">
        <is>
          <t>Windsurfer Ersatzteile für ältere Surf - Boards Bj. 1979- 2000</t>
        </is>
      </c>
      <c r="B2771" s="4" t="n">
        <v>29</v>
      </c>
      <c r="C2771" t="inlineStr">
        <is>
          <t>VB</t>
        </is>
      </c>
      <c r="D2771" t="inlineStr">
        <is>
          <t>37124 Niedersachsen - Rosdorf</t>
        </is>
      </c>
      <c r="E2771" s="5" t="n">
        <v>45560</v>
      </c>
      <c r="F2771" t="inlineStr"/>
      <c r="G2771" s="6">
        <f>HYPERLINK("https://www.kleinanzeigen.de/s-anzeige/windsurfer-ersatzteile-fuer-aeltere-surf-boards-bj-1979-2000/1486718533-230-3133", "Link")</f>
        <v/>
      </c>
      <c r="H2771" s="6">
        <f>HYPERLINK("C:\Projects\Kleinanzeigen-Scraper\offer_images\1486718533", "Link")</f>
        <v/>
      </c>
      <c r="I2771" t="inlineStr">
        <is>
          <t>No user name</t>
        </is>
      </c>
      <c r="J2771" s="6">
        <f>HYPERLINK("https://www.kleinanzeigen.deNo user link", "Link")</f>
        <v/>
      </c>
      <c r="K2771" s="7" t="n">
        <v>45540.56425925926</v>
      </c>
      <c r="L2771" s="3" t="inlineStr">
        <is>
          <t>214.72</t>
        </is>
      </c>
      <c r="M2771" t="inlineStr">
        <is>
          <t>Köln</t>
        </is>
      </c>
    </row>
    <row r="2772">
      <c r="A2772" t="inlineStr">
        <is>
          <t>Lehrbuch Windsurfen ( Windsurfsegel Segel Mast Gabelbaum</t>
        </is>
      </c>
      <c r="B2772" s="4" t="n">
        <v>6</v>
      </c>
      <c r="C2772" t="inlineStr"/>
      <c r="D2772" t="inlineStr">
        <is>
          <t>20253 Eimsbüttel - Hamburg Eimsbüttel (Stadtteil)</t>
        </is>
      </c>
      <c r="E2772" s="5" t="n">
        <v>45540</v>
      </c>
      <c r="F2772" t="inlineStr">
        <is>
          <t>Sold</t>
        </is>
      </c>
      <c r="G2772" s="6">
        <f>HYPERLINK("https://www.kleinanzeigen.de/s-anzeige/lehrbuch-windsurfen-windsurfsegel-segel-mast-gabelbaum/2854791229-230-9430", "Link")</f>
        <v/>
      </c>
      <c r="H2772" s="6">
        <f>HYPERLINK("C:\Projects\Kleinanzeigen-Scraper\offer_images\2854791229", "Link")</f>
        <v/>
      </c>
      <c r="I2772" t="inlineStr">
        <is>
          <t>FiMe</t>
        </is>
      </c>
      <c r="J2772" s="6">
        <f>HYPERLINK("https://www.kleinanzeigen.de/s-bestandsliste.html?userId=447739", "Link")</f>
        <v/>
      </c>
      <c r="K2772" s="7" t="n">
        <v>45540.56420138889</v>
      </c>
      <c r="L2772" s="3" t="inlineStr">
        <is>
          <t>357.98</t>
        </is>
      </c>
      <c r="M2772" t="inlineStr">
        <is>
          <t>Köln</t>
        </is>
      </c>
    </row>
    <row r="2773">
      <c r="A2773" t="inlineStr">
        <is>
          <t>Windsurf- SUP- Schwimmweste Gr.L/ XL</t>
        </is>
      </c>
      <c r="B2773" s="4" t="n">
        <v>30</v>
      </c>
      <c r="C2773" t="inlineStr">
        <is>
          <t>VB</t>
        </is>
      </c>
      <c r="D2773" t="inlineStr">
        <is>
          <t>72622 Baden-Württemberg - Nürtingen</t>
        </is>
      </c>
      <c r="E2773" s="5" t="n">
        <v>45538</v>
      </c>
      <c r="F2773" t="inlineStr">
        <is>
          <t>Sold</t>
        </is>
      </c>
      <c r="G2773" s="6">
        <f>HYPERLINK("https://www.kleinanzeigen.de/s-anzeige/windsurf-sup-schwimmweste-gr-l-xl/2853554756-230-8219", "Link")</f>
        <v/>
      </c>
      <c r="H2773" s="6">
        <f>HYPERLINK("C:\Projects\Kleinanzeigen-Scraper\offer_images\2853554756", "Link")</f>
        <v/>
      </c>
      <c r="I2773" t="inlineStr">
        <is>
          <t>Berger Jens</t>
        </is>
      </c>
      <c r="J2773" s="6">
        <f>HYPERLINK("https://www.kleinanzeigen.de/s-bestandsliste.html?userId=15554123", "Link")</f>
        <v/>
      </c>
      <c r="K2773" s="7" t="n">
        <v>45540.56410879629</v>
      </c>
      <c r="L2773" s="3" t="inlineStr">
        <is>
          <t>26.22</t>
        </is>
      </c>
      <c r="M2773" t="inlineStr">
        <is>
          <t>Böblingen</t>
        </is>
      </c>
    </row>
    <row r="2774">
      <c r="A2774" t="inlineStr">
        <is>
          <t>Mystic Poncho Jacquard 2024 BOHO Windsurf Wing Surfen Kite</t>
        </is>
      </c>
      <c r="B2774" s="4" t="n">
        <v>99</v>
      </c>
      <c r="C2774" t="inlineStr"/>
      <c r="D2774" t="inlineStr">
        <is>
          <t>82319 Bayern - Starnberg</t>
        </is>
      </c>
      <c r="E2774" s="5" t="n">
        <v>45536</v>
      </c>
      <c r="F2774" t="inlineStr">
        <is>
          <t>Sold</t>
        </is>
      </c>
      <c r="G2774" s="6">
        <f>HYPERLINK("https://www.kleinanzeigen.de/s-anzeige/mystic-poncho-jacquard-2024-boho-windsurf-wing-surfen-kite/2752490094-230-5525", "Link")</f>
        <v/>
      </c>
      <c r="H2774" s="6">
        <f>HYPERLINK("C:\Projects\Kleinanzeigen-Scraper\offer_images\2752490094", "Link")</f>
        <v/>
      </c>
      <c r="I2774" t="inlineStr">
        <is>
          <t>No user name</t>
        </is>
      </c>
      <c r="J2774" s="6">
        <f>HYPERLINK("https://www.kleinanzeigen.deNo user link", "Link")</f>
        <v/>
      </c>
      <c r="K2774" s="7" t="n">
        <v>45540.56408564815</v>
      </c>
      <c r="L2774" s="3" t="inlineStr">
        <is>
          <t>23.17</t>
        </is>
      </c>
      <c r="M2774" t="inlineStr">
        <is>
          <t>München</t>
        </is>
      </c>
    </row>
    <row r="2775">
      <c r="A2775" t="inlineStr">
        <is>
          <t>Boardbag / Surf Tasche / Windsurf Travelbag</t>
        </is>
      </c>
      <c r="B2775" s="4" t="n">
        <v>50</v>
      </c>
      <c r="C2775" t="inlineStr">
        <is>
          <t>VB</t>
        </is>
      </c>
      <c r="D2775" t="inlineStr">
        <is>
          <t>78224 Baden-Württemberg - Singen</t>
        </is>
      </c>
      <c r="E2775" s="5" t="n">
        <v>45540</v>
      </c>
      <c r="F2775" t="inlineStr">
        <is>
          <t>Sold</t>
        </is>
      </c>
      <c r="G2775" s="6">
        <f>HYPERLINK("https://www.kleinanzeigen.de/s-anzeige/boardbag-surf-tasche-windsurf-travelbag/2854806015-230-9397", "Link")</f>
        <v/>
      </c>
      <c r="H2775" s="6">
        <f>HYPERLINK("C:\Projects\Kleinanzeigen-Scraper\offer_images\2854806015", "Link")</f>
        <v/>
      </c>
      <c r="I2775" t="inlineStr">
        <is>
          <t>Hannes Knab</t>
        </is>
      </c>
      <c r="J2775" s="6">
        <f>HYPERLINK("https://www.kleinanzeigen.de/s-bestandsliste.html?userId=11710147", "Link")</f>
        <v/>
      </c>
      <c r="K2775" s="7" t="n">
        <v>45540.56394675926</v>
      </c>
      <c r="L2775" s="3" t="inlineStr">
        <is>
          <t>40.33</t>
        </is>
      </c>
      <c r="M2775" t="inlineStr">
        <is>
          <t>Bonndorf</t>
        </is>
      </c>
    </row>
    <row r="2776">
      <c r="A2776" t="inlineStr">
        <is>
          <t>Bag Prolimit Windsurfen  260 x 60 cm</t>
        </is>
      </c>
      <c r="B2776" s="4" t="n">
        <v>50</v>
      </c>
      <c r="C2776" t="inlineStr"/>
      <c r="D2776" t="inlineStr">
        <is>
          <t>85586 Bayern - Poing</t>
        </is>
      </c>
      <c r="E2776" s="5" t="n">
        <v>45538</v>
      </c>
      <c r="F2776" t="inlineStr">
        <is>
          <t>Sold</t>
        </is>
      </c>
      <c r="G2776" s="6">
        <f>HYPERLINK("https://www.kleinanzeigen.de/s-anzeige/bag-prolimit-windsurfen-260-x-60-cm/2853582252-230-5579", "Link")</f>
        <v/>
      </c>
      <c r="H2776" s="6">
        <f>HYPERLINK("C:\Projects\Kleinanzeigen-Scraper\offer_images\2853582252", "Link")</f>
        <v/>
      </c>
      <c r="I2776" t="inlineStr">
        <is>
          <t>Lars</t>
        </is>
      </c>
      <c r="J2776" s="6">
        <f>HYPERLINK("https://www.kleinanzeigen.de/s-bestandsliste.html?userId=84093014", "Link")</f>
        <v/>
      </c>
      <c r="K2776" s="7" t="n">
        <v>45540.56355324074</v>
      </c>
      <c r="L2776" s="3" t="inlineStr">
        <is>
          <t>17.56</t>
        </is>
      </c>
      <c r="M2776" t="inlineStr">
        <is>
          <t>München</t>
        </is>
      </c>
    </row>
    <row r="2777">
      <c r="A2777" t="inlineStr">
        <is>
          <t>JP X- Cite Ride 120</t>
        </is>
      </c>
      <c r="B2777" s="4" t="n">
        <v>320</v>
      </c>
      <c r="C2777" t="inlineStr"/>
      <c r="D2777" t="inlineStr">
        <is>
          <t>52457 Aldenhoven</t>
        </is>
      </c>
      <c r="E2777" s="5" t="n">
        <v>45538</v>
      </c>
      <c r="F2777" t="inlineStr">
        <is>
          <t>Sold</t>
        </is>
      </c>
      <c r="G2777" s="6">
        <f>HYPERLINK("https://www.dailydose.de/kleinanzeigen/detail.htm?ai=422011&amp;cf=kk&amp;pg=5&amp;ci=11", "Link")</f>
        <v/>
      </c>
      <c r="H2777" s="6">
        <f>HYPERLINK("C:\Projects\Kleinanzeigen-Scraper\offer_images\422011", "Link")</f>
        <v/>
      </c>
      <c r="I2777" t="inlineStr">
        <is>
          <t>Klaus_74</t>
        </is>
      </c>
      <c r="J2777" s="6">
        <f>HYPERLINK("https://www.dailydose.de/kleinanzeigen/user/20069", "Link")</f>
        <v/>
      </c>
      <c r="K2777" s="7" t="n">
        <v>45539.59221064814</v>
      </c>
      <c r="L2777" s="3" t="inlineStr">
        <is>
          <t>48.38</t>
        </is>
      </c>
      <c r="M2777" t="inlineStr">
        <is>
          <t>Köln</t>
        </is>
      </c>
    </row>
    <row r="2778">
      <c r="A2778" t="inlineStr">
        <is>
          <t>Fanatic Stubby TE in 77 l</t>
        </is>
      </c>
      <c r="B2778" s="4" t="n">
        <v>480</v>
      </c>
      <c r="C2778" t="inlineStr">
        <is>
          <t>VB</t>
        </is>
      </c>
      <c r="D2778" t="inlineStr">
        <is>
          <t>23568 Lübeck</t>
        </is>
      </c>
      <c r="E2778" s="5" t="n">
        <v>45538</v>
      </c>
      <c r="F2778" t="inlineStr">
        <is>
          <t>Sold</t>
        </is>
      </c>
      <c r="G2778" s="6">
        <f>HYPERLINK("https://www.dailydose.de/kleinanzeigen/detail.htm?ai=422004&amp;cf=kk&amp;pg=5&amp;ci=11", "Link")</f>
        <v/>
      </c>
      <c r="H2778" s="6">
        <f>HYPERLINK("C:\Projects\Kleinanzeigen-Scraper\offer_images\422004", "Link")</f>
        <v/>
      </c>
      <c r="I2778" t="inlineStr">
        <is>
          <t>Lasse_130</t>
        </is>
      </c>
      <c r="J2778" s="6">
        <f>HYPERLINK("https://www.dailydose.de/kleinanzeigen/user/14114", "Link")</f>
        <v/>
      </c>
      <c r="K2778" s="7" t="n">
        <v>45539.59199074074</v>
      </c>
      <c r="L2778" s="3" t="inlineStr">
        <is>
          <t>418.25</t>
        </is>
      </c>
      <c r="M2778" t="inlineStr">
        <is>
          <t>Köln</t>
        </is>
      </c>
    </row>
    <row r="2779">
      <c r="A2779" t="inlineStr">
        <is>
          <t>F2 LIGHTNING  Worldcup Race  249 Liter</t>
        </is>
      </c>
      <c r="B2779" s="4" t="n">
        <v>250</v>
      </c>
      <c r="C2779" t="inlineStr"/>
      <c r="D2779" t="inlineStr">
        <is>
          <t>12526 Berlin</t>
        </is>
      </c>
      <c r="E2779" s="5" t="n">
        <v>45538</v>
      </c>
      <c r="F2779" t="inlineStr">
        <is>
          <t>Sold</t>
        </is>
      </c>
      <c r="G2779" s="6">
        <f>HYPERLINK("https://www.dailydose.de/kleinanzeigen/detail.htm?ai=421984&amp;cf=kk&amp;pg=5&amp;ci=11", "Link")</f>
        <v/>
      </c>
      <c r="H2779" s="6">
        <f>HYPERLINK("C:\Projects\Kleinanzeigen-Scraper\offer_images\421984", "Link")</f>
        <v/>
      </c>
      <c r="I2779" t="inlineStr">
        <is>
          <t>Rasmus 1</t>
        </is>
      </c>
      <c r="J2779" s="6">
        <f>HYPERLINK("https://www.dailydose.de/kleinanzeigen/user/17567", "Link")</f>
        <v/>
      </c>
      <c r="K2779" s="7" t="n">
        <v>45539.59155092593</v>
      </c>
      <c r="L2779" s="3" t="inlineStr">
        <is>
          <t>484.42</t>
        </is>
      </c>
      <c r="M2779" t="inlineStr">
        <is>
          <t>Köln</t>
        </is>
      </c>
    </row>
    <row r="2780">
      <c r="A2780" t="inlineStr">
        <is>
          <t>Wark Custom Waveboard 90 Liter</t>
        </is>
      </c>
      <c r="B2780" s="4" t="n">
        <v>1400</v>
      </c>
      <c r="C2780" t="inlineStr">
        <is>
          <t>VB</t>
        </is>
      </c>
      <c r="D2780" t="inlineStr">
        <is>
          <t>66386 IGB, S, KL, MZ, K, DO, MK, Wissant</t>
        </is>
      </c>
      <c r="E2780" s="5" t="n">
        <v>45539</v>
      </c>
      <c r="F2780" t="inlineStr">
        <is>
          <t>Sold</t>
        </is>
      </c>
      <c r="G2780" s="6">
        <f>HYPERLINK("https://www.dailydose.de/kleinanzeigen/detail.htm?ai=422024&amp;cf=kk&amp;pg=5&amp;ci=11", "Link")</f>
        <v/>
      </c>
      <c r="H2780" s="6">
        <f>HYPERLINK("C:\Projects\Kleinanzeigen-Scraper\offer_images\422024", "Link")</f>
        <v/>
      </c>
      <c r="I2780" t="inlineStr">
        <is>
          <t>Peter Elze</t>
        </is>
      </c>
      <c r="J2780" s="6">
        <f>HYPERLINK("https://www.dailydose.de/kleinanzeigen/user/18910", "Link")</f>
        <v/>
      </c>
      <c r="K2780" s="7" t="n">
        <v>45539.59137731481</v>
      </c>
      <c r="L2780" s="3" t="inlineStr">
        <is>
          <t>96.65</t>
        </is>
      </c>
      <c r="M2780" t="inlineStr">
        <is>
          <t>Karlsruhe</t>
        </is>
      </c>
    </row>
    <row r="2781">
      <c r="A2781" t="inlineStr">
        <is>
          <t>Patrik Air Style 98</t>
        </is>
      </c>
      <c r="B2781" s="4" t="inlineStr">
        <is>
          <t>620 EUR</t>
        </is>
      </c>
      <c r="C2781" t="inlineStr">
        <is>
          <t>VB</t>
        </is>
      </c>
      <c r="D2781" t="inlineStr">
        <is>
          <t>24159</t>
        </is>
      </c>
      <c r="E2781" s="5" t="n">
        <v>45538</v>
      </c>
      <c r="F2781" t="inlineStr">
        <is>
          <t>Sold</t>
        </is>
      </c>
      <c r="G2781" s="6">
        <f>HYPERLINK("https://www.dailydose.de/kleinanzeigen/detail.htm?ai=421995&amp;cf=kk&amp;pg=5&amp;ci=11", "Link")</f>
        <v/>
      </c>
      <c r="H2781" s="6">
        <f>HYPERLINK("C:\Projects\Kleinanzeigen-Scraper\offer_images\421995", "Link")</f>
        <v/>
      </c>
      <c r="I2781" t="inlineStr">
        <is>
          <t>Klaus</t>
        </is>
      </c>
      <c r="J2781" s="6">
        <f>HYPERLINK("https://www.dailydose.de/kleinanzeigen/user/1845", "Link")</f>
        <v/>
      </c>
      <c r="K2781" s="7" t="n">
        <v>45539.59135416667</v>
      </c>
      <c r="L2781" s="3" t="inlineStr">
        <is>
          <t>440.84</t>
        </is>
      </c>
      <c r="M2781" t="inlineStr">
        <is>
          <t>Köln</t>
        </is>
      </c>
    </row>
    <row r="2782">
      <c r="A2782" t="inlineStr">
        <is>
          <t>Verkaufe Gun Sails Rapid 6.7 2024</t>
        </is>
      </c>
      <c r="B2782" s="4" t="inlineStr">
        <is>
          <t>300  FP</t>
        </is>
      </c>
      <c r="C2782" t="inlineStr"/>
      <c r="D2782" t="inlineStr">
        <is>
          <t>49448 Huede</t>
        </is>
      </c>
      <c r="E2782" s="5" t="n">
        <v>45538</v>
      </c>
      <c r="F2782" t="inlineStr">
        <is>
          <t>Sold</t>
        </is>
      </c>
      <c r="G2782" s="6">
        <f>HYPERLINK("https://www.dailydose.de/kleinanzeigen/detail.htm?ai=421991&amp;cf=kk&amp;pg=5&amp;ci=5", "Link")</f>
        <v/>
      </c>
      <c r="H2782" s="6">
        <f>HYPERLINK("C:\Projects\Kleinanzeigen-Scraper\offer_images\421991", "Link")</f>
        <v/>
      </c>
      <c r="I2782" t="inlineStr">
        <is>
          <t>fanaticVolker</t>
        </is>
      </c>
      <c r="J2782" s="6">
        <f>HYPERLINK("https://www.dailydose.de/kleinanzeigen/user/8088", "Link")</f>
        <v/>
      </c>
      <c r="K2782" s="7" t="n">
        <v>45539.5909837963</v>
      </c>
      <c r="L2782" s="3" t="inlineStr">
        <is>
          <t>195.68</t>
        </is>
      </c>
      <c r="M2782" t="inlineStr">
        <is>
          <t>Köln</t>
        </is>
      </c>
    </row>
    <row r="2783">
      <c r="A2783" t="inlineStr">
        <is>
          <t>Point 7 Power Wave Sail Sado 2G Spy 4,2 + Mast</t>
        </is>
      </c>
      <c r="B2783" s="4" t="n">
        <v>299</v>
      </c>
      <c r="C2783" t="inlineStr"/>
      <c r="D2783" t="inlineStr">
        <is>
          <t>Karlsruhe / Malcesine</t>
        </is>
      </c>
      <c r="E2783" s="5" t="n">
        <v>45538</v>
      </c>
      <c r="F2783" t="inlineStr">
        <is>
          <t>Sold</t>
        </is>
      </c>
      <c r="G2783" s="6">
        <f>HYPERLINK("https://www.dailydose.de/kleinanzeigen/detail.htm?ai=421988&amp;cf=kk&amp;pg=3&amp;ci=5", "Link")</f>
        <v/>
      </c>
      <c r="H2783" s="6">
        <f>HYPERLINK("C:\Projects\Kleinanzeigen-Scraper\offer_images\421988", "Link")</f>
        <v/>
      </c>
      <c r="I2783" t="inlineStr">
        <is>
          <t>Aloha_surf</t>
        </is>
      </c>
      <c r="J2783" s="6">
        <f>HYPERLINK("https://www.dailydose.de/kleinanzeigen/user/3355", "Link")</f>
        <v/>
      </c>
      <c r="K2783" s="7" t="n">
        <v>45539.5909837963</v>
      </c>
      <c r="L2783" s="3" t="inlineStr">
        <is>
          <t>2.29</t>
        </is>
      </c>
      <c r="M2783" t="inlineStr">
        <is>
          <t>Karlsruhe</t>
        </is>
      </c>
    </row>
    <row r="2784">
      <c r="A2784" t="inlineStr">
        <is>
          <t>POINT 7  AC-Z  9,4  2022</t>
        </is>
      </c>
      <c r="B2784" s="4" t="inlineStr">
        <is>
          <t>300 Fest Preis</t>
        </is>
      </c>
      <c r="C2784" t="inlineStr"/>
      <c r="D2784" t="inlineStr">
        <is>
          <t>52457 Aldenhoven</t>
        </is>
      </c>
      <c r="E2784" s="5" t="n">
        <v>45538</v>
      </c>
      <c r="F2784" t="inlineStr">
        <is>
          <t>Sold</t>
        </is>
      </c>
      <c r="G2784" s="6">
        <f>HYPERLINK("https://www.dailydose.de/kleinanzeigen/detail.htm?ai=422010&amp;cf=kk&amp;pg=5&amp;ci=5", "Link")</f>
        <v/>
      </c>
      <c r="H2784" s="6">
        <f>HYPERLINK("C:\Projects\Kleinanzeigen-Scraper\offer_images\422010", "Link")</f>
        <v/>
      </c>
      <c r="I2784" t="inlineStr">
        <is>
          <t>Klaus_74</t>
        </is>
      </c>
      <c r="J2784" s="6">
        <f>HYPERLINK("https://www.dailydose.de/kleinanzeigen/user/20069", "Link")</f>
        <v/>
      </c>
      <c r="K2784" s="7" t="n">
        <v>45539.59068287037</v>
      </c>
      <c r="L2784" s="3" t="inlineStr">
        <is>
          <t>48.38</t>
        </is>
      </c>
      <c r="M2784" t="inlineStr">
        <is>
          <t>Köln</t>
        </is>
      </c>
    </row>
    <row r="2785">
      <c r="A2785" t="inlineStr">
        <is>
          <t>Dutone Mast Gold 370 und 400</t>
        </is>
      </c>
      <c r="B2785" s="4" t="n">
        <v>500</v>
      </c>
      <c r="C2785" t="inlineStr"/>
      <c r="D2785" t="inlineStr">
        <is>
          <t>04157 Versand</t>
        </is>
      </c>
      <c r="E2785" s="5" t="n">
        <v>45539</v>
      </c>
      <c r="F2785" t="inlineStr">
        <is>
          <t>Sold</t>
        </is>
      </c>
      <c r="G2785" s="6">
        <f>HYPERLINK("https://www.dailydose.de/kleinanzeigen/detail.htm?ai=422028&amp;cf=kk&amp;pg=2&amp;ci=2", "Link")</f>
        <v/>
      </c>
      <c r="H2785" s="6">
        <f>HYPERLINK("C:\Projects\Kleinanzeigen-Scraper\offer_images\422028", "Link")</f>
        <v/>
      </c>
      <c r="I2785" t="inlineStr">
        <is>
          <t>WingDing</t>
        </is>
      </c>
      <c r="J2785" s="6">
        <f>HYPERLINK("https://www.dailydose.de/kleinanzeigen/user/21852", "Link")</f>
        <v/>
      </c>
      <c r="K2785" s="7" t="n">
        <v>45539.59023148148</v>
      </c>
      <c r="L2785" s="3" t="inlineStr">
        <is>
          <t>364.64</t>
        </is>
      </c>
      <c r="M2785" t="inlineStr">
        <is>
          <t>München</t>
        </is>
      </c>
    </row>
    <row r="2786">
      <c r="A2786" t="inlineStr">
        <is>
          <t>Windsurf Set Top Material Top gepflegt</t>
        </is>
      </c>
      <c r="B2786" s="4" t="inlineStr"/>
      <c r="C2786" t="inlineStr">
        <is>
          <t>VB</t>
        </is>
      </c>
      <c r="D2786" t="inlineStr">
        <is>
          <t>81371 München</t>
        </is>
      </c>
      <c r="E2786" s="5" t="n">
        <v>45538</v>
      </c>
      <c r="F2786" t="inlineStr">
        <is>
          <t>Sold</t>
        </is>
      </c>
      <c r="G2786" s="6">
        <f>HYPERLINK("https://www.dailydose.de/kleinanzeigen/detail.htm?ai=422009&amp;cf=kk&amp;pg=5&amp;ci=11", "Link")</f>
        <v/>
      </c>
      <c r="H2786" s="6">
        <f>HYPERLINK("C:\Projects\Kleinanzeigen-Scraper\offer_images\422009", "Link")</f>
        <v/>
      </c>
      <c r="I2786" t="inlineStr">
        <is>
          <t>Jule040475</t>
        </is>
      </c>
      <c r="J2786" s="6">
        <f>HYPERLINK("https://www.dailydose.de/kleinanzeigen/user/26355", "Link")</f>
        <v/>
      </c>
      <c r="K2786" s="7" t="n">
        <v>45539.59016203704</v>
      </c>
      <c r="L2786" s="3" t="inlineStr">
        <is>
          <t>2.76</t>
        </is>
      </c>
      <c r="M2786" t="inlineStr">
        <is>
          <t>München</t>
        </is>
      </c>
    </row>
    <row r="2787">
      <c r="A2787" t="inlineStr">
        <is>
          <t>Naish Hover 125L 2020</t>
        </is>
      </c>
      <c r="B2787" s="4" t="n">
        <v>450</v>
      </c>
      <c r="C2787" t="inlineStr"/>
      <c r="D2787" t="inlineStr">
        <is>
          <t>23669</t>
        </is>
      </c>
      <c r="E2787" s="5" t="n">
        <v>45538</v>
      </c>
      <c r="F2787" t="inlineStr">
        <is>
          <t>Sold</t>
        </is>
      </c>
      <c r="G2787" s="6">
        <f>HYPERLINK("https://www.dailydose.de/kleinanzeigen/detail.htm?ai=422005&amp;cf=kk&amp;pg=4&amp;ci=11", "Link")</f>
        <v/>
      </c>
      <c r="H2787" s="6">
        <f>HYPERLINK("C:\Projects\Kleinanzeigen-Scraper\offer_images\422005", "Link")</f>
        <v/>
      </c>
      <c r="I2787" t="inlineStr">
        <is>
          <t>nclkth</t>
        </is>
      </c>
      <c r="J2787" s="6">
        <f>HYPERLINK("https://www.dailydose.de/kleinanzeigen/user/17621", "Link")</f>
        <v/>
      </c>
      <c r="K2787" s="7" t="n">
        <v>45539.59008101852</v>
      </c>
      <c r="L2787" s="3" t="inlineStr">
        <is>
          <t>425.88</t>
        </is>
      </c>
      <c r="M2787" t="inlineStr">
        <is>
          <t>Köln</t>
        </is>
      </c>
    </row>
    <row r="2788">
      <c r="A2788" t="inlineStr">
        <is>
          <t>STX MiniKid Rig 2,0</t>
        </is>
      </c>
      <c r="B2788" s="4" t="n">
        <v>150</v>
      </c>
      <c r="C2788" t="inlineStr"/>
      <c r="D2788" t="inlineStr">
        <is>
          <t>80805 München</t>
        </is>
      </c>
      <c r="E2788" s="5" t="n">
        <v>45538</v>
      </c>
      <c r="F2788" t="inlineStr">
        <is>
          <t>Sold</t>
        </is>
      </c>
      <c r="G2788" s="6">
        <f>HYPERLINK("https://www.dailydose.de/kleinanzeigen/detail.htm?ai=421993&amp;cf=kk&amp;pg=3&amp;ci=5", "Link")</f>
        <v/>
      </c>
      <c r="H2788" s="6">
        <f>HYPERLINK("C:\Projects\Kleinanzeigen-Scraper\offer_images\421993", "Link")</f>
        <v/>
      </c>
      <c r="I2788" t="inlineStr">
        <is>
          <t>Lukystar</t>
        </is>
      </c>
      <c r="J2788" s="6">
        <f>HYPERLINK("https://www.dailydose.de/kleinanzeigen/user/14568", "Link")</f>
        <v/>
      </c>
      <c r="K2788" s="7" t="n">
        <v>45539.58966435185</v>
      </c>
      <c r="L2788" s="3" t="inlineStr">
        <is>
          <t>5.28</t>
        </is>
      </c>
      <c r="M2788" t="inlineStr">
        <is>
          <t>München</t>
        </is>
      </c>
    </row>
    <row r="2789">
      <c r="A2789" t="inlineStr">
        <is>
          <t>Goya custom Quad  94 L</t>
        </is>
      </c>
      <c r="B2789" s="4" t="inlineStr">
        <is>
          <t>680  .</t>
        </is>
      </c>
      <c r="C2789" t="inlineStr">
        <is>
          <t>VB</t>
        </is>
      </c>
      <c r="D2789" t="inlineStr">
        <is>
          <t>20459  oder 24226 Hamburg /  Kiel(Heikendorf</t>
        </is>
      </c>
      <c r="E2789" s="5" t="n">
        <v>45538</v>
      </c>
      <c r="F2789" t="inlineStr">
        <is>
          <t>Sold</t>
        </is>
      </c>
      <c r="G2789" s="6">
        <f>HYPERLINK("https://www.dailydose.de/kleinanzeigen/detail.htm?ai=422002&amp;cf=kk&amp;pg=5&amp;ci=11", "Link")</f>
        <v/>
      </c>
      <c r="H2789" s="6">
        <f>HYPERLINK("C:\Projects\Kleinanzeigen-Scraper\offer_images\422002", "Link")</f>
        <v/>
      </c>
      <c r="I2789" t="inlineStr">
        <is>
          <t>oledohle</t>
        </is>
      </c>
      <c r="J2789" s="6">
        <f>HYPERLINK("https://www.dailydose.de/kleinanzeigen/user/2209", "Link")</f>
        <v/>
      </c>
      <c r="K2789" s="7" t="n">
        <v>45539.5895949074</v>
      </c>
      <c r="L2789" s="3" t="inlineStr">
        <is>
          <t>355.64</t>
        </is>
      </c>
      <c r="M2789" t="inlineStr">
        <is>
          <t>Köln</t>
        </is>
      </c>
    </row>
    <row r="2790">
      <c r="A2790" t="inlineStr">
        <is>
          <t>Patrik QT Wave 78 Liter</t>
        </is>
      </c>
      <c r="B2790" s="4" t="inlineStr">
        <is>
          <t>550 EUR</t>
        </is>
      </c>
      <c r="C2790" t="inlineStr">
        <is>
          <t>VB</t>
        </is>
      </c>
      <c r="D2790" t="inlineStr">
        <is>
          <t>24159</t>
        </is>
      </c>
      <c r="E2790" s="5" t="n">
        <v>45538</v>
      </c>
      <c r="F2790" t="inlineStr">
        <is>
          <t>Sold</t>
        </is>
      </c>
      <c r="G2790" s="6">
        <f>HYPERLINK("https://www.dailydose.de/kleinanzeigen/detail.htm?ai=421996&amp;cf=kk&amp;pg=5&amp;ci=11", "Link")</f>
        <v/>
      </c>
      <c r="H2790" s="6">
        <f>HYPERLINK("C:\Projects\Kleinanzeigen-Scraper\offer_images\421996", "Link")</f>
        <v/>
      </c>
      <c r="I2790" t="inlineStr">
        <is>
          <t>Klaus</t>
        </is>
      </c>
      <c r="J2790" s="6">
        <f>HYPERLINK("https://www.dailydose.de/kleinanzeigen/user/1845", "Link")</f>
        <v/>
      </c>
      <c r="K2790" s="7" t="n">
        <v>45539.58954861111</v>
      </c>
      <c r="L2790" s="3" t="inlineStr">
        <is>
          <t>440.84</t>
        </is>
      </c>
      <c r="M2790" t="inlineStr">
        <is>
          <t>Köln</t>
        </is>
      </c>
    </row>
    <row r="2791">
      <c r="A2791" t="inlineStr">
        <is>
          <t>NEU Duotone Superhero 4.0 5.0 inkl Masten</t>
        </is>
      </c>
      <c r="B2791" s="4" t="n">
        <v>500</v>
      </c>
      <c r="C2791" t="inlineStr"/>
      <c r="D2791" t="inlineStr">
        <is>
          <t>04157 Versand</t>
        </is>
      </c>
      <c r="E2791" s="5" t="n">
        <v>45539</v>
      </c>
      <c r="F2791" t="inlineStr">
        <is>
          <t>Sold</t>
        </is>
      </c>
      <c r="G2791" s="6">
        <f>HYPERLINK("https://www.dailydose.de/kleinanzeigen/detail.htm?ai=422027&amp;cf=kk&amp;pg=5&amp;ci=5", "Link")</f>
        <v/>
      </c>
      <c r="H2791" s="6">
        <f>HYPERLINK("C:\Projects\Kleinanzeigen-Scraper\offer_images\422027", "Link")</f>
        <v/>
      </c>
      <c r="I2791" t="inlineStr">
        <is>
          <t>WingDing</t>
        </is>
      </c>
      <c r="J2791" s="6">
        <f>HYPERLINK("https://www.dailydose.de/kleinanzeigen/user/21852", "Link")</f>
        <v/>
      </c>
      <c r="K2791" s="7" t="n">
        <v>45539.58951388889</v>
      </c>
      <c r="L2791" s="3" t="inlineStr">
        <is>
          <t>364.64</t>
        </is>
      </c>
      <c r="M2791" t="inlineStr">
        <is>
          <t>München</t>
        </is>
      </c>
    </row>
    <row r="2792">
      <c r="A2792" t="inlineStr">
        <is>
          <t>Windsurf Foil Neil Pryde Flight FR 90</t>
        </is>
      </c>
      <c r="B2792" s="4" t="n">
        <v>750</v>
      </c>
      <c r="C2792" t="inlineStr">
        <is>
          <t>VB</t>
        </is>
      </c>
      <c r="D2792" t="inlineStr">
        <is>
          <t>26131 Niedersachsen - Oldenburg</t>
        </is>
      </c>
      <c r="E2792" s="5" t="n">
        <v>45539</v>
      </c>
      <c r="F2792" t="inlineStr">
        <is>
          <t>Sold</t>
        </is>
      </c>
      <c r="G2792" s="6">
        <f>HYPERLINK("https://www.kleinanzeigen.de/s-anzeige/windsurf-foil-neil-pryde-flight-fr-90/2853995521-230-3109", "Link")</f>
        <v/>
      </c>
      <c r="H2792" s="6">
        <f>HYPERLINK("C:\Projects\Kleinanzeigen-Scraper\offer_images\2853995521", "Link")</f>
        <v/>
      </c>
      <c r="I2792" t="inlineStr">
        <is>
          <t>Von privat</t>
        </is>
      </c>
      <c r="J2792" s="6">
        <f>HYPERLINK("https://www.kleinanzeigen.de/s-bestandsliste.html?userId=120243253", "Link")</f>
        <v/>
      </c>
      <c r="K2792" s="7" t="n">
        <v>45539.58564814815</v>
      </c>
      <c r="L2792" s="3" t="inlineStr">
        <is>
          <t>257.10</t>
        </is>
      </c>
      <c r="M2792" t="inlineStr">
        <is>
          <t>Köln</t>
        </is>
      </c>
    </row>
    <row r="2793">
      <c r="A2793" t="inlineStr">
        <is>
          <t>Boardbags Windsurfen, Neil Pryde, Wassersport</t>
        </is>
      </c>
      <c r="B2793" s="4" t="inlineStr"/>
      <c r="C2793" t="inlineStr">
        <is>
          <t>VB</t>
        </is>
      </c>
      <c r="D2793" t="inlineStr">
        <is>
          <t>24896 Schleswig-Holstein - Treia</t>
        </is>
      </c>
      <c r="E2793" s="5" t="n">
        <v>45538</v>
      </c>
      <c r="F2793" t="inlineStr">
        <is>
          <t>Sold</t>
        </is>
      </c>
      <c r="G2793" s="6">
        <f>HYPERLINK("https://www.kleinanzeigen.de/s-anzeige/boardbags-windsurfen-neil-pryde-wassersport/2853376261-230-533", "Link")</f>
        <v/>
      </c>
      <c r="H2793" s="6">
        <f>HYPERLINK("C:\Projects\Kleinanzeigen-Scraper\offer_images\2853376261", "Link")</f>
        <v/>
      </c>
      <c r="I2793" t="inlineStr">
        <is>
          <t>Kauf</t>
        </is>
      </c>
      <c r="J2793" s="6">
        <f>HYPERLINK("https://www.kleinanzeigen.de/s-bestandsliste.html?userId=37454238", "Link")</f>
        <v/>
      </c>
      <c r="K2793" s="7" t="n">
        <v>45539.58546296296</v>
      </c>
      <c r="L2793" s="3" t="inlineStr">
        <is>
          <t>429.51</t>
        </is>
      </c>
      <c r="M2793" t="inlineStr">
        <is>
          <t>Köln</t>
        </is>
      </c>
    </row>
    <row r="2794">
      <c r="A2794" t="inlineStr">
        <is>
          <t>HSM Hot Sails Maui KS3 Spyder 4,6 Wave Windsurf</t>
        </is>
      </c>
      <c r="B2794" s="4" t="n">
        <v>170</v>
      </c>
      <c r="C2794" t="inlineStr">
        <is>
          <t>VB</t>
        </is>
      </c>
      <c r="D2794" t="inlineStr">
        <is>
          <t>93128 Bayern - Regenstauf</t>
        </is>
      </c>
      <c r="E2794" s="5" t="n">
        <v>45539</v>
      </c>
      <c r="F2794" t="inlineStr">
        <is>
          <t>Sold</t>
        </is>
      </c>
      <c r="G2794" s="6">
        <f>HYPERLINK("https://www.kleinanzeigen.de/s-anzeige/hsm-hot-sails-maui-ks3-spyder-4-6-wave-windsurf/2854010399-230-5781", "Link")</f>
        <v/>
      </c>
      <c r="H2794" s="6">
        <f>HYPERLINK("C:\Projects\Kleinanzeigen-Scraper\offer_images\2854010399", "Link")</f>
        <v/>
      </c>
      <c r="I2794" t="inlineStr">
        <is>
          <t>Dan</t>
        </is>
      </c>
      <c r="J2794" s="6">
        <f>HYPERLINK("https://www.kleinanzeigen.de/s-bestandsliste.html?userId=21958890", "Link")</f>
        <v/>
      </c>
      <c r="K2794" s="7" t="n">
        <v>45539.58540509259</v>
      </c>
      <c r="L2794" s="3" t="inlineStr">
        <is>
          <t>120.91</t>
        </is>
      </c>
      <c r="M2794" t="inlineStr">
        <is>
          <t>München</t>
        </is>
      </c>
    </row>
    <row r="2795">
      <c r="A2795" t="inlineStr">
        <is>
          <t>Ezzy Hydra 7,0 Foilsegel Windsurf Segel Foil</t>
        </is>
      </c>
      <c r="B2795" s="4" t="n">
        <v>488</v>
      </c>
      <c r="C2795" t="inlineStr">
        <is>
          <t>VB</t>
        </is>
      </c>
      <c r="D2795" t="inlineStr">
        <is>
          <t>33184 Nordrhein-Westfalen - Altenbeken</t>
        </is>
      </c>
      <c r="E2795" s="5" t="n">
        <v>45539</v>
      </c>
      <c r="F2795" t="inlineStr">
        <is>
          <t>Sold</t>
        </is>
      </c>
      <c r="G2795" s="6">
        <f>HYPERLINK("https://www.kleinanzeigen.de/s-anzeige/ezzy-hydra-7-0-foilsegel-windsurf-segel-foil/2853953617-230-1247", "Link")</f>
        <v/>
      </c>
      <c r="H2795" s="6">
        <f>HYPERLINK("C:\Projects\Kleinanzeigen-Scraper\offer_images\2853953617", "Link")</f>
        <v/>
      </c>
      <c r="I2795" t="inlineStr">
        <is>
          <t>Jörg hanfland</t>
        </is>
      </c>
      <c r="J2795" s="6">
        <f>HYPERLINK("https://www.kleinanzeigen.de/s-bestandsliste.html?userId=3276446", "Link")</f>
        <v/>
      </c>
      <c r="K2795" s="7" t="n">
        <v>45539.58537037037</v>
      </c>
      <c r="L2795" s="3" t="inlineStr">
        <is>
          <t>164.52</t>
        </is>
      </c>
      <c r="M2795" t="inlineStr">
        <is>
          <t>Köln</t>
        </is>
      </c>
    </row>
    <row r="2796">
      <c r="A2796" t="inlineStr">
        <is>
          <t>Neilpryde Windsurf Bag Tasche für Masten Masttasche</t>
        </is>
      </c>
      <c r="B2796" s="4" t="n">
        <v>15</v>
      </c>
      <c r="C2796" t="inlineStr"/>
      <c r="D2796" t="inlineStr">
        <is>
          <t>82194 Bayern - Gröbenzell</t>
        </is>
      </c>
      <c r="E2796" s="5" t="n">
        <v>45537</v>
      </c>
      <c r="F2796" t="inlineStr">
        <is>
          <t>Sold</t>
        </is>
      </c>
      <c r="G2796" s="6">
        <f>HYPERLINK("https://www.kleinanzeigen.de/s-anzeige/neilpryde-windsurf-bag-tasche-fuer-masten-masttasche/2852780488-230-6350", "Link")</f>
        <v/>
      </c>
      <c r="H2796" s="6">
        <f>HYPERLINK("C:\Projects\Kleinanzeigen-Scraper\offer_images\2852780488", "Link")</f>
        <v/>
      </c>
      <c r="I2796" t="inlineStr">
        <is>
          <t>Maggie</t>
        </is>
      </c>
      <c r="J2796" s="6">
        <f>HYPERLINK("https://www.kleinanzeigen.de/s-bestandsliste.html?userId=27957834", "Link")</f>
        <v/>
      </c>
      <c r="K2796" s="7" t="n">
        <v>45539.5853587963</v>
      </c>
      <c r="L2796" s="3" t="inlineStr">
        <is>
          <t>15.82</t>
        </is>
      </c>
      <c r="M2796" t="inlineStr">
        <is>
          <t>München</t>
        </is>
      </c>
    </row>
    <row r="2797">
      <c r="A2797" t="inlineStr">
        <is>
          <t>Windsurf foilboard set</t>
        </is>
      </c>
      <c r="B2797" s="4" t="n">
        <v>1</v>
      </c>
      <c r="C2797" t="inlineStr">
        <is>
          <t>VB</t>
        </is>
      </c>
      <c r="D2797" t="inlineStr">
        <is>
          <t>69121 Baden-Württemberg - Heidelberg</t>
        </is>
      </c>
      <c r="E2797" s="5" t="n">
        <v>45537</v>
      </c>
      <c r="F2797" t="inlineStr">
        <is>
          <t>Sold</t>
        </is>
      </c>
      <c r="G2797" s="6">
        <f>HYPERLINK("https://www.kleinanzeigen.de/s-anzeige/windsurf-foilboard-set/2852833367-230-9180", "Link")</f>
        <v/>
      </c>
      <c r="H2797" s="6">
        <f>HYPERLINK("C:\Projects\Kleinanzeigen-Scraper\offer_images\2852833367", "Link")</f>
        <v/>
      </c>
      <c r="I2797" t="inlineStr">
        <is>
          <t>Daisy Humpert</t>
        </is>
      </c>
      <c r="J2797" s="6">
        <f>HYPERLINK("https://www.kleinanzeigen.de/s-bestandsliste.html?userId=27680895", "Link")</f>
        <v/>
      </c>
      <c r="K2797" s="7" t="n">
        <v>45539.5853125</v>
      </c>
      <c r="L2797" s="3" t="inlineStr">
        <is>
          <t>52.06</t>
        </is>
      </c>
      <c r="M2797" t="inlineStr">
        <is>
          <t>Karlsruhe</t>
        </is>
      </c>
    </row>
    <row r="2798">
      <c r="A2798" t="inlineStr">
        <is>
          <t>Windsurf Rigg 5qm-6qm</t>
        </is>
      </c>
      <c r="B2798" s="4" t="inlineStr"/>
      <c r="C2798" t="inlineStr">
        <is>
          <t>VB</t>
        </is>
      </c>
      <c r="D2798" t="inlineStr">
        <is>
          <t>85435 Bayern - Erding</t>
        </is>
      </c>
      <c r="E2798" s="5" t="n">
        <v>45539</v>
      </c>
      <c r="F2798" t="inlineStr">
        <is>
          <t>Sold</t>
        </is>
      </c>
      <c r="G2798" s="6">
        <f>HYPERLINK("https://www.kleinanzeigen.de/s-anzeige/windsurf-rigg-5qm-6qm/2853830325-230-6080", "Link")</f>
        <v/>
      </c>
      <c r="H2798" s="6">
        <f>HYPERLINK("C:\Projects\Kleinanzeigen-Scraper\offer_images\2853830325", "Link")</f>
        <v/>
      </c>
      <c r="I2798" t="inlineStr">
        <is>
          <t>M. B.</t>
        </is>
      </c>
      <c r="J2798" s="6">
        <f>HYPERLINK("https://www.kleinanzeigen.de/s-bestandsliste.html?userId=30524492", "Link")</f>
        <v/>
      </c>
      <c r="K2798" s="7" t="n">
        <v>45539.58525462963</v>
      </c>
      <c r="L2798" s="3" t="inlineStr">
        <is>
          <t>32.53</t>
        </is>
      </c>
      <c r="M2798" t="inlineStr">
        <is>
          <t>München</t>
        </is>
      </c>
    </row>
    <row r="2799">
      <c r="A2799" t="inlineStr">
        <is>
          <t>Surfboard Surfbrett Windsurfen F2 Xantos 127 l</t>
        </is>
      </c>
      <c r="B2799" s="4" t="n">
        <v>80</v>
      </c>
      <c r="C2799" t="inlineStr"/>
      <c r="D2799" t="inlineStr">
        <is>
          <t>22417 Hamburg-Nord - Hamburg Langenhorn</t>
        </is>
      </c>
      <c r="E2799" s="5" t="n">
        <v>45539</v>
      </c>
      <c r="F2799" t="inlineStr">
        <is>
          <t>Sold</t>
        </is>
      </c>
      <c r="G2799" s="6">
        <f>HYPERLINK("https://www.kleinanzeigen.de/s-anzeige/surfboard-surfbrett-windsurfen-f2-xantos-127-l/2853855774-230-9489", "Link")</f>
        <v/>
      </c>
      <c r="H2799" s="6">
        <f>HYPERLINK("C:\Projects\Kleinanzeigen-Scraper\offer_images\2853855774", "Link")</f>
        <v/>
      </c>
      <c r="I2799" t="inlineStr">
        <is>
          <t>Nathalie</t>
        </is>
      </c>
      <c r="J2799" s="6">
        <f>HYPERLINK("https://www.kleinanzeigen.de/s-bestandsliste.html?userId=24096581", "Link")</f>
        <v/>
      </c>
      <c r="K2799" s="7" t="n">
        <v>45539.58524305555</v>
      </c>
      <c r="L2799" s="3" t="inlineStr">
        <is>
          <t>373.25</t>
        </is>
      </c>
      <c r="M2799" t="inlineStr">
        <is>
          <t>Köln</t>
        </is>
      </c>
    </row>
    <row r="2800">
      <c r="A2800" t="inlineStr">
        <is>
          <t>Windsurfer Hüft- Sitztrapez div., NEU u. gebr., ab 49 € [2670]</t>
        </is>
      </c>
      <c r="B2800" s="4" t="inlineStr"/>
      <c r="C2800" t="inlineStr">
        <is>
          <t>VB</t>
        </is>
      </c>
      <c r="D2800" t="inlineStr">
        <is>
          <t>37124 Niedersachsen - Rosdorf</t>
        </is>
      </c>
      <c r="E2800" s="5" t="n">
        <v>45568</v>
      </c>
      <c r="F2800" t="inlineStr"/>
      <c r="G2800" s="6">
        <f>HYPERLINK("https://www.kleinanzeigen.de/s-anzeige/windsurfer-hueft-sitztrapez-div-neu-u-gebr-ab-49-2670-/2624267771-230-3133", "Link")</f>
        <v/>
      </c>
      <c r="H2800" s="6">
        <f>HYPERLINK("C:\Projects\Kleinanzeigen-Scraper\offer_images\2624267771", "Link")</f>
        <v/>
      </c>
      <c r="I2800" t="inlineStr">
        <is>
          <t>No user name</t>
        </is>
      </c>
      <c r="J2800" s="6">
        <f>HYPERLINK("https://www.kleinanzeigen.deNo user link", "Link")</f>
        <v/>
      </c>
      <c r="K2800" s="7" t="n">
        <v>45539.58521990741</v>
      </c>
      <c r="L2800" s="3" t="inlineStr">
        <is>
          <t>214.72</t>
        </is>
      </c>
      <c r="M2800" t="inlineStr">
        <is>
          <t>Köln</t>
        </is>
      </c>
    </row>
    <row r="2801">
      <c r="A2801" t="inlineStr">
        <is>
          <t>Thruster Fin Set K4 Windsurf  22 / 10 cm</t>
        </is>
      </c>
      <c r="B2801" s="4" t="n">
        <v>75</v>
      </c>
      <c r="C2801" t="inlineStr"/>
      <c r="D2801" t="inlineStr">
        <is>
          <t>81476 München - Thalk.Obersendl.-Forsten-Fürstenr.-Solln</t>
        </is>
      </c>
      <c r="E2801" s="5" t="n">
        <v>45538</v>
      </c>
      <c r="F2801" t="inlineStr">
        <is>
          <t>Sold</t>
        </is>
      </c>
      <c r="G2801" s="6">
        <f>HYPERLINK("https://www.kleinanzeigen.de/s-anzeige/thruster-fin-set-k4-windsurf-22-10-cm/2853691394-230-6436", "Link")</f>
        <v/>
      </c>
      <c r="H2801" s="6">
        <f>HYPERLINK("C:\Projects\Kleinanzeigen-Scraper\offer_images\2853691394", "Link")</f>
        <v/>
      </c>
      <c r="I2801" t="inlineStr">
        <is>
          <t>Mike</t>
        </is>
      </c>
      <c r="J2801" s="6">
        <f>HYPERLINK("https://www.kleinanzeigen.de/s-bestandsliste.html?userId=27971111", "Link")</f>
        <v/>
      </c>
      <c r="K2801" s="7" t="n">
        <v>45539.58519675926</v>
      </c>
      <c r="L2801" s="3" t="inlineStr">
        <is>
          <t>8.19</t>
        </is>
      </c>
      <c r="M2801" t="inlineStr">
        <is>
          <t>München</t>
        </is>
      </c>
    </row>
    <row r="2802">
      <c r="A2802" t="inlineStr">
        <is>
          <t>Mastfuß Windsurfen</t>
        </is>
      </c>
      <c r="B2802" s="4" t="n">
        <v>19</v>
      </c>
      <c r="C2802" t="inlineStr">
        <is>
          <t>VB</t>
        </is>
      </c>
      <c r="D2802" t="inlineStr">
        <is>
          <t>23669 Kreis Ostholstein - Timmendorfer Strand</t>
        </is>
      </c>
      <c r="E2802" s="5" t="n">
        <v>45537</v>
      </c>
      <c r="F2802" t="inlineStr">
        <is>
          <t>Sold</t>
        </is>
      </c>
      <c r="G2802" s="6">
        <f>HYPERLINK("https://www.kleinanzeigen.de/s-anzeige/mastfuss-windsurfen/2852848354-230-442", "Link")</f>
        <v/>
      </c>
      <c r="H2802" s="6">
        <f>HYPERLINK("C:\Projects\Kleinanzeigen-Scraper\offer_images\2852848354", "Link")</f>
        <v/>
      </c>
      <c r="I2802" t="inlineStr">
        <is>
          <t>Sebastian</t>
        </is>
      </c>
      <c r="J2802" s="6">
        <f>HYPERLINK("https://www.kleinanzeigen.de/s-bestandsliste.html?userId=14768769", "Link")</f>
        <v/>
      </c>
      <c r="K2802" s="7" t="n">
        <v>45539.58508101852</v>
      </c>
      <c r="L2802" s="3" t="inlineStr">
        <is>
          <t>425.88</t>
        </is>
      </c>
      <c r="M2802" t="inlineStr">
        <is>
          <t>Köln</t>
        </is>
      </c>
    </row>
    <row r="2803">
      <c r="A2803" t="inlineStr">
        <is>
          <t>Windsurf Mastprotector, GB Protector, div. [2640]</t>
        </is>
      </c>
      <c r="B2803" s="4" t="inlineStr"/>
      <c r="C2803" t="inlineStr">
        <is>
          <t>VB</t>
        </is>
      </c>
      <c r="D2803" t="inlineStr">
        <is>
          <t>37124 Niedersachsen - Rosdorf</t>
        </is>
      </c>
      <c r="E2803" s="5" t="n">
        <v>45568</v>
      </c>
      <c r="F2803" t="inlineStr"/>
      <c r="G2803" s="6">
        <f>HYPERLINK("https://www.kleinanzeigen.de/s-anzeige/windsurf-mastprotector-gb-protector-div-2640-/2624199093-230-3133", "Link")</f>
        <v/>
      </c>
      <c r="H2803" s="6">
        <f>HYPERLINK("C:\Projects\Kleinanzeigen-Scraper\offer_images\2624199093", "Link")</f>
        <v/>
      </c>
      <c r="I2803" t="inlineStr">
        <is>
          <t>No user name</t>
        </is>
      </c>
      <c r="J2803" s="6">
        <f>HYPERLINK("https://www.kleinanzeigen.deNo user link", "Link")</f>
        <v/>
      </c>
      <c r="K2803" s="7" t="n">
        <v>45539.58508101852</v>
      </c>
      <c r="L2803" s="3" t="inlineStr">
        <is>
          <t>214.72</t>
        </is>
      </c>
      <c r="M2803" t="inlineStr">
        <is>
          <t>Köln</t>
        </is>
      </c>
    </row>
    <row r="2804">
      <c r="A2804" t="inlineStr">
        <is>
          <t>Windsurf Hüft Trapez Pat Love Gr. S neuwertig Hüfttrapez</t>
        </is>
      </c>
      <c r="B2804" s="4" t="n">
        <v>59</v>
      </c>
      <c r="C2804" t="inlineStr">
        <is>
          <t>VB</t>
        </is>
      </c>
      <c r="D2804" t="inlineStr">
        <is>
          <t>04808 Sachsen - Wurzen</t>
        </is>
      </c>
      <c r="E2804" s="5" t="n">
        <v>45538</v>
      </c>
      <c r="F2804" t="inlineStr">
        <is>
          <t>Sold</t>
        </is>
      </c>
      <c r="G2804" s="6">
        <f>HYPERLINK("https://www.kleinanzeigen.de/s-anzeige/windsurf-hueft-trapez-pat-love-gr-s-neuwertig-huefttrapez/2853394319-230-3904", "Link")</f>
        <v/>
      </c>
      <c r="H2804" s="6">
        <f>HYPERLINK("C:\Projects\Kleinanzeigen-Scraper\offer_images\2853394319", "Link")</f>
        <v/>
      </c>
      <c r="I2804" t="inlineStr">
        <is>
          <t>Andreas</t>
        </is>
      </c>
      <c r="J2804" s="6">
        <f>HYPERLINK("https://www.kleinanzeigen.de/s-bestandsliste.html?userId=1586232", "Link")</f>
        <v/>
      </c>
      <c r="K2804" s="7" t="n">
        <v>45539.58508101852</v>
      </c>
      <c r="L2804" s="3" t="inlineStr">
        <is>
          <t>371.88</t>
        </is>
      </c>
      <c r="M2804" t="inlineStr">
        <is>
          <t>München</t>
        </is>
      </c>
    </row>
    <row r="2805">
      <c r="A2805" t="inlineStr">
        <is>
          <t>Windsurf-Mast North Sails Gold 4.3m, 75% Carbon</t>
        </is>
      </c>
      <c r="B2805" s="4" t="n">
        <v>120</v>
      </c>
      <c r="C2805" t="inlineStr">
        <is>
          <t>VB</t>
        </is>
      </c>
      <c r="D2805" t="inlineStr">
        <is>
          <t>52399 Nordrhein-Westfalen - Merzenich</t>
        </is>
      </c>
      <c r="E2805" s="5" t="n">
        <v>45538</v>
      </c>
      <c r="F2805" t="inlineStr">
        <is>
          <t>Sold</t>
        </is>
      </c>
      <c r="G2805" s="6">
        <f>HYPERLINK("https://www.kleinanzeigen.de/s-anzeige/windsurf-mast-north-sails-gold-4-3m-75-carbon/2853442583-230-1766", "Link")</f>
        <v/>
      </c>
      <c r="H2805" s="6">
        <f>HYPERLINK("C:\Projects\Kleinanzeigen-Scraper\offer_images\2853442583", "Link")</f>
        <v/>
      </c>
      <c r="I2805" t="inlineStr">
        <is>
          <t>Mike</t>
        </is>
      </c>
      <c r="J2805" s="6">
        <f>HYPERLINK("https://www.kleinanzeigen.de/s-bestandsliste.html?userId=13676787", "Link")</f>
        <v/>
      </c>
      <c r="K2805" s="7" t="n">
        <v>45539.5850462963</v>
      </c>
      <c r="L2805" s="3" t="inlineStr">
        <is>
          <t>32.32</t>
        </is>
      </c>
      <c r="M2805" t="inlineStr">
        <is>
          <t>Köln</t>
        </is>
      </c>
    </row>
    <row r="2806">
      <c r="A2806" t="inlineStr">
        <is>
          <t>Windsurf Fußschlaufen Mystix</t>
        </is>
      </c>
      <c r="B2806" s="4" t="n">
        <v>25</v>
      </c>
      <c r="C2806" t="inlineStr">
        <is>
          <t>VB</t>
        </is>
      </c>
      <c r="D2806" t="inlineStr">
        <is>
          <t>88353 Baden-Württemberg - Kißlegg</t>
        </is>
      </c>
      <c r="E2806" s="5" t="n">
        <v>45537</v>
      </c>
      <c r="F2806" t="inlineStr">
        <is>
          <t>Sold</t>
        </is>
      </c>
      <c r="G2806" s="6">
        <f>HYPERLINK("https://www.kleinanzeigen.de/s-anzeige/windsurf-fussschlaufen-mystix/2852858222-230-8086", "Link")</f>
        <v/>
      </c>
      <c r="H2806" s="6">
        <f>HYPERLINK("C:\Projects\Kleinanzeigen-Scraper\offer_images\2852858222", "Link")</f>
        <v/>
      </c>
      <c r="I2806" t="inlineStr">
        <is>
          <t>Franziska Schädler</t>
        </is>
      </c>
      <c r="J2806" s="6">
        <f>HYPERLINK("https://www.kleinanzeigen.de/s-bestandsliste.html?userId=17444832", "Link")</f>
        <v/>
      </c>
      <c r="K2806" s="7" t="n">
        <v>45539.58496527778</v>
      </c>
      <c r="L2806" s="3" t="inlineStr">
        <is>
          <t>116.32</t>
        </is>
      </c>
      <c r="M2806" t="inlineStr">
        <is>
          <t>Bonndorf</t>
        </is>
      </c>
    </row>
    <row r="2807">
      <c r="A2807" t="inlineStr">
        <is>
          <t>NeilPryde H2 6.2 m2 Windsurf Segel Freerace Freeride</t>
        </is>
      </c>
      <c r="B2807" s="4" t="n">
        <v>80</v>
      </c>
      <c r="C2807" t="inlineStr"/>
      <c r="D2807" t="inlineStr">
        <is>
          <t>67459 Rheinland-Pfalz - Böhl-Iggelheim</t>
        </is>
      </c>
      <c r="E2807" s="5" t="n">
        <v>45537</v>
      </c>
      <c r="F2807" t="inlineStr">
        <is>
          <t>Sold</t>
        </is>
      </c>
      <c r="G2807" s="6">
        <f>HYPERLINK("https://www.kleinanzeigen.de/s-anzeige/neilpryde-h2-6-2-m2-windsurf-segel-freerace-freeride/2852758330-230-4964", "Link")</f>
        <v/>
      </c>
      <c r="H2807" s="6">
        <f>HYPERLINK("C:\Projects\Kleinanzeigen-Scraper\offer_images\2852758330", "Link")</f>
        <v/>
      </c>
      <c r="I2807" t="inlineStr">
        <is>
          <t>O. Serfling</t>
        </is>
      </c>
      <c r="J2807" s="6">
        <f>HYPERLINK("https://www.kleinanzeigen.de/s-bestandsliste.html?userId=37325871", "Link")</f>
        <v/>
      </c>
      <c r="K2807" s="7" t="n">
        <v>45539.58493055555</v>
      </c>
      <c r="L2807" s="3" t="inlineStr">
        <is>
          <t>39.72</t>
        </is>
      </c>
      <c r="M2807" t="inlineStr">
        <is>
          <t>Karlsruhe</t>
        </is>
      </c>
    </row>
    <row r="2808">
      <c r="A2808" t="inlineStr">
        <is>
          <t>Finne 32 cm Powerbox PB mit Hülle Windsurfen</t>
        </is>
      </c>
      <c r="B2808" s="4" t="n">
        <v>23</v>
      </c>
      <c r="C2808" t="inlineStr"/>
      <c r="D2808" t="inlineStr">
        <is>
          <t>09117 Chemnitz - Rabenstein</t>
        </is>
      </c>
      <c r="E2808" s="5" t="n">
        <v>45538</v>
      </c>
      <c r="F2808" t="inlineStr">
        <is>
          <t>Sold</t>
        </is>
      </c>
      <c r="G2808" s="6">
        <f>HYPERLINK("https://www.kleinanzeigen.de/s-anzeige/finne-32-cm-powerbox-pb-mit-huelle-windsurfen/2853480165-230-26066", "Link")</f>
        <v/>
      </c>
      <c r="H2808" s="6">
        <f>HYPERLINK("C:\Projects\Kleinanzeigen-Scraper\offer_images\2853480165", "Link")</f>
        <v/>
      </c>
      <c r="I2808" t="inlineStr">
        <is>
          <t>Frank Dittmar</t>
        </is>
      </c>
      <c r="J2808" s="6">
        <f>HYPERLINK("https://www.kleinanzeigen.de/s-bestandsliste.html?userId=9853269", "Link")</f>
        <v/>
      </c>
      <c r="K2808" s="7" t="n">
        <v>45539.58480324074</v>
      </c>
      <c r="L2808" s="3" t="inlineStr">
        <is>
          <t>312.37</t>
        </is>
      </c>
      <c r="M2808" t="inlineStr">
        <is>
          <t>München</t>
        </is>
      </c>
    </row>
    <row r="2809">
      <c r="A2809" t="inlineStr">
        <is>
          <t>Windsurf Foil NeilPryde RS:Flight</t>
        </is>
      </c>
      <c r="B2809" s="4" t="n">
        <v>120</v>
      </c>
      <c r="C2809" t="inlineStr">
        <is>
          <t>VB</t>
        </is>
      </c>
      <c r="D2809" t="inlineStr">
        <is>
          <t>67459 Rheinland-Pfalz - Böhl-Iggelheim</t>
        </is>
      </c>
      <c r="E2809" s="5" t="n">
        <v>45537</v>
      </c>
      <c r="F2809" t="inlineStr">
        <is>
          <t>Sold</t>
        </is>
      </c>
      <c r="G2809" s="6">
        <f>HYPERLINK("https://www.kleinanzeigen.de/s-anzeige/windsurf-foil-neilpryde-rs-flight/2852750353-230-4964", "Link")</f>
        <v/>
      </c>
      <c r="H2809" s="6">
        <f>HYPERLINK("C:\Projects\Kleinanzeigen-Scraper\offer_images\2852750353", "Link")</f>
        <v/>
      </c>
      <c r="I2809" t="inlineStr">
        <is>
          <t>O. Serfling</t>
        </is>
      </c>
      <c r="J2809" s="6">
        <f>HYPERLINK("https://www.kleinanzeigen.de/s-bestandsliste.html?userId=37325871", "Link")</f>
        <v/>
      </c>
      <c r="K2809" s="7" t="n">
        <v>45539.58480324074</v>
      </c>
      <c r="L2809" s="3" t="inlineStr">
        <is>
          <t>39.72</t>
        </is>
      </c>
      <c r="M2809" t="inlineStr">
        <is>
          <t>Karlsruhe</t>
        </is>
      </c>
    </row>
    <row r="2810">
      <c r="A2810" t="inlineStr">
        <is>
          <t>Foil Board Slingshot Wizard 130 inkl. Foil Set,Surfbrett Windsurf</t>
        </is>
      </c>
      <c r="B2810" s="4" t="n">
        <v>950</v>
      </c>
      <c r="C2810" t="inlineStr">
        <is>
          <t>VB</t>
        </is>
      </c>
      <c r="D2810" t="inlineStr">
        <is>
          <t>20359 Hamburg-Mitte - Hamburg St. Pauli</t>
        </is>
      </c>
      <c r="E2810" s="5" t="n">
        <v>45539</v>
      </c>
      <c r="F2810" t="inlineStr">
        <is>
          <t>Sold</t>
        </is>
      </c>
      <c r="G2810" s="6">
        <f>HYPERLINK("https://www.kleinanzeigen.de/s-anzeige/foil-board-slingshot-wizard-130-inkl-foil-set-surfbrett-windsurf/2853857336-230-9495", "Link")</f>
        <v/>
      </c>
      <c r="H2810" s="6">
        <f>HYPERLINK("C:\Projects\Kleinanzeigen-Scraper\offer_images\2853857336", "Link")</f>
        <v/>
      </c>
      <c r="I2810" t="inlineStr">
        <is>
          <t>Thomas</t>
        </is>
      </c>
      <c r="J2810" s="6">
        <f>HYPERLINK("https://www.kleinanzeigen.de/s-bestandsliste.html?userId=24227426", "Link")</f>
        <v/>
      </c>
      <c r="K2810" s="7" t="n">
        <v>45539.58476851852</v>
      </c>
      <c r="L2810" s="3" t="inlineStr">
        <is>
          <t>355.45</t>
        </is>
      </c>
      <c r="M2810" t="inlineStr">
        <is>
          <t>Köln</t>
        </is>
      </c>
    </row>
    <row r="2811">
      <c r="A2811" t="inlineStr">
        <is>
          <t>CHINOOK 1-BOLT TENDON MAST BASE- Pin Style Windsurf Mastfuss</t>
        </is>
      </c>
      <c r="B2811" s="4" t="n">
        <v>105</v>
      </c>
      <c r="C2811" t="inlineStr"/>
      <c r="D2811" t="inlineStr">
        <is>
          <t>82319 Bayern - Starnberg</t>
        </is>
      </c>
      <c r="E2811" s="5" t="n">
        <v>45568</v>
      </c>
      <c r="F2811" t="inlineStr"/>
      <c r="G2811" s="6">
        <f>HYPERLINK("https://www.kleinanzeigen.de/s-anzeige/chinook-1-bolt-tendon-mast-base-pin-style-windsurf-mastfuss/960881112-230-5525", "Link")</f>
        <v/>
      </c>
      <c r="H2811" s="6">
        <f>HYPERLINK("C:\Projects\Kleinanzeigen-Scraper\offer_images\960881112", "Link")</f>
        <v/>
      </c>
      <c r="I2811" t="inlineStr">
        <is>
          <t>No user name</t>
        </is>
      </c>
      <c r="J2811" s="6">
        <f>HYPERLINK("https://www.kleinanzeigen.deNo user link", "Link")</f>
        <v/>
      </c>
      <c r="K2811" s="7" t="n">
        <v>45539.58476851852</v>
      </c>
      <c r="L2811" s="3" t="inlineStr">
        <is>
          <t>23.17</t>
        </is>
      </c>
      <c r="M2811" t="inlineStr">
        <is>
          <t>München</t>
        </is>
      </c>
    </row>
    <row r="2812">
      <c r="A2812" t="inlineStr">
        <is>
          <t>99NoveNove World Cup Slalom 135l // Windsurf Slalom Board,</t>
        </is>
      </c>
      <c r="B2812" s="4" t="n">
        <v>600</v>
      </c>
      <c r="C2812" t="inlineStr">
        <is>
          <t>VB</t>
        </is>
      </c>
      <c r="D2812" t="inlineStr">
        <is>
          <t>80639 Neuhausen-Nymphenburg - Neuhausen</t>
        </is>
      </c>
      <c r="E2812" s="5" t="n">
        <v>45538</v>
      </c>
      <c r="F2812" t="inlineStr">
        <is>
          <t>Sold</t>
        </is>
      </c>
      <c r="G2812" s="6">
        <f>HYPERLINK("https://www.kleinanzeigen.de/s-anzeige/99novenove-world-cup-slalom-135l-windsurf-slalom-board-/2853701829-230-6420", "Link")</f>
        <v/>
      </c>
      <c r="H2812" s="6">
        <f>HYPERLINK("C:\Projects\Kleinanzeigen-Scraper\offer_images\2853701829", "Link")</f>
        <v/>
      </c>
      <c r="I2812" t="inlineStr">
        <is>
          <t>Torsten Schade</t>
        </is>
      </c>
      <c r="J2812" s="6">
        <f>HYPERLINK("https://www.kleinanzeigen.de/s-bestandsliste.html?userId=9084595", "Link")</f>
        <v/>
      </c>
      <c r="K2812" s="7" t="n">
        <v>45539.58475694444</v>
      </c>
      <c r="L2812" s="3" t="inlineStr">
        <is>
          <t>4.83</t>
        </is>
      </c>
      <c r="M2812" t="inlineStr">
        <is>
          <t>München</t>
        </is>
      </c>
    </row>
    <row r="2813">
      <c r="A2813" t="inlineStr">
        <is>
          <t>Segelhalter Windsurfen Segelgestell Windsurfsegel</t>
        </is>
      </c>
      <c r="B2813" s="4" t="n">
        <v>30</v>
      </c>
      <c r="C2813" t="inlineStr"/>
      <c r="D2813" t="inlineStr">
        <is>
          <t>16515 Brandenburg - Oranienburg</t>
        </is>
      </c>
      <c r="E2813" s="5" t="n">
        <v>45536</v>
      </c>
      <c r="F2813" t="inlineStr">
        <is>
          <t>Sold</t>
        </is>
      </c>
      <c r="G2813" s="6">
        <f>HYPERLINK("https://www.kleinanzeigen.de/s-anzeige/segelhalter-windsurfen-segelgestell-windsurfsegel/2851289088-230-7814", "Link")</f>
        <v/>
      </c>
      <c r="H2813" s="6">
        <f>HYPERLINK("C:\Projects\Kleinanzeigen-Scraper\offer_images\2851289088", "Link")</f>
        <v/>
      </c>
      <c r="I2813" t="inlineStr">
        <is>
          <t>DW</t>
        </is>
      </c>
      <c r="J2813" s="6">
        <f>HYPERLINK("https://www.kleinanzeigen.de/s-bestandsliste.html?userId=7064273", "Link")</f>
        <v/>
      </c>
      <c r="K2813" s="7" t="n">
        <v>45539.5846875</v>
      </c>
      <c r="L2813" s="3" t="inlineStr">
        <is>
          <t>483.59</t>
        </is>
      </c>
      <c r="M2813" t="inlineStr">
        <is>
          <t>Köln</t>
        </is>
      </c>
    </row>
    <row r="2814">
      <c r="A2814" t="inlineStr">
        <is>
          <t>Windsurfen Segeltasche</t>
        </is>
      </c>
      <c r="B2814" s="4" t="n">
        <v>80</v>
      </c>
      <c r="C2814" t="inlineStr">
        <is>
          <t>VB</t>
        </is>
      </c>
      <c r="D2814" t="inlineStr">
        <is>
          <t>13469 Berlin - Reinickendorf</t>
        </is>
      </c>
      <c r="E2814" s="5" t="n">
        <v>45539</v>
      </c>
      <c r="F2814" t="inlineStr">
        <is>
          <t>Sold</t>
        </is>
      </c>
      <c r="G2814" s="6">
        <f>HYPERLINK("https://www.kleinanzeigen.de/s-anzeige/windsurfen-segeltasche/2853894175-230-3456", "Link")</f>
        <v/>
      </c>
      <c r="H2814" s="6">
        <f>HYPERLINK("C:\Projects\Kleinanzeigen-Scraper\offer_images\2853894175", "Link")</f>
        <v/>
      </c>
      <c r="I2814" t="inlineStr">
        <is>
          <t>Robert</t>
        </is>
      </c>
      <c r="J2814" s="6">
        <f>HYPERLINK("https://www.kleinanzeigen.de/s-bestandsliste.html?userId=513380", "Link")</f>
        <v/>
      </c>
      <c r="K2814" s="7" t="n">
        <v>45539.5844212963</v>
      </c>
      <c r="L2814" s="3" t="inlineStr">
        <is>
          <t>476.96</t>
        </is>
      </c>
      <c r="M2814" t="inlineStr">
        <is>
          <t>Köln</t>
        </is>
      </c>
    </row>
    <row r="2815">
      <c r="A2815" t="inlineStr">
        <is>
          <t>Goya 2023 banzai x pro</t>
        </is>
      </c>
      <c r="B2815" s="4" t="inlineStr">
        <is>
          <t>Vb</t>
        </is>
      </c>
      <c r="C2815" t="inlineStr"/>
      <c r="D2815" t="inlineStr">
        <is>
          <t>Köln/Tübingen</t>
        </is>
      </c>
      <c r="E2815" s="5" t="n">
        <v>45537</v>
      </c>
      <c r="F2815" t="inlineStr">
        <is>
          <t>Sold</t>
        </is>
      </c>
      <c r="G2815" s="6">
        <f>HYPERLINK("https://www.dailydose.de/kleinanzeigen/detail.htm?ai=421964&amp;cf=kk&amp;pg=4&amp;ci=5", "Link")</f>
        <v/>
      </c>
      <c r="H2815" s="6">
        <f>HYPERLINK("C:\Projects\Kleinanzeigen-Scraper\offer_images\421964", "Link")</f>
        <v/>
      </c>
      <c r="I2815" t="inlineStr">
        <is>
          <t>H_michi09</t>
        </is>
      </c>
      <c r="J2815" s="6">
        <f>HYPERLINK("https://www.dailydose.de/kleinanzeigen/user/25756", "Link")</f>
        <v/>
      </c>
      <c r="K2815" s="7" t="n">
        <v>45538.57047453704</v>
      </c>
      <c r="L2815" s="3" t="inlineStr">
        <is>
          <t>3.63</t>
        </is>
      </c>
      <c r="M2815" t="inlineStr">
        <is>
          <t>Köln</t>
        </is>
      </c>
    </row>
    <row r="2816">
      <c r="A2816" t="inlineStr">
        <is>
          <t>Starboard 2019 ab 100 Euro</t>
        </is>
      </c>
      <c r="B2816" s="4" t="inlineStr">
        <is>
          <t>ab 100</t>
        </is>
      </c>
      <c r="C2816" t="inlineStr"/>
      <c r="D2816" t="inlineStr">
        <is>
          <t>24148 Kiel</t>
        </is>
      </c>
      <c r="E2816" s="5" t="n">
        <v>45537</v>
      </c>
      <c r="F2816" t="inlineStr">
        <is>
          <t>Sold</t>
        </is>
      </c>
      <c r="G2816" s="6">
        <f>HYPERLINK("https://www.dailydose.de/kleinanzeigen/detail.htm?ai=421941&amp;cf=kk&amp;pg=5&amp;ci=11", "Link")</f>
        <v/>
      </c>
      <c r="H2816" s="6">
        <f>HYPERLINK("C:\Projects\Kleinanzeigen-Scraper\offer_images\421941", "Link")</f>
        <v/>
      </c>
      <c r="I2816" t="inlineStr">
        <is>
          <t>chris79_JP_NP_SB</t>
        </is>
      </c>
      <c r="J2816" s="6">
        <f>HYPERLINK("https://www.dailydose.de/kleinanzeigen/user/26349", "Link")</f>
        <v/>
      </c>
      <c r="K2816" s="7" t="n">
        <v>45538.56953703704</v>
      </c>
      <c r="L2816" s="3" t="inlineStr">
        <is>
          <t>433.89</t>
        </is>
      </c>
      <c r="M2816" t="inlineStr">
        <is>
          <t>Köln</t>
        </is>
      </c>
    </row>
    <row r="2817">
      <c r="A2817" t="inlineStr">
        <is>
          <t>JP 2019 Diverse Modelle ab 100 Euro</t>
        </is>
      </c>
      <c r="B2817" s="4" t="inlineStr">
        <is>
          <t>ab 100</t>
        </is>
      </c>
      <c r="C2817" t="inlineStr"/>
      <c r="D2817" t="inlineStr">
        <is>
          <t>24148 Kiel</t>
        </is>
      </c>
      <c r="E2817" s="5" t="n">
        <v>45537</v>
      </c>
      <c r="F2817" t="inlineStr">
        <is>
          <t>Sold</t>
        </is>
      </c>
      <c r="G2817" s="6">
        <f>HYPERLINK("https://www.dailydose.de/kleinanzeigen/detail.htm?ai=421940&amp;cf=kk&amp;pg=5&amp;ci=11", "Link")</f>
        <v/>
      </c>
      <c r="H2817" s="6">
        <f>HYPERLINK("C:\Projects\Kleinanzeigen-Scraper\offer_images\421940", "Link")</f>
        <v/>
      </c>
      <c r="I2817" t="inlineStr">
        <is>
          <t>chris79_JP_NP_SB</t>
        </is>
      </c>
      <c r="J2817" s="6">
        <f>HYPERLINK("https://www.dailydose.de/kleinanzeigen/user/26349", "Link")</f>
        <v/>
      </c>
      <c r="K2817" s="7" t="n">
        <v>45538.56940972222</v>
      </c>
      <c r="L2817" s="3" t="inlineStr">
        <is>
          <t>433.89</t>
        </is>
      </c>
      <c r="M2817" t="inlineStr">
        <is>
          <t>Köln</t>
        </is>
      </c>
    </row>
    <row r="2818">
      <c r="A2818" t="inlineStr">
        <is>
          <t>Neil Pryde diverse Modelle 2019 ab 25 Euro</t>
        </is>
      </c>
      <c r="B2818" s="4" t="inlineStr">
        <is>
          <t>ab 25</t>
        </is>
      </c>
      <c r="C2818" t="inlineStr"/>
      <c r="D2818" t="inlineStr">
        <is>
          <t>24148 Kiel</t>
        </is>
      </c>
      <c r="E2818" s="5" t="n">
        <v>45537</v>
      </c>
      <c r="F2818" t="inlineStr">
        <is>
          <t>Sold</t>
        </is>
      </c>
      <c r="G2818" s="6">
        <f>HYPERLINK("https://www.dailydose.de/kleinanzeigen/detail.htm?ai=421942&amp;cf=kk&amp;pg=4&amp;ci=5", "Link")</f>
        <v/>
      </c>
      <c r="H2818" s="6">
        <f>HYPERLINK("C:\Projects\Kleinanzeigen-Scraper\offer_images\421942", "Link")</f>
        <v/>
      </c>
      <c r="I2818" t="inlineStr">
        <is>
          <t>chris79_JP_NP_SB</t>
        </is>
      </c>
      <c r="J2818" s="6">
        <f>HYPERLINK("https://www.dailydose.de/kleinanzeigen/user/26349", "Link")</f>
        <v/>
      </c>
      <c r="K2818" s="7" t="n">
        <v>45538.56917824074</v>
      </c>
      <c r="L2818" s="3" t="inlineStr">
        <is>
          <t>433.89</t>
        </is>
      </c>
      <c r="M2818" t="inlineStr">
        <is>
          <t>Köln</t>
        </is>
      </c>
    </row>
    <row r="2819">
      <c r="A2819" t="inlineStr">
        <is>
          <t>Windsurf Foil Set Neuwertig</t>
        </is>
      </c>
      <c r="B2819" s="4" t="n">
        <v>2.75</v>
      </c>
      <c r="C2819" t="inlineStr"/>
      <c r="D2819" t="inlineStr">
        <is>
          <t>85391 Bayern - Allershausen</t>
        </is>
      </c>
      <c r="E2819" s="5" t="n">
        <v>45538</v>
      </c>
      <c r="F2819" t="inlineStr">
        <is>
          <t>Sold</t>
        </is>
      </c>
      <c r="G2819" s="6">
        <f>HYPERLINK("https://www.kleinanzeigen.de/s-anzeige/windsurf-foil-set-neuwertig/2853139842-230-6267", "Link")</f>
        <v/>
      </c>
      <c r="H2819" s="6">
        <f>HYPERLINK("C:\Projects\Kleinanzeigen-Scraper\offer_images\2853139842", "Link")</f>
        <v/>
      </c>
      <c r="I2819" t="inlineStr">
        <is>
          <t>Buchner Markus</t>
        </is>
      </c>
      <c r="J2819" s="6">
        <f>HYPERLINK("https://www.kleinanzeigen.de/s-bestandsliste.html?userId=120799156", "Link")</f>
        <v/>
      </c>
      <c r="K2819" s="7" t="n">
        <v>45538.5670949074</v>
      </c>
      <c r="L2819" s="3" t="inlineStr">
        <is>
          <t>32.76</t>
        </is>
      </c>
      <c r="M2819" t="inlineStr">
        <is>
          <t>München</t>
        </is>
      </c>
    </row>
    <row r="2820">
      <c r="A2820" t="inlineStr">
        <is>
          <t>Klimagerät Windsurfer 3-in-1 Luftkühler klarstein</t>
        </is>
      </c>
      <c r="B2820" s="4" t="inlineStr"/>
      <c r="C2820" t="inlineStr">
        <is>
          <t>VB</t>
        </is>
      </c>
      <c r="D2820" t="inlineStr">
        <is>
          <t>77855 Baden-Württemberg - Achern</t>
        </is>
      </c>
      <c r="E2820" s="5" t="n">
        <v>45538</v>
      </c>
      <c r="F2820" t="inlineStr">
        <is>
          <t>Sold</t>
        </is>
      </c>
      <c r="G2820" s="6">
        <f>HYPERLINK("https://www.kleinanzeigen.de/s-anzeige/klimageraet-windsurfer-3-in-1-luftkuehler-klarstein/2853111901-176-8671", "Link")</f>
        <v/>
      </c>
      <c r="H2820" s="6">
        <f>HYPERLINK("C:\Projects\Kleinanzeigen-Scraper\offer_images\2853111901", "Link")</f>
        <v/>
      </c>
      <c r="I2820" t="inlineStr">
        <is>
          <t>I.E</t>
        </is>
      </c>
      <c r="J2820" s="6">
        <f>HYPERLINK("https://www.kleinanzeigen.de/s-bestandsliste.html?userId=31413404", "Link")</f>
        <v/>
      </c>
      <c r="K2820" s="7" t="n">
        <v>45538.56697916667</v>
      </c>
      <c r="L2820" s="3" t="inlineStr">
        <is>
          <t>49.46</t>
        </is>
      </c>
      <c r="M2820" t="inlineStr">
        <is>
          <t>Karlsruhe</t>
        </is>
      </c>
    </row>
    <row r="2821">
      <c r="A2821" t="inlineStr">
        <is>
          <t>Buch Tricktionary II - Die ultimative Windsurf Bibel</t>
        </is>
      </c>
      <c r="B2821" s="4" t="n">
        <v>15</v>
      </c>
      <c r="C2821" t="inlineStr"/>
      <c r="D2821" t="inlineStr">
        <is>
          <t>94099 Bayern - Ruhstorf an der Rott</t>
        </is>
      </c>
      <c r="E2821" s="5" t="n">
        <v>45538</v>
      </c>
      <c r="F2821" t="inlineStr">
        <is>
          <t>Sold</t>
        </is>
      </c>
      <c r="G2821" s="6">
        <f>HYPERLINK("https://www.kleinanzeigen.de/s-anzeige/buch-tricktionary-ii-die-ultimative-windsurf-bibel/2853040539-76-7454", "Link")</f>
        <v/>
      </c>
      <c r="H2821" s="6">
        <f>HYPERLINK("C:\Projects\Kleinanzeigen-Scraper\offer_images\2853040539", "Link")</f>
        <v/>
      </c>
      <c r="I2821" t="inlineStr">
        <is>
          <t>Handschuhmacher Tobias</t>
        </is>
      </c>
      <c r="J2821" s="6">
        <f>HYPERLINK("https://www.kleinanzeigen.de/s-bestandsliste.html?userId=129228129", "Link")</f>
        <v/>
      </c>
      <c r="K2821" s="7" t="n">
        <v>45538.56674768519</v>
      </c>
      <c r="L2821" s="3" t="inlineStr">
        <is>
          <t>131.80</t>
        </is>
      </c>
      <c r="M2821" t="inlineStr">
        <is>
          <t>München</t>
        </is>
      </c>
    </row>
    <row r="2822">
      <c r="A2822" t="inlineStr">
        <is>
          <t>WINDSURFEN! WINGFOIL! Kurse und Verleih.</t>
        </is>
      </c>
      <c r="B2822" s="4" t="inlineStr"/>
      <c r="C2822" t="inlineStr">
        <is>
          <t>VB</t>
        </is>
      </c>
      <c r="D2822" t="inlineStr">
        <is>
          <t>26123 Niedersachsen - Oldenburg</t>
        </is>
      </c>
      <c r="E2822" s="5" t="n">
        <v>45537</v>
      </c>
      <c r="F2822" t="inlineStr">
        <is>
          <t>Sold</t>
        </is>
      </c>
      <c r="G2822" s="6">
        <f>HYPERLINK("https://www.kleinanzeigen.de/s-anzeige/windsurfen-wingfoil-kurse-und-verleih-/2852426601-230-3115", "Link")</f>
        <v/>
      </c>
      <c r="H2822" s="6">
        <f>HYPERLINK("C:\Projects\Kleinanzeigen-Scraper\offer_images\2852426601", "Link")</f>
        <v/>
      </c>
      <c r="I2822" t="inlineStr">
        <is>
          <t>Draußen bewegt GmbH</t>
        </is>
      </c>
      <c r="J2822" s="6">
        <f>HYPERLINK("https://www.kleinanzeigen.de/s-bestandsliste.html?userId=47930448", "Link")</f>
        <v/>
      </c>
      <c r="K2822" s="7" t="n">
        <v>45537.57859953704</v>
      </c>
      <c r="L2822" s="3" t="inlineStr">
        <is>
          <t>261.16</t>
        </is>
      </c>
      <c r="M2822" t="inlineStr">
        <is>
          <t>Köln</t>
        </is>
      </c>
    </row>
    <row r="2823">
      <c r="A2823" t="inlineStr">
        <is>
          <t>Ascan Board Noseprotector Windsurfen Neu und unbenutzt</t>
        </is>
      </c>
      <c r="B2823" s="4" t="n">
        <v>10</v>
      </c>
      <c r="C2823" t="inlineStr">
        <is>
          <t>VB</t>
        </is>
      </c>
      <c r="D2823" t="inlineStr">
        <is>
          <t>22397 Wandsbek - Hamburg Duvenstedt</t>
        </is>
      </c>
      <c r="E2823" s="5" t="n">
        <v>45537</v>
      </c>
      <c r="F2823" t="inlineStr">
        <is>
          <t>Sold</t>
        </is>
      </c>
      <c r="G2823" s="6">
        <f>HYPERLINK("https://www.kleinanzeigen.de/s-anzeige/ascan-board-noseprotector-windsurfen-neu-und-unbenutzt/2852494935-230-9473", "Link")</f>
        <v/>
      </c>
      <c r="H2823" s="6">
        <f>HYPERLINK("C:\Projects\Kleinanzeigen-Scraper\offer_images\2852494935", "Link")</f>
        <v/>
      </c>
      <c r="I2823" t="inlineStr">
        <is>
          <t>Oliver</t>
        </is>
      </c>
      <c r="J2823" s="6">
        <f>HYPERLINK("https://www.kleinanzeigen.de/s-bestandsliste.html?userId=14519056", "Link")</f>
        <v/>
      </c>
      <c r="K2823" s="7" t="n">
        <v>45537.57811342592</v>
      </c>
      <c r="L2823" s="3" t="inlineStr">
        <is>
          <t>373.25</t>
        </is>
      </c>
      <c r="M2823" t="inlineStr">
        <is>
          <t>Köln</t>
        </is>
      </c>
    </row>
    <row r="2824">
      <c r="A2824" t="inlineStr">
        <is>
          <t>Wind-/Surf Doppel-Boardbag mit großen Rollen, länge 265cm</t>
        </is>
      </c>
      <c r="B2824" s="4" t="n">
        <v>119</v>
      </c>
      <c r="C2824" t="inlineStr">
        <is>
          <t>VB</t>
        </is>
      </c>
      <c r="D2824" t="inlineStr">
        <is>
          <t>42859 Nordrhein-Westfalen - Remscheid</t>
        </is>
      </c>
      <c r="E2824" s="5" t="n">
        <v>45529</v>
      </c>
      <c r="F2824" t="inlineStr">
        <is>
          <t>Sold</t>
        </is>
      </c>
      <c r="G2824" s="6">
        <f>HYPERLINK("https://www.kleinanzeigen.de/s-anzeige/wind-surf-doppel-boardbag-mit-grossen-rollen-laenge-265cm/2846362985-230-1035", "Link")</f>
        <v/>
      </c>
      <c r="H2824" s="6">
        <f>HYPERLINK("C:\Projects\Kleinanzeigen-Scraper\offer_images\2846362985", "Link")</f>
        <v/>
      </c>
      <c r="I2824" t="inlineStr">
        <is>
          <t>Dirk Pelzer</t>
        </is>
      </c>
      <c r="J2824" s="6">
        <f>HYPERLINK("https://www.kleinanzeigen.de/s-bestandsliste.html?userId=23191407", "Link")</f>
        <v/>
      </c>
      <c r="K2824" s="7" t="n">
        <v>45536.96862268518</v>
      </c>
      <c r="L2824" s="3" t="inlineStr">
        <is>
          <t>30.45</t>
        </is>
      </c>
      <c r="M2824" t="inlineStr">
        <is>
          <t>Köln</t>
        </is>
      </c>
    </row>
    <row r="2825">
      <c r="A2825" t="inlineStr">
        <is>
          <t>Segeltasche,Chiemsee,Windsurfen</t>
        </is>
      </c>
      <c r="B2825" s="4" t="n">
        <v>10</v>
      </c>
      <c r="C2825" t="inlineStr"/>
      <c r="D2825" t="inlineStr">
        <is>
          <t>45359 Essen - Essen-Borbeck</t>
        </is>
      </c>
      <c r="E2825" s="5" t="n">
        <v>45529</v>
      </c>
      <c r="F2825" t="inlineStr">
        <is>
          <t>Sold</t>
        </is>
      </c>
      <c r="G2825" s="6">
        <f>HYPERLINK("https://www.kleinanzeigen.de/s-anzeige/segeltasche-chiemsee-windsurfen/2846359057-241-2034", "Link")</f>
        <v/>
      </c>
      <c r="H2825" s="6">
        <f>HYPERLINK("C:\Projects\Kleinanzeigen-Scraper\offer_images\2846359057", "Link")</f>
        <v/>
      </c>
      <c r="I2825" t="inlineStr">
        <is>
          <t>Klaus Wientgens</t>
        </is>
      </c>
      <c r="J2825" s="6">
        <f>HYPERLINK("https://www.kleinanzeigen.de/s-bestandsliste.html?userId=4524911", "Link")</f>
        <v/>
      </c>
      <c r="K2825" s="7" t="n">
        <v>45536.96811342592</v>
      </c>
      <c r="L2825" s="3" t="inlineStr">
        <is>
          <t>58.66</t>
        </is>
      </c>
      <c r="M2825" t="inlineStr">
        <is>
          <t>Köln</t>
        </is>
      </c>
    </row>
    <row r="2826">
      <c r="A2826" t="inlineStr">
        <is>
          <t>Gun Sails Mastbag 3-6 Masten, Neilpryde Boardbag Flugtauglich</t>
        </is>
      </c>
      <c r="B2826" s="4" t="n">
        <v>28</v>
      </c>
      <c r="C2826" t="inlineStr"/>
      <c r="D2826" t="inlineStr">
        <is>
          <t>12527 Berlin oder Versand</t>
        </is>
      </c>
      <c r="E2826" s="5" t="n">
        <v>45463</v>
      </c>
      <c r="F2826" t="inlineStr">
        <is>
          <t>Sold</t>
        </is>
      </c>
      <c r="G2826" s="6">
        <f>HYPERLINK("https://www.dailydose.de/kleinanzeigen/detail.htm?ai=418191&amp;cf=kk&amp;pg=5&amp;ci=2", "Link")</f>
        <v/>
      </c>
      <c r="H2826" s="6">
        <f>HYPERLINK("C:\Projects\Kleinanzeigen-Scraper\offer_images\418191", "Link")</f>
        <v/>
      </c>
      <c r="I2826" t="inlineStr">
        <is>
          <t>stg</t>
        </is>
      </c>
      <c r="J2826" s="6">
        <f>HYPERLINK("https://www.dailydose.de/kleinanzeigen/user/22114", "Link")</f>
        <v/>
      </c>
      <c r="K2826" s="7" t="n">
        <v>45536.9128587963</v>
      </c>
      <c r="L2826" s="3" t="inlineStr">
        <is>
          <t>487.71</t>
        </is>
      </c>
      <c r="M2826" t="inlineStr">
        <is>
          <t>Köln</t>
        </is>
      </c>
    </row>
    <row r="2827">
      <c r="A2827" t="inlineStr">
        <is>
          <t>Masten North, Gaastra und GUN</t>
        </is>
      </c>
      <c r="B2827" s="4" t="n">
        <v>20</v>
      </c>
      <c r="C2827" t="inlineStr"/>
      <c r="D2827" t="inlineStr">
        <is>
          <t>03046 Cottbus</t>
        </is>
      </c>
      <c r="E2827" s="5" t="n">
        <v>45522</v>
      </c>
      <c r="F2827" t="inlineStr">
        <is>
          <t>Sold</t>
        </is>
      </c>
      <c r="G2827" s="6">
        <f>HYPERLINK("https://www.dailydose.de/kleinanzeigen/detail.htm?ai=421087&amp;cf=kk&amp;pg=3&amp;ci=2", "Link")</f>
        <v/>
      </c>
      <c r="H2827" s="6">
        <f>HYPERLINK("C:\Projects\Kleinanzeigen-Scraper\offer_images\421087", "Link")</f>
        <v/>
      </c>
      <c r="I2827" t="inlineStr">
        <is>
          <t>Volker_43</t>
        </is>
      </c>
      <c r="J2827" s="6">
        <f>HYPERLINK("https://www.dailydose.de/kleinanzeigen/user/5186", "Link")</f>
        <v/>
      </c>
      <c r="K2827" s="7" t="n">
        <v>45536.91276620371</v>
      </c>
      <c r="L2827" s="3" t="inlineStr">
        <is>
          <t>447.53</t>
        </is>
      </c>
      <c r="M2827" t="inlineStr">
        <is>
          <t>München</t>
        </is>
      </c>
    </row>
    <row r="2828">
      <c r="A2828" t="inlineStr">
        <is>
          <t>Gath Helm Kite Surf Windsurf Wing Foil Wakeboard Golfsurf Ski</t>
        </is>
      </c>
      <c r="B2828" s="4" t="n">
        <v>60</v>
      </c>
      <c r="C2828" t="inlineStr">
        <is>
          <t>VB</t>
        </is>
      </c>
      <c r="D2828" t="inlineStr">
        <is>
          <t>40476 Düsseldorf - Derendorf</t>
        </is>
      </c>
      <c r="E2828" s="5" t="n">
        <v>45533</v>
      </c>
      <c r="F2828" t="inlineStr">
        <is>
          <t>Sold</t>
        </is>
      </c>
      <c r="G2828" s="6">
        <f>HYPERLINK("https://www.kleinanzeigen.de/s-anzeige/gath-helm-kite-surf-windsurf-wing-foil-wakeboard-golfsurf-ski/2849258737-230-29943", "Link")</f>
        <v/>
      </c>
      <c r="H2828" s="6">
        <f>HYPERLINK("C:\Projects\Kleinanzeigen-Scraper\offer_images\2849258737", "Link")</f>
        <v/>
      </c>
      <c r="I2828" t="inlineStr">
        <is>
          <t>Christoph Michel</t>
        </is>
      </c>
      <c r="J2828" s="6">
        <f>HYPERLINK("https://www.kleinanzeigen.de/s-bestandsliste.html?userId=11572880", "Link")</f>
        <v/>
      </c>
      <c r="K2828" s="7" t="n">
        <v>45536.91046296297</v>
      </c>
      <c r="L2828" s="3" t="inlineStr">
        <is>
          <t>36.50</t>
        </is>
      </c>
      <c r="M2828" t="inlineStr">
        <is>
          <t>Köln</t>
        </is>
      </c>
    </row>
    <row r="2829">
      <c r="A2829" t="inlineStr">
        <is>
          <t>Kaffe Naya Capri Shorts kurze 3/4 Hose 44 hellblau Windsurfer</t>
        </is>
      </c>
      <c r="B2829" s="4" t="n">
        <v>22</v>
      </c>
      <c r="C2829" t="inlineStr"/>
      <c r="D2829" t="inlineStr">
        <is>
          <t>65760 Hessen - Eschborn</t>
        </is>
      </c>
      <c r="E2829" s="5" t="n">
        <v>45526</v>
      </c>
      <c r="F2829" t="inlineStr">
        <is>
          <t>Sold</t>
        </is>
      </c>
      <c r="G2829" s="6">
        <f>HYPERLINK("https://www.kleinanzeigen.de/s-anzeige/kaffe-naya-capri-shorts-kurze-3-4-hose-44-hellblau-windsurfer/2843814919-154-4559", "Link")</f>
        <v/>
      </c>
      <c r="H2829" s="6">
        <f>HYPERLINK("C:\Projects\Kleinanzeigen-Scraper\offer_images\2843814919", "Link")</f>
        <v/>
      </c>
      <c r="I2829" t="inlineStr">
        <is>
          <t>Barbara</t>
        </is>
      </c>
      <c r="J2829" s="6">
        <f>HYPERLINK("https://www.kleinanzeigen.de/s-bestandsliste.html?userId=30059385", "Link")</f>
        <v/>
      </c>
      <c r="K2829" s="7" t="n">
        <v>45536.91046296297</v>
      </c>
      <c r="L2829" s="3" t="inlineStr">
        <is>
          <t>127.84</t>
        </is>
      </c>
      <c r="M2829" t="inlineStr">
        <is>
          <t>Karlsruhe</t>
        </is>
      </c>
    </row>
    <row r="2830">
      <c r="A2830" t="inlineStr">
        <is>
          <t>NeilPryde F4 Flight EVO Carbon windsurf Foil</t>
        </is>
      </c>
      <c r="B2830" s="4" t="n">
        <v>750</v>
      </c>
      <c r="C2830" t="inlineStr"/>
      <c r="D2830" t="inlineStr">
        <is>
          <t>60594 Frankfurt am Main - Sachsenhausen</t>
        </is>
      </c>
      <c r="E2830" s="5" t="n">
        <v>45533</v>
      </c>
      <c r="F2830" t="inlineStr">
        <is>
          <t>Sold</t>
        </is>
      </c>
      <c r="G2830" s="6">
        <f>HYPERLINK("https://www.kleinanzeigen.de/s-anzeige/neilpryde-f4-flight-evo-carbon-windsurf-foil/2849355122-230-4315", "Link")</f>
        <v/>
      </c>
      <c r="H2830" s="6">
        <f>HYPERLINK("C:\Projects\Kleinanzeigen-Scraper\offer_images\2849355122", "Link")</f>
        <v/>
      </c>
      <c r="I2830" t="inlineStr">
        <is>
          <t>Surfer</t>
        </is>
      </c>
      <c r="J2830" s="6">
        <f>HYPERLINK("https://www.kleinanzeigen.de/s-bestandsliste.html?userId=126158423", "Link")</f>
        <v/>
      </c>
      <c r="K2830" s="7" t="n">
        <v>45536.91046296297</v>
      </c>
      <c r="L2830" s="3" t="inlineStr">
        <is>
          <t>123.82</t>
        </is>
      </c>
      <c r="M2830" t="inlineStr">
        <is>
          <t>Karlsruhe</t>
        </is>
      </c>
    </row>
    <row r="2831">
      <c r="A2831" t="inlineStr">
        <is>
          <t>DVD Wild Tracks - Windsurfen F2</t>
        </is>
      </c>
      <c r="B2831" s="4" t="n">
        <v>8</v>
      </c>
      <c r="C2831" t="inlineStr">
        <is>
          <t>VB</t>
        </is>
      </c>
      <c r="D2831" t="inlineStr">
        <is>
          <t>86153 Bayern - Augsburg</t>
        </is>
      </c>
      <c r="E2831" s="5" t="n">
        <v>45528</v>
      </c>
      <c r="F2831" t="inlineStr">
        <is>
          <t>Sold</t>
        </is>
      </c>
      <c r="G2831" s="6">
        <f>HYPERLINK("https://www.kleinanzeigen.de/s-anzeige/dvd-wild-tracks-windsurfen-f2/2845087661-79-7527", "Link")</f>
        <v/>
      </c>
      <c r="H2831" s="6">
        <f>HYPERLINK("C:\Projects\Kleinanzeigen-Scraper\offer_images\2845087661", "Link")</f>
        <v/>
      </c>
      <c r="I2831" t="inlineStr">
        <is>
          <t>V. Erkäufer</t>
        </is>
      </c>
      <c r="J2831" s="6">
        <f>HYPERLINK("https://www.kleinanzeigen.de/s-bestandsliste.html?userId=17587560", "Link")</f>
        <v/>
      </c>
      <c r="K2831" s="7" t="n">
        <v>45536.91043981481</v>
      </c>
      <c r="L2831" s="3" t="inlineStr">
        <is>
          <t>57.17</t>
        </is>
      </c>
      <c r="M2831" t="inlineStr">
        <is>
          <t>München</t>
        </is>
      </c>
    </row>
    <row r="2832">
      <c r="A2832" t="inlineStr">
        <is>
          <t>PLAYMOBIL® 4216 Windracer Windsurfer</t>
        </is>
      </c>
      <c r="B2832" s="4" t="n">
        <v>14</v>
      </c>
      <c r="C2832" t="inlineStr">
        <is>
          <t>VB</t>
        </is>
      </c>
      <c r="D2832" t="inlineStr">
        <is>
          <t>99425 Thüringen - Weimar</t>
        </is>
      </c>
      <c r="E2832" s="5" t="n">
        <v>45531</v>
      </c>
      <c r="F2832" t="inlineStr">
        <is>
          <t>Sold</t>
        </is>
      </c>
      <c r="G2832" s="6">
        <f>HYPERLINK("https://www.kleinanzeigen.de/s-anzeige/playmobil-4216-windracer-windsurfer/2847493380-23-3762", "Link")</f>
        <v/>
      </c>
      <c r="H2832" s="6">
        <f>HYPERLINK("C:\Projects\Kleinanzeigen-Scraper\offer_images\2847493380", "Link")</f>
        <v/>
      </c>
      <c r="I2832" t="inlineStr">
        <is>
          <t>Franziska Fuchs</t>
        </is>
      </c>
      <c r="J2832" s="6">
        <f>HYPERLINK("https://www.kleinanzeigen.de/s-bestandsliste.html?userId=4418747", "Link")</f>
        <v/>
      </c>
      <c r="K2832" s="7" t="n">
        <v>45536.91041666667</v>
      </c>
      <c r="L2832" s="3" t="inlineStr">
        <is>
          <t>304.29</t>
        </is>
      </c>
      <c r="M2832" t="inlineStr">
        <is>
          <t>Karlsruhe</t>
        </is>
      </c>
    </row>
    <row r="2833">
      <c r="A2833" t="inlineStr">
        <is>
          <t>Windsurf Gun Sails Mast Tasche 6er gebraucht gut</t>
        </is>
      </c>
      <c r="B2833" s="4" t="n">
        <v>50</v>
      </c>
      <c r="C2833" t="inlineStr"/>
      <c r="D2833" t="inlineStr">
        <is>
          <t>09111 Sachsen - Chemnitz</t>
        </is>
      </c>
      <c r="E2833" s="5" t="n">
        <v>45531</v>
      </c>
      <c r="F2833" t="inlineStr"/>
      <c r="G2833" s="6">
        <f>HYPERLINK("https://www.kleinanzeigen.de/s-anzeige/windsurf-gun-sails-mast-tasche-6er-gebraucht-gut/2847902956-230-3886", "Link")</f>
        <v/>
      </c>
      <c r="H2833" s="6">
        <f>HYPERLINK("C:\Projects\Kleinanzeigen-Scraper\offer_images\2847902956", "Link")</f>
        <v/>
      </c>
      <c r="I2833" t="inlineStr">
        <is>
          <t>olaf</t>
        </is>
      </c>
      <c r="J2833" s="6">
        <f>HYPERLINK("https://www.kleinanzeigen.de/s-bestandsliste.html?userId=8857923", "Link")</f>
        <v/>
      </c>
      <c r="K2833" s="7" t="n">
        <v>45536.9104050926</v>
      </c>
      <c r="L2833" s="3" t="inlineStr">
        <is>
          <t>315.71</t>
        </is>
      </c>
      <c r="M2833" t="inlineStr">
        <is>
          <t>München</t>
        </is>
      </c>
    </row>
    <row r="2834">
      <c r="A2834" t="inlineStr">
        <is>
          <t>Windsurf Equipment / Rigg / alten Mastfuß</t>
        </is>
      </c>
      <c r="B2834" s="4" t="n">
        <v>50</v>
      </c>
      <c r="C2834" t="inlineStr">
        <is>
          <t>VB</t>
        </is>
      </c>
      <c r="D2834" t="inlineStr">
        <is>
          <t>82418 Bayern - Murnau am Staffelsee</t>
        </is>
      </c>
      <c r="E2834" s="5" t="n">
        <v>45528</v>
      </c>
      <c r="F2834" t="inlineStr">
        <is>
          <t>Sold</t>
        </is>
      </c>
      <c r="G2834" s="6">
        <f>HYPERLINK("https://www.kleinanzeigen.de/s-anzeige/windsurf-equipment-rigg-alten-mastfuss/2845239142-230-10648", "Link")</f>
        <v/>
      </c>
      <c r="H2834" s="6">
        <f>HYPERLINK("C:\Projects\Kleinanzeigen-Scraper\offer_images\2845239142", "Link")</f>
        <v/>
      </c>
      <c r="I2834" t="inlineStr">
        <is>
          <t>Mischa</t>
        </is>
      </c>
      <c r="J2834" s="6">
        <f>HYPERLINK("https://www.kleinanzeigen.de/s-bestandsliste.html?userId=19364436", "Link")</f>
        <v/>
      </c>
      <c r="K2834" s="7" t="n">
        <v>45536.91039351852</v>
      </c>
      <c r="L2834" s="3" t="inlineStr">
        <is>
          <t>57.83</t>
        </is>
      </c>
      <c r="M2834" t="inlineStr">
        <is>
          <t>München</t>
        </is>
      </c>
    </row>
    <row r="2835">
      <c r="A2835" t="inlineStr">
        <is>
          <t>Ich lerne surfen windsurfen Grundschein</t>
        </is>
      </c>
      <c r="B2835" s="4" t="n">
        <v>8</v>
      </c>
      <c r="C2835" t="inlineStr"/>
      <c r="D2835" t="inlineStr">
        <is>
          <t>27607 Niedersachsen - Geestland</t>
        </is>
      </c>
      <c r="E2835" s="5" t="n">
        <v>45536</v>
      </c>
      <c r="F2835" t="inlineStr">
        <is>
          <t>Sold</t>
        </is>
      </c>
      <c r="G2835" s="6">
        <f>HYPERLINK("https://www.kleinanzeigen.de/s-anzeige/ich-lerne-surfen-windsurfen-grundschein/2851796909-77-9733", "Link")</f>
        <v/>
      </c>
      <c r="H2835" s="6">
        <f>HYPERLINK("C:\Projects\Kleinanzeigen-Scraper\offer_images\2851796909", "Link")</f>
        <v/>
      </c>
      <c r="I2835" t="inlineStr">
        <is>
          <t>R.Fiebig</t>
        </is>
      </c>
      <c r="J2835" s="6">
        <f>HYPERLINK("https://www.kleinanzeigen.de/s-bestandsliste.html?userId=10822748", "Link")</f>
        <v/>
      </c>
      <c r="K2835" s="7" t="n">
        <v>45536.9103587963</v>
      </c>
      <c r="L2835" s="3" t="inlineStr">
        <is>
          <t>323.93</t>
        </is>
      </c>
      <c r="M2835" t="inlineStr">
        <is>
          <t>Köln</t>
        </is>
      </c>
    </row>
    <row r="2836">
      <c r="A2836" t="inlineStr">
        <is>
          <t>Surfwagen Surftrolly Windsurfen Surfen</t>
        </is>
      </c>
      <c r="B2836" s="4" t="n">
        <v>20</v>
      </c>
      <c r="C2836" t="inlineStr"/>
      <c r="D2836" t="inlineStr">
        <is>
          <t>59073 Nordrhein-Westfalen - Hamm</t>
        </is>
      </c>
      <c r="E2836" s="5" t="n">
        <v>45536</v>
      </c>
      <c r="F2836" t="inlineStr">
        <is>
          <t>Sold</t>
        </is>
      </c>
      <c r="G2836" s="6">
        <f>HYPERLINK("https://www.kleinanzeigen.de/s-anzeige/surfwagen-surftrolly-windsurfen-surfen/2852051996-230-2020", "Link")</f>
        <v/>
      </c>
      <c r="H2836" s="6">
        <f>HYPERLINK("C:\Projects\Kleinanzeigen-Scraper\offer_images\2852051996", "Link")</f>
        <v/>
      </c>
      <c r="I2836" t="inlineStr">
        <is>
          <t>Stewing</t>
        </is>
      </c>
      <c r="J2836" s="6">
        <f>HYPERLINK("https://www.kleinanzeigen.de/s-bestandsliste.html?userId=9550719", "Link")</f>
        <v/>
      </c>
      <c r="K2836" s="7" t="n">
        <v>45536.91033564815</v>
      </c>
      <c r="L2836" s="3" t="inlineStr">
        <is>
          <t>105.16</t>
        </is>
      </c>
      <c r="M2836" t="inlineStr">
        <is>
          <t>Köln</t>
        </is>
      </c>
    </row>
    <row r="2837">
      <c r="A2837" t="inlineStr">
        <is>
          <t>Anhänger 2,7to Surfanhänger Windsurfen Neilpryde</t>
        </is>
      </c>
      <c r="B2837" s="4" t="n">
        <v>9.9</v>
      </c>
      <c r="C2837" t="inlineStr">
        <is>
          <t>VB</t>
        </is>
      </c>
      <c r="D2837" t="inlineStr">
        <is>
          <t>51147 Köln - Porz</t>
        </is>
      </c>
      <c r="E2837" s="5" t="n">
        <v>45533</v>
      </c>
      <c r="F2837" t="inlineStr">
        <is>
          <t>Sold</t>
        </is>
      </c>
      <c r="G2837" s="6">
        <f>HYPERLINK("https://www.kleinanzeigen.de/s-anzeige/anhaenger-2-7to-surfanhaenger-windsurfen-neilpryde/2848955275-276-961", "Link")</f>
        <v/>
      </c>
      <c r="H2837" s="6">
        <f>HYPERLINK("C:\Projects\Kleinanzeigen-Scraper\offer_images\2848955275", "Link")</f>
        <v/>
      </c>
      <c r="I2837" t="inlineStr">
        <is>
          <t>David Maes</t>
        </is>
      </c>
      <c r="J2837" s="6">
        <f>HYPERLINK("https://www.kleinanzeigen.de/s-bestandsliste.html?userId=34144277", "Link")</f>
        <v/>
      </c>
      <c r="K2837" s="7" t="n">
        <v>45536.91032407407</v>
      </c>
      <c r="L2837" s="3" t="inlineStr">
        <is>
          <t>14.27</t>
        </is>
      </c>
      <c r="M2837" t="inlineStr">
        <is>
          <t>Köln</t>
        </is>
      </c>
    </row>
    <row r="2838">
      <c r="A2838" t="inlineStr">
        <is>
          <t>Surfanzug,Damen, Windsurfen</t>
        </is>
      </c>
      <c r="B2838" s="4" t="n">
        <v>10</v>
      </c>
      <c r="C2838" t="inlineStr"/>
      <c r="D2838" t="inlineStr">
        <is>
          <t>45359 Essen - Essen-Borbeck</t>
        </is>
      </c>
      <c r="E2838" s="5" t="n">
        <v>45530</v>
      </c>
      <c r="F2838" t="inlineStr">
        <is>
          <t>Sold</t>
        </is>
      </c>
      <c r="G2838" s="6">
        <f>HYPERLINK("https://www.kleinanzeigen.de/s-anzeige/surfanzug-damen-windsurfen/2847054091-241-2034", "Link")</f>
        <v/>
      </c>
      <c r="H2838" s="6">
        <f>HYPERLINK("C:\Projects\Kleinanzeigen-Scraper\offer_images\2847054091", "Link")</f>
        <v/>
      </c>
      <c r="I2838" t="inlineStr">
        <is>
          <t>Klaus Wientgens</t>
        </is>
      </c>
      <c r="J2838" s="6">
        <f>HYPERLINK("https://www.kleinanzeigen.de/s-bestandsliste.html?userId=4524911", "Link")</f>
        <v/>
      </c>
      <c r="K2838" s="7" t="n">
        <v>45536.9102662037</v>
      </c>
      <c r="L2838" s="3" t="inlineStr">
        <is>
          <t>58.66</t>
        </is>
      </c>
      <c r="M2838" t="inlineStr">
        <is>
          <t>Köln</t>
        </is>
      </c>
    </row>
    <row r="2839">
      <c r="A2839" t="inlineStr">
        <is>
          <t>Sup windsurf und Finnen Adapter wing surfen</t>
        </is>
      </c>
      <c r="B2839" s="4" t="n">
        <v>37</v>
      </c>
      <c r="C2839" t="inlineStr"/>
      <c r="D2839" t="inlineStr">
        <is>
          <t>42349 Wuppertal - Cronenberg</t>
        </is>
      </c>
      <c r="E2839" s="5" t="n">
        <v>45534</v>
      </c>
      <c r="F2839" t="inlineStr">
        <is>
          <t>Sold</t>
        </is>
      </c>
      <c r="G2839" s="6">
        <f>HYPERLINK("https://www.kleinanzeigen.de/s-anzeige/sup-windsurf-und-finnen-adapter-wing-surfen/2849662836-230-1577", "Link")</f>
        <v/>
      </c>
      <c r="H2839" s="6">
        <f>HYPERLINK("C:\Projects\Kleinanzeigen-Scraper\offer_images\2849662836", "Link")</f>
        <v/>
      </c>
      <c r="I2839" t="inlineStr">
        <is>
          <t>Bäcker</t>
        </is>
      </c>
      <c r="J2839" s="6">
        <f>HYPERLINK("https://www.kleinanzeigen.de/s-bestandsliste.html?userId=64143060", "Link")</f>
        <v/>
      </c>
      <c r="K2839" s="7" t="n">
        <v>45536.91024305556</v>
      </c>
      <c r="L2839" s="3" t="inlineStr">
        <is>
          <t>31.91</t>
        </is>
      </c>
      <c r="M2839" t="inlineStr">
        <is>
          <t>Köln</t>
        </is>
      </c>
    </row>
    <row r="2840">
      <c r="A2840" t="inlineStr">
        <is>
          <t>Windsurf Foil / Starboard Super Cruiser 2021</t>
        </is>
      </c>
      <c r="B2840" s="4" t="n">
        <v>550</v>
      </c>
      <c r="C2840" t="inlineStr">
        <is>
          <t>VB</t>
        </is>
      </c>
      <c r="D2840" t="inlineStr">
        <is>
          <t>88131 Bayern - Lindau</t>
        </is>
      </c>
      <c r="E2840" s="5" t="n">
        <v>45528</v>
      </c>
      <c r="F2840" t="inlineStr"/>
      <c r="G2840" s="6">
        <f>HYPERLINK("https://www.kleinanzeigen.de/s-anzeige/windsurf-foil-starboard-super-cruiser-2021/2845108612-230-7707", "Link")</f>
        <v/>
      </c>
      <c r="H2840" s="6">
        <f>HYPERLINK("C:\Projects\Kleinanzeigen-Scraper\offer_images\2845108612", "Link")</f>
        <v/>
      </c>
      <c r="I2840" t="inlineStr">
        <is>
          <t>H. Voss</t>
        </is>
      </c>
      <c r="J2840" s="6">
        <f>HYPERLINK("https://www.kleinanzeigen.de/s-bestandsliste.html?userId=30257156", "Link")</f>
        <v/>
      </c>
      <c r="K2840" s="7" t="n">
        <v>45536.91024305556</v>
      </c>
      <c r="L2840" s="3" t="inlineStr">
        <is>
          <t>104.13</t>
        </is>
      </c>
      <c r="M2840" t="inlineStr">
        <is>
          <t>Bonndorf</t>
        </is>
      </c>
    </row>
    <row r="2841">
      <c r="A2841" t="inlineStr">
        <is>
          <t>Großer Windsurf Gearbag</t>
        </is>
      </c>
      <c r="B2841" s="4" t="n">
        <v>90</v>
      </c>
      <c r="C2841" t="inlineStr">
        <is>
          <t>VB</t>
        </is>
      </c>
      <c r="D2841" t="inlineStr">
        <is>
          <t>85055 Bayern - Ingolstadt</t>
        </is>
      </c>
      <c r="E2841" s="5" t="n">
        <v>45533</v>
      </c>
      <c r="F2841" t="inlineStr">
        <is>
          <t>Sold</t>
        </is>
      </c>
      <c r="G2841" s="6">
        <f>HYPERLINK("https://www.kleinanzeigen.de/s-anzeige/grosser-windsurf-gearbag/2849514060-230-7613", "Link")</f>
        <v/>
      </c>
      <c r="H2841" s="6">
        <f>HYPERLINK("C:\Projects\Kleinanzeigen-Scraper\offer_images\2849514060", "Link")</f>
        <v/>
      </c>
      <c r="I2841" t="inlineStr">
        <is>
          <t>Martin</t>
        </is>
      </c>
      <c r="J2841" s="6">
        <f>HYPERLINK("https://www.kleinanzeigen.de/s-bestandsliste.html?userId=10720718", "Link")</f>
        <v/>
      </c>
      <c r="K2841" s="7" t="n">
        <v>45536.91023148148</v>
      </c>
      <c r="L2841" s="3" t="inlineStr">
        <is>
          <t>73.53</t>
        </is>
      </c>
      <c r="M2841" t="inlineStr">
        <is>
          <t>München</t>
        </is>
      </c>
    </row>
    <row r="2842">
      <c r="A2842" t="inlineStr">
        <is>
          <t>Surfbus Kastenwagen Wohnmobil Windsurfen Surfen</t>
        </is>
      </c>
      <c r="B2842" s="4" t="n">
        <v>49</v>
      </c>
      <c r="C2842" t="inlineStr">
        <is>
          <t>VB</t>
        </is>
      </c>
      <c r="D2842" t="inlineStr">
        <is>
          <t>51147 Köln - Porz</t>
        </is>
      </c>
      <c r="E2842" s="5" t="n">
        <v>45533</v>
      </c>
      <c r="F2842" t="inlineStr">
        <is>
          <t>Sold</t>
        </is>
      </c>
      <c r="G2842" s="6">
        <f>HYPERLINK("https://www.kleinanzeigen.de/s-anzeige/surfbus-kastenwagen-wohnmobil-windsurfen-surfen/2848948073-220-961", "Link")</f>
        <v/>
      </c>
      <c r="H2842" s="6">
        <f>HYPERLINK("C:\Projects\Kleinanzeigen-Scraper\offer_images\2848948073", "Link")</f>
        <v/>
      </c>
      <c r="I2842" t="inlineStr">
        <is>
          <t>David Maes</t>
        </is>
      </c>
      <c r="J2842" s="6">
        <f>HYPERLINK("https://www.kleinanzeigen.de/s-bestandsliste.html?userId=34144277", "Link")</f>
        <v/>
      </c>
      <c r="K2842" s="7" t="n">
        <v>45536.91016203703</v>
      </c>
      <c r="L2842" s="3" t="inlineStr">
        <is>
          <t>14.27</t>
        </is>
      </c>
      <c r="M2842" t="inlineStr">
        <is>
          <t>Köln</t>
        </is>
      </c>
    </row>
    <row r="2843">
      <c r="A2843" t="inlineStr">
        <is>
          <t>Neoprenhose 1,5 mm Surfen, windsurf, Wassersport Gr. XL</t>
        </is>
      </c>
      <c r="B2843" s="4" t="n">
        <v>22</v>
      </c>
      <c r="C2843" t="inlineStr"/>
      <c r="D2843" t="inlineStr">
        <is>
          <t>81476 München - Thalk.Obersendl.-Forsten-Fürstenr.-Solln</t>
        </is>
      </c>
      <c r="E2843" s="5" t="n">
        <v>45532</v>
      </c>
      <c r="F2843" t="inlineStr">
        <is>
          <t>Sold</t>
        </is>
      </c>
      <c r="G2843" s="6">
        <f>HYPERLINK("https://www.kleinanzeigen.de/s-anzeige/neoprenhose-1-5-mm-surfen-windsurf-wassersport-gr-xl/2848868966-230-6436", "Link")</f>
        <v/>
      </c>
      <c r="H2843" s="6">
        <f>HYPERLINK("C:\Projects\Kleinanzeigen-Scraper\offer_images\2848868966", "Link")</f>
        <v/>
      </c>
      <c r="I2843" t="inlineStr">
        <is>
          <t>Mike</t>
        </is>
      </c>
      <c r="J2843" s="6">
        <f>HYPERLINK("https://www.kleinanzeigen.de/s-bestandsliste.html?userId=27971111", "Link")</f>
        <v/>
      </c>
      <c r="K2843" s="7" t="n">
        <v>45536.91013888889</v>
      </c>
      <c r="L2843" s="3" t="inlineStr">
        <is>
          <t>8.19</t>
        </is>
      </c>
      <c r="M2843" t="inlineStr">
        <is>
          <t>München</t>
        </is>
      </c>
    </row>
    <row r="2844">
      <c r="A2844" t="inlineStr">
        <is>
          <t>Boardbag Windsurfen Surfboardtasche Bag</t>
        </is>
      </c>
      <c r="B2844" s="4" t="n">
        <v>35</v>
      </c>
      <c r="C2844" t="inlineStr"/>
      <c r="D2844" t="inlineStr">
        <is>
          <t>45772 Nordrhein-Westfalen - Marl</t>
        </is>
      </c>
      <c r="E2844" s="5" t="n">
        <v>45533</v>
      </c>
      <c r="F2844" t="inlineStr">
        <is>
          <t>Sold</t>
        </is>
      </c>
      <c r="G2844" s="6">
        <f>HYPERLINK("https://www.kleinanzeigen.de/s-anzeige/boardbag-windsurfen-surfboardtasche-bag/2849555138-230-1772", "Link")</f>
        <v/>
      </c>
      <c r="H2844" s="6">
        <f>HYPERLINK("C:\Projects\Kleinanzeigen-Scraper\offer_images\2849555138", "Link")</f>
        <v/>
      </c>
      <c r="I2844" t="inlineStr">
        <is>
          <t>Matrix</t>
        </is>
      </c>
      <c r="J2844" s="6">
        <f>HYPERLINK("https://www.kleinanzeigen.de/s-bestandsliste.html?userId=89106594", "Link")</f>
        <v/>
      </c>
      <c r="K2844" s="7" t="n">
        <v>45536.91013888889</v>
      </c>
      <c r="L2844" s="3" t="inlineStr">
        <is>
          <t>84.29</t>
        </is>
      </c>
      <c r="M2844" t="inlineStr">
        <is>
          <t>Köln</t>
        </is>
      </c>
    </row>
    <row r="2845">
      <c r="A2845" t="inlineStr">
        <is>
          <t>Board Bag Foil SUP Windsurf 7“6 Prolimit</t>
        </is>
      </c>
      <c r="B2845" s="4" t="n">
        <v>80</v>
      </c>
      <c r="C2845" t="inlineStr">
        <is>
          <t>VB</t>
        </is>
      </c>
      <c r="D2845" t="inlineStr">
        <is>
          <t>23683 Kreis Ostholstein - Scharbeutz</t>
        </is>
      </c>
      <c r="E2845" s="5" t="n">
        <v>45531</v>
      </c>
      <c r="F2845" t="inlineStr">
        <is>
          <t>Sold</t>
        </is>
      </c>
      <c r="G2845" s="6">
        <f>HYPERLINK("https://www.kleinanzeigen.de/s-anzeige/board-bag-foil-sup-windsurf-7-6-prolimit/2847421692-230-437", "Link")</f>
        <v/>
      </c>
      <c r="H2845" s="6">
        <f>HYPERLINK("C:\Projects\Kleinanzeigen-Scraper\offer_images\2847421692", "Link")</f>
        <v/>
      </c>
      <c r="I2845" t="inlineStr">
        <is>
          <t>Mitchi</t>
        </is>
      </c>
      <c r="J2845" s="6">
        <f>HYPERLINK("https://www.kleinanzeigen.de/s-bestandsliste.html?userId=135832993", "Link")</f>
        <v/>
      </c>
      <c r="K2845" s="7" t="n">
        <v>45536.91006944444</v>
      </c>
      <c r="L2845" s="3" t="inlineStr">
        <is>
          <t>428.29</t>
        </is>
      </c>
      <c r="M2845" t="inlineStr">
        <is>
          <t>Köln</t>
        </is>
      </c>
    </row>
    <row r="2846">
      <c r="A2846" t="inlineStr">
        <is>
          <t>Windsurf Gun Sails Segel Tasche</t>
        </is>
      </c>
      <c r="B2846" s="4" t="n">
        <v>50</v>
      </c>
      <c r="C2846" t="inlineStr"/>
      <c r="D2846" t="inlineStr">
        <is>
          <t>09111 Sachsen - Chemnitz</t>
        </is>
      </c>
      <c r="E2846" s="5" t="n">
        <v>45531</v>
      </c>
      <c r="F2846" t="inlineStr"/>
      <c r="G2846" s="6">
        <f>HYPERLINK("https://www.kleinanzeigen.de/s-anzeige/windsurf-gun-sails-segel-tasche/2847908375-230-3886", "Link")</f>
        <v/>
      </c>
      <c r="H2846" s="6">
        <f>HYPERLINK("C:\Projects\Kleinanzeigen-Scraper\offer_images\2847908375", "Link")</f>
        <v/>
      </c>
      <c r="I2846" t="inlineStr">
        <is>
          <t>olaf</t>
        </is>
      </c>
      <c r="J2846" s="6">
        <f>HYPERLINK("https://www.kleinanzeigen.de/s-bestandsliste.html?userId=8857923", "Link")</f>
        <v/>
      </c>
      <c r="K2846" s="7" t="n">
        <v>45536.91005787037</v>
      </c>
      <c r="L2846" s="3" t="inlineStr">
        <is>
          <t>315.71</t>
        </is>
      </c>
      <c r="M2846" t="inlineStr">
        <is>
          <t>München</t>
        </is>
      </c>
    </row>
    <row r="2847">
      <c r="A2847" t="inlineStr">
        <is>
          <t>Windsurf Segel Rigg für Kinder</t>
        </is>
      </c>
      <c r="B2847" s="4" t="n">
        <v>55</v>
      </c>
      <c r="C2847" t="inlineStr">
        <is>
          <t>VB</t>
        </is>
      </c>
      <c r="D2847" t="inlineStr">
        <is>
          <t>90571 Bayern - Schwaig</t>
        </is>
      </c>
      <c r="E2847" s="5" t="n">
        <v>45528</v>
      </c>
      <c r="F2847" t="inlineStr">
        <is>
          <t>Sold</t>
        </is>
      </c>
      <c r="G2847" s="6">
        <f>HYPERLINK("https://www.kleinanzeigen.de/s-anzeige/windsurf-segel-rigg-fuer-kinder/2845161093-230-6377", "Link")</f>
        <v/>
      </c>
      <c r="H2847" s="6">
        <f>HYPERLINK("C:\Projects\Kleinanzeigen-Scraper\offer_images\2845161093", "Link")</f>
        <v/>
      </c>
      <c r="I2847" t="inlineStr">
        <is>
          <t>Bernd B.</t>
        </is>
      </c>
      <c r="J2847" s="6">
        <f>HYPERLINK("https://www.kleinanzeigen.de/s-bestandsliste.html?userId=20568095", "Link")</f>
        <v/>
      </c>
      <c r="K2847" s="7" t="n">
        <v>45536.91003472222</v>
      </c>
      <c r="L2847" s="3" t="inlineStr">
        <is>
          <t>151.02</t>
        </is>
      </c>
      <c r="M2847" t="inlineStr">
        <is>
          <t>München</t>
        </is>
      </c>
    </row>
    <row r="2848">
      <c r="A2848" t="inlineStr">
        <is>
          <t>Naish Windsurf Fuselage inkl. Mast 65cm</t>
        </is>
      </c>
      <c r="B2848" s="4" t="n">
        <v>150</v>
      </c>
      <c r="C2848" t="inlineStr">
        <is>
          <t>VB</t>
        </is>
      </c>
      <c r="D2848" t="inlineStr">
        <is>
          <t>27367 Niedersachsen - Sottrum</t>
        </is>
      </c>
      <c r="E2848" s="5" t="n">
        <v>45535</v>
      </c>
      <c r="F2848" t="inlineStr">
        <is>
          <t>Sold</t>
        </is>
      </c>
      <c r="G2848" s="6">
        <f>HYPERLINK("https://www.kleinanzeigen.de/s-anzeige/naish-windsurf-fuselage-inkl-mast-65cm/2850615302-230-2938", "Link")</f>
        <v/>
      </c>
      <c r="H2848" s="6">
        <f>HYPERLINK("C:\Projects\Kleinanzeigen-Scraper\offer_images\2850615302", "Link")</f>
        <v/>
      </c>
      <c r="I2848" t="inlineStr">
        <is>
          <t>York Lüssen</t>
        </is>
      </c>
      <c r="J2848" s="6">
        <f>HYPERLINK("https://www.kleinanzeigen.de/s-bestandsliste.html?userId=44325867", "Link")</f>
        <v/>
      </c>
      <c r="K2848" s="7" t="n">
        <v>45536.91003472222</v>
      </c>
      <c r="L2848" s="3" t="inlineStr">
        <is>
          <t>285.68</t>
        </is>
      </c>
      <c r="M2848" t="inlineStr">
        <is>
          <t>Köln</t>
        </is>
      </c>
    </row>
    <row r="2849">
      <c r="A2849" t="inlineStr">
        <is>
          <t>Wing Skate Longboard Mountainboard Inline Wingsurf Windsurf</t>
        </is>
      </c>
      <c r="B2849" s="4" t="n">
        <v>275</v>
      </c>
      <c r="C2849" t="inlineStr">
        <is>
          <t>VB</t>
        </is>
      </c>
      <c r="D2849" t="inlineStr">
        <is>
          <t>31515 Niedersachsen - Wunstorf</t>
        </is>
      </c>
      <c r="E2849" s="5" t="n">
        <v>45535</v>
      </c>
      <c r="F2849" t="inlineStr">
        <is>
          <t>Sold</t>
        </is>
      </c>
      <c r="G2849" s="6">
        <f>HYPERLINK("https://www.kleinanzeigen.de/s-anzeige/wing-skate-longboard-mountainboard-inline-wingsurf-windsurf/2850589058-230-2930", "Link")</f>
        <v/>
      </c>
      <c r="H2849" s="6">
        <f>HYPERLINK("C:\Projects\Kleinanzeigen-Scraper\offer_images\2850589058", "Link")</f>
        <v/>
      </c>
      <c r="I2849" t="inlineStr">
        <is>
          <t>J. A.</t>
        </is>
      </c>
      <c r="J2849" s="6">
        <f>HYPERLINK("https://www.kleinanzeigen.de/s-bestandsliste.html?userId=21599915", "Link")</f>
        <v/>
      </c>
      <c r="K2849" s="7" t="n">
        <v>45536.91001157407</v>
      </c>
      <c r="L2849" s="3" t="inlineStr">
        <is>
          <t>236.47</t>
        </is>
      </c>
      <c r="M2849" t="inlineStr">
        <is>
          <t>Köln</t>
        </is>
      </c>
    </row>
    <row r="2850">
      <c r="A2850" t="inlineStr">
        <is>
          <t>Tribord Kinder Auftriebweste Schwimmweste Segeln Kite Windsurf</t>
        </is>
      </c>
      <c r="B2850" s="4" t="n">
        <v>15</v>
      </c>
      <c r="C2850" t="inlineStr">
        <is>
          <t>VB</t>
        </is>
      </c>
      <c r="D2850" t="inlineStr">
        <is>
          <t>13591 Berlin - Spandau</t>
        </is>
      </c>
      <c r="E2850" s="5" t="n">
        <v>45536</v>
      </c>
      <c r="F2850" t="inlineStr">
        <is>
          <t>Sold</t>
        </is>
      </c>
      <c r="G2850" s="6">
        <f>HYPERLINK("https://www.kleinanzeigen.de/s-anzeige/tribord-kinder-auftriebweste-schwimmweste-segeln-kite-windsurf/2851685117-230-3434", "Link")</f>
        <v/>
      </c>
      <c r="H2850" s="6">
        <f>HYPERLINK("C:\Projects\Kleinanzeigen-Scraper\offer_images\2851685117", "Link")</f>
        <v/>
      </c>
      <c r="I2850" t="inlineStr">
        <is>
          <t>Agni</t>
        </is>
      </c>
      <c r="J2850" s="6">
        <f>HYPERLINK("https://www.kleinanzeigen.de/s-bestandsliste.html?userId=58282170", "Link")</f>
        <v/>
      </c>
      <c r="K2850" s="7" t="n">
        <v>45536.90994212963</v>
      </c>
      <c r="L2850" s="3" t="inlineStr">
        <is>
          <t>461.49</t>
        </is>
      </c>
      <c r="M2850" t="inlineStr">
        <is>
          <t>Köln</t>
        </is>
      </c>
    </row>
    <row r="2851">
      <c r="A2851" t="inlineStr">
        <is>
          <t>Unifiber Windsurf Boardbag Blackline Roofrack 260x80 wie NEU</t>
        </is>
      </c>
      <c r="B2851" s="4" t="n">
        <v>220</v>
      </c>
      <c r="C2851" t="inlineStr">
        <is>
          <t>VB</t>
        </is>
      </c>
      <c r="D2851" t="inlineStr">
        <is>
          <t>30163 Hannover - Vahrenwald-List</t>
        </is>
      </c>
      <c r="E2851" s="5" t="n">
        <v>45531</v>
      </c>
      <c r="F2851" t="inlineStr">
        <is>
          <t>Sold</t>
        </is>
      </c>
      <c r="G2851" s="6">
        <f>HYPERLINK("https://www.kleinanzeigen.de/s-anzeige/unifiber-windsurf-boardbag-blackline-roofrack-260x80-wie-neu/2847396975-230-3170", "Link")</f>
        <v/>
      </c>
      <c r="H2851" s="6">
        <f>HYPERLINK("C:\Projects\Kleinanzeigen-Scraper\offer_images\2847396975", "Link")</f>
        <v/>
      </c>
      <c r="I2851" t="inlineStr">
        <is>
          <t>Jöhrens</t>
        </is>
      </c>
      <c r="J2851" s="6">
        <f>HYPERLINK("https://www.kleinanzeigen.de/s-bestandsliste.html?userId=7141087", "Link")</f>
        <v/>
      </c>
      <c r="K2851" s="7" t="n">
        <v>45536.90991898148</v>
      </c>
      <c r="L2851" s="3" t="inlineStr">
        <is>
          <t>252.08</t>
        </is>
      </c>
      <c r="M2851" t="inlineStr">
        <is>
          <t>Köln</t>
        </is>
      </c>
    </row>
    <row r="2852">
      <c r="A2852" t="inlineStr">
        <is>
          <t>SUP Windsurf F2 Inflatable 10.6</t>
        </is>
      </c>
      <c r="B2852" s="4" t="n">
        <v>500</v>
      </c>
      <c r="C2852" t="inlineStr">
        <is>
          <t>VB</t>
        </is>
      </c>
      <c r="D2852" t="inlineStr">
        <is>
          <t>85077 Bayern - Manching</t>
        </is>
      </c>
      <c r="E2852" s="5" t="n">
        <v>45525</v>
      </c>
      <c r="F2852" t="inlineStr">
        <is>
          <t>Sold</t>
        </is>
      </c>
      <c r="G2852" s="6">
        <f>HYPERLINK("https://www.kleinanzeigen.de/s-anzeige/sup-windsurf-f2-inflatable-10-6/2842939441-230-7612", "Link")</f>
        <v/>
      </c>
      <c r="H2852" s="6">
        <f>HYPERLINK("C:\Projects\Kleinanzeigen-Scraper\offer_images\2842939441", "Link")</f>
        <v/>
      </c>
      <c r="I2852" t="inlineStr">
        <is>
          <t>Jochen</t>
        </is>
      </c>
      <c r="J2852" s="6">
        <f>HYPERLINK("https://www.kleinanzeigen.de/s-bestandsliste.html?userId=56779818", "Link")</f>
        <v/>
      </c>
      <c r="K2852" s="7" t="n">
        <v>45536.90991898148</v>
      </c>
      <c r="L2852" s="3" t="inlineStr">
        <is>
          <t>64.88</t>
        </is>
      </c>
      <c r="M2852" t="inlineStr">
        <is>
          <t>München</t>
        </is>
      </c>
    </row>
    <row r="2853">
      <c r="A2853" t="inlineStr">
        <is>
          <t>Starboard Carbon Race Plus - Windsurf Race Foil NEU</t>
        </is>
      </c>
      <c r="B2853" s="4" t="n">
        <v>1.799</v>
      </c>
      <c r="C2853" t="inlineStr">
        <is>
          <t>VB</t>
        </is>
      </c>
      <c r="D2853" t="inlineStr">
        <is>
          <t>82319 Bayern - Starnberg</t>
        </is>
      </c>
      <c r="E2853" s="5" t="n">
        <v>45565</v>
      </c>
      <c r="F2853" t="inlineStr"/>
      <c r="G2853" s="6">
        <f>HYPERLINK("https://www.kleinanzeigen.de/s-anzeige/starboard-carbon-race-plus-windsurf-race-foil-neu/1798897057-230-5525", "Link")</f>
        <v/>
      </c>
      <c r="H2853" s="6">
        <f>HYPERLINK("C:\Projects\Kleinanzeigen-Scraper\offer_images\1798897057", "Link")</f>
        <v/>
      </c>
      <c r="I2853" t="inlineStr">
        <is>
          <t>No user name</t>
        </is>
      </c>
      <c r="J2853" s="6">
        <f>HYPERLINK("https://www.kleinanzeigen.deNo user link", "Link")</f>
        <v/>
      </c>
      <c r="K2853" s="7" t="n">
        <v>45536.90984953703</v>
      </c>
      <c r="L2853" s="3" t="inlineStr">
        <is>
          <t>23.17</t>
        </is>
      </c>
      <c r="M2853" t="inlineStr">
        <is>
          <t>München</t>
        </is>
      </c>
    </row>
    <row r="2854">
      <c r="A2854" t="inlineStr">
        <is>
          <t>Neilpryde Glide Foil Adapter Surfplate Wing Windsurf</t>
        </is>
      </c>
      <c r="B2854" s="4" t="n">
        <v>165</v>
      </c>
      <c r="C2854" t="inlineStr">
        <is>
          <t>VB</t>
        </is>
      </c>
      <c r="D2854" t="inlineStr">
        <is>
          <t>83629 Bayern - Weyarn</t>
        </is>
      </c>
      <c r="E2854" s="5" t="n">
        <v>45535</v>
      </c>
      <c r="F2854" t="inlineStr">
        <is>
          <t>Sold</t>
        </is>
      </c>
      <c r="G2854" s="6">
        <f>HYPERLINK("https://www.kleinanzeigen.de/s-anzeige/neilpryde-glide-foil-adapter-surfplate-wing-windsurf/2850620133-230-5899", "Link")</f>
        <v/>
      </c>
      <c r="H2854" s="6">
        <f>HYPERLINK("C:\Projects\Kleinanzeigen-Scraper\offer_images\2850620133", "Link")</f>
        <v/>
      </c>
      <c r="I2854" t="inlineStr">
        <is>
          <t>Matthias Suttner</t>
        </is>
      </c>
      <c r="J2854" s="6">
        <f>HYPERLINK("https://www.kleinanzeigen.de/s-bestandsliste.html?userId=6793008", "Link")</f>
        <v/>
      </c>
      <c r="K2854" s="7" t="n">
        <v>45536.90984953703</v>
      </c>
      <c r="L2854" s="3" t="inlineStr">
        <is>
          <t>36.36</t>
        </is>
      </c>
      <c r="M2854" t="inlineStr">
        <is>
          <t>München</t>
        </is>
      </c>
    </row>
    <row r="2855">
      <c r="A2855" t="inlineStr">
        <is>
          <t>Prolimit: Travelbag, Surferbag, Windsurf Technical Bag,</t>
        </is>
      </c>
      <c r="B2855" s="4" t="n">
        <v>25</v>
      </c>
      <c r="C2855" t="inlineStr"/>
      <c r="D2855" t="inlineStr">
        <is>
          <t>85521 Kr. München - Ottobrunn</t>
        </is>
      </c>
      <c r="E2855" s="5" t="n">
        <v>45536</v>
      </c>
      <c r="F2855" t="inlineStr">
        <is>
          <t>Sold</t>
        </is>
      </c>
      <c r="G2855" s="6">
        <f>HYPERLINK("https://www.kleinanzeigen.de/s-anzeige/prolimit-travelbag-surferbag-windsurf-technical-bag-/2851740361-230-15597", "Link")</f>
        <v/>
      </c>
      <c r="H2855" s="6">
        <f>HYPERLINK("C:\Projects\Kleinanzeigen-Scraper\offer_images\2851740361", "Link")</f>
        <v/>
      </c>
      <c r="I2855" t="inlineStr">
        <is>
          <t>Peter J.</t>
        </is>
      </c>
      <c r="J2855" s="6">
        <f>HYPERLINK("https://www.kleinanzeigen.de/s-bestandsliste.html?userId=17296412", "Link")</f>
        <v/>
      </c>
      <c r="K2855" s="7" t="n">
        <v>45536.90983796296</v>
      </c>
      <c r="L2855" s="3" t="inlineStr">
        <is>
          <t>11.05</t>
        </is>
      </c>
      <c r="M2855" t="inlineStr">
        <is>
          <t>München</t>
        </is>
      </c>
    </row>
    <row r="2856">
      <c r="A2856" t="inlineStr">
        <is>
          <t>Neilpryde glide wind Windsurf foil</t>
        </is>
      </c>
      <c r="B2856" s="4" t="n">
        <v>300</v>
      </c>
      <c r="C2856" t="inlineStr"/>
      <c r="D2856" t="inlineStr">
        <is>
          <t>81477 München - Thalk.Obersendl.-Forsten-Fürstenr.-Solln</t>
        </is>
      </c>
      <c r="E2856" s="5" t="n">
        <v>45530</v>
      </c>
      <c r="F2856" t="inlineStr"/>
      <c r="G2856" s="6">
        <f>HYPERLINK("https://www.kleinanzeigen.de/s-anzeige/neilpryde-glide-wind-windsurf-foil/2846715474-230-6435", "Link")</f>
        <v/>
      </c>
      <c r="H2856" s="6">
        <f>HYPERLINK("C:\Projects\Kleinanzeigen-Scraper\offer_images\2846715474", "Link")</f>
        <v/>
      </c>
      <c r="I2856" t="inlineStr">
        <is>
          <t>Markus</t>
        </is>
      </c>
      <c r="J2856" s="6">
        <f>HYPERLINK("https://www.kleinanzeigen.de/s-bestandsliste.html?userId=26815656", "Link")</f>
        <v/>
      </c>
      <c r="K2856" s="7" t="n">
        <v>45536.90981481481</v>
      </c>
      <c r="L2856" s="3" t="inlineStr">
        <is>
          <t>7.49</t>
        </is>
      </c>
      <c r="M2856" t="inlineStr">
        <is>
          <t>München</t>
        </is>
      </c>
    </row>
    <row r="2857">
      <c r="A2857" t="inlineStr">
        <is>
          <t>Surf helm kiten windsurfen Jobe</t>
        </is>
      </c>
      <c r="B2857" s="4" t="n">
        <v>1</v>
      </c>
      <c r="C2857" t="inlineStr"/>
      <c r="D2857" t="inlineStr">
        <is>
          <t>18059 Rostock - Südstadt</t>
        </is>
      </c>
      <c r="E2857" s="5" t="n">
        <v>45535</v>
      </c>
      <c r="F2857" t="inlineStr">
        <is>
          <t>Sold</t>
        </is>
      </c>
      <c r="G2857" s="6">
        <f>HYPERLINK("https://www.kleinanzeigen.de/s-anzeige/surf-helm-kiten-windsurfen-jobe/2850658097-230-13049", "Link")</f>
        <v/>
      </c>
      <c r="H2857" s="6">
        <f>HYPERLINK("C:\Projects\Kleinanzeigen-Scraper\offer_images\2850658097", "Link")</f>
        <v/>
      </c>
      <c r="I2857" t="inlineStr">
        <is>
          <t>Hauke Nagel</t>
        </is>
      </c>
      <c r="J2857" s="6">
        <f>HYPERLINK("https://www.kleinanzeigen.de/s-bestandsliste.html?userId=28050877", "Link")</f>
        <v/>
      </c>
      <c r="K2857" s="7" t="n">
        <v>45536.90981481481</v>
      </c>
      <c r="L2857" s="3" t="inlineStr">
        <is>
          <t>489.44</t>
        </is>
      </c>
      <c r="M2857" t="inlineStr">
        <is>
          <t>Köln</t>
        </is>
      </c>
    </row>
    <row r="2858">
      <c r="A2858" t="inlineStr">
        <is>
          <t>Skateboard zum Windsurfen auf dem Asphalt</t>
        </is>
      </c>
      <c r="B2858" s="4" t="n">
        <v>100</v>
      </c>
      <c r="C2858" t="inlineStr"/>
      <c r="D2858" t="inlineStr">
        <is>
          <t>82041 Kr. München - Oberhaching</t>
        </is>
      </c>
      <c r="E2858" s="5" t="n">
        <v>45534</v>
      </c>
      <c r="F2858" t="inlineStr">
        <is>
          <t>Sold</t>
        </is>
      </c>
      <c r="G2858" s="6">
        <f>HYPERLINK("https://www.kleinanzeigen.de/s-anzeige/skateboard-zum-windsurfen-auf-dem-asphalt/2849690369-230-17092", "Link")</f>
        <v/>
      </c>
      <c r="H2858" s="6">
        <f>HYPERLINK("C:\Projects\Kleinanzeigen-Scraper\offer_images\2849690369", "Link")</f>
        <v/>
      </c>
      <c r="I2858" t="inlineStr">
        <is>
          <t>MK</t>
        </is>
      </c>
      <c r="J2858" s="6">
        <f>HYPERLINK("https://www.kleinanzeigen.de/s-bestandsliste.html?userId=141678126", "Link")</f>
        <v/>
      </c>
      <c r="K2858" s="7" t="n">
        <v>45536.90979166667</v>
      </c>
      <c r="L2858" s="3" t="inlineStr">
        <is>
          <t>12.39</t>
        </is>
      </c>
      <c r="M2858" t="inlineStr">
        <is>
          <t>München</t>
        </is>
      </c>
    </row>
    <row r="2859">
      <c r="A2859" t="inlineStr">
        <is>
          <t>Windsurfen Gabelbaum Fanatic</t>
        </is>
      </c>
      <c r="B2859" s="4" t="inlineStr">
        <is>
          <t>Zu verschenken</t>
        </is>
      </c>
      <c r="C2859" t="inlineStr"/>
      <c r="D2859" t="inlineStr">
        <is>
          <t>34399 Wesertal - Gieselwerder</t>
        </is>
      </c>
      <c r="E2859" s="5" t="n">
        <v>45534</v>
      </c>
      <c r="F2859" t="inlineStr">
        <is>
          <t>Sold</t>
        </is>
      </c>
      <c r="G2859" s="6">
        <f>HYPERLINK("https://www.kleinanzeigen.de/s-anzeige/windsurfen-gabelbaum-fanatic/2850142193-230-2785", "Link")</f>
        <v/>
      </c>
      <c r="H2859" s="6">
        <f>HYPERLINK("C:\Projects\Kleinanzeigen-Scraper\offer_images\2850142193", "Link")</f>
        <v/>
      </c>
      <c r="I2859" t="inlineStr">
        <is>
          <t>Felix Rehbein</t>
        </is>
      </c>
      <c r="J2859" s="6">
        <f>HYPERLINK("https://www.kleinanzeigen.de/s-bestandsliste.html?userId=73499565", "Link")</f>
        <v/>
      </c>
      <c r="K2859" s="7" t="n">
        <v>45536.90979166667</v>
      </c>
      <c r="L2859" s="3" t="inlineStr">
        <is>
          <t>198.50</t>
        </is>
      </c>
      <c r="M2859" t="inlineStr">
        <is>
          <t>Köln</t>
        </is>
      </c>
    </row>
    <row r="2860">
      <c r="A2860" t="inlineStr">
        <is>
          <t>Segeltasche ART groß Segel Windsurf</t>
        </is>
      </c>
      <c r="B2860" s="4" t="n">
        <v>5</v>
      </c>
      <c r="C2860" t="inlineStr"/>
      <c r="D2860" t="inlineStr">
        <is>
          <t>22043 Wandsbek - Hamburg Jenfeld</t>
        </is>
      </c>
      <c r="E2860" s="5" t="n">
        <v>45528</v>
      </c>
      <c r="F2860" t="inlineStr">
        <is>
          <t>Sold</t>
        </is>
      </c>
      <c r="G2860" s="6">
        <f>HYPERLINK("https://www.kleinanzeigen.de/s-anzeige/segeltasche-art-gross-segel-windsurf/2844748825-230-9465", "Link")</f>
        <v/>
      </c>
      <c r="H2860" s="6">
        <f>HYPERLINK("C:\Projects\Kleinanzeigen-Scraper\offer_images\2844748825", "Link")</f>
        <v/>
      </c>
      <c r="I2860" t="inlineStr">
        <is>
          <t>Chris</t>
        </is>
      </c>
      <c r="J2860" s="6">
        <f>HYPERLINK("https://www.kleinanzeigen.de/s-bestandsliste.html?userId=629302", "Link")</f>
        <v/>
      </c>
      <c r="K2860" s="7" t="n">
        <v>45536.90976851852</v>
      </c>
      <c r="L2860" s="3" t="inlineStr">
        <is>
          <t>362.40</t>
        </is>
      </c>
      <c r="M2860" t="inlineStr">
        <is>
          <t>Köln</t>
        </is>
      </c>
    </row>
    <row r="2861">
      <c r="A2861" t="inlineStr">
        <is>
          <t>Windsurf NeilPryde Mast u Segel Tasche</t>
        </is>
      </c>
      <c r="B2861" s="4" t="n">
        <v>89</v>
      </c>
      <c r="C2861" t="inlineStr"/>
      <c r="D2861" t="inlineStr">
        <is>
          <t>09111 Sachsen - Chemnitz</t>
        </is>
      </c>
      <c r="E2861" s="5" t="n">
        <v>45531</v>
      </c>
      <c r="F2861" t="inlineStr"/>
      <c r="G2861" s="6">
        <f>HYPERLINK("https://www.kleinanzeigen.de/s-anzeige/windsurf-neilpryde-mast-u-segel-tasche/2847911287-230-3886", "Link")</f>
        <v/>
      </c>
      <c r="H2861" s="6">
        <f>HYPERLINK("C:\Projects\Kleinanzeigen-Scraper\offer_images\2847911287", "Link")</f>
        <v/>
      </c>
      <c r="I2861" t="inlineStr">
        <is>
          <t>olaf</t>
        </is>
      </c>
      <c r="J2861" s="6">
        <f>HYPERLINK("https://www.kleinanzeigen.de/s-bestandsliste.html?userId=8857923", "Link")</f>
        <v/>
      </c>
      <c r="K2861" s="7" t="n">
        <v>45536.90974537037</v>
      </c>
      <c r="L2861" s="3" t="inlineStr">
        <is>
          <t>315.71</t>
        </is>
      </c>
      <c r="M2861" t="inlineStr">
        <is>
          <t>München</t>
        </is>
      </c>
    </row>
    <row r="2862">
      <c r="A2862" t="inlineStr">
        <is>
          <t>MISTRAL SKI SAILER FUN NEU Windsurfen auf Schnee-Flächen [2613]</t>
        </is>
      </c>
      <c r="B2862" s="4" t="n">
        <v>179</v>
      </c>
      <c r="C2862" t="inlineStr">
        <is>
          <t>VB</t>
        </is>
      </c>
      <c r="D2862" t="inlineStr">
        <is>
          <t>37124 Niedersachsen - Rosdorf</t>
        </is>
      </c>
      <c r="E2862" s="5" t="n">
        <v>45555</v>
      </c>
      <c r="F2862" t="inlineStr"/>
      <c r="G2862" s="6">
        <f>HYPERLINK("https://www.kleinanzeigen.de/s-anzeige/mistral-ski-sailer-fun-neu-windsurfen-auf-schnee-flaechen-2613-/2555861956-230-3133", "Link")</f>
        <v/>
      </c>
      <c r="H2862" s="6">
        <f>HYPERLINK("C:\Projects\Kleinanzeigen-Scraper\offer_images\2555861956", "Link")</f>
        <v/>
      </c>
      <c r="I2862" t="inlineStr">
        <is>
          <t>No user name</t>
        </is>
      </c>
      <c r="J2862" s="6">
        <f>HYPERLINK("https://www.kleinanzeigen.deNo user link", "Link")</f>
        <v/>
      </c>
      <c r="K2862" s="7" t="n">
        <v>45536.90972222222</v>
      </c>
      <c r="L2862" s="3" t="inlineStr">
        <is>
          <t>214.72</t>
        </is>
      </c>
      <c r="M2862" t="inlineStr">
        <is>
          <t>Köln</t>
        </is>
      </c>
    </row>
    <row r="2863">
      <c r="A2863" t="inlineStr">
        <is>
          <t>Lego Sysiem Windsurfer mit Auto</t>
        </is>
      </c>
      <c r="B2863" s="4" t="n">
        <v>7</v>
      </c>
      <c r="C2863" t="inlineStr"/>
      <c r="D2863" t="inlineStr">
        <is>
          <t>10963 Friedrichshain-Kreuzberg - Kreuzberg</t>
        </is>
      </c>
      <c r="E2863" s="5" t="n">
        <v>45533</v>
      </c>
      <c r="F2863" t="inlineStr">
        <is>
          <t>Sold</t>
        </is>
      </c>
      <c r="G2863" s="6">
        <f>HYPERLINK("https://www.kleinanzeigen.de/s-anzeige/lego-sysiem-windsurfer-mit-auto/2849279026-23-3376", "Link")</f>
        <v/>
      </c>
      <c r="H2863" s="6">
        <f>HYPERLINK("C:\Projects\Kleinanzeigen-Scraper\offer_images\2849279026", "Link")</f>
        <v/>
      </c>
      <c r="I2863" t="inlineStr">
        <is>
          <t>EffZehKölle</t>
        </is>
      </c>
      <c r="J2863" s="6">
        <f>HYPERLINK("https://www.kleinanzeigen.de/s-bestandsliste.html?userId=143844688", "Link")</f>
        <v/>
      </c>
      <c r="K2863" s="7" t="n">
        <v>45536.90971064815</v>
      </c>
      <c r="L2863" s="3" t="inlineStr">
        <is>
          <t>475.14</t>
        </is>
      </c>
      <c r="M2863" t="inlineStr">
        <is>
          <t>Köln</t>
        </is>
      </c>
    </row>
    <row r="2864">
      <c r="A2864" t="inlineStr">
        <is>
          <t>Puzzle "Der Windsurfer" 1000 Teile **NEU**</t>
        </is>
      </c>
      <c r="B2864" s="4" t="n">
        <v>3</v>
      </c>
      <c r="C2864" t="inlineStr">
        <is>
          <t>VB</t>
        </is>
      </c>
      <c r="D2864" t="inlineStr">
        <is>
          <t>97424 Bayern - Schweinfurt</t>
        </is>
      </c>
      <c r="E2864" s="5" t="n">
        <v>45536</v>
      </c>
      <c r="F2864" t="inlineStr">
        <is>
          <t>Sold</t>
        </is>
      </c>
      <c r="G2864" s="6">
        <f>HYPERLINK("https://www.kleinanzeigen.de/s-anzeige/puzzle-der-windsurfer-1000-teile-neu-/2851231379-23-6860", "Link")</f>
        <v/>
      </c>
      <c r="H2864" s="6">
        <f>HYPERLINK("C:\Projects\Kleinanzeigen-Scraper\offer_images\2851231379", "Link")</f>
        <v/>
      </c>
      <c r="I2864" t="inlineStr">
        <is>
          <t>Privat</t>
        </is>
      </c>
      <c r="J2864" s="6">
        <f>HYPERLINK("https://www.kleinanzeigen.de/s-bestandsliste.html?userId=11115639", "Link")</f>
        <v/>
      </c>
      <c r="K2864" s="7" t="n">
        <v>45536.90969907407</v>
      </c>
      <c r="L2864" s="3" t="inlineStr">
        <is>
          <t>174.01</t>
        </is>
      </c>
      <c r="M2864" t="inlineStr">
        <is>
          <t>Karlsruhe</t>
        </is>
      </c>
    </row>
    <row r="2865">
      <c r="A2865" t="inlineStr">
        <is>
          <t>Boardbag Windsurf / SUP</t>
        </is>
      </c>
      <c r="B2865" s="4" t="n">
        <v>10</v>
      </c>
      <c r="C2865" t="inlineStr">
        <is>
          <t>VB</t>
        </is>
      </c>
      <c r="D2865" t="inlineStr">
        <is>
          <t>23669 Kreis Ostholstein - Timmendorfer Strand</t>
        </is>
      </c>
      <c r="E2865" s="5" t="n">
        <v>45526</v>
      </c>
      <c r="F2865" t="inlineStr">
        <is>
          <t>Sold</t>
        </is>
      </c>
      <c r="G2865" s="6">
        <f>HYPERLINK("https://www.kleinanzeigen.de/s-anzeige/boardbag-windsurf-sup/2843775281-230-442", "Link")</f>
        <v/>
      </c>
      <c r="H2865" s="6">
        <f>HYPERLINK("C:\Projects\Kleinanzeigen-Scraper\offer_images\2843775281", "Link")</f>
        <v/>
      </c>
      <c r="I2865" t="inlineStr">
        <is>
          <t>Sebastian</t>
        </is>
      </c>
      <c r="J2865" s="6">
        <f>HYPERLINK("https://www.kleinanzeigen.de/s-bestandsliste.html?userId=14768769", "Link")</f>
        <v/>
      </c>
      <c r="K2865" s="7" t="n">
        <v>45536.90969907407</v>
      </c>
      <c r="L2865" s="3" t="inlineStr">
        <is>
          <t>425.88</t>
        </is>
      </c>
      <c r="M2865" t="inlineStr">
        <is>
          <t>Köln</t>
        </is>
      </c>
    </row>
    <row r="2866">
      <c r="A2866" t="inlineStr">
        <is>
          <t>DvD Minds wide Open Windsurfen</t>
        </is>
      </c>
      <c r="B2866" s="4" t="inlineStr"/>
      <c r="C2866" t="inlineStr">
        <is>
          <t>VB</t>
        </is>
      </c>
      <c r="D2866" t="inlineStr">
        <is>
          <t>59368 Nordrhein-Westfalen - Werne</t>
        </is>
      </c>
      <c r="E2866" s="5" t="n">
        <v>45527</v>
      </c>
      <c r="F2866" t="inlineStr">
        <is>
          <t>Sold</t>
        </is>
      </c>
      <c r="G2866" s="6">
        <f>HYPERLINK("https://www.kleinanzeigen.de/s-anzeige/dvd-minds-wide-open-windsurfen/2843954305-230-1446", "Link")</f>
        <v/>
      </c>
      <c r="H2866" s="6">
        <f>HYPERLINK("C:\Projects\Kleinanzeigen-Scraper\offer_images\2843954305", "Link")</f>
        <v/>
      </c>
      <c r="I2866" t="inlineStr">
        <is>
          <t>Privat</t>
        </is>
      </c>
      <c r="J2866" s="6">
        <f>HYPERLINK("https://www.kleinanzeigen.de/s-bestandsliste.html?userId=1892139", "Link")</f>
        <v/>
      </c>
      <c r="K2866" s="7" t="n">
        <v>45536.90969907407</v>
      </c>
      <c r="L2866" s="3" t="inlineStr">
        <is>
          <t>92.66</t>
        </is>
      </c>
      <c r="M2866" t="inlineStr">
        <is>
          <t>Köln</t>
        </is>
      </c>
    </row>
    <row r="2867">
      <c r="A2867" t="inlineStr">
        <is>
          <t>Mystic Poncho Brand 2024 Windsurf Kite Foil Surf</t>
        </is>
      </c>
      <c r="B2867" s="4" t="n">
        <v>69</v>
      </c>
      <c r="C2867" t="inlineStr"/>
      <c r="D2867" t="inlineStr">
        <is>
          <t>82319 Bayern - Starnberg</t>
        </is>
      </c>
      <c r="E2867" s="5" t="n">
        <v>45536</v>
      </c>
      <c r="F2867" t="inlineStr">
        <is>
          <t>Sold</t>
        </is>
      </c>
      <c r="G2867" s="6">
        <f>HYPERLINK("https://www.kleinanzeigen.de/s-anzeige/mystic-poncho-brand-2024-windsurf-kite-foil-surf/2752477054-230-5525", "Link")</f>
        <v/>
      </c>
      <c r="H2867" s="6">
        <f>HYPERLINK("C:\Projects\Kleinanzeigen-Scraper\offer_images\2752477054", "Link")</f>
        <v/>
      </c>
      <c r="I2867" t="inlineStr">
        <is>
          <t>No user name</t>
        </is>
      </c>
      <c r="J2867" s="6">
        <f>HYPERLINK("https://www.kleinanzeigen.deNo user link", "Link")</f>
        <v/>
      </c>
      <c r="K2867" s="7" t="n">
        <v>45536.90967592593</v>
      </c>
      <c r="L2867" s="3" t="inlineStr">
        <is>
          <t>23.17</t>
        </is>
      </c>
      <c r="M2867" t="inlineStr">
        <is>
          <t>München</t>
        </is>
      </c>
    </row>
    <row r="2868">
      <c r="A2868" t="inlineStr">
        <is>
          <t>Neoprenanzüge&amp;Trapeze / Windsurfen&amp;Kitesurfen / Sitz&amp;Hüft</t>
        </is>
      </c>
      <c r="B2868" s="4" t="n">
        <v>50</v>
      </c>
      <c r="C2868" t="inlineStr">
        <is>
          <t>VB</t>
        </is>
      </c>
      <c r="D2868" t="inlineStr">
        <is>
          <t>31535 Niedersachsen - Neustadt am Rübenberge</t>
        </is>
      </c>
      <c r="E2868" s="5" t="n">
        <v>45529</v>
      </c>
      <c r="F2868" t="inlineStr">
        <is>
          <t>Sold</t>
        </is>
      </c>
      <c r="G2868" s="6">
        <f>HYPERLINK("https://www.kleinanzeigen.de/s-anzeige/neoprenanzuege-trapeze-windsurfen-kitesurfen-sitz-hueft/1571846813-230-2912", "Link")</f>
        <v/>
      </c>
      <c r="H2868" s="6">
        <f>HYPERLINK("C:\Projects\Kleinanzeigen-Scraper\offer_images\1571846813", "Link")</f>
        <v/>
      </c>
      <c r="I2868" t="inlineStr">
        <is>
          <t>No user name</t>
        </is>
      </c>
      <c r="J2868" s="6">
        <f>HYPERLINK("https://www.kleinanzeigen.deNo user link", "Link")</f>
        <v/>
      </c>
      <c r="K2868" s="7" t="n">
        <v>45536.90966435185</v>
      </c>
      <c r="L2868" s="3" t="inlineStr">
        <is>
          <t>248.74</t>
        </is>
      </c>
      <c r="M2868" t="inlineStr">
        <is>
          <t>Köln</t>
        </is>
      </c>
    </row>
    <row r="2869">
      <c r="A2869" t="inlineStr">
        <is>
          <t>Gabelbäume zu verschenken Windsurfen</t>
        </is>
      </c>
      <c r="B2869" s="4" t="inlineStr">
        <is>
          <t>No price</t>
        </is>
      </c>
      <c r="C2869" t="inlineStr"/>
      <c r="D2869" t="inlineStr">
        <is>
          <t>10179 Berlin - Mitte</t>
        </is>
      </c>
      <c r="E2869" s="5" t="n">
        <v>45536</v>
      </c>
      <c r="F2869" t="inlineStr">
        <is>
          <t>Sold</t>
        </is>
      </c>
      <c r="G2869" s="6">
        <f>HYPERLINK("https://www.kleinanzeigen.de/s-anzeige/gabelbaeume-zu-verschenken-windsurfen/2851443621-192-3521", "Link")</f>
        <v/>
      </c>
      <c r="H2869" s="6">
        <f>HYPERLINK("C:\Projects\Kleinanzeigen-Scraper\offer_images\2851443621", "Link")</f>
        <v/>
      </c>
      <c r="I2869" t="inlineStr">
        <is>
          <t>Daniel</t>
        </is>
      </c>
      <c r="J2869" s="6">
        <f>HYPERLINK("https://www.kleinanzeigen.de/s-bestandsliste.html?userId=47013193", "Link")</f>
        <v/>
      </c>
      <c r="K2869" s="7" t="n">
        <v>45536.9096412037</v>
      </c>
      <c r="L2869" s="3" t="inlineStr">
        <is>
          <t>477.91</t>
        </is>
      </c>
      <c r="M2869" t="inlineStr">
        <is>
          <t>Köln</t>
        </is>
      </c>
    </row>
    <row r="2870">
      <c r="A2870" t="inlineStr">
        <is>
          <t>Mystic Poncho Cotton Deluxe 2024 Windsurf Kite Surf Foil</t>
        </is>
      </c>
      <c r="B2870" s="4" t="n">
        <v>89</v>
      </c>
      <c r="C2870" t="inlineStr"/>
      <c r="D2870" t="inlineStr">
        <is>
          <t>82319 Bayern - Starnberg</t>
        </is>
      </c>
      <c r="E2870" s="5" t="n">
        <v>45536</v>
      </c>
      <c r="F2870" t="inlineStr">
        <is>
          <t>Sold</t>
        </is>
      </c>
      <c r="G2870" s="6">
        <f>HYPERLINK("https://www.kleinanzeigen.de/s-anzeige/mystic-poncho-cotton-deluxe-2024-windsurf-kite-surf-foil/2752478336-230-5525", "Link")</f>
        <v/>
      </c>
      <c r="H2870" s="6">
        <f>HYPERLINK("C:\Projects\Kleinanzeigen-Scraper\offer_images\2752478336", "Link")</f>
        <v/>
      </c>
      <c r="I2870" t="inlineStr">
        <is>
          <t>No user name</t>
        </is>
      </c>
      <c r="J2870" s="6">
        <f>HYPERLINK("https://www.kleinanzeigen.deNo user link", "Link")</f>
        <v/>
      </c>
      <c r="K2870" s="7" t="n">
        <v>45536.90961805556</v>
      </c>
      <c r="L2870" s="3" t="inlineStr">
        <is>
          <t>23.17</t>
        </is>
      </c>
      <c r="M2870" t="inlineStr">
        <is>
          <t>München</t>
        </is>
      </c>
    </row>
    <row r="2871">
      <c r="A2871" t="inlineStr">
        <is>
          <t>Windsurf Brett Board Segel Mast Gabel-baum Pryde NorthFoil etc</t>
        </is>
      </c>
      <c r="B2871" s="4" t="n">
        <v>100</v>
      </c>
      <c r="C2871" t="inlineStr"/>
      <c r="D2871" t="inlineStr">
        <is>
          <t>80333 München - Maxvorstadt</t>
        </is>
      </c>
      <c r="E2871" s="5" t="n">
        <v>45535</v>
      </c>
      <c r="F2871" t="inlineStr">
        <is>
          <t>Sold</t>
        </is>
      </c>
      <c r="G2871" s="6">
        <f>HYPERLINK("https://www.kleinanzeigen.de/s-anzeige/windsurf-brett-board-segel-mast-gabel-baum-pryde-northfoil-etc/2850542818-230-6441", "Link")</f>
        <v/>
      </c>
      <c r="H2871" s="6">
        <f>HYPERLINK("C:\Projects\Kleinanzeigen-Scraper\offer_images\2850542818", "Link")</f>
        <v/>
      </c>
      <c r="I2871" t="inlineStr">
        <is>
          <t>Powerjiber</t>
        </is>
      </c>
      <c r="J2871" s="6">
        <f>HYPERLINK("https://www.kleinanzeigen.de/s-bestandsliste.html?userId=34126808", "Link")</f>
        <v/>
      </c>
      <c r="K2871" s="7" t="n">
        <v>45536.90961805556</v>
      </c>
      <c r="L2871" s="3" t="inlineStr">
        <is>
          <t>0.91</t>
        </is>
      </c>
      <c r="M2871" t="inlineStr">
        <is>
          <t>München</t>
        </is>
      </c>
    </row>
    <row r="2872">
      <c r="A2872" t="inlineStr">
        <is>
          <t>Windsurf Surf Gunsail Masttasche, für 2 Mäste</t>
        </is>
      </c>
      <c r="B2872" s="4" t="n">
        <v>39</v>
      </c>
      <c r="C2872" t="inlineStr"/>
      <c r="D2872" t="inlineStr">
        <is>
          <t>44797 Bochum - Bochum-Süd</t>
        </is>
      </c>
      <c r="E2872" s="5" t="n">
        <v>45535</v>
      </c>
      <c r="F2872" t="inlineStr">
        <is>
          <t>Sold</t>
        </is>
      </c>
      <c r="G2872" s="6">
        <f>HYPERLINK("https://www.kleinanzeigen.de/s-anzeige/windsurf-surf-gunsail-masttasche-fuer-2-maeste/2850979807-230-1950", "Link")</f>
        <v/>
      </c>
      <c r="H2872" s="6">
        <f>HYPERLINK("C:\Projects\Kleinanzeigen-Scraper\offer_images\2850979807", "Link")</f>
        <v/>
      </c>
      <c r="I2872" t="inlineStr">
        <is>
          <t>Andreas</t>
        </is>
      </c>
      <c r="J2872" s="6">
        <f>HYPERLINK("https://www.kleinanzeigen.de/s-bestandsliste.html?userId=12635410", "Link")</f>
        <v/>
      </c>
      <c r="K2872" s="7" t="n">
        <v>45536.90959490741</v>
      </c>
      <c r="L2872" s="3" t="inlineStr">
        <is>
          <t>57.12</t>
        </is>
      </c>
      <c r="M2872" t="inlineStr">
        <is>
          <t>Köln</t>
        </is>
      </c>
    </row>
    <row r="2873">
      <c r="A2873" t="inlineStr">
        <is>
          <t>Starboard 1000 Frontwing windsurf foil</t>
        </is>
      </c>
      <c r="B2873" s="4" t="n">
        <v>280</v>
      </c>
      <c r="C2873" t="inlineStr"/>
      <c r="D2873" t="inlineStr">
        <is>
          <t>61206 Hessen - Wöllstadt</t>
        </is>
      </c>
      <c r="E2873" s="5" t="n">
        <v>45535</v>
      </c>
      <c r="F2873" t="inlineStr">
        <is>
          <t>Sold</t>
        </is>
      </c>
      <c r="G2873" s="6">
        <f>HYPERLINK("https://www.kleinanzeigen.de/s-anzeige/starboard-1000-frontwing-windsurf-foil/2850602571-230-4525", "Link")</f>
        <v/>
      </c>
      <c r="H2873" s="6">
        <f>HYPERLINK("C:\Projects\Kleinanzeigen-Scraper\offer_images\2850602571", "Link")</f>
        <v/>
      </c>
      <c r="I2873" t="inlineStr">
        <is>
          <t>Ole Schneider</t>
        </is>
      </c>
      <c r="J2873" s="6">
        <f>HYPERLINK("https://www.kleinanzeigen.de/s-bestandsliste.html?userId=82638741", "Link")</f>
        <v/>
      </c>
      <c r="K2873" s="7" t="n">
        <v>45536.90959490741</v>
      </c>
      <c r="L2873" s="3" t="inlineStr">
        <is>
          <t>144.38</t>
        </is>
      </c>
      <c r="M2873" t="inlineStr">
        <is>
          <t>Karlsruhe</t>
        </is>
      </c>
    </row>
    <row r="2874">
      <c r="A2874" t="inlineStr">
        <is>
          <t>Windsurfer, Windsurfen, Metallskulptur, Sailboarder, Surfer, gesc</t>
        </is>
      </c>
      <c r="B2874" s="4" t="n">
        <v>50</v>
      </c>
      <c r="C2874" t="inlineStr">
        <is>
          <t>VB</t>
        </is>
      </c>
      <c r="D2874" t="inlineStr">
        <is>
          <t>91058 Bayern - Erlangen</t>
        </is>
      </c>
      <c r="E2874" s="5" t="n">
        <v>45527</v>
      </c>
      <c r="F2874" t="inlineStr">
        <is>
          <t>Sold</t>
        </is>
      </c>
      <c r="G2874" s="6">
        <f>HYPERLINK("https://www.kleinanzeigen.de/s-anzeige/windsurfer-windsurfen-metallskulptur-sailboarder-surfer-gesc/2844042710-246-6801", "Link")</f>
        <v/>
      </c>
      <c r="H2874" s="6">
        <f>HYPERLINK("C:\Projects\Kleinanzeigen-Scraper\offer_images\2844042710", "Link")</f>
        <v/>
      </c>
      <c r="I2874" t="inlineStr">
        <is>
          <t>Tria</t>
        </is>
      </c>
      <c r="J2874" s="6">
        <f>HYPERLINK("https://www.kleinanzeigen.de/s-bestandsliste.html?userId=140915511", "Link")</f>
        <v/>
      </c>
      <c r="K2874" s="7" t="n">
        <v>45536.90953703703</v>
      </c>
      <c r="L2874" s="3" t="inlineStr">
        <is>
          <t>163.84</t>
        </is>
      </c>
      <c r="M2874" t="inlineStr">
        <is>
          <t>München</t>
        </is>
      </c>
    </row>
    <row r="2875">
      <c r="A2875" t="inlineStr">
        <is>
          <t>Boardbags Windsurfen, Neil Pryde, Wassersport</t>
        </is>
      </c>
      <c r="B2875" s="4" t="inlineStr"/>
      <c r="C2875" t="inlineStr">
        <is>
          <t>VB</t>
        </is>
      </c>
      <c r="D2875" t="inlineStr">
        <is>
          <t>24896 Schleswig-Holstein - Treia</t>
        </is>
      </c>
      <c r="E2875" s="5" t="n">
        <v>45535</v>
      </c>
      <c r="F2875" t="inlineStr">
        <is>
          <t>Sold</t>
        </is>
      </c>
      <c r="G2875" s="6">
        <f>HYPERLINK("https://www.kleinanzeigen.de/s-anzeige/boardbags-windsurfen-neil-pryde-wassersport/2850631964-230-533", "Link")</f>
        <v/>
      </c>
      <c r="H2875" s="6">
        <f>HYPERLINK("C:\Projects\Kleinanzeigen-Scraper\offer_images\2850631964", "Link")</f>
        <v/>
      </c>
      <c r="I2875" t="inlineStr">
        <is>
          <t>Kauf</t>
        </is>
      </c>
      <c r="J2875" s="6">
        <f>HYPERLINK("https://www.kleinanzeigen.de/s-bestandsliste.html?userId=37454238", "Link")</f>
        <v/>
      </c>
      <c r="K2875" s="7" t="n">
        <v>45536.90953703703</v>
      </c>
      <c r="L2875" s="3" t="inlineStr">
        <is>
          <t>429.51</t>
        </is>
      </c>
      <c r="M2875" t="inlineStr">
        <is>
          <t>Köln</t>
        </is>
      </c>
    </row>
    <row r="2876">
      <c r="A2876" t="inlineStr">
        <is>
          <t>Starboard 800 Frontwing windsurf foil</t>
        </is>
      </c>
      <c r="B2876" s="4" t="n">
        <v>250</v>
      </c>
      <c r="C2876" t="inlineStr"/>
      <c r="D2876" t="inlineStr">
        <is>
          <t>61206 Hessen - Wöllstadt</t>
        </is>
      </c>
      <c r="E2876" s="5" t="n">
        <v>45535</v>
      </c>
      <c r="F2876" t="inlineStr">
        <is>
          <t>Sold</t>
        </is>
      </c>
      <c r="G2876" s="6">
        <f>HYPERLINK("https://www.kleinanzeigen.de/s-anzeige/starboard-800-frontwing-windsurf-foil/2850604814-230-4525", "Link")</f>
        <v/>
      </c>
      <c r="H2876" s="6">
        <f>HYPERLINK("C:\Projects\Kleinanzeigen-Scraper\offer_images\2850604814", "Link")</f>
        <v/>
      </c>
      <c r="I2876" t="inlineStr">
        <is>
          <t>Ole Schneider</t>
        </is>
      </c>
      <c r="J2876" s="6">
        <f>HYPERLINK("https://www.kleinanzeigen.de/s-bestandsliste.html?userId=82638741", "Link")</f>
        <v/>
      </c>
      <c r="K2876" s="7" t="n">
        <v>45536.90953703703</v>
      </c>
      <c r="L2876" s="3" t="inlineStr">
        <is>
          <t>144.38</t>
        </is>
      </c>
      <c r="M2876" t="inlineStr">
        <is>
          <t>Karlsruhe</t>
        </is>
      </c>
    </row>
    <row r="2877">
      <c r="A2877" t="inlineStr">
        <is>
          <t>Windsurfen Masttasche 3 - 6 Masten Gunsails</t>
        </is>
      </c>
      <c r="B2877" s="4" t="n">
        <v>28</v>
      </c>
      <c r="C2877" t="inlineStr">
        <is>
          <t>VB</t>
        </is>
      </c>
      <c r="D2877" t="inlineStr">
        <is>
          <t>28203 Östliche Vorstadt - Steintor</t>
        </is>
      </c>
      <c r="E2877" s="5" t="n">
        <v>45536</v>
      </c>
      <c r="F2877" t="inlineStr">
        <is>
          <t>Sold</t>
        </is>
      </c>
      <c r="G2877" s="6">
        <f>HYPERLINK("https://www.kleinanzeigen.de/s-anzeige/windsurfen-masttasche-3-6-masten-gunsails/2851683889-230-13508", "Link")</f>
        <v/>
      </c>
      <c r="H2877" s="6">
        <f>HYPERLINK("C:\Projects\Kleinanzeigen-Scraper\offer_images\2851683889", "Link")</f>
        <v/>
      </c>
      <c r="I2877" t="inlineStr">
        <is>
          <t>Christoph</t>
        </is>
      </c>
      <c r="J2877" s="6">
        <f>HYPERLINK("https://www.kleinanzeigen.de/s-bestandsliste.html?userId=7872153", "Link")</f>
        <v/>
      </c>
      <c r="K2877" s="7" t="n">
        <v>45536.90949074074</v>
      </c>
      <c r="L2877" s="3" t="inlineStr">
        <is>
          <t>269.80</t>
        </is>
      </c>
      <c r="M2877" t="inlineStr">
        <is>
          <t>Köln</t>
        </is>
      </c>
    </row>
    <row r="2878">
      <c r="A2878" t="inlineStr">
        <is>
          <t>Windsurf Masttasche</t>
        </is>
      </c>
      <c r="B2878" s="4" t="n">
        <v>25</v>
      </c>
      <c r="C2878" t="inlineStr"/>
      <c r="D2878" t="inlineStr">
        <is>
          <t>66606 Saarland - St. Wendel</t>
        </is>
      </c>
      <c r="E2878" s="5" t="n">
        <v>45536</v>
      </c>
      <c r="F2878" t="inlineStr">
        <is>
          <t>Sold</t>
        </is>
      </c>
      <c r="G2878" s="6">
        <f>HYPERLINK("https://www.kleinanzeigen.de/s-anzeige/windsurf-masttasche/2851485762-230-316", "Link")</f>
        <v/>
      </c>
      <c r="H2878" s="6">
        <f>HYPERLINK("C:\Projects\Kleinanzeigen-Scraper\offer_images\2851485762", "Link")</f>
        <v/>
      </c>
      <c r="I2878" t="inlineStr">
        <is>
          <t>Frank</t>
        </is>
      </c>
      <c r="J2878" s="6">
        <f>HYPERLINK("https://www.kleinanzeigen.de/s-bestandsliste.html?userId=2001185", "Link")</f>
        <v/>
      </c>
      <c r="K2878" s="7" t="n">
        <v>45536.9094675926</v>
      </c>
      <c r="L2878" s="3" t="inlineStr">
        <is>
          <t>102.07</t>
        </is>
      </c>
      <c r="M2878" t="inlineStr">
        <is>
          <t>Karlsruhe</t>
        </is>
      </c>
    </row>
    <row r="2879">
      <c r="A2879" t="inlineStr">
        <is>
          <t>Surfwagen Windsurf</t>
        </is>
      </c>
      <c r="B2879" s="4" t="n">
        <v>20</v>
      </c>
      <c r="C2879" t="inlineStr"/>
      <c r="D2879" t="inlineStr">
        <is>
          <t>41468 Nordrhein-Westfalen - Neuss</t>
        </is>
      </c>
      <c r="E2879" s="5" t="n">
        <v>45535</v>
      </c>
      <c r="F2879" t="inlineStr">
        <is>
          <t>Sold</t>
        </is>
      </c>
      <c r="G2879" s="6">
        <f>HYPERLINK("https://www.kleinanzeigen.de/s-anzeige/surfwagen-windsurf/2850432213-230-2112", "Link")</f>
        <v/>
      </c>
      <c r="H2879" s="6">
        <f>HYPERLINK("C:\Projects\Kleinanzeigen-Scraper\offer_images\2850432213", "Link")</f>
        <v/>
      </c>
      <c r="I2879" t="inlineStr">
        <is>
          <t>Familie H</t>
        </is>
      </c>
      <c r="J2879" s="6">
        <f>HYPERLINK("https://www.kleinanzeigen.de/s-bestandsliste.html?userId=38602523", "Link")</f>
        <v/>
      </c>
      <c r="K2879" s="7" t="n">
        <v>45536.9094675926</v>
      </c>
      <c r="L2879" s="3" t="inlineStr">
        <is>
          <t>27.78</t>
        </is>
      </c>
      <c r="M2879" t="inlineStr">
        <is>
          <t>Köln</t>
        </is>
      </c>
    </row>
    <row r="2880">
      <c r="A2880" t="inlineStr">
        <is>
          <t>Windsurf Kindersegel</t>
        </is>
      </c>
      <c r="B2880" s="4" t="n">
        <v>60</v>
      </c>
      <c r="C2880" t="inlineStr">
        <is>
          <t>VB</t>
        </is>
      </c>
      <c r="D2880" t="inlineStr">
        <is>
          <t>77955 Baden-Württemberg - Ettenheim</t>
        </is>
      </c>
      <c r="E2880" s="5" t="n">
        <v>45535</v>
      </c>
      <c r="F2880" t="inlineStr">
        <is>
          <t>Sold</t>
        </is>
      </c>
      <c r="G2880" s="6">
        <f>HYPERLINK("https://www.kleinanzeigen.de/s-anzeige/windsurf-kindersegel/2851096800-230-8046", "Link")</f>
        <v/>
      </c>
      <c r="H2880" s="6">
        <f>HYPERLINK("C:\Projects\Kleinanzeigen-Scraper\offer_images\2851096800", "Link")</f>
        <v/>
      </c>
      <c r="I2880" t="inlineStr">
        <is>
          <t>Christoph Ohnemus</t>
        </is>
      </c>
      <c r="J2880" s="6">
        <f>HYPERLINK("https://www.kleinanzeigen.de/s-bestandsliste.html?userId=77287109", "Link")</f>
        <v/>
      </c>
      <c r="K2880" s="7" t="n">
        <v>45536.54817129629</v>
      </c>
      <c r="L2880" s="3" t="inlineStr">
        <is>
          <t>60.97</t>
        </is>
      </c>
      <c r="M2880" t="inlineStr">
        <is>
          <t>Bonndorf</t>
        </is>
      </c>
    </row>
    <row r="2881">
      <c r="A2881" t="inlineStr">
        <is>
          <t>Windsurf Kindertrapez ProLimit</t>
        </is>
      </c>
      <c r="B2881" s="4" t="n">
        <v>60</v>
      </c>
      <c r="C2881" t="inlineStr">
        <is>
          <t>VB</t>
        </is>
      </c>
      <c r="D2881" t="inlineStr">
        <is>
          <t>77955 Baden-Württemberg - Ettenheim</t>
        </is>
      </c>
      <c r="E2881" s="5" t="n">
        <v>45535</v>
      </c>
      <c r="F2881" t="inlineStr">
        <is>
          <t>Sold</t>
        </is>
      </c>
      <c r="G2881" s="6">
        <f>HYPERLINK("https://www.kleinanzeigen.de/s-anzeige/windsurf-kindertrapez-prolimit/2851098789-230-8046", "Link")</f>
        <v/>
      </c>
      <c r="H2881" s="6">
        <f>HYPERLINK("C:\Projects\Kleinanzeigen-Scraper\offer_images\2851098789", "Link")</f>
        <v/>
      </c>
      <c r="I2881" t="inlineStr">
        <is>
          <t>Christoph Ohnemus</t>
        </is>
      </c>
      <c r="J2881" s="6">
        <f>HYPERLINK("https://www.kleinanzeigen.de/s-bestandsliste.html?userId=77287109", "Link")</f>
        <v/>
      </c>
      <c r="K2881" s="7" t="n">
        <v>45536.54751157408</v>
      </c>
      <c r="L2881" s="3" t="inlineStr">
        <is>
          <t>60.97</t>
        </is>
      </c>
      <c r="M2881" t="inlineStr">
        <is>
          <t>Bonndorf</t>
        </is>
      </c>
    </row>
    <row r="2882">
      <c r="A2882" t="inlineStr">
        <is>
          <t>WINDSURF EQIP. **NUR HEUTE**</t>
        </is>
      </c>
      <c r="B2882" s="4" t="inlineStr">
        <is>
          <t>Zu verschenken</t>
        </is>
      </c>
      <c r="C2882" t="inlineStr"/>
      <c r="D2882" t="inlineStr">
        <is>
          <t>64287 Hessen - Darmstadt</t>
        </is>
      </c>
      <c r="E2882" s="5" t="n">
        <v>45535</v>
      </c>
      <c r="F2882" t="inlineStr">
        <is>
          <t>Sold</t>
        </is>
      </c>
      <c r="G2882" s="6">
        <f>HYPERLINK("https://www.kleinanzeigen.de/s-anzeige/windsurf-eqip-nur-heute-/2850613220-230-4894", "Link")</f>
        <v/>
      </c>
      <c r="H2882" s="6">
        <f>HYPERLINK("C:\Projects\Kleinanzeigen-Scraper\offer_images\2850613220", "Link")</f>
        <v/>
      </c>
      <c r="I2882" t="inlineStr">
        <is>
          <t>Clara Werner</t>
        </is>
      </c>
      <c r="J2882" s="6">
        <f>HYPERLINK("https://www.kleinanzeigen.de/s-bestandsliste.html?userId=22290006", "Link")</f>
        <v/>
      </c>
      <c r="K2882" s="7" t="n">
        <v>45535.59340277778</v>
      </c>
      <c r="L2882" s="3" t="inlineStr">
        <is>
          <t>98.08</t>
        </is>
      </c>
      <c r="M2882" t="inlineStr">
        <is>
          <t>Karlsruhe</t>
        </is>
      </c>
    </row>
    <row r="2883">
      <c r="A2883" t="inlineStr">
        <is>
          <t>Windsurf Boardbag</t>
        </is>
      </c>
      <c r="B2883" s="4" t="n">
        <v>60</v>
      </c>
      <c r="C2883" t="inlineStr"/>
      <c r="D2883" t="inlineStr">
        <is>
          <t>71088 Baden-Württemberg - Holzgerlingen</t>
        </is>
      </c>
      <c r="E2883" s="5" t="n">
        <v>45534</v>
      </c>
      <c r="F2883" t="inlineStr">
        <is>
          <t>Sold</t>
        </is>
      </c>
      <c r="G2883" s="6">
        <f>HYPERLINK("https://www.kleinanzeigen.de/s-anzeige/windsurf-boardbag/2849881657-230-8786", "Link")</f>
        <v/>
      </c>
      <c r="H2883" s="6">
        <f>HYPERLINK("C:\Projects\Kleinanzeigen-Scraper\offer_images\2849881657", "Link")</f>
        <v/>
      </c>
      <c r="I2883" t="inlineStr">
        <is>
          <t>Wolff</t>
        </is>
      </c>
      <c r="J2883" s="6">
        <f>HYPERLINK("https://www.kleinanzeigen.de/s-bestandsliste.html?userId=37784847", "Link")</f>
        <v/>
      </c>
      <c r="K2883" s="7" t="n">
        <v>45535.59263888889</v>
      </c>
      <c r="L2883" s="3" t="inlineStr">
        <is>
          <t>4.76</t>
        </is>
      </c>
      <c r="M2883" t="inlineStr">
        <is>
          <t>Böblingen</t>
        </is>
      </c>
    </row>
    <row r="2884">
      <c r="A2884" t="inlineStr">
        <is>
          <t>Neoprenanzug Neil Pryde 3mm Kurzarm Windsurfen</t>
        </is>
      </c>
      <c r="B2884" s="4" t="n">
        <v>50</v>
      </c>
      <c r="C2884" t="inlineStr"/>
      <c r="D2884" t="inlineStr">
        <is>
          <t>70374 Stuttgart - Bad Cannstatt</t>
        </is>
      </c>
      <c r="E2884" s="5" t="n">
        <v>45533</v>
      </c>
      <c r="F2884" t="inlineStr">
        <is>
          <t>Sold</t>
        </is>
      </c>
      <c r="G2884" s="6">
        <f>HYPERLINK("https://www.kleinanzeigen.de/s-anzeige/neoprenanzug-neil-pryde-3mm-kurzarm-windsurfen/2848963626-230-9335", "Link")</f>
        <v/>
      </c>
      <c r="H2884" s="6">
        <f>HYPERLINK("C:\Projects\Kleinanzeigen-Scraper\offer_images\2848963626", "Link")</f>
        <v/>
      </c>
      <c r="I2884" t="inlineStr">
        <is>
          <t>Stephan</t>
        </is>
      </c>
      <c r="J2884" s="6">
        <f>HYPERLINK("https://www.kleinanzeigen.de/s-bestandsliste.html?userId=35669520", "Link")</f>
        <v/>
      </c>
      <c r="K2884" s="7" t="n">
        <v>45533.55894675926</v>
      </c>
      <c r="L2884" s="3" t="inlineStr">
        <is>
          <t>24.40</t>
        </is>
      </c>
      <c r="M2884" t="inlineStr">
        <is>
          <t>Böblingen</t>
        </is>
      </c>
    </row>
    <row r="2885">
      <c r="A2885" t="inlineStr">
        <is>
          <t>Helm Kitehelm Kitesurfen Windsurfen Damen Bern</t>
        </is>
      </c>
      <c r="B2885" s="4" t="n">
        <v>35</v>
      </c>
      <c r="C2885" t="inlineStr"/>
      <c r="D2885" t="inlineStr">
        <is>
          <t>69126 Baden-Württemberg - Heidelberg</t>
        </is>
      </c>
      <c r="E2885" s="5" t="n">
        <v>45526</v>
      </c>
      <c r="F2885" t="inlineStr">
        <is>
          <t>Sold</t>
        </is>
      </c>
      <c r="G2885" s="6">
        <f>HYPERLINK("https://www.kleinanzeigen.de/s-anzeige/helm-kitehelm-kitesurfen-windsurfen-damen-bern/2843560086-230-9177", "Link")</f>
        <v/>
      </c>
      <c r="H2885" s="6">
        <f>HYPERLINK("C:\Projects\Kleinanzeigen-Scraper\offer_images\2843560086", "Link")</f>
        <v/>
      </c>
      <c r="I2885" t="inlineStr">
        <is>
          <t>Franka</t>
        </is>
      </c>
      <c r="J2885" s="6">
        <f>HYPERLINK("https://www.kleinanzeigen.de/s-bestandsliste.html?userId=50268809", "Link")</f>
        <v/>
      </c>
      <c r="K2885" s="7" t="n">
        <v>45531.37912037037</v>
      </c>
      <c r="L2885" s="3" t="inlineStr">
        <is>
          <t>45.82</t>
        </is>
      </c>
      <c r="M2885" t="inlineStr">
        <is>
          <t>Karlsruhe</t>
        </is>
      </c>
    </row>
    <row r="2886">
      <c r="A2886" t="inlineStr">
        <is>
          <t>4St Surfschuhe 38 - 39 Windsurfen Foilen Wingen Kiten</t>
        </is>
      </c>
      <c r="B2886" s="4" t="n">
        <v>40</v>
      </c>
      <c r="C2886" t="inlineStr"/>
      <c r="D2886" t="inlineStr">
        <is>
          <t>67112 Rheinland-Pfalz - Mutterstadt</t>
        </is>
      </c>
      <c r="E2886" s="5" t="n">
        <v>45523</v>
      </c>
      <c r="F2886" t="inlineStr">
        <is>
          <t>Sold</t>
        </is>
      </c>
      <c r="G2886" s="6">
        <f>HYPERLINK("https://www.kleinanzeigen.de/s-anzeige/4st-surfschuhe-38-39-windsurfen-foilen-wingen-kiten/2841009733-230-4958", "Link")</f>
        <v/>
      </c>
      <c r="H2886" s="6">
        <f>HYPERLINK("C:\Projects\Kleinanzeigen-Scraper\offer_images\2841009733", "Link")</f>
        <v/>
      </c>
      <c r="I2886" t="inlineStr">
        <is>
          <t>Reiner</t>
        </is>
      </c>
      <c r="J2886" s="6">
        <f>HYPERLINK("https://www.kleinanzeigen.de/s-bestandsliste.html?userId=16761299", "Link")</f>
        <v/>
      </c>
      <c r="K2886" s="7" t="n">
        <v>45531.37890046297</v>
      </c>
      <c r="L2886" s="3" t="inlineStr">
        <is>
          <t>48.41</t>
        </is>
      </c>
      <c r="M2886" t="inlineStr">
        <is>
          <t>Karlsruhe</t>
        </is>
      </c>
    </row>
    <row r="2887">
      <c r="A2887" t="inlineStr">
        <is>
          <t>Windsurf Foil Carbon Gunsails 1050+900/316 mit Tasche Top</t>
        </is>
      </c>
      <c r="B2887" s="4" t="n">
        <v>389</v>
      </c>
      <c r="C2887" t="inlineStr"/>
      <c r="D2887" t="inlineStr">
        <is>
          <t>66386 Saarland - St. Ingbert</t>
        </is>
      </c>
      <c r="E2887" s="5" t="n">
        <v>45530</v>
      </c>
      <c r="F2887" t="inlineStr">
        <is>
          <t>Sold</t>
        </is>
      </c>
      <c r="G2887" s="6">
        <f>HYPERLINK("https://www.kleinanzeigen.de/s-anzeige/windsurf-foil-carbon-gunsails-1050-900-316-mit-tasche-top/2846739253-230-303", "Link")</f>
        <v/>
      </c>
      <c r="H2887" s="6">
        <f>HYPERLINK("C:\Projects\Kleinanzeigen-Scraper\offer_images\2846739253", "Link")</f>
        <v/>
      </c>
      <c r="I2887" t="inlineStr">
        <is>
          <t>Thomas Schmitt</t>
        </is>
      </c>
      <c r="J2887" s="6">
        <f>HYPERLINK("https://www.kleinanzeigen.de/s-bestandsliste.html?userId=5140230", "Link")</f>
        <v/>
      </c>
      <c r="K2887" s="7" t="n">
        <v>45531.37876157407</v>
      </c>
      <c r="L2887" s="3" t="inlineStr">
        <is>
          <t>96.65</t>
        </is>
      </c>
      <c r="M2887" t="inlineStr">
        <is>
          <t>Karlsruhe</t>
        </is>
      </c>
    </row>
    <row r="2888">
      <c r="A2888" t="inlineStr">
        <is>
          <t>Triboard windsurfen Neoprenanzuglang Gr. M</t>
        </is>
      </c>
      <c r="B2888" s="4" t="n">
        <v>10</v>
      </c>
      <c r="C2888" t="inlineStr"/>
      <c r="D2888" t="inlineStr">
        <is>
          <t>71665 Baden-Württemberg - Vaihingen an der Enz</t>
        </is>
      </c>
      <c r="E2888" s="5" t="n">
        <v>45522</v>
      </c>
      <c r="F2888" t="inlineStr">
        <is>
          <t>Sold</t>
        </is>
      </c>
      <c r="G2888" s="6">
        <f>HYPERLINK("https://www.kleinanzeigen.de/s-anzeige/triboard-windsurfen-neoprenanzuglang-gr-m/2840237025-230-8397", "Link")</f>
        <v/>
      </c>
      <c r="H2888" s="6">
        <f>HYPERLINK("C:\Projects\Kleinanzeigen-Scraper\offer_images\2840237025", "Link")</f>
        <v/>
      </c>
      <c r="I2888" t="inlineStr">
        <is>
          <t>Maik Kynast</t>
        </is>
      </c>
      <c r="J2888" s="6">
        <f>HYPERLINK("https://www.kleinanzeigen.de/s-bestandsliste.html?userId=21036023", "Link")</f>
        <v/>
      </c>
      <c r="K2888" s="7" t="n">
        <v>45531.37849537037</v>
      </c>
      <c r="L2888" s="3" t="inlineStr">
        <is>
          <t>29.96</t>
        </is>
      </c>
      <c r="M2888" t="inlineStr">
        <is>
          <t>Böblingen</t>
        </is>
      </c>
    </row>
    <row r="2889">
      <c r="A2889" t="inlineStr">
        <is>
          <t>Surf Katalog 1987 1988 Windsurfen Zeitschrift</t>
        </is>
      </c>
      <c r="B2889" s="4" t="inlineStr">
        <is>
          <t>Zu verschenken</t>
        </is>
      </c>
      <c r="C2889" t="inlineStr"/>
      <c r="D2889" t="inlineStr">
        <is>
          <t>76307 Baden-Württemberg - Karlsbad</t>
        </is>
      </c>
      <c r="E2889" s="5" t="n">
        <v>45529</v>
      </c>
      <c r="F2889" t="inlineStr">
        <is>
          <t>Sold</t>
        </is>
      </c>
      <c r="G2889" s="6">
        <f>HYPERLINK("https://www.kleinanzeigen.de/s-anzeige/surf-katalog-1987-1988-windsurfen-zeitschrift/2845605111-76-8119", "Link")</f>
        <v/>
      </c>
      <c r="H2889" s="6">
        <f>HYPERLINK("C:\Projects\Kleinanzeigen-Scraper\offer_images\2845605111", "Link")</f>
        <v/>
      </c>
      <c r="I2889" t="inlineStr">
        <is>
          <t>Marie-Claire</t>
        </is>
      </c>
      <c r="J2889" s="6">
        <f>HYPERLINK("https://www.kleinanzeigen.de/s-bestandsliste.html?userId=25557523", "Link")</f>
        <v/>
      </c>
      <c r="K2889" s="7" t="n">
        <v>45531.37836805556</v>
      </c>
      <c r="L2889" s="3" t="inlineStr">
        <is>
          <t>13.72</t>
        </is>
      </c>
      <c r="M2889" t="inlineStr">
        <is>
          <t>Karlsruhe</t>
        </is>
      </c>
    </row>
    <row r="2890">
      <c r="A2890" t="inlineStr">
        <is>
          <t>Retro vintage surf Segel windsurf Segel Deko</t>
        </is>
      </c>
      <c r="B2890" s="4" t="n">
        <v>30</v>
      </c>
      <c r="C2890" t="inlineStr"/>
      <c r="D2890" t="inlineStr">
        <is>
          <t>66386 Saarland - St. Ingbert</t>
        </is>
      </c>
      <c r="E2890" s="5" t="n">
        <v>45518</v>
      </c>
      <c r="F2890" t="inlineStr">
        <is>
          <t>Sold</t>
        </is>
      </c>
      <c r="G2890" s="6">
        <f>HYPERLINK("https://www.kleinanzeigen.de/s-anzeige/retro-vintage-surf-segel-windsurf-segel-deko/2836411733-230-303", "Link")</f>
        <v/>
      </c>
      <c r="H2890" s="6">
        <f>HYPERLINK("C:\Projects\Kleinanzeigen-Scraper\offer_images\2836411733", "Link")</f>
        <v/>
      </c>
      <c r="I2890" t="inlineStr">
        <is>
          <t>R. Kuhn</t>
        </is>
      </c>
      <c r="J2890" s="6">
        <f>HYPERLINK("https://www.kleinanzeigen.de/s-bestandsliste.html?userId=7020186", "Link")</f>
        <v/>
      </c>
      <c r="K2890" s="7" t="n">
        <v>45518.57815972222</v>
      </c>
      <c r="L2890" s="3" t="inlineStr">
        <is>
          <t>96.65</t>
        </is>
      </c>
      <c r="M2890" t="inlineStr">
        <is>
          <t>Karlsruhe</t>
        </is>
      </c>
    </row>
    <row r="2891">
      <c r="A2891" t="inlineStr">
        <is>
          <t>JP Freestyle Wave 111</t>
        </is>
      </c>
      <c r="B2891" s="4" t="n">
        <v>500</v>
      </c>
      <c r="C2891" t="inlineStr">
        <is>
          <t>VB</t>
        </is>
      </c>
      <c r="D2891" t="inlineStr">
        <is>
          <t>67071 Ludwigshafen</t>
        </is>
      </c>
      <c r="E2891" s="5" t="n">
        <v>45514</v>
      </c>
      <c r="F2891" t="inlineStr">
        <is>
          <t>Sold</t>
        </is>
      </c>
      <c r="G2891" s="6">
        <f>HYPERLINK("https://www.dailydose.de/kleinanzeigen/detail.htm?ai=420700&amp;cf=kk&amp;pg=4&amp;ci=11", "Link")</f>
        <v/>
      </c>
      <c r="H2891" s="6">
        <f>HYPERLINK("C:\Projects\Kleinanzeigen-Scraper\offer_images\420700", "Link")</f>
        <v/>
      </c>
      <c r="I2891" t="inlineStr">
        <is>
          <t>windsun</t>
        </is>
      </c>
      <c r="J2891" s="6">
        <f>HYPERLINK("https://www.dailydose.de/kleinanzeigen/user/25093", "Link")</f>
        <v/>
      </c>
      <c r="K2891" s="7" t="n">
        <v>45515.66215277778</v>
      </c>
      <c r="L2891" s="3" t="inlineStr">
        <is>
          <t>52.34</t>
        </is>
      </c>
      <c r="M2891" t="inlineStr">
        <is>
          <t>Karlsruhe</t>
        </is>
      </c>
    </row>
    <row r="2892">
      <c r="A2892" t="inlineStr">
        <is>
          <t>Tabou Rocket Plus Team 133 Carbon</t>
        </is>
      </c>
      <c r="B2892" s="4" t="n">
        <v>1400</v>
      </c>
      <c r="C2892" t="inlineStr">
        <is>
          <t>VB</t>
        </is>
      </c>
      <c r="D2892" t="inlineStr">
        <is>
          <t>67071 Ludwigshafen</t>
        </is>
      </c>
      <c r="E2892" s="5" t="n">
        <v>45514</v>
      </c>
      <c r="F2892" t="inlineStr">
        <is>
          <t>Sold</t>
        </is>
      </c>
      <c r="G2892" s="6">
        <f>HYPERLINK("https://www.dailydose.de/kleinanzeigen/detail.htm?ai=420701&amp;cf=kk&amp;pg=4&amp;ci=11", "Link")</f>
        <v/>
      </c>
      <c r="H2892" s="6">
        <f>HYPERLINK("C:\Projects\Kleinanzeigen-Scraper\offer_images\420701", "Link")</f>
        <v/>
      </c>
      <c r="I2892" t="inlineStr">
        <is>
          <t>windsun</t>
        </is>
      </c>
      <c r="J2892" s="6">
        <f>HYPERLINK("https://www.dailydose.de/kleinanzeigen/user/25093", "Link")</f>
        <v/>
      </c>
      <c r="K2892" s="7" t="n">
        <v>45515.66200231481</v>
      </c>
      <c r="L2892" s="3" t="inlineStr">
        <is>
          <t>52.34</t>
        </is>
      </c>
      <c r="M2892" t="inlineStr">
        <is>
          <t>Karlsruhe</t>
        </is>
      </c>
    </row>
    <row r="2893">
      <c r="A2893" t="inlineStr">
        <is>
          <t>Windsurf-Mastfußverlängerung North Unilock 28 cm SDM</t>
        </is>
      </c>
      <c r="B2893" s="4" t="n">
        <v>20</v>
      </c>
      <c r="C2893" t="inlineStr"/>
      <c r="D2893" t="inlineStr">
        <is>
          <t>71394 Baden-Württemberg - Kernen im Remstal</t>
        </is>
      </c>
      <c r="E2893" s="5" t="n">
        <v>45515</v>
      </c>
      <c r="F2893" t="inlineStr">
        <is>
          <t>Sold</t>
        </is>
      </c>
      <c r="G2893" s="6">
        <f>HYPERLINK("https://www.kleinanzeigen.de/s-anzeige/windsurf-mastfussverlaengerung-north-unilock-28-cm-sdm/2834496762-230-8383", "Link")</f>
        <v/>
      </c>
      <c r="H2893" s="6">
        <f>HYPERLINK("C:\Projects\Kleinanzeigen-Scraper\offer_images\2834496762", "Link")</f>
        <v/>
      </c>
      <c r="I2893" t="inlineStr">
        <is>
          <t>Thomas Bezler</t>
        </is>
      </c>
      <c r="J2893" s="6">
        <f>HYPERLINK("https://www.kleinanzeigen.de/s-bestandsliste.html?userId=31103849", "Link")</f>
        <v/>
      </c>
      <c r="K2893" s="7" t="n">
        <v>45515.66010416667</v>
      </c>
      <c r="L2893" s="3" t="inlineStr">
        <is>
          <t>29.07</t>
        </is>
      </c>
      <c r="M2893" t="inlineStr">
        <is>
          <t>Böblingen</t>
        </is>
      </c>
    </row>
    <row r="2894">
      <c r="A2894" t="inlineStr">
        <is>
          <t>Duotone Warp 7,0 Segel 2019 Windsurfen</t>
        </is>
      </c>
      <c r="B2894" s="4" t="n">
        <v>240</v>
      </c>
      <c r="C2894" t="inlineStr"/>
      <c r="D2894" t="inlineStr">
        <is>
          <t>67112 Rheinland-Pfalz - Mutterstadt</t>
        </is>
      </c>
      <c r="E2894" s="5" t="n">
        <v>45515</v>
      </c>
      <c r="F2894" t="inlineStr">
        <is>
          <t>Sold</t>
        </is>
      </c>
      <c r="G2894" s="6">
        <f>HYPERLINK("https://www.kleinanzeigen.de/s-anzeige/duotone-warp-7-0-segel-2019-windsurfen/2834196724-230-4958", "Link")</f>
        <v/>
      </c>
      <c r="H2894" s="6">
        <f>HYPERLINK("C:\Projects\Kleinanzeigen-Scraper\offer_images\2834196724", "Link")</f>
        <v/>
      </c>
      <c r="I2894" t="inlineStr">
        <is>
          <t>Reiner</t>
        </is>
      </c>
      <c r="J2894" s="6">
        <f>HYPERLINK("https://www.kleinanzeigen.de/s-bestandsliste.html?userId=16761299", "Link")</f>
        <v/>
      </c>
      <c r="K2894" s="7" t="n">
        <v>45515.65986111111</v>
      </c>
      <c r="L2894" s="3" t="inlineStr">
        <is>
          <t>48.41</t>
        </is>
      </c>
      <c r="M2894" t="inlineStr">
        <is>
          <t>Karlsruhe</t>
        </is>
      </c>
    </row>
    <row r="2895">
      <c r="A2895" t="inlineStr">
        <is>
          <t>Trapez North Sails Ergonomic-Slalom Größe S-M Windsurf/Kiten</t>
        </is>
      </c>
      <c r="B2895" s="4" t="n">
        <v>25</v>
      </c>
      <c r="C2895" t="inlineStr"/>
      <c r="D2895" t="inlineStr">
        <is>
          <t>71394 Baden-Württemberg - Kernen im Remstal</t>
        </is>
      </c>
      <c r="E2895" s="5" t="n">
        <v>45515</v>
      </c>
      <c r="F2895" t="inlineStr">
        <is>
          <t>Sold</t>
        </is>
      </c>
      <c r="G2895" s="6">
        <f>HYPERLINK("https://www.kleinanzeigen.de/s-anzeige/trapez-north-sails-ergonomic-slalom-groesse-s-m-windsurf-kiten/2834058925-230-8383", "Link")</f>
        <v/>
      </c>
      <c r="H2895" s="6">
        <f>HYPERLINK("C:\Projects\Kleinanzeigen-Scraper\offer_images\2834058925", "Link")</f>
        <v/>
      </c>
      <c r="I2895" t="inlineStr">
        <is>
          <t>Thomas Bezler</t>
        </is>
      </c>
      <c r="J2895" s="6">
        <f>HYPERLINK("https://www.kleinanzeigen.de/s-bestandsliste.html?userId=31103849", "Link")</f>
        <v/>
      </c>
      <c r="K2895" s="7" t="n">
        <v>45515.65976851852</v>
      </c>
      <c r="L2895" s="3" t="inlineStr">
        <is>
          <t>29.07</t>
        </is>
      </c>
      <c r="M2895" t="inlineStr">
        <is>
          <t>Böblingen</t>
        </is>
      </c>
    </row>
    <row r="2896">
      <c r="A2896" t="inlineStr">
        <is>
          <t>VW T4 , T5 Windsurf Innenausbau , Liegefläche , Campingausbau</t>
        </is>
      </c>
      <c r="B2896" s="4" t="n">
        <v>500</v>
      </c>
      <c r="C2896" t="inlineStr"/>
      <c r="D2896" t="inlineStr">
        <is>
          <t>69488 Hessen - Birkenau</t>
        </is>
      </c>
      <c r="E2896" s="5" t="n">
        <v>45510</v>
      </c>
      <c r="F2896" t="inlineStr">
        <is>
          <t>Sold</t>
        </is>
      </c>
      <c r="G2896" s="6">
        <f>HYPERLINK("https://www.kleinanzeigen.de/s-anzeige/vw-t4-t5-windsurf-innenausbau-liegeflaeche-campingausbau/2830813811-230-8267", "Link")</f>
        <v/>
      </c>
      <c r="H2896" s="6">
        <f>HYPERLINK("C:\Projects\Kleinanzeigen-Scraper\offer_images\2830813811", "Link")</f>
        <v/>
      </c>
      <c r="I2896" t="inlineStr">
        <is>
          <t>Ralph Schütz</t>
        </is>
      </c>
      <c r="J2896" s="6">
        <f>HYPERLINK("https://www.kleinanzeigen.de/s-bestandsliste.html?userId=19240625", "Link")</f>
        <v/>
      </c>
      <c r="K2896" s="7" t="n">
        <v>45511.5596412037</v>
      </c>
      <c r="L2896" s="3" t="inlineStr">
        <is>
          <t>65.92</t>
        </is>
      </c>
      <c r="M2896" t="inlineStr">
        <is>
          <t>Karlsruhe</t>
        </is>
      </c>
    </row>
    <row r="2897">
      <c r="A2897" t="inlineStr">
        <is>
          <t>Suche Severins Blade 6,2qm</t>
        </is>
      </c>
      <c r="B2897" s="4" t="inlineStr"/>
      <c r="C2897" t="inlineStr"/>
      <c r="D2897" t="inlineStr">
        <is>
          <t>75328 Schömberg</t>
        </is>
      </c>
      <c r="E2897" s="5" t="n">
        <v>45510</v>
      </c>
      <c r="F2897" t="inlineStr">
        <is>
          <t>Sold</t>
        </is>
      </c>
      <c r="G2897" s="6">
        <f>HYPERLINK("https://www.dailydose.de/kleinanzeigen/detail.htm?ai=420493&amp;cf=kk&amp;pg=2&amp;ci=5", "Link")</f>
        <v/>
      </c>
      <c r="H2897" s="6">
        <f>HYPERLINK("C:\Projects\Kleinanzeigen-Scraper\offer_images\420493", "Link")</f>
        <v/>
      </c>
      <c r="I2897" t="inlineStr">
        <is>
          <t>Flo_50</t>
        </is>
      </c>
      <c r="J2897" s="6">
        <f>HYPERLINK("https://www.dailydose.de/kleinanzeigen/user/7452", "Link")</f>
        <v/>
      </c>
      <c r="K2897" s="7" t="n">
        <v>45510.6306712963</v>
      </c>
      <c r="L2897" s="3" t="inlineStr">
        <is>
          <t>27.93</t>
        </is>
      </c>
      <c r="M2897" t="inlineStr">
        <is>
          <t>Böblingen</t>
        </is>
      </c>
    </row>
    <row r="2898">
      <c r="A2898" t="inlineStr">
        <is>
          <t>Windsurf Segel 4,0 qm</t>
        </is>
      </c>
      <c r="B2898" s="4" t="n">
        <v>70</v>
      </c>
      <c r="C2898" t="inlineStr"/>
      <c r="D2898" t="inlineStr">
        <is>
          <t>74321 Baden-Württemberg - Bietigheim-Bissingen</t>
        </is>
      </c>
      <c r="E2898" s="5" t="n">
        <v>45507</v>
      </c>
      <c r="F2898" t="inlineStr">
        <is>
          <t>Sold</t>
        </is>
      </c>
      <c r="G2898" s="6">
        <f>HYPERLINK("https://www.kleinanzeigen.de/s-anzeige/windsurf-segel-4-0-qm/2827808950-230-8681", "Link")</f>
        <v/>
      </c>
      <c r="H2898" s="6">
        <f>HYPERLINK("C:\Projects\Kleinanzeigen-Scraper\offer_images\2827808950", "Link")</f>
        <v/>
      </c>
      <c r="I2898" t="inlineStr">
        <is>
          <t>Andreas Jung</t>
        </is>
      </c>
      <c r="J2898" s="6">
        <f>HYPERLINK("https://www.kleinanzeigen.de/s-bestandsliste.html?userId=12454431", "Link")</f>
        <v/>
      </c>
      <c r="K2898" s="7" t="n">
        <v>45507.67467592593</v>
      </c>
      <c r="L2898" s="3" t="inlineStr">
        <is>
          <t>32.66</t>
        </is>
      </c>
      <c r="M2898" t="inlineStr">
        <is>
          <t>Böblingen</t>
        </is>
      </c>
    </row>
    <row r="2899">
      <c r="A2899" t="inlineStr">
        <is>
          <t>Windsurf Segel für Kinder</t>
        </is>
      </c>
      <c r="B2899" s="4" t="n">
        <v>80</v>
      </c>
      <c r="C2899" t="inlineStr">
        <is>
          <t>VB</t>
        </is>
      </c>
      <c r="D2899" t="inlineStr">
        <is>
          <t>71287 Baden-Württemberg - Weissach</t>
        </is>
      </c>
      <c r="E2899" s="5" t="n">
        <v>45506</v>
      </c>
      <c r="F2899" t="inlineStr">
        <is>
          <t>Sold</t>
        </is>
      </c>
      <c r="G2899" s="6">
        <f>HYPERLINK("https://www.kleinanzeigen.de/s-anzeige/windsurf-segel-fuer-kinder/2827337800-230-21520", "Link")</f>
        <v/>
      </c>
      <c r="H2899" s="6">
        <f>HYPERLINK("C:\Projects\Kleinanzeigen-Scraper\offer_images\2827337800", "Link")</f>
        <v/>
      </c>
      <c r="I2899" t="inlineStr">
        <is>
          <t>Gerhard Wendorf</t>
        </is>
      </c>
      <c r="J2899" s="6">
        <f>HYPERLINK("https://www.kleinanzeigen.de/s-bestandsliste.html?userId=89946043", "Link")</f>
        <v/>
      </c>
      <c r="K2899" s="7" t="n">
        <v>45507.43362268519</v>
      </c>
      <c r="L2899" s="3" t="inlineStr">
        <is>
          <t>19.19</t>
        </is>
      </c>
      <c r="M2899" t="inlineStr">
        <is>
          <t>Böblingen</t>
        </is>
      </c>
    </row>
    <row r="2900">
      <c r="A2900" t="inlineStr">
        <is>
          <t>Retro vintage surf Segel windsurf Segel Deko</t>
        </is>
      </c>
      <c r="B2900" s="4" t="n">
        <v>30</v>
      </c>
      <c r="C2900" t="inlineStr"/>
      <c r="D2900" t="inlineStr">
        <is>
          <t>66386 Saarland - St. Ingbert</t>
        </is>
      </c>
      <c r="E2900" s="5" t="n">
        <v>45505</v>
      </c>
      <c r="F2900" t="inlineStr">
        <is>
          <t>Sold</t>
        </is>
      </c>
      <c r="G2900" s="6">
        <f>HYPERLINK("https://www.kleinanzeigen.de/s-anzeige/retro-vintage-surf-segel-windsurf-segel-deko/2826146967-230-303", "Link")</f>
        <v/>
      </c>
      <c r="H2900" s="6">
        <f>HYPERLINK("C:\Projects\Kleinanzeigen-Scraper\offer_images\2826146967", "Link")</f>
        <v/>
      </c>
      <c r="I2900" t="inlineStr">
        <is>
          <t>R. Kuhn</t>
        </is>
      </c>
      <c r="J2900" s="6">
        <f>HYPERLINK("https://www.kleinanzeigen.de/s-bestandsliste.html?userId=7020186", "Link")</f>
        <v/>
      </c>
      <c r="K2900" s="7" t="n">
        <v>45505.83677083333</v>
      </c>
      <c r="L2900" s="3" t="inlineStr">
        <is>
          <t>96.65</t>
        </is>
      </c>
      <c r="M2900" t="inlineStr">
        <is>
          <t>Karlsruhe</t>
        </is>
      </c>
    </row>
    <row r="2901">
      <c r="A2901" t="inlineStr">
        <is>
          <t>Paddel-Set mit Gratis-Windsurf-Board</t>
        </is>
      </c>
      <c r="B2901" s="4" t="n">
        <v>40</v>
      </c>
      <c r="C2901" t="inlineStr"/>
      <c r="D2901" t="inlineStr">
        <is>
          <t>76297 Baden-Württemberg - Stutensee</t>
        </is>
      </c>
      <c r="E2901" s="5" t="n">
        <v>45504</v>
      </c>
      <c r="F2901" t="inlineStr">
        <is>
          <t>Sold</t>
        </is>
      </c>
      <c r="G2901" s="6">
        <f>HYPERLINK("https://www.kleinanzeigen.de/s-anzeige/paddel-set-mit-gratis-windsurf-board/2825751188-230-8342", "Link")</f>
        <v/>
      </c>
      <c r="H2901" s="6">
        <f>HYPERLINK("C:\Projects\Kleinanzeigen-Scraper\offer_images\2825751188", "Link")</f>
        <v/>
      </c>
      <c r="I2901" t="inlineStr">
        <is>
          <t>Andreas</t>
        </is>
      </c>
      <c r="J2901" s="6">
        <f>HYPERLINK("https://www.kleinanzeigen.de/s-bestandsliste.html?userId=26600941", "Link")</f>
        <v/>
      </c>
      <c r="K2901" s="7" t="n">
        <v>45505.83663194445</v>
      </c>
      <c r="L2901" s="3" t="inlineStr">
        <is>
          <t>10.37</t>
        </is>
      </c>
      <c r="M2901" t="inlineStr">
        <is>
          <t>Karlsruhe</t>
        </is>
      </c>
    </row>
    <row r="2902">
      <c r="A2902" t="inlineStr">
        <is>
          <t>VW T4 , T5 Windsurf Innenausbau , Liegefläche , Campingausbau</t>
        </is>
      </c>
      <c r="B2902" s="4" t="n">
        <v>500</v>
      </c>
      <c r="C2902" t="inlineStr"/>
      <c r="D2902" t="inlineStr">
        <is>
          <t>69488 Hessen - Birkenau</t>
        </is>
      </c>
      <c r="E2902" s="5" t="n">
        <v>45505</v>
      </c>
      <c r="F2902" t="inlineStr">
        <is>
          <t>Sold</t>
        </is>
      </c>
      <c r="G2902" s="6">
        <f>HYPERLINK("https://www.kleinanzeigen.de/s-anzeige/vw-t4-t5-windsurf-innenausbau-liegeflaeche-campingausbau/2826519170-223-8267", "Link")</f>
        <v/>
      </c>
      <c r="H2902" s="6">
        <f>HYPERLINK("C:\Projects\Kleinanzeigen-Scraper\offer_images\2826519170", "Link")</f>
        <v/>
      </c>
      <c r="I2902" t="inlineStr">
        <is>
          <t>Ralph Schütz</t>
        </is>
      </c>
      <c r="J2902" s="6">
        <f>HYPERLINK("https://www.kleinanzeigen.de/s-bestandsliste.html?userId=19240625", "Link")</f>
        <v/>
      </c>
      <c r="K2902" s="7" t="n">
        <v>45505.83660879629</v>
      </c>
      <c r="L2902" s="3" t="inlineStr">
        <is>
          <t>65.92</t>
        </is>
      </c>
      <c r="M2902" t="inlineStr">
        <is>
          <t>Karlsruhe</t>
        </is>
      </c>
    </row>
    <row r="2903">
      <c r="A2903" t="inlineStr">
        <is>
          <t>Windsurf-Buggy</t>
        </is>
      </c>
      <c r="B2903" s="4" t="n">
        <v>20</v>
      </c>
      <c r="C2903" t="inlineStr"/>
      <c r="D2903" t="inlineStr">
        <is>
          <t>69151 Baden-Württemberg - Neckargemünd</t>
        </is>
      </c>
      <c r="E2903" s="5" t="n">
        <v>45500</v>
      </c>
      <c r="F2903" t="inlineStr">
        <is>
          <t>Sold</t>
        </is>
      </c>
      <c r="G2903" s="6">
        <f>HYPERLINK("https://www.kleinanzeigen.de/s-anzeige/windsurf-buggy/2822783639-230-9185", "Link")</f>
        <v/>
      </c>
      <c r="H2903" s="6">
        <f>HYPERLINK("C:\Projects\Kleinanzeigen-Scraper\offer_images\2822783639", "Link")</f>
        <v/>
      </c>
      <c r="I2903" t="inlineStr">
        <is>
          <t>Bruno Eberspächer</t>
        </is>
      </c>
      <c r="J2903" s="6">
        <f>HYPERLINK("https://www.kleinanzeigen.de/s-bestandsliste.html?userId=8988280", "Link")</f>
        <v/>
      </c>
      <c r="K2903" s="7" t="n">
        <v>45502.78403935185</v>
      </c>
      <c r="L2903" s="3" t="inlineStr">
        <is>
          <t>53.06</t>
        </is>
      </c>
      <c r="M2903" t="inlineStr">
        <is>
          <t>Karlsruhe</t>
        </is>
      </c>
    </row>
    <row r="2904">
      <c r="A2904" t="inlineStr">
        <is>
          <t>Gun Sails Foil Free Windsurf mit 1500er und 1050er Frontwing</t>
        </is>
      </c>
      <c r="B2904" s="4" t="n">
        <v>690</v>
      </c>
      <c r="C2904" t="inlineStr"/>
      <c r="D2904" t="inlineStr">
        <is>
          <t>69198 Baden-Württemberg - Schriesheim</t>
        </is>
      </c>
      <c r="E2904" s="5" t="n">
        <v>45502</v>
      </c>
      <c r="F2904" t="inlineStr">
        <is>
          <t>Sold</t>
        </is>
      </c>
      <c r="G2904" s="6">
        <f>HYPERLINK("https://www.kleinanzeigen.de/s-anzeige/gun-sails-foil-free-windsurf-mit-1500er-und-1050er-frontwing/2823989925-230-8270", "Link")</f>
        <v/>
      </c>
      <c r="H2904" s="6">
        <f>HYPERLINK("C:\Projects\Kleinanzeigen-Scraper\offer_images\2823989925", "Link")</f>
        <v/>
      </c>
      <c r="I2904" t="inlineStr">
        <is>
          <t>L. Götz</t>
        </is>
      </c>
      <c r="J2904" s="6">
        <f>HYPERLINK("https://www.kleinanzeigen.de/s-bestandsliste.html?userId=119868044", "Link")</f>
        <v/>
      </c>
      <c r="K2904" s="7" t="n">
        <v>45502.78388888889</v>
      </c>
      <c r="L2904" s="3" t="inlineStr">
        <is>
          <t>57.18</t>
        </is>
      </c>
      <c r="M2904" t="inlineStr">
        <is>
          <t>Karlsruhe</t>
        </is>
      </c>
    </row>
    <row r="2905">
      <c r="A2905" t="inlineStr">
        <is>
          <t>Gutschein Windsurfen/Kitesurfen Zingst</t>
        </is>
      </c>
      <c r="B2905" s="4" t="n">
        <v>50</v>
      </c>
      <c r="C2905" t="inlineStr">
        <is>
          <t>VB</t>
        </is>
      </c>
      <c r="D2905" t="inlineStr">
        <is>
          <t>70188 Stuttgart - Stuttgart-Ost</t>
        </is>
      </c>
      <c r="E2905" s="5" t="n">
        <v>45501</v>
      </c>
      <c r="F2905" t="inlineStr">
        <is>
          <t>Sold</t>
        </is>
      </c>
      <c r="G2905" s="6">
        <f>HYPERLINK("https://www.kleinanzeigen.de/s-anzeige/gutschein-windsurfen-kitesurfen-zingst/2823601481-287-9282", "Link")</f>
        <v/>
      </c>
      <c r="H2905" s="6">
        <f>HYPERLINK("C:\Projects\Kleinanzeigen-Scraper\offer_images\2823601481", "Link")</f>
        <v/>
      </c>
      <c r="I2905" t="inlineStr">
        <is>
          <t>Katerina</t>
        </is>
      </c>
      <c r="J2905" s="6">
        <f>HYPERLINK("https://www.kleinanzeigen.de/s-bestandsliste.html?userId=34760844", "Link")</f>
        <v/>
      </c>
      <c r="K2905" s="7" t="n">
        <v>45502.7833912037</v>
      </c>
      <c r="L2905" s="3" t="inlineStr">
        <is>
          <t>20.52</t>
        </is>
      </c>
      <c r="M2905" t="inlineStr">
        <is>
          <t>Böblingen</t>
        </is>
      </c>
    </row>
    <row r="2906">
      <c r="A2906" t="inlineStr">
        <is>
          <t>playmobil 4216 Windsurfer Strand Surfer</t>
        </is>
      </c>
      <c r="B2906" s="4" t="n">
        <v>8</v>
      </c>
      <c r="C2906" t="inlineStr"/>
      <c r="D2906" t="inlineStr">
        <is>
          <t>74336 Baden-Württemberg - Brackenheim</t>
        </is>
      </c>
      <c r="E2906" s="5" t="n">
        <v>44122</v>
      </c>
      <c r="F2906" t="inlineStr">
        <is>
          <t>Sold</t>
        </is>
      </c>
      <c r="G2906" s="6">
        <f>HYPERLINK("https://www.kleinanzeigen.de/s-anzeige/playmobil-4216-windsurfer-strand-surfer/1544352241-23-8780", "Link")</f>
        <v/>
      </c>
      <c r="H2906" s="6">
        <f>HYPERLINK("C:\Projects\Kleinanzeigen-Scraper\offer_images\1544352241", "Link")</f>
        <v/>
      </c>
      <c r="I2906" t="inlineStr">
        <is>
          <t>Jochen Hofmeister</t>
        </is>
      </c>
      <c r="J2906" s="6">
        <f>HYPERLINK("https://www.kleinanzeigen.de/s-bestandsliste.html?userId=24528494", "Link")</f>
        <v/>
      </c>
      <c r="K2906" s="7" t="n">
        <v>45500.7244212963</v>
      </c>
      <c r="L2906" s="3" t="inlineStr">
        <is>
          <t>45.45</t>
        </is>
      </c>
      <c r="M2906" t="inlineStr">
        <is>
          <t>Böblingen</t>
        </is>
      </c>
    </row>
    <row r="2907">
      <c r="A2907" t="inlineStr">
        <is>
          <t>Windsurf Foil- Windfoil-Carbon</t>
        </is>
      </c>
      <c r="B2907" s="4" t="n">
        <v>450</v>
      </c>
      <c r="C2907" t="inlineStr"/>
      <c r="D2907" t="inlineStr">
        <is>
          <t>78050 Baden-Württemberg - Villingen-Schwenningen</t>
        </is>
      </c>
      <c r="E2907" s="5" t="n">
        <v>45495</v>
      </c>
      <c r="F2907" t="inlineStr">
        <is>
          <t>Sold</t>
        </is>
      </c>
      <c r="G2907" s="6">
        <f>HYPERLINK("https://www.kleinanzeigen.de/s-anzeige/windsurf-foil-windfoil-carbon/2818471585-230-9104", "Link")</f>
        <v/>
      </c>
      <c r="H2907" s="6">
        <f>HYPERLINK("C:\Projects\Kleinanzeigen-Scraper\offer_images\2818471585", "Link")</f>
        <v/>
      </c>
      <c r="I2907" t="inlineStr">
        <is>
          <t>Andreas Günter</t>
        </is>
      </c>
      <c r="J2907" s="6">
        <f>HYPERLINK("https://www.kleinanzeigen.de/s-bestandsliste.html?userId=17061506", "Link")</f>
        <v/>
      </c>
      <c r="K2907" s="7" t="n">
        <v>45500.72431712963</v>
      </c>
      <c r="L2907" s="3" t="inlineStr">
        <is>
          <t>27.92</t>
        </is>
      </c>
      <c r="M2907" t="inlineStr">
        <is>
          <t>Bonndorf</t>
        </is>
      </c>
    </row>
    <row r="2908">
      <c r="A2908" t="inlineStr">
        <is>
          <t>Windsurf Fahrrad Anhänger</t>
        </is>
      </c>
      <c r="B2908" s="4" t="n">
        <v>55</v>
      </c>
      <c r="C2908" t="inlineStr">
        <is>
          <t>VB</t>
        </is>
      </c>
      <c r="D2908" t="inlineStr">
        <is>
          <t>67346 Rheinland-Pfalz - Speyer</t>
        </is>
      </c>
      <c r="E2908" s="5" t="n">
        <v>45471</v>
      </c>
      <c r="F2908" t="inlineStr">
        <is>
          <t>Sold</t>
        </is>
      </c>
      <c r="G2908" s="6">
        <f>HYPERLINK("https://www.kleinanzeigen.de/s-anzeige/windsurf-fahrrad-anhaenger/2799220969-230-5365", "Link")</f>
        <v/>
      </c>
      <c r="H2908" s="6">
        <f>HYPERLINK("C:\Projects\Kleinanzeigen-Scraper\offer_images\2799220969", "Link")</f>
        <v/>
      </c>
      <c r="I2908" t="inlineStr">
        <is>
          <t>D. Ertel</t>
        </is>
      </c>
      <c r="J2908" s="6">
        <f>HYPERLINK("https://www.kleinanzeigen.de/s-bestandsliste.html?userId=13322828", "Link")</f>
        <v/>
      </c>
      <c r="K2908" s="7" t="n">
        <v>45500.72428240741</v>
      </c>
      <c r="L2908" s="3" t="inlineStr">
        <is>
          <t>35.76</t>
        </is>
      </c>
      <c r="M2908" t="inlineStr">
        <is>
          <t>Karlsruhe</t>
        </is>
      </c>
    </row>
    <row r="2909">
      <c r="A2909" t="inlineStr">
        <is>
          <t>Playmobil Windsurfer 4216</t>
        </is>
      </c>
      <c r="B2909" s="4" t="n">
        <v>10</v>
      </c>
      <c r="C2909" t="inlineStr"/>
      <c r="D2909" t="inlineStr">
        <is>
          <t>70597 Stuttgart - Degerloch</t>
        </is>
      </c>
      <c r="E2909" s="5" t="n">
        <v>45317</v>
      </c>
      <c r="F2909" t="inlineStr">
        <is>
          <t>Sold</t>
        </is>
      </c>
      <c r="G2909" s="6">
        <f>HYPERLINK("https://www.kleinanzeigen.de/s-anzeige/playmobil-windsurfer-4216/2663221872-23-9297", "Link")</f>
        <v/>
      </c>
      <c r="H2909" s="6">
        <f>HYPERLINK("C:\Projects\Kleinanzeigen-Scraper\offer_images\2663221872", "Link")</f>
        <v/>
      </c>
      <c r="I2909" t="inlineStr">
        <is>
          <t>Katharina</t>
        </is>
      </c>
      <c r="J2909" s="6">
        <f>HYPERLINK("https://www.kleinanzeigen.de/s-bestandsliste.html?userId=8815501", "Link")</f>
        <v/>
      </c>
      <c r="K2909" s="7" t="n">
        <v>45500.72425925926</v>
      </c>
      <c r="L2909" s="3" t="inlineStr">
        <is>
          <t>16.37</t>
        </is>
      </c>
      <c r="M2909" t="inlineStr">
        <is>
          <t>Böblingen</t>
        </is>
      </c>
    </row>
    <row r="2910">
      <c r="A2910" t="inlineStr">
        <is>
          <t>Windsurfen, Surfanzug, Camaro, Halbarm, Gr. 54, XL</t>
        </is>
      </c>
      <c r="B2910" s="4" t="n">
        <v>19</v>
      </c>
      <c r="C2910" t="inlineStr">
        <is>
          <t>VB</t>
        </is>
      </c>
      <c r="D2910" t="inlineStr">
        <is>
          <t>73102 Baden-Württemberg - Birenbach</t>
        </is>
      </c>
      <c r="E2910" s="5" t="n">
        <v>45082</v>
      </c>
      <c r="F2910" t="inlineStr">
        <is>
          <t>Sold</t>
        </is>
      </c>
      <c r="G2910" s="6">
        <f>HYPERLINK("https://www.kleinanzeigen.de/s-anzeige/windsurfen-surfanzug-camaro-halbarm-gr-54-xl/2461090289-230-9017", "Link")</f>
        <v/>
      </c>
      <c r="H2910" s="6">
        <f>HYPERLINK("C:\Projects\Kleinanzeigen-Scraper\offer_images\2461090289", "Link")</f>
        <v/>
      </c>
      <c r="I2910" t="inlineStr">
        <is>
          <t>Walter, Birenbach</t>
        </is>
      </c>
      <c r="J2910" s="6">
        <f>HYPERLINK("https://www.kleinanzeigen.de/s-bestandsliste.html?userId=17351114", "Link")</f>
        <v/>
      </c>
      <c r="K2910" s="7" t="n">
        <v>45500.72416666667</v>
      </c>
      <c r="L2910" s="3" t="inlineStr">
        <is>
          <t>50.75</t>
        </is>
      </c>
      <c r="M2910" t="inlineStr">
        <is>
          <t>Böblingen</t>
        </is>
      </c>
    </row>
    <row r="2911">
      <c r="A2911" t="inlineStr">
        <is>
          <t>Windsurf Oldtimer Gabelbaum ca. 30-40 Jahre alt</t>
        </is>
      </c>
      <c r="B2911" s="4" t="n">
        <v>2</v>
      </c>
      <c r="C2911" t="inlineStr">
        <is>
          <t>VB</t>
        </is>
      </c>
      <c r="D2911" t="inlineStr">
        <is>
          <t>79183 Baden-Württemberg - Waldkirch</t>
        </is>
      </c>
      <c r="E2911" s="5" t="n">
        <v>45489</v>
      </c>
      <c r="F2911" t="inlineStr">
        <is>
          <t>Sold</t>
        </is>
      </c>
      <c r="G2911" s="6">
        <f>HYPERLINK("https://www.kleinanzeigen.de/s-anzeige/windsurf-oldtimer-gabelbaum-ca-30-40-jahre-alt/2813750552-230-8281", "Link")</f>
        <v/>
      </c>
      <c r="H2911" s="6">
        <f>HYPERLINK("C:\Projects\Kleinanzeigen-Scraper\offer_images\2813750552", "Link")</f>
        <v/>
      </c>
      <c r="I2911" t="inlineStr">
        <is>
          <t>Familie Wissler</t>
        </is>
      </c>
      <c r="J2911" s="6">
        <f>HYPERLINK("https://www.kleinanzeigen.de/s-bestandsliste.html?userId=13959110", "Link")</f>
        <v/>
      </c>
      <c r="K2911" s="7" t="n">
        <v>45500.7241087963</v>
      </c>
      <c r="L2911" s="3" t="inlineStr">
        <is>
          <t>40.50</t>
        </is>
      </c>
      <c r="M2911" t="inlineStr">
        <is>
          <t>Bonndorf</t>
        </is>
      </c>
    </row>
    <row r="2912">
      <c r="A2912" t="inlineStr">
        <is>
          <t>Windsurf Kitesurf Damen Neoprenanzug 38 Neo Ascan 5 mm</t>
        </is>
      </c>
      <c r="B2912" s="4" t="n">
        <v>80</v>
      </c>
      <c r="C2912" t="inlineStr">
        <is>
          <t>VB</t>
        </is>
      </c>
      <c r="D2912" t="inlineStr">
        <is>
          <t>66955 Rheinland-Pfalz - Pirmasens</t>
        </is>
      </c>
      <c r="E2912" s="5" t="n">
        <v>45453</v>
      </c>
      <c r="F2912" t="inlineStr">
        <is>
          <t>Sold</t>
        </is>
      </c>
      <c r="G2912" s="6">
        <f>HYPERLINK("https://www.kleinanzeigen.de/s-anzeige/windsurf-kitesurf-damen-neoprenanzug-38-neo-ascan-5-mm/2784396147-230-5178", "Link")</f>
        <v/>
      </c>
      <c r="H2912" s="6">
        <f>HYPERLINK("C:\Projects\Kleinanzeigen-Scraper\offer_images\2784396147", "Link")</f>
        <v/>
      </c>
      <c r="I2912" t="inlineStr">
        <is>
          <t>Weber</t>
        </is>
      </c>
      <c r="J2912" s="6">
        <f>HYPERLINK("https://www.kleinanzeigen.de/s-bestandsliste.html?userId=6121839", "Link")</f>
        <v/>
      </c>
      <c r="K2912" s="7" t="n">
        <v>45500.72402777777</v>
      </c>
      <c r="L2912" s="3" t="inlineStr">
        <is>
          <t>61.25</t>
        </is>
      </c>
      <c r="M2912" t="inlineStr">
        <is>
          <t>Karlsruhe</t>
        </is>
      </c>
    </row>
    <row r="2913">
      <c r="A2913" t="inlineStr">
        <is>
          <t>North Windsurf-Segeltasche für mehrere Segel</t>
        </is>
      </c>
      <c r="B2913" s="4" t="n">
        <v>40</v>
      </c>
      <c r="C2913" t="inlineStr">
        <is>
          <t>VB</t>
        </is>
      </c>
      <c r="D2913" t="inlineStr">
        <is>
          <t>67373 Speyer - Dudenhofen</t>
        </is>
      </c>
      <c r="E2913" s="5" t="n">
        <v>45442</v>
      </c>
      <c r="F2913" t="inlineStr">
        <is>
          <t>Sold</t>
        </is>
      </c>
      <c r="G2913" s="6">
        <f>HYPERLINK("https://www.kleinanzeigen.de/s-anzeige/north-windsurf-segeltasche-fuer-mehrere-segel/2774736295-230-5368", "Link")</f>
        <v/>
      </c>
      <c r="H2913" s="6">
        <f>HYPERLINK("C:\Projects\Kleinanzeigen-Scraper\offer_images\2774736295", "Link")</f>
        <v/>
      </c>
      <c r="I2913" t="inlineStr">
        <is>
          <t>Uli</t>
        </is>
      </c>
      <c r="J2913" s="6">
        <f>HYPERLINK("https://www.kleinanzeigen.de/s-bestandsliste.html?userId=92238343", "Link")</f>
        <v/>
      </c>
      <c r="K2913" s="7" t="n">
        <v>45500.72396990741</v>
      </c>
      <c r="L2913" s="3" t="inlineStr">
        <is>
          <t>34.41</t>
        </is>
      </c>
      <c r="M2913" t="inlineStr">
        <is>
          <t>Karlsruhe</t>
        </is>
      </c>
    </row>
    <row r="2914">
      <c r="A2914" t="inlineStr">
        <is>
          <t>Puzzle1000 Teile ´+ 750 Palme Sonnenuntergang OVP WINDSURFER</t>
        </is>
      </c>
      <c r="B2914" s="4" t="n">
        <v>6</v>
      </c>
      <c r="C2914" t="inlineStr"/>
      <c r="D2914" t="inlineStr">
        <is>
          <t>71540 Baden-Württemberg - Murrhardt</t>
        </is>
      </c>
      <c r="E2914" s="5" t="n">
        <v>45479</v>
      </c>
      <c r="F2914" t="inlineStr">
        <is>
          <t>Sold</t>
        </is>
      </c>
      <c r="G2914" s="6">
        <f>HYPERLINK("https://www.kleinanzeigen.de/s-anzeige/puzzle1000-teile-750-palme-sonnenuntergang-ovp-windsurfer/2805260744-23-8354", "Link")</f>
        <v/>
      </c>
      <c r="H2914" s="6">
        <f>HYPERLINK("C:\Projects\Kleinanzeigen-Scraper\offer_images\2805260744", "Link")</f>
        <v/>
      </c>
      <c r="I2914" t="inlineStr">
        <is>
          <t>Patrick</t>
        </is>
      </c>
      <c r="J2914" s="6">
        <f>HYPERLINK("https://www.kleinanzeigen.de/s-bestandsliste.html?userId=87803137", "Link")</f>
        <v/>
      </c>
      <c r="K2914" s="7" t="n">
        <v>45500.72394675926</v>
      </c>
      <c r="L2914" s="3" t="inlineStr">
        <is>
          <t>56.36</t>
        </is>
      </c>
      <c r="M2914" t="inlineStr">
        <is>
          <t>Böblingen</t>
        </is>
      </c>
    </row>
    <row r="2915">
      <c r="A2915" t="inlineStr">
        <is>
          <t>Retro vintage surf Segel windsurf Segel Deko</t>
        </is>
      </c>
      <c r="B2915" s="4" t="n">
        <v>30</v>
      </c>
      <c r="C2915" t="inlineStr"/>
      <c r="D2915" t="inlineStr">
        <is>
          <t>66386 Saarland - St. Ingbert</t>
        </is>
      </c>
      <c r="E2915" s="5" t="n">
        <v>45452</v>
      </c>
      <c r="F2915" t="inlineStr">
        <is>
          <t>Sold</t>
        </is>
      </c>
      <c r="G2915" s="6">
        <f>HYPERLINK("https://www.kleinanzeigen.de/s-anzeige/retro-vintage-surf-segel-windsurf-segel-deko/2783397789-230-303", "Link")</f>
        <v/>
      </c>
      <c r="H2915" s="6">
        <f>HYPERLINK("C:\Projects\Kleinanzeigen-Scraper\offer_images\2783397789", "Link")</f>
        <v/>
      </c>
      <c r="I2915" t="inlineStr">
        <is>
          <t>R. Kuhn</t>
        </is>
      </c>
      <c r="J2915" s="6">
        <f>HYPERLINK("https://www.kleinanzeigen.de/s-bestandsliste.html?userId=7020186", "Link")</f>
        <v/>
      </c>
      <c r="K2915" s="7" t="n">
        <v>45500.72386574074</v>
      </c>
      <c r="L2915" s="3" t="inlineStr">
        <is>
          <t>96.65</t>
        </is>
      </c>
      <c r="M2915" t="inlineStr">
        <is>
          <t>Karlsruhe</t>
        </is>
      </c>
    </row>
    <row r="2916">
      <c r="A2916" t="inlineStr">
        <is>
          <t>Windsurf Segel</t>
        </is>
      </c>
      <c r="B2916" s="4" t="n">
        <v>65</v>
      </c>
      <c r="C2916" t="inlineStr"/>
      <c r="D2916" t="inlineStr">
        <is>
          <t>67240 Rheinland-Pfalz - Bobenheim-Roxheim</t>
        </is>
      </c>
      <c r="E2916" s="5" t="n">
        <v>45452</v>
      </c>
      <c r="F2916" t="inlineStr">
        <is>
          <t>Sold</t>
        </is>
      </c>
      <c r="G2916" s="6">
        <f>HYPERLINK("https://www.kleinanzeigen.de/s-anzeige/windsurf-segel/2783648881-230-5187", "Link")</f>
        <v/>
      </c>
      <c r="H2916" s="6">
        <f>HYPERLINK("C:\Projects\Kleinanzeigen-Scraper\offer_images\2783648881", "Link")</f>
        <v/>
      </c>
      <c r="I2916" t="inlineStr">
        <is>
          <t>Stahr</t>
        </is>
      </c>
      <c r="J2916" s="6">
        <f>HYPERLINK("https://www.kleinanzeigen.de/s-bestandsliste.html?userId=7034501", "Link")</f>
        <v/>
      </c>
      <c r="K2916" s="7" t="n">
        <v>45500.72384259259</v>
      </c>
      <c r="L2916" s="3" t="inlineStr">
        <is>
          <t>63.50</t>
        </is>
      </c>
      <c r="M2916" t="inlineStr">
        <is>
          <t>Karlsruhe</t>
        </is>
      </c>
    </row>
    <row r="2917">
      <c r="A2917" t="inlineStr">
        <is>
          <t>Gemälde „Windsurfer“</t>
        </is>
      </c>
      <c r="B2917" s="4" t="n">
        <v>69</v>
      </c>
      <c r="C2917" t="inlineStr"/>
      <c r="D2917" t="inlineStr">
        <is>
          <t>79098 Freiburg im Breisgau - Altstadt</t>
        </is>
      </c>
      <c r="E2917" s="5" t="n">
        <v>44740</v>
      </c>
      <c r="F2917" t="inlineStr">
        <is>
          <t>Sold</t>
        </is>
      </c>
      <c r="G2917" s="6">
        <f>HYPERLINK("https://www.kleinanzeigen.de/s-anzeige/gemaelde-windsurfer-/2144203013-246-9355", "Link")</f>
        <v/>
      </c>
      <c r="H2917" s="6">
        <f>HYPERLINK("C:\Projects\Kleinanzeigen-Scraper\offer_images\2144203013", "Link")</f>
        <v/>
      </c>
      <c r="I2917" t="inlineStr">
        <is>
          <t>Gintas Gataveckas</t>
        </is>
      </c>
      <c r="J2917" s="6">
        <f>HYPERLINK("https://www.kleinanzeigen.de/s-bestandsliste.html?userId=36413312", "Link")</f>
        <v/>
      </c>
      <c r="K2917" s="7" t="n">
        <v>45500.72380787037</v>
      </c>
      <c r="L2917" s="3" t="inlineStr">
        <is>
          <t>41.55</t>
        </is>
      </c>
      <c r="M2917" t="inlineStr">
        <is>
          <t>Bonndorf</t>
        </is>
      </c>
    </row>
    <row r="2918">
      <c r="A2918" t="inlineStr">
        <is>
          <t>Windsurf Foil</t>
        </is>
      </c>
      <c r="B2918" s="4" t="n">
        <v>250</v>
      </c>
      <c r="C2918" t="inlineStr">
        <is>
          <t>VB</t>
        </is>
      </c>
      <c r="D2918" t="inlineStr">
        <is>
          <t>64380 Hessen - Roßdorf</t>
        </is>
      </c>
      <c r="E2918" s="5" t="n">
        <v>45467</v>
      </c>
      <c r="F2918" t="inlineStr">
        <is>
          <t>Sold</t>
        </is>
      </c>
      <c r="G2918" s="6">
        <f>HYPERLINK("https://www.kleinanzeigen.de/s-anzeige/windsurf-foil/2796426267-230-4448", "Link")</f>
        <v/>
      </c>
      <c r="H2918" s="6">
        <f>HYPERLINK("C:\Projects\Kleinanzeigen-Scraper\offer_images\2796426267", "Link")</f>
        <v/>
      </c>
      <c r="I2918" t="inlineStr">
        <is>
          <t>Gerhard Pfeil</t>
        </is>
      </c>
      <c r="J2918" s="6">
        <f>HYPERLINK("https://www.kleinanzeigen.de/s-bestandsliste.html?userId=34974978", "Link")</f>
        <v/>
      </c>
      <c r="K2918" s="7" t="n">
        <v>45500.7237962963</v>
      </c>
      <c r="L2918" s="3" t="inlineStr">
        <is>
          <t>98.80</t>
        </is>
      </c>
      <c r="M2918" t="inlineStr">
        <is>
          <t>Karlsruhe</t>
        </is>
      </c>
    </row>
    <row r="2919">
      <c r="A2919" t="inlineStr">
        <is>
          <t>Windsurf Boardbag Concept X 232x72</t>
        </is>
      </c>
      <c r="B2919" s="4" t="n">
        <v>40</v>
      </c>
      <c r="C2919" t="inlineStr"/>
      <c r="D2919" t="inlineStr">
        <is>
          <t>76532 Baden-Württemberg - Baden-Baden</t>
        </is>
      </c>
      <c r="E2919" s="5" t="n">
        <v>45488</v>
      </c>
      <c r="F2919" t="inlineStr">
        <is>
          <t>Sold</t>
        </is>
      </c>
      <c r="G2919" s="6">
        <f>HYPERLINK("https://www.kleinanzeigen.de/s-anzeige/windsurf-boardbag-concept-x-232x72/2812847229-230-9048", "Link")</f>
        <v/>
      </c>
      <c r="H2919" s="6">
        <f>HYPERLINK("C:\Projects\Kleinanzeigen-Scraper\offer_images\2812847229", "Link")</f>
        <v/>
      </c>
      <c r="I2919" t="inlineStr">
        <is>
          <t>Thomas Haas</t>
        </is>
      </c>
      <c r="J2919" s="6">
        <f>HYPERLINK("https://www.kleinanzeigen.de/s-bestandsliste.html?userId=32412219", "Link")</f>
        <v/>
      </c>
      <c r="K2919" s="7" t="n">
        <v>45500.72373842593</v>
      </c>
      <c r="L2919" s="3" t="inlineStr">
        <is>
          <t>26.70</t>
        </is>
      </c>
      <c r="M2919" t="inlineStr">
        <is>
          <t>Karlsruhe</t>
        </is>
      </c>
    </row>
    <row r="2920">
      <c r="A2920" t="inlineStr">
        <is>
          <t>Original Fanatic Ultra Style Windsurf Bomberjacke 1989</t>
        </is>
      </c>
      <c r="B2920" s="4" t="n">
        <v>90</v>
      </c>
      <c r="C2920" t="inlineStr">
        <is>
          <t>VB</t>
        </is>
      </c>
      <c r="D2920" t="inlineStr">
        <is>
          <t>70839 Baden-Württemberg - Gerlingen</t>
        </is>
      </c>
      <c r="E2920" s="5" t="n">
        <v>45403</v>
      </c>
      <c r="F2920" t="inlineStr">
        <is>
          <t>Sold</t>
        </is>
      </c>
      <c r="G2920" s="6">
        <f>HYPERLINK("https://www.kleinanzeigen.de/s-anzeige/original-fanatic-ultra-style-windsurf-bomberjacke-1989/2741820415-160-8951", "Link")</f>
        <v/>
      </c>
      <c r="H2920" s="6">
        <f>HYPERLINK("C:\Projects\Kleinanzeigen-Scraper\offer_images\2741820415", "Link")</f>
        <v/>
      </c>
      <c r="I2920" t="inlineStr">
        <is>
          <t>Henning</t>
        </is>
      </c>
      <c r="J2920" s="6">
        <f>HYPERLINK("https://www.kleinanzeigen.de/s-bestandsliste.html?userId=20441350", "Link")</f>
        <v/>
      </c>
      <c r="K2920" s="7" t="n">
        <v>45500.7237037037</v>
      </c>
      <c r="L2920" s="3" t="inlineStr">
        <is>
          <t>14.27</t>
        </is>
      </c>
      <c r="M2920" t="inlineStr">
        <is>
          <t>Böblingen</t>
        </is>
      </c>
    </row>
    <row r="2921">
      <c r="A2921" t="inlineStr">
        <is>
          <t>Regattatechnik Windsurfen von Philip Pudenz/Karl Messmer</t>
        </is>
      </c>
      <c r="B2921" s="4" t="n">
        <v>3</v>
      </c>
      <c r="C2921" t="inlineStr"/>
      <c r="D2921" t="inlineStr">
        <is>
          <t>72401 Baden-Württemberg - Haigerloch</t>
        </is>
      </c>
      <c r="E2921" s="5" t="n">
        <v>45408</v>
      </c>
      <c r="F2921" t="inlineStr">
        <is>
          <t>Sold</t>
        </is>
      </c>
      <c r="G2921" s="6">
        <f>HYPERLINK("https://www.kleinanzeigen.de/s-anzeige/regattatechnik-windsurfen-von-philip-pudenz-karl-messmer/2745978965-76-8702", "Link")</f>
        <v/>
      </c>
      <c r="H2921" s="6">
        <f>HYPERLINK("C:\Projects\Kleinanzeigen-Scraper\offer_images\2745978965", "Link")</f>
        <v/>
      </c>
      <c r="I2921" t="inlineStr">
        <is>
          <t>Lisa</t>
        </is>
      </c>
      <c r="J2921" s="6">
        <f>HYPERLINK("https://www.kleinanzeigen.de/s-bestandsliste.html?userId=54529652", "Link")</f>
        <v/>
      </c>
      <c r="K2921" s="7" t="n">
        <v>45500.72363425926</v>
      </c>
      <c r="L2921" s="3" t="inlineStr">
        <is>
          <t>36.01</t>
        </is>
      </c>
      <c r="M2921" t="inlineStr">
        <is>
          <t>Böblingen</t>
        </is>
      </c>
    </row>
    <row r="2922">
      <c r="A2922" t="inlineStr">
        <is>
          <t>Türkises T-Shirt von Steiff Gr. 116 windsurfen surfen</t>
        </is>
      </c>
      <c r="B2922" s="4" t="n">
        <v>7</v>
      </c>
      <c r="C2922" t="inlineStr"/>
      <c r="D2922" t="inlineStr">
        <is>
          <t>70794 Baden-Württemberg - Filderstadt</t>
        </is>
      </c>
      <c r="E2922" s="5" t="n">
        <v>45458</v>
      </c>
      <c r="F2922" t="inlineStr">
        <is>
          <t>Sold</t>
        </is>
      </c>
      <c r="G2922" s="6">
        <f>HYPERLINK("https://www.kleinanzeigen.de/s-anzeige/tuerkises-t-shirt-von-steiff-gr-116-windsurfen-surfen/2789118524-22-8892", "Link")</f>
        <v/>
      </c>
      <c r="H2922" s="6">
        <f>HYPERLINK("C:\Projects\Kleinanzeigen-Scraper\offer_images\2789118524", "Link")</f>
        <v/>
      </c>
      <c r="I2922" t="inlineStr">
        <is>
          <t>Behnsen</t>
        </is>
      </c>
      <c r="J2922" s="6">
        <f>HYPERLINK("https://www.kleinanzeigen.de/s-bestandsliste.html?userId=7302365", "Link")</f>
        <v/>
      </c>
      <c r="K2922" s="7" t="n">
        <v>45500.72361111111</v>
      </c>
      <c r="L2922" s="3" t="inlineStr">
        <is>
          <t>17.11</t>
        </is>
      </c>
      <c r="M2922" t="inlineStr">
        <is>
          <t>Böblingen</t>
        </is>
      </c>
    </row>
    <row r="2923">
      <c r="A2923" t="inlineStr">
        <is>
          <t>Schlumpf Schlümpfe 40215 Windsurfer Segel eingerissen Schrift bla</t>
        </is>
      </c>
      <c r="B2923" s="4" t="n">
        <v>10</v>
      </c>
      <c r="C2923" t="inlineStr">
        <is>
          <t>VB</t>
        </is>
      </c>
      <c r="D2923" t="inlineStr">
        <is>
          <t>70599 Stuttgart - Plieningen</t>
        </is>
      </c>
      <c r="E2923" s="5" t="n">
        <v>45386</v>
      </c>
      <c r="F2923" t="inlineStr">
        <is>
          <t>Sold</t>
        </is>
      </c>
      <c r="G2923" s="6">
        <f>HYPERLINK("https://www.kleinanzeigen.de/s-anzeige/schlumpf-schluempfe-40215-windsurfer-segel-eingerissen-schrift-bla/2725986428-234-9602", "Link")</f>
        <v/>
      </c>
      <c r="H2923" s="6">
        <f>HYPERLINK("C:\Projects\Kleinanzeigen-Scraper\offer_images\2725986428", "Link")</f>
        <v/>
      </c>
      <c r="I2923" t="inlineStr">
        <is>
          <t>Norman</t>
        </is>
      </c>
      <c r="J2923" s="6">
        <f>HYPERLINK("https://www.kleinanzeigen.de/s-bestandsliste.html?userId=42828757", "Link")</f>
        <v/>
      </c>
      <c r="K2923" s="7" t="n">
        <v>45500.72357638889</v>
      </c>
      <c r="L2923" s="3" t="inlineStr">
        <is>
          <t>17.12</t>
        </is>
      </c>
      <c r="M2923" t="inlineStr">
        <is>
          <t>Böblingen</t>
        </is>
      </c>
    </row>
    <row r="2924">
      <c r="A2924" t="inlineStr">
        <is>
          <t>Windsurf-Foil-Alu-Carbon Gunsails 1050/316</t>
        </is>
      </c>
      <c r="B2924" s="4" t="n">
        <v>419</v>
      </c>
      <c r="C2924" t="inlineStr"/>
      <c r="D2924" t="inlineStr">
        <is>
          <t>66386 Saarland - St. Ingbert</t>
        </is>
      </c>
      <c r="E2924" s="5" t="n">
        <v>45474</v>
      </c>
      <c r="F2924" t="inlineStr">
        <is>
          <t>Sold</t>
        </is>
      </c>
      <c r="G2924" s="6">
        <f>HYPERLINK("https://www.kleinanzeigen.de/s-anzeige/windsurf-foil-alu-carbon-gunsails-1050-316/2801451941-230-303", "Link")</f>
        <v/>
      </c>
      <c r="H2924" s="6">
        <f>HYPERLINK("C:\Projects\Kleinanzeigen-Scraper\offer_images\2801451941", "Link")</f>
        <v/>
      </c>
      <c r="I2924" t="inlineStr">
        <is>
          <t>Thomas Schmitt</t>
        </is>
      </c>
      <c r="J2924" s="6">
        <f>HYPERLINK("https://www.kleinanzeigen.de/s-bestandsliste.html?userId=5140230", "Link")</f>
        <v/>
      </c>
      <c r="K2924" s="7" t="n">
        <v>45500.72351851852</v>
      </c>
      <c r="L2924" s="3" t="inlineStr">
        <is>
          <t>96.65</t>
        </is>
      </c>
      <c r="M2924" t="inlineStr">
        <is>
          <t>Karlsruhe</t>
        </is>
      </c>
    </row>
    <row r="2925">
      <c r="A2925" t="inlineStr">
        <is>
          <t>HY-FOIL FREE Carbon-Alu Windsurf Foil</t>
        </is>
      </c>
      <c r="B2925" s="4" t="n">
        <v>700</v>
      </c>
      <c r="C2925" t="inlineStr"/>
      <c r="D2925" t="inlineStr">
        <is>
          <t>79115 Baden-Württemberg - Freiburg im Breisgau</t>
        </is>
      </c>
      <c r="E2925" s="5" t="n">
        <v>45473</v>
      </c>
      <c r="F2925" t="inlineStr">
        <is>
          <t>Sold</t>
        </is>
      </c>
      <c r="G2925" s="6">
        <f>HYPERLINK("https://www.kleinanzeigen.de/s-anzeige/hy-foil-free-carbon-alu-windsurf-foil/2800245176-230-9366", "Link")</f>
        <v/>
      </c>
      <c r="H2925" s="6">
        <f>HYPERLINK("C:\Projects\Kleinanzeigen-Scraper\offer_images\2800245176", "Link")</f>
        <v/>
      </c>
      <c r="I2925" t="inlineStr">
        <is>
          <t>Stefan</t>
        </is>
      </c>
      <c r="J2925" s="6">
        <f>HYPERLINK("https://www.kleinanzeigen.de/s-bestandsliste.html?userId=51371480", "Link")</f>
        <v/>
      </c>
      <c r="K2925" s="7" t="n">
        <v>45500.7233449074</v>
      </c>
      <c r="L2925" s="3" t="inlineStr">
        <is>
          <t>43.13</t>
        </is>
      </c>
      <c r="M2925" t="inlineStr">
        <is>
          <t>Bonndorf</t>
        </is>
      </c>
    </row>
    <row r="2926">
      <c r="A2926" t="inlineStr">
        <is>
          <t>Concept X Boardbag Windsurf Neu, 236x64</t>
        </is>
      </c>
      <c r="B2926" s="4" t="n">
        <v>55</v>
      </c>
      <c r="C2926" t="inlineStr"/>
      <c r="D2926" t="inlineStr">
        <is>
          <t>71093 Baden-Württemberg - Weil im Schönbuch</t>
        </is>
      </c>
      <c r="E2926" s="5" t="n">
        <v>45498</v>
      </c>
      <c r="F2926" t="inlineStr">
        <is>
          <t>Sold</t>
        </is>
      </c>
      <c r="G2926" s="6">
        <f>HYPERLINK("https://www.kleinanzeigen.de/s-anzeige/concept-x-boardbag-windsurf-neu-236x64/2820663627-230-8785", "Link")</f>
        <v/>
      </c>
      <c r="H2926" s="6">
        <f>HYPERLINK("C:\Projects\Kleinanzeigen-Scraper\offer_images\2820663627", "Link")</f>
        <v/>
      </c>
      <c r="I2926" t="inlineStr">
        <is>
          <t>Schorschi</t>
        </is>
      </c>
      <c r="J2926" s="6">
        <f>HYPERLINK("https://www.kleinanzeigen.de/s-bestandsliste.html?userId=71398211", "Link")</f>
        <v/>
      </c>
      <c r="K2926" s="7" t="n">
        <v>45500.46230324074</v>
      </c>
      <c r="L2926" s="3" t="inlineStr">
        <is>
          <t>9.52</t>
        </is>
      </c>
      <c r="M2926" t="inlineStr">
        <is>
          <t>Böblingen</t>
        </is>
      </c>
    </row>
  </sheetData>
  <autoFilter ref="A1:M2926"/>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2024-10-03T16:49:42Z</dcterms:created>
  <dcterms:modified xmlns:dcterms="http://purl.org/dc/terms/" xmlns:xsi="http://www.w3.org/2001/XMLSchema-instance" xsi:type="dcterms:W3CDTF">2024-10-03T16:49:47Z</dcterms:modified>
</cp:coreProperties>
</file>